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CB" sheetId="1" r:id="rId5"/>
    <sheet state="visible" name="Demo Sheet FMS_148" sheetId="2" r:id="rId6"/>
    <sheet state="hidden" name="MIS Archive" sheetId="3" r:id="rId7"/>
    <sheet state="hidden" name="TAT_Report" sheetId="4" r:id="rId8"/>
    <sheet state="hidden" name="Step_Performance_Report" sheetId="5" r:id="rId9"/>
    <sheet state="hidden" name="MIS Archived Data" sheetId="6" r:id="rId10"/>
    <sheet state="visible" name="MIS 0" sheetId="7" r:id="rId11"/>
    <sheet state="visible" name="My MIS Archive" sheetId="8" r:id="rId12"/>
    <sheet state="visible" name="My MIS0" sheetId="9" r:id="rId13"/>
    <sheet state="visible" name="My MIS" sheetId="10" r:id="rId14"/>
    <sheet state="visible" name="MIS" sheetId="11" r:id="rId15"/>
    <sheet state="hidden" name="FMS MASTER" sheetId="12" r:id="rId16"/>
    <sheet state="hidden" name="Setup" sheetId="13" r:id="rId17"/>
    <sheet state="hidden" name="Holidays" sheetId="14" r:id="rId18"/>
    <sheet state="hidden" name="Sheet14" sheetId="15" r:id="rId19"/>
    <sheet state="visible" name="MIS0" sheetId="16" r:id="rId20"/>
    <sheet state="hidden" name="Total doer wise planned and ave" sheetId="17" r:id="rId21"/>
    <sheet state="visible" name="W MASTER" sheetId="18" r:id="rId22"/>
    <sheet state="hidden" name="Step Wise Counting" sheetId="19" r:id="rId23"/>
    <sheet state="hidden" name="Sheet17" sheetId="20" r:id="rId24"/>
    <sheet state="hidden" name="STEP-DIR" sheetId="21" r:id="rId25"/>
    <sheet state="hidden" name="Doer Name" sheetId="22" r:id="rId26"/>
    <sheet state="hidden" name="SendTask" sheetId="23" r:id="rId27"/>
    <sheet state="hidden" name="WND_&amp;_WDBL" sheetId="24" r:id="rId28"/>
  </sheets>
  <definedNames>
    <definedName name="fmsS4">#REF!</definedName>
    <definedName name="fmsS2">#REF!</definedName>
    <definedName name="fmsS0">#REF!</definedName>
    <definedName name="fmsS1">#REF!</definedName>
    <definedName name="fmsS3">#REF!</definedName>
    <definedName name="misadS">'MIS Archived Data'!$F:$J</definedName>
    <definedName hidden="1" localSheetId="8" name="_xlnm._FilterDatabase">'My MIS0'!$A$2:$Z$118</definedName>
    <definedName hidden="1" localSheetId="1" name="Z_E7356AFB_EEB4_43C8_8521_114D5CCF15EB_.wvu.FilterData">'Demo Sheet FMS_148'!$A$8:$AY$8</definedName>
  </definedNames>
  <calcPr/>
  <customWorkbookViews>
    <customWorkbookView activeSheetId="0" maximized="1" windowHeight="0" windowWidth="0" guid="{E7356AFB-EEB4-43C8-8521-114D5CCF15EB}" name="Filter 1"/>
  </customWorkbookViews>
</workbook>
</file>

<file path=xl/sharedStrings.xml><?xml version="1.0" encoding="utf-8"?>
<sst xmlns="http://schemas.openxmlformats.org/spreadsheetml/2006/main" count="38929" uniqueCount="2554">
  <si>
    <t>Step</t>
  </si>
  <si>
    <t>Step Name</t>
  </si>
  <si>
    <t>Sr no.</t>
  </si>
  <si>
    <t>Report name</t>
  </si>
  <si>
    <t>Planned</t>
  </si>
  <si>
    <t>Actual</t>
  </si>
  <si>
    <t>Status</t>
  </si>
  <si>
    <t>W 1 / Delay</t>
  </si>
  <si>
    <t>Doer</t>
  </si>
  <si>
    <t>Step-2</t>
  </si>
  <si>
    <t>Discussion with Requester</t>
  </si>
  <si>
    <t>4960</t>
  </si>
  <si>
    <t>marks entry report</t>
  </si>
  <si>
    <t>Timestamp</t>
  </si>
  <si>
    <t>Done</t>
  </si>
  <si>
    <t>EMP0042 HULESHWAR KUMAR SAHU</t>
  </si>
  <si>
    <t>Step-3</t>
  </si>
  <si>
    <t>Check api id from database and download jrmxl file</t>
  </si>
  <si>
    <t>Your Name</t>
  </si>
  <si>
    <t>Client Name</t>
  </si>
  <si>
    <t>Step-4</t>
  </si>
  <si>
    <t>Debuging the error (Jasper end as well as Query end) and discuss with RM about logic</t>
  </si>
  <si>
    <t>Sample of corrected format / photo of issue 1</t>
  </si>
  <si>
    <t>Step-5</t>
  </si>
  <si>
    <t>Solution / Check data in database according to new logics</t>
  </si>
  <si>
    <t>Step-6</t>
  </si>
  <si>
    <t>Upload file, cross check and inform  to requester</t>
  </si>
  <si>
    <t>TAT</t>
  </si>
  <si>
    <t>4961</t>
  </si>
  <si>
    <t>Before TAT</t>
  </si>
  <si>
    <t>overalll pass report</t>
  </si>
  <si>
    <t>Filter parameter (eg. semester, course, college, user, etc.)</t>
  </si>
  <si>
    <t>Total</t>
  </si>
  <si>
    <t>Before</t>
  </si>
  <si>
    <t>Type of issues</t>
  </si>
  <si>
    <t>On Time</t>
  </si>
  <si>
    <t>Remarks</t>
  </si>
  <si>
    <t>After</t>
  </si>
  <si>
    <t>Product name</t>
  </si>
  <si>
    <t>Avg Planned</t>
  </si>
  <si>
    <t>I cofirm that I am clear with what is desired.</t>
  </si>
  <si>
    <t>Avg Actual</t>
  </si>
  <si>
    <t>Sample of corrected format / photo of issue 2</t>
  </si>
  <si>
    <t>Email address</t>
  </si>
  <si>
    <t xml:space="preserve">Date </t>
  </si>
  <si>
    <t>4962</t>
  </si>
  <si>
    <t>cbcs tr report</t>
  </si>
  <si>
    <t>Satish Kumar</t>
  </si>
  <si>
    <t>EMP0237 Swarnendu Chakraborty</t>
  </si>
  <si>
    <t>SMKV Bastar</t>
  </si>
  <si>
    <t>https://drive.google.com/open?id=19u430GOlyn0rSoq9ahjVQpRbpRXgsYJR</t>
  </si>
  <si>
    <t>4963</t>
  </si>
  <si>
    <t>Marksheet</t>
  </si>
  <si>
    <t>EMP3230 Shobha sahu</t>
  </si>
  <si>
    <t>FMS 148 Corrections/Bugs/ Update</t>
  </si>
  <si>
    <t>4964</t>
  </si>
  <si>
    <t>FINEL RESULT</t>
  </si>
  <si>
    <t xml:space="preserve">Discussion with Requester   </t>
  </si>
  <si>
    <t>4965</t>
  </si>
  <si>
    <t>Pls do the needful as per format for the session 2024-25</t>
  </si>
  <si>
    <t>as per the previous</t>
  </si>
  <si>
    <t>EMP0021 Tamanna Dewangan</t>
  </si>
  <si>
    <t>Other changes</t>
  </si>
  <si>
    <t xml:space="preserve">For the internal marks report, the download is showing blank data for every college. Kindly check and update. </t>
  </si>
  <si>
    <t>Smart-Exam</t>
  </si>
  <si>
    <t>Yes</t>
  </si>
  <si>
    <t>satishkumar@learningspiral.co.in</t>
  </si>
  <si>
    <t>Khaleshwar</t>
  </si>
  <si>
    <t>KSU</t>
  </si>
  <si>
    <t>https://drive.google.com/open?id=1x4edvsdekkUBgTfjVm6qG_KDX-E6l2g5</t>
  </si>
  <si>
    <t>4966</t>
  </si>
  <si>
    <t>ENROLLMENT/REGISTRAION REPORT NEP</t>
  </si>
  <si>
    <t>EMP5009 Rup Kumar Mandal</t>
  </si>
  <si>
    <t>4967</t>
  </si>
  <si>
    <t>TR REPORT</t>
  </si>
  <si>
    <t>admin</t>
  </si>
  <si>
    <t>ad</t>
  </si>
  <si>
    <t>khaleshwar@learningspiral.co.in</t>
  </si>
  <si>
    <t>khaleshwar</t>
  </si>
  <si>
    <t>singhaia university</t>
  </si>
  <si>
    <t>https://drive.google.com/open?id=1NOx1iLZmGhc7tYXwI9Y7kiH3Q8qUV4ns</t>
  </si>
  <si>
    <t>4968</t>
  </si>
  <si>
    <t>B.SC  2ND SEM REVAL MAY-2019 MARKSHEET BLANK</t>
  </si>
  <si>
    <t>4969</t>
  </si>
  <si>
    <t>GAU Generate Attendance Sheet BAMS MARCH 2026</t>
  </si>
  <si>
    <t xml:space="preserve">Khaleshwar </t>
  </si>
  <si>
    <t xml:space="preserve">Singhania university </t>
  </si>
  <si>
    <t>https://drive.google.com/open?id=1YS3OdsLOL5lx_oG2WYzClsTQbBoq8L9f</t>
  </si>
  <si>
    <t>Admin</t>
  </si>
  <si>
    <t>4970</t>
  </si>
  <si>
    <t>Marks Entry Report</t>
  </si>
  <si>
    <t>Ad</t>
  </si>
  <si>
    <t>https://drive.google.com/open?id=1tKfvhFOwLb02atunVIXX3DgDAYpXE3hE</t>
  </si>
  <si>
    <t>4971</t>
  </si>
  <si>
    <t>exam time table repoort</t>
  </si>
  <si>
    <t>FMS 148 Corrections / Bugs / Update new logic in Existing report</t>
  </si>
  <si>
    <t>ADMIT</t>
  </si>
  <si>
    <t>chintu singh</t>
  </si>
  <si>
    <t>igu</t>
  </si>
  <si>
    <t>https://drive.google.com/open?id=1OD1An2IaORabIwBY4HzmndtIVbG7Yj7M</t>
  </si>
  <si>
    <t>4972</t>
  </si>
  <si>
    <t>GAU Generate Attendance Sheet BAMS MARCH 2026 2nd LOT</t>
  </si>
  <si>
    <t>PC : EMP3200 Swati Soni</t>
  </si>
  <si>
    <t>Change in logic, Change in design</t>
  </si>
  <si>
    <t>chintusingh@learningspiral.co.in</t>
  </si>
  <si>
    <t>AMIT YADU</t>
  </si>
  <si>
    <t>HYU, DURG</t>
  </si>
  <si>
    <t>https://drive.google.com/open?id=1r4zvF6Y3tMtUvatGlNYuK4boFFwhhAtl</t>
  </si>
  <si>
    <t>4973</t>
  </si>
  <si>
    <t>Marks Sheet NEP</t>
  </si>
  <si>
    <t>Problem Solver L1 = Santosh Sir</t>
  </si>
  <si>
    <t>COURSE/SEMESTER</t>
  </si>
  <si>
    <t>DISTRICT WISE REPORT WAS NOT SHOWING</t>
  </si>
  <si>
    <t>amityadu.gniit@gmail.com</t>
  </si>
  <si>
    <t>https://drive.google.com/open?id=14KDAIDpklWHuU6oGIDLbvDVRFrP40FLt</t>
  </si>
  <si>
    <t>4974</t>
  </si>
  <si>
    <t>M.S.W 3RD SEM TR NO OF PAGES</t>
  </si>
  <si>
    <t>SEM/COURSE</t>
  </si>
  <si>
    <t>4975</t>
  </si>
  <si>
    <t>TR IS NOT DOWNLOADING, PLZ SEND TR THROUGH  MAIL (B.A. 1ST NEP)</t>
  </si>
  <si>
    <t>Gold Medel Certificate Gnsu</t>
  </si>
  <si>
    <t>HARSHIT KUMAR</t>
  </si>
  <si>
    <t>IGU</t>
  </si>
  <si>
    <t>https://drive.google.com/open?id=1c8SyByaGMVOXS1UOmovp8hOBtGosM8I9</t>
  </si>
  <si>
    <t>4976</t>
  </si>
  <si>
    <t>ADMIT CARD</t>
  </si>
  <si>
    <t>Report not downloading</t>
  </si>
  <si>
    <t>DO THE CORRECTION  AS PER ATTACHMENT</t>
  </si>
  <si>
    <t>https://drive.google.com/open?id=1SsqLTD-dgURQgOkX6_iwGRf5AnZ2-MXC</t>
  </si>
  <si>
    <t>4977</t>
  </si>
  <si>
    <t>Enrolment/Exam form report</t>
  </si>
  <si>
    <t>harshitkumar@learningspiral.co.in</t>
  </si>
  <si>
    <t>Ravikant Dewangan</t>
  </si>
  <si>
    <t>GAU</t>
  </si>
  <si>
    <t>https://drive.google.com/open?id=1aKyJqfwu32ugiHXZJRDPtCQIVoZLAoBv</t>
  </si>
  <si>
    <t>4978</t>
  </si>
  <si>
    <t>MULTIPLE REPORT</t>
  </si>
  <si>
    <t>College Course</t>
  </si>
  <si>
    <t>Change in logic</t>
  </si>
  <si>
    <t>UCanAssess</t>
  </si>
  <si>
    <t>tamannadewangan@learningspiral.co.in</t>
  </si>
  <si>
    <t>Rohit Singh</t>
  </si>
  <si>
    <t>SMKV</t>
  </si>
  <si>
    <t>https://drive.google.com/open?id=15Q0Dy3l85zME3ucBYLxN1KfeY5HjeRs1</t>
  </si>
  <si>
    <t>4979</t>
  </si>
  <si>
    <t>Degree certificate correction</t>
  </si>
  <si>
    <t>Course Wise</t>
  </si>
  <si>
    <t>Change in design</t>
  </si>
  <si>
    <t xml:space="preserve">Please update the max marks as per discussion </t>
  </si>
  <si>
    <t>rohitsingh@learningspiral.co.in</t>
  </si>
  <si>
    <t>satish kumar</t>
  </si>
  <si>
    <t>smkv bastar</t>
  </si>
  <si>
    <t>https://drive.google.com/open?id=1m_Sul2U-W0TWqbD0-Ha_VKFeTXGhbnME</t>
  </si>
  <si>
    <t>4980</t>
  </si>
  <si>
    <t>provisional certificate</t>
  </si>
  <si>
    <t>PLease update as per the discussion</t>
  </si>
  <si>
    <t>https://drive.google.com/open?id=1RqYoKVO2NpX0W6xe-eXRPGH4mph-QX1r</t>
  </si>
  <si>
    <t>4981</t>
  </si>
  <si>
    <t>COLLEGE WISE TIME TABLE</t>
  </si>
  <si>
    <t>What</t>
  </si>
  <si>
    <t>College &amp; Course</t>
  </si>
  <si>
    <t>Please generate the qr sticker in the previous format using the following table details:
SELECT * FROM `gau_qrcode_generate`.`GAU_BAMS_march_2026_2nd`</t>
  </si>
  <si>
    <t xml:space="preserve">Fill details about corrections and new logic in report </t>
  </si>
  <si>
    <t>https://drive.google.com/open?id=1V0vddiHHf4B6GfLRctFj1SAMRM3L74vN</t>
  </si>
  <si>
    <t xml:space="preserve">                    </t>
  </si>
  <si>
    <t>4982</t>
  </si>
  <si>
    <t>TR</t>
  </si>
  <si>
    <r>
      <rPr>
        <rFont val="Arial"/>
        <b/>
        <color theme="1"/>
      </rPr>
      <t xml:space="preserve">Discussion with Requester                                                                        </t>
    </r>
    <r>
      <rPr>
        <rFont val="Arial"/>
        <b/>
        <color theme="1"/>
        <sz val="14.0"/>
      </rPr>
      <t xml:space="preserve">   </t>
    </r>
  </si>
  <si>
    <t>Course wise</t>
  </si>
  <si>
    <t xml:space="preserve">Please implement the changes as per discussion  </t>
  </si>
  <si>
    <t xml:space="preserve">IGU </t>
  </si>
  <si>
    <t>https://drive.google.com/open?id=1ptziOTMmZrCYpXt5GYuL_CSDh5BVDjfd</t>
  </si>
  <si>
    <t>4983</t>
  </si>
  <si>
    <r>
      <rPr>
        <rFont val="Arial"/>
        <b/>
        <color theme="1"/>
      </rPr>
      <t xml:space="preserve">Check api id from database and download jrmxl file                                  </t>
    </r>
    <r>
      <rPr>
        <rFont val="Arial"/>
        <b/>
        <color theme="1"/>
        <sz val="14.0"/>
      </rPr>
      <t xml:space="preserve">  </t>
    </r>
  </si>
  <si>
    <t xml:space="preserve">Debuging the error (Jasper end as well as Query end) and discuss with RM about logic </t>
  </si>
  <si>
    <t>DO THE CORRECTION AS PER ATTACHMENT</t>
  </si>
  <si>
    <t>https://drive.google.com/open?id=1GhOv8mz381d4E3x_VLwIW5-p1t9lLxhc</t>
  </si>
  <si>
    <t>4984</t>
  </si>
  <si>
    <t>Upshastri TR not Download</t>
  </si>
  <si>
    <t xml:space="preserve">Solution / Check data in database according to new logics                </t>
  </si>
  <si>
    <t>Steps</t>
  </si>
  <si>
    <t>Total Done</t>
  </si>
  <si>
    <t>Before Target</t>
  </si>
  <si>
    <t xml:space="preserve">Upload file, cross check and inform  to requester                            </t>
  </si>
  <si>
    <t>After Target</t>
  </si>
  <si>
    <t>DEEPAK</t>
  </si>
  <si>
    <t>GNSU</t>
  </si>
  <si>
    <t>https://drive.google.com/open?id=1aWiOoYam2GpEK8YnwoRT49EBkzqy_8eU</t>
  </si>
  <si>
    <t>Avg Delay</t>
  </si>
  <si>
    <t>Co-ordinator</t>
  </si>
  <si>
    <t>N/A</t>
  </si>
  <si>
    <t>4985</t>
  </si>
  <si>
    <t>Anytime</t>
  </si>
  <si>
    <t>CBCS TR chnage the filter all and add collge wise</t>
  </si>
  <si>
    <t>Who</t>
  </si>
  <si>
    <t>Gold Medel Certificate Final Year ( Annual Exam(PG)) PG MD - Anaesthesiology ( ANSTH)_SE15</t>
  </si>
  <si>
    <t>KINDLY UPDATE THE FOURTH CONVOCATION</t>
  </si>
  <si>
    <t>deepakkayal@learningspiral.co.in</t>
  </si>
  <si>
    <t>CHINTU SINGH</t>
  </si>
  <si>
    <t>-8h 11m</t>
  </si>
  <si>
    <t>https://drive.google.com/open?id=18KNmdhuUgubw11G2MCGG5NxlwpOAV5Hd</t>
  </si>
  <si>
    <t>4986</t>
  </si>
  <si>
    <t>Marksheet chnage the filter all and add collge wise</t>
  </si>
  <si>
    <t>Regarding for M.ed 1st Sem regular admit card not show in roll number</t>
  </si>
  <si>
    <t>Report not downloading, Change in logic</t>
  </si>
  <si>
    <t xml:space="preserve">ADMIT CARD </t>
  </si>
  <si>
    <t>Rajesh Gupta</t>
  </si>
  <si>
    <t>SKS International University</t>
  </si>
  <si>
    <t>https://drive.google.com/open?id=149MzaH_Hqy0Kc49qyQ8_hDoFh1wv57hv</t>
  </si>
  <si>
    <t>4987</t>
  </si>
  <si>
    <t>Marksheet OLD chnage the filter all and add collge wise</t>
  </si>
  <si>
    <t>Course</t>
  </si>
  <si>
    <t xml:space="preserve">Please add the one Colome Year/Semester in this format </t>
  </si>
  <si>
    <t>rajeshgupta@learningspiral.co.in</t>
  </si>
  <si>
    <t>KAMINI THAKUR</t>
  </si>
  <si>
    <t>SGBAU</t>
  </si>
  <si>
    <t>https://drive.google.com/open?id=1FHnmm9S1-hSTFSC3RsuK_6ONkwRAOhP5</t>
  </si>
  <si>
    <t>EMP5009 Rup Kumar Mandal / EMP0042 HULESHWAR KUMAR SAHU / EMP0021 Tamanna Dewangan/EMP0237 Swarnendu Chakraborty</t>
  </si>
  <si>
    <t>4988</t>
  </si>
  <si>
    <t>Marksheet New chnage the filter all and add collge wise</t>
  </si>
  <si>
    <t xml:space="preserve">MHRD TR </t>
  </si>
  <si>
    <t>TR RESULT HOSTING COLLEGEWISE ME TH MHRD KA FILE HONA</t>
  </si>
  <si>
    <t>kamini19121985@gmail.com</t>
  </si>
  <si>
    <t>Tusar Chhatui</t>
  </si>
  <si>
    <t>EMP5009 Rup Kumar Mandal /  EMP0042 HULESHWAR KUMAR SAHU / EMP0021 Tamanna Dewangan/EMP0237 Swarnendu Chakraborty</t>
  </si>
  <si>
    <t>MGU</t>
  </si>
  <si>
    <t>https://drive.google.com/open?id=1qNvVBFPAHJiUBsWL1nv9u2wF3iJvNQFW</t>
  </si>
  <si>
    <t>FINAL YEAR</t>
  </si>
  <si>
    <t>tusarchhatui@learningspiral.co.in</t>
  </si>
  <si>
    <t>4989</t>
  </si>
  <si>
    <t>Student enrooment report</t>
  </si>
  <si>
    <t>VIRENDRA KUMAR</t>
  </si>
  <si>
    <t>JMI</t>
  </si>
  <si>
    <t>https://drive.google.com/open?id=1NRuw0QT4OaOeoGGNGnwy8TTh4L345iwz</t>
  </si>
  <si>
    <t>4990</t>
  </si>
  <si>
    <t>signature change of off. controller</t>
  </si>
  <si>
    <t>Award Sheet Locked/Blank BMDCEM-201 - Baba Mohan Das College of Education, Motla Kalan, Rewari. PG MASTER OF EDUCATION ( M.ED) First Semester ( Sem - 1) Sessional Blank ENROLLMENTFORM_SE21</t>
  </si>
  <si>
    <t>Other</t>
  </si>
  <si>
    <t>How</t>
  </si>
  <si>
    <t>https://drive.google.com/open?id=1IT-DOUHCHA_GDyYxu14x9KVYkxUE8gUa</t>
  </si>
  <si>
    <t>https://forms.gle/b3eJF6qHcDKEdhWu7</t>
  </si>
  <si>
    <t>virendrakumar@learningspiral.co.in</t>
  </si>
  <si>
    <t>4991</t>
  </si>
  <si>
    <t>SMKV BASTAR</t>
  </si>
  <si>
    <t>CERTIFICATE</t>
  </si>
  <si>
    <t>https://drive.google.com/open?id=1UjbYREPBhDD-euOMZ8H138a_yA8ibX8w</t>
  </si>
  <si>
    <t>AS PER PREVIOUS</t>
  </si>
  <si>
    <t>PLEASE CHECK AND UPDATE AS THE ANNUAL SCHEMA</t>
  </si>
  <si>
    <t>4992</t>
  </si>
  <si>
    <t>PROVISIONAL CERTIFICATE</t>
  </si>
  <si>
    <t>https://drive.google.com/open?id=1VQdMSwGGC166jr8p8KNzfiC4JOIvWNjA</t>
  </si>
  <si>
    <t>4993</t>
  </si>
  <si>
    <t>Call/Mail</t>
  </si>
  <si>
    <t>please do this</t>
  </si>
  <si>
    <t>Somen parui</t>
  </si>
  <si>
    <t>MZU</t>
  </si>
  <si>
    <t>https://drive.google.com/open?id=1tLUZlvAhMzVIoEjuJTxG8SW39MfeB9qN</t>
  </si>
  <si>
    <t>From database (jasper setting table based on report name)</t>
  </si>
  <si>
    <t>4994</t>
  </si>
  <si>
    <t>From Jrxml File and from Query on call</t>
  </si>
  <si>
    <t>C000001,SE25,SM02,RE-APPEAR</t>
  </si>
  <si>
    <t>discuss with rup</t>
  </si>
  <si>
    <t>somenparui@learningspiral.co.in</t>
  </si>
  <si>
    <t>Ujjal das</t>
  </si>
  <si>
    <t>KSDSU</t>
  </si>
  <si>
    <t>https://drive.google.com/open?id=1tTlI48zeE6apcAG3ezeECElMTFARrLEE</t>
  </si>
  <si>
    <t>Logical part, From Jrxml File and from Query</t>
  </si>
  <si>
    <t>4995</t>
  </si>
  <si>
    <t>In Jasper API, University panel, email, call</t>
  </si>
  <si>
    <t xml:space="preserve">Upshastri 1st year </t>
  </si>
  <si>
    <t xml:space="preserve">TR not download </t>
  </si>
  <si>
    <t>p=ArrayFormula(if($A$9:$A&lt;&gt;"",HYPERLINK("https://docs.google.com/forms/d/e/1FAIpQLScU7DKr6HbmoID_UwKfI13gEe3bspqg0MBmrgEwXFMuax8Tnw/viewform?usp=pp_url&amp;entry.64613668="&amp;$G$1&amp;"&amp;entry.947283785="&amp;$H$1&amp;"&amp;entry.492682368="&amp;$J$9:$J&amp;"&amp;entry.2053410063="&amp;TEXT($B$9:$B,"yyyy-mm-dd")&amp;"&amp;entry.954149285="&amp;$L$9:$L&amp;"","Click Here"),""))</t>
  </si>
  <si>
    <t xml:space="preserve">Upshastri TR not Download </t>
  </si>
  <si>
    <t>ujjallspldas@gmail.com</t>
  </si>
  <si>
    <t>4996</t>
  </si>
  <si>
    <t>RESULT DATA</t>
  </si>
  <si>
    <t>When</t>
  </si>
  <si>
    <t>SU</t>
  </si>
  <si>
    <t>https://drive.google.com/open?id=1JT8GKwXxYmlulArzMkxreZFRkxi8pkh7</t>
  </si>
  <si>
    <t>4997</t>
  </si>
  <si>
    <t>Admit card</t>
  </si>
  <si>
    <t>college</t>
  </si>
  <si>
    <t>https://drive.google.com/open?id=1OxKOYLqkTjPCGNz6ii-WWZ79g-N2yjad</t>
  </si>
  <si>
    <t>4998</t>
  </si>
  <si>
    <t>Attendance Report</t>
  </si>
  <si>
    <t>chnage the filter all and add collge wise</t>
  </si>
  <si>
    <t>https://drive.google.com/open?id=1sM8I913yQcZCfTD53z338uYsIlAKxQ6g</t>
  </si>
  <si>
    <t>4999</t>
  </si>
  <si>
    <t>Seating Plan</t>
  </si>
  <si>
    <t>Adin</t>
  </si>
  <si>
    <t>https://drive.google.com/open?id=1WfHtC_Q4_PAjysD5RQMDkZoVEvV1LE7_</t>
  </si>
  <si>
    <t>5000</t>
  </si>
  <si>
    <t xml:space="preserve"> chnage the filter all and add collge wise</t>
  </si>
  <si>
    <t>https://drive.google.com/open?id=1Y8MEkSA6nNUW13nJCphy4DUI0faqn9-p</t>
  </si>
  <si>
    <t>W 1</t>
  </si>
  <si>
    <t>5001</t>
  </si>
  <si>
    <t>Please provide the practical Data for M.Ed. 1st &amp; 3rd Semester, Re-appear, Regular, Mercy Chance,</t>
  </si>
  <si>
    <t xml:space="preserve">Plsae add the new collum in these exel BTACH
</t>
  </si>
  <si>
    <t xml:space="preserve">Discussion with Requester                                                                           </t>
  </si>
  <si>
    <t>https://drive.google.com/open?id=1XzNltjJcfAhjTv0H4wP6VF3DasqQN7QS</t>
  </si>
  <si>
    <t>5002</t>
  </si>
  <si>
    <t>OLD formate mrksheet correction</t>
  </si>
  <si>
    <t>Award Sheet (Internal Assessment) Not Downloading M.Ed. 1st &amp; 3rd Semester Session 2025- 26</t>
  </si>
  <si>
    <t>DEEPAK KAYAL</t>
  </si>
  <si>
    <t>https://drive.google.com/open?id=1dTVgOvo2Ge5U3Ia2kZCUTap2iAe7gSvv</t>
  </si>
  <si>
    <t>S. No.</t>
  </si>
  <si>
    <t>5003</t>
  </si>
  <si>
    <t>NEW formate mrksheet correction</t>
  </si>
  <si>
    <t xml:space="preserve">	Final Certificate Sixth Semester ( 6th Sem) UG B.Sc. in Medical Radiology and Imaging Technology ( BMRIT)_SE13</t>
  </si>
  <si>
    <t>PLEASE UPDATE DIVISION FROM PASSOUTDATA TABLE</t>
  </si>
  <si>
    <t>https://drive.google.com/open?id=1buZH2sqopta4MkdCydsD9j0qIxs8Luyr</t>
  </si>
  <si>
    <t>5004</t>
  </si>
  <si>
    <t>Filter paramater (eg. semester, course, college, user, etc.)</t>
  </si>
  <si>
    <t>FINAL CERTIFICATE</t>
  </si>
  <si>
    <t xml:space="preserve">Name of requester </t>
  </si>
  <si>
    <t>Remark (Description)</t>
  </si>
  <si>
    <t>https://drive.google.com/open?id=1ajtRYS6Jd9HRJbuxCkKy5GGlu7Ts3RTW</t>
  </si>
  <si>
    <t>5005</t>
  </si>
  <si>
    <t>attendance sheet</t>
  </si>
  <si>
    <t>Delay</t>
  </si>
  <si>
    <t xml:space="preserve">Conclusion Of Discussion </t>
  </si>
  <si>
    <t>OBTAINED MARKS IS GREATER THAN MAXIMUM MARKS.</t>
  </si>
  <si>
    <t>5006</t>
  </si>
  <si>
    <t>NEP TR M.A HINDI &amp; SANSKRIT</t>
  </si>
  <si>
    <t>UCanApply</t>
  </si>
  <si>
    <t>https://drive.google.com/open?id=1D4G-gIvzOLKH3C1DnEpFatRM3Vnvkcx5</t>
  </si>
  <si>
    <t>5007</t>
  </si>
  <si>
    <t>Grade Card (B.PHARMA)</t>
  </si>
  <si>
    <t>https://drive.google.com/open?id=1i7GU4WPlvNfFvimjcNgS-h0p9hHqXHdt</t>
  </si>
  <si>
    <t xml:space="preserve">Check api id from database and download jrmxl file                                    </t>
  </si>
  <si>
    <t>previous all</t>
  </si>
  <si>
    <t xml:space="preserve">Discu s with rup </t>
  </si>
  <si>
    <t>AMIT KUMAR YADU</t>
  </si>
  <si>
    <t>5008</t>
  </si>
  <si>
    <t>HYU DURG</t>
  </si>
  <si>
    <t>NEP SUMMARY 3RD SEM M.A HINDI</t>
  </si>
  <si>
    <t>https://drive.google.com/open?id=189EyqeomMlJ0q6j0VurZrBMYNmS_-KaA</t>
  </si>
  <si>
    <t>MOVE TO QC</t>
  </si>
  <si>
    <t>Step2</t>
  </si>
  <si>
    <t>5009</t>
  </si>
  <si>
    <t>Step3</t>
  </si>
  <si>
    <t>NEP SCHEMA M.A SANSKRIT</t>
  </si>
  <si>
    <t>Step4</t>
  </si>
  <si>
    <t>Step5</t>
  </si>
  <si>
    <t>Step6</t>
  </si>
  <si>
    <t>COLLEGE/COURSE</t>
  </si>
  <si>
    <t>LLB 6TH TR'S ATKT ATTEMPT NOT SHOWING</t>
  </si>
  <si>
    <t>https://drive.google.com/open?id=1cL0Qv7EhJd7V1zoBXG0DsxUlzQqBaL9x</t>
  </si>
  <si>
    <t>5010</t>
  </si>
  <si>
    <t xml:space="preserve">Upload file, cross check and inform                               </t>
  </si>
  <si>
    <t>NEP MA SANSKRIT 3RD SEM  MARKSHEET</t>
  </si>
  <si>
    <t>https://drive.google.com/open?id=1veGKbscRXN4SgdfDK6foyrljxmze4Gp7</t>
  </si>
  <si>
    <t>5011</t>
  </si>
  <si>
    <t>Tabulation Report BPH (LE) 3rd sem</t>
  </si>
  <si>
    <t>course</t>
  </si>
  <si>
    <t xml:space="preserve">TR </t>
  </si>
  <si>
    <t>DHIRAJ KUMAR</t>
  </si>
  <si>
    <t>CBLU</t>
  </si>
  <si>
    <t>https://drive.google.com/open?id=1-6jr6KEVCyMAp29mgEVAPRX-cd2KgDPy</t>
  </si>
  <si>
    <t>5012</t>
  </si>
  <si>
    <t>COURSE</t>
  </si>
  <si>
    <t>RESULT DATA ADD 3 EXTRA FEILD</t>
  </si>
  <si>
    <t>dhirajk@learningspiral.co.in</t>
  </si>
  <si>
    <t>https://drive.google.com/open?id=1_7vrffMJXSgF8zGgZfU1xFbWEjK2zroZ</t>
  </si>
  <si>
    <t>5013</t>
  </si>
  <si>
    <t>Student wise data add new culum session</t>
  </si>
  <si>
    <t>Please check the BAMS admit card Practical exam details not show</t>
  </si>
  <si>
    <t>https://drive.google.com/open?id=14koaHwmYqQa62dl1HdQ__hxOaLp_8u_o</t>
  </si>
  <si>
    <t>5014</t>
  </si>
  <si>
    <t>https://drive.google.com/open?id=15j6QUN8x769dDTmA8mlMah13AW5zl2sy</t>
  </si>
  <si>
    <t>5015</t>
  </si>
  <si>
    <t>ENROLLMENT REPORT</t>
  </si>
  <si>
    <t>Please check the attached file I'm download the Attendance report some changes required.</t>
  </si>
  <si>
    <t>https://drive.google.com/open?id=1DcGLKjNOjdMFgsKpjjGUEwxImNpHqmMY</t>
  </si>
  <si>
    <t>5016</t>
  </si>
  <si>
    <t>NEP MISSING REPORT STEP-5(PRE-PROCESSING ERROR)</t>
  </si>
  <si>
    <t>https://drive.google.com/open?id=1RoimmKIMq7yesnItagUPZqHg_qH0gblr</t>
  </si>
  <si>
    <t>5017</t>
  </si>
  <si>
    <t>as per previous</t>
  </si>
  <si>
    <t>display in double record of the same candidates</t>
  </si>
  <si>
    <t>5018</t>
  </si>
  <si>
    <t>https://drive.google.com/open?id=1QaO6u3y1Hj33m0yji76xZbqAtcUIL2a-</t>
  </si>
  <si>
    <t>5019</t>
  </si>
  <si>
    <t>MARKSHEET DMC 05 INTEREGATED 6TH SEM</t>
  </si>
  <si>
    <t>https://drive.google.com/open?id=1ABa-MPs5surIGhGc06B5dK2sGAVYyoYD</t>
  </si>
  <si>
    <t>5020</t>
  </si>
  <si>
    <t>Marksheet please upate the logo and signeture</t>
  </si>
  <si>
    <t>https://drive.google.com/open?id=1U0JfpgCUwTZ-wBN_r1Ihwra9hkF0lFWY</t>
  </si>
  <si>
    <t>5021</t>
  </si>
  <si>
    <t>MArksheet correction acoding to atteched file and dicsuction</t>
  </si>
  <si>
    <t>College</t>
  </si>
  <si>
    <t>d</t>
  </si>
  <si>
    <t>https://drive.google.com/open?id=1bdZZHtL1zFp13WPWhMQfxJzoSWj1eSd1</t>
  </si>
  <si>
    <t>5022</t>
  </si>
  <si>
    <t xml:space="preserve">DEEPAK </t>
  </si>
  <si>
    <t>https://drive.google.com/open?id=1sHBStsM1OF5GZapUAEp8I6WhPPQtqXP2</t>
  </si>
  <si>
    <t>5023</t>
  </si>
  <si>
    <t>Mark Is Greater Than Max mark(Step 7) First Semester ( Sem - 1) BACHELOR OF COMMERCE B.COM_SE02</t>
  </si>
  <si>
    <t>Final Certificate Final Year ( Annual Exam(PG)) PG MD - Physiology ( PHY)_SE14</t>
  </si>
  <si>
    <t>PLEASE UPDATE LATEST DATE OF EXAM TO COMPLETE COURSE</t>
  </si>
  <si>
    <t>SKS Internation University</t>
  </si>
  <si>
    <t>https://drive.google.com/open?id=1n2JUadrVJkOCzXTb5JNjZXV77M5pPyr0</t>
  </si>
  <si>
    <t>5024</t>
  </si>
  <si>
    <t>Multiple reports</t>
  </si>
  <si>
    <t>Please check and resolve as soon as</t>
  </si>
  <si>
    <t>https://drive.google.com/open?id=1Asj2gWb8j4kPtgmPND_D7hq5Fs4b_IVk</t>
  </si>
  <si>
    <t>5025</t>
  </si>
  <si>
    <t>TR Format (Grading / Non-Grading)</t>
  </si>
  <si>
    <t>https://drive.google.com/open?id=1tQy4pNXyYEICLyFWdaRLjX13uiThwbCQ</t>
  </si>
  <si>
    <t>5026</t>
  </si>
  <si>
    <t>Grade Card NEP (PG)</t>
  </si>
  <si>
    <t>https://drive.google.com/open?id=1NLsTytIZnOD--ivsXwaEAA7uFJj_iD2A</t>
  </si>
  <si>
    <t>5027</t>
  </si>
  <si>
    <t>Result Recomendation</t>
  </si>
  <si>
    <t>https://drive.google.com/open?id=1_dIO_18tSao841gwAYAs1rP6GCS4jtAz</t>
  </si>
  <si>
    <t>5028</t>
  </si>
  <si>
    <t>Grade Card (B.PHARMA) Fourth Semester ( 4th Sem) 1003 - Narayan Institute of Pharmacy Bachelor of Pharmacy ( B.Pharm) BACKLOG Regular SUPPLY_SE16</t>
  </si>
  <si>
    <t xml:space="preserve">KINDLY CORRECT FOR LATERAL STUDENTS GRADE CARD </t>
  </si>
  <si>
    <t>https://drive.google.com/open?id=1AwY39NOsVXDX2UX8i7o7dg3TcOJbFWrU</t>
  </si>
  <si>
    <t>5029</t>
  </si>
  <si>
    <t>5030</t>
  </si>
  <si>
    <t>The course name should be taken from the main header in all result reports.</t>
  </si>
  <si>
    <t>https://drive.google.com/open?id=1Lz7cw0TXd78Vsq5dRaAytAaevdwCUMa0</t>
  </si>
  <si>
    <t>5031</t>
  </si>
  <si>
    <t>STUDENTS REGISTRATION COUNT</t>
  </si>
  <si>
    <t>https://drive.google.com/open?id=1BYfQt64vDe0_-yvschS7Qmg23z7vXM_m</t>
  </si>
  <si>
    <t>5032</t>
  </si>
  <si>
    <t>DO THE CORRECTION AS PER ATTACHEMENT</t>
  </si>
  <si>
    <t>https://drive.google.com/open?id=1cLP41hmP3NnEWPfosdSpldBZWwZ0HvVb</t>
  </si>
  <si>
    <t>5033</t>
  </si>
  <si>
    <t>NEP TR</t>
  </si>
  <si>
    <t>https://drive.google.com/open?id=1B3-Ubst0ghJN26KXq0gs6vy0s1mbgwjm</t>
  </si>
  <si>
    <t xml:space="preserve">NEP MA SANSKRIT 3RD SEM  MARKSHEET </t>
  </si>
  <si>
    <t>https://drive.google.com/open?id=1BzZH7FZda-y55yUZm91gwoogXS-gnCCU</t>
  </si>
  <si>
    <t>Requirements Clear</t>
  </si>
  <si>
    <t>5034</t>
  </si>
  <si>
    <t>PRE PROCESS ERROR STEP-7</t>
  </si>
  <si>
    <t>sandeep narang</t>
  </si>
  <si>
    <t>DPSRU</t>
  </si>
  <si>
    <t>https://drive.google.com/open?id=1sVtqyAGQ6PxDSsvG9fNWlsLDxVwa3_4g</t>
  </si>
  <si>
    <t>5035</t>
  </si>
  <si>
    <t>NEP ENROLLMENT/REGISTRATION REPORT</t>
  </si>
  <si>
    <t>Blank TR is download</t>
  </si>
  <si>
    <t>sandeepnarang@learningspiral.co.in</t>
  </si>
  <si>
    <t>Rohitt Singh</t>
  </si>
  <si>
    <t>https://drive.google.com/open?id=1o3qbQ20-wLMJKRPaVi9aSNw688_brHvO</t>
  </si>
  <si>
    <t>5036</t>
  </si>
  <si>
    <t>MUTIPLE REPORT</t>
  </si>
  <si>
    <t xml:space="preserve">TR Correction as per telephonic conversation </t>
  </si>
  <si>
    <t>https://drive.google.com/open?id=1VJ1aE-S3XEpfX827h5A8o7_M7jD4Gyyw</t>
  </si>
  <si>
    <t>5037</t>
  </si>
  <si>
    <t>NEP M.A political1ST SEM TR</t>
  </si>
  <si>
    <t>a</t>
  </si>
  <si>
    <t>https://drive.google.com/open?id=12fdYzHs-lrrC0IfsmioSfG42sDdYPwyt</t>
  </si>
  <si>
    <t>5038</t>
  </si>
  <si>
    <t>NEP SCHEMA REPORT</t>
  </si>
  <si>
    <t>MSC MARKSHEET CORRECTION</t>
  </si>
  <si>
    <t xml:space="preserve">MSC MARKSHEET CREDIT CORRECTION </t>
  </si>
  <si>
    <t>https://drive.google.com/open?id=1HvYNsI7N5FFbhs5OXLrZUIxgCO7Tuq7T</t>
  </si>
  <si>
    <t>5039</t>
  </si>
  <si>
    <t>NEP TR REPORT</t>
  </si>
  <si>
    <t>OTHER SESSION ENROLLED STUDENT ALSO COMING IN CURRENT SESSION.</t>
  </si>
  <si>
    <t>https://drive.google.com/open?id=1gRBjwQ3LYw5yKFduzavnVpU8zlNkO18p</t>
  </si>
  <si>
    <t>5040</t>
  </si>
  <si>
    <t>Correction in Calculation MD Anatomy,3rd year</t>
  </si>
  <si>
    <t>BISWAJIT MAJHI</t>
  </si>
  <si>
    <t>IGU NEP MISSING REPORT STEP-5</t>
  </si>
  <si>
    <t>https://drive.google.com/open?id=1L5Nu2khWeBG7JNsWqW8GdWv7e8TRPoxZ</t>
  </si>
  <si>
    <t>5041</t>
  </si>
  <si>
    <t>result commetee</t>
  </si>
  <si>
    <t xml:space="preserve">nep pg &amp; ug </t>
  </si>
  <si>
    <t xml:space="preserve">please  look in the matter </t>
  </si>
  <si>
    <t>https://drive.google.com/open?id=1i0vNspNmvEi67KWnB47YBJTyx7SS-Kx9</t>
  </si>
  <si>
    <t>5042</t>
  </si>
  <si>
    <t>Correction in Calculation MD Physiology ,3rd year</t>
  </si>
  <si>
    <t>biswajitmajhi4468@gmail.com</t>
  </si>
  <si>
    <t>https://drive.google.com/open?id=1Xf0gyFBKtCev4UopiyJ3_w7uuQiftSpV</t>
  </si>
  <si>
    <t>5043</t>
  </si>
  <si>
    <t xml:space="preserve">	Final Certificate Second Semester ( 2nd Sem) PHD Doctor of Philosophy in Information Technology ( Ph.D in I.T.)_SE12</t>
  </si>
  <si>
    <t>KINDLY PREPARE THE REPORT SAME AS SAMPLE FILE</t>
  </si>
  <si>
    <t xml:space="preserve">	CERTIFICATE</t>
  </si>
  <si>
    <t>5044</t>
  </si>
  <si>
    <t>ENROLLMENT REPORT (EXAMFORM REPORT ALL)</t>
  </si>
  <si>
    <t>Deepak Kayal</t>
  </si>
  <si>
    <t>https://drive.google.com/open?id=16PE_ljmTDQoTq8MdPFdAaLRFKTQ7gYfq</t>
  </si>
  <si>
    <t>5045</t>
  </si>
  <si>
    <t>Final Certificate Second Semester ( 2nd Sem) PHD Doctor of Philosophy in Information Technology ( Ph.D in I.T.)_SE12</t>
  </si>
  <si>
    <t>kindly add whereas and change font style of thesis title</t>
  </si>
  <si>
    <t>dinesh kumar</t>
  </si>
  <si>
    <t>https://drive.google.com/open?id=10G8iRJLiXpTHgnHJO7WT1UHed7tQwIlP</t>
  </si>
  <si>
    <t>5046</t>
  </si>
  <si>
    <t>SEM SYLBUS COURSES</t>
  </si>
  <si>
    <t>URGENT</t>
  </si>
  <si>
    <t>dineshdcs1988@gmail.com</t>
  </si>
  <si>
    <t>https://drive.google.com/open?id=1_VyVqCpHtMvkxHsri7dfjSj5hyiVTjYO</t>
  </si>
  <si>
    <t>5047</t>
  </si>
  <si>
    <t>plaese update the old marksheet logo and singahneture old and new</t>
  </si>
  <si>
    <t>https://drive.google.com/open?id=1ZqB2hT71_QstNCfaflcp-nJkubVIARd5</t>
  </si>
  <si>
    <t>5048</t>
  </si>
  <si>
    <t>https://drive.google.com/open?id=1svY0AgfwqFiVVLW9ajQ_ZbABli5DFt3u</t>
  </si>
  <si>
    <t>5049</t>
  </si>
  <si>
    <t>If TR type 101 is found in TR Rootmaster, then Promoted should be shown as ATKT and Detained should be shown as Fail.</t>
  </si>
  <si>
    <t>https://drive.google.com/open?id=1_yvxiGW26KSvDtQFCTCDckGxLnMW-Uss</t>
  </si>
  <si>
    <t>5050</t>
  </si>
  <si>
    <t>Akshay jaltare</t>
  </si>
  <si>
    <t>Sgbau</t>
  </si>
  <si>
    <t>https://drive.google.com/open?id=1-NTqCYyiDlMw6l4N4ucfVgUbvnfYPgG9</t>
  </si>
  <si>
    <t>5051</t>
  </si>
  <si>
    <t>Teacher entered  marks entry  [Theory Marks Entry (Teacher)]</t>
  </si>
  <si>
    <t xml:space="preserve">Marksheet Bsc single </t>
  </si>
  <si>
    <t xml:space="preserve">Grace issue </t>
  </si>
  <si>
    <t xml:space="preserve">Multiple reports </t>
  </si>
  <si>
    <t>akshayjaltare@gmail.com</t>
  </si>
  <si>
    <t>TAPAS MAZUMDAR</t>
  </si>
  <si>
    <t>https://drive.google.com/open?id=111QkpQNB9U22z9-CVlrkMWGyvP6AxT6D</t>
  </si>
  <si>
    <t>5052</t>
  </si>
  <si>
    <t>Marks entry report [theory marks entry]</t>
  </si>
  <si>
    <t>COURSE CODE,STYPE</t>
  </si>
  <si>
    <t xml:space="preserve"> </t>
  </si>
  <si>
    <t xml:space="preserve">TR Format (Grading / Non-Grading) </t>
  </si>
  <si>
    <t>tapasmajumdar@learningspiral.co.in</t>
  </si>
  <si>
    <t>5053</t>
  </si>
  <si>
    <t>https://drive.google.com/open?id=1SBmjawBEPjNisTfNne3lXu3P1P3yipJX</t>
  </si>
  <si>
    <t>TR_phd_NEW_FORMAT</t>
  </si>
  <si>
    <t>COURSE, STYPE</t>
  </si>
  <si>
    <t xml:space="preserve">	Grade Card NEP (PG) </t>
  </si>
  <si>
    <t>5054</t>
  </si>
  <si>
    <t>https://drive.google.com/open?id=1SOOKNqsrN_PCOSfN7HlDR02KMKjkfnJb</t>
  </si>
  <si>
    <t>faculty, recomended date</t>
  </si>
  <si>
    <t>Please update the faculty  wise  recomended date wise</t>
  </si>
  <si>
    <t>5055</t>
  </si>
  <si>
    <t>https://drive.google.com/open?id=13mr4DKlWrWqdVx19MazGtQFm6XI0xHw3</t>
  </si>
  <si>
    <t>5056</t>
  </si>
  <si>
    <t>COURSE/COLLEGE</t>
  </si>
  <si>
    <t>Provisional Certificate Sign change</t>
  </si>
  <si>
    <t>OLD SESSION ENROLLED STUDENT ALSO COMING IN CURRENT SESSION REPORT IN ENROLLMENT EXCEL FORMAT</t>
  </si>
  <si>
    <t>https://drive.google.com/open?id=1EaSdtmPUKsQkqDtlyuTrNNcJlaf4-4RL</t>
  </si>
  <si>
    <t>5057</t>
  </si>
  <si>
    <t>Marksheet MBBS New Format</t>
  </si>
  <si>
    <t>AMITYADU</t>
  </si>
  <si>
    <t>https://drive.google.com/open?id=1KuKFHZNwYD9YzaltDek9gbOzMtkakZf2</t>
  </si>
  <si>
    <t>5058</t>
  </si>
  <si>
    <t>ABC ID HAVE TO PUT IN ENROLLMENT REPORT (BOTH EXCEL &amp; PDF FORMAT)</t>
  </si>
  <si>
    <t>https://drive.google.com/open?id=1bqg6WGUNc3E_Wbkxn4ct0mD0bnI3Vyk1</t>
  </si>
  <si>
    <t>5059</t>
  </si>
  <si>
    <t>https://drive.google.com/open?id=12uM0mtJbjdbhkiCrqfHal_GF-7j8EVll</t>
  </si>
  <si>
    <t>5060</t>
  </si>
  <si>
    <t>RESULT DATA FORMATE</t>
  </si>
  <si>
    <t>https://drive.google.com/open?id=1817L_CcTiyhxuMz2bpKQkKkZCN3iZzdg</t>
  </si>
  <si>
    <t>5061</t>
  </si>
  <si>
    <t>College filter change to all</t>
  </si>
  <si>
    <t>ALL</t>
  </si>
  <si>
    <t>URGENT NEED FOR BILL GENERATION</t>
  </si>
  <si>
    <t>https://drive.google.com/open?id=1eO0s01Pur0mLCr-2-hLE8OgAAX8aFRIv</t>
  </si>
  <si>
    <t>5062</t>
  </si>
  <si>
    <t>download TR but downloaded marksheet but TR is not downloading</t>
  </si>
  <si>
    <t>5063</t>
  </si>
  <si>
    <t>Grace marks show only one digit in TR</t>
  </si>
  <si>
    <t>https://drive.google.com/open?id=1-xsHUdZish-2iM7jBAeMd4Ut9MuulfJ0</t>
  </si>
  <si>
    <t>5064</t>
  </si>
  <si>
    <t>Press Release</t>
  </si>
  <si>
    <t xml:space="preserve">NEP 3RD SEM MA  SANSKRIT </t>
  </si>
  <si>
    <t xml:space="preserve">PLEASE CHECK THE MATTER IST VERY URGENT </t>
  </si>
  <si>
    <t xml:space="preserve">NEP TR </t>
  </si>
  <si>
    <t>https://drive.google.com/open?id=1W5KgKxbv60GZ7MRB-SPdla0iOwsTpUm8</t>
  </si>
  <si>
    <t>5065</t>
  </si>
  <si>
    <t>Pre Processing Error</t>
  </si>
  <si>
    <t>https://drive.google.com/open?id=1x_6TrWs9IctsoBFHKNrlWBJqL9At4C1u</t>
  </si>
  <si>
    <t>5066</t>
  </si>
  <si>
    <t>ALL SEMERSTER &amp; ALL COURSE</t>
  </si>
  <si>
    <t>PLEASE CHECK THE MATTER</t>
  </si>
  <si>
    <t>https://drive.google.com/open?id=1h4Y2QhVp9jaHYWoc4LHt6aveOeDbmK0g</t>
  </si>
  <si>
    <t>5067</t>
  </si>
  <si>
    <t>REVEL FORM</t>
  </si>
  <si>
    <t>https://drive.google.com/open?id=1BSliTcVmMApvbBLXVst5yKg6Lhr85r7_</t>
  </si>
  <si>
    <t>5068</t>
  </si>
  <si>
    <t>SEMESTER/COURSE</t>
  </si>
  <si>
    <t>ABC ID ADD KARNA HAI NEP ENROLLMENT &amp; REGISTRATION REPORT ME</t>
  </si>
  <si>
    <t>https://drive.google.com/open?id=1GV2cy2DW6ieJpd6im7hPjkEK-5O_vjF0</t>
  </si>
  <si>
    <t>5069</t>
  </si>
  <si>
    <t>CA/CIA MARK ENTRY</t>
  </si>
  <si>
    <t>https://drive.google.com/open?id=17TmhaMHcpBqUQqHrUMkPrfbUgoH09GOp</t>
  </si>
  <si>
    <t>5070</t>
  </si>
  <si>
    <t>grade card pg</t>
  </si>
  <si>
    <t>UG NEP TR FILE CORRECTION</t>
  </si>
  <si>
    <t xml:space="preserve">BE NEP UG TR CENTER CORRECTION </t>
  </si>
  <si>
    <t>https://drive.google.com/open?id=1jaRKbKJicxMqIHy2ibJOxhv7hNOMbkMl</t>
  </si>
  <si>
    <t>5071</t>
  </si>
  <si>
    <t xml:space="preserve">nep all course </t>
  </si>
  <si>
    <t>please check the attach file</t>
  </si>
  <si>
    <t xml:space="preserve">NEP M.A political1ST SEM TR </t>
  </si>
  <si>
    <t>https://drive.google.com/open?id=1EBt9I3iUh9Nel9LqzBjpD4oJWwQL7pqZ</t>
  </si>
  <si>
    <t>5072</t>
  </si>
  <si>
    <t>MULTIPLE REPOPRT</t>
  </si>
  <si>
    <t>https://drive.google.com/open?id=1nUInpLd5aOspwp7h1jsrAvRlfzqprQGJ</t>
  </si>
  <si>
    <t>5073</t>
  </si>
  <si>
    <t xml:space="preserve">NEP SCHEMA ME COURSE TYPE KI JAGAH DISCIPLINE KARNA HAI </t>
  </si>
  <si>
    <t>https://drive.google.com/open?id=1duVHxwOsJvvr9poAeWr89tdJs6bFw1EI</t>
  </si>
  <si>
    <t>5074</t>
  </si>
  <si>
    <t>https://drive.google.com/open?id=12nST4Odb8OtVb_2x9WBZLI9VM6JMLL0I</t>
  </si>
  <si>
    <t>5075</t>
  </si>
  <si>
    <t>Packet Summary Report</t>
  </si>
  <si>
    <t xml:space="preserve">FIELD CORRECTION IN NEP TR,  LIKE DISCIPLINE, COURSE TYPE </t>
  </si>
  <si>
    <t>https://drive.google.com/open?id=1QGHq_KOe44sYuW0TeG_JVFraJ46DtHhx</t>
  </si>
  <si>
    <t>5076</t>
  </si>
  <si>
    <t>https://drive.google.com/open?id=1iGOgf_BppU1-dwoGfQVJhI3HqL4ywCaW</t>
  </si>
  <si>
    <t>5077</t>
  </si>
  <si>
    <t>College wise Allotment List</t>
  </si>
  <si>
    <t>3rd year</t>
  </si>
  <si>
    <t>Correction in Calculation</t>
  </si>
  <si>
    <t>SMKV bastar</t>
  </si>
  <si>
    <t>https://drive.google.com/open?id=1LaK3sYVBR5-odi5EBcwBRvfC-GLvf3XE</t>
  </si>
  <si>
    <t>5078</t>
  </si>
  <si>
    <t>NEP</t>
  </si>
  <si>
    <t>Department recommended Date</t>
  </si>
  <si>
    <t xml:space="preserve">Please review and correct. </t>
  </si>
  <si>
    <t>https://drive.google.com/open?id=19V2SEaOmmftU7Z3UM-17PujjHQjx3ytt</t>
  </si>
  <si>
    <t>5079</t>
  </si>
  <si>
    <t>3rd Semester B.Sc. Nursing Examination 2025 (II)	Admit Card update	2024-25 (S)	REAPPER</t>
  </si>
  <si>
    <t>3RD YEAR</t>
  </si>
  <si>
    <t>Correction in total marks Calculation</t>
  </si>
  <si>
    <t>https://drive.google.com/open?id=1_duFptau8w2LyTHAR--McbOWK_5zSNOg</t>
  </si>
  <si>
    <t>5080</t>
  </si>
  <si>
    <t>3rd Year B.Sc. Nursing Examination 2025 (II)	Admit Card update	2024-25 (S)	REAPPER</t>
  </si>
  <si>
    <t xml:space="preserve">NEP ALL SEMESTER &amp; ALL COURSE </t>
  </si>
  <si>
    <t>REMOVE THE ( PAG  PREVIOUSLY)</t>
  </si>
  <si>
    <t>https://drive.google.com/open?id=1fXwjmbD_yNkJXkp0WC8e3XZ_EJafNEOd</t>
  </si>
  <si>
    <t>5081</t>
  </si>
  <si>
    <t>CUT LIST</t>
  </si>
  <si>
    <t>https://drive.google.com/open?id=10idKeuQHMyb2QPzz18Y0PjJmprA2mkv3</t>
  </si>
  <si>
    <t>5082</t>
  </si>
  <si>
    <t>SCHEME</t>
  </si>
  <si>
    <t>SESSION WISE</t>
  </si>
  <si>
    <t>BATCH ADD IN THIS REPORT</t>
  </si>
  <si>
    <t>https://drive.google.com/open?id=1HnyH7uK-s2JzKEeIfU56TNRUMGuo3lEq</t>
  </si>
  <si>
    <t>5083</t>
  </si>
  <si>
    <t>College  course wise statistic</t>
  </si>
  <si>
    <t>NEP 2ND SEM ATKT STUDENT KA * LAGKAR NAHI AA RAHA (ALL NEP COURSES)</t>
  </si>
  <si>
    <t>https://drive.google.com/open?id=1QPF5Ofmmo6Q865lgMGHyQJgFwSe6rs5M</t>
  </si>
  <si>
    <t>5084</t>
  </si>
  <si>
    <t>College statistic</t>
  </si>
  <si>
    <t>Somen Parui</t>
  </si>
  <si>
    <t>https://drive.google.com/open?id=1-tSigDVzNn1hz4jI03bHZVUyD4Fe0gn1</t>
  </si>
  <si>
    <t>5085</t>
  </si>
  <si>
    <t xml:space="preserve">previous </t>
  </si>
  <si>
    <t>GRADE CARD PG NEP MZU PROMOTED CASE UPDATE FOR COURSE</t>
  </si>
  <si>
    <t>krishnendumaitylspl@gmail.com</t>
  </si>
  <si>
    <t>https://drive.google.com/open?id=1xf4vvfnUYq2MdrnInWxmYv8VpF0jdgi5</t>
  </si>
  <si>
    <t>Previous</t>
  </si>
  <si>
    <t>5086</t>
  </si>
  <si>
    <t>TR GRADING/ NON-GRADING MZU PROMOTED CASE UPDATE FOR COURSE</t>
  </si>
  <si>
    <t>https://drive.google.com/open?id=16P4SH6LJgICVA432_eeqQlrJB8kxgoIV</t>
  </si>
  <si>
    <t>5087</t>
  </si>
  <si>
    <t>GRADE CARD MZU DISTANCE PROMOTED CASE UPDATE.</t>
  </si>
  <si>
    <t>https://drive.google.com/open?id=1ijmSkv-0U41E63TlspfGXNFNizHFcwr3</t>
  </si>
  <si>
    <t>5088</t>
  </si>
  <si>
    <t>UPSHASTRI MARKSHEET</t>
  </si>
  <si>
    <t>TR REPORT MZU DISTANCE PROMOTED CASE UPDATE</t>
  </si>
  <si>
    <t>https://drive.google.com/open?id=15OYxPjqpXB6PPBpJNl0pv0wO0cvDkpI_</t>
  </si>
  <si>
    <t>5089</t>
  </si>
  <si>
    <t>Marksheet Paramedical</t>
  </si>
  <si>
    <t>Please update marks sheet S.NO in TR</t>
  </si>
  <si>
    <t>Krishnendu maity</t>
  </si>
  <si>
    <t>bcroy</t>
  </si>
  <si>
    <t>https://drive.google.com/open?id=1rCDQyDv1xQp3fh1-rD17aTuSG5iKzcrj</t>
  </si>
  <si>
    <t>5090</t>
  </si>
  <si>
    <t xml:space="preserve">Previous </t>
  </si>
  <si>
    <t>Methodology Deviation Report</t>
  </si>
  <si>
    <t>Change in logic, Other changes</t>
  </si>
  <si>
    <t xml:space="preserve">Re-appear marks entry report not generate </t>
  </si>
  <si>
    <t>bc roy</t>
  </si>
  <si>
    <t>https://drive.google.com/open?id=1Uc8KQLn0h8YkJILR1r3KHR3txDnERFRM</t>
  </si>
  <si>
    <t>Click Here</t>
  </si>
  <si>
    <t>5091</t>
  </si>
  <si>
    <t>previous</t>
  </si>
  <si>
    <t>Re-appear marks entry report not generate.</t>
  </si>
  <si>
    <t>https://drive.google.com/open?id=1zMOqcFZpeJJc4buvjkKWYxstiTA_qeCH</t>
  </si>
  <si>
    <t>5092</t>
  </si>
  <si>
    <t>TR PHD NEW FORMAT PHD First Semester ( 1st Sem) Doctor of Philosophy in Information Technology Regular REGULAR EXAMFORM_SE16</t>
  </si>
  <si>
    <t>PLEASE CHANGE THE DATE FORMAT</t>
  </si>
  <si>
    <t>https://drive.google.com/open?id=1T0pinKU1Tsdk-lnw-_EoJrDh99u9ZpRM</t>
  </si>
  <si>
    <t>5093</t>
  </si>
  <si>
    <t xml:space="preserve">PG NEP ENGLISH 3RD SEM </t>
  </si>
  <si>
    <t>PLEASE UPDATE</t>
  </si>
  <si>
    <t>https://drive.google.com/open?id=1TCz5_eoBZOjD81rtvkz4ikEVwBDoafzc</t>
  </si>
  <si>
    <t>5094</t>
  </si>
  <si>
    <t>Result Data</t>
  </si>
  <si>
    <t>https://drive.google.com/open?id=1_nw09-xrHzPpyIWzauxOp9FojdX202BM</t>
  </si>
  <si>
    <t>5095</t>
  </si>
  <si>
    <t>TR semester (NEW)</t>
  </si>
  <si>
    <t xml:space="preserve">NEP TR REVAL RESULT (PRS) </t>
  </si>
  <si>
    <t xml:space="preserve">PRG RESULT IN TR </t>
  </si>
  <si>
    <t>https://drive.google.com/open?id=1dhtEZGQg0nHVlMYrpZdn4Ue5MsauqJfy</t>
  </si>
  <si>
    <t>5096</t>
  </si>
  <si>
    <t>Grade Carde B.Tech</t>
  </si>
  <si>
    <t xml:space="preserve">Dhanshree Kale </t>
  </si>
  <si>
    <t xml:space="preserve">SGBAU </t>
  </si>
  <si>
    <t>https://drive.google.com/open?id=1GdzUwgrUAHjxZP8Y8iOD_ncETjw7-7j6</t>
  </si>
  <si>
    <t>5097</t>
  </si>
  <si>
    <t>Shastri Semester Marksheet publication date to current date change</t>
  </si>
  <si>
    <t xml:space="preserve">SE23, All sessions </t>
  </si>
  <si>
    <t>DO ASAP</t>
  </si>
  <si>
    <t xml:space="preserve">Provisional Certificate Sign change </t>
  </si>
  <si>
    <t>https://drive.google.com/open?id=1C_A6MzM3jyw4GNhLF3nvZKRd9Ghcti0p</t>
  </si>
  <si>
    <t>5098</t>
  </si>
  <si>
    <t>GRADE CARD AGRICULTURE</t>
  </si>
  <si>
    <t>ghewaregayatri@gmail.com</t>
  </si>
  <si>
    <t>https://drive.google.com/open?id=171vDpI9_OOmmH1J3oDA-sBAmimBHfXHA</t>
  </si>
  <si>
    <t>5099</t>
  </si>
  <si>
    <t xml:space="preserve">	Marksheet MBBS New Format Fourth Year ( 4th) 1001 - Narayan Medical College &amp; Hospital Bachelor of Medicine and Bachelor of Surgery MBBS Back BACKLOG RE-APPEAR_SE16</t>
  </si>
  <si>
    <t xml:space="preserve">PAGE ADJUSTMENT </t>
  </si>
  <si>
    <t>https://drive.google.com/open?id=1uv0_jyoBQRql6G_DZPmt1WKmUoq9EIub</t>
  </si>
  <si>
    <t>5100</t>
  </si>
  <si>
    <t>Session - 2024-25 (S), MBBS ,SUPPLEMENTARY. 1st Professional MBBS Examination 2025 (II), correction in the  supplementary marksheet.</t>
  </si>
  <si>
    <t xml:space="preserve">	TR PHD NEW FORMAT PHD First Semester ( 1st Sem) Ph.D in Library &amp; Information Science Regular REGULAR EXAMFORM_SE16</t>
  </si>
  <si>
    <t>ERROR TO REPORT GENERATE</t>
  </si>
  <si>
    <t>https://drive.google.com/open?id=1SPVWhNDSswl-n-zgHsdipTxSfdP5PpAY</t>
  </si>
  <si>
    <t>5101</t>
  </si>
  <si>
    <t>Upshastri marksheet not downloading SE23</t>
  </si>
  <si>
    <t xml:space="preserve">COURSE </t>
  </si>
  <si>
    <t xml:space="preserve">RE-APPEAR STUDENTS SGPA SHOW PLEASE REMOVE </t>
  </si>
  <si>
    <t>5102</t>
  </si>
  <si>
    <t>https://drive.google.com/open?id=1hb36yb24gxNyHVyf9Lyb7Kjo1gAbqk7c</t>
  </si>
  <si>
    <t>Marksheet cumulative nep major minor</t>
  </si>
  <si>
    <t>DUPLICATE FEILD REMOVE</t>
  </si>
  <si>
    <t>5103</t>
  </si>
  <si>
    <t>https://drive.google.com/open?id=1iJwQfjtymOgmHQoZ-5ZM--YEjOXOC4vJ</t>
  </si>
  <si>
    <t>Multiple Report</t>
  </si>
  <si>
    <t>5104</t>
  </si>
  <si>
    <t>https://drive.google.com/open?id=1EulZzM0rOJ9MC284BfOsTugymjOyI0x5</t>
  </si>
  <si>
    <t>5105</t>
  </si>
  <si>
    <t>TR not download</t>
  </si>
  <si>
    <t>https://drive.google.com/open?id=1SVdzFYj_upWdlwYly-am0eNfh7jWGHYj</t>
  </si>
  <si>
    <t>5106</t>
  </si>
  <si>
    <t>TR.....&amp; ALL REPORTS</t>
  </si>
  <si>
    <t>5107</t>
  </si>
  <si>
    <t>TR.....&amp; all reports</t>
  </si>
  <si>
    <t xml:space="preserve">Please update the student result status in TR </t>
  </si>
  <si>
    <t>https://drive.google.com/open?id=1oYpl9O17uhpSqivF7osz86umWxoMZCD6</t>
  </si>
  <si>
    <t>5108</t>
  </si>
  <si>
    <t>Mark Entry</t>
  </si>
  <si>
    <t>Update the Press Release as per TR</t>
  </si>
  <si>
    <t>https://drive.google.com/open?id=1FhIfXigVDj1iDBEiXlVbNliWPuSr7aAx</t>
  </si>
  <si>
    <t>5109</t>
  </si>
  <si>
    <t>As per the previous</t>
  </si>
  <si>
    <t>Please add the extension for the downloading. in Excel.
1. sessional marks missing report
2. practical marks missing report
3. theory marks missing report
add the one filed rollno</t>
  </si>
  <si>
    <t>5110</t>
  </si>
  <si>
    <t>RR ENROLLMENT FEES OVERALL</t>
  </si>
  <si>
    <t>https://drive.google.com/open?id=1XYxjhY0MssteWsu6u4Kvc6TQTw1y9-SP</t>
  </si>
  <si>
    <t>5111</t>
  </si>
  <si>
    <t xml:space="preserve">Please update the student details </t>
  </si>
  <si>
    <t xml:space="preserve">Pre Processing Error </t>
  </si>
  <si>
    <t>https://drive.google.com/open?id=1c7klg4rf1M68ihG7WynOsbCutIl1npKV</t>
  </si>
  <si>
    <t>5112</t>
  </si>
  <si>
    <t>Admit Card</t>
  </si>
  <si>
    <t>Date wise</t>
  </si>
  <si>
    <t>Duplicate students show and fee not show</t>
  </si>
  <si>
    <t>5113</t>
  </si>
  <si>
    <t>https://drive.google.com/open?id=19cUHDu9Bnw1ZM99xaqdf1nOS0k9ZGcKF</t>
  </si>
  <si>
    <t>5114</t>
  </si>
  <si>
    <t>SEMESTER WISE</t>
  </si>
  <si>
    <t>Marks Sheet Old</t>
  </si>
  <si>
    <t>GRACE marks show Double</t>
  </si>
  <si>
    <t>B.C ROY</t>
  </si>
  <si>
    <t>https://drive.google.com/open?id=1iwMGvRkfE4nzQd3ikjqWKz013LpEp0U-</t>
  </si>
  <si>
    <t>5115</t>
  </si>
  <si>
    <t>admitcard</t>
  </si>
  <si>
    <t>CA/CIA MARK ENTRY report few subject SUBJECTQCODE blank show.</t>
  </si>
  <si>
    <t>tapas mazumdar</t>
  </si>
  <si>
    <t>mzu</t>
  </si>
  <si>
    <t>https://drive.google.com/open?id=1MgkT8jD99tTVwqW8G5RIGWy9ajhgydpk</t>
  </si>
  <si>
    <t>5116</t>
  </si>
  <si>
    <t>grade-card-nep</t>
  </si>
  <si>
    <t>pg, regular</t>
  </si>
  <si>
    <t>https://drive.google.com/open?id=1fLHloFKsOymcxGrHxJJvh_6pXQVtqbVu</t>
  </si>
  <si>
    <t>5117</t>
  </si>
  <si>
    <t>Regarding BA/BCom-6th Sem Practical/Sessional Award Sheet</t>
  </si>
  <si>
    <t>5118</t>
  </si>
  <si>
    <t>kamini thakur</t>
  </si>
  <si>
    <t>https://drive.google.com/open?id=1GWJMWyxuZHtamJZjzHuT73lzAImdtBeM</t>
  </si>
  <si>
    <t>5119</t>
  </si>
  <si>
    <t>Old marksheet report data not correcte please check as discus</t>
  </si>
  <si>
    <t>BE 03 SEM NEP MARKSHEET</t>
  </si>
  <si>
    <t xml:space="preserve">BE 03 SEM NEP MARKSHEET W-25 </t>
  </si>
  <si>
    <t>https://drive.google.com/open?id=1s3gDH9qR4GsOOUVGgLt4ezluYlwyGqXB</t>
  </si>
  <si>
    <t>5120</t>
  </si>
  <si>
    <t xml:space="preserve">M.A COURSE </t>
  </si>
  <si>
    <t xml:space="preserve">NEP COURSE TYPE(ONLY PG)
</t>
  </si>
  <si>
    <t>5121</t>
  </si>
  <si>
    <t>https://drive.google.com/open?id=1qZ7Q_4zNvE2KjDoa4mXjnp9oiQwNUKgW</t>
  </si>
  <si>
    <t>TR REPORT NEP</t>
  </si>
  <si>
    <t>5122</t>
  </si>
  <si>
    <t>TR REPORT NON-NEP</t>
  </si>
  <si>
    <t>amit yadu</t>
  </si>
  <si>
    <t>https://drive.google.com/open?id=13-Sp61Jfg1u7ryCUvbR-TuEwKdYsG-mZ</t>
  </si>
  <si>
    <t>5123</t>
  </si>
  <si>
    <t>quick sight anaylisys report</t>
  </si>
  <si>
    <t>course/college</t>
  </si>
  <si>
    <t>DESIGN UPDATION IN TR</t>
  </si>
  <si>
    <t>5124</t>
  </si>
  <si>
    <t>NURSING GRADE CARD</t>
  </si>
  <si>
    <t>https://drive.google.com/open?id=1Wfz3GE0fKZwAZn2U62OyQBguHou88EEX</t>
  </si>
  <si>
    <t>5125</t>
  </si>
  <si>
    <t>ADMITCARD</t>
  </si>
  <si>
    <t>Please correct the count center-wise.</t>
  </si>
  <si>
    <t>https://drive.google.com/open?id=1nkVrAJUqlDV3jJF1WkdqhyZZZNSO7vQS</t>
  </si>
  <si>
    <t>5126</t>
  </si>
  <si>
    <t>ROLL LIST</t>
  </si>
  <si>
    <t>ALL COURSE</t>
  </si>
  <si>
    <t>PRE PROCESS ERROR STEP NO-7</t>
  </si>
  <si>
    <t>5127</t>
  </si>
  <si>
    <t>The details of Total Credits, Grade Point Average, and Total Credit Earned will be available shortly. please update this mgs in student result section if any semester SGPA/AGPA missing</t>
  </si>
  <si>
    <t>https://drive.google.com/open?id=1o0PbB4_Gi-_5nQNf20h2jHpYH68L67UH</t>
  </si>
  <si>
    <t>5128</t>
  </si>
  <si>
    <t>jigyasa dewangan</t>
  </si>
  <si>
    <t>APSCHE</t>
  </si>
  <si>
    <t>https://drive.google.com/open?id=13i2TEzuueP5gKG77-0ur8u1HF4G7JYQo</t>
  </si>
  <si>
    <t>5129</t>
  </si>
  <si>
    <t>GAU BARCODE GENERATE</t>
  </si>
  <si>
    <t>app_id</t>
  </si>
  <si>
    <t>Add one more paramter portalcode (appid)</t>
  </si>
  <si>
    <t>jigyasadewangan@learningspiral.co.in</t>
  </si>
  <si>
    <t>https://drive.google.com/open?id=1NObAZjlbrRiWizSVhzJgw3jb_XDJjvtg</t>
  </si>
  <si>
    <t>5130</t>
  </si>
  <si>
    <t>5131</t>
  </si>
  <si>
    <t>roll list PG</t>
  </si>
  <si>
    <t xml:space="preserve">NEP UG &amp; PG ALL COURSE </t>
  </si>
  <si>
    <t xml:space="preserve">ONLY NEP TR </t>
  </si>
  <si>
    <t>https://drive.google.com/open?id=1ZU4a8WZtOjRpkyWyVYAuJOwrn341n839</t>
  </si>
  <si>
    <t>5132</t>
  </si>
  <si>
    <t>Old Marks sheet</t>
  </si>
  <si>
    <t>https://drive.google.com/open?id=1qxWxHR7jaCQwuzJXAfhuswxwct2K4vY_</t>
  </si>
  <si>
    <t>5133</t>
  </si>
  <si>
    <t>Attendance report</t>
  </si>
  <si>
    <t>3rd Semester</t>
  </si>
  <si>
    <t>Admit card update</t>
  </si>
  <si>
    <t>5134</t>
  </si>
  <si>
    <t>https://drive.google.com/open?id=1_aFETP-1_bhDpS-fxZJMjg93jcqYDuxg</t>
  </si>
  <si>
    <t>subject_wise_report_rsos</t>
  </si>
  <si>
    <t>5135</t>
  </si>
  <si>
    <t>Packet_Issue_Receive_Report.jasper</t>
  </si>
  <si>
    <t>3rd Year</t>
  </si>
  <si>
    <t>Admit Card update</t>
  </si>
  <si>
    <t>https://drive.google.com/open?id=15BjqcjunKc10ej95n92qPCIdmCx65NiQ</t>
  </si>
  <si>
    <t>5136</t>
  </si>
  <si>
    <t>Marksheet nep camulative Nep Major miner</t>
  </si>
  <si>
    <t>In continuation of this office earlier emails, on the subject cited above. The updated result as per cut list have not been received yet.   Therefore, it is requested to kindly check the subject cited result as per the cut-list and re-sent the same after correction, at the earliest, please</t>
  </si>
  <si>
    <t>5137</t>
  </si>
  <si>
    <t>In continuation of this office earlier emails, on the subject cited above. The updated result as per cut list have not been received yet. 
Therefore, it is requested to kindly check the subject cited result as per the cut-list and re-sent the same after correction, at the earliest, please</t>
  </si>
  <si>
    <t xml:space="preserve">CUT LIST </t>
  </si>
  <si>
    <t>https://drive.google.com/open?id=1T_C79TDQvD10II3789iBwo98N3SyixgJ</t>
  </si>
  <si>
    <t>5138</t>
  </si>
  <si>
    <t>TR PHD Nursing</t>
  </si>
  <si>
    <t>It is to inform you that 24L5.0-MDC-SKT- 301, 24L5.0-AEC-HIN-301, 24L5.0-AEC-SKT-301, 24L5.0-SEC- HIN-301 - SY01 and 24L5.0-MDC-SKT- 301, 24L5.0-AEC-HIN-301, 24L5.0-AEC-SKT-301, 24L5.0-SEC- HIN-301, 24L5.0-VAC-HIN-301 - SY-03, the subject have not shown properly in the scheme. Further, the scheme of SY-03 not mentioned in the TR.   Therefore, it is requested to do the needful and re-send the TR separately of SY-01 and SY-03, at the earliest, please.</t>
  </si>
  <si>
    <t>It is to inform you that 24L5.0-MDC-SKT- 301, 24L5.0-AEC-HIN-301, 24L5.0-AEC-SKT-301, 24L5.0-SEC- HIN-301 - SY01 and 24L5.0-MDC-SKT- 301, 24L5.0-AEC-HIN-301, 24L5.0-AEC-SKT-301, 24L5.0-SEC- HIN-301, 24L5.0-VAC-HIN-301 - SY-03, the subject have not shown properly in the scheme. Further, the scheme of SY-03 not mentioned in the TR. 
Therefore, it is requested to do the needful and re-send the TR separately of SY-01 and SY-03, at the earliest, please.</t>
  </si>
  <si>
    <t>5139</t>
  </si>
  <si>
    <t>MARKSHEET 4SEM</t>
  </si>
  <si>
    <t>https://drive.google.com/open?id=1jerQUns6tNRxxC7iC3Y0Er77qLCjDtVW</t>
  </si>
  <si>
    <t>5140</t>
  </si>
  <si>
    <t>Multiple Report:ICR marksheet: marksheet llb</t>
  </si>
  <si>
    <t>portalcode</t>
  </si>
  <si>
    <t>add one more parameter portalcode</t>
  </si>
  <si>
    <t>https://drive.google.com/open?id=1H3PEsszXZgnrlTQ9fo8depZF-Fy_hGIm</t>
  </si>
  <si>
    <t>5141</t>
  </si>
  <si>
    <t>gradecard</t>
  </si>
  <si>
    <t>Add portalcode parameter</t>
  </si>
  <si>
    <t>5142</t>
  </si>
  <si>
    <t>https://drive.google.com/open?id=1BJMKdjEgBeVEDnI8-7qosBFJUKXxUFQw</t>
  </si>
  <si>
    <t>5143</t>
  </si>
  <si>
    <t>SATISH KUMAR</t>
  </si>
  <si>
    <t>PG, R</t>
  </si>
  <si>
    <t>5144</t>
  </si>
  <si>
    <t xml:space="preserve">Akshay Jaltare </t>
  </si>
  <si>
    <t>https://drive.google.com/open?id=1oqwXGUdAn40Zv-jxxD6DXVQoU9zW_kay</t>
  </si>
  <si>
    <t>5145</t>
  </si>
  <si>
    <t>STUDENT_ATTENDANCE</t>
  </si>
  <si>
    <t xml:space="preserve">Report not generated </t>
  </si>
  <si>
    <t>https://drive.google.com/open?id=1X1chAQT8FVj2CZU5fpyyLR_gJbuYJUlz</t>
  </si>
  <si>
    <t>5146</t>
  </si>
  <si>
    <t>Se22</t>
  </si>
  <si>
    <t>Do ASAP</t>
  </si>
  <si>
    <t>5147</t>
  </si>
  <si>
    <t>TR NEW AGRICULTURE AND ALL</t>
  </si>
  <si>
    <t>SANTOSH TIWARI</t>
  </si>
  <si>
    <t>https://drive.google.com/open?id=1qCvHNVeov-u2Zj61X5-lkjZKa5wTXO_U</t>
  </si>
  <si>
    <t>5148</t>
  </si>
  <si>
    <t>2019-20 BATCHES BA COURSE MATHAMTICS SUBJECT NOT SHOWING UNIT PARTS IN DMC</t>
  </si>
  <si>
    <t xml:space="preserve">SUBJECT REPEAT SHOWING </t>
  </si>
  <si>
    <t>https://drive.google.com/open?id=1R3UEp81K3TN4kc2iOGSzzG8DOb3FqaA0</t>
  </si>
  <si>
    <t>5149</t>
  </si>
  <si>
    <t>santoshtiwari@learningspiral.co.in</t>
  </si>
  <si>
    <t>https://drive.google.com/open?id=1_kOd70_Ry1MIXU4mzsLST_nKDrHNa_4Z</t>
  </si>
  <si>
    <t>5150</t>
  </si>
  <si>
    <t xml:space="preserve">	Marksheet Paramedical 1009 - Narayan Paramedical Institute and Allied Sciences Third Semester ( 3rd Sem) UG Bachelor in Physiotherapy ( BPT) Back BACKLOG RE-APPEAR_SE16</t>
  </si>
  <si>
    <t>Transcript PG</t>
  </si>
  <si>
    <t xml:space="preserve">AB  VISIBLE IN 0 </t>
  </si>
  <si>
    <t>https://drive.google.com/open?id=17OyFLb1tw5zACsvsSC3HX7mXzhRtAB1c</t>
  </si>
  <si>
    <t>5151</t>
  </si>
  <si>
    <t>Marksheet LLB</t>
  </si>
  <si>
    <t>Jigyasa Dewangan</t>
  </si>
  <si>
    <t>https://drive.google.com/open?id=1X94-rTaaDLng7bEIUptGj34A_JTANLXk</t>
  </si>
  <si>
    <t>one more field add in report ( verifier_name )</t>
  </si>
  <si>
    <t xml:space="preserve">one more column add in report </t>
  </si>
  <si>
    <t>https://drive.google.com/open?id=1XqqmFOy4ZvRprjYYaeTAFn2lWEBUpTco</t>
  </si>
  <si>
    <t>5152</t>
  </si>
  <si>
    <t>NEP Marksheet</t>
  </si>
  <si>
    <t xml:space="preserve">SANSKRIT 1ST SEM </t>
  </si>
  <si>
    <t>FONT CHENGE</t>
  </si>
  <si>
    <t>https://drive.google.com/open?id=1SXAYscG50kPCFNDPTodyW53WkiEDtksZ</t>
  </si>
  <si>
    <t>5153</t>
  </si>
  <si>
    <t>OLD Marksheet</t>
  </si>
  <si>
    <t>https://drive.google.com/open?id=1SIpEYUhMe2c87rjVh1bDTYawg6TV6uEe</t>
  </si>
  <si>
    <t>5154</t>
  </si>
  <si>
    <t>TR Report</t>
  </si>
  <si>
    <t xml:space="preserve">NEP TR  SUMMARY </t>
  </si>
  <si>
    <t>SUMMARY  FONT CHENGE</t>
  </si>
  <si>
    <t>https://drive.google.com/open?id=1RenJH0Me94Dxb-U_K281FmsKOpEe5iSl</t>
  </si>
  <si>
    <t>5155</t>
  </si>
  <si>
    <t>Marksheet LLB(Absorption)</t>
  </si>
  <si>
    <t>5156</t>
  </si>
  <si>
    <t>MISCELLEROUS REPORT IN FILED ADD</t>
  </si>
  <si>
    <t>B.C.ROY</t>
  </si>
  <si>
    <t>https://drive.google.com/open?id=1uctxRS9AKRYm0u80CCUX9ZpMtVpaH-FH</t>
  </si>
  <si>
    <t>5157</t>
  </si>
  <si>
    <t>Student Checklist</t>
  </si>
  <si>
    <t xml:space="preserve">TR00000115 - if student fail in sessional then student result status X . </t>
  </si>
  <si>
    <t>https://drive.google.com/open?id=1_yFnGvQA67BbdBtfaigA7EHx8GjkDu_S</t>
  </si>
  <si>
    <t>5158</t>
  </si>
  <si>
    <t>session</t>
  </si>
  <si>
    <t>Add B.ed students two extra feild that is Theory Total and Practical Total obtained (Urgent Need)</t>
  </si>
  <si>
    <t>5159</t>
  </si>
  <si>
    <t>ATTENDANCE (AR/DR)</t>
  </si>
  <si>
    <t>Rakesh kumar</t>
  </si>
  <si>
    <t>HYU , DURG</t>
  </si>
  <si>
    <t>https://drive.google.com/open?id=1NFK0EZRgDfu453X36P8SpjZlLB3yxZnr</t>
  </si>
  <si>
    <t>5160</t>
  </si>
  <si>
    <t>TOP SHEET (BEFORE)</t>
  </si>
  <si>
    <t>TR - TR semester (NEW)</t>
  </si>
  <si>
    <t>Deleted students should also appear and count in the TR. Deleted students should be shown with the date their results were canceled.</t>
  </si>
  <si>
    <t>https://drive.google.com/open?id=1ddfYXBATvhpyo5AnXsPD0vd5OEF56XJa</t>
  </si>
  <si>
    <t>5161</t>
  </si>
  <si>
    <t>PREVIOUS</t>
  </si>
  <si>
    <t>rakeshkumar330@gmail.com</t>
  </si>
  <si>
    <t>https://drive.google.com/open?id=1VtajuIhf_B7PIxyoN4baW1vbz2XKXqRz</t>
  </si>
  <si>
    <t>5162</t>
  </si>
  <si>
    <t xml:space="preserve">	Grade Card for IT Onwards 2023 First Semester ( 1st Sem) 1008 - Faculty of Information Technology &amp; Engineering B.Tech in AI and ML ( AIML) Regular REGULAR EXAMFORM_SE16</t>
  </si>
  <si>
    <t>PLEASE CHECK THE ROLL NO.. IT'S HIDE BY THE PHOTO</t>
  </si>
  <si>
    <t>5163</t>
  </si>
  <si>
    <t>Seat Allotment Paper List/DATE WISE SUBJECT LIST</t>
  </si>
  <si>
    <t>https://drive.google.com/open?id=1_O8Ei3dgSkzqPNvLEOMh9YaIODRiIvjw</t>
  </si>
  <si>
    <t>5164</t>
  </si>
  <si>
    <t>DESK SLIP</t>
  </si>
  <si>
    <t xml:space="preserve"> publication date to current date change</t>
  </si>
  <si>
    <t>https://drive.google.com/open?id=1TtUVcU9MS_DS905Eu_uODrJx9YdH9Z8i</t>
  </si>
  <si>
    <t>5165</t>
  </si>
  <si>
    <t>Marks Sheet</t>
  </si>
  <si>
    <t>https://drive.google.com/open?id=1FbIaZypcHM4k3vjF2ek-lP2OAs09Roon</t>
  </si>
  <si>
    <t>5166</t>
  </si>
  <si>
    <t>5167</t>
  </si>
  <si>
    <t xml:space="preserve">	GRADE CARD AGRICULTURE First Semester ( 1st Sem) 1010 - Narayan Institute of Agricultural Sciences PG M.Sc. Horticulture in Vegetable Science ( M.sc. Vegetable Science) Regular REGULAR EXAMFORM_SE16</t>
  </si>
  <si>
    <t>KINDLY SET THE SATISFACTORY PAPER FROM SUBJTYPE</t>
  </si>
  <si>
    <t>https://drive.google.com/open?id=1Fj8Apt_eUkoIZj_RtV7UrI53wm5tMZBJ</t>
  </si>
  <si>
    <t>5168</t>
  </si>
  <si>
    <t>NEP UG TR COLLEGEWISE</t>
  </si>
  <si>
    <t>KINDLY CORRECTION TH TO THEORY</t>
  </si>
  <si>
    <t>https://drive.google.com/open?id=1Mi1aUdOVX-vIXSuTDpDPi3ZFmtMwtr5g</t>
  </si>
  <si>
    <t>5169</t>
  </si>
  <si>
    <t>1st year</t>
  </si>
  <si>
    <t>correction in the  supplementary marksheet.</t>
  </si>
  <si>
    <t>5170</t>
  </si>
  <si>
    <t>NEP M.A HISTRIY ADMIT CARD ERROR SOLVED</t>
  </si>
  <si>
    <t>https://drive.google.com/open?id=1MMc_ML-RhPkxRd-qwefqgJgnFwIYtbLB</t>
  </si>
  <si>
    <t>5171</t>
  </si>
  <si>
    <t>Upshastri 1st year</t>
  </si>
  <si>
    <t>Praveen Singh</t>
  </si>
  <si>
    <t>https://drive.google.com/open?id=1B5leeHuN1nukIKtNzu2Srgw7m7Xfh801</t>
  </si>
  <si>
    <t>5172</t>
  </si>
  <si>
    <t>ppr/pps report</t>
  </si>
  <si>
    <t xml:space="preserve">SMO3,BA </t>
  </si>
  <si>
    <t>do correction as per the attached file</t>
  </si>
  <si>
    <t>5173</t>
  </si>
  <si>
    <t>praveensingh@learningspiral.co.in</t>
  </si>
  <si>
    <t xml:space="preserve">SGBAU Amravati </t>
  </si>
  <si>
    <t>https://drive.google.com/open?id=1rD3ZJJLlyiYn018d09If7dE6wny1pKkv</t>
  </si>
  <si>
    <t>5174</t>
  </si>
  <si>
    <t xml:space="preserve">All sessions </t>
  </si>
  <si>
    <t xml:space="preserve">Multiple Report </t>
  </si>
  <si>
    <t>https://drive.google.com/open?id=1oFI_g2czQrJ_TJLZCheOJfXFQDfWqhqq</t>
  </si>
  <si>
    <t>5175</t>
  </si>
  <si>
    <t>https://drive.google.com/open?id=1s4CYPX6DHHQzxbfotZU3Ku8VFufRhdli</t>
  </si>
  <si>
    <t>5176</t>
  </si>
  <si>
    <t>Tr hosting ug nep tr</t>
  </si>
  <si>
    <t>5177</t>
  </si>
  <si>
    <t>Please indicate the failed subject marks in red color.</t>
  </si>
  <si>
    <t>https://drive.google.com/open?id=18BaJx8-vgxG3mBXpcUHVy9UK-u8vAYsS</t>
  </si>
  <si>
    <t>5178</t>
  </si>
  <si>
    <t>ADMIT CARD ROLL WISE</t>
  </si>
  <si>
    <t>Grade Card for IT Onwards 2023 First Semester ( 1st Sem) 1008 - Faculty of Information Technology &amp; Engineering Bachelor of Computer Application (Data Science &amp; Artificial Intelligence) ( BCA (DS &amp; AI)) Regular REGULAR EXAMFORM_SE16</t>
  </si>
  <si>
    <t>KINDLY CHECK THE REPORT</t>
  </si>
  <si>
    <t>5179</t>
  </si>
  <si>
    <t>Schedule IV</t>
  </si>
  <si>
    <t>https://drive.google.com/open?id=1jAY_nm8aicDIvMvgNc1a5uNbW4lvCriX</t>
  </si>
  <si>
    <t>5180</t>
  </si>
  <si>
    <t>packet upload report.</t>
  </si>
  <si>
    <t>sem/course/coll</t>
  </si>
  <si>
    <t xml:space="preserve">New logo updation in all reports at NEP all courses </t>
  </si>
  <si>
    <t>https://drive.google.com/open?id=1Sj6_FivZiK1CLkP5T3vAloQlGEgTjBWe</t>
  </si>
  <si>
    <t>5181</t>
  </si>
  <si>
    <t>M.COM HONS 6TH SEM NEW GRADING MARKSHEET ERROR SOLVED</t>
  </si>
  <si>
    <t>semester/course/coll</t>
  </si>
  <si>
    <t>New logo updation in all reports at NON-NEP courses</t>
  </si>
  <si>
    <t>5182</t>
  </si>
  <si>
    <t>https://drive.google.com/open?id=1WblKGC8Ul21cCWGHqlul29FYl4vxYDum</t>
  </si>
  <si>
    <t>5183</t>
  </si>
  <si>
    <t>Grade Card (OTHERS)</t>
  </si>
  <si>
    <t>Please check P3 Marks entry not show.</t>
  </si>
  <si>
    <t>https://drive.google.com/open?id=1E8JIjyNe7LXJTn2UWAE-Ph0Hh5zmuAgc</t>
  </si>
  <si>
    <t>5184</t>
  </si>
  <si>
    <t>Lable</t>
  </si>
  <si>
    <t>5185</t>
  </si>
  <si>
    <t>https://drive.google.com/open?id=1QRaPM-j0vHGwBjvaSIk4szdPcxJOsTZ1</t>
  </si>
  <si>
    <t>Mark sheet</t>
  </si>
  <si>
    <t>5186</t>
  </si>
  <si>
    <t>LABEL</t>
  </si>
  <si>
    <t>Please check and set report format</t>
  </si>
  <si>
    <t>https://drive.google.com/open?id=1ti0HeJ-SUBD8cBQfluTKK-ESUIGF-iQQ</t>
  </si>
  <si>
    <t>5187</t>
  </si>
  <si>
    <t>Attendance Register (DR-AR)</t>
  </si>
  <si>
    <t>https://drive.google.com/open?id=1MJ1e0wrYX4BH0NUu24tu6Dl_YmtXAJjq</t>
  </si>
  <si>
    <t>5188</t>
  </si>
  <si>
    <t xml:space="preserve">	RR Report Over All First Semester ( Sem - 1)_SE19 update on te nep portal</t>
  </si>
  <si>
    <t>Report not downloading, Change in logic, Change in design</t>
  </si>
  <si>
    <t>5189</t>
  </si>
  <si>
    <t>Some parui</t>
  </si>
  <si>
    <t>https://drive.google.com/open?id=1vV9yDwJqEToMFh4OJCgLP1zFislzonEz</t>
  </si>
  <si>
    <t>5190</t>
  </si>
  <si>
    <t>Top sheet  before attendance sheet</t>
  </si>
  <si>
    <t>Previous same</t>
  </si>
  <si>
    <t>Discuss with Rup</t>
  </si>
  <si>
    <t>https://drive.google.com/open?id=1NYd9ozuPNyrk87Mdb88bMS7m2KtCIXtQ</t>
  </si>
  <si>
    <t>5191</t>
  </si>
  <si>
    <t>Top sheet  after attendance sheet</t>
  </si>
  <si>
    <t>5192</t>
  </si>
  <si>
    <t>LABLE</t>
  </si>
  <si>
    <t>SEM,COLLEGE, COURSE</t>
  </si>
  <si>
    <t>https://drive.google.com/open?id=1mLr7RxWLrpzfMBH85GBmeI7oNbbe_8ep</t>
  </si>
  <si>
    <t>5193</t>
  </si>
  <si>
    <t>BBA sem III NEP W-25 Marksheet Correction</t>
  </si>
  <si>
    <t xml:space="preserve">please do as per discussion </t>
  </si>
  <si>
    <t>5194</t>
  </si>
  <si>
    <t>College summary</t>
  </si>
  <si>
    <t>https://drive.google.com/open?id=1L-jWEo1CBXLImWutQwUNK0PfK_fSg8MB</t>
  </si>
  <si>
    <t>5195</t>
  </si>
  <si>
    <t>RE-APPEAR</t>
  </si>
  <si>
    <t>https://drive.google.com/open?id=1wcTt4FJgJNX7wObCdQWpEVjfFp0oNUga</t>
  </si>
  <si>
    <t>5196</t>
  </si>
  <si>
    <t>GRADE CARD OTHERS</t>
  </si>
  <si>
    <t>sem, course</t>
  </si>
  <si>
    <t>5197</t>
  </si>
  <si>
    <t>https://drive.google.com/open?id=1HNkfTlU1peXN09b_KX-2UHgZaFUZFkdH</t>
  </si>
  <si>
    <t xml:space="preserve">sem course </t>
  </si>
  <si>
    <t>5198</t>
  </si>
  <si>
    <t>TR NEP COLLEGE WISE</t>
  </si>
  <si>
    <t>https://drive.google.com/open?id=14T6wIoOen5ipCVQrIqM41vgLSdGALGxe</t>
  </si>
  <si>
    <t>5199</t>
  </si>
  <si>
    <t>BA/BCom-6th Sem Practical/Sessional Award Sheet Univ Regn.No Column is blank...plz check and resolve this</t>
  </si>
  <si>
    <t>https://drive.google.com/open?id=1iSXh4BR1LOs7Z-iIBe54oOdrYu-tgzuE</t>
  </si>
  <si>
    <t>5200</t>
  </si>
  <si>
    <t>P.G 4sem Attandance &amp; roll sheet correction Examination -2024 to Examination -2026</t>
  </si>
  <si>
    <t>5201</t>
  </si>
  <si>
    <t>grade card</t>
  </si>
  <si>
    <t>https://drive.google.com/open?id=1bZK9NJX-FpKrxbmtuvKneTZbQNRE_4ce</t>
  </si>
  <si>
    <t>5202</t>
  </si>
  <si>
    <t>The 'Student Type' dropdown needs a 'Combine' option.</t>
  </si>
  <si>
    <t>https://drive.google.com/open?id=1ktNqFINNgqhCnbN9Y72uadFBWlxdC0nT</t>
  </si>
  <si>
    <t>5203</t>
  </si>
  <si>
    <t>Admit Card (PG Section)</t>
  </si>
  <si>
    <t>5204</t>
  </si>
  <si>
    <t>https://drive.google.com/open?id=1RRSpY7YIk-dFWQ1IMsxCoj8u5VbIHKA0</t>
  </si>
  <si>
    <t>5205</t>
  </si>
  <si>
    <t>document report</t>
  </si>
  <si>
    <t>plaese check argent</t>
  </si>
  <si>
    <t xml:space="preserve">Old marksheet report data not correcte please check as discus </t>
  </si>
  <si>
    <t>https://drive.google.com/open?id=1NteFeBqdLshsl1HhaZbhigP5BZp_DyCt</t>
  </si>
  <si>
    <t>5206</t>
  </si>
  <si>
    <t>SEM/COURSE/COLL</t>
  </si>
  <si>
    <t>NEP TR STATUS NAHI AA RAHA THA</t>
  </si>
  <si>
    <t>5207</t>
  </si>
  <si>
    <t>Roll List (PG Section)</t>
  </si>
  <si>
    <t>https://drive.google.com/open?id=1wxb7vYlzsvK5TLyeHDHPmbjfznGD6c00</t>
  </si>
  <si>
    <t>5208</t>
  </si>
  <si>
    <t>admit cad corretion</t>
  </si>
  <si>
    <t>https://drive.google.com/open?id=1ghPVcm1UWsC5dL5ZkEyOElXBD3krtkDp</t>
  </si>
  <si>
    <t>5209</t>
  </si>
  <si>
    <t>BBA/LLB COMBINE TR ME ROLL NO. WISE TR KA OPTION CHAIYE.</t>
  </si>
  <si>
    <t>5210</t>
  </si>
  <si>
    <t>packet wise marks entry report</t>
  </si>
  <si>
    <t>https://drive.google.com/open?id=1q95WLD2flcvjaxmuScQFrlK9g8saaKqj</t>
  </si>
  <si>
    <t>5211</t>
  </si>
  <si>
    <t>IS PATH ME ROLL WISE TR CHAIYE...</t>
  </si>
  <si>
    <t>https://drive.google.com/open?id=1wXSEmDOL63HOZsJFoXjFZQ_f-7Y0YKoO</t>
  </si>
  <si>
    <t>5212</t>
  </si>
  <si>
    <t>Examination Report</t>
  </si>
  <si>
    <t>5213</t>
  </si>
  <si>
    <t>Attestation Sheet</t>
  </si>
  <si>
    <t>please check and update</t>
  </si>
  <si>
    <t>5214</t>
  </si>
  <si>
    <t>seating plan report</t>
  </si>
  <si>
    <t>https://drive.google.com/open?id=1ag7j7Zz9cW_qGxBYUw4XPHQSCoSNfrjj</t>
  </si>
  <si>
    <t>5215</t>
  </si>
  <si>
    <t>admit card</t>
  </si>
  <si>
    <t xml:space="preserve">	NURSING GRADE CARD 1014 - Narayan Institute of Allied and Healthcare Sciences First Semester ( 1st Sem) UG Bachelor of Medical Laboratory Sciences ( BOMLS) Regular REGULAR EXAMFORM_SE16</t>
  </si>
  <si>
    <t xml:space="preserve">KINDLY ADJUST THE FORMAT </t>
  </si>
  <si>
    <t>https://drive.google.com/open?id=1wY3vL2yFPrQasNLNOWogoe-MKAKk2nsc</t>
  </si>
  <si>
    <t>5216</t>
  </si>
  <si>
    <t>Table Sticker</t>
  </si>
  <si>
    <t>https://drive.google.com/open?id=1gxlp6BP_0tCFkd_XuxUrtshPNfSJ4ZTm</t>
  </si>
  <si>
    <t>5217</t>
  </si>
  <si>
    <t>DISPATCH_CHALLAN</t>
  </si>
  <si>
    <t>5218</t>
  </si>
  <si>
    <t>Top sheet after attendance entry</t>
  </si>
  <si>
    <t>COURSE , SEMESTER</t>
  </si>
  <si>
    <t>https://drive.google.com/open?id=1IaINqfksowM3bd0pRPTDL00b2rkoOolb</t>
  </si>
  <si>
    <t>5219</t>
  </si>
  <si>
    <t>Top sheet before attendance sheet</t>
  </si>
  <si>
    <t xml:space="preserve">  </t>
  </si>
  <si>
    <t>https://drive.google.com/open?id=121wCuuAAVNeM5-IHFysJZOifqI6oc8iX</t>
  </si>
  <si>
    <t>5220</t>
  </si>
  <si>
    <t>B.Pharm 4th Semester Examination 2025 (II), Medicinal Chemistry I – Practical ( BP406P ) students marks missing. Session - 2024-25 (S),</t>
  </si>
  <si>
    <t>Documet Marksheet</t>
  </si>
  <si>
    <t>add</t>
  </si>
  <si>
    <t>https://drive.google.com/open?id=1QKBIzaFztfETfprl04zM2_ZVXyw_OR9u</t>
  </si>
  <si>
    <t>5221</t>
  </si>
  <si>
    <t>College wise</t>
  </si>
  <si>
    <t>https://drive.google.com/open?id=1G9cyLoM0IMf7J_XbxiSLY6dbUtRG1cfM</t>
  </si>
  <si>
    <t>5222</t>
  </si>
  <si>
    <t>COLLAGE WISE COURSE WILSE FORM LIVE</t>
  </si>
  <si>
    <t>5223</t>
  </si>
  <si>
    <t>CBCS EARN CREDIT REPORT</t>
  </si>
  <si>
    <t>college/course</t>
  </si>
  <si>
    <t>Please generate the qr sticker in the previous format using the following table details:
SELECT * FROM `gau_qrcode_generate`.`GAU_MDMS_aprail_2026`;</t>
  </si>
  <si>
    <t>https://drive.google.com/open?id=1YWyAcC2HsyoTOwlaPmdJXmweQXnDI43I</t>
  </si>
  <si>
    <t>5224</t>
  </si>
  <si>
    <t>Bachelor of Pharmacy (LATERAL ENTRY) 7th sem. report generated problem.</t>
  </si>
  <si>
    <t>Change in design, Other changes</t>
  </si>
  <si>
    <t>https://drive.google.com/open?id=1PYgEjp11qUdTb6Hc1JJL73HsNSQOoFPS</t>
  </si>
  <si>
    <t>5225</t>
  </si>
  <si>
    <t>Question Paper Packet slip Date Wise</t>
  </si>
  <si>
    <t>5226</t>
  </si>
  <si>
    <t>COURSE, SEM</t>
  </si>
  <si>
    <t>https://drive.google.com/open?id=1F2_TH_s967du_b6wA3JfB8RQR_UOklOy</t>
  </si>
  <si>
    <t>5227</t>
  </si>
  <si>
    <t>B.COM 1ST SEM REAPPEAR  DATA NOT SHOWN IN TR</t>
  </si>
  <si>
    <t xml:space="preserve">Please do </t>
  </si>
  <si>
    <t>https://drive.google.com/open?id=1U0cf45eLO6zem9ihvvjTjulHOAdoxxqJ</t>
  </si>
  <si>
    <t>5228</t>
  </si>
  <si>
    <t>pattern status report.</t>
  </si>
  <si>
    <t>5229</t>
  </si>
  <si>
    <t>correctuon in marksheet</t>
  </si>
  <si>
    <t xml:space="preserve">college </t>
  </si>
  <si>
    <t>Report not download please check and resolve as soon as</t>
  </si>
  <si>
    <t>EMP3148 Praveen Kaushik</t>
  </si>
  <si>
    <t>RSOS</t>
  </si>
  <si>
    <t>https://drive.google.com/open?id=1g7iIw7iHMOrvRHJKPROHgqOoUIdHUf7h</t>
  </si>
  <si>
    <t>5230</t>
  </si>
  <si>
    <t>5231</t>
  </si>
  <si>
    <t>exam_type</t>
  </si>
  <si>
    <t>done</t>
  </si>
  <si>
    <t>praveenkaushik@learningspiral.co.in</t>
  </si>
  <si>
    <t>https://drive.google.com/open?id=1L_VvIyYbic6PHxxluk80sJY--cPLXt95</t>
  </si>
  <si>
    <t>5232</t>
  </si>
  <si>
    <t>machine_id</t>
  </si>
  <si>
    <t>5233</t>
  </si>
  <si>
    <t>https://drive.google.com/open?id=1HkrqJ371EsDaSLmr2tuUwXqt9otRA32m</t>
  </si>
  <si>
    <t>5234</t>
  </si>
  <si>
    <t>Continuous Assesment Marks (PG Section)</t>
  </si>
  <si>
    <t>BSC,SMO3,WINTER25</t>
  </si>
  <si>
    <t>Change as per the attached screenshot</t>
  </si>
  <si>
    <t>deepak kayal</t>
  </si>
  <si>
    <t>https://drive.google.com/open?id=1qZxuTtQVC2z8lM_cSvcS2Gq4GB7VB9Pz</t>
  </si>
  <si>
    <t>5235</t>
  </si>
  <si>
    <t>NURSING &amp; PARAMEDICAL GRADE CARD 1014 - Narayan Institute of Allied and Healthcare Sciences First Semester ( 1st Sem) UG Bachelor of Medical Laboratory Sciences ( BOMLS) Regular REGULAR EXAMFORM_SE16</t>
  </si>
  <si>
    <t>PLEASE ADD THE CREDIT POINT S COLUMN</t>
  </si>
  <si>
    <t>https://drive.google.com/open?id=1P-wgYXuYjOnxeRlVtaM_GD_yJq7ACA8c</t>
  </si>
  <si>
    <t>5236</t>
  </si>
  <si>
    <t>DESPATCH CHALLAN</t>
  </si>
  <si>
    <t>5237</t>
  </si>
  <si>
    <t>https://drive.google.com/open?id=1dj8YMLLDG8YWwaTcmE6RFnyyLk9cGl88</t>
  </si>
  <si>
    <t>5238</t>
  </si>
  <si>
    <t>TR PHD Nursing PHD First Semester ( 1st Sem) Doctor of Philosophy in Nursing Regular REGULAR EXAMFORM_SE16</t>
  </si>
  <si>
    <t>PLEASE ADD DEAN SIGN AND PUBLIHSED DATE FORMAT</t>
  </si>
  <si>
    <t xml:space="preserve">	TR PHD Nursing</t>
  </si>
  <si>
    <t>https://drive.google.com/open?id=1V2x2cfkLF6VG0XEhiY0saptmDuhUMewf</t>
  </si>
  <si>
    <t>5239</t>
  </si>
  <si>
    <t>DIWAKAR TIWARI</t>
  </si>
  <si>
    <t>https://drive.google.com/open?id=12oOcCPYsLlSJu8u82qNKKH43Fe5wRT-9</t>
  </si>
  <si>
    <t>5240</t>
  </si>
  <si>
    <t>https://drive.google.com/open?id=1zGerXLXf0plSloUA09O51gB5pzH6m5my</t>
  </si>
  <si>
    <t>5241</t>
  </si>
  <si>
    <t>5coltrsem8_bfa.</t>
  </si>
  <si>
    <t>diwakar.tiwari955@gmail.com</t>
  </si>
  <si>
    <t>Dhanshree kale</t>
  </si>
  <si>
    <t xml:space="preserve">SGBAU Amravati University </t>
  </si>
  <si>
    <t>https://drive.google.com/open?id=1FVZ6xiJvh58z_2xlkfNf8xQAkeDajN-O</t>
  </si>
  <si>
    <t>5242</t>
  </si>
  <si>
    <t>ATTENDENCE SHEET , MEMO REPORT , ADMIT CARD , CENTER WISE SUBJECT WISE STUDENTS DETALIS</t>
  </si>
  <si>
    <t>Se 23</t>
  </si>
  <si>
    <t xml:space="preserve">Please do ASAP </t>
  </si>
  <si>
    <t>https://drive.google.com/open?id=1jgUUWe9anY9iQtjyVGMQgbYgf69Gcp7h</t>
  </si>
  <si>
    <t>5243</t>
  </si>
  <si>
    <t>GRADECARD10</t>
  </si>
  <si>
    <t>Arpanalekhya Jana</t>
  </si>
  <si>
    <t>MCKV</t>
  </si>
  <si>
    <t>https://drive.google.com/open?id=1Q8mHr9Ue2993Z0d1oxG3Yv3JiG81WOnq</t>
  </si>
  <si>
    <t>5244</t>
  </si>
  <si>
    <t>TR (NURSING)</t>
  </si>
  <si>
    <t xml:space="preserve">slno </t>
  </si>
  <si>
    <t>arpanlekhyajana@learningspiral.co.in</t>
  </si>
  <si>
    <t>https://drive.google.com/open?id=1bF-7mZfqNZncq4cmgVq-pdma8gwyr0pP</t>
  </si>
  <si>
    <t>5245</t>
  </si>
  <si>
    <t>Marksheet B.Sc Nursing</t>
  </si>
  <si>
    <t>GRADE CARD AGRICULTURE First Semester ( 1st Sem) 1010 - Narayan Institute of Agricultural Sciences PG M.Sc. (Ag.) in Plant Pathology ( MPP) Regular REGULAR EXAMFORM_SE16</t>
  </si>
  <si>
    <t>REPORT NOT GENERATE</t>
  </si>
  <si>
    <t>PURNA KUMAR</t>
  </si>
  <si>
    <t>https://drive.google.com/open?id=1XV7-_Qu5x1wfy7It9cobXuPz6NurzAT_</t>
  </si>
  <si>
    <t>5246</t>
  </si>
  <si>
    <t>GRAND TOTAL</t>
  </si>
  <si>
    <t>GRAND TOTAL CORRECTION</t>
  </si>
  <si>
    <t>purna.ravi7@gmail.com</t>
  </si>
  <si>
    <t>https://drive.google.com/open?id=1PwX0RU0PB1hIKEjJudIKM6bFuu8nKzTz</t>
  </si>
  <si>
    <t>5247</t>
  </si>
  <si>
    <t xml:space="preserve">Course Title - Font Size </t>
  </si>
  <si>
    <t>cu</t>
  </si>
  <si>
    <t>5248</t>
  </si>
  <si>
    <t>https://drive.google.com/open?id=1oxEIfwLin85Ub3HyhqLa4NVkTabTcRnL</t>
  </si>
  <si>
    <t>STUDENT_ATTENDANCE report mobile no and admission year add.</t>
  </si>
  <si>
    <t>5249</t>
  </si>
  <si>
    <t>SHASTRI RESULT SHEET</t>
  </si>
  <si>
    <t>https://drive.google.com/open?id=1nlskHSreeuiWWZzFA7Ehs78RGY-L0gY5</t>
  </si>
  <si>
    <t>5250</t>
  </si>
  <si>
    <t>SHASTRI TR</t>
  </si>
  <si>
    <t>STUDENT_ATTENDANCE  report Select Report Type add pdf  for college and Select Report Type excel &amp; pdf add for admin.</t>
  </si>
  <si>
    <t xml:space="preserve">STUDENT_ATTENDANCE </t>
  </si>
  <si>
    <t>https://drive.google.com/open?id=1VQ5WGCad0Yg5rZNFca4fe9ts4vEQ3LKf</t>
  </si>
  <si>
    <t>5251</t>
  </si>
  <si>
    <t>REGISTRATION FORM</t>
  </si>
  <si>
    <t xml:space="preserve">	TR NEW AGRICULTURE Fourth Year ( 4th) BACKLOG Regular SUPPLY UG Bachelor of Medicine and Bachelor of Surgery_SE16</t>
  </si>
  <si>
    <t>Report not downloading, Change in design</t>
  </si>
  <si>
    <t>KINDLY CORRECT THE TR REPORT</t>
  </si>
  <si>
    <t xml:space="preserve">	TR NEW AGRICULTURE AND ALL</t>
  </si>
  <si>
    <t>https://drive.google.com/open?id=1B5rjSArg9tTQk_tvVKmwmH2fFLCHXLvy</t>
  </si>
  <si>
    <t>5252</t>
  </si>
  <si>
    <t>Template NEP</t>
  </si>
  <si>
    <t>DINESH KUMAR</t>
  </si>
  <si>
    <t>https://drive.google.com/open?id=19RAeOvxbl0KG_n8OvQD2Gfaq3sb9FL7a</t>
  </si>
  <si>
    <t>5253</t>
  </si>
  <si>
    <t>OLD REPORTS</t>
  </si>
  <si>
    <t>urgent</t>
  </si>
  <si>
    <t>https://drive.google.com/open?id=1PBjG5YRHISTf0PWvs9XbO8yQ59CUOQ6j</t>
  </si>
  <si>
    <t xml:space="preserve">	Marksheet MBBS New Format Fourth Year ( 4th) 1001 - Narayan Medical College &amp; Hospital Bachelor of Medicine and Bachelor of Surgery MBBS Regular BACKLOG SUPPLY_SE16</t>
  </si>
  <si>
    <t xml:space="preserve">KINDLY ADJUST  THE LINE </t>
  </si>
  <si>
    <t xml:space="preserve">	Marksheet MBBS New Format</t>
  </si>
  <si>
    <t>5254</t>
  </si>
  <si>
    <t>https://drive.google.com/open?id=1mkZYO8WrkXcKh3dKlxcIrwise1rZwgWq</t>
  </si>
  <si>
    <t>5255</t>
  </si>
  <si>
    <t>https://drive.google.com/open?id=1rpLlT_dfSN9NEpe2QEBDKwP4Q35VGRWc</t>
  </si>
  <si>
    <t xml:space="preserve">	Transcript PG Fourth Semester ( 4th Sem) PG Master of Science (Ag.) in Genetics &amp; Plant Breeding ( M.Sc.(Ag.)GPB)_SE15</t>
  </si>
  <si>
    <t>KINDLY UPDATE GRADE POINT</t>
  </si>
  <si>
    <t>5256</t>
  </si>
  <si>
    <t xml:space="preserve">Gayatri Gheware </t>
  </si>
  <si>
    <t xml:space="preserve">SGBAU University </t>
  </si>
  <si>
    <t>https://drive.google.com/open?id=1tomoLE2v3NYD5-S0Rf3RlZhz2j7AnRuQ</t>
  </si>
  <si>
    <t>5257</t>
  </si>
  <si>
    <t>https://drive.google.com/open?id=1fpqJVLvJbEBmHM-Vp-jdzrD3zLqK4Qpo</t>
  </si>
  <si>
    <t>5258</t>
  </si>
  <si>
    <t>https://drive.google.com/open?id=1plb1J7sOXvM0pTqeL4O02KY7iDVOqzbd</t>
  </si>
  <si>
    <t>AS PER THE PREVIUS</t>
  </si>
  <si>
    <t>Please check and update</t>
  </si>
  <si>
    <t>5259</t>
  </si>
  <si>
    <t>TR BCA Clg wise</t>
  </si>
  <si>
    <t>https://drive.google.com/open?id=1_RwDT9HADeLRWUbtTPZSrPkp8ZmmnSIC</t>
  </si>
  <si>
    <t>As per the previus</t>
  </si>
  <si>
    <t>5260</t>
  </si>
  <si>
    <t>Attendance Sheet First Semester ( Sem - 1) GCKN-103 - S.K. Govt. College, Kanwali (Rewari) PG undefined RE-APPEAR_SE03</t>
  </si>
  <si>
    <t>https://drive.google.com/open?id=1N1J3jaVlLyospJlENB6FHIkKOIgZW3QW</t>
  </si>
  <si>
    <t>5261</t>
  </si>
  <si>
    <t>please check the path i'm download the BAMS TR 12 but not download</t>
  </si>
  <si>
    <t>Mark Foil for Teacher</t>
  </si>
  <si>
    <t>https://drive.google.com/open?id=1aBx88B9kJPFS8Om0r7wtqPmTke8zigOK</t>
  </si>
  <si>
    <t>5262</t>
  </si>
  <si>
    <t>Marksheet old</t>
  </si>
  <si>
    <t>SE-24</t>
  </si>
  <si>
    <t xml:space="preserve">DO ASAP </t>
  </si>
  <si>
    <t>https://drive.google.com/open?id=1aApUAX2LoUpz64VC5kVhKvEyWbjTnn3M</t>
  </si>
  <si>
    <t>5263</t>
  </si>
  <si>
    <t>marksheet new</t>
  </si>
  <si>
    <t>https://drive.google.com/open?id=1B8-93kuWqrVl8NU3WZbW4OcFzKW9oxQO</t>
  </si>
  <si>
    <t>5264</t>
  </si>
  <si>
    <t xml:space="preserve">SESSION WISE RESULT SUMMARY </t>
  </si>
  <si>
    <t xml:space="preserve">MISCELLEROUS REPORT IN FILED ADD </t>
  </si>
  <si>
    <t>CU</t>
  </si>
  <si>
    <t>https://drive.google.com/open?id=1chRhgn57YtBeNKucXIoUa0h3Yoacs-YQ</t>
  </si>
  <si>
    <t>5265</t>
  </si>
  <si>
    <t>payment report</t>
  </si>
  <si>
    <t>SEM WISE</t>
  </si>
  <si>
    <t>1. REPORT NAME SHOE IN PDF COPY.
2. LOGO CHANGE.
3. COURSE NAME CHANGE.
4.COLLEGE CODE ADD.</t>
  </si>
  <si>
    <t>https://drive.google.com/open?id=1d58mqgq0EJRKdQ330eF4-9rx8EFYiyDc</t>
  </si>
  <si>
    <t>5266</t>
  </si>
  <si>
    <t>B.Pharm 4th Semester  Session - 2024-25 (S) TR correction.</t>
  </si>
  <si>
    <t xml:space="preserve">PREVIOUS </t>
  </si>
  <si>
    <t xml:space="preserve">MODIFICATION </t>
  </si>
  <si>
    <t>https://drive.google.com/open?id=1aWiLSX-720tlN6aDsO0sIOnpMoDuwW4h</t>
  </si>
  <si>
    <t>5267</t>
  </si>
  <si>
    <t>modification</t>
  </si>
  <si>
    <t>https://drive.google.com/open?id=1WQrI2wA0h44gaPLcZOjiNOaHnKROEUya</t>
  </si>
  <si>
    <t>5268</t>
  </si>
  <si>
    <t>MODIFICATION</t>
  </si>
  <si>
    <t>https://drive.google.com/open?id=1yCt_ko5aPYqBXUpC0RiQB1KVA0-UclJh</t>
  </si>
  <si>
    <t>5269</t>
  </si>
  <si>
    <t>https://drive.google.com/open?id=1br_a5rgR3YRDQ9EnGugn9ddh6cBb8w5w</t>
  </si>
  <si>
    <t>5270</t>
  </si>
  <si>
    <t>NEP DIGI LOCKER DATA CORRECTION</t>
  </si>
  <si>
    <t xml:space="preserve">subject unit name not show in panel </t>
  </si>
  <si>
    <t>https://drive.google.com/open?id=1WnRG4C05vLecV5OL5nRJtWssHwk4NkH5</t>
  </si>
  <si>
    <t>5271</t>
  </si>
  <si>
    <t>NAD</t>
  </si>
  <si>
    <t>Subject Wise List Second Semester ( 2nd Sem) 1008 - Faculty of Information Technology &amp; Engineering Bachelor of Computer Application ( BCA) RE-APPEAR_SE16</t>
  </si>
  <si>
    <t>PLEASE ADD A COLUMN FOR STUDENT COUNT</t>
  </si>
  <si>
    <t>https://drive.google.com/open?id=1G9T7-uYa_KcSYTVVIGytv_xICxzGuJ4v</t>
  </si>
  <si>
    <t>5272</t>
  </si>
  <si>
    <t>students data</t>
  </si>
  <si>
    <t>https://drive.google.com/open?id=1NBSIYH2BkBAVf_0Pfcx7fyHWm9q-dpVc</t>
  </si>
  <si>
    <t>5273</t>
  </si>
  <si>
    <t>Desk Slip Second Semester ( 2nd Sem) 1006 - Faculty of Commerce Master of Commerce ( M.Com) EXAMFORM_SE16</t>
  </si>
  <si>
    <t>P.G 2nd Sem Attendance Sheet Blank Session-2025-2027</t>
  </si>
  <si>
    <t xml:space="preserve">KINDLY VIEW THE EXAM STARTING DAY DATE </t>
  </si>
  <si>
    <t xml:space="preserve">	DESK SLIP</t>
  </si>
  <si>
    <t>https://drive.google.com/open?id=1YxsvXS0zYWop2f__Pet4J74K086Yy80e</t>
  </si>
  <si>
    <t>5274</t>
  </si>
  <si>
    <t>studnet subject mapping</t>
  </si>
  <si>
    <t xml:space="preserve">Course name font size decrease as per our discussion </t>
  </si>
  <si>
    <t>https://drive.google.com/open?id=1-HGVPDX27j-_0zVkn8z94YTcZv2XhNXe</t>
  </si>
  <si>
    <t>5275</t>
  </si>
  <si>
    <t>NEP DIGI LOCKER CORRECTION</t>
  </si>
  <si>
    <t>Please check the attached below and set the 15 student each page under TR 12</t>
  </si>
  <si>
    <t>https://drive.google.com/open?id=1Fc2daxeU76rfBnLir1MVOHCYdB3H3KuL</t>
  </si>
  <si>
    <t>5276</t>
  </si>
  <si>
    <t>TR PARAMEDICAL Old Logic</t>
  </si>
  <si>
    <t>please do as per discussion</t>
  </si>
  <si>
    <t>RAJIV SIRSAT</t>
  </si>
  <si>
    <t>https://drive.google.com/open?id=16m7IbJmdY71pex5vZKxA0pvFGlCCO0Uj</t>
  </si>
  <si>
    <t>5277</t>
  </si>
  <si>
    <t>packet_detail_report.jasper</t>
  </si>
  <si>
    <t>SESSIONWISE</t>
  </si>
  <si>
    <t>SOME SUBJECT MISSING IN RESULT STATISTICS FOR THE COLLEGE</t>
  </si>
  <si>
    <t>rajivsirsat@learningspiral.co.in</t>
  </si>
  <si>
    <t>https://drive.google.com/open?id=1uwJ2ETFc5D-X047Q0u6cC1-usSptfFtP</t>
  </si>
  <si>
    <t>5278</t>
  </si>
  <si>
    <t>Evaluation report anna.</t>
  </si>
  <si>
    <t xml:space="preserve">Course </t>
  </si>
  <si>
    <t>Please change the font type</t>
  </si>
  <si>
    <t>https://drive.google.com/open?id=1Z1DatcU84jUJfkhL5SXSRIrH6AHeculY</t>
  </si>
  <si>
    <t>5279</t>
  </si>
  <si>
    <t xml:space="preserve">NEP M.A HISTRIY ADMIT CARD ERROR SOLVED </t>
  </si>
  <si>
    <t>DO THE CORRECTION AS PER ATTACHEMNET</t>
  </si>
  <si>
    <t>https://drive.google.com/open?id=1ISO4Lbwu7AKoaeNCMVqtIdJ-ui2uvEUp</t>
  </si>
  <si>
    <t>5280</t>
  </si>
  <si>
    <t>Dhiraj Kumar</t>
  </si>
  <si>
    <t>https://drive.google.com/open?id=1u4vFsNmwPYrzNjxAbNWQnAExk_ftQbk0</t>
  </si>
  <si>
    <t>5281</t>
  </si>
  <si>
    <t>In TR Add grace Given  in Remarks section in Main TR and Grace Taken in prev. Exam  Re-appear TR (Urgent)</t>
  </si>
  <si>
    <t>https://drive.google.com/open?id=1re6vAB33N7MUZ77KajsjJlFBSIBhANwn</t>
  </si>
  <si>
    <t>5282</t>
  </si>
  <si>
    <t>Manual_Cash_Counter</t>
  </si>
  <si>
    <t>ORDER_DATETIME   and PAYMENT_STATUS  fild add</t>
  </si>
  <si>
    <t>https://drive.google.com/open?id=1Iw0-nQcIC-r2sy9ohu7sutGeZuigOTBJ</t>
  </si>
  <si>
    <t>5283</t>
  </si>
  <si>
    <t>Studentwise Cash Counter</t>
  </si>
  <si>
    <t xml:space="preserve">Correction in attendance sheet </t>
  </si>
  <si>
    <t>https://drive.google.com/open?id=1OxcO-EihUpm1az3Df9SRn9GFyqxH1Hlr</t>
  </si>
  <si>
    <t>5284</t>
  </si>
  <si>
    <t>evaluation report anna.</t>
  </si>
  <si>
    <t xml:space="preserve">Please as per discussion </t>
  </si>
  <si>
    <t>5285</t>
  </si>
  <si>
    <t>https://drive.google.com/open?id=1JGtJiqMyJhM5cnYS4T23UKEXY8R-QFCD</t>
  </si>
  <si>
    <t>5286</t>
  </si>
  <si>
    <t>0221124004, 0221124005, 0221124006, 0221124007, 0221124008, 0221124009, 0221124011, 0221124013, 0221124018, 0221124021, 0221124025, 0221124037, 0221124028, 0221124030, 0221124032, 0221124036, 0221124040, 0221124045, 0221124047, 0221124048, 0221124049, 0221124051, 0221124052, 0221124053, 0221124059, 0221124062, 0221124065, 0221124066, 0221124068, 0221124069, 0221124070, 0221124078, 0221124079, 0221124080, 0221124084, 0221124085, 0221124086, 0221124089, 0221124090, 0221124092, 0221124093, 0221124094, 0221124097, 0221124098, 0221124100 in sab k marksheet m error hai, so please check and resolve as soon as possible.</t>
  </si>
  <si>
    <t xml:space="preserve">Akshata peraspure </t>
  </si>
  <si>
    <t xml:space="preserve">Sgbau amravati </t>
  </si>
  <si>
    <t>https://drive.google.com/open?id=12tihj6KfgPwQr-yPP7nnlB2DE_C6IxGy</t>
  </si>
  <si>
    <t>5287</t>
  </si>
  <si>
    <t>W25 S23</t>
  </si>
  <si>
    <t xml:space="preserve">Bpes tr alignment </t>
  </si>
  <si>
    <t xml:space="preserve">Tr hosting ug nep tr </t>
  </si>
  <si>
    <t>learningspiral543@gmail.com</t>
  </si>
  <si>
    <t>https://drive.google.com/open?id=17LqZCAtrz3p1Ag8-pKrwNQQ9CKdhEUQU</t>
  </si>
  <si>
    <t>5288</t>
  </si>
  <si>
    <t>5coltrsem6sem_elective_back_</t>
  </si>
  <si>
    <t>SEM/COURSE/COLLEGE</t>
  </si>
  <si>
    <t>Report not downloading, Other changes</t>
  </si>
  <si>
    <t>ADMIT CARD ME STATUS REMOVE KARNA HAI.</t>
  </si>
  <si>
    <t>https://drive.google.com/open?id=1Nnll1wvk89XTo9l3KQ6E932Y1Gemp7OS</t>
  </si>
  <si>
    <t>5289</t>
  </si>
  <si>
    <t>Marksheet (D.PHARMA)</t>
  </si>
  <si>
    <t>https://drive.google.com/open?id=1MJXRjdok2dD8dkIK4wktjuGUH4UAeVVs</t>
  </si>
  <si>
    <t>5290</t>
  </si>
  <si>
    <t>gradaecard4-btech</t>
  </si>
  <si>
    <t>SM/COURSE/COLLEGE</t>
  </si>
  <si>
    <t>5291</t>
  </si>
  <si>
    <t>ADMIT CARD ROLL WISE SE STATUS REMOVE KARNA HAI.</t>
  </si>
  <si>
    <t>Student wise form report</t>
  </si>
  <si>
    <t>https://drive.google.com/open?id=17s9qriSj0yKoJuUaD0k1SmBelOdjS-hK</t>
  </si>
  <si>
    <t>5292</t>
  </si>
  <si>
    <t>SESSION WISE RESULT SUMMARY</t>
  </si>
  <si>
    <t>gnsu</t>
  </si>
  <si>
    <t>https://drive.google.com/open?id=175H6SZAYboyuykgG6N8cVEMrQy_z6ih7</t>
  </si>
  <si>
    <t>5293</t>
  </si>
  <si>
    <t>Analytics Deshbord report</t>
  </si>
  <si>
    <t>Schedule IV Second Semester ( 2nd Sem) 1004 - Faculty of Management Studies Bachelor of Management Studies ( BMS) RE-APPEAR_SE16</t>
  </si>
  <si>
    <t>kindly fix the error report is blank</t>
  </si>
  <si>
    <t>Geetu verma</t>
  </si>
  <si>
    <t>https://drive.google.com/open?id=1PljJGMZB1DStVFvgtcu2hD72GjCoOD2M</t>
  </si>
  <si>
    <t>5294</t>
  </si>
  <si>
    <t>TR MBA 4th sem( With division )</t>
  </si>
  <si>
    <t>5295</t>
  </si>
  <si>
    <t>NAD DATA</t>
  </si>
  <si>
    <t>inst_id,exam_type.</t>
  </si>
  <si>
    <t>geetuverma@learningspiral.co.in</t>
  </si>
  <si>
    <t>https://drive.google.com/open?id=1aqW2iwtBDq1ntZthHSHFMAr2A7DPkqPm</t>
  </si>
  <si>
    <t>5296</t>
  </si>
  <si>
    <t>ATTESTATION SHEET</t>
  </si>
  <si>
    <t>DO THE CORRECTION AS PER ATTACHEMNT</t>
  </si>
  <si>
    <t>https://drive.google.com/open?id=1X7H719McFBsgUv8j6RJK3sNldcK6MPsl</t>
  </si>
  <si>
    <t>5297</t>
  </si>
  <si>
    <t>NAD data</t>
  </si>
  <si>
    <t>https://drive.google.com/open?id=1lF_TxNgznoQczRuoFR6inf4fk5J_qbRw</t>
  </si>
  <si>
    <t>5298</t>
  </si>
  <si>
    <t>Attendance Sheet PG &amp; PHD</t>
  </si>
  <si>
    <t xml:space="preserve">Please find the attached below BAMS mark sheet format, so please change the chart part under marksheet </t>
  </si>
  <si>
    <t>https://drive.google.com/open?id=11TUGxz6VS_e6cuMBT33jdf8Yfw6LgXDk</t>
  </si>
  <si>
    <t>5299</t>
  </si>
  <si>
    <t>Summary For PG/PHD</t>
  </si>
  <si>
    <t>https://drive.google.com/open?id=1cr6ZhjegjTbYbSjqh5daTDzTEY-VA_Cj</t>
  </si>
  <si>
    <t>5300</t>
  </si>
  <si>
    <t>Cover Page</t>
  </si>
  <si>
    <t xml:space="preserve">	Grade Card (OTHERS) First Semester ( 1st Sem) 1004 - Faculty of Management Studies Master of Business Administration ( MBA) Back BACKLOG RE-APPEAR_SE10</t>
  </si>
  <si>
    <t>REPORT NOT DOWNLOAD</t>
  </si>
  <si>
    <t xml:space="preserve">	Grade Card (OTHERS)</t>
  </si>
  <si>
    <t>5301</t>
  </si>
  <si>
    <t>Analysis report</t>
  </si>
  <si>
    <t>https://drive.google.com/open?id=1TcN-U4cw0Bi2Dx8EjCjemRQdmbIFYaF3</t>
  </si>
  <si>
    <t>5302</t>
  </si>
  <si>
    <t>Analytics report</t>
  </si>
  <si>
    <t>1.For EXAMINATION NAME permitter add. 
2. logo size small.
3.1sheet 10 student show..
4.textual change.</t>
  </si>
  <si>
    <t>https://drive.google.com/open?id=1XY_Ql-XbUPp8qtQZX4JJoQz0eqZoX8jH</t>
  </si>
  <si>
    <t>5303</t>
  </si>
  <si>
    <t>otal Student and all matrix count mismatch Eg:999 College</t>
  </si>
  <si>
    <t>Please check Theory paper serial no. change B. Pharma 3rd Semester</t>
  </si>
  <si>
    <t>https://drive.google.com/open?id=12snEKRxCST1nNuv4lv6Y-INn_isxG_jd</t>
  </si>
  <si>
    <t>5304</t>
  </si>
  <si>
    <t>https://drive.google.com/open?id=1QaMnXb3W-Tgupki5HT15aXcanh7rOI5m</t>
  </si>
  <si>
    <t>5305</t>
  </si>
  <si>
    <t>fee details</t>
  </si>
  <si>
    <t>1.LOGO ADD.
2. textual change .
3. 2 label show in 1 page.</t>
  </si>
  <si>
    <t xml:space="preserve">LABEL </t>
  </si>
  <si>
    <t>https://drive.google.com/open?id=1Tz8DOoQBNA-vQbS42iR5_O962wbh4RSe</t>
  </si>
  <si>
    <t>5306</t>
  </si>
  <si>
    <t>DIGI LOKER Data new</t>
  </si>
  <si>
    <t>previous and For Venue Name new parameter add</t>
  </si>
  <si>
    <t>1.(For lnvigilator /Centre-in-charge) add before photo.
2.report name add.</t>
  </si>
  <si>
    <t>5307</t>
  </si>
  <si>
    <t>TR BCA</t>
  </si>
  <si>
    <t>https://drive.google.com/open?id=18cEjEpXhbqTT4nJgqJaTPOo9RlKkt2N3</t>
  </si>
  <si>
    <t>5308</t>
  </si>
  <si>
    <t>1. textual change mention in Sample update.</t>
  </si>
  <si>
    <t>https://drive.google.com/open?id=10U6htc0gL1R_07hzHBvHPJmjURHhl8Tk</t>
  </si>
  <si>
    <t>5309</t>
  </si>
  <si>
    <t xml:space="preserve">1. instruction qr add in admit </t>
  </si>
  <si>
    <t>https://drive.google.com/open?id=1tHWs_BYlmrRR8fILyT1-jr06z_REXULI</t>
  </si>
  <si>
    <t>5310</t>
  </si>
  <si>
    <t>TR/Result hosting -new cbcs tr</t>
  </si>
  <si>
    <t>1.course name add in box.
2. report file name change</t>
  </si>
  <si>
    <t>https://drive.google.com/open?id=1JobG9r1MWKQu5aYAZ_a6d9_0hTHz9cL_</t>
  </si>
  <si>
    <t>5311</t>
  </si>
  <si>
    <t>nad</t>
  </si>
  <si>
    <t>5312</t>
  </si>
  <si>
    <t>tr result new</t>
  </si>
  <si>
    <t>1. course name add in box.
2. report file change.</t>
  </si>
  <si>
    <t>https://drive.google.com/open?id=1m7WuveyULyaxlvDCGqWtwmzrgZ2nyGXm</t>
  </si>
  <si>
    <t>5313</t>
  </si>
  <si>
    <t>Exam Programme</t>
  </si>
  <si>
    <t>1. text layout brake.</t>
  </si>
  <si>
    <t>5314</t>
  </si>
  <si>
    <t>student data</t>
  </si>
  <si>
    <t>https://drive.google.com/open?id=104UUYvO8uYsvM0619Op_Hl64VupU6MS4</t>
  </si>
  <si>
    <t>5315</t>
  </si>
  <si>
    <t>Result Datils</t>
  </si>
  <si>
    <t>SE-23</t>
  </si>
  <si>
    <t xml:space="preserve">BBA sem III NEP W-25 Marksheet Correction </t>
  </si>
  <si>
    <t>5316</t>
  </si>
  <si>
    <t>https://drive.google.com/open?id=1O5-8HbLwqaAWFUG_x2rw-uwSXmzEhOK1</t>
  </si>
  <si>
    <t>mark entery  report</t>
  </si>
  <si>
    <t>https://drive.google.com/open?id=1pw9XcKA7YsVy0Ew_KGD9UfCbvs8SmsEi</t>
  </si>
  <si>
    <t>5317</t>
  </si>
  <si>
    <t>TR PARAMEDICAL NEW LOGIC</t>
  </si>
  <si>
    <t>5318</t>
  </si>
  <si>
    <t>Multiple Report (Transcript)</t>
  </si>
  <si>
    <t>College summry</t>
  </si>
  <si>
    <t>1. logo modification.
2. report name show in pdf</t>
  </si>
  <si>
    <t>https://drive.google.com/open?id=11zmlv3IQlJVUp0y76uOzOlINKMlEQx9O</t>
  </si>
  <si>
    <t>5319</t>
  </si>
  <si>
    <t xml:space="preserve">1 exam typ backlog/ supply in report </t>
  </si>
  <si>
    <t>https://drive.google.com/open?id=1PNCUxfD9qktUWqsyNnS9uDQ5qKNABONJ</t>
  </si>
  <si>
    <t>5320</t>
  </si>
  <si>
    <t>Analysis</t>
  </si>
  <si>
    <t>GRADE CARD OHTERS/1ST SEM /SE10/</t>
  </si>
  <si>
    <t xml:space="preserve">KINDLY FIND OUT THE ERROR </t>
  </si>
  <si>
    <t>5321</t>
  </si>
  <si>
    <t>https://drive.google.com/open?id=1YPzfwrUc08yJo2Zh57y-sAczWXSNfyex</t>
  </si>
  <si>
    <t>5322</t>
  </si>
  <si>
    <t>SE23</t>
  </si>
  <si>
    <t xml:space="preserve">Heading Stream Mai aana chaiye </t>
  </si>
  <si>
    <t>https://drive.google.com/open?id=1xFUULpRMBEJOkSsm33GDvE1gpZ_mWA4P</t>
  </si>
  <si>
    <t>5323</t>
  </si>
  <si>
    <t>TR AGRICULTURE 1st To 8th sem supply</t>
  </si>
  <si>
    <t>5324</t>
  </si>
  <si>
    <t>OLD DMC REPORT</t>
  </si>
  <si>
    <t>https://drive.google.com/open?id=1xN3bObJBuiJglbkfK1foywvxBJPWJZ9E</t>
  </si>
  <si>
    <t>5325</t>
  </si>
  <si>
    <t>REVEL</t>
  </si>
  <si>
    <t>FULL SUMMARY REPORT NOT COMMING ON TR</t>
  </si>
  <si>
    <t>5326</t>
  </si>
  <si>
    <t>Attendance Sheet Re Appear HCEK-203 - Happy College of Education, Railway Station, Kosli (Rewari) Annual ( Annual) UG (B.ED(ADDI))-BACHELOR OF EDUCATION(additional)_SE22</t>
  </si>
  <si>
    <t>https://drive.google.com/open?id=1bBinTm8qIcT78x9KA7EK3_JL_IU-D2Mh</t>
  </si>
  <si>
    <t>5327</t>
  </si>
  <si>
    <t>Theory Attendance Sheet SCEM-188 - Saraswati College of Education, Majra Kalan, Mohindergarh Annual ( Annual) UG BACHELOR OF EDUCATION(additional) ( B.ED(ADDI))_SE22</t>
  </si>
  <si>
    <t>Transcript Fourth Semester ( 4th Sem) PG Master of Science (Ag.) in Genetics &amp; Plant Breeding_SE15</t>
  </si>
  <si>
    <t>KINDLY PREPARE AS PER CORRECTION IN SAMPLE, (SUBJECT CODE, CGPA, SATIFACTORY , DATE OF DECLARATION)</t>
  </si>
  <si>
    <t>Raghvendra jha</t>
  </si>
  <si>
    <t>LNMU</t>
  </si>
  <si>
    <t>https://drive.google.com/open?id=1Xz0wPLZLP4O8pNLUGSD5Iwv4COEs6Xea</t>
  </si>
  <si>
    <t>5328</t>
  </si>
  <si>
    <t>CBCS AND CGP 8th SEM (FINAL TR COMBINED) Eighth Semester ( Sem - 8) UG BACHELOR OF HOTEL MANAGEMENT &amp; CATERING TECHNOLOGY (B.H.M.C.T) ( B.H.M.C.T)_SE22</t>
  </si>
  <si>
    <t xml:space="preserve">semester </t>
  </si>
  <si>
    <t xml:space="preserve">Roll &amp; attendance sheet correction </t>
  </si>
  <si>
    <t>raghvendrajha@learningspiral.co.in</t>
  </si>
  <si>
    <t>https://drive.google.com/open?id=1Lltv5lQvuz21rm_2ND0HOX3yp27dVPPk</t>
  </si>
  <si>
    <t>5329</t>
  </si>
  <si>
    <t>MCA academic year  year over lapping.</t>
  </si>
  <si>
    <t>b.c roy</t>
  </si>
  <si>
    <t>5330</t>
  </si>
  <si>
    <t>B.ED ADDITIONAL ANNUAL ATTENDENCE SHEET  RESOLVED</t>
  </si>
  <si>
    <t>https://drive.google.com/open?id=1TSHqfhm-qBB_wzvtB8Yx9xbKrRQN1hU3</t>
  </si>
  <si>
    <t>5331</t>
  </si>
  <si>
    <t>Correction</t>
  </si>
  <si>
    <t>TR00000163 Failed: Report file was not generated. Please check report parameters and try again. show  grade card not generated.</t>
  </si>
  <si>
    <t>https://drive.google.com/open?id=1SRHTgCypeDBCMleZkDyON0juYsMsQe3o</t>
  </si>
  <si>
    <t>5332</t>
  </si>
  <si>
    <t>Same students double entry correction in TR</t>
  </si>
  <si>
    <t>course, sem</t>
  </si>
  <si>
    <t>Barun santra</t>
  </si>
  <si>
    <t>CUPG</t>
  </si>
  <si>
    <t>https://drive.google.com/open?id=1_6rOiM_b_xg0kIoJhfQgfylLd3G5wb0Q</t>
  </si>
  <si>
    <t>5333</t>
  </si>
  <si>
    <t>plaease update the fee report</t>
  </si>
  <si>
    <t>Previous all</t>
  </si>
  <si>
    <t>Discuss with rup</t>
  </si>
  <si>
    <t>santrabarun441@gmail.com</t>
  </si>
  <si>
    <t>https://drive.google.com/open?id=1XW21Y8NrwRz3ulwhr5MUCOvNThCBtiyy</t>
  </si>
  <si>
    <t>5334</t>
  </si>
  <si>
    <t>https://drive.google.com/open?id=1USJDL_4pPiePZC_2UtrbyQNN1YoQIO13</t>
  </si>
  <si>
    <t>5335</t>
  </si>
  <si>
    <t>https://drive.google.com/open?id=1XtZisEHoJuwryKp7-ddvLwSr2-MZEOFU</t>
  </si>
  <si>
    <t>5336</t>
  </si>
  <si>
    <t>Date Wise filter</t>
  </si>
  <si>
    <t>course , sem, colleage</t>
  </si>
  <si>
    <t>5337</t>
  </si>
  <si>
    <t>ALL PROVISIONAL FILES</t>
  </si>
  <si>
    <t xml:space="preserve">modification </t>
  </si>
  <si>
    <t>HEMANT UNIYAL</t>
  </si>
  <si>
    <t>VSU</t>
  </si>
  <si>
    <t>https://drive.google.com/open?id=1WsxbtjSPADEIJhwZXeL6VJLQmvfnVSV0</t>
  </si>
  <si>
    <t>5338</t>
  </si>
  <si>
    <t>Drop Down Selection</t>
  </si>
  <si>
    <t xml:space="preserve">collage wise </t>
  </si>
  <si>
    <t xml:space="preserve">add stamp </t>
  </si>
  <si>
    <t>hemantuniyal@learningspiral.co.in</t>
  </si>
  <si>
    <t>b.c.roy</t>
  </si>
  <si>
    <t>https://drive.google.com/open?id=1GqWOPTRM1DTTZTe32fD6OmLi-iIdrxgX</t>
  </si>
  <si>
    <t>5339</t>
  </si>
  <si>
    <t>Packet_Slip_Date_Wise</t>
  </si>
  <si>
    <t>if re-appear select then report file header show Attendance Sheet for Odd Semester Supplementary Examination 2025-26 .</t>
  </si>
  <si>
    <t>https://drive.google.com/open?id=1xQJ_ghRiT3ftJIHIpn4RMLP_QnDwro3Q</t>
  </si>
  <si>
    <t>5340</t>
  </si>
  <si>
    <t>TR-REPORT</t>
  </si>
  <si>
    <t>Please check and update the Packet Wise Marks Entry Report. Currently, only one mark is being displayed on one page, so please correct the report format accordingly.</t>
  </si>
  <si>
    <t>https://drive.google.com/open?id=1T1nDnmfwLQeBKAivGzbKBAmBexyfaYcO</t>
  </si>
  <si>
    <t>5341</t>
  </si>
  <si>
    <t>Annual TR is not displaying properly, so please check and update the report at the earliest.</t>
  </si>
  <si>
    <t>5342</t>
  </si>
  <si>
    <t>Merit List</t>
  </si>
  <si>
    <t>CET-B.Ed. Muzaffarpur</t>
  </si>
  <si>
    <t>https://drive.google.com/open?id=128ACTw-XIx9D0quKp06_0d3zQpJdh5rc</t>
  </si>
  <si>
    <t>5343</t>
  </si>
  <si>
    <t>Multiple Report Bcom MS</t>
  </si>
  <si>
    <t>Centre Wise</t>
  </si>
  <si>
    <t>Please do this its urgent</t>
  </si>
  <si>
    <t>https://drive.google.com/open?id=1R7VReuRoRODjsfCUDbJS5ZxXRPngMeGg</t>
  </si>
  <si>
    <t>5344</t>
  </si>
  <si>
    <t>GAU Attendancesheet</t>
  </si>
  <si>
    <t>Please check and update, double record display in the attestation sheet</t>
  </si>
  <si>
    <t>5345</t>
  </si>
  <si>
    <t>UG Attendance Sheet</t>
  </si>
  <si>
    <t>https://drive.google.com/open?id=1CyFg_JyTSqNbguER8KaM6B_TieMgchy8</t>
  </si>
  <si>
    <t>please update , duplicte report display in the seating plan report</t>
  </si>
  <si>
    <t>5346</t>
  </si>
  <si>
    <t>Summary For UG</t>
  </si>
  <si>
    <t>https://drive.google.com/open?id=1IiIIwAMGhevMCmDFpCmfDIiHvVCofFY3</t>
  </si>
  <si>
    <t>5347</t>
  </si>
  <si>
    <t>please update double record display in the admit card</t>
  </si>
  <si>
    <t>https://drive.google.com/open?id=1wdGVzZj9tg_nYsvLWH-nOdQMnxjKko1E</t>
  </si>
  <si>
    <t>5348</t>
  </si>
  <si>
    <t>inside Analysis report the fee detail is not working</t>
  </si>
  <si>
    <t xml:space="preserve">please do as per communication </t>
  </si>
  <si>
    <t>https://drive.google.com/open?id=1PML7UNtJMg8gAHErpFAq9-VDeNIzgkE2</t>
  </si>
  <si>
    <t>5349</t>
  </si>
  <si>
    <t>Challenge revaluation me RV show ho rha</t>
  </si>
  <si>
    <t>text add in report file in bold .</t>
  </si>
  <si>
    <t>https://drive.google.com/open?id=12wWd77QEpqUhUC4OTZCLK-oNKR9l6t9d</t>
  </si>
  <si>
    <t>5350</t>
  </si>
  <si>
    <t>Transcript</t>
  </si>
  <si>
    <t>after absent/ra submit and lock this report generate.</t>
  </si>
  <si>
    <t>5351</t>
  </si>
  <si>
    <t>https://drive.google.com/open?id=1YJmYQNx908UWUESPdTq-XtNFYRuMjlbH</t>
  </si>
  <si>
    <t>ATTANDANCE SHEET</t>
  </si>
  <si>
    <t>textual change in report file.</t>
  </si>
  <si>
    <t>5352</t>
  </si>
  <si>
    <t>https://drive.google.com/open?id=18-Fmj7QPQP-DHsutkEo48JqPVTrBAXcL</t>
  </si>
  <si>
    <t>5353</t>
  </si>
  <si>
    <t>4TH SEMESTER</t>
  </si>
  <si>
    <t>STUDENTS MARKS MISSING.</t>
  </si>
  <si>
    <t>https://drive.google.com/open?id=1N5e18Wxl_7iJj_tCEeR7Qfzdda4zB_g-</t>
  </si>
  <si>
    <t>5354</t>
  </si>
  <si>
    <t>Please update in scheme report for subject type, credits</t>
  </si>
  <si>
    <t>NON-COLLEGIATE KI JAGAH NON LIKHKAR AA RAHA B.A. 1ST SEM NEP ME.</t>
  </si>
  <si>
    <t>https://drive.google.com/open?id=1YtXraxtiqmBSKLkwCrOyWne3hGp77PyS</t>
  </si>
  <si>
    <t>5355</t>
  </si>
  <si>
    <t>TR LLB NEW</t>
  </si>
  <si>
    <t>hemant uniyal</t>
  </si>
  <si>
    <t>https://drive.google.com/open?id=13RJVZZgVZhM9gamEazlWMo9HIljTTFWh</t>
  </si>
  <si>
    <t>5356</t>
  </si>
  <si>
    <t>SAME AS</t>
  </si>
  <si>
    <t xml:space="preserve">PLEASE LOOK INTO THIS </t>
  </si>
  <si>
    <t>5357</t>
  </si>
  <si>
    <t>https://drive.google.com/open?id=1K_pYwJX-6nQO_XfvGod9UzImkFolQYRf</t>
  </si>
  <si>
    <t>5358</t>
  </si>
  <si>
    <t>PRE EXAM REPORT</t>
  </si>
  <si>
    <t>ADD COURSCD COLUMN AT NO 7 FROM LAST</t>
  </si>
  <si>
    <t>https://drive.google.com/open?id=1b_O6QMmj2Yy-PlgAQ7RBI6Unr92YT_ka</t>
  </si>
  <si>
    <t>5359</t>
  </si>
  <si>
    <t>TRANSCRIPT</t>
  </si>
  <si>
    <t>5360</t>
  </si>
  <si>
    <t xml:space="preserve">7th semester </t>
  </si>
  <si>
    <t>report generated problem.</t>
  </si>
  <si>
    <t>https://drive.google.com/open?id=143TGiieKZCBopproEaL-xwOTZIq55Zy3</t>
  </si>
  <si>
    <t>5361</t>
  </si>
  <si>
    <t>Grade Card</t>
  </si>
  <si>
    <t>Question Paper Packet Slip Date Wise EXAMFORM 2026-06-02_SE16</t>
  </si>
  <si>
    <t>Failed: Report file was not generated. Please check report parameters and try again.</t>
  </si>
  <si>
    <t>https://drive.google.com/open?id=1kmUnW55s4UW9HoJfIGVL_XMqIyDveJSX</t>
  </si>
  <si>
    <t>5362</t>
  </si>
  <si>
    <t xml:space="preserve">BE 08 SEM ETC BRANCH MARKSHEET </t>
  </si>
  <si>
    <t>BE 08 SEM ETC BRANCH MARKSHEET CORRECTION</t>
  </si>
  <si>
    <t>https://drive.google.com/open?id=1W1cXXAhTqAwDb9cDvQq3JIwqujhfigRP</t>
  </si>
  <si>
    <t>5363</t>
  </si>
  <si>
    <t>https://drive.google.com/open?id=1phG9Kf-BRKlAgNWXm-Ie82QOE6PqP7T_</t>
  </si>
  <si>
    <t>5364</t>
  </si>
  <si>
    <t>dvs</t>
  </si>
  <si>
    <t>https://drive.google.com/open?id=1xdt-BYayW9IJP0hGhE4itN2vi29rYgJ5</t>
  </si>
  <si>
    <t>5365</t>
  </si>
  <si>
    <t>https://drive.google.com/open?id=1VtcJpu2Ubdi-WpRGV5Qv6_C45PqQtcKp</t>
  </si>
  <si>
    <t>5366</t>
  </si>
  <si>
    <t>https://drive.google.com/open?id=1mQ1m3flEEAVwTNVSi0uQv2vSCpSpVt9W</t>
  </si>
  <si>
    <t>5367</t>
  </si>
  <si>
    <t>Please check and correct</t>
  </si>
  <si>
    <t>https://drive.google.com/open?id=1e2SAdlpsp20plL9wnVp-O2CdQ0gKmG_M</t>
  </si>
  <si>
    <t>5368</t>
  </si>
  <si>
    <t xml:space="preserve">	Admit Card 1010 - Narayan Institute of Agricultural Sciences Second Semester ( 2nd Sem) Bachelor of Fisheries Science ( B.Sc. Fisheries) EXAMFORM_SE16</t>
  </si>
  <si>
    <t>KINDLY CORRECT THE FONT SIZE</t>
  </si>
  <si>
    <t>https://drive.google.com/open?id=1hd6DkF38Vb7KskWO3AqXe_fsyJC9pxmR</t>
  </si>
  <si>
    <t>5369</t>
  </si>
  <si>
    <t xml:space="preserve">	Marksheet Paramedical 1009 - Narayan Paramedical Institute and Allied Sciences Sixth Semester ( 6th Sem) UG Bachelor of Science in Operation Theatre Technology ( BOTT) Regular REGULAR EXAMFORM_SE16</t>
  </si>
  <si>
    <t>UPDATE DIVISION AS PER FINAL SEM</t>
  </si>
  <si>
    <t>https://drive.google.com/open?id=1JQj35q39sUTWuOI70pi2I6GS48rLQq0K</t>
  </si>
  <si>
    <t>5370</t>
  </si>
  <si>
    <t xml:space="preserve">	GRADE CARD AGRICULTURE Fourth Semester ( 4th Sem) 1010 - Narayan Institute of Agricultural Sciences UG Bachelor of Science (Hons.) in Agriculture ( B.Sc.(Hons) Ag) Regular BACKLOG SUPPLY_SE11</t>
  </si>
  <si>
    <t>SET PAGE IN ONE PAGE</t>
  </si>
  <si>
    <t>https://drive.google.com/open?id=1gJnVdm-kdYnKXTBoIb1HT9gQJAdUj7ls</t>
  </si>
  <si>
    <t>5371</t>
  </si>
  <si>
    <t>MAR ENTRY</t>
  </si>
  <si>
    <t>https://drive.google.com/open?id=19uNIOUBgcp4ppB5mzkewdFLQicm-LhLe</t>
  </si>
  <si>
    <t>5372</t>
  </si>
  <si>
    <t>TR/HOSTING-UG NEP TR</t>
  </si>
  <si>
    <t>course, sem , paper</t>
  </si>
  <si>
    <t>https://drive.google.com/open?id=1PDcXRcuOQJ7GttmAj9EPHmBEzWHeOLHt</t>
  </si>
  <si>
    <t>5373</t>
  </si>
  <si>
    <t>5374</t>
  </si>
  <si>
    <t>TR HOSTING -UG NEP TR</t>
  </si>
  <si>
    <t>BCA Sem VI Reg TR S-26</t>
  </si>
  <si>
    <t xml:space="preserve">Report File Was Not generated </t>
  </si>
  <si>
    <t>https://drive.google.com/open?id=1cu-fMgkiq063_q4T9b6n_jA_UbXfIqQm</t>
  </si>
  <si>
    <t>5375</t>
  </si>
  <si>
    <t>Migration certificate 241741105043_SE22</t>
  </si>
  <si>
    <t>https://drive.google.com/open?id=1rgZGjHTmrVLaKFV6WnvyLiWvN6TFNH41</t>
  </si>
  <si>
    <t>5376</t>
  </si>
  <si>
    <t>DESPATCH CHALLAN separate generate  for ra student.</t>
  </si>
  <si>
    <t>TR report</t>
  </si>
  <si>
    <t>https://drive.google.com/open?id=1sa_veGDgCORLamw2lbovjzAVTU_0wY_V</t>
  </si>
  <si>
    <t xml:space="preserve">blank top sheet generate in below every date &amp; venue report.    </t>
  </si>
  <si>
    <t>5377</t>
  </si>
  <si>
    <t xml:space="preserve">Top sheet after attendance entry </t>
  </si>
  <si>
    <t>HIT</t>
  </si>
  <si>
    <t>https://drive.google.com/open?id=1R_9ZDN6ENrRV3QJwZR70nsKqHloFBZgR</t>
  </si>
  <si>
    <t xml:space="preserve">COURSE, SEM. </t>
  </si>
  <si>
    <t>https://drive.google.com/open?id=1FSS9K4RRCxdDsflT6H-qMdp22REOx92t</t>
  </si>
  <si>
    <t>5378</t>
  </si>
  <si>
    <t>TR NEW AGRICULTURE First Year ( 1st ) REGULAR Regular EXAMFORM UG Bachelor of Occupational Therapy_SE16</t>
  </si>
  <si>
    <t>KINDLY CORRECT THIS AS PER REMARK IN ATTACHED FILE</t>
  </si>
  <si>
    <t>CBLU , BHIWANI</t>
  </si>
  <si>
    <t>https://drive.google.com/open?id=1aqj_gi6AYtHNWs7gXkq6T4JucoERJZc_</t>
  </si>
  <si>
    <t>5379</t>
  </si>
  <si>
    <t>gradecard4_btech</t>
  </si>
  <si>
    <t>Examtype only show main Both main and re-appear</t>
  </si>
  <si>
    <t>5380</t>
  </si>
  <si>
    <t>https://drive.google.com/open?id=1A3aqL6QE9Bm1XbTdmVR35F3GNxQbeEjm</t>
  </si>
  <si>
    <t>ELECTIVE PAPER</t>
  </si>
  <si>
    <t>https://drive.google.com/open?id=1yQqsC7eUzmDQM9u4dEVWOSjeYt0e-KGe</t>
  </si>
  <si>
    <t>5381</t>
  </si>
  <si>
    <t>TR correction</t>
  </si>
  <si>
    <t>COURSE wise</t>
  </si>
  <si>
    <t>C000011 , C000012 , C000050 , C000118 , C000119 , C000075 , C000076 , C000074 all courses corsecd</t>
  </si>
  <si>
    <t>virendra kumar</t>
  </si>
  <si>
    <t>https://drive.google.com/open?id=1i5Hmv3oIvfO0KbBGxVLc3Vdp7maqJ0Kb</t>
  </si>
  <si>
    <t>5382</t>
  </si>
  <si>
    <t>Upshastri Controller  signature change</t>
  </si>
  <si>
    <t>GRADE CARD NOT SHOWING ON STUDENT PROTAL</t>
  </si>
  <si>
    <t>https://drive.google.com/open?id=1-yQ1hkrJfAAHQtI-uoy-1OTFu-_VOOmI</t>
  </si>
  <si>
    <t>5383</t>
  </si>
  <si>
    <t>Shastri Semester marksheet Correction</t>
  </si>
  <si>
    <t xml:space="preserve">	TR (NURSING) PG First Year ( 1st ) Master of Physiotherapy REGULAR Regular EXAMFORM_SE16</t>
  </si>
  <si>
    <t>KINDLY CHECK INTERNAL MARKS MISSING IN THE TR REPORT</t>
  </si>
  <si>
    <t xml:space="preserve">	TR (NURSING)</t>
  </si>
  <si>
    <t>https://drive.google.com/open?id=13cblh4xLxIQ4yLJTj4tSdhzbO-bkYWnI</t>
  </si>
  <si>
    <t>5384</t>
  </si>
  <si>
    <t>https://drive.google.com/open?id=1e9p8aZAS-e52MwULNUNBqab-nv7wMylE</t>
  </si>
  <si>
    <t xml:space="preserve">	Marksheet GNM_PBN_B.SC NURSING YEAR 1002 - Narayan Nursing College Second Year ( 2nd) UG Bachelor of Science in Nursing (Post Basic) ( Post Basic B.Sc. Nursing) Regular BACKLOG SUPPLY_SE16</t>
  </si>
  <si>
    <t>KINDLY CORRECT THE MARKSHEET</t>
  </si>
  <si>
    <t>https://drive.google.com/open?id=11lQAkawlnt5xWBBAl0pTlsqXdxvN60ID</t>
  </si>
  <si>
    <t>5385</t>
  </si>
  <si>
    <t>GRADE_CARD</t>
  </si>
  <si>
    <t>https://drive.google.com/open?id=1CbpYbDiFHceUOjQk4aDEur7EjbGV74b_</t>
  </si>
  <si>
    <t>5386</t>
  </si>
  <si>
    <t>TRS_REPORT</t>
  </si>
  <si>
    <t xml:space="preserve">KINDLY REMOVE COURSE SHOART NAME FORM HEADING.. AND SUBHEDAR SIZE DECREASE </t>
  </si>
  <si>
    <t>https://drive.google.com/open?id=1GQeEWTA1MtG3irE_fn7xjpAdhKRWxoGQ</t>
  </si>
  <si>
    <t>5387</t>
  </si>
  <si>
    <t>Hemant  uniyal</t>
  </si>
  <si>
    <t>vsu</t>
  </si>
  <si>
    <t>https://drive.google.com/open?id=1MJ75V5hB4C3IgKFlwKcAV6GiJOvLXBmo</t>
  </si>
  <si>
    <t>5388</t>
  </si>
  <si>
    <t>Provisional Certificate</t>
  </si>
  <si>
    <t>center</t>
  </si>
  <si>
    <t>plrase make it urgnet</t>
  </si>
  <si>
    <t xml:space="preserve">attendance sheet </t>
  </si>
  <si>
    <t>Hemant uniyal</t>
  </si>
  <si>
    <t>https://drive.google.com/open?id=1uFCMRsIcdMkSaMhTohSCrvRCxaRWM88i</t>
  </si>
  <si>
    <t>CENTER</t>
  </si>
  <si>
    <t>5389</t>
  </si>
  <si>
    <t>https://drive.google.com/open?id=1N-2lnyduhzVWQHYzBFdVlXM7Tuy2aA_V</t>
  </si>
  <si>
    <t>COUSRE</t>
  </si>
  <si>
    <t>5390</t>
  </si>
  <si>
    <t>Promotion Rule 
2nd to 3rd semester  including all paper 1 to 2nd semester 28 Creadit Earn 
4th to 5th Semester including all paper 1 to 4th semester  68 Creadit Earn 
6th to 7th Semester including all paper 1 to 5  semester  108 Creadit Earn</t>
  </si>
  <si>
    <t>https://drive.google.com/open?id=1qbDi6YtYd6QzXzLDAWMcHo7BrjVDFP_Z</t>
  </si>
  <si>
    <t>5391</t>
  </si>
  <si>
    <t>PG-SECTION Continuous Assesment Marks Report</t>
  </si>
  <si>
    <t>https://drive.google.com/open?id=1P5WYFDJZ6vXyuS1BzeDgE0x_iFtMYeTS</t>
  </si>
  <si>
    <t>5392</t>
  </si>
  <si>
    <t>PG-SECTION Marks Entry Mis-Match Report</t>
  </si>
  <si>
    <t>REGISTRATION FORM First Semester ( 1st Sem) 1004 - Faculty of Management Studies MASTER OF BUSINESS ADMINISTRATION ENROLLMENTFORM_SE16</t>
  </si>
  <si>
    <t>ERROR TO GENERATE REPORT</t>
  </si>
  <si>
    <t>Purna Kumar</t>
  </si>
  <si>
    <t>https://drive.google.com/open?id=1OD084f_FieGZ7rrQS9cH693AK-7pAPPz</t>
  </si>
  <si>
    <t>5393</t>
  </si>
  <si>
    <t>TEMPLETE NEP</t>
  </si>
  <si>
    <t>https://drive.google.com/open?id=1Q-8bUcgnHRp6XRLmHyiOpIA9iWCBN_NJ</t>
  </si>
  <si>
    <t>5394</t>
  </si>
  <si>
    <t>All marksheet scanner course name change as per discussion.</t>
  </si>
  <si>
    <t xml:space="preserve">W/N conditions In TR &amp; TR summary </t>
  </si>
  <si>
    <t>https://drive.google.com/open?id=1GoyY1zbD7w7Z1Tt6oeFEOz5tLxiydSuV</t>
  </si>
  <si>
    <t>5395</t>
  </si>
  <si>
    <t>https://drive.google.com/open?id=1Lck9pyCx-JRG-Mkpvocgfb7dIAmoi6-D</t>
  </si>
  <si>
    <t>5396</t>
  </si>
  <si>
    <t>TR pdf to excel convert all course all semester</t>
  </si>
  <si>
    <t>https://drive.google.com/open?id=1FHGLmKVTY8DeAu702QgUSp15cvAZmkao</t>
  </si>
  <si>
    <t>https://drive.google.com/open?id=1qrxQym0GZyHa0h-gOW0MoUgYyNL9nBJy</t>
  </si>
  <si>
    <t>5397</t>
  </si>
  <si>
    <t>gradecard4sem_ug_deploma</t>
  </si>
  <si>
    <t>https://drive.google.com/open?id=1OOHvna7qPfLtiLCm87Z7nTZUgURLxQnt</t>
  </si>
  <si>
    <t>5398</t>
  </si>
  <si>
    <t>MAR</t>
  </si>
  <si>
    <t>https://drive.google.com/open?id=1YWGDGjqLoKXYQQqdWDILizFrs_YabZdj</t>
  </si>
  <si>
    <t>5399</t>
  </si>
  <si>
    <t>TR Correction for pre process</t>
  </si>
  <si>
    <t>https://drive.google.com/open?id=1S28CLPdzIbAJ7cprYeJyfSgCHwSZBNFV</t>
  </si>
  <si>
    <t>5400</t>
  </si>
  <si>
    <t>Annual marks correction for regular student</t>
  </si>
  <si>
    <t>https://drive.google.com/open?id=1vVuj9dsu9tyIbjZkKr0iZnMVwvsMCkoO</t>
  </si>
  <si>
    <t>5401</t>
  </si>
  <si>
    <t xml:space="preserve">SE-24 </t>
  </si>
  <si>
    <t xml:space="preserve">W/N conditions in TR &amp; TR summary </t>
  </si>
  <si>
    <t>https://drive.google.com/open?id=1s37tZlRDw0Db2ca2MXrS4lcQe5dK8oib</t>
  </si>
  <si>
    <t>5402</t>
  </si>
  <si>
    <t>https://drive.google.com/open?id=1zCC6JATCCHmBeotnvoVmpFlBL9GnpIPH</t>
  </si>
  <si>
    <t>https://drive.google.com/open?id=1_ESct80P44txqtGzbivM-a8qnqnwAPUb</t>
  </si>
  <si>
    <t>5403</t>
  </si>
  <si>
    <t>Pre report</t>
  </si>
  <si>
    <t>https://drive.google.com/open?id=1eU29llRkVdfGYw9YLGkL1iNkCbtsCmgM</t>
  </si>
  <si>
    <t>5404</t>
  </si>
  <si>
    <t>https://drive.google.com/open?id=10yVkjWrt_oqyLh3hzQSyk5pjrCD_aigd</t>
  </si>
  <si>
    <t>5405</t>
  </si>
  <si>
    <t>marksheet</t>
  </si>
  <si>
    <t>https://drive.google.com/open?id=1EtJ3tSXEhyC4qvp5oY1rw1S6UAGG14Gn</t>
  </si>
  <si>
    <t>5406</t>
  </si>
  <si>
    <t>SHASTRI 5TH SEM ADMIT CARD NOT SO SEMESTER</t>
  </si>
  <si>
    <t>It is submitted that the PGDCA 1st Semester Re-appear Examination is scheduled to commence from 15.06.2026(M). As per the Admit Cards issued to the students, S.K. Govt. College, Kanwali (Centre No. 124) has been designated as the examination center.</t>
  </si>
  <si>
    <t>https://drive.google.com/open?id=1gfJV7VBFei0pAJ3gF_FXVwqNOB5dNbj8</t>
  </si>
  <si>
    <t xml:space="preserve">	Mark Foil for Teacher Second Semester ( 2nd Sem) 1010 - Narayan Institute of Agricultural Sciences BACHELOR OF FISHERIES SCIENCE Sessional/Internal Fish and Shellfish Breeding and Hatchery Management-S3 AQC-121(SY03)_SE16</t>
  </si>
  <si>
    <t>KINDLY ADD THE MULTIPLE UNIT DATA IN THE SAME REPORT</t>
  </si>
  <si>
    <t>5407</t>
  </si>
  <si>
    <t>https://drive.google.com/open?id=1vqMwQdVRLytWmiAQ6NySW9TdE9hWy5mG</t>
  </si>
  <si>
    <t>change the logic for LE</t>
  </si>
  <si>
    <t>5408</t>
  </si>
  <si>
    <t>DMC</t>
  </si>
  <si>
    <t>https://drive.google.com/open?id=1Bf0FVThXcifM0xtuaE4X3PRuzOfw_51f</t>
  </si>
  <si>
    <t>change the 16 subject set</t>
  </si>
  <si>
    <t>https://drive.google.com/open?id=16FDs4gDTjLON5M6H87pCgI1MM7_CBZi7</t>
  </si>
  <si>
    <t>5409</t>
  </si>
  <si>
    <t>SPGPA UPDATED IN DMC</t>
  </si>
  <si>
    <t>logic change</t>
  </si>
  <si>
    <t>5410</t>
  </si>
  <si>
    <t>https://drive.google.com/open?id=1CYV1fylexgSh-_RzOtnmeQz7YmlAL8IC</t>
  </si>
  <si>
    <t>The extra fee payment is not appearing in the report.</t>
  </si>
  <si>
    <t>5411</t>
  </si>
  <si>
    <t>CBCS and CGP (TR COMBINED) Fourth Semester ( Sem - 4) PG MASTER OF SCIENCE (PSYCHOLOGY) ( M.Sc (PSYCHOLOGY)) SCHEME A ( SY01)_SE03</t>
  </si>
  <si>
    <t>https://drive.google.com/open?id=1UoD_zSWsGRqDE8mwyRhKwQ3E7bJEXcu8</t>
  </si>
  <si>
    <t xml:space="preserve"> 4th Semester</t>
  </si>
  <si>
    <t xml:space="preserve">marks missing correction </t>
  </si>
  <si>
    <t>5412</t>
  </si>
  <si>
    <t>pass/fail report</t>
  </si>
  <si>
    <t>https://drive.google.com/open?id=1S2v7K8m6cr7ReNvDdiNOjy4FuN1a9PEK</t>
  </si>
  <si>
    <t>5413</t>
  </si>
  <si>
    <t>Mark entry report</t>
  </si>
  <si>
    <t>NURSING &amp; PARAMEDICAL GRADE CARD 1014 - Narayan Institute of Allied and Healthcare Sciences First Year ( 1st ) UG Bachelor of Occupational Therapy ( BOT) Regular REGULAR EXAMFORM_SE16</t>
  </si>
  <si>
    <t>please adjust marksheet in one pagE</t>
  </si>
  <si>
    <t xml:space="preserve">	NURSING GRADE CARD</t>
  </si>
  <si>
    <t>Deepak kayal</t>
  </si>
  <si>
    <t>https://drive.google.com/open?id=16XyUwn5ZJ7w4_kw1zE4votPCpn5Tr3nv</t>
  </si>
  <si>
    <t xml:space="preserve">	Mark Foil for Teacher Third Semester ( 3rd Sem) 1010 - Narayan Institute of Agricultural Sciences M.SC. HORTICULTURE IN VEGETABLE SCIENCE PRACTICAL Breeding of Cross Pollinated Vegetable Crops-P1 VSC506(SY01)_SE16</t>
  </si>
  <si>
    <t>please add filter the exam type for supply marks foil print</t>
  </si>
  <si>
    <t>5414</t>
  </si>
  <si>
    <t>TR GAZZATE IN GRADE TABLE UPDATE</t>
  </si>
  <si>
    <t>https://drive.google.com/open?id=11q8ZfMJuxThBt8JJTm18fiL4f-b1yPZm</t>
  </si>
  <si>
    <t>5415</t>
  </si>
  <si>
    <t>Marks Sheet Heading name correction for LLB</t>
  </si>
  <si>
    <t>MARK_ENTRY_TMP1 deleted_at is null</t>
  </si>
  <si>
    <t>5416</t>
  </si>
  <si>
    <t>https://drive.google.com/open?id=1EBSTK5c67EKEHPaWIWGjZyeDccFl4W5Y</t>
  </si>
  <si>
    <t>5417</t>
  </si>
  <si>
    <t xml:space="preserve">Incorrect addition in TOT_CREDIT_POINTS , Incorrect addition in  TOT_CREDIT, </t>
  </si>
  <si>
    <t>In case of Promoted and Detained students - Total credit points is reflecting ZERO in excel</t>
  </si>
  <si>
    <t>https://drive.google.com/open?id=1vEmbhDuqdrXGSHdP5NbyffBKzX5LqeMH</t>
  </si>
  <si>
    <t>5418</t>
  </si>
  <si>
    <t>Correction mention in excel file</t>
  </si>
  <si>
    <t xml:space="preserve">NAD </t>
  </si>
  <si>
    <t>https://drive.google.com/open?id=1F9YcM-LJn1jX41snpoFi1zrS-DRhcPom</t>
  </si>
  <si>
    <t>5419</t>
  </si>
  <si>
    <t>se26</t>
  </si>
  <si>
    <t xml:space="preserve">LNMU </t>
  </si>
  <si>
    <t>https://drive.google.com/open?id=1SJN43c-z0S5bpJGmP5DXm7mmQkZz95xE</t>
  </si>
  <si>
    <t>5420</t>
  </si>
  <si>
    <t>course semster</t>
  </si>
  <si>
    <t>Attandance Sheet &amp; roll list blank 2sem -2025-2027</t>
  </si>
  <si>
    <t>heamnt uniyal</t>
  </si>
  <si>
    <t>https://drive.google.com/open?id=1TlzsS50idxn23X7llM-KKBKPMktU0uXU</t>
  </si>
  <si>
    <t>5421</t>
  </si>
  <si>
    <t>already shared</t>
  </si>
  <si>
    <t xml:space="preserve">pelas elook into thsi </t>
  </si>
  <si>
    <t xml:space="preserve">studnet subject mapping </t>
  </si>
  <si>
    <t>https://drive.google.com/open?id=1EhSBQP56k1Am6qDXjGxYyQJkZ_xJgwus</t>
  </si>
  <si>
    <t>5422</t>
  </si>
  <si>
    <t>Marks sheet</t>
  </si>
  <si>
    <t xml:space="preserve">LLM FIRST SEMESTER , LLM THIRD SEMESTER , ACADEMIC ID , PLEASE REMOVE SESSION FROM SESSION COLUMN, DOB  FORMAT SHOULD BE - DD-MM-YY </t>
  </si>
  <si>
    <t xml:space="preserve">July - December </t>
  </si>
  <si>
    <t>https://drive.google.com/open?id=19tpvpU0kjsx1sZB5cl_NkTcgWo9U7O--</t>
  </si>
  <si>
    <t>5423</t>
  </si>
  <si>
    <t>TR for PARAMEDICAL Old Logic UG Second Semester ( 2nd Sem) Bachelor of Optometry Back BACKLOG RE-APPEAR SY02 ( SY02)_SE16</t>
  </si>
  <si>
    <t>PLEASE RED COLOR FOR FAIL MARKS BELOW 50</t>
  </si>
  <si>
    <t xml:space="preserve">	TR PARAMEDICAL Old Logic</t>
  </si>
  <si>
    <t>Nayan Debnath</t>
  </si>
  <si>
    <t xml:space="preserve"> J.C. Bose University of Sciences and Technology</t>
  </si>
  <si>
    <t>https://drive.google.com/open?id=1FQcs-o3Qs6B4rHln462h2zRp7TuXcfOC</t>
  </si>
  <si>
    <t>5424</t>
  </si>
  <si>
    <t>*</t>
  </si>
  <si>
    <t>✔️</t>
  </si>
  <si>
    <t>nayandebnath@learningspiral.co.in</t>
  </si>
  <si>
    <t>Anna University</t>
  </si>
  <si>
    <t>https://drive.google.com/open?id=19C-v99PIATZRyp6GsJohh8TlitDx1abs</t>
  </si>
  <si>
    <t>5425</t>
  </si>
  <si>
    <t>TR ADMIN</t>
  </si>
  <si>
    <t>userid,subjectid,exam_type,inst_id</t>
  </si>
  <si>
    <t>Evaluation report anna add title.</t>
  </si>
  <si>
    <t>5426</t>
  </si>
  <si>
    <t xml:space="preserve">Purna Kumar </t>
  </si>
  <si>
    <t>CONSOLIDATED MARKS MEMORANDUM BCA</t>
  </si>
  <si>
    <t>https://drive.google.com/open?id=1l5e3jpYHoH6AUpbSDkUFY_zR4dPZjpRe</t>
  </si>
  <si>
    <t xml:space="preserve">NEP DIGI LOCKER - SESSSION CORRECTION AS PER GIVEN DATA </t>
  </si>
  <si>
    <t>5427</t>
  </si>
  <si>
    <t xml:space="preserve">Purrna Kumar </t>
  </si>
  <si>
    <t>https://drive.google.com/open?id=1pkOZcc16TAVGbuRSQ7a2PGjmWrJzlR59</t>
  </si>
  <si>
    <t xml:space="preserve">NEP DIGI LOCKER - ADMISSION YEAR CORRECTION </t>
  </si>
  <si>
    <t>5428</t>
  </si>
  <si>
    <t>MARKSHEET PARAMEDICAL</t>
  </si>
  <si>
    <t xml:space="preserve">SMKV </t>
  </si>
  <si>
    <t>https://drive.google.com/open?id=1pTisrP9SNOKJvcPKenOYNa_XocewesU2</t>
  </si>
  <si>
    <t>5429</t>
  </si>
  <si>
    <t xml:space="preserve">NEP OLG DIGI LOCKER - CORRECTION  STUDENTS ACADEMIC DATA </t>
  </si>
  <si>
    <t>TUSAR CHHATUI</t>
  </si>
  <si>
    <t>RAIGANJ UNIVERISTY</t>
  </si>
  <si>
    <t>https://drive.google.com/open?id=1-ZMQWEGu-V0bWuBiVWWkpcWPs_kVIimO</t>
  </si>
  <si>
    <t>5430</t>
  </si>
  <si>
    <t>Ayurveda TR</t>
  </si>
  <si>
    <t>CHAT</t>
  </si>
  <si>
    <t>NA</t>
  </si>
  <si>
    <t>5431</t>
  </si>
  <si>
    <t>AYURVEDA MARKSHEET</t>
  </si>
  <si>
    <t>RAIGNAJ UNIVERSITY</t>
  </si>
  <si>
    <t>https://drive.google.com/open?id=1tpg2lmlNVLCKAQvC5vIL6FOz0l8KgjLg</t>
  </si>
  <si>
    <t>5432</t>
  </si>
  <si>
    <t>Marksheet correction</t>
  </si>
  <si>
    <t xml:space="preserve">CALL ME </t>
  </si>
  <si>
    <t>Anna university</t>
  </si>
  <si>
    <t>https://drive.google.com/open?id=1jVE3fxj42R2Jab80VmVeWm30TrJIzL6B</t>
  </si>
  <si>
    <t>5433</t>
  </si>
  <si>
    <t>DMC\COURSE TYPE IN ALL ADD</t>
  </si>
  <si>
    <t>5434</t>
  </si>
  <si>
    <t>GRADE CARD IT ONWARDS 2023</t>
  </si>
  <si>
    <t>user_id,subject_id,exam_type,inst_id.</t>
  </si>
  <si>
    <t>https://drive.google.com/open?id=1mF-2HUpI-ut64EDk5ciIoAUSDw7VK22o</t>
  </si>
  <si>
    <t>5435</t>
  </si>
  <si>
    <t xml:space="preserve">BE 08 SEM MARKSHEET </t>
  </si>
  <si>
    <t xml:space="preserve">BE 08 SEM WA MARKSHEET NIKAL RHA </t>
  </si>
  <si>
    <t>https://drive.google.com/open?id=11vAOSnUY80oKEUaby4nMPUxqNEK_mAI1</t>
  </si>
  <si>
    <t>5436</t>
  </si>
  <si>
    <t>5437</t>
  </si>
  <si>
    <t>https://drive.google.com/open?id=1ZyvHMRXV-_c0PfNfYT0FJ_ulhH1QrJEp</t>
  </si>
  <si>
    <t>5438</t>
  </si>
  <si>
    <t>MArks Sheet</t>
  </si>
  <si>
    <t>g</t>
  </si>
  <si>
    <t>ANIL KUMAR YADAV</t>
  </si>
  <si>
    <t>JAMIA</t>
  </si>
  <si>
    <t>https://drive.google.com/open?id=10Cx7quSux-fDs0ea0plH-P9vCZwpzjCL</t>
  </si>
  <si>
    <t>5439</t>
  </si>
  <si>
    <t>BCA, BMS, LAW MCA, MBA, BBA TRANSCRIPT REPORT</t>
  </si>
  <si>
    <t>sem-6 , tr process</t>
  </si>
  <si>
    <t>Urgent change</t>
  </si>
  <si>
    <t>huleshwarsahu@learningspiral.co.in</t>
  </si>
  <si>
    <t>5440</t>
  </si>
  <si>
    <t>https://drive.google.com/open?id=1GwMirOvMlq-1rizTovot-Qg-ImnSoHy4</t>
  </si>
  <si>
    <t>5441</t>
  </si>
  <si>
    <t>MARKSHEET PGDCA (SEMESTER)</t>
  </si>
  <si>
    <t xml:space="preserve">	Marksheet (D.PHARM/PHARM.D) 1003 - Narayan Institute of Pharmacy Second Year ( 2nd) UG Pharm. D (POST BACCALAUREATE) ( Pharm D (PB)) Regular REGULAR EXAMFORM_SE16</t>
  </si>
  <si>
    <t>KINDLY CORRECTION THE NOTE</t>
  </si>
  <si>
    <t>Virendra Kumar</t>
  </si>
  <si>
    <t>jamia</t>
  </si>
  <si>
    <t>https://drive.google.com/open?id=13CFr5XAlRQmp4rwUSxob651219iwu1LQ</t>
  </si>
  <si>
    <t>5442</t>
  </si>
  <si>
    <t>TR00035066, 532728</t>
  </si>
  <si>
    <t xml:space="preserve">Major paper ke lia grade ke jagah pass fail aayega </t>
  </si>
  <si>
    <t>5443</t>
  </si>
  <si>
    <t>Provisional Ceritificate</t>
  </si>
  <si>
    <t>https://drive.google.com/open?id=1Hb9olQ8_Cl-ZEQBsIY2k8Vcgnc-PKkIR</t>
  </si>
  <si>
    <t>5444</t>
  </si>
  <si>
    <t>Document Report</t>
  </si>
  <si>
    <t>please the examform and reappear form report in this formate</t>
  </si>
  <si>
    <t>https://drive.google.com/open?id=1ImF4WMmaVLFEhiqSpQ_jXKErbQzdQpr8</t>
  </si>
  <si>
    <t>5445</t>
  </si>
  <si>
    <t>TR for Diploma Course DIPLOMA First Year ( 1st ) Diploma in Pharmacy Regular REGULAR EXAMFORM_SE16</t>
  </si>
  <si>
    <t>MISCLLANEOUS REPORT/SESSION WISE RESULT SUMMARY</t>
  </si>
  <si>
    <t>5446</t>
  </si>
  <si>
    <t>TR Promoted BALLB BBALLB</t>
  </si>
  <si>
    <t>https://drive.google.com/open?id=1dGZmesQkVge3XI1EA4WA2E7WkcIzZyYm</t>
  </si>
  <si>
    <t>5447</t>
  </si>
  <si>
    <t>College and course</t>
  </si>
  <si>
    <t>Please add college and course filter</t>
  </si>
  <si>
    <t>https://drive.google.com/open?id=1n3EqRkUo8LacROJ4KHVsnDWO54V78B6c</t>
  </si>
  <si>
    <t>5448</t>
  </si>
  <si>
    <t xml:space="preserve">	TR MBA 4th sem( With division ) PG Fourth Semester ( 4th Sem) Master of Business Administration Regular REGULAR EXAMFORM_SE16</t>
  </si>
  <si>
    <t>ERROR</t>
  </si>
  <si>
    <t>https://drive.google.com/open?id=1kVJnrXcPqCLuhJ_nQcCPychu7Lxjryou</t>
  </si>
  <si>
    <t>5449</t>
  </si>
  <si>
    <t>session wise Admin panel</t>
  </si>
  <si>
    <t>Details sent to Rup sir in chat</t>
  </si>
  <si>
    <t>5450</t>
  </si>
  <si>
    <t>MARKS HEET</t>
  </si>
  <si>
    <t>https://drive.google.com/open?id=1yShNXulTkS8V3Vx7DXqqh7b1TBFeRcSd</t>
  </si>
  <si>
    <t>5451</t>
  </si>
  <si>
    <t>MARKSHEET</t>
  </si>
  <si>
    <t>ADMIN</t>
  </si>
  <si>
    <t xml:space="preserve">ATTESTATION SHEET </t>
  </si>
  <si>
    <t>https://drive.google.com/open?id=1gjwd10M9bot5wpS0fUucrQf29quxJ_Hc</t>
  </si>
  <si>
    <t>5452</t>
  </si>
  <si>
    <t xml:space="preserve">SUB_CREDIT_ELIGIBILITY filed add after all paper for result type back(if student pass then show N if appear show blank). </t>
  </si>
  <si>
    <t xml:space="preserve">NAD data </t>
  </si>
  <si>
    <t>Devesh Dutt Verma</t>
  </si>
  <si>
    <t>IGKV</t>
  </si>
  <si>
    <t>https://drive.google.com/open?id=1lF-RduIocGxrFV42OYg0Ado9VlGe35Wq</t>
  </si>
  <si>
    <t>5453</t>
  </si>
  <si>
    <t>5454</t>
  </si>
  <si>
    <t>6. Additional Instructions for PGD / PHD  For PGD and PHD, separate attendance sheets should be generated for each Dean’s Committee.  Specifically:      Separate sheets should be generated for 4th Dean’s Committee and 5th Dean’s Committee.      The same process followed last year should be maintained.      The Dean’s Committee information must be clearly mentioned in:          Header          Bundle details          Attendance Sheet title/label  Example: Dean’s Committee – 4th Dean</t>
  </si>
  <si>
    <t>Seperate for Dean’s Committee – 4th Dean/5th Dean</t>
  </si>
  <si>
    <t>https://drive.google.com/open?id=17LUonH_g1UH28SFsHTWnBirpFG8vUukn</t>
  </si>
  <si>
    <t>5455</t>
  </si>
  <si>
    <t>Seperate By Deab 4/5</t>
  </si>
  <si>
    <t>5456</t>
  </si>
  <si>
    <t>https://drive.google.com/open?id=1We5bpLWd95O5I4sIm6DmHoJwT6LWW5NN</t>
  </si>
  <si>
    <t>5457</t>
  </si>
  <si>
    <t>PROVIOSNAL CERTIFICATE</t>
  </si>
  <si>
    <t>Separated By Dean 4/5</t>
  </si>
  <si>
    <t>https://drive.google.com/open?id=1aOjfIEWNCCQXj-nUSHYTfCSoBaW9Q3jR</t>
  </si>
  <si>
    <t>Add Filter for College/Course And Course is  depended on College as well as filter sequence is Session College Course then Semester</t>
  </si>
  <si>
    <t>https://drive.google.com/open?id=1wJzxRZlHF0bFv2SAFnvBABw1tQDFkapQ</t>
  </si>
  <si>
    <t>Remove Gender Matrix and show count in both college and course matrix</t>
  </si>
  <si>
    <t>https://drive.google.com/open?id=1ZOfnTrcRHSobwRRJtbCJh1rSf7X9ZzT6</t>
  </si>
  <si>
    <t>https://drive.google.com/open?id=18_MsOLGWlr9OJLUNmYy1VvWp8-pQ9Tca</t>
  </si>
  <si>
    <t>COllege</t>
  </si>
  <si>
    <t>https://drive.google.com/open?id=1LGMpghLEzvfjiv_L9mwuBCUrW2V8fwhd</t>
  </si>
  <si>
    <t>dd Filter for College/Course And Course is  depended on College as well as filter sequence is Session College Course then Semester</t>
  </si>
  <si>
    <t>TODAY - 21-08-2026</t>
  </si>
  <si>
    <t>https://drive.google.com/open?id=1K89yFCYqDt76jQ6qWJZztilbqM-zDCsa</t>
  </si>
  <si>
    <t>CM- 8</t>
  </si>
  <si>
    <t>Semester course</t>
  </si>
  <si>
    <t>P.G Digiloker data</t>
  </si>
  <si>
    <t>https://drive.google.com/open?id=1HinGHD3C20UIQmwLTxFo8I5aF7dpXXeJ</t>
  </si>
  <si>
    <t>CW- 12</t>
  </si>
  <si>
    <t>https://drive.google.com/open?id=1-jCBQsL8rWdaneL23KWUbx9FDZ_olqs7</t>
  </si>
  <si>
    <t>Client name</t>
  </si>
  <si>
    <t xml:space="preserve">Pass Fail &amp; W/N conditions BCA CGS TR Do ASAP </t>
  </si>
  <si>
    <t xml:space="preserve">TR BCA </t>
  </si>
  <si>
    <t>https://drive.google.com/open?id=1VfGTjnIiX0yf2nkeK66rPqjI_ESyFBbZ</t>
  </si>
  <si>
    <t>https://drive.google.com/open?id=1w0vb2x9b6Lh88PNm254OLJnnj83-yV0U</t>
  </si>
  <si>
    <t xml:space="preserve">BE ALL SEM </t>
  </si>
  <si>
    <t xml:space="preserve">BE TR FILE CORRECTION </t>
  </si>
  <si>
    <t xml:space="preserve">MULTIPLE REPORT </t>
  </si>
  <si>
    <t>https://drive.google.com/open?id=1Kh73-gMonfjsh7hk7BqqdKbCj5Or7rUj</t>
  </si>
  <si>
    <t>MARKSHEET FILE CORRECTION</t>
  </si>
  <si>
    <t>MSC &amp; ENGG MARKSHEET CORRECTION W/N</t>
  </si>
  <si>
    <t>https://drive.google.com/open?id=1ReygVLrtSNaBDFpnEWqLRTxbA-vZgQtL</t>
  </si>
  <si>
    <t>AKSHATA PERASPURE</t>
  </si>
  <si>
    <t>sgbau</t>
  </si>
  <si>
    <t>https://drive.google.com/open?id=1ewQ1hpl2g4MXp6AwpKLiqDhunBXUYC4r</t>
  </si>
  <si>
    <t xml:space="preserve">SE24 </t>
  </si>
  <si>
    <t xml:space="preserve">WN fail &amp; pass &amp; wt ko  lgana hai college wise summary pe wn dikhna chahiye </t>
  </si>
  <si>
    <t xml:space="preserve">TR/Result hosting -new cbcs tr </t>
  </si>
  <si>
    <t>https://drive.google.com/open?id=14MipvmBdCRLnVZLxjnduP-UMnDJXJPM3</t>
  </si>
  <si>
    <t>learnigspiral789@gmail.com</t>
  </si>
  <si>
    <t>https://drive.google.com/open?id=1UjH3OqP8PuUtzCXv_cA93Jy3LbuGiv-p</t>
  </si>
  <si>
    <t>if student pass then TOT_CREDIT &amp; TOT_CREDIT_POINTS not calculation .</t>
  </si>
  <si>
    <t>https://drive.google.com/open?id=1j2jaBm3ZvmqHbpaTdSI_ApnAImd6J1-i</t>
  </si>
  <si>
    <t>https://drive.google.com/open?id=1UlepkPwmqwOtJlZ7jJzNASMHV_ZP6ZIJ</t>
  </si>
  <si>
    <t xml:space="preserve">	Exam Programme First Semester ( 1st Sem) UG Bachelor of Fisheries Science ( B.Sc. Fisheries)_SE16</t>
  </si>
  <si>
    <t>ADD TYPE T FOR THEORY AND P FOR PRACTICAL</t>
  </si>
  <si>
    <t>https://drive.google.com/open?id=1mlLoAt68YBCqdSmwbFPogC89Cfv4GCiL</t>
  </si>
  <si>
    <t>https://drive.google.com/open?id=1YQR-Jd7SF_cHDpnliSIr4h8trSoy4etM</t>
  </si>
  <si>
    <t>https://drive.google.com/open?id=1ND7n0j6Mw-UHvhht7vDV-w0CDCXMAlHL</t>
  </si>
  <si>
    <t xml:space="preserve">Semester </t>
  </si>
  <si>
    <t xml:space="preserve">P.G Result datils  </t>
  </si>
  <si>
    <t xml:space="preserve">Result Datils </t>
  </si>
  <si>
    <t>https://drive.google.com/open?id=1_o6pvgg8uaWfE-nwjdLcbZzeW7JNboLE</t>
  </si>
  <si>
    <t xml:space="preserve">center wise </t>
  </si>
  <si>
    <t xml:space="preserve">please do it on urgent </t>
  </si>
  <si>
    <t>https://drive.google.com/open?id=1hzONtLZySqFI1-I8W-k0Sir87frE3O6n</t>
  </si>
  <si>
    <t>TR for PARAMEDICAL New Logic PG First Year ( 1st ) Master of Physiotherapy Regular REGULAR EXAMFORM_SE16</t>
  </si>
  <si>
    <t xml:space="preserve">MARKS MISSING.. PLEASE ADJUST COLUMN </t>
  </si>
  <si>
    <t>Nithyashree</t>
  </si>
  <si>
    <t>Maharani's Science College Autonomous Mysore</t>
  </si>
  <si>
    <t>https://drive.google.com/open?id=1m7NmlIms2QQHjG_Rbv-O2wDznn5dOSxx</t>
  </si>
  <si>
    <t>Transcript Report</t>
  </si>
  <si>
    <t>nithya26893@gmail.com</t>
  </si>
  <si>
    <t>https://drive.google.com/open?id=1iyhtU_kdz6d8ePxewCBhwb-03PztRs1M</t>
  </si>
  <si>
    <t>Khalshwer</t>
  </si>
  <si>
    <t>Singhaia University</t>
  </si>
  <si>
    <t>https://drive.google.com/open?id=18i27MnKd4uAhCypG6r3SHX62woS5EgWN</t>
  </si>
  <si>
    <t>Rename "Form Summary Report" to "Exam Form Report".</t>
  </si>
  <si>
    <t>m.subhash010993@gmail.com</t>
  </si>
  <si>
    <t>Khaleshwer</t>
  </si>
  <si>
    <t>Singhania University</t>
  </si>
  <si>
    <t>https://drive.google.com/open?id=1EzPvMt8sEoZVloKHpQ2qxhIYscDYfVYP</t>
  </si>
  <si>
    <t>In the Exam Form Report, Enrollment Form records should not be displayed. Only the following form types should be included: Regular Form Reappear Form</t>
  </si>
  <si>
    <t>In the Exam Form Report, Enrollment Form records should not be displayed. Only the following form types should be included:
Regular Form
Reappear Form</t>
  </si>
  <si>
    <t>https://drive.google.com/open?id=1VWpA8gyQzclM9fjhy7BOOOBLSTYR1vkB</t>
  </si>
  <si>
    <t>Add a Form Type filter to the report so that users can filter records based on the selected form type (e.g., Regular or Reappear).</t>
  </si>
  <si>
    <t>https://drive.google.com/open?id=1KWcNxVZQ5IJQyxS7iCNqiTVbY3Tx5uTP</t>
  </si>
  <si>
    <t xml:space="preserve">	TR AGRICULTURE 1st To 8th SEM Supply PG Third Semester ( 3rd Sem) Master of Science Agriculture in Agronomy Regular BACKLOG SUPPLY_SE16</t>
  </si>
  <si>
    <t>KINDLY SET THE SATISFACTORY PAPER LOGIC FOR THIS REPORT</t>
  </si>
  <si>
    <t>https://drive.google.com/open?id=160hjcgNKTwvlbcRFj3V-J18dh7x911QC</t>
  </si>
  <si>
    <t>DMC\OLD REPORT</t>
  </si>
  <si>
    <t>https://drive.google.com/open?id=1cNwMtpMG9tS9SlGIhSWiINx7yWZV-Jjq</t>
  </si>
  <si>
    <t>TR00000314 UG (B.A) Bachelor of Arts REVEL</t>
  </si>
  <si>
    <t>TR00000314
UG
(B.A) Bachelor of Arts REVEL</t>
  </si>
  <si>
    <t>https://drive.google.com/open?id=1J7YYVWjvAphzCaWD5ied86YH_H5su9bR</t>
  </si>
  <si>
    <t>https://drive.google.com/open?id=17m0gZI1pAF2P7AgWywIZU0aNusnsBJIs</t>
  </si>
  <si>
    <t>Respected Sir/Madam,  In continuation of our previous communication regarding the theory attendance sheets on the university portal, we have encountered an additional issue.  The name of a certain student who is eligible to appear for the examinations are currently missing from the generated Theory Attendance Sheet. We request you to kindly add the student details to our college attendance list on the portal so that their attendance can be marked officially:  Student Details:  ·         Student Name:  ANKIT  ·         University Roll No. / Reg No.:  211880404027  ·         Course / Semester: B.Ed (Additional)  ·         Subject Name &amp; Paper Code: Pedagogy of English  Kindly update the portal at the earliest so we can proceed with the submission without any further delay.</t>
  </si>
  <si>
    <t>Respected Sir/Madam,
In continuation of our previous communication regarding the theory attendance sheets on the university portal, we have encountered an additional issue.
The name of a certain student who is eligible to appear for the examinations are currently missing from the generated Theory Attendance Sheet. We request you to kindly add the student details to our college attendance list on the portal so that their attendance can be marked officially:
Student Details:
·         Student Name:  ANKIT
·         University Roll No. / Reg No.:  211880404027
·         Course / Semester: B.Ed (Additional)
·         Subject Name &amp; Paper Code: Pedagogy of English
Kindly update the portal at the earliest so we can proceed with the submission without any further delay.</t>
  </si>
  <si>
    <t>https://drive.google.com/open?id=1rXGbyP0V74Nx-Qujx_iKhzflYDYiVOSO</t>
  </si>
  <si>
    <t xml:space="preserve">Sir,   It is intimated that the TR of the BHMCT 8th Semester (May 2026) result be updated after matching it with the approved scheme, as the current result does not match the scheme.  </t>
  </si>
  <si>
    <t xml:space="preserve">Sir,
  It is intimated that the TR of the BHMCT 8th Semester (May 2026) result be updated after matching it with the approved scheme, as the current result does not match the scheme.  </t>
  </si>
  <si>
    <t>https://drive.google.com/open?id=1qoxyQIviVtXy4GIYHqQZsQzvBEGYcxuY</t>
  </si>
  <si>
    <t xml:space="preserve">	TR NEW AGRICULTURE First Year ( 1st ) REGULAR Regular EXAMFORM UG Bachelor of Physiotherapy_SE16</t>
  </si>
  <si>
    <t>KINDLY CORRECT THE TR FOR ANNUAL</t>
  </si>
  <si>
    <t>https://drive.google.com/open?id=1j01lyKjg4C6Wa4YqgZpliAfHiR_KKpYw</t>
  </si>
  <si>
    <t xml:space="preserve">B.ED ADDITIONAL ANNUAL ATTENDENCE SHEET  RESOLVED </t>
  </si>
  <si>
    <t>https://drive.google.com/open?id=1fwr-L66XhtigcRmFThZbWPCB_rN7k7rL</t>
  </si>
  <si>
    <t>https://drive.google.com/open?id=1VPSW0IRNKqzxJ6NA_NddgcXa1rIuWwoi</t>
  </si>
  <si>
    <t>Required Changes: Change the attendance sheet layout from Portrait to Landscape orientation. Separate the Student Photo and Student Signature into two different boxes. They should not appear in the same box. Create separate boxes for the Student Signature and Student Thumb Impression. These should be displayed independently. This is high priority and is required today. Kindly complete the changes and share the updated version as soon as possible.</t>
  </si>
  <si>
    <t>Required Changes:
Change the attendance sheet layout from Portrait to Landscape orientation.
Separate the Student Photo and Student Signature into two different boxes. They should not appear in the same box.
Create separate boxes for the Student Signature and Student Thumb Impression. These should be displayed independently.
This is high priority and is required today. Kindly complete the changes and share the updated version as soon as possible.</t>
  </si>
  <si>
    <t>https://drive.google.com/open?id=1MnGd7gAwjOh1WtxbkpAiqCDw4RGzjeKJ</t>
  </si>
  <si>
    <t xml:space="preserve">1st Semester B.Sc. Nursing </t>
  </si>
  <si>
    <t xml:space="preserve">Same students double entry correction in TR 1st Semester B.Sc. Nursing </t>
  </si>
  <si>
    <t>Fee report not show</t>
  </si>
  <si>
    <t>https://drive.google.com/open?id=1wY8-nYy2DUOKfWMAZackX-HKbK7csI-q</t>
  </si>
  <si>
    <t>sessin</t>
  </si>
  <si>
    <t>https://drive.google.com/open?id=1IYfZJelPNarMU7l4HwXkXIiQQDIJ-1Ez</t>
  </si>
  <si>
    <t>Admit Card 1010 - Narayan Institute of Agricultural Sciences First Semester ( 1st Sem) Bachelor of Fisheries Science ( B.Sc. Fisheries) SUPPLY_SE16</t>
  </si>
  <si>
    <t>ADJUST ADMIT CARD IN ONE PAGE</t>
  </si>
  <si>
    <t>https://drive.google.com/open?id=1-5O3KNSBZpIrk1sJu-87uGzfidkYu1A3</t>
  </si>
  <si>
    <t>TR for PARAMEDICAL New Logic UG Sixth Semester ( 6th Sem) Bachelor in Medical Laboratory Science Regular REGULAR EXAMFORM_SE16</t>
  </si>
  <si>
    <t>FINAL SEMESTER RESULT STATUS ONLY PASS OR FAIL</t>
  </si>
  <si>
    <t>https://drive.google.com/open?id=1i9m5uWDPl-Z07-F1H2WQ-yw7SKtgJGHR</t>
  </si>
  <si>
    <t>JAMIA MILLIA ISLAMIA</t>
  </si>
  <si>
    <t>https://drive.google.com/open?id=1dLZrsMPaRF2u22mHfYrTYezeqsjf345z</t>
  </si>
  <si>
    <t xml:space="preserve">PROVISIONAL </t>
  </si>
  <si>
    <t>REMOVE OFFG. AND S FROM EXAMINATIONS AND ADD TEXT AT LAST (This is a computer generated marksheet in Pdf form to be verified from the Office of "The Controller of Examinations
JMI", before submitting it as a proof)</t>
  </si>
  <si>
    <t>https://drive.google.com/open?id=1Rc9If3ZE4FkICMgZ7hVNJOANDAB6PoTD</t>
  </si>
  <si>
    <t xml:space="preserve">ALL TYPE option need in Semester, course type and course name </t>
  </si>
  <si>
    <t>https://drive.google.com/open?id=16-mtXLDYKEkojxwj8iO2Tx2CzwG2d7Ck</t>
  </si>
  <si>
    <t>Answer Book Packet Slip Date Wise BACKLOG 2026-07-07_SE16</t>
  </si>
  <si>
    <t>blank report downloaded</t>
  </si>
  <si>
    <t xml:space="preserve">	Packet_Slip_Date_Wise</t>
  </si>
  <si>
    <t>https://drive.google.com/open?id=1EQtN00FXD5pAeMlfk9UCtaklKCU4NLE4</t>
  </si>
  <si>
    <t>SE26</t>
  </si>
  <si>
    <t>ygpa not show 11601022019</t>
  </si>
  <si>
    <t>https://drive.google.com/open?id=18Q0QuaUxl99iZu7FIpTV95J3KmoXCAVi</t>
  </si>
  <si>
    <t>https://drive.google.com/open?id=1X8sKqgqDKDtfummMnuZLF4iaR29h1tTu</t>
  </si>
  <si>
    <t>Please check the attached file and add the yearly attendance report option under dropdown.</t>
  </si>
  <si>
    <t>https://drive.google.com/open?id=1xlJqA-AfxwzlCgc877nC1Yo_nJAheXY3</t>
  </si>
  <si>
    <t>session wise</t>
  </si>
  <si>
    <t>obtained marks and Total Marks not show</t>
  </si>
  <si>
    <t>https://drive.google.com/open?id=1Z7QNZGwzJMIRn3UMhGiHhc_b_xSYP2Yu</t>
  </si>
  <si>
    <t>https://drive.google.com/open?id=1GeGO8-2de6BhTw13stx6ZM55RPPVmMZh</t>
  </si>
  <si>
    <t>W/N marksheet nhi nikalne ko hona..</t>
  </si>
  <si>
    <t>https://drive.google.com/open?id=1QS0XueoyAP736DKcAZvxerHGK5pvbBjL</t>
  </si>
  <si>
    <t>https://drive.google.com/open?id=1e9PZYoUkdRt_6PUmZPax91d9Ye7xH7X4</t>
  </si>
  <si>
    <t>Please generate the qr sticker in the previous format using the following table details: SELECT * FROM `gau_qrcode_generate`.`GAU_BAMS21_july_2026`;</t>
  </si>
  <si>
    <t>Sort Order
CourseCode, ExamDate, session_year, SubjectCode, SeatNo</t>
  </si>
  <si>
    <t>https://drive.google.com/open?id=1ES6I9oa1PmZdDZxn38wB7TEC4Mm2BOMv</t>
  </si>
  <si>
    <t>RDS: ucalivetest
Database: ucanassess_igkv
Table: student_master_june_2026_ug
Sort Order: `College_Name_E`,Degree,`sort_year`,`Course_Code`,`Student_Id`</t>
  </si>
  <si>
    <t>https://drive.google.com/open?id=1kVkELPiLHqs6eIK8WoQDwvIK41xXhbtA</t>
  </si>
  <si>
    <t>na</t>
  </si>
  <si>
    <t>Database: ucanassess_igkv
Table: student_master_june_2026_ug</t>
  </si>
  <si>
    <t>https://drive.google.com/open?id=1x2LE3-CQESnYeqdYw1wDImOLD7IQWiro</t>
  </si>
  <si>
    <t>https://drive.google.com/open?id=19xJJKxk8zOWOHanmg0xEw1tg8Zlg_Hs-</t>
  </si>
  <si>
    <t>https://drive.google.com/open?id=1xHB4bnri4_3Z62rUWzDcTxNNcHq5W7Jn</t>
  </si>
  <si>
    <t>https://drive.google.com/open?id=19swGvq34wuHFd7Y9s3qYjoak5824b9yP</t>
  </si>
  <si>
    <t xml:space="preserve">	Transcript Fourth Semester ( 4th Sem) UG Bachelor of Science (Hons.) in Agriculture_SE15</t>
  </si>
  <si>
    <t xml:space="preserve">PLEASE REMOVE NULL </t>
  </si>
  <si>
    <t>https://drive.google.com/open?id=1U5cgE5NsKCuQI1oAR-k_fvyitUh4N8Yj</t>
  </si>
  <si>
    <t xml:space="preserve">	Attendance Sheet Medical First Semester ( 1st Sem) 1010 - Narayan Institute of Agricultural Sciences Bachelor of Science (Hons.) in Agriculture ( B.Sc.(Hons) Ag) SUPPLY BACKLOG_SE16</t>
  </si>
  <si>
    <t>ADD PRACTICAL SUBJECT IN ATTANDANCE SHEET REPORT</t>
  </si>
  <si>
    <t>https://drive.google.com/open?id=1WSxXAf3Pr3K24S4AK9iknBqOmIhYJ_vI</t>
  </si>
  <si>
    <t>course,sem</t>
  </si>
  <si>
    <t>https://drive.google.com/open?id=19TaB-p99z9YjWfTjAed32Jjd6fJWZufy</t>
  </si>
  <si>
    <t>https://drive.google.com/open?id=10hsZHSvTxZQohNryPTol_zHTVlmYwfzf</t>
  </si>
  <si>
    <t>https://drive.google.com/open?id=14a26gQ1W7j2mxa35xYsHu7XNRWqPbNeA</t>
  </si>
  <si>
    <t>SE24</t>
  </si>
  <si>
    <t>OVERWRITE IN EXEMPTION</t>
  </si>
  <si>
    <t>https://drive.google.com/open?id=1qgv-vUidvO2ptfZ75d6AM30wXGHTlcm9</t>
  </si>
  <si>
    <t xml:space="preserve">BCA SEM VI SO01 Marksheet Nhi nikal rahi </t>
  </si>
  <si>
    <t>https://drive.google.com/open?id=1IflUGx8otAmAo8iRWVKwkLGdoiuBR8dX</t>
  </si>
  <si>
    <t>https://drive.google.com/open?id=1_X2BNm4TGbHauzYYSheDcXFSwhUceNhD</t>
  </si>
  <si>
    <t xml:space="preserve">TR  REPORT </t>
  </si>
  <si>
    <t xml:space="preserve">AS DISCUSSED EALRIER PLEASE CORRECT THE TR </t>
  </si>
  <si>
    <t>https://drive.google.com/open?id=1KhQYqZdPJM9RDLPCz8P0a34s4tTNvPr6</t>
  </si>
  <si>
    <t>PRE EXAM REPORT _ ROLL LIST</t>
  </si>
  <si>
    <t>PLEASE ROLL NO SEQUENCE UPDATE</t>
  </si>
  <si>
    <t>https://drive.google.com/open?id=1rFjE__QjZ6yRGJZjNju-sMAK-abV_7hn</t>
  </si>
  <si>
    <t>https://drive.google.com/open?id=1qmpOstbSGzlzLzH9xDi5dcJI7O1rKLst</t>
  </si>
  <si>
    <t xml:space="preserve">	Transcript Eighth Semester ( 8th Sem) UG Bachelor of Science (Hons.) in Agriculture_SE15</t>
  </si>
  <si>
    <t>TOTAL GRADE POINT MISMATCH .. PLEASE CHECK</t>
  </si>
  <si>
    <t>https://drive.google.com/open?id=1koaJBvYi75MWU1dZNNOl6dOS0IrHU73P</t>
  </si>
  <si>
    <t>TR\SEM\COURSE WISE</t>
  </si>
  <si>
    <t xml:space="preserve">TR REPORT </t>
  </si>
  <si>
    <t>https://drive.google.com/open?id=12GsjBlPieFLGDD9pT_czA8bMPPUc7I8w</t>
  </si>
  <si>
    <t>Discuss with Rup on call</t>
  </si>
  <si>
    <t>https://drive.google.com/open?id=11hc7H55-uXwixc1VzKm7q4M1mLR1OYmv</t>
  </si>
  <si>
    <t>Alll</t>
  </si>
  <si>
    <t xml:space="preserve">Discuss with Rup on call
</t>
  </si>
  <si>
    <t>https://drive.google.com/open?id=19_3BIjQczF4cLwwsveqd5rMS7YIVDYJv</t>
  </si>
  <si>
    <t>all</t>
  </si>
  <si>
    <t>https://drive.google.com/open?id=1BcQK3RvFYa9da1BU82yGG32wMu3AYQqR</t>
  </si>
  <si>
    <t>https://drive.google.com/open?id=1kF1vlRchi19mZ1qRhWD5Ymi9K_R0CFTy</t>
  </si>
  <si>
    <t>https://drive.google.com/open?id=1oFhx138_h5xQ7E2ELM5wmgyxFrSP8v01</t>
  </si>
  <si>
    <t>All</t>
  </si>
  <si>
    <t>https://drive.google.com/open?id=1RUTC6VfT8_o0un5IJoQZbjz14d0HZLmy</t>
  </si>
  <si>
    <t>https://drive.google.com/open?id=1_qNz4Vh9t7Wh_vsIAbGgVNisBgtWNZPa</t>
  </si>
  <si>
    <t>https://drive.google.com/open?id=1o6qCJxU4z-QRc-U0McT_5YPdRhlTZT-u</t>
  </si>
  <si>
    <t>https://drive.google.com/open?id=1dMdBrEvIrNSjFRMK58zpewywIjR4uUke</t>
  </si>
  <si>
    <t>https://drive.google.com/open?id=1T1cMzfgDPS9dhec5NkToFvE9rdiWU74C</t>
  </si>
  <si>
    <t>Blank report generate</t>
  </si>
  <si>
    <t xml:space="preserve">SGBAU,AMRAVATI </t>
  </si>
  <si>
    <t>https://drive.google.com/open?id=1KHbAeOQvSvCfLNZ7tsRTZVDr3tIjJ3TZ</t>
  </si>
  <si>
    <t xml:space="preserve">TR pe  Previous Sem Marks nhi aana chahiye htado uspe se </t>
  </si>
  <si>
    <t xml:space="preserve">TR/HOSTING-UG NEP TR </t>
  </si>
  <si>
    <t>https://drive.google.com/open?id=1p7Lg8RXGQ-jLdYew4jdVgBdD0ZtmPiA2</t>
  </si>
  <si>
    <t>https://drive.google.com/open?id=1TVPsOl3W1jho5wk7Cda3Gx-b6uXb2wNF</t>
  </si>
  <si>
    <t xml:space="preserve">	Transcript Eighth Semester ( 8th Sem) UG Bachelor of Science (Hons.) in Agriculture_SE14</t>
  </si>
  <si>
    <t>TOTAL GPA MARKS CALCUCATION ERROR</t>
  </si>
  <si>
    <t xml:space="preserve">TRANSCRIPT </t>
  </si>
  <si>
    <t>SGBAU,AMARAVTI</t>
  </si>
  <si>
    <t>https://drive.google.com/open?id=1gRRb1BI58khf-NZR1M4oE-Yd2FV3An-v</t>
  </si>
  <si>
    <t xml:space="preserve">S24 </t>
  </si>
  <si>
    <t xml:space="preserve">WT TR UG NEP -NYA YE option bnado 
</t>
  </si>
  <si>
    <t xml:space="preserve">TR HOSTING -UG NEP TR </t>
  </si>
  <si>
    <t>https://drive.google.com/open?id=1wKd89GGj0I4U1eQ_l5xbpev4cQMsSMpu</t>
  </si>
  <si>
    <t xml:space="preserve">R/Sir  Please solve this problem. The migration does not generate the vide reg. no. 241741105043.(B.P.ED )  NIKHIL SINGH S/O RAJENDER SINGH </t>
  </si>
  <si>
    <t xml:space="preserve">R/Sir 
Please solve this problem. The migration does not generate the vide reg. no. 241741105043.(B.P.ED )  NIKHIL SINGH S/O RAJENDER SINGH </t>
  </si>
  <si>
    <t>SKS INTERNATIONAL UNIVERSITY</t>
  </si>
  <si>
    <t>https://drive.google.com/open?id=13vkqJibP49gCAEf3juTjhPqmvBbQ2zWc</t>
  </si>
  <si>
    <t>TR 13 Diploma in Pharmacy not download please check and resolve as soon as possible</t>
  </si>
  <si>
    <t>https://drive.google.com/open?id=1eV1zsrcJPuyDvoWvkLFKTFgNbm-l8l48</t>
  </si>
  <si>
    <t>Please change the logic and add coelom in this file D. Pharm. 2nd year</t>
  </si>
  <si>
    <t>https://drive.google.com/open?id=1PTD9HxW5Rv4A2X_gKrNNAln9-sUx0vsR</t>
  </si>
  <si>
    <t xml:space="preserve">AS REQUESTE PELASE CORRET THE  TR LOGIC SO WE CAN DO THENEEDFUL ASAP  WE HAEV TO PROVIDE TR TO COE  BY EOD </t>
  </si>
  <si>
    <t xml:space="preserve">Anil Yadav </t>
  </si>
  <si>
    <t>https://drive.google.com/open?id=1eSKoC9Bxfr-d1oIXBhMThkjYseyw-Qe0</t>
  </si>
  <si>
    <t>sem-06, b.tech</t>
  </si>
  <si>
    <t xml:space="preserve">change marksheet design as per sem wise 1 to 6th sem </t>
  </si>
  <si>
    <t>https://drive.google.com/open?id=1xW5qfpFgkC_TQMAjXTELug74SIdaHWLS</t>
  </si>
  <si>
    <t xml:space="preserve">	Marksheet Paramedical 1009 - Narayan Paramedical Institute and Allied Sciences Fourth Semester ( 4th Sem) UG Bachelor of Optometry ( BOP) Regular REGULAR EXAMFORM_SE16</t>
  </si>
  <si>
    <t>ADD CHECKED BY 2 IN FOOTER</t>
  </si>
  <si>
    <t>Satish kumar</t>
  </si>
  <si>
    <t>https://drive.google.com/open?id=1ZZglhZm7zHo4mNYZNuNYyVPnJYVjyLvi</t>
  </si>
  <si>
    <t>https://drive.google.com/open?id=15rlNHiJPlSt9Jzi6i8mVIa-ihu94z0fS</t>
  </si>
  <si>
    <t>https://drive.google.com/open?id=15ciX_ruRP2lxcFpuqN9HVqwPh9JFWqPm</t>
  </si>
  <si>
    <t>Shastri Semester marksheet</t>
  </si>
  <si>
    <t>https://drive.google.com/open?id=1o9uMGDFqFz2OySDt06aPov64FJ4joVgF</t>
  </si>
  <si>
    <t>Grade Card for IT Onwards 2023 Second Semester ( 2nd Sem) 1008 - Faculty of Information Technology &amp; Engineering Bachelor of Computer Application (Data Science &amp; Artificial Intelligence) ( BCA (DS &amp; AI)) Regular REGULAR EXAMFORM_SE16</t>
  </si>
  <si>
    <t xml:space="preserve">KINDLY CORRECTION </t>
  </si>
  <si>
    <t>https://drive.google.com/open?id=1gOfoB7_z5dzlCgT3_ZXjJWYBUbhKSbPD</t>
  </si>
  <si>
    <t>GRADE_CARD blank generate.</t>
  </si>
  <si>
    <t>https://drive.google.com/open?id=1hA0Uy4xKKGoHNBhoGOZjZGts0Ee7wq2o</t>
  </si>
  <si>
    <t>TRS_REPORT blank generate.</t>
  </si>
  <si>
    <t>https://drive.google.com/open?id=1EnoYTHSOeEsbcXhE7VCGKEHPBlB7PByR</t>
  </si>
  <si>
    <t xml:space="preserve">	Grade Card (OTHERS) Second Semester ( 2nd Sem) 1004 - Faculty of Management Studies Master of Business Administration ( MBA) Regular REGULAR EXAMFORM_SE13</t>
  </si>
  <si>
    <t>add issue date</t>
  </si>
  <si>
    <t>https://drive.google.com/open?id=1u6VEI3jiktx3UcnXirsTxW3XyWKsDofa</t>
  </si>
  <si>
    <t xml:space="preserve">	Provisional Certificate UG Bachelor of Science (Hons.) in Agriculture ( B.Sc.(Hons) Ag) Eighth Semester ( 8th Sem)_SE16</t>
  </si>
  <si>
    <t>KINDLY CHANGE THE STUDENT HINDI NAME DATA SOURCE</t>
  </si>
  <si>
    <t xml:space="preserve">	Provisional Certificate</t>
  </si>
  <si>
    <t>https://drive.google.com/open?id=1U6Oa_UWM4KBKnZV-gMeI8tlP5zqzdNGP</t>
  </si>
  <si>
    <t>TR00000610</t>
  </si>
  <si>
    <t>https://drive.google.com/open?id=1ElxSzxhFERG-t6ZDc6Pwyl0grKOrixZ2</t>
  </si>
  <si>
    <t xml:space="preserve"> sem02,</t>
  </si>
  <si>
    <t>credit issue</t>
  </si>
  <si>
    <t>https://drive.google.com/open?id=16kkyCGFRNp5SPvUuCTe8TopUN5Aj8dWa</t>
  </si>
  <si>
    <t>sem2, pg_section</t>
  </si>
  <si>
    <t xml:space="preserve">PG-SECTION Continuous Assesment Marks Report </t>
  </si>
  <si>
    <t>https://drive.google.com/open?id=1OAwz25teWMAPsYwKTs-EkncdciA95_7c</t>
  </si>
  <si>
    <t>sem02</t>
  </si>
  <si>
    <t>https://drive.google.com/open?id=1yb_pwCFFyZceE9EUy_yQGtDBf9TOJ2Wy</t>
  </si>
  <si>
    <t>Please check the MBBS 1st year admit card show only schedule exam paper data</t>
  </si>
  <si>
    <t>https://drive.google.com/open?id=1oQanshAXjrTuEqUIZtob4Vg8P01kxE5x</t>
  </si>
  <si>
    <t>https://drive.google.com/open?id=1qR8MESB1iVrXT7fyXnEjxO3ue62GaSaN</t>
  </si>
  <si>
    <t>Please find the attached below some changes required under D. Pharm. 2nd year TR 14.</t>
  </si>
  <si>
    <t>https://drive.google.com/open?id=1cIwfax3sfHCjZIcL224-N4JEbLLOyPIU</t>
  </si>
  <si>
    <t>TR pdf to excel conver</t>
  </si>
  <si>
    <t xml:space="preserve">JAMIA MILLIA ISLAMIA </t>
  </si>
  <si>
    <t>https://drive.google.com/open?id=1h7eyWxy3Y8ffmi5hg9VeDVTO3xpla_uW</t>
  </si>
  <si>
    <t xml:space="preserve">Unable to open grade card on students portal </t>
  </si>
  <si>
    <t xml:space="preserve">Please Process </t>
  </si>
  <si>
    <t>anilyadav@learningspiral.co.in</t>
  </si>
  <si>
    <t>https://drive.google.com/open?id=1FAwEDnDFBu6ew32BhttIuDNzqlkfUI_f</t>
  </si>
  <si>
    <t>mar report blank download (this report download any time if college required  )</t>
  </si>
  <si>
    <t>https://drive.google.com/open?id=1vCic8k0_raReODA9pTHBf9-Xa7GNRMIJ</t>
  </si>
  <si>
    <t>https://drive.google.com/open?id=13DJAem2dWkmI4KtsssK8whGOhKZpnVvL</t>
  </si>
  <si>
    <t>https://drive.google.com/open?id=1adrrhfOR7wKJONGCwZIfFm638HEmR7MN</t>
  </si>
  <si>
    <t>Please find the attached below D. Pharm. 1st year TR some changes required, please check mark point and update as soon as possible.</t>
  </si>
  <si>
    <t xml:space="preserve">TR report </t>
  </si>
  <si>
    <t>https://drive.google.com/open?id=1EMAhOiftkyASZNFzcHIv3dm6drpvdn2q</t>
  </si>
  <si>
    <t>https://drive.google.com/open?id=1GX8I43n9o-BbvYyvnldtLZ4ljztO6lmp</t>
  </si>
  <si>
    <t>Please find the attached below D. Pharm. 2nd year TR some changes required, please check mark point and update as soon as possible.</t>
  </si>
  <si>
    <t>https://drive.google.com/open?id=1lxScKuYN5j5OH1mgJDQ_rlpThi_3pAhk</t>
  </si>
  <si>
    <t>https://drive.google.com/open?id=1gd4RNRTO7nQtyQ-FK-pXUnrPStECC_gV</t>
  </si>
  <si>
    <t>Application form report</t>
  </si>
  <si>
    <t xml:space="preserve">Please add registration session column in this report.  </t>
  </si>
  <si>
    <t>https://drive.google.com/open?id=1-aMmqBnWymNZ2iJQEcrtApI97fidV7ac</t>
  </si>
  <si>
    <t>https://drive.google.com/open?id=1N1Zm0_zXjbvXPdkQI961ZxzlVkJpNhDb</t>
  </si>
  <si>
    <t xml:space="preserve">	TR NEW AGRICULTURE First Semester ( 1st Sem) BACKLOG Regular SUPPLY UG Bachelor of Fisheries Science_SE16</t>
  </si>
  <si>
    <t>PLEASE PREPARE TR FOR REPEAT EXAM AGRICULTURE</t>
  </si>
  <si>
    <t>https://drive.google.com/open?id=1MVmlxmnblx0omNMeNPBC5PmBGXQLFy1f</t>
  </si>
  <si>
    <t xml:space="preserve">Grad card </t>
  </si>
  <si>
    <t>please check D. Pharm. 2nd year marksheet result status not show TR 14 according and date, so please resolve as soon as.</t>
  </si>
  <si>
    <t>https://drive.google.com/open?id=16TJ2CykwfpDzUABZYXRiYfYQalUizFXk</t>
  </si>
  <si>
    <t>https://drive.google.com/open?id=1puBNl8-BG1QeMlSR0gSm_cANZvU9osKd</t>
  </si>
  <si>
    <t>Shastri 5th semester</t>
  </si>
  <si>
    <t>https://drive.google.com/open?id=1mJ7jqtsOLNzqytl7SXiMcKHx9MK9mFzw</t>
  </si>
  <si>
    <t>As per previous</t>
  </si>
  <si>
    <t>Please changes  as per the upload image for the PG 4th Sem</t>
  </si>
  <si>
    <t>https://drive.google.com/open?id=1BnRADOvtzp4RV4rSHTlRt1qqQiS6w3m_</t>
  </si>
  <si>
    <t>DMC NEW</t>
  </si>
  <si>
    <t xml:space="preserve">DMC </t>
  </si>
  <si>
    <t>https://drive.google.com/open?id=1TYWyDmul5c3lJbBT-MSqNqwsaTarkqbz</t>
  </si>
  <si>
    <t>https://drive.google.com/open?id=1WExSucOdiFCo-KKqPBk6CBbNZEhl1Uo0</t>
  </si>
  <si>
    <t>https://drive.google.com/open?id=1Co2__q4db2MMfzDDI0cN9Tdm_z6EC2ET</t>
  </si>
  <si>
    <t xml:space="preserve">B.VOC TR </t>
  </si>
  <si>
    <t>B.VOC TR CGL WISE ME DALNA HAI</t>
  </si>
  <si>
    <t>https://drive.google.com/open?id=19EdcRwqgIx7_hrp2wZUT3LRJ2s5StXOH</t>
  </si>
  <si>
    <t xml:space="preserve">	CBCS and CGP (TR COMBINED) Fourth Semester ( Sem - 4) PG MASTER OF SCIENCE (PSYCHOLOGY) ( M.Sc (PSYCHOLOGY)) SCHEME A ( SY01)_SE03</t>
  </si>
  <si>
    <t>https://drive.google.com/open?id=1mJC68uz1JhWfH_Iv5g8C4wjbUOTST2hX</t>
  </si>
  <si>
    <t>course,semester</t>
  </si>
  <si>
    <t>https://drive.google.com/open?id=1QXZ2muS6Bbe8OsmR1_8mel8r9QkJ7OXG</t>
  </si>
  <si>
    <t>Please find the attached below some error show under report download.</t>
  </si>
  <si>
    <t>https://drive.google.com/open?id=1Kr1ObGd0bkP35FDmxtXtDcikHQDy81Dk</t>
  </si>
  <si>
    <t>https://drive.google.com/open?id=14mEqLRY-wOiq3YNpqbbfnrW3-Q3GSRyn</t>
  </si>
  <si>
    <t>its urgent</t>
  </si>
  <si>
    <t>https://drive.google.com/open?id=1rE-dCSexpfMcM-hhTiPRSknzuDm57r4X</t>
  </si>
  <si>
    <t>Please check TR 17 and TR 18 not download.</t>
  </si>
  <si>
    <t>https://drive.google.com/open?id=1RWWYTJhzlQ9YvO-T3I0TZL7Y11fNe73O</t>
  </si>
  <si>
    <t>SEM, COURSE</t>
  </si>
  <si>
    <t>https://drive.google.com/open?id=1wnOyLlfC_ubbzBA9S29I4rtFC0x_OQfc</t>
  </si>
  <si>
    <t>https://drive.google.com/open?id=1c4XBmZ0OqbDhadJnYnIlu2ioeeUcSk8T</t>
  </si>
  <si>
    <t>Marksheet Paramedical 1009 - Narayan Paramedical Institute and Allied Sciences Third Semester ( 3rd Sem) UG Bachelor in Physiotherapy ( BIPT) Regular BACKLOG SUPPLY_SE16</t>
  </si>
  <si>
    <t>CORRECTION</t>
  </si>
  <si>
    <t>https://drive.google.com/open?id=1LZzPlHtrFbhxOtZmxXBQpIbEj8bmmR0u</t>
  </si>
  <si>
    <t>PROVIOSONAL/SM06/SE16/LL.B</t>
  </si>
  <si>
    <t>ROLL NO AN ENROOL NO CORRECTION FIELD</t>
  </si>
  <si>
    <t>https://drive.google.com/open?id=1h6_zPJVUJR20Qs9XzoT4LXH8o8H7wHpp</t>
  </si>
  <si>
    <t xml:space="preserve">	Question Paper Packet Slip Date Wise SUPPLY 2026-07-27_SE16</t>
  </si>
  <si>
    <t>KINDLY UPDATE MISSING SUBJECT</t>
  </si>
  <si>
    <t>https://drive.google.com/open?id=1-70CW1XPgUeO7hDbE098NEdmXUNPbZHm</t>
  </si>
  <si>
    <t>practical marks not show in marks sheet</t>
  </si>
  <si>
    <t>https://drive.google.com/open?id=1ifvL5J2DyhV3Rcm0UwypHkoe7gRNLlQK</t>
  </si>
  <si>
    <t>Answer Book Packet Slip Date Wise 2026-07-27 -_SE16</t>
  </si>
  <si>
    <t xml:space="preserve">MISSING DATA REPORT </t>
  </si>
  <si>
    <t>https://drive.google.com/open?id=1IYM-o1-np5L2TRLapT-H3DTHEL9WcW3c</t>
  </si>
  <si>
    <t>URGENT Dear Sir, It is submitted that the following observations need to be corrected in the Result TR before the declaration of the Result.C.T. (Course Type) is showing as null, and it is also not showing in the Result TR sheet</t>
  </si>
  <si>
    <t>https://drive.google.com/open?id=1ILRdmKYWU3AR_smaPQw7Z9Gu_IQpLqXe</t>
  </si>
  <si>
    <t>https://drive.google.com/open?id=1dWRmb1iJ-BXDZm1PrjGnW5utZwZb1yKx</t>
  </si>
  <si>
    <t xml:space="preserve"> TR NAME SHUOLD BE COURE WISE OR COLLAGE WISE 
Integrated M.Voc. in Crafts &amp; Design (Fired Material/ Soft Material/ Hard Material/ Fashion Clothing 10th semester</t>
  </si>
  <si>
    <t>https://drive.google.com/open?id=178VHxtKVTkGXG7u0D4NM1vW0XihfO4HW</t>
  </si>
  <si>
    <t>BCA, BMS, LAW MCA, MBA, BBA TRANSCRIPT REPORT Eighth Semester ( 8th Sem) UG B.Tech in Computer Science_SE16</t>
  </si>
  <si>
    <t>NON CREDIT PAPER DOES NOT</t>
  </si>
  <si>
    <t>https://drive.google.com/open?id=1iOqZo-TJd2BY5fzig75m2HjK7GLF2LaX</t>
  </si>
  <si>
    <t xml:space="preserve">	Admit Card 1010 - Narayan Institute of Agricultural Sciences Sixth Semester ( 6th Sem) Bachelor of Fisheries Science ( B.Sc. Fisheries) SUPPLY_SE16</t>
  </si>
  <si>
    <t>KINDLY ADJUST THE ADMIT CARD IN 1 PAGE</t>
  </si>
  <si>
    <t>https://drive.google.com/open?id=1pB518pmjZi0h7v41aBOEktOx8msFj6pD</t>
  </si>
  <si>
    <t xml:space="preserve">	Marksheet Paramedical 1009 - Narayan Paramedical Institute and Allied Sciences Eighth Semester ( 8th Sem) UG Bachelor in Physiotherapy ( BIPT) Regular REGULAR EXAMFORM_SE16</t>
  </si>
  <si>
    <t>REMOVE SPACE FORM HEADER AND ADJUST IN ONE PAGE</t>
  </si>
  <si>
    <t>https://drive.google.com/open?id=1Fw_Qww4zwfll-g9Qml7iOwN3mr7weLtq</t>
  </si>
  <si>
    <t xml:space="preserve">	Question Paper Packet Slip Date Wise 2026-07-28_SE16</t>
  </si>
  <si>
    <t>KINDLY ADD CONDITION FOR  TYPE "T"</t>
  </si>
  <si>
    <t>https://drive.google.com/open?id=1qbl9LqGku5ngCrBVNVOr09OzulhS3CLi</t>
  </si>
  <si>
    <t>Santosh Tiwari</t>
  </si>
  <si>
    <t>https://drive.google.com/open?id=1CHYx87_JDKyackNW-wk7dvebjwTjudpM</t>
  </si>
  <si>
    <t>tr correction</t>
  </si>
  <si>
    <t>santosh tiwari</t>
  </si>
  <si>
    <t>https://drive.google.com/open?id=1QGvfCxlIigJ6mTUaL-vnxuCelrnftk7h</t>
  </si>
  <si>
    <t>MARKSHEET AYURVEDA</t>
  </si>
  <si>
    <t>https://drive.google.com/open?id=1bjuIyyWIHOQeh-zjToFC4RptMiSrEtvU</t>
  </si>
  <si>
    <t>https://drive.google.com/open?id=1WIqxzd_FjCQB9EDGjytEUOpOm7lhlTls</t>
  </si>
  <si>
    <t xml:space="preserve">Marksheet pg in human rights </t>
  </si>
  <si>
    <t xml:space="preserve">Marksheet correction </t>
  </si>
  <si>
    <t>https://drive.google.com/open?id=1qQBTHyl0_iupVuCNsDk8ePGY7tl875kg</t>
  </si>
  <si>
    <t>https://drive.google.com/open?id=1uREFuAFiQh8EXV3eHUstFvv0gpp7-sfZ</t>
  </si>
  <si>
    <t>https://drive.google.com/open?id=1-3iY3eBU0PZqLwdTEoTqnNhZjsFfxo0X</t>
  </si>
  <si>
    <t xml:space="preserve">	GRADE Card 1008 - FITE- Second Semester ( 2nd Sem) Bachelor of TECHNOLOGY IN COMPUTER SCIENC-SUPPLY-25-26</t>
  </si>
  <si>
    <t>PLEASE ADD THE REPORT FOR FINAL SEMESTER</t>
  </si>
  <si>
    <t>https://drive.google.com/open?id=12oc2rP0pDXX2VME6xJXulNJiu02vj2db</t>
  </si>
  <si>
    <t xml:space="preserve">Please check TR 18 3rd sem. and add result column </t>
  </si>
  <si>
    <t>https://drive.google.com/open?id=17QejiLw3HyWBti09wWgC3CbElFHNgb2s</t>
  </si>
  <si>
    <t>The marks of failed students should not be highlighted in red on the mark sheet.</t>
  </si>
  <si>
    <t>https://drive.google.com/open?id=1nC8nU6ke5S18qZGOelYDWA0EwMCoL3Ys</t>
  </si>
  <si>
    <t>The practical marks of private students are not showing on the mark sheet.</t>
  </si>
  <si>
    <t>https://drive.google.com/open?id=1UpamrMmiBuutS7AF_GLqUHAQMBh2O7NO</t>
  </si>
  <si>
    <t>The mark sheet is not downloading of part-3</t>
  </si>
  <si>
    <t>https://drive.google.com/open?id=1t-iM0eAeZsZr7nzYAFmO45nM3QusKUeZ</t>
  </si>
  <si>
    <t xml:space="preserve">	BCA, BMS, LAW MCA, MBA, BBA TRANSCRIPT REPORT Eighth Semester ( 8th Sem) UG B.Tech in Computer Science_SE16</t>
  </si>
  <si>
    <t xml:space="preserve">PLEASE SET REGISTRATION NO VIEW FROM TRPASSOUTDATA TABLE </t>
  </si>
  <si>
    <t>https://drive.google.com/open?id=11UGY-1Rl-A7QsxH6vC7yl-dIU0qDoBjB</t>
  </si>
  <si>
    <t>Dear Sir,  Please do the corrections as provided to you in the form of a hard file at 12:35PM for further corrections and declaration of result as soon as possible. Please correct and send back the file for f.n.a.</t>
  </si>
  <si>
    <t>Dear Sir,
Please do the corrections as provided to you in the form of a hard file at 12:35PM for further corrections and declaration of result as soon as possible. Please correct and send back the file for f.n.a.</t>
  </si>
  <si>
    <t>https://drive.google.com/open?id=1c5nLOUQbRcTcIv3t5lRN8GowTeOO8BjL</t>
  </si>
  <si>
    <t>DIWAKARTIWARI</t>
  </si>
  <si>
    <t>https://drive.google.com/open?id=1EK1CXs_0_ASiuoo2HXJrLbLeOjT9oxyD</t>
  </si>
  <si>
    <t>MARKSHEET 4SEM MARKSHEET PGDCA(SEMESTER)</t>
  </si>
  <si>
    <t>PLZ UPDATE</t>
  </si>
  <si>
    <t>https://drive.google.com/open?id=1UJzN2VXAQVPiOHdH6tJZFKrWP5cFMvFK</t>
  </si>
  <si>
    <t>https://drive.google.com/open?id=1Ma_ayNpI05LOV11ouSdWb8qCUwIfsA1C</t>
  </si>
  <si>
    <t>Grade Card (OTHERS) Fourth Semester ( 4th Sem) 1004 - Faculty of Management Studies Master of Business Administration ( MBA) Regular REGULAR EXAMFORM_SE16</t>
  </si>
  <si>
    <t xml:space="preserve">Kindly change division condition for final sem marksheet/grade card. please add conditions from coursemst </t>
  </si>
  <si>
    <t>https://drive.google.com/open?id=1PFrQfz59TQTJK4DFiyJXvbXQf3fKkz-Z</t>
  </si>
  <si>
    <t>provisional  Certificate Eighth Semester ( 8th Sem) UG Bachelor of Pharmacy ( B.Pharm)_SE13</t>
  </si>
  <si>
    <t>error of selection parameter required enrollment form</t>
  </si>
  <si>
    <t>https://drive.google.com/open?id=1IdFBbktYDRLlMtEFgVsJ081i6z2DmKX7</t>
  </si>
  <si>
    <t>course filter not show</t>
  </si>
  <si>
    <t>https://drive.google.com/open?id=1PvLeJ_UzfZ0QkU94ENJCf2gKy3waeUfN</t>
  </si>
  <si>
    <t>UFM refelct in TR is 0.. it change to UFM in Red color</t>
  </si>
  <si>
    <t>https://drive.google.com/open?id=1SYUJ1m4gV43GOlaFbSxAB-AOcdIFAL9f</t>
  </si>
  <si>
    <t>https://drive.google.com/open?id=1laJYtYr9r3fQnatxm4YuWbgzPGeZYtAS</t>
  </si>
  <si>
    <t xml:space="preserve">	TR Promoted BALLB BBALLB UG Fourth Semester ( 4th Sem) (BA. LL.B) Bachelor of Arts and Bachelor of Laws Reval REGULAR EXAMFORM_SE16</t>
  </si>
  <si>
    <t>KINDLY CORRECT SUB HEADER</t>
  </si>
  <si>
    <t>https://drive.google.com/open?id=1NDNsuhmMbV7myAc-XovftPpmdSJSXudJ</t>
  </si>
  <si>
    <t>https://drive.google.com/open?id=1Td_-nhAPHyXPqgsdILtXFNo8oQuetXAI</t>
  </si>
  <si>
    <t>CF not display in TR</t>
  </si>
  <si>
    <t>https://drive.google.com/open?id=1zggCi4O3zO74tjTHciZjxSRi-pynJK8V</t>
  </si>
  <si>
    <t>CBCS and CGP (TR COMBINED) NEP	CBCS and CGP (TR COMBINED) Fourth Semester ( Sem - 4) PG MASTER OF SCIENCE (ZOOLOGY) ( M.Sc (ZOOLOGY)) SCHEME A ( SY01)_SE03</t>
  </si>
  <si>
    <t>Sir,  please provide the final TR download option in the NEP portal</t>
  </si>
  <si>
    <t>https://drive.google.com/open?id=1yM7dpw71uA1blBKG88QanMjyu-WMAyWu</t>
  </si>
  <si>
    <t>23/8209
STUDNET ABESNET IN    PAPER BUT IN  TR IT SHOWS FAIL</t>
  </si>
  <si>
    <t>REPORTING PANEL</t>
  </si>
  <si>
    <t>https://drive.google.com/open?id=1mEWACXek4KAN_-2PEhVocOizhAf_pRSk</t>
  </si>
  <si>
    <t xml:space="preserve">CHECK THIS </t>
  </si>
  <si>
    <t xml:space="preserve">MARKS HEET </t>
  </si>
  <si>
    <t>https://drive.google.com/open?id=16Ync3iqZ_VHyZtk776Hd1u5kW7WguqM9</t>
  </si>
  <si>
    <t xml:space="preserve">MARKSHEET </t>
  </si>
  <si>
    <t xml:space="preserve">Please provide the Course Code for the client (FD44525). CURRENTLT IT SHOW  C00022
Kindly add the Course Code in the QR code as well.
Please include the  CA AND  EOSE CGPA. SGPA </t>
  </si>
  <si>
    <t>https://drive.google.com/open?id=1SSMmYj-DjIKu_1fnJFFdFRFH3Ifzidkm</t>
  </si>
  <si>
    <t xml:space="preserve">Course wise </t>
  </si>
  <si>
    <t>For SEM Type SM52, the marksheet should display "Previous" instead of "First Year", and "Final" instead of "Second Year". The "Third Year" column should remain blank.</t>
  </si>
  <si>
    <t>https://drive.google.com/open?id=1xtb1z6mmQT34H0Pe0XCT7tYa12Ea7ALV</t>
  </si>
  <si>
    <t>Dear Sir  In the Result Sheet TR, the subject codes are missing or not shown. Kindly check the same.</t>
  </si>
  <si>
    <t>Dear Sir 
In the Result Sheet TR, the subject codes are missing or not shown. Kindly check the same.</t>
  </si>
  <si>
    <t>https://drive.google.com/open?id=1yqVo7FrTIhJ9couolgPGTJ6SaknbYMZg</t>
  </si>
  <si>
    <t>https://drive.google.com/open?id=1F5_eF0cKjZefdmYyiHmCYp_45RGETKU8</t>
  </si>
  <si>
    <t>CBCS AND CGP FINAL TR COMBINED NEP Fourth Semester ( Sem - 4) PG MASTER OF ARTS (POLITICAL SCIENCE) ( M.A (POLITICAL SCIENCE))_SE03</t>
  </si>
  <si>
    <t>Dear Sir,
The Grace Balance is missing in the result. You are therefore requested to kindly update the grace balance in the result and share the revised result with us at the earliest.
Kindly treat the matter as important.
NOTE: The logic of result is changed frequently in case of NEP result which is totally in acceptable . Hence, act carefully in this regard.</t>
  </si>
  <si>
    <t xml:space="preserve">HEMANT UNIYAL </t>
  </si>
  <si>
    <t xml:space="preserve">VISHWA KARMA SKILL UNIVERISTY </t>
  </si>
  <si>
    <t>https://drive.google.com/open?id=1nL_pguglo8MXp96mQyzTgoZDEKan1Nrc</t>
  </si>
  <si>
    <t xml:space="preserve">ADMIN  </t>
  </si>
  <si>
    <t>Report not downloading, Change in logic, Other changes</t>
  </si>
  <si>
    <t>PLEAS  CORRECT THISYe baccha ek subject mein fail hai
 Per EOSE  -30 hi likh rakhi hai</t>
  </si>
  <si>
    <t>https://drive.google.com/open?id=1cZqWMD3wm1fJH0zxS6vwJyA8MleJJu6L</t>
  </si>
  <si>
    <t xml:space="preserve">R SHEET </t>
  </si>
  <si>
    <t xml:space="preserve">PELASE LOOK INTO THIS </t>
  </si>
  <si>
    <t>https://drive.google.com/open?id=1cYU95BQ2z6KT-ep7g27L_0J4KlaGt6pu</t>
  </si>
  <si>
    <t xml:space="preserve"> PLEASE ADD  SR NUMBER  PRO202600003   ADN CGPA  8.06   AND YEAR  2023</t>
  </si>
  <si>
    <t>TODAY - 11-09-2026</t>
  </si>
  <si>
    <t>CM- 9</t>
  </si>
  <si>
    <t>CW- 23</t>
  </si>
  <si>
    <t>Employee Name</t>
  </si>
  <si>
    <t>CW- 24</t>
  </si>
  <si>
    <t>W 23</t>
  </si>
  <si>
    <t>FMS NO.</t>
  </si>
  <si>
    <t>WEEK NO.</t>
  </si>
  <si>
    <t>START DATE</t>
  </si>
  <si>
    <t>END DATE</t>
  </si>
  <si>
    <t>Current Week Planned</t>
  </si>
  <si>
    <t>Current Week Actual</t>
  </si>
  <si>
    <t>WND %</t>
  </si>
  <si>
    <t>Work Done In Time</t>
  </si>
  <si>
    <t>WDBL %</t>
  </si>
  <si>
    <t>PC Name</t>
  </si>
  <si>
    <t>FMS 148</t>
  </si>
  <si>
    <t>W 13</t>
  </si>
  <si>
    <t>W 12</t>
  </si>
  <si>
    <t>Doers</t>
  </si>
  <si>
    <t>Main Person</t>
  </si>
  <si>
    <t>Stand by Person</t>
  </si>
  <si>
    <t>Trained</t>
  </si>
  <si>
    <t>Pending</t>
  </si>
  <si>
    <t>Requirements Not Clear</t>
  </si>
  <si>
    <t>Not required</t>
  </si>
  <si>
    <t>Click the blue button to install add-on if you cannot see BMP Formulas tab after Help tab</t>
  </si>
  <si>
    <t>Total task</t>
  </si>
  <si>
    <t>Tota Planned</t>
  </si>
  <si>
    <t>Total Actual</t>
  </si>
  <si>
    <t>Average Planned</t>
  </si>
  <si>
    <t>Average Actual</t>
  </si>
  <si>
    <t>EMP3159 Shubham Sahu</t>
  </si>
  <si>
    <t xml:space="preserve"> EMP0042 HULESHWAR KUMAR SAHU</t>
  </si>
  <si>
    <t>Planned last</t>
  </si>
  <si>
    <t>Actual last</t>
  </si>
  <si>
    <t>Total Planned</t>
  </si>
  <si>
    <t>Work Done       In Time</t>
  </si>
  <si>
    <t>Total All Doer Score</t>
  </si>
  <si>
    <t>Average</t>
  </si>
  <si>
    <t>D2</t>
  </si>
  <si>
    <t>D3</t>
  </si>
  <si>
    <t>D4</t>
  </si>
  <si>
    <t>D5</t>
  </si>
  <si>
    <t>D6</t>
  </si>
  <si>
    <t>WEEK</t>
  </si>
  <si>
    <t>WN</t>
  </si>
  <si>
    <t>CW NO.</t>
  </si>
  <si>
    <t>Step 2</t>
  </si>
  <si>
    <t>Step 3</t>
  </si>
  <si>
    <t>Step 4</t>
  </si>
  <si>
    <t>Step 5</t>
  </si>
  <si>
    <t>Step 6</t>
  </si>
  <si>
    <t>Step 7</t>
  </si>
  <si>
    <t>Step 8</t>
  </si>
  <si>
    <t>Step 9</t>
  </si>
  <si>
    <t>Max</t>
  </si>
  <si>
    <t>Min</t>
  </si>
  <si>
    <t>Cancelled</t>
  </si>
  <si>
    <t>Step - 2</t>
  </si>
  <si>
    <t>Step - 3</t>
  </si>
  <si>
    <t>Step - 4</t>
  </si>
  <si>
    <t>Step - 5</t>
  </si>
  <si>
    <t>Step - 6</t>
  </si>
  <si>
    <t>Total Task</t>
  </si>
  <si>
    <t>Saved</t>
  </si>
  <si>
    <r>
      <rPr>
        <color rgb="FF1155CC"/>
        <u/>
      </rPr>
      <t>Sr.No</t>
    </r>
    <r>
      <rPr/>
      <t>.</t>
    </r>
  </si>
  <si>
    <t>Plainned date</t>
  </si>
  <si>
    <t>Actual Date</t>
  </si>
  <si>
    <r>
      <rPr>
        <color rgb="FF1155CC"/>
        <u/>
      </rPr>
      <t>Sr.No</t>
    </r>
    <r>
      <rPr/>
      <t>.</t>
    </r>
  </si>
  <si>
    <t xml:space="preserve">Plainned - actual </t>
  </si>
  <si>
    <r>
      <rPr>
        <color rgb="FF1155CC"/>
        <u/>
      </rPr>
      <t>Sr.No</t>
    </r>
    <r>
      <rPr/>
      <t>.</t>
    </r>
  </si>
  <si>
    <r>
      <rPr>
        <color rgb="FF1155CC"/>
        <u/>
      </rPr>
      <t>Sr.No</t>
    </r>
    <r>
      <rPr/>
      <t>.</t>
    </r>
  </si>
  <si>
    <r>
      <rPr>
        <color rgb="FF1155CC"/>
        <u/>
      </rPr>
      <t>Sr.No</t>
    </r>
    <r>
      <rPr/>
      <t>.</t>
    </r>
  </si>
  <si>
    <t/>
  </si>
  <si>
    <t>https://tinyurl.com/2r2xrakx</t>
  </si>
  <si>
    <t xml:space="preserve">Discussion with Requester                                                                           					</t>
  </si>
  <si>
    <t>Doer Name</t>
  </si>
  <si>
    <t>ArrayFormula(QUERY({"Link to the sheet:- "&amp;{$A$1}&amp;char(10)&amp;"Link to the update status:- "&amp;{FMSNoticeUpload!$N$9:$N}&amp;char(10)&amp;"Task:- "&amp;{$A$3}&amp;char(10)&amp;"S.No.:- "&amp;{FMSNoticeUpload!$A$9:$A}&amp;char(10)&amp;"Requester Name:- "&amp;{FMSNoticeUpload!$C$9:$C}&amp;char(10)&amp;"Client Name:- "&amp; {FMSNoticeUpload!$D$9:$D}&amp;char(10)&amp;"Website name:- "&amp;{FMSNoticeUpload!$E$9:$E}&amp;char(10)&amp;"Caption to upload notice:- "&amp;{FMSNoticeUpload!$G$9:$G}&amp;char(10)&amp;"Planned Date:- "&amp;{text(FMSNoticeUpload!$I$9:$I,"yyyy-mm-dd")},{FMSNoticeUpload!$M$9:$M},{FMSNoticeUpload!$I$9:$I},{FMSNoticeUpload!$J$9:$J},{FMSNoticeUpload!$K$9:$K}},"select Col1,Col2,Col3 where Col3 is not null and Col4 is null and Col5&lt;&gt;'Cancelled'and Col5&lt;&gt;'Not Required'"))</t>
  </si>
  <si>
    <t>Name</t>
  </si>
  <si>
    <t>Email</t>
  </si>
  <si>
    <t>Chat ID</t>
  </si>
  <si>
    <t>Task</t>
  </si>
  <si>
    <t>Doer name</t>
  </si>
  <si>
    <t>ChatID</t>
  </si>
  <si>
    <t>Reminder</t>
  </si>
  <si>
    <t>STEP-DIR'!A4:D;'STEP-DIR'!E4:H;'STEP-DIR'!I4:L;'STEP-DIR'!M4:P; 'STEP-DIR'!Q4:T</t>
  </si>
  <si>
    <t>Sheet Number</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</si>
</sst>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dd/mm/yyyy hh:mm:ss"/>
    <numFmt numFmtId="165" formatCode="hh:mm:ss"/>
    <numFmt numFmtId="166" formatCode="m/d/yyyy h:mm:ss"/>
    <numFmt numFmtId="167" formatCode="[hh]:mm:ss"/>
    <numFmt numFmtId="168" formatCode="dd/MM/yyyy HH:mm:ss"/>
    <numFmt numFmtId="169" formatCode="HH:mm:ss"/>
    <numFmt numFmtId="170" formatCode="hh:mm"/>
    <numFmt numFmtId="171" formatCode="dd-mm-yyyy"/>
    <numFmt numFmtId="172" formatCode="dd&quot;-&quot;mm&quot;-&quot;yyyy"/>
    <numFmt numFmtId="173" formatCode="dd/mm/yyyy"/>
    <numFmt numFmtId="174" formatCode="dd/MM/yyyy"/>
    <numFmt numFmtId="175" formatCode="dd&quot;/&quot;mm&quot;/&quot;yyyy"/>
  </numFmts>
  <fonts count="30">
    <font>
      <sz val="10.0"/>
      <color rgb="FF000000"/>
      <name val="Arial"/>
      <scheme val="minor"/>
    </font>
    <font>
      <b/>
      <color theme="1"/>
      <name val="Arial"/>
      <scheme val="minor"/>
    </font>
    <font>
      <color theme="1"/>
      <name val="Arial"/>
      <scheme val="minor"/>
    </font>
    <font>
      <b/>
      <color rgb="FFFFFFFF"/>
      <name val="Arial"/>
      <scheme val="minor"/>
    </font>
    <font>
      <u/>
      <color rgb="FF0000FF"/>
    </font>
    <font/>
    <font>
      <b/>
      <sz val="14.0"/>
      <color theme="1"/>
      <name val="Arial"/>
      <scheme val="minor"/>
    </font>
    <font>
      <b/>
      <sz val="14.0"/>
      <color rgb="FF000000"/>
      <name val="Arial"/>
    </font>
    <font>
      <u/>
      <color rgb="FF0000FF"/>
    </font>
    <font>
      <b/>
      <color theme="1"/>
      <name val="Arial"/>
    </font>
    <font>
      <u/>
      <color rgb="FF0000FF"/>
    </font>
    <font>
      <b/>
      <u/>
      <color rgb="FF0000FF"/>
    </font>
    <font>
      <b/>
      <sz val="11.0"/>
      <color rgb="FFFFFFFF"/>
      <name val="&quot;Trebuchet MS&quot;"/>
    </font>
    <font>
      <b/>
      <sz val="11.0"/>
      <color rgb="FFFFFFFF"/>
      <name val="Arial"/>
    </font>
    <font>
      <b/>
      <sz val="11.0"/>
      <color theme="1"/>
      <name val="Arial"/>
    </font>
    <font>
      <color theme="1"/>
      <name val="Arial"/>
    </font>
    <font>
      <b/>
      <sz val="12.0"/>
      <color theme="1"/>
      <name val="Arial"/>
      <scheme val="minor"/>
    </font>
    <font>
      <sz val="11.0"/>
      <color theme="1"/>
      <name val="Arial"/>
    </font>
    <font>
      <color rgb="FF000000"/>
      <name val="Roboto"/>
    </font>
    <font>
      <sz val="11.0"/>
      <color rgb="FF1F1F1F"/>
      <name val="&quot;Google Sans&quot;"/>
    </font>
    <font>
      <u/>
      <color rgb="FF0000FF"/>
    </font>
    <font>
      <u/>
      <color rgb="FF0000FF"/>
    </font>
    <font>
      <sz val="9.0"/>
      <color rgb="FF000000"/>
      <name val="&quot;Google Sans Mono&quot;"/>
    </font>
    <font>
      <sz val="10.0"/>
      <color theme="1"/>
      <name val="Arial"/>
      <scheme val="minor"/>
    </font>
    <font>
      <sz val="10.0"/>
      <color rgb="FF000000"/>
      <name val="Arial"/>
    </font>
    <font>
      <color theme="1"/>
      <name val="Georgia"/>
    </font>
    <font>
      <sz val="11.0"/>
      <color rgb="FF000000"/>
      <name val="Arial"/>
      <scheme val="minor"/>
    </font>
    <font>
      <b/>
      <sz val="11.0"/>
      <color rgb="FF0000FF"/>
      <name val="Arial"/>
    </font>
    <font>
      <color rgb="FFFF0000"/>
      <name val="Arial"/>
      <scheme val="minor"/>
    </font>
    <font>
      <sz val="11.0"/>
      <color rgb="FF5F6368"/>
      <name val="Roboto"/>
    </font>
  </fonts>
  <fills count="32">
    <fill>
      <patternFill patternType="none"/>
    </fill>
    <fill>
      <patternFill patternType="lightGray"/>
    </fill>
    <fill>
      <patternFill patternType="solid">
        <fgColor rgb="FFFFFF00"/>
        <bgColor rgb="FFFFFF00"/>
      </patternFill>
    </fill>
    <fill>
      <patternFill patternType="solid">
        <fgColor rgb="FFD9EAD3"/>
        <bgColor rgb="FFD9EAD3"/>
      </patternFill>
    </fill>
    <fill>
      <patternFill patternType="solid">
        <fgColor rgb="FF660000"/>
        <bgColor rgb="FF660000"/>
      </patternFill>
    </fill>
    <fill>
      <patternFill patternType="solid">
        <fgColor theme="6"/>
        <bgColor theme="6"/>
      </patternFill>
    </fill>
    <fill>
      <patternFill patternType="solid">
        <fgColor rgb="FFB6D7A8"/>
        <bgColor rgb="FFB6D7A8"/>
      </patternFill>
    </fill>
    <fill>
      <patternFill patternType="solid">
        <fgColor rgb="FFF1C232"/>
        <bgColor rgb="FFF1C232"/>
      </patternFill>
    </fill>
    <fill>
      <patternFill patternType="solid">
        <fgColor rgb="FFFFFFFF"/>
        <bgColor rgb="FFFFFFFF"/>
      </patternFill>
    </fill>
    <fill>
      <patternFill patternType="solid">
        <fgColor rgb="FFB7E1CD"/>
        <bgColor rgb="FFB7E1CD"/>
      </patternFill>
    </fill>
    <fill>
      <patternFill patternType="solid">
        <fgColor rgb="FFE06666"/>
        <bgColor rgb="FFE06666"/>
      </patternFill>
    </fill>
    <fill>
      <patternFill patternType="solid">
        <fgColor rgb="FF3B1E36"/>
        <bgColor rgb="FF3B1E36"/>
      </patternFill>
    </fill>
    <fill>
      <patternFill patternType="solid">
        <fgColor rgb="FF621B00"/>
        <bgColor rgb="FF621B00"/>
      </patternFill>
    </fill>
    <fill>
      <patternFill patternType="solid">
        <fgColor rgb="FF7A8B99"/>
        <bgColor rgb="FF7A8B99"/>
      </patternFill>
    </fill>
    <fill>
      <patternFill patternType="solid">
        <fgColor rgb="FFA4C2F4"/>
        <bgColor rgb="FFA4C2F4"/>
      </patternFill>
    </fill>
    <fill>
      <patternFill patternType="solid">
        <fgColor rgb="FFF6B26B"/>
        <bgColor rgb="FFF6B26B"/>
      </patternFill>
    </fill>
    <fill>
      <patternFill patternType="solid">
        <fgColor rgb="FFFF9900"/>
        <bgColor rgb="FFFF9900"/>
      </patternFill>
    </fill>
    <fill>
      <patternFill patternType="solid">
        <fgColor rgb="FF1C102C"/>
        <bgColor rgb="FF1C102C"/>
      </patternFill>
    </fill>
    <fill>
      <patternFill patternType="solid">
        <fgColor rgb="FF4A1525"/>
        <bgColor rgb="FF4A1525"/>
      </patternFill>
    </fill>
    <fill>
      <patternFill patternType="solid">
        <fgColor rgb="FFF3F3F3"/>
        <bgColor rgb="FFF3F3F3"/>
      </patternFill>
    </fill>
    <fill>
      <patternFill patternType="solid">
        <fgColor rgb="FF20124D"/>
        <bgColor rgb="FF20124D"/>
      </patternFill>
    </fill>
    <fill>
      <patternFill patternType="solid">
        <fgColor rgb="FF741B47"/>
        <bgColor rgb="FF741B47"/>
      </patternFill>
    </fill>
    <fill>
      <patternFill patternType="solid">
        <fgColor rgb="FF9FC5E8"/>
        <bgColor rgb="FF9FC5E8"/>
      </patternFill>
    </fill>
    <fill>
      <patternFill patternType="solid">
        <fgColor rgb="FFFFF2CC"/>
        <bgColor rgb="FFFFF2CC"/>
      </patternFill>
    </fill>
    <fill>
      <patternFill patternType="solid">
        <fgColor rgb="FFFFE599"/>
        <bgColor rgb="FFFFE599"/>
      </patternFill>
    </fill>
    <fill>
      <patternFill patternType="solid">
        <fgColor rgb="FFCC0000"/>
        <bgColor rgb="FFCC0000"/>
      </patternFill>
    </fill>
    <fill>
      <patternFill patternType="solid">
        <fgColor rgb="FFCFE2F3"/>
        <bgColor rgb="FFCFE2F3"/>
      </patternFill>
    </fill>
    <fill>
      <patternFill patternType="solid">
        <fgColor rgb="FFFF0000"/>
        <bgColor rgb="FFFF0000"/>
      </patternFill>
    </fill>
    <fill>
      <patternFill patternType="solid">
        <fgColor rgb="FF999999"/>
        <bgColor rgb="FF999999"/>
      </patternFill>
    </fill>
    <fill>
      <patternFill patternType="solid">
        <fgColor rgb="FFD0E0E3"/>
        <bgColor rgb="FFD0E0E3"/>
      </patternFill>
    </fill>
    <fill>
      <patternFill patternType="solid">
        <fgColor rgb="FFE6B8AF"/>
        <bgColor rgb="FFE6B8AF"/>
      </patternFill>
    </fill>
    <fill>
      <patternFill patternType="solid">
        <fgColor rgb="FFFCE5CD"/>
        <bgColor rgb="FFFCE5CD"/>
      </patternFill>
    </fill>
  </fills>
  <borders count="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292">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49" xfId="0" applyAlignment="1" applyFill="1" applyFont="1" applyNumberFormat="1">
      <alignment readingOrder="0"/>
    </xf>
    <xf borderId="0" fillId="0" fontId="2" numFmtId="0" xfId="0" applyAlignment="1" applyFont="1">
      <alignment readingOrder="0"/>
    </xf>
    <xf borderId="0" fillId="0" fontId="2" numFmtId="49" xfId="0" applyAlignment="1" applyFont="1" applyNumberFormat="1">
      <alignment readingOrder="0"/>
    </xf>
    <xf borderId="0" fillId="0" fontId="2" numFmtId="164" xfId="0" applyAlignment="1" applyFont="1" applyNumberFormat="1">
      <alignment readingOrder="0"/>
    </xf>
    <xf borderId="0" fillId="0" fontId="2" numFmtId="0" xfId="0" applyAlignment="1" applyFont="1">
      <alignment readingOrder="0"/>
    </xf>
    <xf borderId="0" fillId="0" fontId="2" numFmtId="165" xfId="0" applyAlignment="1" applyFont="1" applyNumberFormat="1">
      <alignment readingOrder="0"/>
    </xf>
    <xf borderId="0" fillId="3" fontId="1" numFmtId="0" xfId="0" applyAlignment="1" applyFill="1" applyFont="1">
      <alignment readingOrder="0"/>
    </xf>
    <xf borderId="0" fillId="0" fontId="2" numFmtId="0" xfId="0" applyAlignment="1" applyFont="1">
      <alignment readingOrder="0" shrinkToFit="0" wrapText="1"/>
    </xf>
    <xf borderId="0" fillId="4" fontId="3" numFmtId="166" xfId="0" applyAlignment="1" applyFill="1" applyFont="1" applyNumberFormat="1">
      <alignment horizontal="center" readingOrder="0" vertical="center"/>
    </xf>
    <xf borderId="0" fillId="0" fontId="2" numFmtId="167" xfId="0" applyAlignment="1" applyFont="1" applyNumberFormat="1">
      <alignment readingOrder="0"/>
    </xf>
    <xf borderId="0" fillId="0" fontId="2" numFmtId="166" xfId="0" applyAlignment="1" applyFont="1" applyNumberFormat="1">
      <alignment readingOrder="0"/>
    </xf>
    <xf borderId="0" fillId="0" fontId="2" numFmtId="0" xfId="0" applyAlignment="1" applyFont="1">
      <alignment readingOrder="0"/>
    </xf>
    <xf borderId="0" fillId="5" fontId="1" numFmtId="0" xfId="0" applyAlignment="1" applyFill="1" applyFont="1">
      <alignment horizontal="left" readingOrder="0" vertical="center"/>
    </xf>
    <xf borderId="0" fillId="5" fontId="1" numFmtId="0" xfId="0" applyAlignment="1" applyFill="1" applyFont="1">
      <alignment horizontal="center" readingOrder="0" shrinkToFit="0" vertical="center" wrapText="1"/>
    </xf>
    <xf borderId="0" fillId="5" fontId="1" numFmtId="0" xfId="0" applyAlignment="1" applyFill="1" applyFont="1">
      <alignment horizontal="left" readingOrder="0" shrinkToFit="0" vertical="center" wrapText="1"/>
    </xf>
    <xf borderId="0" fillId="0" fontId="2" numFmtId="167" xfId="0" applyFont="1" applyNumberFormat="1"/>
    <xf borderId="0" fillId="0" fontId="4" numFmtId="0" xfId="0" applyAlignment="1" applyFont="1">
      <alignment readingOrder="0"/>
    </xf>
    <xf borderId="1" fillId="6" fontId="1" numFmtId="0" xfId="0" applyAlignment="1" applyBorder="1" applyFill="1" applyFont="1">
      <alignment readingOrder="0" vertical="center"/>
    </xf>
    <xf borderId="2" fillId="0" fontId="5" numFmtId="0" xfId="0" applyBorder="1" applyFont="1"/>
    <xf borderId="3" fillId="0" fontId="5" numFmtId="0" xfId="0" applyBorder="1" applyFont="1"/>
    <xf borderId="0" fillId="5" fontId="1" numFmtId="0" xfId="0" applyAlignment="1" applyFill="1" applyFont="1">
      <alignment readingOrder="0" vertical="center"/>
    </xf>
    <xf borderId="0" fillId="5" fontId="1" numFmtId="168" xfId="0" applyAlignment="1" applyFill="1" applyFont="1" applyNumberFormat="1">
      <alignment readingOrder="0" vertical="center"/>
    </xf>
    <xf borderId="0" fillId="5" fontId="1" numFmtId="169" xfId="0" applyAlignment="1" applyFill="1" applyFont="1" applyNumberFormat="1">
      <alignment readingOrder="0" vertical="center"/>
    </xf>
    <xf borderId="1" fillId="7" fontId="2" numFmtId="0" xfId="0" applyAlignment="1" applyBorder="1" applyFill="1" applyFont="1">
      <alignment vertical="center"/>
    </xf>
    <xf borderId="0" fillId="8" fontId="2" numFmtId="0" xfId="0" applyAlignment="1" applyFill="1" applyFont="1">
      <alignment shrinkToFit="0" vertical="center" wrapText="1"/>
    </xf>
    <xf borderId="0" fillId="8" fontId="2" numFmtId="0" xfId="0" applyAlignment="1" applyFill="1" applyFont="1">
      <alignment vertical="center"/>
    </xf>
    <xf borderId="1" fillId="4" fontId="3" numFmtId="14" xfId="0" applyAlignment="1" applyBorder="1" applyFill="1" applyFont="1" applyNumberFormat="1">
      <alignment horizontal="center" readingOrder="0" vertical="center"/>
    </xf>
    <xf borderId="2" fillId="5" fontId="1" numFmtId="0" xfId="0" applyAlignment="1" applyBorder="1" applyFill="1" applyFont="1">
      <alignment horizontal="left" readingOrder="0" vertical="center"/>
    </xf>
    <xf borderId="2" fillId="5" fontId="1" numFmtId="0" xfId="0" applyAlignment="1" applyBorder="1" applyFill="1" applyFont="1">
      <alignment horizontal="center" readingOrder="0" shrinkToFit="0" vertical="center" wrapText="1"/>
    </xf>
    <xf borderId="2" fillId="5" fontId="6" numFmtId="0" xfId="0" applyAlignment="1" applyBorder="1" applyFill="1" applyFont="1">
      <alignment horizontal="left" readingOrder="0" shrinkToFit="0" vertical="center" wrapText="1"/>
    </xf>
    <xf borderId="1" fillId="5" fontId="1" numFmtId="0" xfId="0" applyAlignment="1" applyBorder="1" applyFill="1" applyFont="1">
      <alignment readingOrder="0" vertical="center"/>
    </xf>
    <xf borderId="1" fillId="5" fontId="6" numFmtId="0" xfId="0" applyAlignment="1" applyBorder="1" applyFill="1" applyFont="1">
      <alignment horizontal="center" readingOrder="0" vertical="center"/>
    </xf>
    <xf borderId="0" fillId="8" fontId="6" numFmtId="0" xfId="0" applyAlignment="1" applyFill="1" applyFont="1">
      <alignment horizontal="center" readingOrder="0" shrinkToFit="0" vertical="center" wrapText="1"/>
    </xf>
    <xf borderId="0" fillId="8" fontId="6" numFmtId="0" xfId="0" applyAlignment="1" applyFill="1" applyFont="1">
      <alignment horizontal="center" readingOrder="0" vertical="center"/>
    </xf>
    <xf borderId="1" fillId="0" fontId="1" numFmtId="0" xfId="0" applyAlignment="1" applyBorder="1" applyFont="1">
      <alignment horizontal="center" readingOrder="0" vertical="center"/>
    </xf>
    <xf borderId="2" fillId="9" fontId="1" numFmtId="0" xfId="0" applyAlignment="1" applyBorder="1" applyFill="1" applyFont="1">
      <alignment readingOrder="0" vertical="center"/>
    </xf>
    <xf borderId="2" fillId="9" fontId="1" numFmtId="0" xfId="0" applyAlignment="1" applyBorder="1" applyFill="1" applyFont="1">
      <alignment horizontal="center" readingOrder="0" shrinkToFit="0" vertical="center" wrapText="1"/>
    </xf>
    <xf borderId="2" fillId="9" fontId="1" numFmtId="0" xfId="0" applyAlignment="1" applyBorder="1" applyFill="1" applyFont="1">
      <alignment readingOrder="0" shrinkToFit="0" vertical="center" wrapText="1"/>
    </xf>
    <xf borderId="0" fillId="9" fontId="7" numFmtId="0" xfId="0" applyAlignment="1" applyFill="1" applyFont="1">
      <alignment horizontal="center" readingOrder="0" shrinkToFit="0" wrapText="1"/>
    </xf>
    <xf borderId="1" fillId="9" fontId="7" numFmtId="0" xfId="0" applyAlignment="1" applyBorder="1" applyFill="1" applyFont="1">
      <alignment horizontal="center" readingOrder="0"/>
    </xf>
    <xf borderId="4" fillId="6" fontId="7" numFmtId="0" xfId="0" applyAlignment="1" applyBorder="1" applyFill="1" applyFont="1">
      <alignment horizontal="center" readingOrder="0"/>
    </xf>
    <xf borderId="4" fillId="0" fontId="5" numFmtId="0" xfId="0" applyBorder="1" applyFont="1"/>
    <xf borderId="5" fillId="0" fontId="5" numFmtId="0" xfId="0" applyBorder="1" applyFont="1"/>
    <xf borderId="4" fillId="9" fontId="7" numFmtId="0" xfId="0" applyAlignment="1" applyBorder="1" applyFill="1" applyFont="1">
      <alignment horizontal="center" readingOrder="0"/>
    </xf>
    <xf borderId="0" fillId="8" fontId="1" numFmtId="0" xfId="0" applyAlignment="1" applyFill="1" applyFont="1">
      <alignment readingOrder="0" shrinkToFit="0" vertical="center" wrapText="1"/>
    </xf>
    <xf borderId="0" fillId="0" fontId="2" numFmtId="164" xfId="0" applyFont="1" applyNumberFormat="1"/>
    <xf borderId="0" fillId="8" fontId="1" numFmtId="0" xfId="0" applyAlignment="1" applyFill="1" applyFont="1">
      <alignment readingOrder="0" vertical="center"/>
    </xf>
    <xf borderId="6" fillId="0" fontId="1" numFmtId="0" xfId="0" applyAlignment="1" applyBorder="1" applyFont="1">
      <alignment horizontal="center" readingOrder="0" vertical="center"/>
    </xf>
    <xf borderId="1" fillId="9" fontId="1" numFmtId="0" xfId="0" applyAlignment="1" applyBorder="1" applyFill="1" applyFont="1">
      <alignment readingOrder="0" vertical="center"/>
    </xf>
    <xf borderId="0" fillId="0" fontId="1" numFmtId="0" xfId="0" applyAlignment="1" applyFont="1">
      <alignment readingOrder="0"/>
    </xf>
    <xf borderId="6" fillId="0" fontId="1" numFmtId="0" xfId="0" applyAlignment="1" applyBorder="1" applyFont="1">
      <alignment horizontal="center" readingOrder="0" shrinkToFit="0" vertical="center" wrapText="0"/>
    </xf>
    <xf borderId="0" fillId="0" fontId="2" numFmtId="170" xfId="0" applyAlignment="1" applyFont="1" applyNumberFormat="1">
      <alignment readingOrder="0"/>
    </xf>
    <xf borderId="1" fillId="0" fontId="2" numFmtId="0" xfId="0" applyAlignment="1" applyBorder="1" applyFont="1">
      <alignment readingOrder="0" shrinkToFit="0" vertical="center" wrapText="0"/>
    </xf>
    <xf borderId="0" fillId="0" fontId="2" numFmtId="0" xfId="0" applyFont="1"/>
    <xf borderId="0" fillId="0" fontId="2" numFmtId="170" xfId="0" applyFont="1" applyNumberFormat="1"/>
    <xf borderId="2" fillId="0" fontId="2" numFmtId="0" xfId="0" applyAlignment="1" applyBorder="1" applyFont="1">
      <alignment horizontal="center" readingOrder="0" shrinkToFit="0" vertical="center" wrapText="0"/>
    </xf>
    <xf borderId="2" fillId="0" fontId="2" numFmtId="0" xfId="0" applyAlignment="1" applyBorder="1" applyFont="1">
      <alignment readingOrder="0" shrinkToFit="0" vertical="center" wrapText="0"/>
    </xf>
    <xf borderId="2" fillId="0" fontId="2" numFmtId="0" xfId="0" applyAlignment="1" applyBorder="1" applyFont="1">
      <alignment readingOrder="0" shrinkToFit="0" vertical="center" wrapText="1"/>
    </xf>
    <xf borderId="1" fillId="0" fontId="2" numFmtId="0" xfId="0" applyAlignment="1" applyBorder="1" applyFont="1">
      <alignment readingOrder="0" shrinkToFit="0" vertical="center" wrapText="1"/>
    </xf>
    <xf borderId="0" fillId="8" fontId="1" numFmtId="0" xfId="0" applyAlignment="1" applyFill="1" applyFont="1">
      <alignment readingOrder="0" shrinkToFit="0" vertical="center" wrapText="0"/>
    </xf>
    <xf borderId="0" fillId="8" fontId="2" numFmtId="0" xfId="0" applyAlignment="1" applyFill="1" applyFont="1">
      <alignment readingOrder="0" shrinkToFit="0" vertical="center" wrapText="0"/>
    </xf>
    <xf borderId="1" fillId="0" fontId="8" numFmtId="0" xfId="0" applyAlignment="1" applyBorder="1" applyFont="1">
      <alignment readingOrder="0" vertical="center"/>
    </xf>
    <xf borderId="2" fillId="0" fontId="2" numFmtId="0" xfId="0" applyAlignment="1" applyBorder="1" applyFont="1">
      <alignment horizontal="center" readingOrder="0" shrinkToFit="0" vertical="center" wrapText="1"/>
    </xf>
    <xf borderId="2" fillId="0" fontId="2" numFmtId="0" xfId="0" applyAlignment="1" applyBorder="1" applyFont="1">
      <alignment readingOrder="0" vertical="center"/>
    </xf>
    <xf borderId="2" fillId="0" fontId="2" numFmtId="0" xfId="0" applyAlignment="1" applyBorder="1" applyFont="1">
      <alignment readingOrder="0" shrinkToFit="0" vertical="center" wrapText="1"/>
    </xf>
    <xf borderId="1" fillId="0" fontId="2" numFmtId="0" xfId="0" applyAlignment="1" applyBorder="1" applyFont="1">
      <alignment readingOrder="0" vertical="center"/>
    </xf>
    <xf borderId="0" fillId="8" fontId="2" numFmtId="0" xfId="0" applyAlignment="1" applyFill="1" applyFont="1">
      <alignment readingOrder="0" vertical="center"/>
    </xf>
    <xf borderId="2" fillId="0" fontId="2" numFmtId="0" xfId="0" applyAlignment="1" applyBorder="1" applyFont="1">
      <alignment horizontal="center" readingOrder="0" shrinkToFit="0" vertical="center" wrapText="1"/>
    </xf>
    <xf borderId="2" fillId="0" fontId="2" numFmtId="0" xfId="0" applyAlignment="1" applyBorder="1" applyFont="1">
      <alignment readingOrder="0" vertical="center"/>
    </xf>
    <xf borderId="6" fillId="2" fontId="1" numFmtId="168" xfId="0" applyAlignment="1" applyBorder="1" applyFill="1" applyFont="1" applyNumberFormat="1">
      <alignment readingOrder="0"/>
    </xf>
    <xf borderId="6" fillId="2" fontId="9" numFmtId="168" xfId="0" applyAlignment="1" applyBorder="1" applyFill="1" applyFont="1" applyNumberFormat="1">
      <alignment vertical="bottom"/>
    </xf>
    <xf borderId="6" fillId="2" fontId="9" numFmtId="2" xfId="0" applyAlignment="1" applyBorder="1" applyFill="1" applyFont="1" applyNumberFormat="1">
      <alignment horizontal="center" readingOrder="0" vertical="bottom"/>
    </xf>
    <xf borderId="6" fillId="2" fontId="9" numFmtId="2" xfId="0" applyAlignment="1" applyBorder="1" applyFill="1" applyFont="1" applyNumberFormat="1">
      <alignment vertical="bottom"/>
    </xf>
    <xf borderId="6" fillId="2" fontId="1" numFmtId="0" xfId="0" applyAlignment="1" applyBorder="1" applyFill="1" applyFont="1">
      <alignment readingOrder="0"/>
    </xf>
    <xf borderId="0" fillId="0" fontId="2" numFmtId="0" xfId="0" applyFont="1"/>
    <xf borderId="6" fillId="2" fontId="1" numFmtId="0" xfId="0" applyAlignment="1" applyBorder="1" applyFill="1" applyFont="1">
      <alignment horizontal="center" readingOrder="0" vertical="center"/>
    </xf>
    <xf borderId="6" fillId="2" fontId="1" numFmtId="0" xfId="0" applyAlignment="1" applyBorder="1" applyFill="1" applyFont="1">
      <alignment horizontal="center" vertical="center"/>
    </xf>
    <xf borderId="6" fillId="2" fontId="1" numFmtId="0" xfId="0" applyAlignment="1" applyBorder="1" applyFill="1" applyFont="1">
      <alignment horizontal="center" readingOrder="0" shrinkToFit="0" vertical="center" wrapText="1"/>
    </xf>
    <xf borderId="6" fillId="2" fontId="9" numFmtId="0" xfId="0" applyAlignment="1" applyBorder="1" applyFill="1" applyFont="1">
      <alignment horizontal="center" vertical="center"/>
    </xf>
    <xf borderId="6" fillId="2" fontId="9" numFmtId="168" xfId="0" applyAlignment="1" applyBorder="1" applyFill="1" applyFont="1" applyNumberFormat="1">
      <alignment horizontal="center" vertical="center"/>
    </xf>
    <xf borderId="0" fillId="0" fontId="2" numFmtId="0" xfId="0" applyAlignment="1" applyFont="1">
      <alignment horizontal="center"/>
    </xf>
    <xf borderId="6" fillId="2" fontId="9" numFmtId="2" xfId="0" applyAlignment="1" applyBorder="1" applyFill="1" applyFont="1" applyNumberFormat="1">
      <alignment horizontal="center" vertical="center"/>
    </xf>
    <xf borderId="0" fillId="0" fontId="2" numFmtId="168" xfId="0" applyFont="1" applyNumberFormat="1"/>
    <xf borderId="6" fillId="2" fontId="9" numFmtId="0" xfId="0" applyAlignment="1" applyBorder="1" applyFill="1" applyFont="1">
      <alignment horizontal="center" shrinkToFit="0" vertical="center" wrapText="1"/>
    </xf>
    <xf borderId="6" fillId="0" fontId="2" numFmtId="168" xfId="0" applyBorder="1" applyFont="1" applyNumberFormat="1"/>
    <xf borderId="6" fillId="2" fontId="1" numFmtId="168" xfId="0" applyAlignment="1" applyBorder="1" applyFill="1" applyFont="1" applyNumberFormat="1">
      <alignment horizontal="center" readingOrder="0" vertical="center"/>
    </xf>
    <xf borderId="6" fillId="0" fontId="2" numFmtId="0" xfId="0" applyBorder="1" applyFont="1"/>
    <xf borderId="6" fillId="2" fontId="1" numFmtId="169" xfId="0" applyAlignment="1" applyBorder="1" applyFill="1" applyFont="1" applyNumberFormat="1">
      <alignment horizontal="center" readingOrder="0" vertical="center"/>
    </xf>
    <xf borderId="6" fillId="0" fontId="2" numFmtId="2" xfId="0" applyAlignment="1" applyBorder="1" applyFont="1" applyNumberFormat="1">
      <alignment horizontal="center"/>
    </xf>
    <xf borderId="6" fillId="0" fontId="1" numFmtId="0" xfId="0" applyBorder="1" applyFont="1"/>
    <xf borderId="6" fillId="2" fontId="1" numFmtId="46" xfId="0" applyAlignment="1" applyBorder="1" applyFill="1" applyFont="1" applyNumberFormat="1">
      <alignment horizontal="center" readingOrder="0" vertical="center"/>
    </xf>
    <xf borderId="0" fillId="2" fontId="1" numFmtId="0" xfId="0" applyAlignment="1" applyFill="1" applyFont="1">
      <alignment horizontal="center" readingOrder="0" vertical="center"/>
    </xf>
    <xf borderId="6" fillId="10" fontId="9" numFmtId="0" xfId="0" applyAlignment="1" applyBorder="1" applyFill="1" applyFont="1">
      <alignment horizontal="center" shrinkToFit="0" vertical="bottom" wrapText="1"/>
    </xf>
    <xf borderId="6" fillId="0" fontId="2" numFmtId="0" xfId="0" applyAlignment="1" applyBorder="1" applyFont="1">
      <alignment horizontal="center" readingOrder="0" vertical="center"/>
    </xf>
    <xf borderId="6" fillId="0" fontId="2" numFmtId="166" xfId="0" applyAlignment="1" applyBorder="1" applyFont="1" applyNumberFormat="1">
      <alignment vertical="center"/>
    </xf>
    <xf borderId="6" fillId="0" fontId="2" numFmtId="0" xfId="0" applyAlignment="1" applyBorder="1" applyFont="1">
      <alignment horizontal="center" shrinkToFit="0" vertical="center" wrapText="1"/>
    </xf>
    <xf borderId="6" fillId="0" fontId="10" numFmtId="0" xfId="0" applyAlignment="1" applyBorder="1" applyFont="1">
      <alignment horizontal="center" shrinkToFit="0" vertical="center" wrapText="1"/>
    </xf>
    <xf borderId="6" fillId="0" fontId="2" numFmtId="0" xfId="0" applyAlignment="1" applyBorder="1" applyFont="1">
      <alignment horizontal="center" vertical="center"/>
    </xf>
    <xf borderId="6" fillId="0" fontId="2" numFmtId="0" xfId="0" applyAlignment="1" applyBorder="1" applyFont="1">
      <alignment vertical="center"/>
    </xf>
    <xf borderId="6" fillId="0" fontId="2" numFmtId="0" xfId="0" applyAlignment="1" applyBorder="1" applyFont="1">
      <alignment horizontal="left" vertical="center"/>
    </xf>
    <xf borderId="6" fillId="0" fontId="2" numFmtId="0" xfId="0" applyAlignment="1" applyBorder="1" applyFont="1">
      <alignment shrinkToFit="0" vertical="center" wrapText="1"/>
    </xf>
    <xf borderId="6" fillId="0" fontId="2" numFmtId="168" xfId="0" applyAlignment="1" applyBorder="1" applyFont="1" applyNumberFormat="1">
      <alignment vertical="center"/>
    </xf>
    <xf borderId="6" fillId="0" fontId="2" numFmtId="168" xfId="0" applyAlignment="1" applyBorder="1" applyFont="1" applyNumberFormat="1">
      <alignment readingOrder="0" vertical="center"/>
    </xf>
    <xf borderId="6" fillId="0" fontId="2" numFmtId="0" xfId="0" applyAlignment="1" applyBorder="1" applyFont="1">
      <alignment readingOrder="0" vertical="center"/>
    </xf>
    <xf borderId="6" fillId="0" fontId="2" numFmtId="2" xfId="0" applyAlignment="1" applyBorder="1" applyFont="1" applyNumberFormat="1">
      <alignment vertical="center"/>
    </xf>
    <xf borderId="6" fillId="0" fontId="1" numFmtId="2" xfId="0" applyAlignment="1" applyBorder="1" applyFont="1" applyNumberFormat="1">
      <alignment readingOrder="0" vertical="center"/>
    </xf>
    <xf borderId="6" fillId="0" fontId="2" numFmtId="0" xfId="0" applyAlignment="1" applyBorder="1" applyFont="1">
      <alignment readingOrder="0" shrinkToFit="0" vertical="center" wrapText="1"/>
    </xf>
    <xf borderId="6" fillId="0" fontId="2" numFmtId="169" xfId="0" applyAlignment="1" applyBorder="1" applyFont="1" applyNumberFormat="1">
      <alignment vertical="center"/>
    </xf>
    <xf borderId="6" fillId="0" fontId="1" numFmtId="2" xfId="0" applyAlignment="1" applyBorder="1" applyFont="1" applyNumberFormat="1">
      <alignment vertical="center"/>
    </xf>
    <xf borderId="6" fillId="0" fontId="2" numFmtId="46" xfId="0" applyAlignment="1" applyBorder="1" applyFont="1" applyNumberFormat="1">
      <alignment vertical="center"/>
    </xf>
    <xf borderId="6" fillId="0" fontId="1" numFmtId="2" xfId="0" applyAlignment="1" applyBorder="1" applyFont="1" applyNumberFormat="1">
      <alignment shrinkToFit="0" vertical="center" wrapText="1"/>
    </xf>
    <xf borderId="6" fillId="8" fontId="1" numFmtId="0" xfId="0" applyAlignment="1" applyBorder="1" applyFill="1" applyFont="1">
      <alignment horizontal="center" readingOrder="0" shrinkToFit="0" vertical="center" wrapText="1"/>
    </xf>
    <xf borderId="0" fillId="8" fontId="11" numFmtId="0" xfId="0" applyAlignment="1" applyFill="1" applyFont="1">
      <alignment horizontal="center" readingOrder="0" shrinkToFit="0" vertical="center" wrapText="1"/>
    </xf>
    <xf borderId="0" fillId="8" fontId="1" numFmtId="0" xfId="0" applyAlignment="1" applyFill="1" applyFont="1">
      <alignment horizontal="center" readingOrder="0" vertical="center"/>
    </xf>
    <xf borderId="6" fillId="0" fontId="2" numFmtId="164" xfId="0" applyAlignment="1" applyBorder="1" applyFont="1" applyNumberFormat="1">
      <alignment readingOrder="0" vertical="center"/>
    </xf>
    <xf borderId="0" fillId="0" fontId="2" numFmtId="3" xfId="0" applyAlignment="1" applyFont="1" applyNumberFormat="1">
      <alignment readingOrder="0"/>
    </xf>
    <xf borderId="6" fillId="0" fontId="2" numFmtId="168" xfId="0" applyAlignment="1" applyBorder="1" applyFont="1" applyNumberFormat="1">
      <alignment readingOrder="0" vertical="center"/>
    </xf>
    <xf borderId="0" fillId="11" fontId="3" numFmtId="0" xfId="0" applyAlignment="1" applyFill="1" applyFont="1">
      <alignment readingOrder="0"/>
    </xf>
    <xf borderId="0" fillId="12" fontId="3" numFmtId="0" xfId="0" applyAlignment="1" applyFill="1" applyFont="1">
      <alignment readingOrder="0"/>
    </xf>
    <xf borderId="0" fillId="13" fontId="3" numFmtId="0" xfId="0" applyAlignment="1" applyFill="1" applyFont="1">
      <alignment readingOrder="0"/>
    </xf>
    <xf borderId="0" fillId="14" fontId="1" numFmtId="171" xfId="0" applyAlignment="1" applyFill="1" applyFont="1" applyNumberFormat="1">
      <alignment readingOrder="0"/>
    </xf>
    <xf borderId="0" fillId="15" fontId="1" numFmtId="0" xfId="0" applyAlignment="1" applyFill="1" applyFont="1">
      <alignment readingOrder="0"/>
    </xf>
    <xf borderId="0" fillId="16" fontId="2" numFmtId="0" xfId="0" applyAlignment="1" applyFill="1" applyFont="1">
      <alignment readingOrder="0"/>
    </xf>
    <xf borderId="0" fillId="16" fontId="2" numFmtId="3" xfId="0" applyAlignment="1" applyFill="1" applyFont="1" applyNumberFormat="1">
      <alignment readingOrder="0"/>
    </xf>
    <xf borderId="0" fillId="16" fontId="2" numFmtId="164" xfId="0" applyAlignment="1" applyFill="1" applyFont="1" applyNumberFormat="1">
      <alignment readingOrder="0"/>
    </xf>
    <xf borderId="0" fillId="16" fontId="2" numFmtId="165" xfId="0" applyAlignment="1" applyFill="1" applyFont="1" applyNumberFormat="1">
      <alignment readingOrder="0"/>
    </xf>
    <xf borderId="0" fillId="16" fontId="2" numFmtId="0" xfId="0" applyFill="1" applyFont="1"/>
    <xf borderId="0" fillId="17" fontId="3" numFmtId="0" xfId="0" applyAlignment="1" applyFill="1" applyFont="1">
      <alignment readingOrder="0"/>
    </xf>
    <xf borderId="0" fillId="18" fontId="3" numFmtId="0" xfId="0" applyAlignment="1" applyFill="1" applyFont="1">
      <alignment readingOrder="0"/>
    </xf>
    <xf borderId="0" fillId="14" fontId="1" numFmtId="0" xfId="0" applyAlignment="1" applyFill="1" applyFont="1">
      <alignment readingOrder="0"/>
    </xf>
    <xf borderId="0" fillId="0" fontId="2" numFmtId="171" xfId="0" applyAlignment="1" applyFont="1" applyNumberFormat="1">
      <alignment readingOrder="0"/>
    </xf>
    <xf borderId="0" fillId="0" fontId="2" numFmtId="10" xfId="0" applyAlignment="1" applyFont="1" applyNumberFormat="1">
      <alignment readingOrder="0"/>
    </xf>
    <xf borderId="1" fillId="17" fontId="12" numFmtId="0" xfId="0" applyAlignment="1" applyBorder="1" applyFill="1" applyFont="1">
      <alignment horizontal="center" readingOrder="0" shrinkToFit="0" wrapText="1"/>
    </xf>
    <xf borderId="6" fillId="18" fontId="13" numFmtId="0" xfId="0" applyAlignment="1" applyBorder="1" applyFill="1" applyFont="1">
      <alignment horizontal="center" readingOrder="0" shrinkToFit="0" wrapText="1"/>
    </xf>
    <xf borderId="6" fillId="14" fontId="14" numFmtId="0" xfId="0" applyAlignment="1" applyBorder="1" applyFill="1" applyFont="1">
      <alignment horizontal="center" readingOrder="0" shrinkToFit="0" wrapText="1"/>
    </xf>
    <xf borderId="6" fillId="14" fontId="14" numFmtId="172" xfId="0" applyAlignment="1" applyBorder="1" applyFill="1" applyFont="1" applyNumberFormat="1">
      <alignment horizontal="center" readingOrder="0" shrinkToFit="0" wrapText="1"/>
    </xf>
    <xf borderId="6" fillId="2" fontId="9" numFmtId="0" xfId="0" applyAlignment="1" applyBorder="1" applyFill="1" applyFont="1">
      <alignment horizontal="center" readingOrder="0" shrinkToFit="0" vertical="center" wrapText="1"/>
    </xf>
    <xf borderId="7" fillId="15" fontId="9" numFmtId="0" xfId="0" applyAlignment="1" applyBorder="1" applyFill="1" applyFont="1">
      <alignment horizontal="center" shrinkToFit="0" vertical="bottom" wrapText="1"/>
    </xf>
    <xf borderId="7" fillId="15" fontId="9" numFmtId="0" xfId="0" applyAlignment="1" applyBorder="1" applyFill="1" applyFont="1">
      <alignment horizontal="center" readingOrder="0" shrinkToFit="0" vertical="bottom" wrapText="1"/>
    </xf>
    <xf borderId="6" fillId="15" fontId="9" numFmtId="0" xfId="0" applyAlignment="1" applyBorder="1" applyFill="1" applyFont="1">
      <alignment horizontal="center" readingOrder="0" shrinkToFit="0" vertical="bottom" wrapText="1"/>
    </xf>
    <xf borderId="8" fillId="0" fontId="5" numFmtId="0" xfId="0" applyBorder="1" applyFont="1"/>
    <xf borderId="6" fillId="19" fontId="9" numFmtId="0" xfId="0" applyAlignment="1" applyBorder="1" applyFill="1" applyFont="1">
      <alignment horizontal="center" readingOrder="0" shrinkToFit="0" vertical="center" wrapText="1"/>
    </xf>
    <xf borderId="6" fillId="8" fontId="9" numFmtId="171" xfId="0" applyAlignment="1" applyBorder="1" applyFill="1" applyFont="1" applyNumberFormat="1">
      <alignment horizontal="center" readingOrder="0" vertical="center"/>
    </xf>
    <xf borderId="6" fillId="0" fontId="1" numFmtId="0" xfId="0" applyAlignment="1" applyBorder="1" applyFont="1">
      <alignment readingOrder="0" shrinkToFit="0" wrapText="1"/>
    </xf>
    <xf borderId="6" fillId="8" fontId="9" numFmtId="0" xfId="0" applyAlignment="1" applyBorder="1" applyFill="1" applyFont="1">
      <alignment horizontal="center" readingOrder="0" vertical="center"/>
    </xf>
    <xf borderId="6" fillId="8" fontId="9" numFmtId="0" xfId="0" applyAlignment="1" applyBorder="1" applyFill="1" applyFont="1">
      <alignment horizontal="center" readingOrder="0" vertical="center"/>
    </xf>
    <xf borderId="6" fillId="8" fontId="9" numFmtId="10" xfId="0" applyAlignment="1" applyBorder="1" applyFill="1" applyFont="1" applyNumberFormat="1">
      <alignment horizontal="center" readingOrder="0" vertical="center"/>
    </xf>
    <xf borderId="5" fillId="19" fontId="14" numFmtId="0" xfId="0" applyAlignment="1" applyBorder="1" applyFill="1" applyFont="1">
      <alignment horizontal="center" readingOrder="0" shrinkToFit="0" vertical="bottom" wrapText="1"/>
    </xf>
    <xf borderId="0" fillId="0" fontId="2" numFmtId="0" xfId="0" applyAlignment="1" applyFont="1">
      <alignment horizontal="center" vertical="center"/>
    </xf>
    <xf borderId="6" fillId="8" fontId="9" numFmtId="0" xfId="0" applyAlignment="1" applyBorder="1" applyFill="1" applyFont="1">
      <alignment horizontal="center" vertical="center"/>
    </xf>
    <xf borderId="6" fillId="8" fontId="9" numFmtId="0" xfId="0" applyAlignment="1" applyBorder="1" applyFill="1" applyFont="1">
      <alignment horizontal="center" vertical="center"/>
    </xf>
    <xf borderId="6" fillId="0" fontId="1" numFmtId="0" xfId="0" applyAlignment="1" applyBorder="1" applyFont="1">
      <alignment shrinkToFit="0" wrapText="1"/>
    </xf>
    <xf borderId="6" fillId="8" fontId="9" numFmtId="10" xfId="0" applyAlignment="1" applyBorder="1" applyFill="1" applyFont="1" applyNumberFormat="1">
      <alignment horizontal="center" vertical="center"/>
    </xf>
    <xf borderId="6" fillId="0" fontId="1" numFmtId="0" xfId="0" applyAlignment="1" applyBorder="1" applyFont="1">
      <alignment readingOrder="0"/>
    </xf>
    <xf borderId="6" fillId="0" fontId="15" numFmtId="0" xfId="0" applyAlignment="1" applyBorder="1" applyFont="1">
      <alignment vertical="bottom"/>
    </xf>
    <xf borderId="6" fillId="0" fontId="16" numFmtId="0" xfId="0" applyAlignment="1" applyBorder="1" applyFont="1">
      <alignment horizontal="center" readingOrder="0" shrinkToFit="0" vertical="center" wrapText="1"/>
    </xf>
    <xf borderId="6" fillId="0" fontId="2" numFmtId="0" xfId="0" applyAlignment="1" applyBorder="1" applyFont="1">
      <alignment readingOrder="0"/>
    </xf>
    <xf borderId="6" fillId="0" fontId="2" numFmtId="0" xfId="0" applyBorder="1" applyFont="1"/>
    <xf borderId="6" fillId="0" fontId="2" numFmtId="0" xfId="0" applyAlignment="1" applyBorder="1" applyFont="1">
      <alignment shrinkToFit="0" wrapText="1"/>
    </xf>
    <xf borderId="6" fillId="0" fontId="2" numFmtId="0" xfId="0" applyAlignment="1" applyBorder="1" applyFont="1">
      <alignment readingOrder="0" shrinkToFit="0" wrapText="1"/>
    </xf>
    <xf borderId="6" fillId="0" fontId="2" numFmtId="0" xfId="0" applyAlignment="1" applyBorder="1" applyFont="1">
      <alignment horizontal="center" readingOrder="0" shrinkToFit="0" vertical="center" wrapText="1"/>
    </xf>
    <xf borderId="0" fillId="0" fontId="17" numFmtId="0" xfId="0" applyAlignment="1" applyFont="1">
      <alignment shrinkToFit="0" vertical="center" wrapText="1"/>
    </xf>
    <xf borderId="0" fillId="8" fontId="18" numFmtId="0" xfId="0" applyAlignment="1" applyFill="1" applyFont="1">
      <alignment readingOrder="0"/>
    </xf>
    <xf borderId="0" fillId="0" fontId="1" numFmtId="0" xfId="0" applyAlignment="1" applyFont="1">
      <alignment horizontal="center" readingOrder="0" shrinkToFit="0" wrapText="1"/>
    </xf>
    <xf borderId="0" fillId="0" fontId="15" numFmtId="173" xfId="0" applyAlignment="1" applyFont="1" applyNumberFormat="1">
      <alignment horizontal="right" vertical="bottom"/>
    </xf>
    <xf borderId="0" fillId="0" fontId="17" numFmtId="174" xfId="0" applyAlignment="1" applyFont="1" applyNumberFormat="1">
      <alignment horizontal="right" vertical="bottom"/>
    </xf>
    <xf borderId="0" fillId="0" fontId="17" numFmtId="174" xfId="0" applyAlignment="1" applyFont="1" applyNumberFormat="1">
      <alignment horizontal="right" readingOrder="0" vertical="bottom"/>
    </xf>
    <xf borderId="0" fillId="0" fontId="2" numFmtId="174" xfId="0" applyFont="1" applyNumberFormat="1"/>
    <xf borderId="0" fillId="15" fontId="9" numFmtId="0" xfId="0" applyAlignment="1" applyFill="1" applyFont="1">
      <alignment horizontal="center" shrinkToFit="0" vertical="center" wrapText="1"/>
    </xf>
    <xf borderId="0" fillId="15" fontId="9" numFmtId="0" xfId="0" applyAlignment="1" applyFill="1" applyFont="1">
      <alignment horizontal="center" readingOrder="0" shrinkToFit="0" vertical="center" wrapText="1"/>
    </xf>
    <xf borderId="0" fillId="19" fontId="9" numFmtId="0" xfId="0" applyAlignment="1" applyFill="1" applyFont="1">
      <alignment horizontal="left" readingOrder="0" shrinkToFit="0" vertical="center" wrapText="1"/>
    </xf>
    <xf borderId="0" fillId="0" fontId="2" numFmtId="46" xfId="0" applyFont="1" applyNumberFormat="1"/>
    <xf borderId="0" fillId="8" fontId="19" numFmtId="0" xfId="0" applyAlignment="1" applyFill="1" applyFont="1">
      <alignment readingOrder="0"/>
    </xf>
    <xf borderId="6" fillId="20" fontId="12" numFmtId="174" xfId="0" applyAlignment="1" applyBorder="1" applyFill="1" applyFont="1" applyNumberFormat="1">
      <alignment horizontal="left" shrinkToFit="0" vertical="center" wrapText="1"/>
    </xf>
    <xf borderId="3" fillId="21" fontId="13" numFmtId="0" xfId="0" applyAlignment="1" applyBorder="1" applyFill="1" applyFont="1">
      <alignment horizontal="center" shrinkToFit="0" vertical="center" wrapText="1"/>
    </xf>
    <xf borderId="3" fillId="22" fontId="14" numFmtId="0" xfId="0" applyAlignment="1" applyBorder="1" applyFill="1" applyFont="1">
      <alignment horizontal="center" shrinkToFit="0" vertical="center" wrapText="1"/>
    </xf>
    <xf borderId="3" fillId="22" fontId="14" numFmtId="175" xfId="0" applyAlignment="1" applyBorder="1" applyFill="1" applyFont="1" applyNumberFormat="1">
      <alignment horizontal="center" shrinkToFit="0" vertical="center" wrapText="1"/>
    </xf>
    <xf borderId="2" fillId="22" fontId="14" numFmtId="172" xfId="0" applyAlignment="1" applyBorder="1" applyFill="1" applyFont="1" applyNumberFormat="1">
      <alignment horizontal="center" shrinkToFit="0" vertical="center" wrapText="1"/>
    </xf>
    <xf borderId="0" fillId="8" fontId="14" numFmtId="0" xfId="0" applyAlignment="1" applyFill="1" applyFont="1">
      <alignment horizontal="center" readingOrder="0" shrinkToFit="0" vertical="center" wrapText="1"/>
    </xf>
    <xf borderId="0" fillId="8" fontId="14" numFmtId="0" xfId="0" applyAlignment="1" applyFill="1" applyFont="1">
      <alignment horizontal="center" shrinkToFit="0" vertical="center" wrapText="1"/>
    </xf>
    <xf borderId="0" fillId="8" fontId="14" numFmtId="169" xfId="0" applyAlignment="1" applyFill="1" applyFont="1" applyNumberFormat="1">
      <alignment horizontal="center" shrinkToFit="0" vertical="center" wrapText="1"/>
    </xf>
    <xf borderId="0" fillId="0" fontId="2" numFmtId="0" xfId="0" applyAlignment="1" applyFont="1">
      <alignment shrinkToFit="0" vertical="center" wrapText="1"/>
    </xf>
    <xf borderId="5" fillId="15" fontId="14" numFmtId="168" xfId="0" applyAlignment="1" applyBorder="1" applyFill="1" applyFont="1" applyNumberFormat="1">
      <alignment horizontal="left" readingOrder="0" shrinkToFit="0" vertical="center" wrapText="1"/>
    </xf>
    <xf borderId="5" fillId="15" fontId="14" numFmtId="168" xfId="0" applyAlignment="1" applyBorder="1" applyFill="1" applyFont="1" applyNumberFormat="1">
      <alignment horizontal="center" readingOrder="0" shrinkToFit="0" vertical="center" wrapText="1"/>
    </xf>
    <xf borderId="4" fillId="15" fontId="14" numFmtId="168" xfId="0" applyAlignment="1" applyBorder="1" applyFill="1" applyFont="1" applyNumberFormat="1">
      <alignment horizontal="center" shrinkToFit="0" wrapText="1"/>
    </xf>
    <xf borderId="4" fillId="15" fontId="14" numFmtId="169" xfId="0" applyAlignment="1" applyBorder="1" applyFill="1" applyFont="1" applyNumberFormat="1">
      <alignment horizontal="center" shrinkToFit="0" wrapText="1"/>
    </xf>
    <xf borderId="4" fillId="15" fontId="14" numFmtId="0" xfId="0" applyAlignment="1" applyBorder="1" applyFill="1" applyFont="1">
      <alignment horizontal="center" readingOrder="0" shrinkToFit="0" vertical="center" wrapText="1"/>
    </xf>
    <xf borderId="0" fillId="0" fontId="2" numFmtId="0" xfId="0" applyAlignment="1" applyFont="1">
      <alignment horizontal="left" shrinkToFit="0" vertical="center" wrapText="1"/>
    </xf>
    <xf borderId="0" fillId="0" fontId="2" numFmtId="0" xfId="0" applyAlignment="1" applyFont="1">
      <alignment horizontal="center" shrinkToFit="0" vertical="center" wrapText="1"/>
    </xf>
    <xf borderId="0" fillId="0" fontId="2" numFmtId="0" xfId="0" applyAlignment="1" applyFont="1">
      <alignment shrinkToFit="0" vertical="center" wrapText="1"/>
    </xf>
    <xf borderId="0" fillId="0" fontId="2" numFmtId="168" xfId="0" applyAlignment="1" applyFont="1" applyNumberFormat="1">
      <alignment shrinkToFit="0" vertical="center" wrapText="1"/>
    </xf>
    <xf borderId="0" fillId="0" fontId="2" numFmtId="169" xfId="0" applyAlignment="1" applyFont="1" applyNumberFormat="1">
      <alignment shrinkToFit="0" vertical="center" wrapText="1"/>
    </xf>
    <xf borderId="0" fillId="0" fontId="2" numFmtId="175" xfId="0" applyFont="1" applyNumberFormat="1"/>
    <xf borderId="0" fillId="0" fontId="2" numFmtId="0" xfId="0" applyAlignment="1" applyFont="1">
      <alignment horizontal="left"/>
    </xf>
    <xf borderId="0" fillId="0" fontId="2" numFmtId="0" xfId="0" applyAlignment="1" applyFont="1">
      <alignment horizontal="center"/>
    </xf>
    <xf borderId="0" fillId="0" fontId="2" numFmtId="169" xfId="0" applyFont="1" applyNumberFormat="1"/>
    <xf borderId="6" fillId="19" fontId="9" numFmtId="0" xfId="0" applyAlignment="1" applyBorder="1" applyFill="1" applyFont="1">
      <alignment horizontal="left" readingOrder="0" shrinkToFit="0" vertical="center" wrapText="1"/>
    </xf>
    <xf borderId="6" fillId="19" fontId="9" numFmtId="10" xfId="0" applyAlignment="1" applyBorder="1" applyFill="1" applyFont="1" applyNumberFormat="1">
      <alignment horizontal="center" readingOrder="0" shrinkToFit="0" vertical="center" wrapText="1"/>
    </xf>
    <xf borderId="6" fillId="23" fontId="9" numFmtId="0" xfId="0" applyAlignment="1" applyBorder="1" applyFill="1" applyFont="1">
      <alignment horizontal="center" shrinkToFit="0" vertical="center" wrapText="1"/>
    </xf>
    <xf borderId="3" fillId="23" fontId="15" numFmtId="2" xfId="0" applyAlignment="1" applyBorder="1" applyFill="1" applyFont="1" applyNumberFormat="1">
      <alignment horizontal="center" vertical="center"/>
    </xf>
    <xf borderId="3" fillId="23" fontId="15" numFmtId="10" xfId="0" applyAlignment="1" applyBorder="1" applyFill="1" applyFont="1" applyNumberFormat="1">
      <alignment horizontal="center" vertical="center"/>
    </xf>
    <xf borderId="0" fillId="24" fontId="9" numFmtId="0" xfId="0" applyAlignment="1" applyFill="1" applyFont="1">
      <alignment vertical="bottom"/>
    </xf>
    <xf borderId="6" fillId="24" fontId="9" numFmtId="0" xfId="0" applyAlignment="1" applyBorder="1" applyFill="1" applyFont="1">
      <alignment horizontal="center" vertical="bottom"/>
    </xf>
    <xf borderId="6" fillId="24" fontId="9" numFmtId="0" xfId="0" applyAlignment="1" applyBorder="1" applyFill="1" applyFont="1">
      <alignment vertical="bottom"/>
    </xf>
    <xf borderId="6" fillId="24" fontId="9" numFmtId="0" xfId="0" applyAlignment="1" applyBorder="1" applyFill="1" applyFont="1">
      <alignment vertical="bottom"/>
    </xf>
    <xf borderId="6" fillId="0" fontId="15" numFmtId="172" xfId="0" applyAlignment="1" applyBorder="1" applyFont="1" applyNumberFormat="1">
      <alignment horizontal="right" vertical="bottom"/>
    </xf>
    <xf borderId="3" fillId="0" fontId="15" numFmtId="172" xfId="0" applyAlignment="1" applyBorder="1" applyFont="1" applyNumberFormat="1">
      <alignment horizontal="right" vertical="bottom"/>
    </xf>
    <xf borderId="6" fillId="6" fontId="15" numFmtId="0" xfId="0" applyAlignment="1" applyBorder="1" applyFill="1" applyFont="1">
      <alignment vertical="bottom"/>
    </xf>
    <xf borderId="6" fillId="6" fontId="15" numFmtId="0" xfId="0" applyAlignment="1" applyBorder="1" applyFill="1" applyFont="1">
      <alignment horizontal="right" vertical="bottom"/>
    </xf>
    <xf borderId="8" fillId="0" fontId="15" numFmtId="172" xfId="0" applyAlignment="1" applyBorder="1" applyFont="1" applyNumberFormat="1">
      <alignment horizontal="right" vertical="bottom"/>
    </xf>
    <xf borderId="5" fillId="0" fontId="15" numFmtId="172" xfId="0" applyAlignment="1" applyBorder="1" applyFont="1" applyNumberFormat="1">
      <alignment horizontal="right" vertical="bottom"/>
    </xf>
    <xf borderId="0" fillId="0" fontId="15" numFmtId="0" xfId="0" applyAlignment="1" applyFont="1">
      <alignment vertical="bottom"/>
    </xf>
    <xf borderId="0" fillId="0" fontId="1" numFmtId="0" xfId="0" applyAlignment="1" applyFont="1">
      <alignment horizontal="center" readingOrder="0" vertical="center"/>
    </xf>
    <xf borderId="1" fillId="2" fontId="1" numFmtId="0" xfId="0" applyAlignment="1" applyBorder="1" applyFill="1" applyFont="1">
      <alignment horizontal="center" readingOrder="0" vertical="center"/>
    </xf>
    <xf borderId="1" fillId="25" fontId="3" numFmtId="0" xfId="0" applyAlignment="1" applyBorder="1" applyFill="1" applyFont="1">
      <alignment horizontal="center" vertical="center"/>
    </xf>
    <xf borderId="1" fillId="25" fontId="3" numFmtId="0" xfId="0" applyAlignment="1" applyBorder="1" applyFill="1" applyFont="1">
      <alignment horizontal="center" readingOrder="0" vertical="center"/>
    </xf>
    <xf borderId="1" fillId="25" fontId="3" numFmtId="46" xfId="0" applyAlignment="1" applyBorder="1" applyFill="1" applyFont="1" applyNumberFormat="1">
      <alignment horizontal="center" vertical="center"/>
    </xf>
    <xf borderId="6" fillId="26" fontId="2" numFmtId="0" xfId="0" applyAlignment="1" applyBorder="1" applyFill="1" applyFont="1">
      <alignment horizontal="center" readingOrder="0" vertical="center"/>
    </xf>
    <xf borderId="6" fillId="7" fontId="2" numFmtId="0" xfId="0" applyAlignment="1" applyBorder="1" applyFill="1" applyFont="1">
      <alignment horizontal="center" readingOrder="0" vertical="center"/>
    </xf>
    <xf borderId="6" fillId="0" fontId="2" numFmtId="0" xfId="0" applyAlignment="1" applyBorder="1" applyFont="1">
      <alignment vertical="center"/>
    </xf>
    <xf borderId="0" fillId="27" fontId="3" numFmtId="168" xfId="0" applyAlignment="1" applyFill="1" applyFont="1" applyNumberFormat="1">
      <alignment shrinkToFit="0" vertical="center" wrapText="1"/>
    </xf>
    <xf borderId="6" fillId="0" fontId="2" numFmtId="46" xfId="0" applyAlignment="1" applyBorder="1" applyFont="1" applyNumberFormat="1">
      <alignment horizontal="right" vertical="center"/>
    </xf>
    <xf borderId="0" fillId="2" fontId="2" numFmtId="0" xfId="0" applyFill="1" applyFont="1"/>
    <xf borderId="0" fillId="8" fontId="2" numFmtId="0" xfId="0" applyFill="1" applyFont="1"/>
    <xf borderId="0" fillId="0" fontId="2" numFmtId="0" xfId="0" applyAlignment="1" applyFont="1">
      <alignment horizontal="center" readingOrder="0"/>
    </xf>
    <xf borderId="0" fillId="0" fontId="1" numFmtId="0" xfId="0" applyAlignment="1" applyFont="1">
      <alignment horizontal="center" readingOrder="0"/>
    </xf>
    <xf borderId="0" fillId="0" fontId="1" numFmtId="168" xfId="0" applyFont="1" applyNumberFormat="1"/>
    <xf borderId="0" fillId="0" fontId="2" numFmtId="0" xfId="0" applyAlignment="1" applyFont="1">
      <alignment horizontal="center" readingOrder="0"/>
    </xf>
    <xf borderId="0" fillId="28" fontId="2" numFmtId="14" xfId="0" applyAlignment="1" applyFill="1" applyFont="1" applyNumberFormat="1">
      <alignment readingOrder="0"/>
    </xf>
    <xf borderId="0" fillId="28" fontId="2" numFmtId="0" xfId="0" applyAlignment="1" applyFill="1" applyFont="1">
      <alignment readingOrder="0"/>
    </xf>
    <xf borderId="0" fillId="0" fontId="2" numFmtId="168" xfId="0" applyFont="1" applyNumberFormat="1"/>
    <xf borderId="0" fillId="0" fontId="2" numFmtId="168" xfId="0" applyAlignment="1" applyFont="1" applyNumberFormat="1">
      <alignment readingOrder="0"/>
    </xf>
    <xf borderId="6" fillId="0" fontId="20" numFmtId="0" xfId="0" applyAlignment="1" applyBorder="1" applyFont="1">
      <alignment horizontal="center" readingOrder="0"/>
    </xf>
    <xf borderId="6" fillId="0" fontId="2" numFmtId="0" xfId="0" applyAlignment="1" applyBorder="1" applyFont="1">
      <alignment horizontal="center" readingOrder="0"/>
    </xf>
    <xf borderId="0" fillId="0" fontId="2" numFmtId="9" xfId="0" applyAlignment="1" applyFont="1" applyNumberFormat="1">
      <alignment readingOrder="0"/>
    </xf>
    <xf borderId="0" fillId="0" fontId="2" numFmtId="2" xfId="0" applyAlignment="1" applyFont="1" applyNumberFormat="1">
      <alignment horizontal="center"/>
    </xf>
    <xf borderId="0" fillId="0" fontId="1" numFmtId="0" xfId="0" applyFont="1"/>
    <xf borderId="6" fillId="0" fontId="21" numFmtId="0" xfId="0" applyAlignment="1" applyBorder="1" applyFont="1">
      <alignment horizontal="center" readingOrder="0" shrinkToFit="0" vertical="center" wrapText="1"/>
    </xf>
    <xf borderId="0" fillId="0" fontId="2" numFmtId="0" xfId="0" applyAlignment="1" applyFont="1">
      <alignment horizontal="center" readingOrder="0" shrinkToFit="0" vertical="center" wrapText="1"/>
    </xf>
    <xf borderId="0" fillId="0" fontId="2" numFmtId="174" xfId="0" applyAlignment="1" applyFont="1" applyNumberFormat="1">
      <alignment horizontal="center" readingOrder="0" shrinkToFit="0" vertical="center" wrapText="1"/>
    </xf>
    <xf borderId="0" fillId="29" fontId="1" numFmtId="0" xfId="0" applyAlignment="1" applyFill="1" applyFont="1">
      <alignment horizontal="center" readingOrder="0" vertical="center"/>
    </xf>
    <xf borderId="0" fillId="30" fontId="1" numFmtId="0" xfId="0" applyAlignment="1" applyFill="1" applyFont="1">
      <alignment horizontal="center" readingOrder="0" vertical="center"/>
    </xf>
    <xf borderId="0" fillId="14" fontId="1" numFmtId="0" xfId="0" applyAlignment="1" applyFill="1" applyFont="1">
      <alignment horizontal="center" readingOrder="0" vertical="center"/>
    </xf>
    <xf borderId="0" fillId="24" fontId="1" numFmtId="0" xfId="0" applyAlignment="1" applyFill="1" applyFont="1">
      <alignment horizontal="center" readingOrder="0" vertical="center"/>
    </xf>
    <xf borderId="0" fillId="29" fontId="1" numFmtId="0" xfId="0" applyAlignment="1" applyFill="1" applyFont="1">
      <alignment horizontal="center" readingOrder="0" shrinkToFit="0" vertical="center" wrapText="1"/>
    </xf>
    <xf borderId="0" fillId="29" fontId="1" numFmtId="174" xfId="0" applyAlignment="1" applyFill="1" applyFont="1" applyNumberFormat="1">
      <alignment horizontal="center" readingOrder="0" shrinkToFit="0" vertical="center" wrapText="1"/>
    </xf>
    <xf borderId="0" fillId="30" fontId="1" numFmtId="0" xfId="0" applyAlignment="1" applyFill="1" applyFont="1">
      <alignment horizontal="center" readingOrder="0" shrinkToFit="0" vertical="center" wrapText="1"/>
    </xf>
    <xf borderId="0" fillId="30" fontId="1" numFmtId="174" xfId="0" applyAlignment="1" applyFill="1" applyFont="1" applyNumberFormat="1">
      <alignment horizontal="center" readingOrder="0" shrinkToFit="0" vertical="center" wrapText="1"/>
    </xf>
    <xf borderId="0" fillId="14" fontId="1" numFmtId="0" xfId="0" applyAlignment="1" applyFill="1" applyFont="1">
      <alignment horizontal="center" readingOrder="0" shrinkToFit="0" vertical="center" wrapText="1"/>
    </xf>
    <xf borderId="0" fillId="14" fontId="1" numFmtId="174" xfId="0" applyAlignment="1" applyFill="1" applyFont="1" applyNumberFormat="1">
      <alignment horizontal="center" readingOrder="0" shrinkToFit="0" vertical="center" wrapText="1"/>
    </xf>
    <xf borderId="0" fillId="24" fontId="1" numFmtId="0" xfId="0" applyAlignment="1" applyFill="1" applyFont="1">
      <alignment horizontal="center" readingOrder="0" shrinkToFit="0" vertical="center" wrapText="1"/>
    </xf>
    <xf borderId="0" fillId="24" fontId="1" numFmtId="174" xfId="0" applyAlignment="1" applyFill="1" applyFont="1" applyNumberFormat="1">
      <alignment horizontal="center" readingOrder="0" shrinkToFit="0" vertical="center" wrapText="1"/>
    </xf>
    <xf borderId="0" fillId="0" fontId="1" numFmtId="0" xfId="0" applyAlignment="1" applyFont="1">
      <alignment horizontal="center" shrinkToFit="0" vertical="center" wrapText="1"/>
    </xf>
    <xf borderId="0" fillId="0" fontId="2" numFmtId="0" xfId="0" applyAlignment="1" applyFont="1">
      <alignment vertical="center"/>
    </xf>
    <xf borderId="0" fillId="0" fontId="2" numFmtId="174" xfId="0" applyAlignment="1" applyFont="1" applyNumberFormat="1">
      <alignment vertical="center"/>
    </xf>
    <xf borderId="0" fillId="8" fontId="22" numFmtId="0" xfId="0" applyAlignment="1" applyFill="1" applyFont="1">
      <alignment vertical="center"/>
    </xf>
    <xf borderId="0" fillId="8" fontId="22" numFmtId="0" xfId="0" applyAlignment="1" applyFill="1" applyFont="1">
      <alignment readingOrder="0" vertical="center"/>
    </xf>
    <xf borderId="0" fillId="0" fontId="2" numFmtId="0" xfId="0" applyAlignment="1" applyFont="1">
      <alignment vertical="center"/>
    </xf>
    <xf borderId="7" fillId="0" fontId="23" numFmtId="0" xfId="0" applyAlignment="1" applyBorder="1" applyFont="1">
      <alignment readingOrder="0"/>
    </xf>
    <xf borderId="0" fillId="8" fontId="24" numFmtId="2" xfId="0" applyFill="1" applyFont="1" applyNumberFormat="1"/>
    <xf borderId="0" fillId="8" fontId="25" numFmtId="0" xfId="0" applyAlignment="1" applyFill="1" applyFont="1">
      <alignment vertical="bottom"/>
    </xf>
    <xf borderId="0" fillId="0" fontId="25" numFmtId="0" xfId="0" applyAlignment="1" applyFont="1">
      <alignment horizontal="right" vertical="bottom"/>
    </xf>
    <xf borderId="0" fillId="8" fontId="26" numFmtId="0" xfId="0" applyAlignment="1" applyFill="1" applyFont="1">
      <alignment readingOrder="0"/>
    </xf>
    <xf borderId="0" fillId="0" fontId="15" numFmtId="2" xfId="0" applyFont="1" applyNumberFormat="1"/>
    <xf borderId="0" fillId="23" fontId="27" numFmtId="0" xfId="0" applyAlignment="1" applyFill="1" applyFont="1">
      <alignment shrinkToFit="0" vertical="center" wrapText="1"/>
    </xf>
    <xf borderId="0" fillId="23" fontId="27" numFmtId="0" xfId="0" applyAlignment="1" applyFill="1" applyFont="1">
      <alignment vertical="center"/>
    </xf>
    <xf borderId="0" fillId="23" fontId="27" numFmtId="174" xfId="0" applyAlignment="1" applyFill="1" applyFont="1" applyNumberFormat="1">
      <alignment vertical="center"/>
    </xf>
    <xf borderId="0" fillId="23" fontId="27" numFmtId="0" xfId="0" applyAlignment="1" applyFill="1" applyFont="1">
      <alignment shrinkToFit="0" vertical="center" wrapText="1"/>
    </xf>
    <xf borderId="0" fillId="0" fontId="28" numFmtId="166" xfId="0" applyAlignment="1" applyFont="1" applyNumberFormat="1">
      <alignment vertical="center"/>
    </xf>
    <xf borderId="0" fillId="0" fontId="2" numFmtId="0" xfId="0" applyAlignment="1" applyFont="1">
      <alignment readingOrder="0" vertical="center"/>
    </xf>
    <xf borderId="0" fillId="0" fontId="15" numFmtId="0" xfId="0" applyAlignment="1" applyFont="1">
      <alignment shrinkToFit="0" vertical="center" wrapText="1"/>
    </xf>
    <xf borderId="0" fillId="0" fontId="15" numFmtId="0" xfId="0" applyAlignment="1" applyFont="1">
      <alignment vertical="center"/>
    </xf>
    <xf borderId="0" fillId="8" fontId="15" numFmtId="174" xfId="0" applyAlignment="1" applyFill="1" applyFont="1" applyNumberFormat="1">
      <alignment vertical="center"/>
    </xf>
    <xf borderId="0" fillId="0" fontId="15" numFmtId="174" xfId="0" applyAlignment="1" applyFont="1" applyNumberFormat="1">
      <alignment vertical="center"/>
    </xf>
    <xf borderId="0" fillId="0" fontId="15" numFmtId="0" xfId="0" applyAlignment="1" applyFont="1">
      <alignment shrinkToFit="0" vertical="center" wrapText="1"/>
    </xf>
    <xf borderId="0" fillId="0" fontId="2" numFmtId="0" xfId="0" applyAlignment="1" applyFont="1">
      <alignment horizontal="left" readingOrder="0" shrinkToFit="0" vertical="center" wrapText="1"/>
    </xf>
    <xf borderId="0" fillId="8" fontId="29" numFmtId="174" xfId="0" applyAlignment="1" applyFill="1" applyFont="1" applyNumberFormat="1">
      <alignment horizontal="left" readingOrder="0" shrinkToFit="0" vertical="center" wrapText="1"/>
    </xf>
    <xf borderId="0" fillId="8" fontId="29" numFmtId="0" xfId="0" applyAlignment="1" applyFill="1" applyFont="1">
      <alignment horizontal="left" readingOrder="0" shrinkToFit="0" vertical="center" wrapText="1"/>
    </xf>
    <xf borderId="5" fillId="31" fontId="14" numFmtId="0" xfId="0" applyAlignment="1" applyBorder="1" applyFill="1" applyFont="1">
      <alignment horizontal="center" shrinkToFit="0" vertical="center" wrapText="1"/>
    </xf>
    <xf borderId="5" fillId="31" fontId="14" numFmtId="0" xfId="0" applyAlignment="1" applyBorder="1" applyFill="1" applyFont="1">
      <alignment horizontal="left" shrinkToFit="0" vertical="center" wrapText="1"/>
    </xf>
    <xf borderId="4" fillId="31" fontId="14" numFmtId="168" xfId="0" applyAlignment="1" applyBorder="1" applyFill="1" applyFont="1" applyNumberFormat="1">
      <alignment horizontal="center" shrinkToFit="0" vertical="center" wrapText="1"/>
    </xf>
    <xf borderId="4" fillId="31" fontId="14" numFmtId="46" xfId="0" applyAlignment="1" applyBorder="1" applyFill="1" applyFont="1" applyNumberFormat="1">
      <alignment horizontal="center" shrinkToFit="0" vertical="center" wrapText="1"/>
    </xf>
    <xf borderId="4" fillId="31" fontId="14" numFmtId="0" xfId="0" applyAlignment="1" applyBorder="1" applyFill="1" applyFont="1">
      <alignment horizontal="center" shrinkToFit="0" vertical="center" wrapText="1"/>
    </xf>
    <xf borderId="0" fillId="0" fontId="2" numFmtId="0" xfId="0" applyAlignment="1" applyFont="1">
      <alignment horizontal="left" vertical="center"/>
    </xf>
    <xf borderId="0" fillId="0" fontId="2" numFmtId="46" xfId="0" applyAlignment="1" applyFont="1" applyNumberFormat="1">
      <alignment horizontal="center" vertical="center"/>
    </xf>
    <xf borderId="0" fillId="0" fontId="2" numFmtId="46" xfId="0" applyAlignment="1" applyFont="1" applyNumberFormat="1">
      <alignment horizontal="center"/>
    </xf>
    <xf borderId="0" fillId="0" fontId="2" numFmtId="164" xfId="0" applyFont="1" applyNumberFormat="1"/>
    <xf borderId="6" fillId="0" fontId="2" numFmtId="3" xfId="0" applyAlignment="1" applyBorder="1" applyFont="1" applyNumberFormat="1">
      <alignment horizontal="center" shrinkToFit="0" vertical="center" wrapText="1"/>
    </xf>
    <xf borderId="6" fillId="0" fontId="2" numFmtId="164" xfId="0" applyAlignment="1" applyBorder="1" applyFont="1" applyNumberFormat="1">
      <alignment readingOrder="0" vertical="center"/>
    </xf>
    <xf borderId="0" fillId="8" fontId="1" numFmtId="0" xfId="0" applyAlignment="1" applyFill="1" applyFont="1">
      <alignment horizontal="center" readingOrder="0" shrinkToFit="0" vertical="center" wrapText="1"/>
    </xf>
  </cellXfs>
  <cellStyles count="1">
    <cellStyle xfId="0" name="Normal" builtinId="0"/>
  </cellStyles>
  <dxfs count="11">
    <dxf>
      <font>
        <color rgb="FF9C0006"/>
      </font>
      <fill>
        <patternFill patternType="solid">
          <fgColor rgb="FFFFC7CE"/>
          <bgColor rgb="FFFFC7CE"/>
        </patternFill>
      </fill>
      <border/>
    </dxf>
    <dxf>
      <font>
        <b/>
        <color rgb="FFFFFFFF"/>
      </font>
      <fill>
        <patternFill patternType="solid">
          <fgColor rgb="FFCC0000"/>
          <bgColor rgb="FFCC0000"/>
        </patternFill>
      </fill>
      <border/>
    </dxf>
    <dxf>
      <font/>
      <fill>
        <patternFill patternType="solid">
          <fgColor rgb="FFFFFFFF"/>
          <bgColor rgb="FFFFFFFF"/>
        </patternFill>
      </fill>
      <border/>
    </dxf>
    <dxf>
      <font/>
      <fill>
        <patternFill patternType="solid">
          <fgColor rgb="FFFF6D01"/>
          <bgColor rgb="FFFF6D01"/>
        </patternFill>
      </fill>
      <border/>
    </dxf>
    <dxf>
      <font/>
      <fill>
        <patternFill patternType="solid">
          <fgColor rgb="FFB6D7A8"/>
          <bgColor rgb="FFB6D7A8"/>
        </patternFill>
      </fill>
      <border/>
    </dxf>
    <dxf>
      <font/>
      <fill>
        <patternFill patternType="solid">
          <fgColor rgb="FFFFD966"/>
          <bgColor rgb="FFFFD966"/>
        </patternFill>
      </fill>
      <border/>
    </dxf>
    <dxf>
      <font>
        <color rgb="FF000000"/>
      </font>
      <fill>
        <patternFill patternType="solid">
          <fgColor rgb="FFB6D7A8"/>
          <bgColor rgb="FFB6D7A8"/>
        </patternFill>
      </fill>
      <border/>
    </dxf>
    <dxf>
      <font/>
      <fill>
        <patternFill patternType="solid">
          <fgColor rgb="FFFFE599"/>
          <bgColor rgb="FFFFE599"/>
        </patternFill>
      </fill>
      <border/>
    </dxf>
    <dxf>
      <font/>
      <fill>
        <patternFill patternType="solid">
          <fgColor rgb="FFB7E1CD"/>
          <bgColor rgb="FFB7E1CD"/>
        </patternFill>
      </fill>
      <border/>
    </dxf>
    <dxf>
      <font/>
      <fill>
        <patternFill patternType="solid">
          <fgColor rgb="FFFF0000"/>
          <bgColor rgb="FFFF0000"/>
        </patternFill>
      </fill>
      <border/>
    </dxf>
    <dxf>
      <font/>
      <fill>
        <patternFill patternType="solid">
          <fgColor rgb="FFEA4335"/>
          <bgColor rgb="FFEA4335"/>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933450</xdr:colOff>
      <xdr:row>1</xdr:row>
      <xdr:rowOff>171450</xdr:rowOff>
    </xdr:from>
    <xdr:ext cx="1952625" cy="819150"/>
    <xdr:sp>
      <xdr:nvSpPr>
        <xdr:cNvPr id="3" name="Shape 3"/>
        <xdr:cNvSpPr/>
      </xdr:nvSpPr>
      <xdr:spPr>
        <a:xfrm>
          <a:off x="1906075" y="1015300"/>
          <a:ext cx="1839000" cy="785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t>Click Here</a:t>
          </a:r>
          <a:endParaRPr b="1" sz="1400"/>
        </a:p>
      </xdr:txBody>
    </xdr:sp>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rive.google.com/open?id=1ti0HeJ-SUBD8cBQfluTKK-ESUIGF-iQQ" TargetMode="External"/><Relationship Id="rId194" Type="http://schemas.openxmlformats.org/officeDocument/2006/relationships/hyperlink" Target="https://drive.google.com/open?id=1mLr7RxWLrpzfMBH85GBmeI7oNbbe_8ep" TargetMode="External"/><Relationship Id="rId193" Type="http://schemas.openxmlformats.org/officeDocument/2006/relationships/hyperlink" Target="https://drive.google.com/open?id=1NYd9ozuPNyrk87Mdb88bMS7m2KtCIXtQ" TargetMode="External"/><Relationship Id="rId192" Type="http://schemas.openxmlformats.org/officeDocument/2006/relationships/hyperlink" Target="https://drive.google.com/open?id=1vV9yDwJqEToMFh4OJCgLP1zFislzonEz" TargetMode="External"/><Relationship Id="rId191" Type="http://schemas.openxmlformats.org/officeDocument/2006/relationships/hyperlink" Target="https://drive.google.com/open?id=1MJ1e0wrYX4BH0NUu24tu6Dl_YmtXAJjq" TargetMode="External"/><Relationship Id="rId187" Type="http://schemas.openxmlformats.org/officeDocument/2006/relationships/hyperlink" Target="https://drive.google.com/open?id=1WblKGC8Ul21cCWGHqlul29FYl4vxYDum" TargetMode="External"/><Relationship Id="rId186" Type="http://schemas.openxmlformats.org/officeDocument/2006/relationships/hyperlink" Target="https://drive.google.com/open?id=1Sj6_FivZiK1CLkP5T3vAloQlGEgTjBWe" TargetMode="External"/><Relationship Id="rId185" Type="http://schemas.openxmlformats.org/officeDocument/2006/relationships/hyperlink" Target="https://drive.google.com/open?id=1jAY_nm8aicDIvMvgNc1a5uNbW4lvCriX" TargetMode="External"/><Relationship Id="rId184" Type="http://schemas.openxmlformats.org/officeDocument/2006/relationships/hyperlink" Target="https://drive.google.com/open?id=18BaJx8-vgxG3mBXpcUHVy9UK-u8vAYsS" TargetMode="External"/><Relationship Id="rId189" Type="http://schemas.openxmlformats.org/officeDocument/2006/relationships/hyperlink" Target="https://drive.google.com/open?id=1QRaPM-j0vHGwBjvaSIk4szdPcxJOsTZ1" TargetMode="External"/><Relationship Id="rId188" Type="http://schemas.openxmlformats.org/officeDocument/2006/relationships/hyperlink" Target="https://drive.google.com/open?id=1E8JIjyNe7LXJTn2UWAE-Ph0Hh5zmuAgc" TargetMode="External"/><Relationship Id="rId183" Type="http://schemas.openxmlformats.org/officeDocument/2006/relationships/hyperlink" Target="https://drive.google.com/open?id=1s4CYPX6DHHQzxbfotZU3Ku8VFufRhdli" TargetMode="External"/><Relationship Id="rId182" Type="http://schemas.openxmlformats.org/officeDocument/2006/relationships/hyperlink" Target="https://drive.google.com/open?id=1oFI_g2czQrJ_TJLZCheOJfXFQDfWqhqq" TargetMode="External"/><Relationship Id="rId181" Type="http://schemas.openxmlformats.org/officeDocument/2006/relationships/hyperlink" Target="https://drive.google.com/open?id=1rD3ZJJLlyiYn018d09If7dE6wny1pKkv" TargetMode="External"/><Relationship Id="rId180" Type="http://schemas.openxmlformats.org/officeDocument/2006/relationships/hyperlink" Target="https://drive.google.com/open?id=1B5leeHuN1nukIKtNzu2Srgw7m7Xfh801" TargetMode="External"/><Relationship Id="rId176" Type="http://schemas.openxmlformats.org/officeDocument/2006/relationships/hyperlink" Target="https://drive.google.com/open?id=1FbIaZypcHM4k3vjF2ek-lP2OAs09Roon" TargetMode="External"/><Relationship Id="rId297" Type="http://schemas.openxmlformats.org/officeDocument/2006/relationships/hyperlink" Target="https://drive.google.com/open?id=1PNCUxfD9qktUWqsyNnS9uDQ5qKNABONJ" TargetMode="External"/><Relationship Id="rId175" Type="http://schemas.openxmlformats.org/officeDocument/2006/relationships/hyperlink" Target="https://drive.google.com/open?id=1TtUVcU9MS_DS905Eu_uODrJx9YdH9Z8i" TargetMode="External"/><Relationship Id="rId296" Type="http://schemas.openxmlformats.org/officeDocument/2006/relationships/hyperlink" Target="https://drive.google.com/open?id=11zmlv3IQlJVUp0y76uOzOlINKMlEQx9O" TargetMode="External"/><Relationship Id="rId174" Type="http://schemas.openxmlformats.org/officeDocument/2006/relationships/hyperlink" Target="https://drive.google.com/open?id=1_O8Ei3dgSkzqPNvLEOMh9YaIODRiIvjw" TargetMode="External"/><Relationship Id="rId295" Type="http://schemas.openxmlformats.org/officeDocument/2006/relationships/hyperlink" Target="https://drive.google.com/open?id=1pw9XcKA7YsVy0Ew_KGD9UfCbvs8SmsEi" TargetMode="External"/><Relationship Id="rId173" Type="http://schemas.openxmlformats.org/officeDocument/2006/relationships/hyperlink" Target="https://drive.google.com/open?id=1VtajuIhf_B7PIxyoN4baW1vbz2XKXqRz" TargetMode="External"/><Relationship Id="rId294" Type="http://schemas.openxmlformats.org/officeDocument/2006/relationships/hyperlink" Target="https://drive.google.com/open?id=1O5-8HbLwqaAWFUG_x2rw-uwSXmzEhOK1" TargetMode="External"/><Relationship Id="rId179" Type="http://schemas.openxmlformats.org/officeDocument/2006/relationships/hyperlink" Target="https://drive.google.com/open?id=1MMc_ML-RhPkxRd-qwefqgJgnFwIYtbLB" TargetMode="External"/><Relationship Id="rId178" Type="http://schemas.openxmlformats.org/officeDocument/2006/relationships/hyperlink" Target="https://drive.google.com/open?id=1Mi1aUdOVX-vIXSuTDpDPi3ZFmtMwtr5g" TargetMode="External"/><Relationship Id="rId299" Type="http://schemas.openxmlformats.org/officeDocument/2006/relationships/hyperlink" Target="https://drive.google.com/open?id=1xFUULpRMBEJOkSsm33GDvE1gpZ_mWA4P" TargetMode="External"/><Relationship Id="rId177" Type="http://schemas.openxmlformats.org/officeDocument/2006/relationships/hyperlink" Target="https://drive.google.com/open?id=1Fj8Apt_eUkoIZj_RtV7UrI53wm5tMZBJ" TargetMode="External"/><Relationship Id="rId298" Type="http://schemas.openxmlformats.org/officeDocument/2006/relationships/hyperlink" Target="https://drive.google.com/open?id=1YPzfwrUc08yJo2Zh57y-sAczWXSNfyex" TargetMode="External"/><Relationship Id="rId198" Type="http://schemas.openxmlformats.org/officeDocument/2006/relationships/hyperlink" Target="https://drive.google.com/open?id=14T6wIoOen5ipCVQrIqM41vgLSdGALGxe" TargetMode="External"/><Relationship Id="rId197" Type="http://schemas.openxmlformats.org/officeDocument/2006/relationships/hyperlink" Target="https://drive.google.com/open?id=1HNkfTlU1peXN09b_KX-2UHgZaFUZFkdH" TargetMode="External"/><Relationship Id="rId196" Type="http://schemas.openxmlformats.org/officeDocument/2006/relationships/hyperlink" Target="https://drive.google.com/open?id=1wcTt4FJgJNX7wObCdQWpEVjfFp0oNUga" TargetMode="External"/><Relationship Id="rId195" Type="http://schemas.openxmlformats.org/officeDocument/2006/relationships/hyperlink" Target="https://drive.google.com/open?id=1L-jWEo1CBXLImWutQwUNK0PfK_fSg8MB" TargetMode="External"/><Relationship Id="rId199" Type="http://schemas.openxmlformats.org/officeDocument/2006/relationships/hyperlink" Target="https://drive.google.com/open?id=1iSXh4BR1LOs7Z-iIBe54oOdrYu-tgzuE" TargetMode="External"/><Relationship Id="rId150" Type="http://schemas.openxmlformats.org/officeDocument/2006/relationships/hyperlink" Target="https://drive.google.com/open?id=1ZU4a8WZtOjRpkyWyVYAuJOwrn341n839" TargetMode="External"/><Relationship Id="rId271" Type="http://schemas.openxmlformats.org/officeDocument/2006/relationships/hyperlink" Target="https://drive.google.com/open?id=12tihj6KfgPwQr-yPP7nnlB2DE_C6IxGy" TargetMode="External"/><Relationship Id="rId392" Type="http://schemas.openxmlformats.org/officeDocument/2006/relationships/hyperlink" Target="https://drive.google.com/open?id=19tpvpU0kjsx1sZB5cl_NkTcgWo9U7O--" TargetMode="External"/><Relationship Id="rId270" Type="http://schemas.openxmlformats.org/officeDocument/2006/relationships/hyperlink" Target="https://drive.google.com/open?id=1JGtJiqMyJhM5cnYS4T23UKEXY8R-QFCD" TargetMode="External"/><Relationship Id="rId391" Type="http://schemas.openxmlformats.org/officeDocument/2006/relationships/hyperlink" Target="https://drive.google.com/open?id=1EhSBQP56k1Am6qDXjGxYyQJkZ_xJgwus" TargetMode="External"/><Relationship Id="rId390" Type="http://schemas.openxmlformats.org/officeDocument/2006/relationships/hyperlink" Target="https://drive.google.com/open?id=1TlzsS50idxn23X7llM-KKBKPMktU0uXU" TargetMode="External"/><Relationship Id="rId1" Type="http://schemas.openxmlformats.org/officeDocument/2006/relationships/hyperlink" Target="https://drive.google.com/open?id=19u430GOlyn0rSoq9ahjVQpRbpRXgsYJR" TargetMode="External"/><Relationship Id="rId2" Type="http://schemas.openxmlformats.org/officeDocument/2006/relationships/hyperlink" Target="https://drive.google.com/open?id=1x4edvsdekkUBgTfjVm6qG_KDX-E6l2g5" TargetMode="External"/><Relationship Id="rId3" Type="http://schemas.openxmlformats.org/officeDocument/2006/relationships/hyperlink" Target="https://drive.google.com/open?id=1NOx1iLZmGhc7tYXwI9Y7kiH3Q8qUV4ns" TargetMode="External"/><Relationship Id="rId149" Type="http://schemas.openxmlformats.org/officeDocument/2006/relationships/hyperlink" Target="https://drive.google.com/open?id=1NObAZjlbrRiWizSVhzJgw3jb_XDJjvtg" TargetMode="External"/><Relationship Id="rId4" Type="http://schemas.openxmlformats.org/officeDocument/2006/relationships/hyperlink" Target="https://drive.google.com/open?id=1YS3OdsLOL5lx_oG2WYzClsTQbBoq8L9f" TargetMode="External"/><Relationship Id="rId148" Type="http://schemas.openxmlformats.org/officeDocument/2006/relationships/hyperlink" Target="https://drive.google.com/open?id=13i2TEzuueP5gKG77-0ur8u1HF4G7JYQo" TargetMode="External"/><Relationship Id="rId269" Type="http://schemas.openxmlformats.org/officeDocument/2006/relationships/hyperlink" Target="https://drive.google.com/open?id=1OxcO-EihUpm1az3Df9SRn9GFyqxH1Hlr" TargetMode="External"/><Relationship Id="rId9" Type="http://schemas.openxmlformats.org/officeDocument/2006/relationships/hyperlink" Target="https://drive.google.com/open?id=1c8SyByaGMVOXS1UOmovp8hOBtGosM8I9" TargetMode="External"/><Relationship Id="rId143" Type="http://schemas.openxmlformats.org/officeDocument/2006/relationships/hyperlink" Target="https://drive.google.com/open?id=1qZ7Q_4zNvE2KjDoa4mXjnp9oiQwNUKgW" TargetMode="External"/><Relationship Id="rId264" Type="http://schemas.openxmlformats.org/officeDocument/2006/relationships/hyperlink" Target="https://drive.google.com/open?id=1Z1DatcU84jUJfkhL5SXSRIrH6AHeculY" TargetMode="External"/><Relationship Id="rId385" Type="http://schemas.openxmlformats.org/officeDocument/2006/relationships/hyperlink" Target="https://drive.google.com/open?id=11q8ZfMJuxThBt8JJTm18fiL4f-b1yPZm" TargetMode="External"/><Relationship Id="rId142" Type="http://schemas.openxmlformats.org/officeDocument/2006/relationships/hyperlink" Target="https://drive.google.com/open?id=1s3gDH9qR4GsOOUVGgLt4ezluYlwyGqXB" TargetMode="External"/><Relationship Id="rId263" Type="http://schemas.openxmlformats.org/officeDocument/2006/relationships/hyperlink" Target="https://drive.google.com/open?id=1uwJ2ETFc5D-X047Q0u6cC1-usSptfFtP" TargetMode="External"/><Relationship Id="rId384" Type="http://schemas.openxmlformats.org/officeDocument/2006/relationships/hyperlink" Target="https://drive.google.com/open?id=16XyUwn5ZJ7w4_kw1zE4votPCpn5Tr3nv" TargetMode="External"/><Relationship Id="rId141" Type="http://schemas.openxmlformats.org/officeDocument/2006/relationships/hyperlink" Target="https://drive.google.com/open?id=1GWJMWyxuZHtamJZjzHuT73lzAImdtBeM" TargetMode="External"/><Relationship Id="rId262" Type="http://schemas.openxmlformats.org/officeDocument/2006/relationships/hyperlink" Target="https://drive.google.com/open?id=16m7IbJmdY71pex5vZKxA0pvFGlCCO0Uj" TargetMode="External"/><Relationship Id="rId383" Type="http://schemas.openxmlformats.org/officeDocument/2006/relationships/hyperlink" Target="https://drive.google.com/open?id=1S2v7K8m6cr7ReNvDdiNOjy4FuN1a9PEK" TargetMode="External"/><Relationship Id="rId140" Type="http://schemas.openxmlformats.org/officeDocument/2006/relationships/hyperlink" Target="https://drive.google.com/open?id=1fLHloFKsOymcxGrHxJJvh_6pXQVtqbVu" TargetMode="External"/><Relationship Id="rId261" Type="http://schemas.openxmlformats.org/officeDocument/2006/relationships/hyperlink" Target="https://drive.google.com/open?id=1Fc2daxeU76rfBnLir1MVOHCYdB3H3KuL" TargetMode="External"/><Relationship Id="rId382" Type="http://schemas.openxmlformats.org/officeDocument/2006/relationships/hyperlink" Target="https://drive.google.com/open?id=1UoD_zSWsGRqDE8mwyRhKwQ3E7bJEXcu8" TargetMode="External"/><Relationship Id="rId5" Type="http://schemas.openxmlformats.org/officeDocument/2006/relationships/hyperlink" Target="https://drive.google.com/open?id=1tKfvhFOwLb02atunVIXX3DgDAYpXE3hE" TargetMode="External"/><Relationship Id="rId147" Type="http://schemas.openxmlformats.org/officeDocument/2006/relationships/hyperlink" Target="https://drive.google.com/open?id=1o0PbB4_Gi-_5nQNf20h2jHpYH68L67UH" TargetMode="External"/><Relationship Id="rId268" Type="http://schemas.openxmlformats.org/officeDocument/2006/relationships/hyperlink" Target="https://drive.google.com/open?id=1Iw0-nQcIC-r2sy9ohu7sutGeZuigOTBJ" TargetMode="External"/><Relationship Id="rId389" Type="http://schemas.openxmlformats.org/officeDocument/2006/relationships/hyperlink" Target="https://drive.google.com/open?id=1SJN43c-z0S5bpJGmP5DXm7mmQkZz95xE" TargetMode="External"/><Relationship Id="rId6" Type="http://schemas.openxmlformats.org/officeDocument/2006/relationships/hyperlink" Target="https://drive.google.com/open?id=1OD1An2IaORabIwBY4HzmndtIVbG7Yj7M" TargetMode="External"/><Relationship Id="rId146" Type="http://schemas.openxmlformats.org/officeDocument/2006/relationships/hyperlink" Target="https://drive.google.com/open?id=1nkVrAJUqlDV3jJF1WkdqhyZZZNSO7vQS" TargetMode="External"/><Relationship Id="rId267" Type="http://schemas.openxmlformats.org/officeDocument/2006/relationships/hyperlink" Target="https://drive.google.com/open?id=1re6vAB33N7MUZ77KajsjJlFBSIBhANwn" TargetMode="External"/><Relationship Id="rId388" Type="http://schemas.openxmlformats.org/officeDocument/2006/relationships/hyperlink" Target="https://drive.google.com/open?id=1F9YcM-LJn1jX41snpoFi1zrS-DRhcPom" TargetMode="External"/><Relationship Id="rId7" Type="http://schemas.openxmlformats.org/officeDocument/2006/relationships/hyperlink" Target="https://drive.google.com/open?id=1r4zvF6Y3tMtUvatGlNYuK4boFFwhhAtl" TargetMode="External"/><Relationship Id="rId145" Type="http://schemas.openxmlformats.org/officeDocument/2006/relationships/hyperlink" Target="https://drive.google.com/open?id=1Wfz3GE0fKZwAZn2U62OyQBguHou88EEX" TargetMode="External"/><Relationship Id="rId266" Type="http://schemas.openxmlformats.org/officeDocument/2006/relationships/hyperlink" Target="https://drive.google.com/open?id=1u4vFsNmwPYrzNjxAbNWQnAExk_ftQbk0" TargetMode="External"/><Relationship Id="rId387" Type="http://schemas.openxmlformats.org/officeDocument/2006/relationships/hyperlink" Target="https://drive.google.com/open?id=1vEmbhDuqdrXGSHdP5NbyffBKzX5LqeMH" TargetMode="External"/><Relationship Id="rId8" Type="http://schemas.openxmlformats.org/officeDocument/2006/relationships/hyperlink" Target="https://drive.google.com/open?id=14KDAIDpklWHuU6oGIDLbvDVRFrP40FLt" TargetMode="External"/><Relationship Id="rId144" Type="http://schemas.openxmlformats.org/officeDocument/2006/relationships/hyperlink" Target="https://drive.google.com/open?id=13-Sp61Jfg1u7ryCUvbR-TuEwKdYsG-mZ" TargetMode="External"/><Relationship Id="rId265" Type="http://schemas.openxmlformats.org/officeDocument/2006/relationships/hyperlink" Target="https://drive.google.com/open?id=1ISO4Lbwu7AKoaeNCMVqtIdJ-ui2uvEUp" TargetMode="External"/><Relationship Id="rId386" Type="http://schemas.openxmlformats.org/officeDocument/2006/relationships/hyperlink" Target="https://drive.google.com/open?id=1EBSTK5c67EKEHPaWIWGjZyeDccFl4W5Y" TargetMode="External"/><Relationship Id="rId260" Type="http://schemas.openxmlformats.org/officeDocument/2006/relationships/hyperlink" Target="https://drive.google.com/open?id=1-HGVPDX27j-_0zVkn8z94YTcZv2XhNXe" TargetMode="External"/><Relationship Id="rId381" Type="http://schemas.openxmlformats.org/officeDocument/2006/relationships/hyperlink" Target="https://drive.google.com/open?id=1CYV1fylexgSh-_RzOtnmeQz7YmlAL8IC" TargetMode="External"/><Relationship Id="rId380" Type="http://schemas.openxmlformats.org/officeDocument/2006/relationships/hyperlink" Target="https://drive.google.com/open?id=16FDs4gDTjLON5M6H87pCgI1MM7_CBZi7" TargetMode="External"/><Relationship Id="rId139" Type="http://schemas.openxmlformats.org/officeDocument/2006/relationships/hyperlink" Target="https://drive.google.com/open?id=1MgkT8jD99tTVwqW8G5RIGWy9ajhgydpk" TargetMode="External"/><Relationship Id="rId138" Type="http://schemas.openxmlformats.org/officeDocument/2006/relationships/hyperlink" Target="https://drive.google.com/open?id=1iwMGvRkfE4nzQd3ikjqWKz013LpEp0U-" TargetMode="External"/><Relationship Id="rId259" Type="http://schemas.openxmlformats.org/officeDocument/2006/relationships/hyperlink" Target="https://drive.google.com/open?id=1YxsvXS0zYWop2f__Pet4J74K086Yy80e" TargetMode="External"/><Relationship Id="rId137" Type="http://schemas.openxmlformats.org/officeDocument/2006/relationships/hyperlink" Target="https://drive.google.com/open?id=19cUHDu9Bnw1ZM99xaqdf1nOS0k9ZGcKF" TargetMode="External"/><Relationship Id="rId258" Type="http://schemas.openxmlformats.org/officeDocument/2006/relationships/hyperlink" Target="https://drive.google.com/open?id=1NBSIYH2BkBAVf_0Pfcx7fyHWm9q-dpVc" TargetMode="External"/><Relationship Id="rId379" Type="http://schemas.openxmlformats.org/officeDocument/2006/relationships/hyperlink" Target="https://drive.google.com/open?id=1Bf0FVThXcifM0xtuaE4X3PRuzOfw_51f" TargetMode="External"/><Relationship Id="rId132" Type="http://schemas.openxmlformats.org/officeDocument/2006/relationships/hyperlink" Target="https://drive.google.com/open?id=1SVdzFYj_upWdlwYly-am0eNfh7jWGHYj" TargetMode="External"/><Relationship Id="rId253" Type="http://schemas.openxmlformats.org/officeDocument/2006/relationships/hyperlink" Target="https://drive.google.com/open?id=1WQrI2wA0h44gaPLcZOjiNOaHnKROEUya" TargetMode="External"/><Relationship Id="rId374" Type="http://schemas.openxmlformats.org/officeDocument/2006/relationships/hyperlink" Target="https://drive.google.com/open?id=1eU29llRkVdfGYw9YLGkL1iNkCbtsCmgM" TargetMode="External"/><Relationship Id="rId495" Type="http://schemas.openxmlformats.org/officeDocument/2006/relationships/hyperlink" Target="https://drive.google.com/open?id=1_qNz4Vh9t7Wh_vsIAbGgVNisBgtWNZPa" TargetMode="External"/><Relationship Id="rId131" Type="http://schemas.openxmlformats.org/officeDocument/2006/relationships/hyperlink" Target="https://drive.google.com/open?id=1EulZzM0rOJ9MC284BfOsTugymjOyI0x5" TargetMode="External"/><Relationship Id="rId252" Type="http://schemas.openxmlformats.org/officeDocument/2006/relationships/hyperlink" Target="https://drive.google.com/open?id=1aWiLSX-720tlN6aDsO0sIOnpMoDuwW4h" TargetMode="External"/><Relationship Id="rId373" Type="http://schemas.openxmlformats.org/officeDocument/2006/relationships/hyperlink" Target="https://drive.google.com/open?id=1_ESct80P44txqtGzbivM-a8qnqnwAPUb" TargetMode="External"/><Relationship Id="rId494" Type="http://schemas.openxmlformats.org/officeDocument/2006/relationships/hyperlink" Target="https://drive.google.com/open?id=1RUTC6VfT8_o0un5IJoQZbjz14d0HZLmy" TargetMode="External"/><Relationship Id="rId130" Type="http://schemas.openxmlformats.org/officeDocument/2006/relationships/hyperlink" Target="https://drive.google.com/open?id=1iJwQfjtymOgmHQoZ-5ZM--YEjOXOC4vJ" TargetMode="External"/><Relationship Id="rId251" Type="http://schemas.openxmlformats.org/officeDocument/2006/relationships/hyperlink" Target="https://drive.google.com/open?id=1d58mqgq0EJRKdQ330eF4-9rx8EFYiyDc" TargetMode="External"/><Relationship Id="rId372" Type="http://schemas.openxmlformats.org/officeDocument/2006/relationships/hyperlink" Target="https://drive.google.com/open?id=1zCC6JATCCHmBeotnvoVmpFlBL9GnpIPH" TargetMode="External"/><Relationship Id="rId493" Type="http://schemas.openxmlformats.org/officeDocument/2006/relationships/hyperlink" Target="https://drive.google.com/open?id=1oFhx138_h5xQ7E2ELM5wmgyxFrSP8v01" TargetMode="External"/><Relationship Id="rId250" Type="http://schemas.openxmlformats.org/officeDocument/2006/relationships/hyperlink" Target="https://drive.google.com/open?id=1chRhgn57YtBeNKucXIoUa0h3Yoacs-YQ" TargetMode="External"/><Relationship Id="rId371" Type="http://schemas.openxmlformats.org/officeDocument/2006/relationships/hyperlink" Target="https://drive.google.com/open?id=1s37tZlRDw0Db2ca2MXrS4lcQe5dK8oib" TargetMode="External"/><Relationship Id="rId492" Type="http://schemas.openxmlformats.org/officeDocument/2006/relationships/hyperlink" Target="https://drive.google.com/open?id=1kF1vlRchi19mZ1qRhWD5Ymi9K_R0CFTy" TargetMode="External"/><Relationship Id="rId136" Type="http://schemas.openxmlformats.org/officeDocument/2006/relationships/hyperlink" Target="https://drive.google.com/open?id=1c7klg4rf1M68ihG7WynOsbCutIl1npKV" TargetMode="External"/><Relationship Id="rId257" Type="http://schemas.openxmlformats.org/officeDocument/2006/relationships/hyperlink" Target="https://drive.google.com/open?id=1G9T7-uYa_KcSYTVVIGytv_xICxzGuJ4v" TargetMode="External"/><Relationship Id="rId378" Type="http://schemas.openxmlformats.org/officeDocument/2006/relationships/hyperlink" Target="https://drive.google.com/open?id=1vqMwQdVRLytWmiAQ6NySW9TdE9hWy5mG" TargetMode="External"/><Relationship Id="rId499" Type="http://schemas.openxmlformats.org/officeDocument/2006/relationships/hyperlink" Target="https://drive.google.com/open?id=1KHbAeOQvSvCfLNZ7tsRTZVDr3tIjJ3TZ" TargetMode="External"/><Relationship Id="rId135" Type="http://schemas.openxmlformats.org/officeDocument/2006/relationships/hyperlink" Target="https://drive.google.com/open?id=1XYxjhY0MssteWsu6u4Kvc6TQTw1y9-SP" TargetMode="External"/><Relationship Id="rId256" Type="http://schemas.openxmlformats.org/officeDocument/2006/relationships/hyperlink" Target="https://drive.google.com/open?id=1WnRG4C05vLecV5OL5nRJtWssHwk4NkH5" TargetMode="External"/><Relationship Id="rId377" Type="http://schemas.openxmlformats.org/officeDocument/2006/relationships/hyperlink" Target="https://drive.google.com/open?id=1gfJV7VBFei0pAJ3gF_FXVwqNOB5dNbj8" TargetMode="External"/><Relationship Id="rId498" Type="http://schemas.openxmlformats.org/officeDocument/2006/relationships/hyperlink" Target="https://drive.google.com/open?id=1T1cMzfgDPS9dhec5NkToFvE9rdiWU74C" TargetMode="External"/><Relationship Id="rId134" Type="http://schemas.openxmlformats.org/officeDocument/2006/relationships/hyperlink" Target="https://drive.google.com/open?id=1FhIfXigVDj1iDBEiXlVbNliWPuSr7aAx" TargetMode="External"/><Relationship Id="rId255" Type="http://schemas.openxmlformats.org/officeDocument/2006/relationships/hyperlink" Target="https://drive.google.com/open?id=1br_a5rgR3YRDQ9EnGugn9ddh6cBb8w5w" TargetMode="External"/><Relationship Id="rId376" Type="http://schemas.openxmlformats.org/officeDocument/2006/relationships/hyperlink" Target="https://drive.google.com/open?id=1EtJ3tSXEhyC4qvp5oY1rw1S6UAGG14Gn" TargetMode="External"/><Relationship Id="rId497" Type="http://schemas.openxmlformats.org/officeDocument/2006/relationships/hyperlink" Target="https://drive.google.com/open?id=1dMdBrEvIrNSjFRMK58zpewywIjR4uUke" TargetMode="External"/><Relationship Id="rId133" Type="http://schemas.openxmlformats.org/officeDocument/2006/relationships/hyperlink" Target="https://drive.google.com/open?id=1oYpl9O17uhpSqivF7osz86umWxoMZCD6" TargetMode="External"/><Relationship Id="rId254" Type="http://schemas.openxmlformats.org/officeDocument/2006/relationships/hyperlink" Target="https://drive.google.com/open?id=1yCt_ko5aPYqBXUpC0RiQB1KVA0-UclJh" TargetMode="External"/><Relationship Id="rId375" Type="http://schemas.openxmlformats.org/officeDocument/2006/relationships/hyperlink" Target="https://drive.google.com/open?id=10yVkjWrt_oqyLh3hzQSyk5pjrCD_aigd" TargetMode="External"/><Relationship Id="rId496" Type="http://schemas.openxmlformats.org/officeDocument/2006/relationships/hyperlink" Target="https://drive.google.com/open?id=1o6qCJxU4z-QRc-U0McT_5YPdRhlTZT-u" TargetMode="External"/><Relationship Id="rId172" Type="http://schemas.openxmlformats.org/officeDocument/2006/relationships/hyperlink" Target="https://drive.google.com/open?id=1ddfYXBATvhpyo5AnXsPD0vd5OEF56XJa" TargetMode="External"/><Relationship Id="rId293" Type="http://schemas.openxmlformats.org/officeDocument/2006/relationships/hyperlink" Target="https://drive.google.com/open?id=104UUYvO8uYsvM0619Op_Hl64VupU6MS4" TargetMode="External"/><Relationship Id="rId171" Type="http://schemas.openxmlformats.org/officeDocument/2006/relationships/hyperlink" Target="https://drive.google.com/open?id=1NFK0EZRgDfu453X36P8SpjZlLB3yxZnr" TargetMode="External"/><Relationship Id="rId292" Type="http://schemas.openxmlformats.org/officeDocument/2006/relationships/hyperlink" Target="https://drive.google.com/open?id=1m7WuveyULyaxlvDCGqWtwmzrgZ2nyGXm" TargetMode="External"/><Relationship Id="rId170" Type="http://schemas.openxmlformats.org/officeDocument/2006/relationships/hyperlink" Target="https://drive.google.com/open?id=1_yFnGvQA67BbdBtfaigA7EHx8GjkDu_S" TargetMode="External"/><Relationship Id="rId291" Type="http://schemas.openxmlformats.org/officeDocument/2006/relationships/hyperlink" Target="https://drive.google.com/open?id=1JobG9r1MWKQu5aYAZ_a6d9_0hTHz9cL_" TargetMode="External"/><Relationship Id="rId290" Type="http://schemas.openxmlformats.org/officeDocument/2006/relationships/hyperlink" Target="https://drive.google.com/open?id=1tHWs_BYlmrRR8fILyT1-jr06z_REXULI" TargetMode="External"/><Relationship Id="rId165" Type="http://schemas.openxmlformats.org/officeDocument/2006/relationships/hyperlink" Target="https://drive.google.com/open?id=1XqqmFOy4ZvRprjYYaeTAFn2lWEBUpTco" TargetMode="External"/><Relationship Id="rId286" Type="http://schemas.openxmlformats.org/officeDocument/2006/relationships/hyperlink" Target="https://drive.google.com/open?id=1QaMnXb3W-Tgupki5HT15aXcanh7rOI5m" TargetMode="External"/><Relationship Id="rId164" Type="http://schemas.openxmlformats.org/officeDocument/2006/relationships/hyperlink" Target="https://drive.google.com/open?id=1X94-rTaaDLng7bEIUptGj34A_JTANLXk" TargetMode="External"/><Relationship Id="rId285" Type="http://schemas.openxmlformats.org/officeDocument/2006/relationships/hyperlink" Target="https://drive.google.com/open?id=12snEKRxCST1nNuv4lv6Y-INn_isxG_jd" TargetMode="External"/><Relationship Id="rId163" Type="http://schemas.openxmlformats.org/officeDocument/2006/relationships/hyperlink" Target="https://drive.google.com/open?id=17OyFLb1tw5zACsvsSC3HX7mXzhRtAB1c" TargetMode="External"/><Relationship Id="rId284" Type="http://schemas.openxmlformats.org/officeDocument/2006/relationships/hyperlink" Target="https://drive.google.com/open?id=1XY_Ql-XbUPp8qtQZX4JJoQz0eqZoX8jH" TargetMode="External"/><Relationship Id="rId162" Type="http://schemas.openxmlformats.org/officeDocument/2006/relationships/hyperlink" Target="https://drive.google.com/open?id=1_kOd70_Ry1MIXU4mzsLST_nKDrHNa_4Z" TargetMode="External"/><Relationship Id="rId283" Type="http://schemas.openxmlformats.org/officeDocument/2006/relationships/hyperlink" Target="https://drive.google.com/open?id=1TcN-U4cw0Bi2Dx8EjCjemRQdmbIFYaF3" TargetMode="External"/><Relationship Id="rId169" Type="http://schemas.openxmlformats.org/officeDocument/2006/relationships/hyperlink" Target="https://drive.google.com/open?id=1uctxRS9AKRYm0u80CCUX9ZpMtVpaH-FH" TargetMode="External"/><Relationship Id="rId168" Type="http://schemas.openxmlformats.org/officeDocument/2006/relationships/hyperlink" Target="https://drive.google.com/open?id=1RenJH0Me94Dxb-U_K281FmsKOpEe5iSl" TargetMode="External"/><Relationship Id="rId289" Type="http://schemas.openxmlformats.org/officeDocument/2006/relationships/hyperlink" Target="https://drive.google.com/open?id=10U6htc0gL1R_07hzHBvHPJmjURHhl8Tk" TargetMode="External"/><Relationship Id="rId167" Type="http://schemas.openxmlformats.org/officeDocument/2006/relationships/hyperlink" Target="https://drive.google.com/open?id=1SIpEYUhMe2c87rjVh1bDTYawg6TV6uEe" TargetMode="External"/><Relationship Id="rId288" Type="http://schemas.openxmlformats.org/officeDocument/2006/relationships/hyperlink" Target="https://drive.google.com/open?id=18cEjEpXhbqTT4nJgqJaTPOo9RlKkt2N3" TargetMode="External"/><Relationship Id="rId166" Type="http://schemas.openxmlformats.org/officeDocument/2006/relationships/hyperlink" Target="https://drive.google.com/open?id=1SXAYscG50kPCFNDPTodyW53WkiEDtksZ" TargetMode="External"/><Relationship Id="rId287" Type="http://schemas.openxmlformats.org/officeDocument/2006/relationships/hyperlink" Target="https://drive.google.com/open?id=1Tz8DOoQBNA-vQbS42iR5_O962wbh4RSe" TargetMode="External"/><Relationship Id="rId161" Type="http://schemas.openxmlformats.org/officeDocument/2006/relationships/hyperlink" Target="https://drive.google.com/open?id=1R3UEp81K3TN4kc2iOGSzzG8DOb3FqaA0" TargetMode="External"/><Relationship Id="rId282" Type="http://schemas.openxmlformats.org/officeDocument/2006/relationships/hyperlink" Target="https://drive.google.com/open?id=1cr6ZhjegjTbYbSjqh5daTDzTEY-VA_Cj" TargetMode="External"/><Relationship Id="rId160" Type="http://schemas.openxmlformats.org/officeDocument/2006/relationships/hyperlink" Target="https://drive.google.com/open?id=1qCvHNVeov-u2Zj61X5-lkjZKa5wTXO_U" TargetMode="External"/><Relationship Id="rId281" Type="http://schemas.openxmlformats.org/officeDocument/2006/relationships/hyperlink" Target="https://drive.google.com/open?id=11TUGxz6VS_e6cuMBT33jdf8Yfw6LgXDk" TargetMode="External"/><Relationship Id="rId280" Type="http://schemas.openxmlformats.org/officeDocument/2006/relationships/hyperlink" Target="https://drive.google.com/open?id=1lF_TxNgznoQczRuoFR6inf4fk5J_qbRw" TargetMode="External"/><Relationship Id="rId159" Type="http://schemas.openxmlformats.org/officeDocument/2006/relationships/hyperlink" Target="https://drive.google.com/open?id=1X1chAQT8FVj2CZU5fpyyLR_gJbuYJUlz" TargetMode="External"/><Relationship Id="rId154" Type="http://schemas.openxmlformats.org/officeDocument/2006/relationships/hyperlink" Target="https://drive.google.com/open?id=1T_C79TDQvD10II3789iBwo98N3SyixgJ" TargetMode="External"/><Relationship Id="rId275" Type="http://schemas.openxmlformats.org/officeDocument/2006/relationships/hyperlink" Target="https://drive.google.com/open?id=17s9qriSj0yKoJuUaD0k1SmBelOdjS-hK" TargetMode="External"/><Relationship Id="rId396" Type="http://schemas.openxmlformats.org/officeDocument/2006/relationships/hyperlink" Target="https://drive.google.com/open?id=1pkOZcc16TAVGbuRSQ7a2PGjmWrJzlR59" TargetMode="External"/><Relationship Id="rId153" Type="http://schemas.openxmlformats.org/officeDocument/2006/relationships/hyperlink" Target="https://drive.google.com/open?id=15BjqcjunKc10ej95n92qPCIdmCx65NiQ" TargetMode="External"/><Relationship Id="rId274" Type="http://schemas.openxmlformats.org/officeDocument/2006/relationships/hyperlink" Target="https://drive.google.com/open?id=1MJXRjdok2dD8dkIK4wktjuGUH4UAeVVs" TargetMode="External"/><Relationship Id="rId395" Type="http://schemas.openxmlformats.org/officeDocument/2006/relationships/hyperlink" Target="https://drive.google.com/open?id=1l5e3jpYHoH6AUpbSDkUFY_zR4dPZjpRe" TargetMode="External"/><Relationship Id="rId152" Type="http://schemas.openxmlformats.org/officeDocument/2006/relationships/hyperlink" Target="https://drive.google.com/open?id=1_aFETP-1_bhDpS-fxZJMjg93jcqYDuxg" TargetMode="External"/><Relationship Id="rId273" Type="http://schemas.openxmlformats.org/officeDocument/2006/relationships/hyperlink" Target="https://drive.google.com/open?id=1Nnll1wvk89XTo9l3KQ6E932Y1Gemp7OS" TargetMode="External"/><Relationship Id="rId394" Type="http://schemas.openxmlformats.org/officeDocument/2006/relationships/hyperlink" Target="https://drive.google.com/open?id=19C-v99PIATZRyp6GsJohh8TlitDx1abs" TargetMode="External"/><Relationship Id="rId151" Type="http://schemas.openxmlformats.org/officeDocument/2006/relationships/hyperlink" Target="https://drive.google.com/open?id=1qxWxHR7jaCQwuzJXAfhuswxwct2K4vY_" TargetMode="External"/><Relationship Id="rId272" Type="http://schemas.openxmlformats.org/officeDocument/2006/relationships/hyperlink" Target="https://drive.google.com/open?id=17LqZCAtrz3p1Ag8-pKrwNQQ9CKdhEUQU" TargetMode="External"/><Relationship Id="rId393" Type="http://schemas.openxmlformats.org/officeDocument/2006/relationships/hyperlink" Target="https://drive.google.com/open?id=1FQcs-o3Qs6B4rHln462h2zRp7TuXcfOC" TargetMode="External"/><Relationship Id="rId158" Type="http://schemas.openxmlformats.org/officeDocument/2006/relationships/hyperlink" Target="https://drive.google.com/open?id=1oqwXGUdAn40Zv-jxxD6DXVQoU9zW_kay" TargetMode="External"/><Relationship Id="rId279" Type="http://schemas.openxmlformats.org/officeDocument/2006/relationships/hyperlink" Target="https://drive.google.com/open?id=1X7H719McFBsgUv8j6RJK3sNldcK6MPsl" TargetMode="External"/><Relationship Id="rId157" Type="http://schemas.openxmlformats.org/officeDocument/2006/relationships/hyperlink" Target="https://drive.google.com/open?id=1BJMKdjEgBeVEDnI8-7qosBFJUKXxUFQw" TargetMode="External"/><Relationship Id="rId278" Type="http://schemas.openxmlformats.org/officeDocument/2006/relationships/hyperlink" Target="https://drive.google.com/open?id=1aqW2iwtBDq1ntZthHSHFMAr2A7DPkqPm" TargetMode="External"/><Relationship Id="rId399" Type="http://schemas.openxmlformats.org/officeDocument/2006/relationships/hyperlink" Target="https://drive.google.com/open?id=1tpg2lmlNVLCKAQvC5vIL6FOz0l8KgjLg" TargetMode="External"/><Relationship Id="rId156" Type="http://schemas.openxmlformats.org/officeDocument/2006/relationships/hyperlink" Target="https://drive.google.com/open?id=1H3PEsszXZgnrlTQ9fo8depZF-Fy_hGIm" TargetMode="External"/><Relationship Id="rId277" Type="http://schemas.openxmlformats.org/officeDocument/2006/relationships/hyperlink" Target="https://drive.google.com/open?id=1PljJGMZB1DStVFvgtcu2hD72GjCoOD2M" TargetMode="External"/><Relationship Id="rId398" Type="http://schemas.openxmlformats.org/officeDocument/2006/relationships/hyperlink" Target="https://drive.google.com/open?id=1-ZMQWEGu-V0bWuBiVWWkpcWPs_kVIimO" TargetMode="External"/><Relationship Id="rId155" Type="http://schemas.openxmlformats.org/officeDocument/2006/relationships/hyperlink" Target="https://drive.google.com/open?id=1jerQUns6tNRxxC7iC3Y0Er77qLCjDtVW" TargetMode="External"/><Relationship Id="rId276" Type="http://schemas.openxmlformats.org/officeDocument/2006/relationships/hyperlink" Target="https://drive.google.com/open?id=175H6SZAYboyuykgG6N8cVEMrQy_z6ih7" TargetMode="External"/><Relationship Id="rId397" Type="http://schemas.openxmlformats.org/officeDocument/2006/relationships/hyperlink" Target="https://drive.google.com/open?id=1pTisrP9SNOKJvcPKenOYNa_XocewesU2" TargetMode="External"/><Relationship Id="rId40" Type="http://schemas.openxmlformats.org/officeDocument/2006/relationships/hyperlink" Target="https://drive.google.com/open?id=189EyqeomMlJ0q6j0VurZrBMYNmS_-KaA" TargetMode="External"/><Relationship Id="rId42" Type="http://schemas.openxmlformats.org/officeDocument/2006/relationships/hyperlink" Target="https://drive.google.com/open?id=1veGKbscRXN4SgdfDK6foyrljxmze4Gp7" TargetMode="External"/><Relationship Id="rId41" Type="http://schemas.openxmlformats.org/officeDocument/2006/relationships/hyperlink" Target="https://drive.google.com/open?id=1cL0Qv7EhJd7V1zoBXG0DsxUlzQqBaL9x" TargetMode="External"/><Relationship Id="rId44" Type="http://schemas.openxmlformats.org/officeDocument/2006/relationships/hyperlink" Target="https://drive.google.com/open?id=1_7vrffMJXSgF8zGgZfU1xFbWEjK2zroZ" TargetMode="External"/><Relationship Id="rId43" Type="http://schemas.openxmlformats.org/officeDocument/2006/relationships/hyperlink" Target="https://drive.google.com/open?id=1-6jr6KEVCyMAp29mgEVAPRX-cd2KgDPy" TargetMode="External"/><Relationship Id="rId46" Type="http://schemas.openxmlformats.org/officeDocument/2006/relationships/hyperlink" Target="https://drive.google.com/open?id=15j6QUN8x769dDTmA8mlMah13AW5zl2sy" TargetMode="External"/><Relationship Id="rId45" Type="http://schemas.openxmlformats.org/officeDocument/2006/relationships/hyperlink" Target="https://drive.google.com/open?id=14koaHwmYqQa62dl1HdQ__hxOaLp_8u_o" TargetMode="External"/><Relationship Id="rId509" Type="http://schemas.openxmlformats.org/officeDocument/2006/relationships/hyperlink" Target="https://drive.google.com/open?id=1ZZglhZm7zHo4mNYZNuNYyVPnJYVjyLvi" TargetMode="External"/><Relationship Id="rId508" Type="http://schemas.openxmlformats.org/officeDocument/2006/relationships/hyperlink" Target="https://drive.google.com/open?id=1xW5qfpFgkC_TQMAjXTELug74SIdaHWLS" TargetMode="External"/><Relationship Id="rId503" Type="http://schemas.openxmlformats.org/officeDocument/2006/relationships/hyperlink" Target="https://drive.google.com/open?id=1wKd89GGj0I4U1eQ_l5xbpev4cQMsSMpu" TargetMode="External"/><Relationship Id="rId502" Type="http://schemas.openxmlformats.org/officeDocument/2006/relationships/hyperlink" Target="https://drive.google.com/open?id=1gRRb1BI58khf-NZR1M4oE-Yd2FV3An-v" TargetMode="External"/><Relationship Id="rId501" Type="http://schemas.openxmlformats.org/officeDocument/2006/relationships/hyperlink" Target="https://drive.google.com/open?id=1TVPsOl3W1jho5wk7Cda3Gx-b6uXb2wNF" TargetMode="External"/><Relationship Id="rId500" Type="http://schemas.openxmlformats.org/officeDocument/2006/relationships/hyperlink" Target="https://drive.google.com/open?id=1p7Lg8RXGQ-jLdYew4jdVgBdD0ZtmPiA2" TargetMode="External"/><Relationship Id="rId507" Type="http://schemas.openxmlformats.org/officeDocument/2006/relationships/hyperlink" Target="https://drive.google.com/open?id=1eSKoC9Bxfr-d1oIXBhMThkjYseyw-Qe0" TargetMode="External"/><Relationship Id="rId506" Type="http://schemas.openxmlformats.org/officeDocument/2006/relationships/hyperlink" Target="https://drive.google.com/open?id=1PTD9HxW5Rv4A2X_gKrNNAln9-sUx0vsR" TargetMode="External"/><Relationship Id="rId505" Type="http://schemas.openxmlformats.org/officeDocument/2006/relationships/hyperlink" Target="https://drive.google.com/open?id=1eV1zsrcJPuyDvoWvkLFKTFgNbm-l8l48" TargetMode="External"/><Relationship Id="rId504" Type="http://schemas.openxmlformats.org/officeDocument/2006/relationships/hyperlink" Target="https://drive.google.com/open?id=13vkqJibP49gCAEf3juTjhPqmvBbQ2zWc" TargetMode="External"/><Relationship Id="rId48" Type="http://schemas.openxmlformats.org/officeDocument/2006/relationships/hyperlink" Target="https://drive.google.com/open?id=1RoimmKIMq7yesnItagUPZqHg_qH0gblr" TargetMode="External"/><Relationship Id="rId47" Type="http://schemas.openxmlformats.org/officeDocument/2006/relationships/hyperlink" Target="https://drive.google.com/open?id=1DcGLKjNOjdMFgsKpjjGUEwxImNpHqmMY" TargetMode="External"/><Relationship Id="rId49" Type="http://schemas.openxmlformats.org/officeDocument/2006/relationships/hyperlink" Target="https://drive.google.com/open?id=1QaO6u3y1Hj33m0yji76xZbqAtcUIL2a-" TargetMode="External"/><Relationship Id="rId31" Type="http://schemas.openxmlformats.org/officeDocument/2006/relationships/hyperlink" Target="https://drive.google.com/open?id=1sM8I913yQcZCfTD53z338uYsIlAKxQ6g" TargetMode="External"/><Relationship Id="rId30" Type="http://schemas.openxmlformats.org/officeDocument/2006/relationships/hyperlink" Target="https://drive.google.com/open?id=1OxKOYLqkTjPCGNz6ii-WWZ79g-N2yjad" TargetMode="External"/><Relationship Id="rId33" Type="http://schemas.openxmlformats.org/officeDocument/2006/relationships/hyperlink" Target="https://drive.google.com/open?id=1Y8MEkSA6nNUW13nJCphy4DUI0faqn9-p" TargetMode="External"/><Relationship Id="rId32" Type="http://schemas.openxmlformats.org/officeDocument/2006/relationships/hyperlink" Target="https://drive.google.com/open?id=1WfHtC_Q4_PAjysD5RQMDkZoVEvV1LE7_" TargetMode="External"/><Relationship Id="rId35" Type="http://schemas.openxmlformats.org/officeDocument/2006/relationships/hyperlink" Target="https://drive.google.com/open?id=1dTVgOvo2Ge5U3Ia2kZCUTap2iAe7gSvv" TargetMode="External"/><Relationship Id="rId34" Type="http://schemas.openxmlformats.org/officeDocument/2006/relationships/hyperlink" Target="https://drive.google.com/open?id=1XzNltjJcfAhjTv0H4wP6VF3DasqQN7QS" TargetMode="External"/><Relationship Id="rId37" Type="http://schemas.openxmlformats.org/officeDocument/2006/relationships/hyperlink" Target="https://drive.google.com/open?id=1ajtRYS6Jd9HRJbuxCkKy5GGlu7Ts3RTW" TargetMode="External"/><Relationship Id="rId36" Type="http://schemas.openxmlformats.org/officeDocument/2006/relationships/hyperlink" Target="https://drive.google.com/open?id=1buZH2sqopta4MkdCydsD9j0qIxs8Luyr" TargetMode="External"/><Relationship Id="rId39" Type="http://schemas.openxmlformats.org/officeDocument/2006/relationships/hyperlink" Target="https://drive.google.com/open?id=1i7GU4WPlvNfFvimjcNgS-h0p9hHqXHdt" TargetMode="External"/><Relationship Id="rId38" Type="http://schemas.openxmlformats.org/officeDocument/2006/relationships/hyperlink" Target="https://drive.google.com/open?id=1D4G-gIvzOLKH3C1DnEpFatRM3Vnvkcx5" TargetMode="External"/><Relationship Id="rId20" Type="http://schemas.openxmlformats.org/officeDocument/2006/relationships/hyperlink" Target="https://drive.google.com/open?id=149MzaH_Hqy0Kc49qyQ8_hDoFh1wv57hv" TargetMode="External"/><Relationship Id="rId22" Type="http://schemas.openxmlformats.org/officeDocument/2006/relationships/hyperlink" Target="https://drive.google.com/open?id=1qNvVBFPAHJiUBsWL1nv9u2wF3iJvNQFW" TargetMode="External"/><Relationship Id="rId21" Type="http://schemas.openxmlformats.org/officeDocument/2006/relationships/hyperlink" Target="https://drive.google.com/open?id=1FHnmm9S1-hSTFSC3RsuK_6ONkwRAOhP5" TargetMode="External"/><Relationship Id="rId24" Type="http://schemas.openxmlformats.org/officeDocument/2006/relationships/hyperlink" Target="https://drive.google.com/open?id=1IT-DOUHCHA_GDyYxu14x9KVYkxUE8gUa" TargetMode="External"/><Relationship Id="rId23" Type="http://schemas.openxmlformats.org/officeDocument/2006/relationships/hyperlink" Target="https://drive.google.com/open?id=1NRuw0QT4OaOeoGGNGnwy8TTh4L345iwz" TargetMode="External"/><Relationship Id="rId409" Type="http://schemas.openxmlformats.org/officeDocument/2006/relationships/hyperlink" Target="https://drive.google.com/open?id=1dGZmesQkVge3XI1EA4WA2E7WkcIzZyYm" TargetMode="External"/><Relationship Id="rId404" Type="http://schemas.openxmlformats.org/officeDocument/2006/relationships/hyperlink" Target="https://drive.google.com/open?id=10Cx7quSux-fDs0ea0plH-P9vCZwpzjCL" TargetMode="External"/><Relationship Id="rId525" Type="http://schemas.openxmlformats.org/officeDocument/2006/relationships/hyperlink" Target="https://drive.google.com/open?id=1h7eyWxy3Y8ffmi5hg9VeDVTO3xpla_uW" TargetMode="External"/><Relationship Id="rId403" Type="http://schemas.openxmlformats.org/officeDocument/2006/relationships/hyperlink" Target="https://drive.google.com/open?id=1ZyvHMRXV-_c0PfNfYT0FJ_ulhH1QrJEp" TargetMode="External"/><Relationship Id="rId524" Type="http://schemas.openxmlformats.org/officeDocument/2006/relationships/hyperlink" Target="https://drive.google.com/open?id=1cIwfax3sfHCjZIcL224-N4JEbLLOyPIU" TargetMode="External"/><Relationship Id="rId402" Type="http://schemas.openxmlformats.org/officeDocument/2006/relationships/hyperlink" Target="https://drive.google.com/open?id=11vAOSnUY80oKEUaby4nMPUxqNEK_mAI1" TargetMode="External"/><Relationship Id="rId523" Type="http://schemas.openxmlformats.org/officeDocument/2006/relationships/hyperlink" Target="https://drive.google.com/open?id=1qR8MESB1iVrXT7fyXnEjxO3ue62GaSaN" TargetMode="External"/><Relationship Id="rId401" Type="http://schemas.openxmlformats.org/officeDocument/2006/relationships/hyperlink" Target="https://drive.google.com/open?id=1mF-2HUpI-ut64EDk5ciIoAUSDw7VK22o" TargetMode="External"/><Relationship Id="rId522" Type="http://schemas.openxmlformats.org/officeDocument/2006/relationships/hyperlink" Target="https://drive.google.com/open?id=1oQanshAXjrTuEqUIZtob4Vg8P01kxE5x" TargetMode="External"/><Relationship Id="rId408" Type="http://schemas.openxmlformats.org/officeDocument/2006/relationships/hyperlink" Target="https://drive.google.com/open?id=1ImF4WMmaVLFEhiqSpQ_jXKErbQzdQpr8" TargetMode="External"/><Relationship Id="rId529" Type="http://schemas.openxmlformats.org/officeDocument/2006/relationships/hyperlink" Target="https://drive.google.com/open?id=1adrrhfOR7wKJONGCwZIfFm638HEmR7MN" TargetMode="External"/><Relationship Id="rId407" Type="http://schemas.openxmlformats.org/officeDocument/2006/relationships/hyperlink" Target="https://drive.google.com/open?id=1Hb9olQ8_Cl-ZEQBsIY2k8Vcgnc-PKkIR" TargetMode="External"/><Relationship Id="rId528" Type="http://schemas.openxmlformats.org/officeDocument/2006/relationships/hyperlink" Target="https://drive.google.com/open?id=13DJAem2dWkmI4KtsssK8whGOhKZpnVvL" TargetMode="External"/><Relationship Id="rId406" Type="http://schemas.openxmlformats.org/officeDocument/2006/relationships/hyperlink" Target="https://drive.google.com/open?id=13CFr5XAlRQmp4rwUSxob651219iwu1LQ" TargetMode="External"/><Relationship Id="rId527" Type="http://schemas.openxmlformats.org/officeDocument/2006/relationships/hyperlink" Target="https://drive.google.com/open?id=1vCic8k0_raReODA9pTHBf9-Xa7GNRMIJ" TargetMode="External"/><Relationship Id="rId405" Type="http://schemas.openxmlformats.org/officeDocument/2006/relationships/hyperlink" Target="https://drive.google.com/open?id=1GwMirOvMlq-1rizTovot-Qg-ImnSoHy4" TargetMode="External"/><Relationship Id="rId526" Type="http://schemas.openxmlformats.org/officeDocument/2006/relationships/hyperlink" Target="https://drive.google.com/open?id=1FAwEDnDFBu6ew32BhttIuDNzqlkfUI_f" TargetMode="External"/><Relationship Id="rId26" Type="http://schemas.openxmlformats.org/officeDocument/2006/relationships/hyperlink" Target="https://drive.google.com/open?id=1VQdMSwGGC166jr8p8KNzfiC4JOIvWNjA" TargetMode="External"/><Relationship Id="rId25" Type="http://schemas.openxmlformats.org/officeDocument/2006/relationships/hyperlink" Target="https://drive.google.com/open?id=1UjbYREPBhDD-euOMZ8H138a_yA8ibX8w" TargetMode="External"/><Relationship Id="rId28" Type="http://schemas.openxmlformats.org/officeDocument/2006/relationships/hyperlink" Target="https://drive.google.com/open?id=1tTlI48zeE6apcAG3ezeECElMTFARrLEE" TargetMode="External"/><Relationship Id="rId27" Type="http://schemas.openxmlformats.org/officeDocument/2006/relationships/hyperlink" Target="https://drive.google.com/open?id=1tLUZlvAhMzVIoEjuJTxG8SW39MfeB9qN" TargetMode="External"/><Relationship Id="rId400" Type="http://schemas.openxmlformats.org/officeDocument/2006/relationships/hyperlink" Target="https://drive.google.com/open?id=1jVE3fxj42R2Jab80VmVeWm30TrJIzL6B" TargetMode="External"/><Relationship Id="rId521" Type="http://schemas.openxmlformats.org/officeDocument/2006/relationships/hyperlink" Target="https://drive.google.com/open?id=1yb_pwCFFyZceE9EUy_yQGtDBf9TOJ2Wy" TargetMode="External"/><Relationship Id="rId29" Type="http://schemas.openxmlformats.org/officeDocument/2006/relationships/hyperlink" Target="https://drive.google.com/open?id=1JT8GKwXxYmlulArzMkxreZFRkxi8pkh7" TargetMode="External"/><Relationship Id="rId520" Type="http://schemas.openxmlformats.org/officeDocument/2006/relationships/hyperlink" Target="https://drive.google.com/open?id=1OAwz25teWMAPsYwKTs-EkncdciA95_7c" TargetMode="External"/><Relationship Id="rId11" Type="http://schemas.openxmlformats.org/officeDocument/2006/relationships/hyperlink" Target="https://drive.google.com/open?id=1aKyJqfwu32ugiHXZJRDPtCQIVoZLAoBv" TargetMode="External"/><Relationship Id="rId10" Type="http://schemas.openxmlformats.org/officeDocument/2006/relationships/hyperlink" Target="https://drive.google.com/open?id=1SsqLTD-dgURQgOkX6_iwGRf5AnZ2-MXC" TargetMode="External"/><Relationship Id="rId13" Type="http://schemas.openxmlformats.org/officeDocument/2006/relationships/hyperlink" Target="https://drive.google.com/open?id=1m_Sul2U-W0TWqbD0-Ha_VKFeTXGhbnME" TargetMode="External"/><Relationship Id="rId12" Type="http://schemas.openxmlformats.org/officeDocument/2006/relationships/hyperlink" Target="https://drive.google.com/open?id=15Q0Dy3l85zME3ucBYLxN1KfeY5HjeRs1" TargetMode="External"/><Relationship Id="rId519" Type="http://schemas.openxmlformats.org/officeDocument/2006/relationships/hyperlink" Target="https://drive.google.com/open?id=16kkyCGFRNp5SPvUuCTe8TopUN5Aj8dWa" TargetMode="External"/><Relationship Id="rId514" Type="http://schemas.openxmlformats.org/officeDocument/2006/relationships/hyperlink" Target="https://drive.google.com/open?id=1hA0Uy4xKKGoHNBhoGOZjZGts0Ee7wq2o" TargetMode="External"/><Relationship Id="rId513" Type="http://schemas.openxmlformats.org/officeDocument/2006/relationships/hyperlink" Target="https://drive.google.com/open?id=1gOfoB7_z5dzlCgT3_ZXjJWYBUbhKSbPD" TargetMode="External"/><Relationship Id="rId512" Type="http://schemas.openxmlformats.org/officeDocument/2006/relationships/hyperlink" Target="https://drive.google.com/open?id=1o9uMGDFqFz2OySDt06aPov64FJ4joVgF" TargetMode="External"/><Relationship Id="rId511" Type="http://schemas.openxmlformats.org/officeDocument/2006/relationships/hyperlink" Target="https://drive.google.com/open?id=15ciX_ruRP2lxcFpuqN9HVqwPh9JFWqPm" TargetMode="External"/><Relationship Id="rId518" Type="http://schemas.openxmlformats.org/officeDocument/2006/relationships/hyperlink" Target="https://drive.google.com/open?id=1ElxSzxhFERG-t6ZDc6Pwyl0grKOrixZ2" TargetMode="External"/><Relationship Id="rId517" Type="http://schemas.openxmlformats.org/officeDocument/2006/relationships/hyperlink" Target="https://drive.google.com/open?id=1U6Oa_UWM4KBKnZV-gMeI8tlP5zqzdNGP" TargetMode="External"/><Relationship Id="rId516" Type="http://schemas.openxmlformats.org/officeDocument/2006/relationships/hyperlink" Target="https://drive.google.com/open?id=1u6VEI3jiktx3UcnXirsTxW3XyWKsDofa" TargetMode="External"/><Relationship Id="rId515" Type="http://schemas.openxmlformats.org/officeDocument/2006/relationships/hyperlink" Target="https://drive.google.com/open?id=1EnoYTHSOeEsbcXhE7VCGKEHPBlB7PByR" TargetMode="External"/><Relationship Id="rId15" Type="http://schemas.openxmlformats.org/officeDocument/2006/relationships/hyperlink" Target="https://drive.google.com/open?id=1V0vddiHHf4B6GfLRctFj1SAMRM3L74vN" TargetMode="External"/><Relationship Id="rId14" Type="http://schemas.openxmlformats.org/officeDocument/2006/relationships/hyperlink" Target="https://drive.google.com/open?id=1RqYoKVO2NpX0W6xe-eXRPGH4mph-QX1r" TargetMode="External"/><Relationship Id="rId17" Type="http://schemas.openxmlformats.org/officeDocument/2006/relationships/hyperlink" Target="https://drive.google.com/open?id=1GhOv8mz381d4E3x_VLwIW5-p1t9lLxhc" TargetMode="External"/><Relationship Id="rId16" Type="http://schemas.openxmlformats.org/officeDocument/2006/relationships/hyperlink" Target="https://drive.google.com/open?id=1ptziOTMmZrCYpXt5GYuL_CSDh5BVDjfd" TargetMode="External"/><Relationship Id="rId19" Type="http://schemas.openxmlformats.org/officeDocument/2006/relationships/hyperlink" Target="https://drive.google.com/open?id=18KNmdhuUgubw11G2MCGG5NxlwpOAV5Hd" TargetMode="External"/><Relationship Id="rId510" Type="http://schemas.openxmlformats.org/officeDocument/2006/relationships/hyperlink" Target="https://drive.google.com/open?id=15rlNHiJPlSt9Jzi6i8mVIa-ihu94z0fS" TargetMode="External"/><Relationship Id="rId18" Type="http://schemas.openxmlformats.org/officeDocument/2006/relationships/hyperlink" Target="https://drive.google.com/open?id=1aWiOoYam2GpEK8YnwoRT49EBkzqy_8eU" TargetMode="External"/><Relationship Id="rId84" Type="http://schemas.openxmlformats.org/officeDocument/2006/relationships/hyperlink" Target="https://drive.google.com/open?id=13mr4DKlWrWqdVx19MazGtQFm6XI0xHw3" TargetMode="External"/><Relationship Id="rId83" Type="http://schemas.openxmlformats.org/officeDocument/2006/relationships/hyperlink" Target="https://drive.google.com/open?id=1SOOKNqsrN_PCOSfN7HlDR02KMKjkfnJb" TargetMode="External"/><Relationship Id="rId86" Type="http://schemas.openxmlformats.org/officeDocument/2006/relationships/hyperlink" Target="https://drive.google.com/open?id=1KuKFHZNwYD9YzaltDek9gbOzMtkakZf2" TargetMode="External"/><Relationship Id="rId85" Type="http://schemas.openxmlformats.org/officeDocument/2006/relationships/hyperlink" Target="https://drive.google.com/open?id=1EaSdtmPUKsQkqDtlyuTrNNcJlaf4-4RL" TargetMode="External"/><Relationship Id="rId88" Type="http://schemas.openxmlformats.org/officeDocument/2006/relationships/hyperlink" Target="https://drive.google.com/open?id=12uM0mtJbjdbhkiCrqfHal_GF-7j8EVll" TargetMode="External"/><Relationship Id="rId87" Type="http://schemas.openxmlformats.org/officeDocument/2006/relationships/hyperlink" Target="https://drive.google.com/open?id=1bqg6WGUNc3E_Wbkxn4ct0mD0bnI3Vyk1" TargetMode="External"/><Relationship Id="rId89" Type="http://schemas.openxmlformats.org/officeDocument/2006/relationships/hyperlink" Target="https://drive.google.com/open?id=1817L_CcTiyhxuMz2bpKQkKkZCN3iZzdg" TargetMode="External"/><Relationship Id="rId80" Type="http://schemas.openxmlformats.org/officeDocument/2006/relationships/hyperlink" Target="https://drive.google.com/open?id=1-NTqCYyiDlMw6l4N4ucfVgUbvnfYPgG9" TargetMode="External"/><Relationship Id="rId82" Type="http://schemas.openxmlformats.org/officeDocument/2006/relationships/hyperlink" Target="https://drive.google.com/open?id=1SBmjawBEPjNisTfNne3lXu3P1P3yipJX" TargetMode="External"/><Relationship Id="rId81" Type="http://schemas.openxmlformats.org/officeDocument/2006/relationships/hyperlink" Target="https://drive.google.com/open?id=111QkpQNB9U22z9-CVlrkMWGyvP6AxT6D" TargetMode="External"/><Relationship Id="rId73" Type="http://schemas.openxmlformats.org/officeDocument/2006/relationships/hyperlink" Target="https://drive.google.com/open?id=1Xf0gyFBKtCev4UopiyJ3_w7uuQiftSpV" TargetMode="External"/><Relationship Id="rId72" Type="http://schemas.openxmlformats.org/officeDocument/2006/relationships/hyperlink" Target="https://drive.google.com/open?id=1i0vNspNmvEi67KWnB47YBJTyx7SS-Kx9" TargetMode="External"/><Relationship Id="rId75" Type="http://schemas.openxmlformats.org/officeDocument/2006/relationships/hyperlink" Target="https://drive.google.com/open?id=10G8iRJLiXpTHgnHJO7WT1UHed7tQwIlP" TargetMode="External"/><Relationship Id="rId74" Type="http://schemas.openxmlformats.org/officeDocument/2006/relationships/hyperlink" Target="https://drive.google.com/open?id=16PE_ljmTDQoTq8MdPFdAaLRFKTQ7gYfq" TargetMode="External"/><Relationship Id="rId77" Type="http://schemas.openxmlformats.org/officeDocument/2006/relationships/hyperlink" Target="https://drive.google.com/open?id=1ZqB2hT71_QstNCfaflcp-nJkubVIARd5" TargetMode="External"/><Relationship Id="rId76" Type="http://schemas.openxmlformats.org/officeDocument/2006/relationships/hyperlink" Target="https://drive.google.com/open?id=1_VyVqCpHtMvkxHsri7dfjSj5hyiVTjYO" TargetMode="External"/><Relationship Id="rId79" Type="http://schemas.openxmlformats.org/officeDocument/2006/relationships/hyperlink" Target="https://drive.google.com/open?id=1_yvxiGW26KSvDtQFCTCDckGxLnMW-Uss" TargetMode="External"/><Relationship Id="rId78" Type="http://schemas.openxmlformats.org/officeDocument/2006/relationships/hyperlink" Target="https://drive.google.com/open?id=1svY0AgfwqFiVVLW9ajQ_ZbABli5DFt3u" TargetMode="External"/><Relationship Id="rId71" Type="http://schemas.openxmlformats.org/officeDocument/2006/relationships/hyperlink" Target="https://drive.google.com/open?id=1L5Nu2khWeBG7JNsWqW8GdWv7e8TRPoxZ" TargetMode="External"/><Relationship Id="rId70" Type="http://schemas.openxmlformats.org/officeDocument/2006/relationships/hyperlink" Target="https://drive.google.com/open?id=1gRBjwQ3LYw5yKFduzavnVpU8zlNkO18p" TargetMode="External"/><Relationship Id="rId62" Type="http://schemas.openxmlformats.org/officeDocument/2006/relationships/hyperlink" Target="https://drive.google.com/open?id=1cLP41hmP3NnEWPfosdSpldBZWwZ0HvVb" TargetMode="External"/><Relationship Id="rId61" Type="http://schemas.openxmlformats.org/officeDocument/2006/relationships/hyperlink" Target="https://drive.google.com/open?id=1BYfQt64vDe0_-yvschS7Qmg23z7vXM_m" TargetMode="External"/><Relationship Id="rId64" Type="http://schemas.openxmlformats.org/officeDocument/2006/relationships/hyperlink" Target="https://drive.google.com/open?id=1BzZH7FZda-y55yUZm91gwoogXS-gnCCU" TargetMode="External"/><Relationship Id="rId63" Type="http://schemas.openxmlformats.org/officeDocument/2006/relationships/hyperlink" Target="https://drive.google.com/open?id=1B3-Ubst0ghJN26KXq0gs6vy0s1mbgwjm" TargetMode="External"/><Relationship Id="rId66" Type="http://schemas.openxmlformats.org/officeDocument/2006/relationships/hyperlink" Target="https://drive.google.com/open?id=1o3qbQ20-wLMJKRPaVi9aSNw688_brHvO" TargetMode="External"/><Relationship Id="rId65" Type="http://schemas.openxmlformats.org/officeDocument/2006/relationships/hyperlink" Target="https://drive.google.com/open?id=1sVtqyAGQ6PxDSsvG9fNWlsLDxVwa3_4g" TargetMode="External"/><Relationship Id="rId68" Type="http://schemas.openxmlformats.org/officeDocument/2006/relationships/hyperlink" Target="https://drive.google.com/open?id=12fdYzHs-lrrC0IfsmioSfG42sDdYPwyt" TargetMode="External"/><Relationship Id="rId67" Type="http://schemas.openxmlformats.org/officeDocument/2006/relationships/hyperlink" Target="https://drive.google.com/open?id=1VJ1aE-S3XEpfX827h5A8o7_M7jD4Gyyw" TargetMode="External"/><Relationship Id="rId60" Type="http://schemas.openxmlformats.org/officeDocument/2006/relationships/hyperlink" Target="https://drive.google.com/open?id=1Lz7cw0TXd78Vsq5dRaAytAaevdwCUMa0" TargetMode="External"/><Relationship Id="rId600" Type="http://schemas.openxmlformats.org/officeDocument/2006/relationships/drawing" Target="../drawings/drawing1.xml"/><Relationship Id="rId69" Type="http://schemas.openxmlformats.org/officeDocument/2006/relationships/hyperlink" Target="https://drive.google.com/open?id=1HvYNsI7N5FFbhs5OXLrZUIxgCO7Tuq7T" TargetMode="External"/><Relationship Id="rId51" Type="http://schemas.openxmlformats.org/officeDocument/2006/relationships/hyperlink" Target="https://drive.google.com/open?id=1U0JfpgCUwTZ-wBN_r1Ihwra9hkF0lFWY" TargetMode="External"/><Relationship Id="rId50" Type="http://schemas.openxmlformats.org/officeDocument/2006/relationships/hyperlink" Target="https://drive.google.com/open?id=1ABa-MPs5surIGhGc06B5dK2sGAVYyoYD" TargetMode="External"/><Relationship Id="rId53" Type="http://schemas.openxmlformats.org/officeDocument/2006/relationships/hyperlink" Target="https://drive.google.com/open?id=1sHBStsM1OF5GZapUAEp8I6WhPPQtqXP2" TargetMode="External"/><Relationship Id="rId52" Type="http://schemas.openxmlformats.org/officeDocument/2006/relationships/hyperlink" Target="https://drive.google.com/open?id=1bdZZHtL1zFp13WPWhMQfxJzoSWj1eSd1" TargetMode="External"/><Relationship Id="rId55" Type="http://schemas.openxmlformats.org/officeDocument/2006/relationships/hyperlink" Target="https://drive.google.com/open?id=1Asj2gWb8j4kPtgmPND_D7hq5Fs4b_IVk" TargetMode="External"/><Relationship Id="rId54" Type="http://schemas.openxmlformats.org/officeDocument/2006/relationships/hyperlink" Target="https://drive.google.com/open?id=1n2JUadrVJkOCzXTb5JNjZXV77M5pPyr0" TargetMode="External"/><Relationship Id="rId57" Type="http://schemas.openxmlformats.org/officeDocument/2006/relationships/hyperlink" Target="https://drive.google.com/open?id=1NLsTytIZnOD--ivsXwaEAA7uFJj_iD2A" TargetMode="External"/><Relationship Id="rId56" Type="http://schemas.openxmlformats.org/officeDocument/2006/relationships/hyperlink" Target="https://drive.google.com/open?id=1tQy4pNXyYEICLyFWdaRLjX13uiThwbCQ" TargetMode="External"/><Relationship Id="rId59" Type="http://schemas.openxmlformats.org/officeDocument/2006/relationships/hyperlink" Target="https://drive.google.com/open?id=1AwY39NOsVXDX2UX8i7o7dg3TcOJbFWrU" TargetMode="External"/><Relationship Id="rId58" Type="http://schemas.openxmlformats.org/officeDocument/2006/relationships/hyperlink" Target="https://drive.google.com/open?id=1_dIO_18tSao841gwAYAs1rP6GCS4jtAz" TargetMode="External"/><Relationship Id="rId590" Type="http://schemas.openxmlformats.org/officeDocument/2006/relationships/hyperlink" Target="https://drive.google.com/open?id=1yM7dpw71uA1blBKG88QanMjyu-WMAyWu" TargetMode="External"/><Relationship Id="rId107" Type="http://schemas.openxmlformats.org/officeDocument/2006/relationships/hyperlink" Target="https://drive.google.com/open?id=1_duFptau8w2LyTHAR--McbOWK_5zSNOg" TargetMode="External"/><Relationship Id="rId228" Type="http://schemas.openxmlformats.org/officeDocument/2006/relationships/hyperlink" Target="https://drive.google.com/open?id=1FVZ6xiJvh58z_2xlkfNf8xQAkeDajN-O" TargetMode="External"/><Relationship Id="rId349" Type="http://schemas.openxmlformats.org/officeDocument/2006/relationships/hyperlink" Target="https://drive.google.com/open?id=1i5Hmv3oIvfO0KbBGxVLc3Vdp7maqJ0Kb" TargetMode="External"/><Relationship Id="rId106" Type="http://schemas.openxmlformats.org/officeDocument/2006/relationships/hyperlink" Target="https://drive.google.com/open?id=19V2SEaOmmftU7Z3UM-17PujjHQjx3ytt" TargetMode="External"/><Relationship Id="rId227" Type="http://schemas.openxmlformats.org/officeDocument/2006/relationships/hyperlink" Target="https://drive.google.com/open?id=1zGerXLXf0plSloUA09O51gB5pzH6m5my" TargetMode="External"/><Relationship Id="rId348" Type="http://schemas.openxmlformats.org/officeDocument/2006/relationships/hyperlink" Target="https://drive.google.com/open?id=1yQqsC7eUzmDQM9u4dEVWOSjeYt0e-KGe" TargetMode="External"/><Relationship Id="rId469" Type="http://schemas.openxmlformats.org/officeDocument/2006/relationships/hyperlink" Target="https://drive.google.com/open?id=1e9PZYoUkdRt_6PUmZPax91d9Ye7xH7X4" TargetMode="External"/><Relationship Id="rId105" Type="http://schemas.openxmlformats.org/officeDocument/2006/relationships/hyperlink" Target="https://drive.google.com/open?id=1LaK3sYVBR5-odi5EBcwBRvfC-GLvf3XE" TargetMode="External"/><Relationship Id="rId226" Type="http://schemas.openxmlformats.org/officeDocument/2006/relationships/hyperlink" Target="https://drive.google.com/open?id=12oOcCPYsLlSJu8u82qNKKH43Fe5wRT-9" TargetMode="External"/><Relationship Id="rId347" Type="http://schemas.openxmlformats.org/officeDocument/2006/relationships/hyperlink" Target="https://drive.google.com/open?id=1A3aqL6QE9Bm1XbTdmVR35F3GNxQbeEjm" TargetMode="External"/><Relationship Id="rId468" Type="http://schemas.openxmlformats.org/officeDocument/2006/relationships/hyperlink" Target="https://drive.google.com/open?id=1QS0XueoyAP736DKcAZvxerHGK5pvbBjL" TargetMode="External"/><Relationship Id="rId589" Type="http://schemas.openxmlformats.org/officeDocument/2006/relationships/hyperlink" Target="https://drive.google.com/open?id=1zggCi4O3zO74tjTHciZjxSRi-pynJK8V" TargetMode="External"/><Relationship Id="rId104" Type="http://schemas.openxmlformats.org/officeDocument/2006/relationships/hyperlink" Target="https://drive.google.com/open?id=1iGOgf_BppU1-dwoGfQVJhI3HqL4ywCaW" TargetMode="External"/><Relationship Id="rId225" Type="http://schemas.openxmlformats.org/officeDocument/2006/relationships/hyperlink" Target="https://drive.google.com/open?id=1V2x2cfkLF6VG0XEhiY0saptmDuhUMewf" TargetMode="External"/><Relationship Id="rId346" Type="http://schemas.openxmlformats.org/officeDocument/2006/relationships/hyperlink" Target="https://drive.google.com/open?id=1aqj_gi6AYtHNWs7gXkq6T4JucoERJZc_" TargetMode="External"/><Relationship Id="rId467" Type="http://schemas.openxmlformats.org/officeDocument/2006/relationships/hyperlink" Target="https://drive.google.com/open?id=1GeGO8-2de6BhTw13stx6ZM55RPPVmMZh" TargetMode="External"/><Relationship Id="rId588" Type="http://schemas.openxmlformats.org/officeDocument/2006/relationships/hyperlink" Target="https://drive.google.com/open?id=1Td_-nhAPHyXPqgsdILtXFNo8oQuetXAI" TargetMode="External"/><Relationship Id="rId109" Type="http://schemas.openxmlformats.org/officeDocument/2006/relationships/hyperlink" Target="https://drive.google.com/open?id=10idKeuQHMyb2QPzz18Y0PjJmprA2mkv3" TargetMode="External"/><Relationship Id="rId108" Type="http://schemas.openxmlformats.org/officeDocument/2006/relationships/hyperlink" Target="https://drive.google.com/open?id=1fXwjmbD_yNkJXkp0WC8e3XZ_EJafNEOd" TargetMode="External"/><Relationship Id="rId229" Type="http://schemas.openxmlformats.org/officeDocument/2006/relationships/hyperlink" Target="https://drive.google.com/open?id=1jgUUWe9anY9iQtjyVGMQgbYgf69Gcp7h" TargetMode="External"/><Relationship Id="rId220" Type="http://schemas.openxmlformats.org/officeDocument/2006/relationships/hyperlink" Target="https://drive.google.com/open?id=1L_VvIyYbic6PHxxluk80sJY--cPLXt95" TargetMode="External"/><Relationship Id="rId341" Type="http://schemas.openxmlformats.org/officeDocument/2006/relationships/hyperlink" Target="https://drive.google.com/open?id=1cu-fMgkiq063_q4T9b6n_jA_UbXfIqQm" TargetMode="External"/><Relationship Id="rId462" Type="http://schemas.openxmlformats.org/officeDocument/2006/relationships/hyperlink" Target="https://drive.google.com/open?id=1EQtN00FXD5pAeMlfk9UCtaklKCU4NLE4" TargetMode="External"/><Relationship Id="rId583" Type="http://schemas.openxmlformats.org/officeDocument/2006/relationships/hyperlink" Target="https://drive.google.com/open?id=1IdFBbktYDRLlMtEFgVsJ081i6z2DmKX7" TargetMode="External"/><Relationship Id="rId340" Type="http://schemas.openxmlformats.org/officeDocument/2006/relationships/hyperlink" Target="https://drive.google.com/open?id=1PDcXRcuOQJ7GttmAj9EPHmBEzWHeOLHt" TargetMode="External"/><Relationship Id="rId461" Type="http://schemas.openxmlformats.org/officeDocument/2006/relationships/hyperlink" Target="https://drive.google.com/open?id=16-mtXLDYKEkojxwj8iO2Tx2CzwG2d7Ck" TargetMode="External"/><Relationship Id="rId582" Type="http://schemas.openxmlformats.org/officeDocument/2006/relationships/hyperlink" Target="https://drive.google.com/open?id=1PFrQfz59TQTJK4DFiyJXvbXQf3fKkz-Z" TargetMode="External"/><Relationship Id="rId460" Type="http://schemas.openxmlformats.org/officeDocument/2006/relationships/hyperlink" Target="https://drive.google.com/open?id=1Rc9If3ZE4FkICMgZ7hVNJOANDAB6PoTD" TargetMode="External"/><Relationship Id="rId581" Type="http://schemas.openxmlformats.org/officeDocument/2006/relationships/hyperlink" Target="https://drive.google.com/open?id=1Ma_ayNpI05LOV11ouSdWb8qCUwIfsA1C" TargetMode="External"/><Relationship Id="rId580" Type="http://schemas.openxmlformats.org/officeDocument/2006/relationships/hyperlink" Target="https://drive.google.com/open?id=1UJzN2VXAQVPiOHdH6tJZFKrWP5cFMvFK" TargetMode="External"/><Relationship Id="rId103" Type="http://schemas.openxmlformats.org/officeDocument/2006/relationships/hyperlink" Target="https://drive.google.com/open?id=1QGHq_KOe44sYuW0TeG_JVFraJ46DtHhx" TargetMode="External"/><Relationship Id="rId224" Type="http://schemas.openxmlformats.org/officeDocument/2006/relationships/hyperlink" Target="https://drive.google.com/open?id=1dj8YMLLDG8YWwaTcmE6RFnyyLk9cGl88" TargetMode="External"/><Relationship Id="rId345" Type="http://schemas.openxmlformats.org/officeDocument/2006/relationships/hyperlink" Target="https://drive.google.com/open?id=1FSS9K4RRCxdDsflT6H-qMdp22REOx92t" TargetMode="External"/><Relationship Id="rId466" Type="http://schemas.openxmlformats.org/officeDocument/2006/relationships/hyperlink" Target="https://drive.google.com/open?id=1Z7QNZGwzJMIRn3UMhGiHhc_b_xSYP2Yu" TargetMode="External"/><Relationship Id="rId587" Type="http://schemas.openxmlformats.org/officeDocument/2006/relationships/hyperlink" Target="https://drive.google.com/open?id=1NDNsuhmMbV7myAc-XovftPpmdSJSXudJ" TargetMode="External"/><Relationship Id="rId102" Type="http://schemas.openxmlformats.org/officeDocument/2006/relationships/hyperlink" Target="https://drive.google.com/open?id=12nST4Odb8OtVb_2x9WBZLI9VM6JMLL0I" TargetMode="External"/><Relationship Id="rId223" Type="http://schemas.openxmlformats.org/officeDocument/2006/relationships/hyperlink" Target="https://drive.google.com/open?id=1P-wgYXuYjOnxeRlVtaM_GD_yJq7ACA8c" TargetMode="External"/><Relationship Id="rId344" Type="http://schemas.openxmlformats.org/officeDocument/2006/relationships/hyperlink" Target="https://drive.google.com/open?id=1R_9ZDN6ENrRV3QJwZR70nsKqHloFBZgR" TargetMode="External"/><Relationship Id="rId465" Type="http://schemas.openxmlformats.org/officeDocument/2006/relationships/hyperlink" Target="https://drive.google.com/open?id=1xlJqA-AfxwzlCgc877nC1Yo_nJAheXY3" TargetMode="External"/><Relationship Id="rId586" Type="http://schemas.openxmlformats.org/officeDocument/2006/relationships/hyperlink" Target="https://drive.google.com/open?id=1laJYtYr9r3fQnatxm4YuWbgzPGeZYtAS" TargetMode="External"/><Relationship Id="rId101" Type="http://schemas.openxmlformats.org/officeDocument/2006/relationships/hyperlink" Target="https://drive.google.com/open?id=1duVHxwOsJvvr9poAeWr89tdJs6bFw1EI" TargetMode="External"/><Relationship Id="rId222" Type="http://schemas.openxmlformats.org/officeDocument/2006/relationships/hyperlink" Target="https://drive.google.com/open?id=1qZxuTtQVC2z8lM_cSvcS2Gq4GB7VB9Pz" TargetMode="External"/><Relationship Id="rId343" Type="http://schemas.openxmlformats.org/officeDocument/2006/relationships/hyperlink" Target="https://drive.google.com/open?id=1sa_veGDgCORLamw2lbovjzAVTU_0wY_V" TargetMode="External"/><Relationship Id="rId464" Type="http://schemas.openxmlformats.org/officeDocument/2006/relationships/hyperlink" Target="https://drive.google.com/open?id=1X8sKqgqDKDtfummMnuZLF4iaR29h1tTu" TargetMode="External"/><Relationship Id="rId585" Type="http://schemas.openxmlformats.org/officeDocument/2006/relationships/hyperlink" Target="https://drive.google.com/open?id=1SYUJ1m4gV43GOlaFbSxAB-AOcdIFAL9f" TargetMode="External"/><Relationship Id="rId100" Type="http://schemas.openxmlformats.org/officeDocument/2006/relationships/hyperlink" Target="https://drive.google.com/open?id=1nUInpLd5aOspwp7h1jsrAvRlfzqprQGJ" TargetMode="External"/><Relationship Id="rId221" Type="http://schemas.openxmlformats.org/officeDocument/2006/relationships/hyperlink" Target="https://drive.google.com/open?id=1HkrqJ371EsDaSLmr2tuUwXqt9otRA32m" TargetMode="External"/><Relationship Id="rId342" Type="http://schemas.openxmlformats.org/officeDocument/2006/relationships/hyperlink" Target="https://drive.google.com/open?id=1rgZGjHTmrVLaKFV6WnvyLiWvN6TFNH41" TargetMode="External"/><Relationship Id="rId463" Type="http://schemas.openxmlformats.org/officeDocument/2006/relationships/hyperlink" Target="https://drive.google.com/open?id=18Q0QuaUxl99iZu7FIpTV95J3KmoXCAVi" TargetMode="External"/><Relationship Id="rId584" Type="http://schemas.openxmlformats.org/officeDocument/2006/relationships/hyperlink" Target="https://drive.google.com/open?id=1PvLeJ_UzfZ0QkU94ENJCf2gKy3waeUfN" TargetMode="External"/><Relationship Id="rId217" Type="http://schemas.openxmlformats.org/officeDocument/2006/relationships/hyperlink" Target="https://drive.google.com/open?id=1F2_TH_s967du_b6wA3JfB8RQR_UOklOy" TargetMode="External"/><Relationship Id="rId338" Type="http://schemas.openxmlformats.org/officeDocument/2006/relationships/hyperlink" Target="https://drive.google.com/open?id=1gJnVdm-kdYnKXTBoIb1HT9gQJAdUj7ls" TargetMode="External"/><Relationship Id="rId459" Type="http://schemas.openxmlformats.org/officeDocument/2006/relationships/hyperlink" Target="https://drive.google.com/open?id=1dLZrsMPaRF2u22mHfYrTYezeqsjf345z" TargetMode="External"/><Relationship Id="rId216" Type="http://schemas.openxmlformats.org/officeDocument/2006/relationships/hyperlink" Target="https://drive.google.com/open?id=1PYgEjp11qUdTb6Hc1JJL73HsNSQOoFPS" TargetMode="External"/><Relationship Id="rId337" Type="http://schemas.openxmlformats.org/officeDocument/2006/relationships/hyperlink" Target="https://drive.google.com/open?id=1JQj35q39sUTWuOI70pi2I6GS48rLQq0K" TargetMode="External"/><Relationship Id="rId458" Type="http://schemas.openxmlformats.org/officeDocument/2006/relationships/hyperlink" Target="https://drive.google.com/open?id=1i9m5uWDPl-Z07-F1H2WQ-yw7SKtgJGHR" TargetMode="External"/><Relationship Id="rId579" Type="http://schemas.openxmlformats.org/officeDocument/2006/relationships/hyperlink" Target="https://drive.google.com/open?id=1EK1CXs_0_ASiuoo2HXJrLbLeOjT9oxyD" TargetMode="External"/><Relationship Id="rId215" Type="http://schemas.openxmlformats.org/officeDocument/2006/relationships/hyperlink" Target="https://drive.google.com/open?id=1YWyAcC2HsyoTOwlaPmdJXmweQXnDI43I" TargetMode="External"/><Relationship Id="rId336" Type="http://schemas.openxmlformats.org/officeDocument/2006/relationships/hyperlink" Target="https://drive.google.com/open?id=1hd6DkF38Vb7KskWO3AqXe_fsyJC9pxmR" TargetMode="External"/><Relationship Id="rId457" Type="http://schemas.openxmlformats.org/officeDocument/2006/relationships/hyperlink" Target="https://drive.google.com/open?id=1-5O3KNSBZpIrk1sJu-87uGzfidkYu1A3" TargetMode="External"/><Relationship Id="rId578" Type="http://schemas.openxmlformats.org/officeDocument/2006/relationships/hyperlink" Target="https://drive.google.com/open?id=1c5nLOUQbRcTcIv3t5lRN8GowTeOO8BjL" TargetMode="External"/><Relationship Id="rId214" Type="http://schemas.openxmlformats.org/officeDocument/2006/relationships/hyperlink" Target="https://drive.google.com/open?id=1G9cyLoM0IMf7J_XbxiSLY6dbUtRG1cfM" TargetMode="External"/><Relationship Id="rId335" Type="http://schemas.openxmlformats.org/officeDocument/2006/relationships/hyperlink" Target="https://drive.google.com/open?id=1e2SAdlpsp20plL9wnVp-O2CdQ0gKmG_M" TargetMode="External"/><Relationship Id="rId456" Type="http://schemas.openxmlformats.org/officeDocument/2006/relationships/hyperlink" Target="https://drive.google.com/open?id=1IYfZJelPNarMU7l4HwXkXIiQQDIJ-1Ez" TargetMode="External"/><Relationship Id="rId577" Type="http://schemas.openxmlformats.org/officeDocument/2006/relationships/hyperlink" Target="https://drive.google.com/open?id=11UGY-1Rl-A7QsxH6vC7yl-dIU0qDoBjB" TargetMode="External"/><Relationship Id="rId219" Type="http://schemas.openxmlformats.org/officeDocument/2006/relationships/hyperlink" Target="https://drive.google.com/open?id=1g7iIw7iHMOrvRHJKPROHgqOoUIdHUf7h" TargetMode="External"/><Relationship Id="rId218" Type="http://schemas.openxmlformats.org/officeDocument/2006/relationships/hyperlink" Target="https://drive.google.com/open?id=1U0cf45eLO6zem9ihvvjTjulHOAdoxxqJ" TargetMode="External"/><Relationship Id="rId339" Type="http://schemas.openxmlformats.org/officeDocument/2006/relationships/hyperlink" Target="https://drive.google.com/open?id=19uNIOUBgcp4ppB5mzkewdFLQicm-LhLe" TargetMode="External"/><Relationship Id="rId330" Type="http://schemas.openxmlformats.org/officeDocument/2006/relationships/hyperlink" Target="https://drive.google.com/open?id=1W1cXXAhTqAwDb9cDvQq3JIwqujhfigRP" TargetMode="External"/><Relationship Id="rId451" Type="http://schemas.openxmlformats.org/officeDocument/2006/relationships/hyperlink" Target="https://drive.google.com/open?id=1j01lyKjg4C6Wa4YqgZpliAfHiR_KKpYw" TargetMode="External"/><Relationship Id="rId572" Type="http://schemas.openxmlformats.org/officeDocument/2006/relationships/hyperlink" Target="https://drive.google.com/open?id=12oc2rP0pDXX2VME6xJXulNJiu02vj2db" TargetMode="External"/><Relationship Id="rId450" Type="http://schemas.openxmlformats.org/officeDocument/2006/relationships/hyperlink" Target="https://drive.google.com/open?id=1qoxyQIviVtXy4GIYHqQZsQzvBEGYcxuY" TargetMode="External"/><Relationship Id="rId571" Type="http://schemas.openxmlformats.org/officeDocument/2006/relationships/hyperlink" Target="https://drive.google.com/open?id=1-3iY3eBU0PZqLwdTEoTqnNhZjsFfxo0X" TargetMode="External"/><Relationship Id="rId570" Type="http://schemas.openxmlformats.org/officeDocument/2006/relationships/hyperlink" Target="https://drive.google.com/open?id=1uREFuAFiQh8EXV3eHUstFvv0gpp7-sfZ" TargetMode="External"/><Relationship Id="rId213" Type="http://schemas.openxmlformats.org/officeDocument/2006/relationships/hyperlink" Target="https://drive.google.com/open?id=1QKBIzaFztfETfprl04zM2_ZVXyw_OR9u" TargetMode="External"/><Relationship Id="rId334" Type="http://schemas.openxmlformats.org/officeDocument/2006/relationships/hyperlink" Target="https://drive.google.com/open?id=1mQ1m3flEEAVwTNVSi0uQv2vSCpSpVt9W" TargetMode="External"/><Relationship Id="rId455" Type="http://schemas.openxmlformats.org/officeDocument/2006/relationships/hyperlink" Target="https://drive.google.com/open?id=1wY8-nYy2DUOKfWMAZackX-HKbK7csI-q" TargetMode="External"/><Relationship Id="rId576" Type="http://schemas.openxmlformats.org/officeDocument/2006/relationships/hyperlink" Target="https://drive.google.com/open?id=1t-iM0eAeZsZr7nzYAFmO45nM3QusKUeZ" TargetMode="External"/><Relationship Id="rId212" Type="http://schemas.openxmlformats.org/officeDocument/2006/relationships/hyperlink" Target="https://drive.google.com/open?id=121wCuuAAVNeM5-IHFysJZOifqI6oc8iX" TargetMode="External"/><Relationship Id="rId333" Type="http://schemas.openxmlformats.org/officeDocument/2006/relationships/hyperlink" Target="https://drive.google.com/open?id=1VtcJpu2Ubdi-WpRGV5Qv6_C45PqQtcKp" TargetMode="External"/><Relationship Id="rId454" Type="http://schemas.openxmlformats.org/officeDocument/2006/relationships/hyperlink" Target="https://drive.google.com/open?id=1MnGd7gAwjOh1WtxbkpAiqCDw4RGzjeKJ" TargetMode="External"/><Relationship Id="rId575" Type="http://schemas.openxmlformats.org/officeDocument/2006/relationships/hyperlink" Target="https://drive.google.com/open?id=1UpamrMmiBuutS7AF_GLqUHAQMBh2O7NO" TargetMode="External"/><Relationship Id="rId211" Type="http://schemas.openxmlformats.org/officeDocument/2006/relationships/hyperlink" Target="https://drive.google.com/open?id=1IaINqfksowM3bd0pRPTDL00b2rkoOolb" TargetMode="External"/><Relationship Id="rId332" Type="http://schemas.openxmlformats.org/officeDocument/2006/relationships/hyperlink" Target="https://drive.google.com/open?id=1xdt-BYayW9IJP0hGhE4itN2vi29rYgJ5" TargetMode="External"/><Relationship Id="rId453" Type="http://schemas.openxmlformats.org/officeDocument/2006/relationships/hyperlink" Target="https://drive.google.com/open?id=1VPSW0IRNKqzxJ6NA_NddgcXa1rIuWwoi" TargetMode="External"/><Relationship Id="rId574" Type="http://schemas.openxmlformats.org/officeDocument/2006/relationships/hyperlink" Target="https://drive.google.com/open?id=1nC8nU6ke5S18qZGOelYDWA0EwMCoL3Ys" TargetMode="External"/><Relationship Id="rId210" Type="http://schemas.openxmlformats.org/officeDocument/2006/relationships/hyperlink" Target="https://drive.google.com/open?id=1gxlp6BP_0tCFkd_XuxUrtshPNfSJ4ZTm" TargetMode="External"/><Relationship Id="rId331" Type="http://schemas.openxmlformats.org/officeDocument/2006/relationships/hyperlink" Target="https://drive.google.com/open?id=1phG9Kf-BRKlAgNWXm-Ie82QOE6PqP7T_" TargetMode="External"/><Relationship Id="rId452" Type="http://schemas.openxmlformats.org/officeDocument/2006/relationships/hyperlink" Target="https://drive.google.com/open?id=1fwr-L66XhtigcRmFThZbWPCB_rN7k7rL" TargetMode="External"/><Relationship Id="rId573" Type="http://schemas.openxmlformats.org/officeDocument/2006/relationships/hyperlink" Target="https://drive.google.com/open?id=17QejiLw3HyWBti09wWgC3CbElFHNgb2s" TargetMode="External"/><Relationship Id="rId370" Type="http://schemas.openxmlformats.org/officeDocument/2006/relationships/hyperlink" Target="https://drive.google.com/open?id=1vVuj9dsu9tyIbjZkKr0iZnMVwvsMCkoO" TargetMode="External"/><Relationship Id="rId491" Type="http://schemas.openxmlformats.org/officeDocument/2006/relationships/hyperlink" Target="https://drive.google.com/open?id=1BcQK3RvFYa9da1BU82yGG32wMu3AYQqR" TargetMode="External"/><Relationship Id="rId490" Type="http://schemas.openxmlformats.org/officeDocument/2006/relationships/hyperlink" Target="https://drive.google.com/open?id=19_3BIjQczF4cLwwsveqd5rMS7YIVDYJv" TargetMode="External"/><Relationship Id="rId129" Type="http://schemas.openxmlformats.org/officeDocument/2006/relationships/hyperlink" Target="https://drive.google.com/open?id=1hb36yb24gxNyHVyf9Lyb7Kjo1gAbqk7c" TargetMode="External"/><Relationship Id="rId128" Type="http://schemas.openxmlformats.org/officeDocument/2006/relationships/hyperlink" Target="https://drive.google.com/open?id=1SPVWhNDSswl-n-zgHsdipTxSfdP5PpAY" TargetMode="External"/><Relationship Id="rId249" Type="http://schemas.openxmlformats.org/officeDocument/2006/relationships/hyperlink" Target="https://drive.google.com/open?id=1B8-93kuWqrVl8NU3WZbW4OcFzKW9oxQO" TargetMode="External"/><Relationship Id="rId127" Type="http://schemas.openxmlformats.org/officeDocument/2006/relationships/hyperlink" Target="https://drive.google.com/open?id=1uv0_jyoBQRql6G_DZPmt1WKmUoq9EIub" TargetMode="External"/><Relationship Id="rId248" Type="http://schemas.openxmlformats.org/officeDocument/2006/relationships/hyperlink" Target="https://drive.google.com/open?id=1aApUAX2LoUpz64VC5kVhKvEyWbjTnn3M" TargetMode="External"/><Relationship Id="rId369" Type="http://schemas.openxmlformats.org/officeDocument/2006/relationships/hyperlink" Target="https://drive.google.com/open?id=1S28CLPdzIbAJ7cprYeJyfSgCHwSZBNFV" TargetMode="External"/><Relationship Id="rId126" Type="http://schemas.openxmlformats.org/officeDocument/2006/relationships/hyperlink" Target="https://drive.google.com/open?id=171vDpI9_OOmmH1J3oDA-sBAmimBHfXHA" TargetMode="External"/><Relationship Id="rId247" Type="http://schemas.openxmlformats.org/officeDocument/2006/relationships/hyperlink" Target="https://drive.google.com/open?id=1aBx88B9kJPFS8Om0r7wtqPmTke8zigOK" TargetMode="External"/><Relationship Id="rId368" Type="http://schemas.openxmlformats.org/officeDocument/2006/relationships/hyperlink" Target="https://drive.google.com/open?id=1YWGDGjqLoKXYQQqdWDILizFrs_YabZdj" TargetMode="External"/><Relationship Id="rId489" Type="http://schemas.openxmlformats.org/officeDocument/2006/relationships/hyperlink" Target="https://drive.google.com/open?id=11hc7H55-uXwixc1VzKm7q4M1mLR1OYmv" TargetMode="External"/><Relationship Id="rId121" Type="http://schemas.openxmlformats.org/officeDocument/2006/relationships/hyperlink" Target="https://drive.google.com/open?id=1TCz5_eoBZOjD81rtvkz4ikEVwBDoafzc" TargetMode="External"/><Relationship Id="rId242" Type="http://schemas.openxmlformats.org/officeDocument/2006/relationships/hyperlink" Target="https://drive.google.com/open?id=1tomoLE2v3NYD5-S0Rf3RlZhz2j7AnRuQ" TargetMode="External"/><Relationship Id="rId363" Type="http://schemas.openxmlformats.org/officeDocument/2006/relationships/hyperlink" Target="https://drive.google.com/open?id=1GoyY1zbD7w7Z1Tt6oeFEOz5tLxiydSuV" TargetMode="External"/><Relationship Id="rId484" Type="http://schemas.openxmlformats.org/officeDocument/2006/relationships/hyperlink" Target="https://drive.google.com/open?id=1KhQYqZdPJM9RDLPCz8P0a34s4tTNvPr6" TargetMode="External"/><Relationship Id="rId120" Type="http://schemas.openxmlformats.org/officeDocument/2006/relationships/hyperlink" Target="https://drive.google.com/open?id=1T0pinKU1Tsdk-lnw-_EoJrDh99u9ZpRM" TargetMode="External"/><Relationship Id="rId241" Type="http://schemas.openxmlformats.org/officeDocument/2006/relationships/hyperlink" Target="https://drive.google.com/open?id=1rpLlT_dfSN9NEpe2QEBDKwP4Q35VGRWc" TargetMode="External"/><Relationship Id="rId362" Type="http://schemas.openxmlformats.org/officeDocument/2006/relationships/hyperlink" Target="https://drive.google.com/open?id=1Q-8bUcgnHRp6XRLmHyiOpIA9iWCBN_NJ" TargetMode="External"/><Relationship Id="rId483" Type="http://schemas.openxmlformats.org/officeDocument/2006/relationships/hyperlink" Target="https://drive.google.com/open?id=1_X2BNm4TGbHauzYYSheDcXFSwhUceNhD" TargetMode="External"/><Relationship Id="rId240" Type="http://schemas.openxmlformats.org/officeDocument/2006/relationships/hyperlink" Target="https://drive.google.com/open?id=1mkZYO8WrkXcKh3dKlxcIrwise1rZwgWq" TargetMode="External"/><Relationship Id="rId361" Type="http://schemas.openxmlformats.org/officeDocument/2006/relationships/hyperlink" Target="https://drive.google.com/open?id=1OD084f_FieGZ7rrQS9cH693AK-7pAPPz" TargetMode="External"/><Relationship Id="rId482" Type="http://schemas.openxmlformats.org/officeDocument/2006/relationships/hyperlink" Target="https://drive.google.com/open?id=1IflUGx8otAmAo8iRWVKwkLGdoiuBR8dX" TargetMode="External"/><Relationship Id="rId360" Type="http://schemas.openxmlformats.org/officeDocument/2006/relationships/hyperlink" Target="https://drive.google.com/open?id=1P5WYFDJZ6vXyuS1BzeDgE0x_iFtMYeTS" TargetMode="External"/><Relationship Id="rId481" Type="http://schemas.openxmlformats.org/officeDocument/2006/relationships/hyperlink" Target="https://drive.google.com/open?id=1qgv-vUidvO2ptfZ75d6AM30wXGHTlcm9" TargetMode="External"/><Relationship Id="rId125" Type="http://schemas.openxmlformats.org/officeDocument/2006/relationships/hyperlink" Target="https://drive.google.com/open?id=1C_A6MzM3jyw4GNhLF3nvZKRd9Ghcti0p" TargetMode="External"/><Relationship Id="rId246" Type="http://schemas.openxmlformats.org/officeDocument/2006/relationships/hyperlink" Target="https://drive.google.com/open?id=1N1J3jaVlLyospJlENB6FHIkKOIgZW3QW" TargetMode="External"/><Relationship Id="rId367" Type="http://schemas.openxmlformats.org/officeDocument/2006/relationships/hyperlink" Target="https://drive.google.com/open?id=1OOHvna7qPfLtiLCm87Z7nTZUgURLxQnt" TargetMode="External"/><Relationship Id="rId488" Type="http://schemas.openxmlformats.org/officeDocument/2006/relationships/hyperlink" Target="https://drive.google.com/open?id=12GsjBlPieFLGDD9pT_czA8bMPPUc7I8w" TargetMode="External"/><Relationship Id="rId124" Type="http://schemas.openxmlformats.org/officeDocument/2006/relationships/hyperlink" Target="https://drive.google.com/open?id=1GdzUwgrUAHjxZP8Y8iOD_ncETjw7-7j6" TargetMode="External"/><Relationship Id="rId245" Type="http://schemas.openxmlformats.org/officeDocument/2006/relationships/hyperlink" Target="https://drive.google.com/open?id=1_RwDT9HADeLRWUbtTPZSrPkp8ZmmnSIC" TargetMode="External"/><Relationship Id="rId366" Type="http://schemas.openxmlformats.org/officeDocument/2006/relationships/hyperlink" Target="https://drive.google.com/open?id=1qrxQym0GZyHa0h-gOW0MoUgYyNL9nBJy" TargetMode="External"/><Relationship Id="rId487" Type="http://schemas.openxmlformats.org/officeDocument/2006/relationships/hyperlink" Target="https://drive.google.com/open?id=1koaJBvYi75MWU1dZNNOl6dOS0IrHU73P" TargetMode="External"/><Relationship Id="rId123" Type="http://schemas.openxmlformats.org/officeDocument/2006/relationships/hyperlink" Target="https://drive.google.com/open?id=1dhtEZGQg0nHVlMYrpZdn4Ue5MsauqJfy" TargetMode="External"/><Relationship Id="rId244" Type="http://schemas.openxmlformats.org/officeDocument/2006/relationships/hyperlink" Target="https://drive.google.com/open?id=1plb1J7sOXvM0pTqeL4O02KY7iDVOqzbd" TargetMode="External"/><Relationship Id="rId365" Type="http://schemas.openxmlformats.org/officeDocument/2006/relationships/hyperlink" Target="https://drive.google.com/open?id=1FHGLmKVTY8DeAu702QgUSp15cvAZmkao" TargetMode="External"/><Relationship Id="rId486" Type="http://schemas.openxmlformats.org/officeDocument/2006/relationships/hyperlink" Target="https://drive.google.com/open?id=1qmpOstbSGzlzLzH9xDi5dcJI7O1rKLst" TargetMode="External"/><Relationship Id="rId122" Type="http://schemas.openxmlformats.org/officeDocument/2006/relationships/hyperlink" Target="https://drive.google.com/open?id=1_nw09-xrHzPpyIWzauxOp9FojdX202BM" TargetMode="External"/><Relationship Id="rId243" Type="http://schemas.openxmlformats.org/officeDocument/2006/relationships/hyperlink" Target="https://drive.google.com/open?id=1fpqJVLvJbEBmHM-Vp-jdzrD3zLqK4Qpo" TargetMode="External"/><Relationship Id="rId364" Type="http://schemas.openxmlformats.org/officeDocument/2006/relationships/hyperlink" Target="https://drive.google.com/open?id=1Lck9pyCx-JRG-Mkpvocgfb7dIAmoi6-D" TargetMode="External"/><Relationship Id="rId485" Type="http://schemas.openxmlformats.org/officeDocument/2006/relationships/hyperlink" Target="https://drive.google.com/open?id=1rFjE__QjZ6yRGJZjNju-sMAK-abV_7hn" TargetMode="External"/><Relationship Id="rId95" Type="http://schemas.openxmlformats.org/officeDocument/2006/relationships/hyperlink" Target="https://drive.google.com/open?id=1BSliTcVmMApvbBLXVst5yKg6Lhr85r7_" TargetMode="External"/><Relationship Id="rId94" Type="http://schemas.openxmlformats.org/officeDocument/2006/relationships/hyperlink" Target="https://drive.google.com/open?id=1h4Y2QhVp9jaHYWoc4LHt6aveOeDbmK0g" TargetMode="External"/><Relationship Id="rId97" Type="http://schemas.openxmlformats.org/officeDocument/2006/relationships/hyperlink" Target="https://drive.google.com/open?id=17TmhaMHcpBqUQqHrUMkPrfbUgoH09GOp" TargetMode="External"/><Relationship Id="rId96" Type="http://schemas.openxmlformats.org/officeDocument/2006/relationships/hyperlink" Target="https://drive.google.com/open?id=1GV2cy2DW6ieJpd6im7hPjkEK-5O_vjF0" TargetMode="External"/><Relationship Id="rId99" Type="http://schemas.openxmlformats.org/officeDocument/2006/relationships/hyperlink" Target="https://drive.google.com/open?id=1EBt9I3iUh9Nel9LqzBjpD4oJWwQL7pqZ" TargetMode="External"/><Relationship Id="rId480" Type="http://schemas.openxmlformats.org/officeDocument/2006/relationships/hyperlink" Target="https://drive.google.com/open?id=14a26gQ1W7j2mxa35xYsHu7XNRWqPbNeA" TargetMode="External"/><Relationship Id="rId98" Type="http://schemas.openxmlformats.org/officeDocument/2006/relationships/hyperlink" Target="https://drive.google.com/open?id=1jaRKbKJicxMqIHy2ibJOxhv7hNOMbkMl" TargetMode="External"/><Relationship Id="rId91" Type="http://schemas.openxmlformats.org/officeDocument/2006/relationships/hyperlink" Target="https://drive.google.com/open?id=1-xsHUdZish-2iM7jBAeMd4Ut9MuulfJ0" TargetMode="External"/><Relationship Id="rId90" Type="http://schemas.openxmlformats.org/officeDocument/2006/relationships/hyperlink" Target="https://drive.google.com/open?id=1eO0s01Pur0mLCr-2-hLE8OgAAX8aFRIv" TargetMode="External"/><Relationship Id="rId93" Type="http://schemas.openxmlformats.org/officeDocument/2006/relationships/hyperlink" Target="https://drive.google.com/open?id=1x_6TrWs9IctsoBFHKNrlWBJqL9At4C1u" TargetMode="External"/><Relationship Id="rId92" Type="http://schemas.openxmlformats.org/officeDocument/2006/relationships/hyperlink" Target="https://drive.google.com/open?id=1W5KgKxbv60GZ7MRB-SPdla0iOwsTpUm8" TargetMode="External"/><Relationship Id="rId118" Type="http://schemas.openxmlformats.org/officeDocument/2006/relationships/hyperlink" Target="https://drive.google.com/open?id=1Uc8KQLn0h8YkJILR1r3KHR3txDnERFRM" TargetMode="External"/><Relationship Id="rId239" Type="http://schemas.openxmlformats.org/officeDocument/2006/relationships/hyperlink" Target="https://drive.google.com/open?id=1PBjG5YRHISTf0PWvs9XbO8yQ59CUOQ6j" TargetMode="External"/><Relationship Id="rId117" Type="http://schemas.openxmlformats.org/officeDocument/2006/relationships/hyperlink" Target="https://drive.google.com/open?id=1rCDQyDv1xQp3fh1-rD17aTuSG5iKzcrj" TargetMode="External"/><Relationship Id="rId238" Type="http://schemas.openxmlformats.org/officeDocument/2006/relationships/hyperlink" Target="https://drive.google.com/open?id=19RAeOvxbl0KG_n8OvQD2Gfaq3sb9FL7a" TargetMode="External"/><Relationship Id="rId359" Type="http://schemas.openxmlformats.org/officeDocument/2006/relationships/hyperlink" Target="https://drive.google.com/open?id=1qbDi6YtYd6QzXzLDAWMcHo7BrjVDFP_Z" TargetMode="External"/><Relationship Id="rId116" Type="http://schemas.openxmlformats.org/officeDocument/2006/relationships/hyperlink" Target="https://drive.google.com/open?id=15OYxPjqpXB6PPBpJNl0pv0wO0cvDkpI_" TargetMode="External"/><Relationship Id="rId237" Type="http://schemas.openxmlformats.org/officeDocument/2006/relationships/hyperlink" Target="https://drive.google.com/open?id=1B5rjSArg9tTQk_tvVKmwmH2fFLCHXLvy" TargetMode="External"/><Relationship Id="rId358" Type="http://schemas.openxmlformats.org/officeDocument/2006/relationships/hyperlink" Target="https://drive.google.com/open?id=1N-2lnyduhzVWQHYzBFdVlXM7Tuy2aA_V" TargetMode="External"/><Relationship Id="rId479" Type="http://schemas.openxmlformats.org/officeDocument/2006/relationships/hyperlink" Target="https://drive.google.com/open?id=10hsZHSvTxZQohNryPTol_zHTVlmYwfzf" TargetMode="External"/><Relationship Id="rId115" Type="http://schemas.openxmlformats.org/officeDocument/2006/relationships/hyperlink" Target="https://drive.google.com/open?id=1ijmSkv-0U41E63TlspfGXNFNizHFcwr3" TargetMode="External"/><Relationship Id="rId236" Type="http://schemas.openxmlformats.org/officeDocument/2006/relationships/hyperlink" Target="https://drive.google.com/open?id=1VQ5WGCad0Yg5rZNFca4fe9ts4vEQ3LKf" TargetMode="External"/><Relationship Id="rId357" Type="http://schemas.openxmlformats.org/officeDocument/2006/relationships/hyperlink" Target="https://drive.google.com/open?id=1uFCMRsIcdMkSaMhTohSCrvRCxaRWM88i" TargetMode="External"/><Relationship Id="rId478" Type="http://schemas.openxmlformats.org/officeDocument/2006/relationships/hyperlink" Target="https://drive.google.com/open?id=19TaB-p99z9YjWfTjAed32Jjd6fJWZufy" TargetMode="External"/><Relationship Id="rId599" Type="http://schemas.openxmlformats.org/officeDocument/2006/relationships/hyperlink" Target="https://drive.google.com/open?id=1cYU95BQ2z6KT-ep7g27L_0J4KlaGt6pu" TargetMode="External"/><Relationship Id="rId119" Type="http://schemas.openxmlformats.org/officeDocument/2006/relationships/hyperlink" Target="https://drive.google.com/open?id=1zMOqcFZpeJJc4buvjkKWYxstiTA_qeCH" TargetMode="External"/><Relationship Id="rId110" Type="http://schemas.openxmlformats.org/officeDocument/2006/relationships/hyperlink" Target="https://drive.google.com/open?id=1HnyH7uK-s2JzKEeIfU56TNRUMGuo3lEq" TargetMode="External"/><Relationship Id="rId231" Type="http://schemas.openxmlformats.org/officeDocument/2006/relationships/hyperlink" Target="https://drive.google.com/open?id=1bF-7mZfqNZncq4cmgVq-pdma8gwyr0pP" TargetMode="External"/><Relationship Id="rId352" Type="http://schemas.openxmlformats.org/officeDocument/2006/relationships/hyperlink" Target="https://drive.google.com/open?id=1e9p8aZAS-e52MwULNUNBqab-nv7wMylE" TargetMode="External"/><Relationship Id="rId473" Type="http://schemas.openxmlformats.org/officeDocument/2006/relationships/hyperlink" Target="https://drive.google.com/open?id=19xJJKxk8zOWOHanmg0xEw1tg8Zlg_Hs-" TargetMode="External"/><Relationship Id="rId594" Type="http://schemas.openxmlformats.org/officeDocument/2006/relationships/hyperlink" Target="https://drive.google.com/open?id=1xtb1z6mmQT34H0Pe0XCT7tYa12Ea7ALV" TargetMode="External"/><Relationship Id="rId230" Type="http://schemas.openxmlformats.org/officeDocument/2006/relationships/hyperlink" Target="https://drive.google.com/open?id=1Q8mHr9Ue2993Z0d1oxG3Yv3JiG81WOnq" TargetMode="External"/><Relationship Id="rId351" Type="http://schemas.openxmlformats.org/officeDocument/2006/relationships/hyperlink" Target="https://drive.google.com/open?id=13cblh4xLxIQ4yLJTj4tSdhzbO-bkYWnI" TargetMode="External"/><Relationship Id="rId472" Type="http://schemas.openxmlformats.org/officeDocument/2006/relationships/hyperlink" Target="https://drive.google.com/open?id=1x2LE3-CQESnYeqdYw1wDImOLD7IQWiro" TargetMode="External"/><Relationship Id="rId593" Type="http://schemas.openxmlformats.org/officeDocument/2006/relationships/hyperlink" Target="https://drive.google.com/open?id=1SSMmYj-DjIKu_1fnJFFdFRFH3Ifzidkm" TargetMode="External"/><Relationship Id="rId350" Type="http://schemas.openxmlformats.org/officeDocument/2006/relationships/hyperlink" Target="https://drive.google.com/open?id=1-yQ1hkrJfAAHQtI-uoy-1OTFu-_VOOmI" TargetMode="External"/><Relationship Id="rId471" Type="http://schemas.openxmlformats.org/officeDocument/2006/relationships/hyperlink" Target="https://drive.google.com/open?id=1kVkELPiLHqs6eIK8WoQDwvIK41xXhbtA" TargetMode="External"/><Relationship Id="rId592" Type="http://schemas.openxmlformats.org/officeDocument/2006/relationships/hyperlink" Target="https://drive.google.com/open?id=16Ync3iqZ_VHyZtk776Hd1u5kW7WguqM9" TargetMode="External"/><Relationship Id="rId470" Type="http://schemas.openxmlformats.org/officeDocument/2006/relationships/hyperlink" Target="https://drive.google.com/open?id=1ES6I9oa1PmZdDZxn38wB7TEC4Mm2BOMv" TargetMode="External"/><Relationship Id="rId591" Type="http://schemas.openxmlformats.org/officeDocument/2006/relationships/hyperlink" Target="https://drive.google.com/open?id=1mEWACXek4KAN_-2PEhVocOizhAf_pRSk" TargetMode="External"/><Relationship Id="rId114" Type="http://schemas.openxmlformats.org/officeDocument/2006/relationships/hyperlink" Target="https://drive.google.com/open?id=16P4SH6LJgICVA432_eeqQlrJB8kxgoIV" TargetMode="External"/><Relationship Id="rId235" Type="http://schemas.openxmlformats.org/officeDocument/2006/relationships/hyperlink" Target="https://drive.google.com/open?id=1nlskHSreeuiWWZzFA7Ehs78RGY-L0gY5" TargetMode="External"/><Relationship Id="rId356" Type="http://schemas.openxmlformats.org/officeDocument/2006/relationships/hyperlink" Target="https://drive.google.com/open?id=1MJ75V5hB4C3IgKFlwKcAV6GiJOvLXBmo" TargetMode="External"/><Relationship Id="rId477" Type="http://schemas.openxmlformats.org/officeDocument/2006/relationships/hyperlink" Target="https://drive.google.com/open?id=1WSxXAf3Pr3K24S4AK9iknBqOmIhYJ_vI" TargetMode="External"/><Relationship Id="rId598" Type="http://schemas.openxmlformats.org/officeDocument/2006/relationships/hyperlink" Target="https://drive.google.com/open?id=1cZqWMD3wm1fJH0zxS6vwJyA8MleJJu6L" TargetMode="External"/><Relationship Id="rId113" Type="http://schemas.openxmlformats.org/officeDocument/2006/relationships/hyperlink" Target="https://drive.google.com/open?id=1xf4vvfnUYq2MdrnInWxmYv8VpF0jdgi5" TargetMode="External"/><Relationship Id="rId234" Type="http://schemas.openxmlformats.org/officeDocument/2006/relationships/hyperlink" Target="https://drive.google.com/open?id=1oxEIfwLin85Ub3HyhqLa4NVkTabTcRnL" TargetMode="External"/><Relationship Id="rId355" Type="http://schemas.openxmlformats.org/officeDocument/2006/relationships/hyperlink" Target="https://drive.google.com/open?id=1GQeEWTA1MtG3irE_fn7xjpAdhKRWxoGQ" TargetMode="External"/><Relationship Id="rId476" Type="http://schemas.openxmlformats.org/officeDocument/2006/relationships/hyperlink" Target="https://drive.google.com/open?id=1U5cgE5NsKCuQI1oAR-k_fvyitUh4N8Yj" TargetMode="External"/><Relationship Id="rId597" Type="http://schemas.openxmlformats.org/officeDocument/2006/relationships/hyperlink" Target="https://drive.google.com/open?id=1nL_pguglo8MXp96mQyzTgoZDEKan1Nrc" TargetMode="External"/><Relationship Id="rId112" Type="http://schemas.openxmlformats.org/officeDocument/2006/relationships/hyperlink" Target="https://drive.google.com/open?id=1-tSigDVzNn1hz4jI03bHZVUyD4Fe0gn1" TargetMode="External"/><Relationship Id="rId233" Type="http://schemas.openxmlformats.org/officeDocument/2006/relationships/hyperlink" Target="https://drive.google.com/open?id=1PwX0RU0PB1hIKEjJudIKM6bFuu8nKzTz" TargetMode="External"/><Relationship Id="rId354" Type="http://schemas.openxmlformats.org/officeDocument/2006/relationships/hyperlink" Target="https://drive.google.com/open?id=1CbpYbDiFHceUOjQk4aDEur7EjbGV74b_" TargetMode="External"/><Relationship Id="rId475" Type="http://schemas.openxmlformats.org/officeDocument/2006/relationships/hyperlink" Target="https://drive.google.com/open?id=19swGvq34wuHFd7Y9s3qYjoak5824b9yP" TargetMode="External"/><Relationship Id="rId596" Type="http://schemas.openxmlformats.org/officeDocument/2006/relationships/hyperlink" Target="https://drive.google.com/open?id=1F5_eF0cKjZefdmYyiHmCYp_45RGETKU8" TargetMode="External"/><Relationship Id="rId111" Type="http://schemas.openxmlformats.org/officeDocument/2006/relationships/hyperlink" Target="https://drive.google.com/open?id=1QPF5Ofmmo6Q865lgMGHyQJgFwSe6rs5M" TargetMode="External"/><Relationship Id="rId232" Type="http://schemas.openxmlformats.org/officeDocument/2006/relationships/hyperlink" Target="https://drive.google.com/open?id=1XV7-_Qu5x1wfy7It9cobXuPz6NurzAT_" TargetMode="External"/><Relationship Id="rId353" Type="http://schemas.openxmlformats.org/officeDocument/2006/relationships/hyperlink" Target="https://drive.google.com/open?id=11lQAkawlnt5xWBBAl0pTlsqXdxvN60ID" TargetMode="External"/><Relationship Id="rId474" Type="http://schemas.openxmlformats.org/officeDocument/2006/relationships/hyperlink" Target="https://drive.google.com/open?id=1xHB4bnri4_3Z62rUWzDcTxNNcHq5W7Jn" TargetMode="External"/><Relationship Id="rId595" Type="http://schemas.openxmlformats.org/officeDocument/2006/relationships/hyperlink" Target="https://drive.google.com/open?id=1yqVo7FrTIhJ9couolgPGTJ6SaknbYMZg" TargetMode="External"/><Relationship Id="rId305" Type="http://schemas.openxmlformats.org/officeDocument/2006/relationships/hyperlink" Target="https://drive.google.com/open?id=1SRHTgCypeDBCMleZkDyON0juYsMsQe3o" TargetMode="External"/><Relationship Id="rId426" Type="http://schemas.openxmlformats.org/officeDocument/2006/relationships/hyperlink" Target="https://drive.google.com/open?id=1w0vb2x9b6Lh88PNm254OLJnnj83-yV0U" TargetMode="External"/><Relationship Id="rId547" Type="http://schemas.openxmlformats.org/officeDocument/2006/relationships/hyperlink" Target="https://drive.google.com/open?id=1Kr1ObGd0bkP35FDmxtXtDcikHQDy81Dk" TargetMode="External"/><Relationship Id="rId304" Type="http://schemas.openxmlformats.org/officeDocument/2006/relationships/hyperlink" Target="https://drive.google.com/open?id=1TSHqfhm-qBB_wzvtB8Yx9xbKrRQN1hU3" TargetMode="External"/><Relationship Id="rId425" Type="http://schemas.openxmlformats.org/officeDocument/2006/relationships/hyperlink" Target="https://drive.google.com/open?id=1VfGTjnIiX0yf2nkeK66rPqjI_ESyFBbZ" TargetMode="External"/><Relationship Id="rId546" Type="http://schemas.openxmlformats.org/officeDocument/2006/relationships/hyperlink" Target="https://drive.google.com/open?id=1QXZ2muS6Bbe8OsmR1_8mel8r9QkJ7OXG" TargetMode="External"/><Relationship Id="rId303" Type="http://schemas.openxmlformats.org/officeDocument/2006/relationships/hyperlink" Target="https://drive.google.com/open?id=1Lltv5lQvuz21rm_2ND0HOX3yp27dVPPk" TargetMode="External"/><Relationship Id="rId424" Type="http://schemas.openxmlformats.org/officeDocument/2006/relationships/hyperlink" Target="https://drive.google.com/open?id=1-jCBQsL8rWdaneL23KWUbx9FDZ_olqs7" TargetMode="External"/><Relationship Id="rId545" Type="http://schemas.openxmlformats.org/officeDocument/2006/relationships/hyperlink" Target="https://drive.google.com/open?id=1mJC68uz1JhWfH_Iv5g8C4wjbUOTST2hX" TargetMode="External"/><Relationship Id="rId302" Type="http://schemas.openxmlformats.org/officeDocument/2006/relationships/hyperlink" Target="https://drive.google.com/open?id=1Xz0wPLZLP4O8pNLUGSD5Iwv4COEs6Xea" TargetMode="External"/><Relationship Id="rId423" Type="http://schemas.openxmlformats.org/officeDocument/2006/relationships/hyperlink" Target="https://drive.google.com/open?id=1HinGHD3C20UIQmwLTxFo8I5aF7dpXXeJ" TargetMode="External"/><Relationship Id="rId544" Type="http://schemas.openxmlformats.org/officeDocument/2006/relationships/hyperlink" Target="https://drive.google.com/open?id=19EdcRwqgIx7_hrp2wZUT3LRJ2s5StXOH" TargetMode="External"/><Relationship Id="rId309" Type="http://schemas.openxmlformats.org/officeDocument/2006/relationships/hyperlink" Target="https://drive.google.com/open?id=1XtZisEHoJuwryKp7-ddvLwSr2-MZEOFU" TargetMode="External"/><Relationship Id="rId308" Type="http://schemas.openxmlformats.org/officeDocument/2006/relationships/hyperlink" Target="https://drive.google.com/open?id=1USJDL_4pPiePZC_2UtrbyQNN1YoQIO13" TargetMode="External"/><Relationship Id="rId429" Type="http://schemas.openxmlformats.org/officeDocument/2006/relationships/hyperlink" Target="https://drive.google.com/open?id=1ewQ1hpl2g4MXp6AwpKLiqDhunBXUYC4r" TargetMode="External"/><Relationship Id="rId307" Type="http://schemas.openxmlformats.org/officeDocument/2006/relationships/hyperlink" Target="https://drive.google.com/open?id=1XW21Y8NrwRz3ulwhr5MUCOvNThCBtiyy" TargetMode="External"/><Relationship Id="rId428" Type="http://schemas.openxmlformats.org/officeDocument/2006/relationships/hyperlink" Target="https://drive.google.com/open?id=1ReygVLrtSNaBDFpnEWqLRTxbA-vZgQtL" TargetMode="External"/><Relationship Id="rId549" Type="http://schemas.openxmlformats.org/officeDocument/2006/relationships/hyperlink" Target="https://drive.google.com/open?id=1rE-dCSexpfMcM-hhTiPRSknzuDm57r4X" TargetMode="External"/><Relationship Id="rId306" Type="http://schemas.openxmlformats.org/officeDocument/2006/relationships/hyperlink" Target="https://drive.google.com/open?id=1_6rOiM_b_xg0kIoJhfQgfylLd3G5wb0Q" TargetMode="External"/><Relationship Id="rId427" Type="http://schemas.openxmlformats.org/officeDocument/2006/relationships/hyperlink" Target="https://drive.google.com/open?id=1Kh73-gMonfjsh7hk7BqqdKbCj5Or7rUj" TargetMode="External"/><Relationship Id="rId548" Type="http://schemas.openxmlformats.org/officeDocument/2006/relationships/hyperlink" Target="https://drive.google.com/open?id=14mEqLRY-wOiq3YNpqbbfnrW3-Q3GSRyn" TargetMode="External"/><Relationship Id="rId301" Type="http://schemas.openxmlformats.org/officeDocument/2006/relationships/hyperlink" Target="https://drive.google.com/open?id=1bBinTm8qIcT78x9KA7EK3_JL_IU-D2Mh" TargetMode="External"/><Relationship Id="rId422" Type="http://schemas.openxmlformats.org/officeDocument/2006/relationships/hyperlink" Target="https://drive.google.com/open?id=1K89yFCYqDt76jQ6qWJZztilbqM-zDCsa" TargetMode="External"/><Relationship Id="rId543" Type="http://schemas.openxmlformats.org/officeDocument/2006/relationships/hyperlink" Target="https://drive.google.com/open?id=1Co2__q4db2MMfzDDI0cN9Tdm_z6EC2ET" TargetMode="External"/><Relationship Id="rId300" Type="http://schemas.openxmlformats.org/officeDocument/2006/relationships/hyperlink" Target="https://drive.google.com/open?id=1xN3bObJBuiJglbkfK1foywvxBJPWJZ9E" TargetMode="External"/><Relationship Id="rId421" Type="http://schemas.openxmlformats.org/officeDocument/2006/relationships/hyperlink" Target="https://drive.google.com/open?id=1LGMpghLEzvfjiv_L9mwuBCUrW2V8fwhd" TargetMode="External"/><Relationship Id="rId542" Type="http://schemas.openxmlformats.org/officeDocument/2006/relationships/hyperlink" Target="https://drive.google.com/open?id=1WExSucOdiFCo-KKqPBk6CBbNZEhl1Uo0" TargetMode="External"/><Relationship Id="rId420" Type="http://schemas.openxmlformats.org/officeDocument/2006/relationships/hyperlink" Target="https://drive.google.com/open?id=18_MsOLGWlr9OJLUNmYy1VvWp8-pQ9Tca" TargetMode="External"/><Relationship Id="rId541" Type="http://schemas.openxmlformats.org/officeDocument/2006/relationships/hyperlink" Target="https://drive.google.com/open?id=1TYWyDmul5c3lJbBT-MSqNqwsaTarkqbz" TargetMode="External"/><Relationship Id="rId540" Type="http://schemas.openxmlformats.org/officeDocument/2006/relationships/hyperlink" Target="https://drive.google.com/open?id=1BnRADOvtzp4RV4rSHTlRt1qqQiS6w3m_" TargetMode="External"/><Relationship Id="rId415" Type="http://schemas.openxmlformats.org/officeDocument/2006/relationships/hyperlink" Target="https://drive.google.com/open?id=17LUonH_g1UH28SFsHTWnBirpFG8vUukn" TargetMode="External"/><Relationship Id="rId536" Type="http://schemas.openxmlformats.org/officeDocument/2006/relationships/hyperlink" Target="https://drive.google.com/open?id=1MVmlxmnblx0omNMeNPBC5PmBGXQLFy1f" TargetMode="External"/><Relationship Id="rId414" Type="http://schemas.openxmlformats.org/officeDocument/2006/relationships/hyperlink" Target="https://drive.google.com/open?id=1lF-RduIocGxrFV42OYg0Ado9VlGe35Wq" TargetMode="External"/><Relationship Id="rId535" Type="http://schemas.openxmlformats.org/officeDocument/2006/relationships/hyperlink" Target="https://drive.google.com/open?id=1N1Zm0_zXjbvXPdkQI961ZxzlVkJpNhDb" TargetMode="External"/><Relationship Id="rId413" Type="http://schemas.openxmlformats.org/officeDocument/2006/relationships/hyperlink" Target="https://drive.google.com/open?id=1gjwd10M9bot5wpS0fUucrQf29quxJ_Hc" TargetMode="External"/><Relationship Id="rId534" Type="http://schemas.openxmlformats.org/officeDocument/2006/relationships/hyperlink" Target="https://drive.google.com/open?id=1-aMmqBnWymNZ2iJQEcrtApI97fidV7ac" TargetMode="External"/><Relationship Id="rId412" Type="http://schemas.openxmlformats.org/officeDocument/2006/relationships/hyperlink" Target="https://drive.google.com/open?id=1yShNXulTkS8V3Vx7DXqqh7b1TBFeRcSd" TargetMode="External"/><Relationship Id="rId533" Type="http://schemas.openxmlformats.org/officeDocument/2006/relationships/hyperlink" Target="https://drive.google.com/open?id=1gd4RNRTO7nQtyQ-FK-pXUnrPStECC_gV" TargetMode="External"/><Relationship Id="rId419" Type="http://schemas.openxmlformats.org/officeDocument/2006/relationships/hyperlink" Target="https://drive.google.com/open?id=1ZOfnTrcRHSobwRRJtbCJh1rSf7X9ZzT6" TargetMode="External"/><Relationship Id="rId418" Type="http://schemas.openxmlformats.org/officeDocument/2006/relationships/hyperlink" Target="https://drive.google.com/open?id=1wJzxRZlHF0bFv2SAFnvBABw1tQDFkapQ" TargetMode="External"/><Relationship Id="rId539" Type="http://schemas.openxmlformats.org/officeDocument/2006/relationships/hyperlink" Target="https://drive.google.com/open?id=1mJ7jqtsOLNzqytl7SXiMcKHx9MK9mFzw" TargetMode="External"/><Relationship Id="rId417" Type="http://schemas.openxmlformats.org/officeDocument/2006/relationships/hyperlink" Target="https://drive.google.com/open?id=1aOjfIEWNCCQXj-nUSHYTfCSoBaW9Q3jR" TargetMode="External"/><Relationship Id="rId538" Type="http://schemas.openxmlformats.org/officeDocument/2006/relationships/hyperlink" Target="https://drive.google.com/open?id=1puBNl8-BG1QeMlSR0gSm_cANZvU9osKd" TargetMode="External"/><Relationship Id="rId416" Type="http://schemas.openxmlformats.org/officeDocument/2006/relationships/hyperlink" Target="https://drive.google.com/open?id=1We5bpLWd95O5I4sIm6DmHoJwT6LWW5NN" TargetMode="External"/><Relationship Id="rId537" Type="http://schemas.openxmlformats.org/officeDocument/2006/relationships/hyperlink" Target="https://drive.google.com/open?id=16TJ2CykwfpDzUABZYXRiYfYQalUizFXk" TargetMode="External"/><Relationship Id="rId411" Type="http://schemas.openxmlformats.org/officeDocument/2006/relationships/hyperlink" Target="https://drive.google.com/open?id=1kVJnrXcPqCLuhJ_nQcCPychu7Lxjryou" TargetMode="External"/><Relationship Id="rId532" Type="http://schemas.openxmlformats.org/officeDocument/2006/relationships/hyperlink" Target="https://drive.google.com/open?id=1lxScKuYN5j5OH1mgJDQ_rlpThi_3pAhk" TargetMode="External"/><Relationship Id="rId410" Type="http://schemas.openxmlformats.org/officeDocument/2006/relationships/hyperlink" Target="https://drive.google.com/open?id=1n3EqRkUo8LacROJ4KHVsnDWO54V78B6c" TargetMode="External"/><Relationship Id="rId531" Type="http://schemas.openxmlformats.org/officeDocument/2006/relationships/hyperlink" Target="https://drive.google.com/open?id=1GX8I43n9o-BbvYyvnldtLZ4ljztO6lmp" TargetMode="External"/><Relationship Id="rId530" Type="http://schemas.openxmlformats.org/officeDocument/2006/relationships/hyperlink" Target="https://drive.google.com/open?id=1EMAhOiftkyASZNFzcHIv3dm6drpvdn2q" TargetMode="External"/><Relationship Id="rId206" Type="http://schemas.openxmlformats.org/officeDocument/2006/relationships/hyperlink" Target="https://drive.google.com/open?id=1q95WLD2flcvjaxmuScQFrlK9g8saaKqj" TargetMode="External"/><Relationship Id="rId327" Type="http://schemas.openxmlformats.org/officeDocument/2006/relationships/hyperlink" Target="https://drive.google.com/open?id=1b_O6QMmj2Yy-PlgAQ7RBI6Unr92YT_ka" TargetMode="External"/><Relationship Id="rId448" Type="http://schemas.openxmlformats.org/officeDocument/2006/relationships/hyperlink" Target="https://drive.google.com/open?id=17m0gZI1pAF2P7AgWywIZU0aNusnsBJIs" TargetMode="External"/><Relationship Id="rId569" Type="http://schemas.openxmlformats.org/officeDocument/2006/relationships/hyperlink" Target="https://drive.google.com/open?id=1qQBTHyl0_iupVuCNsDk8ePGY7tl875kg" TargetMode="External"/><Relationship Id="rId205" Type="http://schemas.openxmlformats.org/officeDocument/2006/relationships/hyperlink" Target="https://drive.google.com/open?id=1ghPVcm1UWsC5dL5ZkEyOElXBD3krtkDp" TargetMode="External"/><Relationship Id="rId326" Type="http://schemas.openxmlformats.org/officeDocument/2006/relationships/hyperlink" Target="https://drive.google.com/open?id=1K_pYwJX-6nQO_XfvGod9UzImkFolQYRf" TargetMode="External"/><Relationship Id="rId447" Type="http://schemas.openxmlformats.org/officeDocument/2006/relationships/hyperlink" Target="https://drive.google.com/open?id=1J7YYVWjvAphzCaWD5ied86YH_H5su9bR" TargetMode="External"/><Relationship Id="rId568" Type="http://schemas.openxmlformats.org/officeDocument/2006/relationships/hyperlink" Target="https://drive.google.com/open?id=1WIqxzd_FjCQB9EDGjytEUOpOm7lhlTls" TargetMode="External"/><Relationship Id="rId204" Type="http://schemas.openxmlformats.org/officeDocument/2006/relationships/hyperlink" Target="https://drive.google.com/open?id=1wxb7vYlzsvK5TLyeHDHPmbjfznGD6c00" TargetMode="External"/><Relationship Id="rId325" Type="http://schemas.openxmlformats.org/officeDocument/2006/relationships/hyperlink" Target="https://drive.google.com/open?id=13RJVZZgVZhM9gamEazlWMo9HIljTTFWh" TargetMode="External"/><Relationship Id="rId446" Type="http://schemas.openxmlformats.org/officeDocument/2006/relationships/hyperlink" Target="https://drive.google.com/open?id=1cNwMtpMG9tS9SlGIhSWiINx7yWZV-Jjq" TargetMode="External"/><Relationship Id="rId567" Type="http://schemas.openxmlformats.org/officeDocument/2006/relationships/hyperlink" Target="https://drive.google.com/open?id=1bjuIyyWIHOQeh-zjToFC4RptMiSrEtvU" TargetMode="External"/><Relationship Id="rId203" Type="http://schemas.openxmlformats.org/officeDocument/2006/relationships/hyperlink" Target="https://drive.google.com/open?id=1NteFeBqdLshsl1HhaZbhigP5BZp_DyCt" TargetMode="External"/><Relationship Id="rId324" Type="http://schemas.openxmlformats.org/officeDocument/2006/relationships/hyperlink" Target="https://drive.google.com/open?id=1YtXraxtiqmBSKLkwCrOyWne3hGp77PyS" TargetMode="External"/><Relationship Id="rId445" Type="http://schemas.openxmlformats.org/officeDocument/2006/relationships/hyperlink" Target="https://drive.google.com/open?id=160hjcgNKTwvlbcRFj3V-J18dh7x911QC" TargetMode="External"/><Relationship Id="rId566" Type="http://schemas.openxmlformats.org/officeDocument/2006/relationships/hyperlink" Target="https://drive.google.com/open?id=1QGvfCxlIigJ6mTUaL-vnxuCelrnftk7h" TargetMode="External"/><Relationship Id="rId209" Type="http://schemas.openxmlformats.org/officeDocument/2006/relationships/hyperlink" Target="https://drive.google.com/open?id=1wY3vL2yFPrQasNLNOWogoe-MKAKk2nsc" TargetMode="External"/><Relationship Id="rId208" Type="http://schemas.openxmlformats.org/officeDocument/2006/relationships/hyperlink" Target="https://drive.google.com/open?id=1ag7j7Zz9cW_qGxBYUw4XPHQSCoSNfrjj" TargetMode="External"/><Relationship Id="rId329" Type="http://schemas.openxmlformats.org/officeDocument/2006/relationships/hyperlink" Target="https://drive.google.com/open?id=1kmUnW55s4UW9HoJfIGVL_XMqIyDveJSX" TargetMode="External"/><Relationship Id="rId207" Type="http://schemas.openxmlformats.org/officeDocument/2006/relationships/hyperlink" Target="https://drive.google.com/open?id=1wXSEmDOL63HOZsJFoXjFZQ_f-7Y0YKoO" TargetMode="External"/><Relationship Id="rId328" Type="http://schemas.openxmlformats.org/officeDocument/2006/relationships/hyperlink" Target="https://drive.google.com/open?id=143TGiieKZCBopproEaL-xwOTZIq55Zy3" TargetMode="External"/><Relationship Id="rId449" Type="http://schemas.openxmlformats.org/officeDocument/2006/relationships/hyperlink" Target="https://drive.google.com/open?id=1rXGbyP0V74Nx-Qujx_iKhzflYDYiVOSO" TargetMode="External"/><Relationship Id="rId440" Type="http://schemas.openxmlformats.org/officeDocument/2006/relationships/hyperlink" Target="https://drive.google.com/open?id=1iyhtU_kdz6d8ePxewCBhwb-03PztRs1M" TargetMode="External"/><Relationship Id="rId561" Type="http://schemas.openxmlformats.org/officeDocument/2006/relationships/hyperlink" Target="https://drive.google.com/open?id=1iOqZo-TJd2BY5fzig75m2HjK7GLF2LaX" TargetMode="External"/><Relationship Id="rId560" Type="http://schemas.openxmlformats.org/officeDocument/2006/relationships/hyperlink" Target="https://drive.google.com/open?id=178VHxtKVTkGXG7u0D4NM1vW0XihfO4HW" TargetMode="External"/><Relationship Id="rId202" Type="http://schemas.openxmlformats.org/officeDocument/2006/relationships/hyperlink" Target="https://drive.google.com/open?id=1RRSpY7YIk-dFWQ1IMsxCoj8u5VbIHKA0" TargetMode="External"/><Relationship Id="rId323" Type="http://schemas.openxmlformats.org/officeDocument/2006/relationships/hyperlink" Target="https://drive.google.com/open?id=1N5e18Wxl_7iJj_tCEeR7Qfzdda4zB_g-" TargetMode="External"/><Relationship Id="rId444" Type="http://schemas.openxmlformats.org/officeDocument/2006/relationships/hyperlink" Target="https://drive.google.com/open?id=1KWcNxVZQ5IJQyxS7iCNqiTVbY3Tx5uTP" TargetMode="External"/><Relationship Id="rId565" Type="http://schemas.openxmlformats.org/officeDocument/2006/relationships/hyperlink" Target="https://drive.google.com/open?id=1CHYx87_JDKyackNW-wk7dvebjwTjudpM" TargetMode="External"/><Relationship Id="rId201" Type="http://schemas.openxmlformats.org/officeDocument/2006/relationships/hyperlink" Target="https://drive.google.com/open?id=1ktNqFINNgqhCnbN9Y72uadFBWlxdC0nT" TargetMode="External"/><Relationship Id="rId322" Type="http://schemas.openxmlformats.org/officeDocument/2006/relationships/hyperlink" Target="https://drive.google.com/open?id=18-Fmj7QPQP-DHsutkEo48JqPVTrBAXcL" TargetMode="External"/><Relationship Id="rId443" Type="http://schemas.openxmlformats.org/officeDocument/2006/relationships/hyperlink" Target="https://drive.google.com/open?id=1VWpA8gyQzclM9fjhy7BOOOBLSTYR1vkB" TargetMode="External"/><Relationship Id="rId564" Type="http://schemas.openxmlformats.org/officeDocument/2006/relationships/hyperlink" Target="https://drive.google.com/open?id=1qbl9LqGku5ngCrBVNVOr09OzulhS3CLi" TargetMode="External"/><Relationship Id="rId200" Type="http://schemas.openxmlformats.org/officeDocument/2006/relationships/hyperlink" Target="https://drive.google.com/open?id=1bZK9NJX-FpKrxbmtuvKneTZbQNRE_4ce" TargetMode="External"/><Relationship Id="rId321" Type="http://schemas.openxmlformats.org/officeDocument/2006/relationships/hyperlink" Target="https://drive.google.com/open?id=1YJmYQNx908UWUESPdTq-XtNFYRuMjlbH" TargetMode="External"/><Relationship Id="rId442" Type="http://schemas.openxmlformats.org/officeDocument/2006/relationships/hyperlink" Target="https://drive.google.com/open?id=1EzPvMt8sEoZVloKHpQ2qxhIYscDYfVYP" TargetMode="External"/><Relationship Id="rId563" Type="http://schemas.openxmlformats.org/officeDocument/2006/relationships/hyperlink" Target="https://drive.google.com/open?id=1Fw_Qww4zwfll-g9Qml7iOwN3mr7weLtq" TargetMode="External"/><Relationship Id="rId320" Type="http://schemas.openxmlformats.org/officeDocument/2006/relationships/hyperlink" Target="https://drive.google.com/open?id=12wWd77QEpqUhUC4OTZCLK-oNKR9l6t9d" TargetMode="External"/><Relationship Id="rId441" Type="http://schemas.openxmlformats.org/officeDocument/2006/relationships/hyperlink" Target="https://drive.google.com/open?id=18i27MnKd4uAhCypG6r3SHX62woS5EgWN" TargetMode="External"/><Relationship Id="rId562" Type="http://schemas.openxmlformats.org/officeDocument/2006/relationships/hyperlink" Target="https://drive.google.com/open?id=1pB518pmjZi0h7v41aBOEktOx8msFj6pD" TargetMode="External"/><Relationship Id="rId316" Type="http://schemas.openxmlformats.org/officeDocument/2006/relationships/hyperlink" Target="https://drive.google.com/open?id=1CyFg_JyTSqNbguER8KaM6B_TieMgchy8" TargetMode="External"/><Relationship Id="rId437" Type="http://schemas.openxmlformats.org/officeDocument/2006/relationships/hyperlink" Target="https://drive.google.com/open?id=1_o6pvgg8uaWfE-nwjdLcbZzeW7JNboLE" TargetMode="External"/><Relationship Id="rId558" Type="http://schemas.openxmlformats.org/officeDocument/2006/relationships/hyperlink" Target="https://drive.google.com/open?id=1ILRdmKYWU3AR_smaPQw7Z9Gu_IQpLqXe" TargetMode="External"/><Relationship Id="rId315" Type="http://schemas.openxmlformats.org/officeDocument/2006/relationships/hyperlink" Target="https://drive.google.com/open?id=1R7VReuRoRODjsfCUDbJS5ZxXRPngMeGg" TargetMode="External"/><Relationship Id="rId436" Type="http://schemas.openxmlformats.org/officeDocument/2006/relationships/hyperlink" Target="https://drive.google.com/open?id=1ND7n0j6Mw-UHvhht7vDV-w0CDCXMAlHL" TargetMode="External"/><Relationship Id="rId557" Type="http://schemas.openxmlformats.org/officeDocument/2006/relationships/hyperlink" Target="https://drive.google.com/open?id=1IYM-o1-np5L2TRLapT-H3DTHEL9WcW3c" TargetMode="External"/><Relationship Id="rId314" Type="http://schemas.openxmlformats.org/officeDocument/2006/relationships/hyperlink" Target="https://drive.google.com/open?id=128ACTw-XIx9D0quKp06_0d3zQpJdh5rc" TargetMode="External"/><Relationship Id="rId435" Type="http://schemas.openxmlformats.org/officeDocument/2006/relationships/hyperlink" Target="https://drive.google.com/open?id=1YQR-Jd7SF_cHDpnliSIr4h8trSoy4etM" TargetMode="External"/><Relationship Id="rId556" Type="http://schemas.openxmlformats.org/officeDocument/2006/relationships/hyperlink" Target="https://drive.google.com/open?id=1ifvL5J2DyhV3Rcm0UwypHkoe7gRNLlQK" TargetMode="External"/><Relationship Id="rId313" Type="http://schemas.openxmlformats.org/officeDocument/2006/relationships/hyperlink" Target="https://drive.google.com/open?id=1T1nDnmfwLQeBKAivGzbKBAmBexyfaYcO" TargetMode="External"/><Relationship Id="rId434" Type="http://schemas.openxmlformats.org/officeDocument/2006/relationships/hyperlink" Target="https://drive.google.com/open?id=1mlLoAt68YBCqdSmwbFPogC89Cfv4GCiL" TargetMode="External"/><Relationship Id="rId555" Type="http://schemas.openxmlformats.org/officeDocument/2006/relationships/hyperlink" Target="https://drive.google.com/open?id=1-70CW1XPgUeO7hDbE098NEdmXUNPbZHm" TargetMode="External"/><Relationship Id="rId319" Type="http://schemas.openxmlformats.org/officeDocument/2006/relationships/hyperlink" Target="https://drive.google.com/open?id=1PML7UNtJMg8gAHErpFAq9-VDeNIzgkE2" TargetMode="External"/><Relationship Id="rId318" Type="http://schemas.openxmlformats.org/officeDocument/2006/relationships/hyperlink" Target="https://drive.google.com/open?id=1wdGVzZj9tg_nYsvLWH-nOdQMnxjKko1E" TargetMode="External"/><Relationship Id="rId439" Type="http://schemas.openxmlformats.org/officeDocument/2006/relationships/hyperlink" Target="https://drive.google.com/open?id=1m7NmlIms2QQHjG_Rbv-O2wDznn5dOSxx" TargetMode="External"/><Relationship Id="rId317" Type="http://schemas.openxmlformats.org/officeDocument/2006/relationships/hyperlink" Target="https://drive.google.com/open?id=1IiIIwAMGhevMCmDFpCmfDIiHvVCofFY3" TargetMode="External"/><Relationship Id="rId438" Type="http://schemas.openxmlformats.org/officeDocument/2006/relationships/hyperlink" Target="https://drive.google.com/open?id=1hzONtLZySqFI1-I8W-k0Sir87frE3O6n" TargetMode="External"/><Relationship Id="rId559" Type="http://schemas.openxmlformats.org/officeDocument/2006/relationships/hyperlink" Target="https://drive.google.com/open?id=1dWRmb1iJ-BXDZm1PrjGnW5utZwZb1yKx" TargetMode="External"/><Relationship Id="rId550" Type="http://schemas.openxmlformats.org/officeDocument/2006/relationships/hyperlink" Target="https://drive.google.com/open?id=1RWWYTJhzlQ9YvO-T3I0TZL7Y11fNe73O" TargetMode="External"/><Relationship Id="rId312" Type="http://schemas.openxmlformats.org/officeDocument/2006/relationships/hyperlink" Target="https://drive.google.com/open?id=1xQJ_ghRiT3ftJIHIpn4RMLP_QnDwro3Q" TargetMode="External"/><Relationship Id="rId433" Type="http://schemas.openxmlformats.org/officeDocument/2006/relationships/hyperlink" Target="https://drive.google.com/open?id=1UlepkPwmqwOtJlZ7jJzNASMHV_ZP6ZIJ" TargetMode="External"/><Relationship Id="rId554" Type="http://schemas.openxmlformats.org/officeDocument/2006/relationships/hyperlink" Target="https://drive.google.com/open?id=1h6_zPJVUJR20Qs9XzoT4LXH8o8H7wHpp" TargetMode="External"/><Relationship Id="rId311" Type="http://schemas.openxmlformats.org/officeDocument/2006/relationships/hyperlink" Target="https://drive.google.com/open?id=1GqWOPTRM1DTTZTe32fD6OmLi-iIdrxgX" TargetMode="External"/><Relationship Id="rId432" Type="http://schemas.openxmlformats.org/officeDocument/2006/relationships/hyperlink" Target="https://drive.google.com/open?id=1j2jaBm3ZvmqHbpaTdSI_ApnAImd6J1-i" TargetMode="External"/><Relationship Id="rId553" Type="http://schemas.openxmlformats.org/officeDocument/2006/relationships/hyperlink" Target="https://drive.google.com/open?id=1LZzPlHtrFbhxOtZmxXBQpIbEj8bmmR0u" TargetMode="External"/><Relationship Id="rId310" Type="http://schemas.openxmlformats.org/officeDocument/2006/relationships/hyperlink" Target="https://drive.google.com/open?id=1WsxbtjSPADEIJhwZXeL6VJLQmvfnVSV0" TargetMode="External"/><Relationship Id="rId431" Type="http://schemas.openxmlformats.org/officeDocument/2006/relationships/hyperlink" Target="https://drive.google.com/open?id=1UjH3OqP8PuUtzCXv_cA93Jy3LbuGiv-p" TargetMode="External"/><Relationship Id="rId552" Type="http://schemas.openxmlformats.org/officeDocument/2006/relationships/hyperlink" Target="https://drive.google.com/open?id=1c4XBmZ0OqbDhadJnYnIlu2ioeeUcSk8T" TargetMode="External"/><Relationship Id="rId430" Type="http://schemas.openxmlformats.org/officeDocument/2006/relationships/hyperlink" Target="https://drive.google.com/open?id=14MipvmBdCRLnVZLxjnduP-UMnDJXJPM3" TargetMode="External"/><Relationship Id="rId551" Type="http://schemas.openxmlformats.org/officeDocument/2006/relationships/hyperlink" Target="https://drive.google.com/open?id=1wnOyLlfC_ubbzBA9S29I4rtFC0x_OQfc"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drive.google.com/open?id=1_duFptau8w2LyTHAR--McbOWK_5zSNOg" TargetMode="External"/><Relationship Id="rId194"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HIRAJ%20KUMAR&amp;entry.2053410063=2026-03-30&amp;entry.954149285=BATCH%20ADD%20IN%20THIS%20REPORT" TargetMode="External"/><Relationship Id="rId193" Type="http://schemas.openxmlformats.org/officeDocument/2006/relationships/hyperlink" Target="https://drive.google.com/open?id=10idKeuQHMyb2QPzz18Y0PjJmprA2mkv3" TargetMode="External"/><Relationship Id="rId192"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BISWAJIT%20MAJHI&amp;entry.2053410063=2026-03-28&amp;entry.954149285=REMOVE%20THE%20(%20PAG%20%20PREVIOUSLY)" TargetMode="External"/><Relationship Id="rId191" Type="http://schemas.openxmlformats.org/officeDocument/2006/relationships/hyperlink" Target="https://drive.google.com/open?id=1fXwjmbD_yNkJXkp0WC8e3XZ_EJafNEOd" TargetMode="External"/><Relationship Id="rId187"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Satish%20Kumar&amp;entry.2053410063=2026-03-28&amp;entry.954149285=Please%20review%20and%20correct." TargetMode="External"/><Relationship Id="rId186" Type="http://schemas.openxmlformats.org/officeDocument/2006/relationships/hyperlink" Target="https://drive.google.com/open?id=1LaK3sYVBR5-odi5EBcwBRvfC-GLvf3XE" TargetMode="External"/><Relationship Id="rId185"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Tusar%20Chhatui&amp;entry.2053410063=2026-03-28&amp;entry.954149285=Correction%20in%20Calculation" TargetMode="External"/><Relationship Id="rId184" Type="http://schemas.openxmlformats.org/officeDocument/2006/relationships/hyperlink" Target="https://drive.google.com/open?id=1iGOgf_BppU1-dwoGfQVJhI3HqL4ywCaW" TargetMode="External"/><Relationship Id="rId189"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Tusar%20Chhatui&amp;entry.2053410063=2026-03-28&amp;entry.954149285=Correction%20in%20total%20marks%20Calculation" TargetMode="External"/><Relationship Id="rId188" Type="http://schemas.openxmlformats.org/officeDocument/2006/relationships/hyperlink" Target="https://drive.google.com/open?id=19V2SEaOmmftU7Z3UM-17PujjHQjx3ytt" TargetMode="External"/><Relationship Id="rId183"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AMIT%20YADU&amp;entry.2053410063=2026-03-28&amp;entry.954149285=FIELD%20CORRECTION%20IN%20NEP%20TR,%20%20LIKE%20DISCIPLINE,%20COURSE%20TYPE" TargetMode="External"/><Relationship Id="rId182" Type="http://schemas.openxmlformats.org/officeDocument/2006/relationships/hyperlink" Target="https://drive.google.com/open?id=1QGHq_KOe44sYuW0TeG_JVFraJ46DtHhx" TargetMode="External"/><Relationship Id="rId181" Type="http://schemas.openxmlformats.org/officeDocument/2006/relationships/hyperlink" Target="https://drive.google.com/open?id=12nST4Odb8OtVb_2x9WBZLI9VM6JMLL0I" TargetMode="External"/><Relationship Id="rId180"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AMIT%20YADU&amp;entry.2053410063=2026-03-28&amp;entry.954149285=NEP%20SCHEMA%20ME%20COURSE%20TYPE%20KI%20JAGAH%20DISCIPLINE%20KARNA%20HAI" TargetMode="External"/><Relationship Id="rId176" Type="http://schemas.openxmlformats.org/officeDocument/2006/relationships/hyperlink" Target="https://drive.google.com/open?id=1EBt9I3iUh9Nel9LqzBjpD4oJWwQL7pqZ" TargetMode="External"/><Relationship Id="rId175" Type="http://schemas.openxmlformats.org/officeDocument/2006/relationships/hyperlink" Target="https://drive.google.com/open?id=1jaRKbKJicxMqIHy2ibJOxhv7hNOMbkMl" TargetMode="External"/><Relationship Id="rId174"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AMINI%20THAKUR&amp;entry.2053410063=2026-03-28&amp;entry.954149285=BE%20NEP%20UG%20TR%20CENTER%20CORRECTION" TargetMode="External"/><Relationship Id="rId173" Type="http://schemas.openxmlformats.org/officeDocument/2006/relationships/hyperlink" Target="https://drive.google.com/open?id=17TmhaMHcpBqUQqHrUMkPrfbUgoH09GOp" TargetMode="External"/><Relationship Id="rId179" Type="http://schemas.openxmlformats.org/officeDocument/2006/relationships/hyperlink" Target="https://drive.google.com/open?id=1duVHxwOsJvvr9poAeWr89tdJs6bFw1EI" TargetMode="External"/><Relationship Id="rId178" Type="http://schemas.openxmlformats.org/officeDocument/2006/relationships/hyperlink" Target="https://drive.google.com/open?id=1nUInpLd5aOspwp7h1jsrAvRlfzqprQGJ" TargetMode="External"/><Relationship Id="rId177"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BISWAJIT%20MAJHI&amp;entry.2053410063=2026-03-28&amp;entry.954149285=please%20check%20the%20attach%20file" TargetMode="External"/><Relationship Id="rId198" Type="http://schemas.openxmlformats.org/officeDocument/2006/relationships/hyperlink" Target="https://drive.google.com/open?id=1-tSigDVzNn1hz4jI03bHZVUyD4Fe0gn1" TargetMode="External"/><Relationship Id="rId197"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AMITYADU&amp;entry.2053410063=2026-03-30&amp;entry.954149285=NEP%202ND%20SEM%20ATKT%20STUDENT%20KA%20*%20LAGKAR%20NAHI%20AA%20RAHA%20(ALL%20NEP%20COURSES)" TargetMode="External"/><Relationship Id="rId196" Type="http://schemas.openxmlformats.org/officeDocument/2006/relationships/hyperlink" Target="https://drive.google.com/open?id=1QPF5Ofmmo6Q865lgMGHyQJgFwSe6rs5M" TargetMode="External"/><Relationship Id="rId195" Type="http://schemas.openxmlformats.org/officeDocument/2006/relationships/hyperlink" Target="https://drive.google.com/open?id=1HnyH7uK-s2JzKEeIfU56TNRUMGuo3lEq" TargetMode="External"/><Relationship Id="rId199"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Somen%20Parui&amp;entry.2053410063=2026-03-30&amp;entry.954149285=GRADE%20CARD%20PG%20NEP%20MZU%20PROMOTED%20CASE%20UPDATE%20FOR%20COURSE" TargetMode="External"/><Relationship Id="rId150" Type="http://schemas.openxmlformats.org/officeDocument/2006/relationships/hyperlink" Target="https://drive.google.com/open?id=1SOOKNqsrN_PCOSfN7HlDR02KMKjkfnJb" TargetMode="External"/><Relationship Id="rId392"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ajesh%20Gupta&amp;entry.2053410063=2026-05-02&amp;entry.954149285=Report%20not%20download%20please%20check%20and%20resolve%20as%20soon%20as" TargetMode="External"/><Relationship Id="rId391" Type="http://schemas.openxmlformats.org/officeDocument/2006/relationships/hyperlink" Target="https://drive.google.com/open?id=1U0cf45eLO6zem9ihvvjTjulHOAdoxxqJ" TargetMode="External"/><Relationship Id="rId390"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ohit%20Singh&amp;entry.2053410063=2026-05-02&amp;entry.954149285=Please%20do" TargetMode="External"/><Relationship Id="rId1" Type="http://schemas.openxmlformats.org/officeDocument/2006/relationships/hyperlink" Target="https://forms.gle/b3eJF6qHcDKEdhWu7" TargetMode="External"/><Relationship Id="rId2" Type="http://schemas.openxmlformats.org/officeDocument/2006/relationships/hyperlink" Target="https://drive.google.com/open?id=19u430GOlyn0rSoq9ahjVQpRbpRXgsYJR" TargetMode="External"/><Relationship Id="rId3" Type="http://schemas.openxmlformats.org/officeDocument/2006/relationships/hyperlink" Target="https://drive.google.com/open?id=1x4edvsdekkUBgTfjVm6qG_KDX-E6l2g5" TargetMode="External"/><Relationship Id="rId149"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TAPAS%20MAZUMDAR&amp;entry.2053410063=2026-03-25&amp;entry.954149285=" TargetMode="External"/><Relationship Id="rId4"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haleshwar&amp;entry.2053410063=2026-03-02&amp;entry.954149285=ad" TargetMode="External"/><Relationship Id="rId148" Type="http://schemas.openxmlformats.org/officeDocument/2006/relationships/hyperlink" Target="https://drive.google.com/open?id=1SBmjawBEPjNisTfNne3lXu3P1P3yipJX" TargetMode="External"/><Relationship Id="rId1090" Type="http://schemas.openxmlformats.org/officeDocument/2006/relationships/hyperlink" Target="https://drive.google.com/open?id=1F5_eF0cKjZefdmYyiHmCYp_45RGETKU8" TargetMode="External"/><Relationship Id="rId1091"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CHINTU%20SINGH&amp;entry.2053410063=2026-08-06&amp;entry.954149285=Dear%20Sir,%0A%0AThe%20Grace%20Balance%20is%20missing%20in%20the%20result.%20You%20are%20therefore%20requested%20to%20kindly%20update%20the%20grace%20balance%20in%20the%20result%20and%20share%20the%20revised%20result%20with%20us%20at%20the%20earliest.%0AKindly%20treat%20the%20matter%20as%20important.%0A%0ANOTE:%20The%20logic%20of%20result%20is%20changed%20frequently%20in%20case%20of%20NEP%20result%20which%20is%20totally%20in%20acceptable%20.%20Hence,%20act%20carefully%20in%20this%20regard." TargetMode="External"/><Relationship Id="rId1092" Type="http://schemas.openxmlformats.org/officeDocument/2006/relationships/hyperlink" Target="https://drive.google.com/open?id=1nL_pguglo8MXp96mQyzTgoZDEKan1Nrc" TargetMode="External"/><Relationship Id="rId1093"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HEMANT%20UNIYAL%20&amp;entry.2053410063=2026-08-06&amp;entry.954149285=PLEAS%20%20CORRECT%20THISYe%20baccha%20ek%20subject%20mein%20fail%20hai%0A%20Per%20EOSE%20%20-30%20hi%20likh%20rakhi%20hai" TargetMode="External"/><Relationship Id="rId1094" Type="http://schemas.openxmlformats.org/officeDocument/2006/relationships/hyperlink" Target="https://drive.google.com/open?id=1cZqWMD3wm1fJH0zxS6vwJyA8MleJJu6L" TargetMode="External"/><Relationship Id="rId9" Type="http://schemas.openxmlformats.org/officeDocument/2006/relationships/hyperlink" Target="https://drive.google.com/open?id=1tKfvhFOwLb02atunVIXX3DgDAYpXE3hE" TargetMode="External"/><Relationship Id="rId143"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chintu%20singh&amp;entry.2053410063=2026-03-25&amp;entry.954149285=Mark%20Is%20Greater%20Than%20Max%20mark(Step%207)%20First%20Semester%20(%20Sem%20-%201)%20BACHELOR%20OF%20COMMERCE%20B.COM_SE02" TargetMode="External"/><Relationship Id="rId385" Type="http://schemas.openxmlformats.org/officeDocument/2006/relationships/hyperlink" Target="https://drive.google.com/open?id=1YWyAcC2HsyoTOwlaPmdJXmweQXnDI43I" TargetMode="External"/><Relationship Id="rId1095"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HEMANT%20UNIYAL&amp;entry.2053410063=2026-08-06&amp;entry.954149285=PELASE%20LOOK%20INTO%20THIS" TargetMode="External"/><Relationship Id="rId142" Type="http://schemas.openxmlformats.org/officeDocument/2006/relationships/hyperlink" Target="https://drive.google.com/open?id=1_yvxiGW26KSvDtQFCTCDckGxLnMW-Uss" TargetMode="External"/><Relationship Id="rId384"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avikant%20Dewangan&amp;entry.2053410063=2026-05-01&amp;entry.954149285=Please%20generate%20the%20qr%20sticker%20in%20the%20previous%20format%20using%20the%20following%20table%20details:%0ASELECT%20*%20FROM%20%60gau_qrcode_generate%60.%60GAU_MDMS_aprail_2026%60;" TargetMode="External"/><Relationship Id="rId1096" Type="http://schemas.openxmlformats.org/officeDocument/2006/relationships/hyperlink" Target="https://drive.google.com/open?id=1cYU95BQ2z6KT-ep7g27L_0J4KlaGt6pu" TargetMode="External"/><Relationship Id="rId141"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ohit%20Singh&amp;entry.2053410063=2026-03-25&amp;entry.954149285=If%20TR%20type%20101%20is%20found%20in%20TR%20Rootmaster,%20then%20Promoted%20should%20be%20shown%20as%20ATKT%20and%20Detained%20should%20be%20shown%20as%20Fail." TargetMode="External"/><Relationship Id="rId383" Type="http://schemas.openxmlformats.org/officeDocument/2006/relationships/hyperlink" Target="https://drive.google.com/open?id=1G9cyLoM0IMf7J_XbxiSLY6dbUtRG1cfM" TargetMode="External"/><Relationship Id="rId1097"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HEMANT%20UNIYAL&amp;entry.2053410063=2026-08-06&amp;entry.954149285=%20PLEASE%20ADD%20%20SR%20NUMBER%20%20PRO202600003%20%20%20ADN%20CGPA%20%208.06%20%20%20AND%20YEAR%20%202023" TargetMode="External"/><Relationship Id="rId140" Type="http://schemas.openxmlformats.org/officeDocument/2006/relationships/hyperlink" Target="https://drive.google.com/open?id=1svY0AgfwqFiVVLW9ajQ_ZbABli5DFt3u" TargetMode="External"/><Relationship Id="rId382"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ohit%20Singh&amp;entry.2053410063=2026-05-01&amp;entry.954149285=please%20do%20this" TargetMode="External"/><Relationship Id="rId1098" Type="http://schemas.openxmlformats.org/officeDocument/2006/relationships/drawing" Target="../drawings/drawing2.xml"/><Relationship Id="rId5" Type="http://schemas.openxmlformats.org/officeDocument/2006/relationships/hyperlink" Target="https://drive.google.com/open?id=1NOx1iLZmGhc7tYXwI9Y7kiH3Q8qUV4ns" TargetMode="External"/><Relationship Id="rId147"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TAPAS%20MAZUMDAR&amp;entry.2053410063=2026-03-25&amp;entry.954149285=" TargetMode="External"/><Relationship Id="rId389" Type="http://schemas.openxmlformats.org/officeDocument/2006/relationships/hyperlink" Target="https://drive.google.com/open?id=1F2_TH_s967du_b6wA3JfB8RQR_UOklOy" TargetMode="External"/><Relationship Id="rId6"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haleshwar&amp;entry.2053410063=2026-03-02&amp;entry.954149285=ad" TargetMode="External"/><Relationship Id="rId146" Type="http://schemas.openxmlformats.org/officeDocument/2006/relationships/hyperlink" Target="https://drive.google.com/open?id=111QkpQNB9U22z9-CVlrkMWGyvP6AxT6D" TargetMode="External"/><Relationship Id="rId388"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TAPAS%20MAZUMDAR&amp;entry.2053410063=2026-05-01&amp;entry.954149285=" TargetMode="External"/><Relationship Id="rId7" Type="http://schemas.openxmlformats.org/officeDocument/2006/relationships/hyperlink" Target="https://drive.google.com/open?id=1YS3OdsLOL5lx_oG2WYzClsTQbBoq8L9f" TargetMode="External"/><Relationship Id="rId145"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Akshay%20jaltare&amp;entry.2053410063=2026-03-25&amp;entry.954149285=Grace%20issue" TargetMode="External"/><Relationship Id="rId387" Type="http://schemas.openxmlformats.org/officeDocument/2006/relationships/hyperlink" Target="https://drive.google.com/open?id=1PYgEjp11qUdTb6Hc1JJL73HsNSQOoFPS" TargetMode="External"/><Relationship Id="rId8"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haleshwar%20&amp;entry.2053410063=2026-03-03&amp;entry.954149285=Ad" TargetMode="External"/><Relationship Id="rId144" Type="http://schemas.openxmlformats.org/officeDocument/2006/relationships/hyperlink" Target="https://drive.google.com/open?id=1-NTqCYyiDlMw6l4N4ucfVgUbvnfYPgG9" TargetMode="External"/><Relationship Id="rId386"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ohit%20Singh&amp;entry.2053410063=2026-05-01&amp;entry.954149285=please%20do%20as%20per%20discussion" TargetMode="External"/><Relationship Id="rId381" Type="http://schemas.openxmlformats.org/officeDocument/2006/relationships/hyperlink" Target="https://drive.google.com/open?id=1QKBIzaFztfETfprl04zM2_ZVXyw_OR9u" TargetMode="External"/><Relationship Id="rId380"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haleshwar&amp;entry.2053410063=2026-04-30&amp;entry.954149285=add" TargetMode="External"/><Relationship Id="rId139"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haleshwar&amp;entry.2053410063=2026-03-24&amp;entry.954149285=ad" TargetMode="External"/><Relationship Id="rId138" Type="http://schemas.openxmlformats.org/officeDocument/2006/relationships/hyperlink" Target="https://drive.google.com/open?id=1ZqB2hT71_QstNCfaflcp-nJkubVIARd5" TargetMode="External"/><Relationship Id="rId137"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haleshwar&amp;entry.2053410063=2026-03-23&amp;entry.954149285=plaese%20update%20the%20old%20marksheet%20logo%20and%20singahneture%20old%20and%20new" TargetMode="External"/><Relationship Id="rId379" Type="http://schemas.openxmlformats.org/officeDocument/2006/relationships/hyperlink" Target="https://drive.google.com/open?id=121wCuuAAVNeM5-IHFysJZOifqI6oc8iX" TargetMode="External"/><Relationship Id="rId1080"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hemant%20uniyal&amp;entry.2053410063=2026-08-05&amp;entry.954149285=23/8209%0ASTUDNET%20ABESNET%20IN%20%20%20%20PAPER%20BUT%20IN%20%20TR%20IT%20SHOWS%20FAIL" TargetMode="External"/><Relationship Id="rId1081" Type="http://schemas.openxmlformats.org/officeDocument/2006/relationships/hyperlink" Target="https://drive.google.com/open?id=1mEWACXek4KAN_-2PEhVocOizhAf_pRSk" TargetMode="External"/><Relationship Id="rId1082"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HEMANT%20UNIYAL&amp;entry.2053410063=2026-08-05&amp;entry.954149285=CHECK%20THIS" TargetMode="External"/><Relationship Id="rId1083" Type="http://schemas.openxmlformats.org/officeDocument/2006/relationships/hyperlink" Target="https://drive.google.com/open?id=16Ync3iqZ_VHyZtk776Hd1u5kW7WguqM9" TargetMode="External"/><Relationship Id="rId132" Type="http://schemas.openxmlformats.org/officeDocument/2006/relationships/hyperlink" Target="https://drive.google.com/open?id=16PE_ljmTDQoTq8MdPFdAaLRFKTQ7gYfq" TargetMode="External"/><Relationship Id="rId374"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4-27&amp;entry.954149285=KINDLY%20ADJUST%20THE%20FORMAT" TargetMode="External"/><Relationship Id="rId1084"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HEMANT%20UNIYAL&amp;entry.2053410063=2026-08-05&amp;entry.954149285=Please%20provide%20the%20Course%20Code%20for%20the%20client%20(FD44525).%20CURRENTLT%20IT%20SHOW%20%20C00022%0AKindly%20add%20the%20Course%20Code%20in%20the%20QR%20code%20as%20well.%0APlease%20include%20the%20%20CA%20AND%20%20EOSE%20CGPA.%20SGPA" TargetMode="External"/><Relationship Id="rId131"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3-20&amp;entry.954149285=KINDLY%20PREPARE%20THE%20REPORT%20SAME%20AS%20SAMPLE%20FILE" TargetMode="External"/><Relationship Id="rId373" Type="http://schemas.openxmlformats.org/officeDocument/2006/relationships/hyperlink" Target="https://drive.google.com/open?id=1wY3vL2yFPrQasNLNOWogoe-MKAKk2nsc" TargetMode="External"/><Relationship Id="rId1085" Type="http://schemas.openxmlformats.org/officeDocument/2006/relationships/hyperlink" Target="https://drive.google.com/open?id=1SSMmYj-DjIKu_1fnJFFdFRFH3Ifzidkm" TargetMode="External"/><Relationship Id="rId130" Type="http://schemas.openxmlformats.org/officeDocument/2006/relationships/hyperlink" Target="https://drive.google.com/open?id=1Xf0gyFBKtCev4UopiyJ3_w7uuQiftSpV" TargetMode="External"/><Relationship Id="rId372" Type="http://schemas.openxmlformats.org/officeDocument/2006/relationships/hyperlink" Target="https://drive.google.com/open?id=1ag7j7Zz9cW_qGxBYUw4XPHQSCoSNfrjj" TargetMode="External"/><Relationship Id="rId1086"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ohit%20Singh&amp;entry.2053410063=2026-08-05&amp;entry.954149285=For%20SEM%20Type%20SM52,%20the%20marksheet%20should%20display%20%22Previous%22%20instead%20of%20%22First%20Year%22,%20and%20%22Final%22%20instead%20of%20%22Second%20Year%22.%20The%20%22Third%20Year%22%20column%20should%20remain%20blank." TargetMode="External"/><Relationship Id="rId371"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Satish%20Kumar&amp;entry.2053410063=2026-04-27&amp;entry.954149285=please%20check%20and%20update" TargetMode="External"/><Relationship Id="rId1087" Type="http://schemas.openxmlformats.org/officeDocument/2006/relationships/hyperlink" Target="https://drive.google.com/open?id=1xtb1z6mmQT34H0Pe0XCT7tYa12Ea7ALV" TargetMode="External"/><Relationship Id="rId136" Type="http://schemas.openxmlformats.org/officeDocument/2006/relationships/hyperlink" Target="https://drive.google.com/open?id=1_VyVqCpHtMvkxHsri7dfjSj5hyiVTjYO" TargetMode="External"/><Relationship Id="rId378"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TAPAS%20MAZUMDAR&amp;entry.2053410063=2026-04-27&amp;entry.954149285=" TargetMode="External"/><Relationship Id="rId1088" Type="http://schemas.openxmlformats.org/officeDocument/2006/relationships/hyperlink" Target="https://drive.google.com/open?id=1yqVo7FrTIhJ9couolgPGTJ6SaknbYMZg" TargetMode="External"/><Relationship Id="rId135"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inesh%20kumar&amp;entry.2053410063=2026-03-23&amp;entry.954149285=URGENT" TargetMode="External"/><Relationship Id="rId377" Type="http://schemas.openxmlformats.org/officeDocument/2006/relationships/hyperlink" Target="https://drive.google.com/open?id=1IaINqfksowM3bd0pRPTDL00b2rkoOolb" TargetMode="External"/><Relationship Id="rId1089"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CHINTU%20SINGH&amp;entry.2053410063=2026-08-06&amp;entry.954149285=Dear%20Sir%20%0AIn%20the%20Result%20Sheet%20TR,%20the%20subject%20codes%20are%20missing%20or%20not%20shown.%20Kindly%20check%20the%20same." TargetMode="External"/><Relationship Id="rId134" Type="http://schemas.openxmlformats.org/officeDocument/2006/relationships/hyperlink" Target="https://drive.google.com/open?id=10G8iRJLiXpTHgnHJO7WT1UHed7tQwIlP" TargetMode="External"/><Relationship Id="rId376"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TAPAS%20MAZUMDAR&amp;entry.2053410063=2026-04-27&amp;entry.954149285=" TargetMode="External"/><Relationship Id="rId133"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3-23&amp;entry.954149285=kindly%20add%20whereas%20and%20change%20font%20style%20of%20thesis%20title" TargetMode="External"/><Relationship Id="rId375" Type="http://schemas.openxmlformats.org/officeDocument/2006/relationships/hyperlink" Target="https://drive.google.com/open?id=1gxlp6BP_0tCFkd_XuxUrtshPNfSJ4ZTm" TargetMode="External"/><Relationship Id="rId172"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AMIT%20YADU&amp;entry.2053410063=2026-03-28&amp;entry.954149285=ABC%20ID%20ADD%20KARNA%20HAI%20NEP%20ENROLLMENT%20&amp;%20REGISTRATION%20REPORT%20ME" TargetMode="External"/><Relationship Id="rId171" Type="http://schemas.openxmlformats.org/officeDocument/2006/relationships/hyperlink" Target="https://drive.google.com/open?id=1GV2cy2DW6ieJpd6im7hPjkEK-5O_vjF0" TargetMode="External"/><Relationship Id="rId170" Type="http://schemas.openxmlformats.org/officeDocument/2006/relationships/hyperlink" Target="https://drive.google.com/open?id=1BSliTcVmMApvbBLXVst5yKg6Lhr85r7_" TargetMode="External"/><Relationship Id="rId165" Type="http://schemas.openxmlformats.org/officeDocument/2006/relationships/hyperlink" Target="https://drive.google.com/open?id=1W5KgKxbv60GZ7MRB-SPdla0iOwsTpUm8" TargetMode="External"/><Relationship Id="rId164" Type="http://schemas.openxmlformats.org/officeDocument/2006/relationships/hyperlink" Target="https://drive.google.com/open?id=1-xsHUdZish-2iM7jBAeMd4Ut9MuulfJ0" TargetMode="External"/><Relationship Id="rId163"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ohit%20Singh&amp;entry.2053410063=2026-03-27&amp;entry.954149285=Grace%20marks%20show%20only%20one%20digit%20in%20TR" TargetMode="External"/><Relationship Id="rId162" Type="http://schemas.openxmlformats.org/officeDocument/2006/relationships/hyperlink" Target="https://drive.google.com/open?id=1eO0s01Pur0mLCr-2-hLE8OgAAX8aFRIv" TargetMode="External"/><Relationship Id="rId169"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BISWAJIT%20MAJHI&amp;entry.2053410063=2026-03-27&amp;entry.954149285=PLEASE%20CHECK%20THE%20MATTER" TargetMode="External"/><Relationship Id="rId168" Type="http://schemas.openxmlformats.org/officeDocument/2006/relationships/hyperlink" Target="https://drive.google.com/open?id=1h4Y2QhVp9jaHYWoc4LHt6aveOeDbmK0g" TargetMode="External"/><Relationship Id="rId167" Type="http://schemas.openxmlformats.org/officeDocument/2006/relationships/hyperlink" Target="https://drive.google.com/open?id=1x_6TrWs9IctsoBFHKNrlWBJqL9At4C1u" TargetMode="External"/><Relationship Id="rId166"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BISWAJIT%20MAJHI&amp;entry.2053410063=2026-03-27&amp;entry.954149285=PLEASE%20CHECK%20THE%20MATTER%20IST%20VERY%20URGENT" TargetMode="External"/><Relationship Id="rId161"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HIRAJ%20KUMAR&amp;entry.2053410063=2026-03-26&amp;entry.954149285=URGENT%20NEED%20FOR%20BILL%20GENERATION" TargetMode="External"/><Relationship Id="rId160" Type="http://schemas.openxmlformats.org/officeDocument/2006/relationships/hyperlink" Target="https://drive.google.com/open?id=1817L_CcTiyhxuMz2bpKQkKkZCN3iZzdg" TargetMode="External"/><Relationship Id="rId159"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haleshwar&amp;entry.2053410063=2026-03-26&amp;entry.954149285=ad" TargetMode="External"/><Relationship Id="rId154"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AMIT%20YADU&amp;entry.2053410063=2026-03-26&amp;entry.954149285=OLD%20SESSION%20ENROLLED%20STUDENT%20ALSO%20COMING%20IN%20CURRENT%20SESSION%20REPORT%20IN%20ENROLLMENT%20EXCEL%20FORMAT" TargetMode="External"/><Relationship Id="rId396"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EMP3148%20Praveen%20Kaushik&amp;entry.2053410063=2026-05-04&amp;entry.954149285=done" TargetMode="External"/><Relationship Id="rId153" Type="http://schemas.openxmlformats.org/officeDocument/2006/relationships/hyperlink" Target="https://drive.google.com/open?id=1EaSdtmPUKsQkqDtlyuTrNNcJlaf4-4RL" TargetMode="External"/><Relationship Id="rId395" Type="http://schemas.openxmlformats.org/officeDocument/2006/relationships/hyperlink" Target="https://drive.google.com/open?id=1L_VvIyYbic6PHxxluk80sJY--cPLXt95" TargetMode="External"/><Relationship Id="rId152" Type="http://schemas.openxmlformats.org/officeDocument/2006/relationships/hyperlink" Target="https://drive.google.com/open?id=13mr4DKlWrWqdVx19MazGtQFm6XI0xHw3" TargetMode="External"/><Relationship Id="rId394"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EMP3148%20Praveen%20Kaushik&amp;entry.2053410063=2026-05-02&amp;entry.954149285=done" TargetMode="External"/><Relationship Id="rId151"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Satish%20Kumar&amp;entry.2053410063=2026-03-26&amp;entry.954149285=Please%20update%20the%20faculty%20%20wise%20%20recomended%20date%20wise" TargetMode="External"/><Relationship Id="rId393" Type="http://schemas.openxmlformats.org/officeDocument/2006/relationships/hyperlink" Target="https://drive.google.com/open?id=1g7iIw7iHMOrvRHJKPROHgqOoUIdHUf7h" TargetMode="External"/><Relationship Id="rId158" Type="http://schemas.openxmlformats.org/officeDocument/2006/relationships/hyperlink" Target="https://drive.google.com/open?id=12uM0mtJbjdbhkiCrqfHal_GF-7j8EVll" TargetMode="External"/><Relationship Id="rId157"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AMITYADU&amp;entry.2053410063=2026-03-26&amp;entry.954149285=ABC%20ID%20HAVE%20TO%20PUT%20IN%20ENROLLMENT%20REPORT%20(BOTH%20EXCEL%20&amp;%20PDF%20FORMAT)" TargetMode="External"/><Relationship Id="rId399" Type="http://schemas.openxmlformats.org/officeDocument/2006/relationships/hyperlink" Target="https://drive.google.com/open?id=1qZxuTtQVC2z8lM_cSvcS2Gq4GB7VB9Pz" TargetMode="External"/><Relationship Id="rId156" Type="http://schemas.openxmlformats.org/officeDocument/2006/relationships/hyperlink" Target="https://drive.google.com/open?id=1bqg6WGUNc3E_Wbkxn4ct0mD0bnI3Vyk1" TargetMode="External"/><Relationship Id="rId398"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Praveen%20Singh&amp;entry.2053410063=2026-05-04&amp;entry.954149285=Change%20as%20per%20the%20attached%20screenshot" TargetMode="External"/><Relationship Id="rId155" Type="http://schemas.openxmlformats.org/officeDocument/2006/relationships/hyperlink" Target="https://drive.google.com/open?id=1KuKFHZNwYD9YzaltDek9gbOzMtkakZf2" TargetMode="External"/><Relationship Id="rId397" Type="http://schemas.openxmlformats.org/officeDocument/2006/relationships/hyperlink" Target="https://drive.google.com/open?id=1HkrqJ371EsDaSLmr2tuUwXqt9otRA32m" TargetMode="External"/><Relationship Id="rId808"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7-01&amp;entry.954149285=KINDLY%20SET%20THE%20SATISFACTORY%20PAPER%20LOGIC%20FOR%20THIS%20REPORT" TargetMode="External"/><Relationship Id="rId807" Type="http://schemas.openxmlformats.org/officeDocument/2006/relationships/hyperlink" Target="https://drive.google.com/open?id=1KWcNxVZQ5IJQyxS7iCNqiTVbY3Tx5uTP" TargetMode="External"/><Relationship Id="rId806"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haleshwer&amp;entry.2053410063=2026-07-01&amp;entry.954149285=Add%20a%20Form%20Type%20filter%20to%20the%20report%20so%20that%20users%20can%20filter%20records%20based%20on%20the%20selected%20form%20type%20(e.g.,%20Regular%20or%20Reappear)." TargetMode="External"/><Relationship Id="rId805" Type="http://schemas.openxmlformats.org/officeDocument/2006/relationships/hyperlink" Target="https://drive.google.com/open?id=1VWpA8gyQzclM9fjhy7BOOOBLSTYR1vkB" TargetMode="External"/><Relationship Id="rId809" Type="http://schemas.openxmlformats.org/officeDocument/2006/relationships/hyperlink" Target="https://drive.google.com/open?id=160hjcgNKTwvlbcRFj3V-J18dh7x911QC" TargetMode="External"/><Relationship Id="rId800"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Somen%20parui&amp;entry.2053410063=2026-06-30&amp;entry.954149285=discuss%20with%20rup" TargetMode="External"/><Relationship Id="rId804"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haleshwer&amp;entry.2053410063=2026-07-01&amp;entry.954149285=In%20the%20Exam%20Form%20Report,%20Enrollment%20Form%20records%20should%20not%20be%20displayed.%20Only%20the%20following%20form%20types%20should%20be%20included:%0ARegular%20Form%0AReappear%20Form" TargetMode="External"/><Relationship Id="rId803" Type="http://schemas.openxmlformats.org/officeDocument/2006/relationships/hyperlink" Target="https://drive.google.com/open?id=1EzPvMt8sEoZVloKHpQ2qxhIYscDYfVYP" TargetMode="External"/><Relationship Id="rId802"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halshwer&amp;entry.2053410063=2026-07-01&amp;entry.954149285=Rename%20%22Form%20Summary%20Report%22%20to%20%22Exam%20Form%20Report%22." TargetMode="External"/><Relationship Id="rId801" Type="http://schemas.openxmlformats.org/officeDocument/2006/relationships/hyperlink" Target="https://drive.google.com/open?id=18i27MnKd4uAhCypG6r3SHX62woS5EgWN" TargetMode="External"/><Relationship Id="rId40"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AMINI%20THAKUR&amp;entry.2053410063=2026-03-09&amp;entry.954149285=TR%20RESULT%20HOSTING%20COLLEGEWISE%20ME%20TH%20MHRD%20KA%20FILE%20HONA" TargetMode="External"/><Relationship Id="rId42"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Tusar%20Chhatui&amp;entry.2053410063=2026-03-09&amp;entry.954149285=Degree%20certificate%20correction" TargetMode="External"/><Relationship Id="rId41" Type="http://schemas.openxmlformats.org/officeDocument/2006/relationships/hyperlink" Target="https://drive.google.com/open?id=1qNvVBFPAHJiUBsWL1nv9u2wF3iJvNQFW" TargetMode="External"/><Relationship Id="rId44" Type="http://schemas.openxmlformats.org/officeDocument/2006/relationships/hyperlink" Target="https://drive.google.com/open?id=1IT-DOUHCHA_GDyYxu14x9KVYkxUE8gUa" TargetMode="External"/><Relationship Id="rId43" Type="http://schemas.openxmlformats.org/officeDocument/2006/relationships/hyperlink" Target="https://drive.google.com/open?id=1NRuw0QT4OaOeoGGNGnwy8TTh4L345iwz" TargetMode="External"/><Relationship Id="rId46" Type="http://schemas.openxmlformats.org/officeDocument/2006/relationships/hyperlink" Target="https://drive.google.com/open?id=1UjbYREPBhDD-euOMZ8H138a_yA8ibX8w" TargetMode="External"/><Relationship Id="rId45"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VIRENDRA%20KUMAR&amp;entry.2053410063=2026-03-10&amp;entry.954149285=signature%20change%20of%20off.%20controller" TargetMode="External"/><Relationship Id="rId509" Type="http://schemas.openxmlformats.org/officeDocument/2006/relationships/hyperlink" Target="https://drive.google.com/open?id=1XY_Ql-XbUPp8qtQZX4JJoQz0eqZoX8jH" TargetMode="External"/><Relationship Id="rId508"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rishnendu%20maity&amp;entry.2053410063=2026-05-22&amp;entry.954149285=1.For%20EXAMINATION%20NAME%20permitter%20add.%20%0A2.%20logo%20size%20small.%0A3.1sheet%2010%20student%20show..%0A4.textual%20change." TargetMode="External"/><Relationship Id="rId503" Type="http://schemas.openxmlformats.org/officeDocument/2006/relationships/hyperlink" Target="https://drive.google.com/open?id=11TUGxz6VS_e6cuMBT33jdf8Yfw6LgXDk" TargetMode="External"/><Relationship Id="rId745"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6-25&amp;entry.954149285=ERROR" TargetMode="External"/><Relationship Id="rId987"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Satish%20Kumar&amp;entry.2053410063=2026-07-23&amp;entry.954149285=Please%20changes%20%20as%20per%20the%20upload%20image%20for%20the%20PG%204th%20Sem" TargetMode="External"/><Relationship Id="rId502" Type="http://schemas.openxmlformats.org/officeDocument/2006/relationships/hyperlink" Target="https://drive.google.com/open?id=1lF_TxNgznoQczRuoFR6inf4fk5J_qbRw" TargetMode="External"/><Relationship Id="rId744" Type="http://schemas.openxmlformats.org/officeDocument/2006/relationships/hyperlink" Target="https://drive.google.com/open?id=1n3EqRkUo8LacROJ4KHVsnDWO54V78B6c" TargetMode="External"/><Relationship Id="rId986" Type="http://schemas.openxmlformats.org/officeDocument/2006/relationships/hyperlink" Target="https://drive.google.com/open?id=1mJ7jqtsOLNzqytl7SXiMcKHx9MK9mFzw" TargetMode="External"/><Relationship Id="rId501"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HARSHIT%20KUMAR&amp;entry.2053410063=2026-05-21&amp;entry.954149285=DO%20THE%20CORRECTION%20AS%20PER%20ATTACHEMNT" TargetMode="External"/><Relationship Id="rId743"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haleshwar&amp;entry.2053410063=2026-06-24&amp;entry.954149285=Please%20add%20college%20and%20course%20filter" TargetMode="External"/><Relationship Id="rId985"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Ujjal%20das&amp;entry.2053410063=2026-07-23&amp;entry.954149285=SHASTRI%205TH%20SEM%20ADMIT%20CARD%20NOT%20SO%20SEMESTER" TargetMode="External"/><Relationship Id="rId500" Type="http://schemas.openxmlformats.org/officeDocument/2006/relationships/hyperlink" Target="https://drive.google.com/open?id=1X7H719McFBsgUv8j6RJK3sNldcK6MPsl" TargetMode="External"/><Relationship Id="rId742" Type="http://schemas.openxmlformats.org/officeDocument/2006/relationships/hyperlink" Target="https://drive.google.com/open?id=1dGZmesQkVge3XI1EA4WA2E7WkcIzZyYm" TargetMode="External"/><Relationship Id="rId984" Type="http://schemas.openxmlformats.org/officeDocument/2006/relationships/hyperlink" Target="https://drive.google.com/open?id=1puBNl8-BG1QeMlSR0gSm_cANZvU9osKd" TargetMode="External"/><Relationship Id="rId507" Type="http://schemas.openxmlformats.org/officeDocument/2006/relationships/hyperlink" Target="https://drive.google.com/open?id=1TcN-U4cw0Bi2Dx8EjCjemRQdmbIFYaF3" TargetMode="External"/><Relationship Id="rId749"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IWAKAR%20TIWARI&amp;entry.2053410063=2026-06-25&amp;entry.954149285=PLEASE%20UPDATE" TargetMode="External"/><Relationship Id="rId506"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5-22&amp;entry.954149285=REPORT%20NOT%20DOWNLOAD" TargetMode="External"/><Relationship Id="rId748" Type="http://schemas.openxmlformats.org/officeDocument/2006/relationships/hyperlink" Target="https://drive.google.com/open?id=1yShNXulTkS8V3Vx7DXqqh7b1TBFeRcSd" TargetMode="External"/><Relationship Id="rId505" Type="http://schemas.openxmlformats.org/officeDocument/2006/relationships/hyperlink" Target="https://drive.google.com/open?id=1cr6ZhjegjTbYbSjqh5daTDzTEY-VA_Cj" TargetMode="External"/><Relationship Id="rId747"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HIRAJ%20KUMAR&amp;entry.2053410063=2026-06-25&amp;entry.954149285=Details%20sent%20to%20Rup%20sir%20in%20chat" TargetMode="External"/><Relationship Id="rId989" Type="http://schemas.openxmlformats.org/officeDocument/2006/relationships/hyperlink" Target="https://drive.google.com/open?id=1TYWyDmul5c3lJbBT-MSqNqwsaTarkqbz" TargetMode="External"/><Relationship Id="rId504"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ajesh%20Gupta&amp;entry.2053410063=2026-05-22&amp;entry.954149285=Please%20find%20the%20attached%20below%20BAMS%20mark%20sheet%20format,%20so%20please%20change%20the%20chart%20part%20under%20marksheet" TargetMode="External"/><Relationship Id="rId746" Type="http://schemas.openxmlformats.org/officeDocument/2006/relationships/hyperlink" Target="https://drive.google.com/open?id=1kVJnrXcPqCLuhJ_nQcCPychu7Lxjryou" TargetMode="External"/><Relationship Id="rId988" Type="http://schemas.openxmlformats.org/officeDocument/2006/relationships/hyperlink" Target="https://drive.google.com/open?id=1BnRADOvtzp4RV4rSHTlRt1qqQiS6w3m_" TargetMode="External"/><Relationship Id="rId48" Type="http://schemas.openxmlformats.org/officeDocument/2006/relationships/hyperlink" Target="https://drive.google.com/open?id=1VQdMSwGGC166jr8p8KNzfiC4JOIvWNjA" TargetMode="External"/><Relationship Id="rId47"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Satish%20Kumar&amp;entry.2053410063=2026-03-10&amp;entry.954149285=PLEASE%20CHECK%20AND%20UPDATE%20AS%20THE%20ANNUAL%20SCHEMA" TargetMode="External"/><Relationship Id="rId49"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ohit%20Singh&amp;entry.2053410063=2026-03-10&amp;entry.954149285=please%20do%20this" TargetMode="External"/><Relationship Id="rId741"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INESH%20KUMAR&amp;entry.2053410063=2026-06-24&amp;entry.954149285=URGENT" TargetMode="External"/><Relationship Id="rId983"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ajesh%20Gupta&amp;entry.2053410063=2026-07-23&amp;entry.954149285=please%20check%20D.%20Pharm.%202nd%20year%20marksheet%20result%20status%20not%20show%20TR%2014%20according%20and%20date,%20so%20please%20resolve%20as%20soon%20as." TargetMode="External"/><Relationship Id="rId740" Type="http://schemas.openxmlformats.org/officeDocument/2006/relationships/hyperlink" Target="https://drive.google.com/open?id=1ImF4WMmaVLFEhiqSpQ_jXKErbQzdQpr8" TargetMode="External"/><Relationship Id="rId982" Type="http://schemas.openxmlformats.org/officeDocument/2006/relationships/hyperlink" Target="https://drive.google.com/open?id=16TJ2CykwfpDzUABZYXRiYfYQalUizFXk" TargetMode="External"/><Relationship Id="rId981" Type="http://schemas.openxmlformats.org/officeDocument/2006/relationships/hyperlink" Target="https://drive.google.com/open?id=1MVmlxmnblx0omNMeNPBC5PmBGXQLFy1f" TargetMode="External"/><Relationship Id="rId980"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7-22&amp;entry.954149285=PLEASE%20PREPARE%20TR%20FOR%20REPEAT%20EXAM%20AGRICULTURE" TargetMode="External"/><Relationship Id="rId31" Type="http://schemas.openxmlformats.org/officeDocument/2006/relationships/hyperlink" Target="https://drive.google.com/open?id=1GhOv8mz381d4E3x_VLwIW5-p1t9lLxhc" TargetMode="External"/><Relationship Id="rId30" Type="http://schemas.openxmlformats.org/officeDocument/2006/relationships/hyperlink" Target="https://drive.google.com/open?id=1ptziOTMmZrCYpXt5GYuL_CSDh5BVDjfd" TargetMode="External"/><Relationship Id="rId33" Type="http://schemas.openxmlformats.org/officeDocument/2006/relationships/hyperlink" Target="https://drive.google.com/open?id=1aWiOoYam2GpEK8YnwoRT49EBkzqy_8eU" TargetMode="External"/><Relationship Id="rId32"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HARSHIT%20KUMAR&amp;entry.2053410063=2026-03-09&amp;entry.954149285=DO%20THE%20CORRECTION%20AS%20PER%20ATTACHMENT" TargetMode="External"/><Relationship Id="rId35" Type="http://schemas.openxmlformats.org/officeDocument/2006/relationships/hyperlink" Target="https://drive.google.com/open?id=18KNmdhuUgubw11G2MCGG5NxlwpOAV5Hd" TargetMode="External"/><Relationship Id="rId34"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amp;entry.2053410063=2026-03-09&amp;entry.954149285=KINDLY%20UPDATE%20THE%20FOURTH%20CONVOCATION" TargetMode="External"/><Relationship Id="rId739"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haleshwar&amp;entry.2053410063=2026-06-24&amp;entry.954149285=please%20the%20examform%20and%20reappear%20form%20report%20in%20this%20formate" TargetMode="External"/><Relationship Id="rId734" Type="http://schemas.openxmlformats.org/officeDocument/2006/relationships/hyperlink" Target="https://drive.google.com/open?id=1GwMirOvMlq-1rizTovot-Qg-ImnSoHy4" TargetMode="External"/><Relationship Id="rId976" Type="http://schemas.openxmlformats.org/officeDocument/2006/relationships/hyperlink" Target="https://drive.google.com/open?id=1gd4RNRTO7nQtyQ-FK-pXUnrPStECC_gV" TargetMode="External"/><Relationship Id="rId733"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ANIL%20KUMAR%20YADAV&amp;entry.2053410063=2026-06-24&amp;entry.954149285=Urgent%20change" TargetMode="External"/><Relationship Id="rId975"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ajesh%20Gupta&amp;entry.2053410063=2026-07-22&amp;entry.954149285=Please%20find%20the%20attached%20below%20D.%20Pharm.%202nd%20year%20TR%20some%20changes%20required,%20please%20check%20mark%20point%20and%20update%20as%20soon%20as%20possible." TargetMode="External"/><Relationship Id="rId732" Type="http://schemas.openxmlformats.org/officeDocument/2006/relationships/hyperlink" Target="https://drive.google.com/open?id=10Cx7quSux-fDs0ea0plH-P9vCZwpzjCL" TargetMode="External"/><Relationship Id="rId974" Type="http://schemas.openxmlformats.org/officeDocument/2006/relationships/hyperlink" Target="https://drive.google.com/open?id=1lxScKuYN5j5OH1mgJDQ_rlpThi_3pAhk" TargetMode="External"/><Relationship Id="rId731"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Arpanalekhya%20Jana&amp;entry.2053410063=2026-06-24&amp;entry.954149285=g" TargetMode="External"/><Relationship Id="rId973" Type="http://schemas.openxmlformats.org/officeDocument/2006/relationships/hyperlink" Target="https://drive.google.com/open?id=1GX8I43n9o-BbvYyvnldtLZ4ljztO6lmp" TargetMode="External"/><Relationship Id="rId738" Type="http://schemas.openxmlformats.org/officeDocument/2006/relationships/hyperlink" Target="https://drive.google.com/open?id=1Hb9olQ8_Cl-ZEQBsIY2k8Vcgnc-PKkIR" TargetMode="External"/><Relationship Id="rId737"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Virendra%20Kumar&amp;entry.2053410063=2026-06-24&amp;entry.954149285=Major%20paper%20ke%20lia%20grade%20ke%20jagah%20pass%20fail%20aayega" TargetMode="External"/><Relationship Id="rId979" Type="http://schemas.openxmlformats.org/officeDocument/2006/relationships/hyperlink" Target="https://drive.google.com/open?id=1N1Zm0_zXjbvXPdkQI961ZxzlVkJpNhDb" TargetMode="External"/><Relationship Id="rId736" Type="http://schemas.openxmlformats.org/officeDocument/2006/relationships/hyperlink" Target="https://drive.google.com/open?id=13CFr5XAlRQmp4rwUSxob651219iwu1LQ" TargetMode="External"/><Relationship Id="rId978"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ajesh%20Gupta&amp;entry.2053410063=2026-07-22&amp;entry.954149285=Please%20add%20registration%20session%20column%20in%20this%20report." TargetMode="External"/><Relationship Id="rId735"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6-24&amp;entry.954149285=KINDLY%20CORRECTION%20THE%20NOTE" TargetMode="External"/><Relationship Id="rId977" Type="http://schemas.openxmlformats.org/officeDocument/2006/relationships/hyperlink" Target="https://drive.google.com/open?id=1-aMmqBnWymNZ2iJQEcrtApI97fidV7ac" TargetMode="External"/><Relationship Id="rId37" Type="http://schemas.openxmlformats.org/officeDocument/2006/relationships/hyperlink" Target="https://drive.google.com/open?id=149MzaH_Hqy0Kc49qyQ8_hDoFh1wv57hv" TargetMode="External"/><Relationship Id="rId36"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CHINTU%20SINGH&amp;entry.2053410063=2026-03-09&amp;entry.954149285=Regarding%20for%20M.ed%201st%20Sem%20regular%20admit%20card%20not%20show%20in%20roll%20number" TargetMode="External"/><Relationship Id="rId39" Type="http://schemas.openxmlformats.org/officeDocument/2006/relationships/hyperlink" Target="https://drive.google.com/open?id=1FHnmm9S1-hSTFSC3RsuK_6ONkwRAOhP5" TargetMode="External"/><Relationship Id="rId38"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ajesh%20Gupta&amp;entry.2053410063=2026-03-09&amp;entry.954149285=Please%20add%20the%20one%20Colome%20Year/Semester%20in%20this%20format" TargetMode="External"/><Relationship Id="rId730" Type="http://schemas.openxmlformats.org/officeDocument/2006/relationships/hyperlink" Target="https://drive.google.com/open?id=1ZyvHMRXV-_c0PfNfYT0FJ_ulhH1QrJEp" TargetMode="External"/><Relationship Id="rId972"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ajesh%20Gupta&amp;entry.2053410063=2026-07-22&amp;entry.954149285=Please%20find%20the%20attached%20below%20D.%20Pharm.%201st%20year%20TR%20some%20changes%20required,%20please%20check%20mark%20point%20and%20update%20as%20soon%20as%20possible." TargetMode="External"/><Relationship Id="rId971" Type="http://schemas.openxmlformats.org/officeDocument/2006/relationships/hyperlink" Target="https://drive.google.com/open?id=1EMAhOiftkyASZNFzcHIv3dm6drpvdn2q" TargetMode="External"/><Relationship Id="rId970" Type="http://schemas.openxmlformats.org/officeDocument/2006/relationships/hyperlink" Target="https://drive.google.com/open?id=1adrrhfOR7wKJONGCwZIfFm638HEmR7MN" TargetMode="External"/><Relationship Id="rId20" Type="http://schemas.openxmlformats.org/officeDocument/2006/relationships/hyperlink" Target="https://drive.google.com/open?id=1aKyJqfwu32ugiHXZJRDPtCQIVoZLAoBv" TargetMode="External"/><Relationship Id="rId22" Type="http://schemas.openxmlformats.org/officeDocument/2006/relationships/hyperlink" Target="https://drive.google.com/open?id=15Q0Dy3l85zME3ucBYLxN1KfeY5HjeRs1" TargetMode="External"/><Relationship Id="rId21"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avikant%20Dewangan&amp;entry.2053410063=2026-03-06&amp;entry.954149285=GAU%20Generate%20Attendance%20Sheet%20BAMS%20MARCH%202026" TargetMode="External"/><Relationship Id="rId24" Type="http://schemas.openxmlformats.org/officeDocument/2006/relationships/hyperlink" Target="https://drive.google.com/open?id=1m_Sul2U-W0TWqbD0-Ha_VKFeTXGhbnME" TargetMode="External"/><Relationship Id="rId23"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ohit%20Singh&amp;entry.2053410063=2026-03-06&amp;entry.954149285=Please%20update%20the%20max%20marks%20as%20per%20discussion" TargetMode="External"/><Relationship Id="rId525"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rishnendu%20maity&amp;entry.2053410063=2026-05-22&amp;entry.954149285=1.%20text%20layout%20brake." TargetMode="External"/><Relationship Id="rId767"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haleshwar&amp;entry.2053410063=2026-06-25&amp;entry.954149285=add" TargetMode="External"/><Relationship Id="rId524" Type="http://schemas.openxmlformats.org/officeDocument/2006/relationships/hyperlink" Target="https://drive.google.com/open?id=1m7WuveyULyaxlvDCGqWtwmzrgZ2nyGXm" TargetMode="External"/><Relationship Id="rId766" Type="http://schemas.openxmlformats.org/officeDocument/2006/relationships/hyperlink" Target="https://drive.google.com/open?id=1LGMpghLEzvfjiv_L9mwuBCUrW2V8fwhd" TargetMode="External"/><Relationship Id="rId523"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rishnendu%20maity&amp;entry.2053410063=2026-05-22&amp;entry.954149285=1.%20course%20name%20add%20in%20box.%0A2.%20report%20file%20change." TargetMode="External"/><Relationship Id="rId765"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haleshwar&amp;entry.2053410063=2026-06-25&amp;entry.954149285=ad" TargetMode="External"/><Relationship Id="rId522" Type="http://schemas.openxmlformats.org/officeDocument/2006/relationships/hyperlink" Target="https://drive.google.com/open?id=1JobG9r1MWKQu5aYAZ_a6d9_0hTHz9cL_" TargetMode="External"/><Relationship Id="rId764" Type="http://schemas.openxmlformats.org/officeDocument/2006/relationships/hyperlink" Target="https://drive.google.com/open?id=18_MsOLGWlr9OJLUNmYy1VvWp8-pQ9Tca" TargetMode="External"/><Relationship Id="rId529" Type="http://schemas.openxmlformats.org/officeDocument/2006/relationships/hyperlink" Target="https://drive.google.com/open?id=1pw9XcKA7YsVy0Ew_KGD9UfCbvs8SmsEi" TargetMode="External"/><Relationship Id="rId528"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Gayatri%20Gheware%20&amp;entry.2053410063=2026-05-22&amp;entry.954149285=DO%20ASAP" TargetMode="External"/><Relationship Id="rId527" Type="http://schemas.openxmlformats.org/officeDocument/2006/relationships/hyperlink" Target="https://drive.google.com/open?id=1O5-8HbLwqaAWFUG_x2rw-uwSXmzEhOK1" TargetMode="External"/><Relationship Id="rId769" Type="http://schemas.openxmlformats.org/officeDocument/2006/relationships/hyperlink" Target="https://drive.google.com/open?id=1HinGHD3C20UIQmwLTxFo8I5aF7dpXXeJ" TargetMode="External"/><Relationship Id="rId526" Type="http://schemas.openxmlformats.org/officeDocument/2006/relationships/hyperlink" Target="https://drive.google.com/open?id=104UUYvO8uYsvM0619Op_Hl64VupU6MS4" TargetMode="External"/><Relationship Id="rId768" Type="http://schemas.openxmlformats.org/officeDocument/2006/relationships/hyperlink" Target="https://drive.google.com/open?id=1K89yFCYqDt76jQ6qWJZztilbqM-zDCsa" TargetMode="External"/><Relationship Id="rId26" Type="http://schemas.openxmlformats.org/officeDocument/2006/relationships/hyperlink" Target="https://drive.google.com/open?id=1RqYoKVO2NpX0W6xe-eXRPGH4mph-QX1r" TargetMode="External"/><Relationship Id="rId25"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satish%20kumar&amp;entry.2053410063=2026-03-06&amp;entry.954149285=PLease%20update%20as%20per%20the%20discussion" TargetMode="External"/><Relationship Id="rId28" Type="http://schemas.openxmlformats.org/officeDocument/2006/relationships/hyperlink" Target="https://drive.google.com/open?id=1V0vddiHHf4B6GfLRctFj1SAMRM3L74vN" TargetMode="External"/><Relationship Id="rId27"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avikant%20Dewangan&amp;entry.2053410063=2026-03-07&amp;entry.954149285=Please%20generate%20the%20qr%20sticker%20in%20the%20previous%20format%20using%20the%20following%20table%20details:%0ASELECT%20*%20FROM%20%60gau_qrcode_generate%60.%60GAU_BAMS_march_2026_2nd%60" TargetMode="External"/><Relationship Id="rId521"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rishnendu%20maity&amp;entry.2053410063=2026-05-22&amp;entry.954149285=1.course%20name%20add%20in%20box.%0A2.%20report%20file%20name%20change" TargetMode="External"/><Relationship Id="rId763"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haleshwar&amp;entry.2053410063=2026-06-25&amp;entry.954149285=add" TargetMode="External"/><Relationship Id="rId29"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ohit%20Singh&amp;entry.2053410063=2026-03-07&amp;entry.954149285=Please%20implement%20the%20changes%20as%20per%20discussion" TargetMode="External"/><Relationship Id="rId520" Type="http://schemas.openxmlformats.org/officeDocument/2006/relationships/hyperlink" Target="https://drive.google.com/open?id=1tHWs_BYlmrRR8fILyT1-jr06z_REXULI" TargetMode="External"/><Relationship Id="rId762" Type="http://schemas.openxmlformats.org/officeDocument/2006/relationships/hyperlink" Target="https://drive.google.com/open?id=1ZOfnTrcRHSobwRRJtbCJh1rSf7X9ZzT6" TargetMode="External"/><Relationship Id="rId761"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haleshwar&amp;entry.2053410063=2026-06-25&amp;entry.954149285=Remove%20Gender%20Matrix%20and%20show%20count%20in%20both%20college%20and%20course%20matrix" TargetMode="External"/><Relationship Id="rId760" Type="http://schemas.openxmlformats.org/officeDocument/2006/relationships/hyperlink" Target="https://drive.google.com/open?id=1wJzxRZlHF0bFv2SAFnvBABw1tQDFkapQ" TargetMode="External"/><Relationship Id="rId11" Type="http://schemas.openxmlformats.org/officeDocument/2006/relationships/hyperlink" Target="https://drive.google.com/open?id=1OD1An2IaORabIwBY4HzmndtIVbG7Yj7M" TargetMode="External"/><Relationship Id="rId10"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haleshwar&amp;entry.2053410063=2026-03-03&amp;entry.954149285=ad" TargetMode="External"/><Relationship Id="rId13" Type="http://schemas.openxmlformats.org/officeDocument/2006/relationships/hyperlink" Target="https://drive.google.com/open?id=1r4zvF6Y3tMtUvatGlNYuK4boFFwhhAtl" TargetMode="External"/><Relationship Id="rId12"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chintu%20singh&amp;entry.2053410063=2026-03-05&amp;entry.954149285=Pls%20do%20the%20needful%20as%20per%20format%20for%20the%20session%202024-25" TargetMode="External"/><Relationship Id="rId519"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rishnendu%20maity&amp;entry.2053410063=2026-05-22&amp;entry.954149285=1.%20instruction%20qr%20add%20in%20admit" TargetMode="External"/><Relationship Id="rId514" Type="http://schemas.openxmlformats.org/officeDocument/2006/relationships/hyperlink" Target="https://drive.google.com/open?id=1Tz8DOoQBNA-vQbS42iR5_O962wbh4RSe" TargetMode="External"/><Relationship Id="rId756" Type="http://schemas.openxmlformats.org/officeDocument/2006/relationships/hyperlink" Target="https://drive.google.com/open?id=1We5bpLWd95O5I4sIm6DmHoJwT6LWW5NN" TargetMode="External"/><Relationship Id="rId998"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tapas%20mazumdar&amp;entry.2053410063=2026-07-23&amp;entry.954149285=" TargetMode="External"/><Relationship Id="rId513"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rishnendu%20maity&amp;entry.2053410063=2026-05-22&amp;entry.954149285=1.LOGO%20ADD.%0A2.%20textual%20change%20.%0A3.%202%20label%20show%20in%201%20page." TargetMode="External"/><Relationship Id="rId755"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vesh%20Dutt%20Verma&amp;entry.2053410063=2026-06-25&amp;entry.954149285=Seperate%20By%20Deab%204/5" TargetMode="External"/><Relationship Id="rId997" Type="http://schemas.openxmlformats.org/officeDocument/2006/relationships/hyperlink" Target="https://drive.google.com/open?id=1mJC68uz1JhWfH_Iv5g8C4wjbUOTST2hX" TargetMode="External"/><Relationship Id="rId512" Type="http://schemas.openxmlformats.org/officeDocument/2006/relationships/hyperlink" Target="https://drive.google.com/open?id=1QaMnXb3W-Tgupki5HT15aXcanh7rOI5m" TargetMode="External"/><Relationship Id="rId754" Type="http://schemas.openxmlformats.org/officeDocument/2006/relationships/hyperlink" Target="https://drive.google.com/open?id=17LUonH_g1UH28SFsHTWnBirpFG8vUukn" TargetMode="External"/><Relationship Id="rId996"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CHINTU%20SINGH&amp;entry.2053410063=2026-07-23&amp;entry.954149285=%09CBCS%20and%20CGP%20(TR%20COMBINED)%20Fourth%20Semester%20(%20Sem%20-%204)%20PG%20MASTER%20OF%20SCIENCE%20(PSYCHOLOGY)%20(%20M.Sc%20(PSYCHOLOGY))%20SCHEME%20A%20(%20SY01)_SE03" TargetMode="External"/><Relationship Id="rId511"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ajesh%20Gupta&amp;entry.2053410063=2026-05-22&amp;entry.954149285=Please%20check%20Theory%20paper%20serial%20no.%20change%20B.%20Pharma%203rd%20Semester" TargetMode="External"/><Relationship Id="rId753"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vesh%20Dutt%20Verma&amp;entry.2053410063=2026-06-25&amp;entry.954149285=Seperate%20for%20Dean%E2%80%99s%20Committee%20%E2%80%93%204th%20Dean/5th%20Dean" TargetMode="External"/><Relationship Id="rId995" Type="http://schemas.openxmlformats.org/officeDocument/2006/relationships/hyperlink" Target="https://drive.google.com/open?id=19EdcRwqgIx7_hrp2wZUT3LRJ2s5StXOH" TargetMode="External"/><Relationship Id="rId518" Type="http://schemas.openxmlformats.org/officeDocument/2006/relationships/hyperlink" Target="https://drive.google.com/open?id=10U6htc0gL1R_07hzHBvHPJmjURHhl8Tk" TargetMode="External"/><Relationship Id="rId517"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rishnendu%20maity&amp;entry.2053410063=2026-05-22&amp;entry.954149285=1.%20textual%20change%20mention%20in%20Sample%20update." TargetMode="External"/><Relationship Id="rId759"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haleshwar&amp;entry.2053410063=2026-06-25&amp;entry.954149285=Add%20Filter%20for%20College/Course%20And%20Course%20is%20%20depended%20on%20College%20as%20well%20as%20filter%20sequence%20is%20Session%20College%20Course%20then%20Semester" TargetMode="External"/><Relationship Id="rId516" Type="http://schemas.openxmlformats.org/officeDocument/2006/relationships/hyperlink" Target="https://drive.google.com/open?id=18cEjEpXhbqTT4nJgqJaTPOo9RlKkt2N3" TargetMode="External"/><Relationship Id="rId758" Type="http://schemas.openxmlformats.org/officeDocument/2006/relationships/hyperlink" Target="https://drive.google.com/open?id=1aOjfIEWNCCQXj-nUSHYTfCSoBaW9Q3jR" TargetMode="External"/><Relationship Id="rId515"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rishnendu%20maity&amp;entry.2053410063=2026-05-22&amp;entry.954149285=1.(For%20lnvigilator%20/Centre-in-charge)%20add%20before%20photo.%0A2.report%20name%20add." TargetMode="External"/><Relationship Id="rId757"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vesh%20Dutt%20Verma&amp;entry.2053410063=2026-06-25&amp;entry.954149285=Separated%20By%20Dean%204/5" TargetMode="External"/><Relationship Id="rId999" Type="http://schemas.openxmlformats.org/officeDocument/2006/relationships/hyperlink" Target="https://drive.google.com/open?id=1QXZ2muS6Bbe8OsmR1_8mel8r9QkJ7OXG" TargetMode="External"/><Relationship Id="rId15" Type="http://schemas.openxmlformats.org/officeDocument/2006/relationships/hyperlink" Target="https://drive.google.com/open?id=14KDAIDpklWHuU6oGIDLbvDVRFrP40FLt" TargetMode="External"/><Relationship Id="rId990"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INESH%20KUMAR&amp;entry.2053410063=2026-07-23&amp;entry.954149285=URGENT" TargetMode="External"/><Relationship Id="rId14"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AMIT%20YADU&amp;entry.2053410063=2026-03-05&amp;entry.954149285=DISTRICT%20WISE%20REPORT%20WAS%20NOT%20SHOWING" TargetMode="External"/><Relationship Id="rId17" Type="http://schemas.openxmlformats.org/officeDocument/2006/relationships/hyperlink" Target="https://drive.google.com/open?id=1c8SyByaGMVOXS1UOmovp8hOBtGosM8I9" TargetMode="External"/><Relationship Id="rId16"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AMIT%20YADU&amp;entry.2053410063=2026-03-05&amp;entry.954149285=TR%20IS%20NOT%20DOWNLOADING,%20PLZ%20SEND%20TR%20THROUGH%20%20MAIL%20(B.A.%201ST%20NEP)" TargetMode="External"/><Relationship Id="rId19"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HARSHIT%20KUMAR&amp;entry.2053410063=2026-03-06&amp;entry.954149285=DO%20THE%20CORRECTION%20%20AS%20PER%20ATTACHMENT" TargetMode="External"/><Relationship Id="rId510" Type="http://schemas.openxmlformats.org/officeDocument/2006/relationships/hyperlink" Target="https://drive.google.com/open?id=12snEKRxCST1nNuv4lv6Y-INn_isxG_jd" TargetMode="External"/><Relationship Id="rId752" Type="http://schemas.openxmlformats.org/officeDocument/2006/relationships/hyperlink" Target="https://drive.google.com/open?id=1lF-RduIocGxrFV42OYg0Ado9VlGe35Wq" TargetMode="External"/><Relationship Id="rId994"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AMINI%20THAKUR&amp;entry.2053410063=2026-07-23&amp;entry.954149285=B.VOC%20TR%20CGL%20WISE%20ME%20DALNA%20HAI" TargetMode="External"/><Relationship Id="rId18" Type="http://schemas.openxmlformats.org/officeDocument/2006/relationships/hyperlink" Target="https://drive.google.com/open?id=1SsqLTD-dgURQgOkX6_iwGRf5AnZ2-MXC" TargetMode="External"/><Relationship Id="rId751"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rishnendu%20maity&amp;entry.2053410063=2026-06-25&amp;entry.954149285=SUB_CREDIT_ELIGIBILITY%20filed%20add%20after%20all%20paper%20for%20result%20type%20back(if%20student%20pass%20then%20show%20N%20if%20appear%20show%20blank)." TargetMode="External"/><Relationship Id="rId993" Type="http://schemas.openxmlformats.org/officeDocument/2006/relationships/hyperlink" Target="https://drive.google.com/open?id=1Co2__q4db2MMfzDDI0cN9Tdm_z6EC2ET" TargetMode="External"/><Relationship Id="rId750" Type="http://schemas.openxmlformats.org/officeDocument/2006/relationships/hyperlink" Target="https://drive.google.com/open?id=1gjwd10M9bot5wpS0fUucrQf29quxJ_Hc" TargetMode="External"/><Relationship Id="rId992"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INESH%20KUMAR&amp;entry.2053410063=2026-07-23&amp;entry.954149285=URGENT" TargetMode="External"/><Relationship Id="rId991" Type="http://schemas.openxmlformats.org/officeDocument/2006/relationships/hyperlink" Target="https://drive.google.com/open?id=1WExSucOdiFCo-KKqPBk6CBbNZEhl1Uo0" TargetMode="External"/><Relationship Id="rId84" Type="http://schemas.openxmlformats.org/officeDocument/2006/relationships/hyperlink" Target="https://drive.google.com/open?id=15j6QUN8x769dDTmA8mlMah13AW5zl2sy" TargetMode="External"/><Relationship Id="rId83"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ajesh%20Gupta&amp;entry.2053410063=2026-03-13&amp;entry.954149285=Please%20check%20the%20BAMS%20admit%20card%20Practical%20exam%20details%20not%20show" TargetMode="External"/><Relationship Id="rId86"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ajesh%20Gupta&amp;entry.2053410063=2026-03-13&amp;entry.954149285=Please%20check%20the%20attached%20file%20I'm%20download%20the%20Attendance%20report%20some%20changes%20required." TargetMode="External"/><Relationship Id="rId85" Type="http://schemas.openxmlformats.org/officeDocument/2006/relationships/hyperlink" Target="https://drive.google.com/open?id=1DcGLKjNOjdMFgsKpjjGUEwxImNpHqmMY" TargetMode="External"/><Relationship Id="rId88"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Satish%20Kumar&amp;entry.2053410063=2026-03-13&amp;entry.954149285=display%20in%20double%20record%20of%20the%20same%20candidates" TargetMode="External"/><Relationship Id="rId87" Type="http://schemas.openxmlformats.org/officeDocument/2006/relationships/hyperlink" Target="https://drive.google.com/open?id=1RoimmKIMq7yesnItagUPZqHg_qH0gblr" TargetMode="External"/><Relationship Id="rId89" Type="http://schemas.openxmlformats.org/officeDocument/2006/relationships/hyperlink" Target="https://drive.google.com/open?id=1QaO6u3y1Hj33m0yji76xZbqAtcUIL2a-" TargetMode="External"/><Relationship Id="rId709"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6-19&amp;entry.954149285=PLEASE%20RED%20COLOR%20FOR%20FAIL%20MARKS%20BELOW%2050" TargetMode="External"/><Relationship Id="rId708" Type="http://schemas.openxmlformats.org/officeDocument/2006/relationships/hyperlink" Target="https://drive.google.com/open?id=19tpvpU0kjsx1sZB5cl_NkTcgWo9U7O--" TargetMode="External"/><Relationship Id="rId707"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Purna%20Kumar&amp;entry.2053410063=2026-06-19&amp;entry.954149285=July%20-%20December" TargetMode="External"/><Relationship Id="rId949"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tapas%20mazumdar&amp;entry.2053410063=2026-07-17&amp;entry.954149285=credit%20issue" TargetMode="External"/><Relationship Id="rId706" Type="http://schemas.openxmlformats.org/officeDocument/2006/relationships/hyperlink" Target="https://drive.google.com/open?id=1EhSBQP56k1Am6qDXjGxYyQJkZ_xJgwus" TargetMode="External"/><Relationship Id="rId948" Type="http://schemas.openxmlformats.org/officeDocument/2006/relationships/hyperlink" Target="https://drive.google.com/open?id=1ElxSzxhFERG-t6ZDc6Pwyl0grKOrixZ2" TargetMode="External"/><Relationship Id="rId80"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HIRAJ%20KUMAR&amp;entry.2053410063=2026-03-13&amp;entry.954149285=RESULT%20DATA%20ADD%203%20EXTRA%20FEILD" TargetMode="External"/><Relationship Id="rId82" Type="http://schemas.openxmlformats.org/officeDocument/2006/relationships/hyperlink" Target="https://drive.google.com/open?id=14koaHwmYqQa62dl1HdQ__hxOaLp_8u_o" TargetMode="External"/><Relationship Id="rId81" Type="http://schemas.openxmlformats.org/officeDocument/2006/relationships/hyperlink" Target="https://drive.google.com/open?id=1_7vrffMJXSgF8zGgZfU1xFbWEjK2zroZ" TargetMode="External"/><Relationship Id="rId701"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Arpanalekhya%20Jana&amp;entry.2053410063=2026-06-18&amp;entry.954149285=a" TargetMode="External"/><Relationship Id="rId943"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7-17&amp;entry.954149285=add%20issue%20date" TargetMode="External"/><Relationship Id="rId700" Type="http://schemas.openxmlformats.org/officeDocument/2006/relationships/hyperlink" Target="https://drive.google.com/open?id=1F9YcM-LJn1jX41snpoFi1zrS-DRhcPom" TargetMode="External"/><Relationship Id="rId942" Type="http://schemas.openxmlformats.org/officeDocument/2006/relationships/hyperlink" Target="https://drive.google.com/open?id=1EnoYTHSOeEsbcXhE7VCGKEHPBlB7PByR" TargetMode="External"/><Relationship Id="rId941"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rishnendu%20maity&amp;entry.2053410063=2026-07-16&amp;entry.954149285=TRS_REPORT%20blank%20generate." TargetMode="External"/><Relationship Id="rId940" Type="http://schemas.openxmlformats.org/officeDocument/2006/relationships/hyperlink" Target="https://drive.google.com/open?id=1hA0Uy4xKKGoHNBhoGOZjZGts0Ee7wq2o" TargetMode="External"/><Relationship Id="rId705"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heamnt%20uniyal&amp;entry.2053410063=2026-06-19&amp;entry.954149285=pelas%20elook%20into%20thsi" TargetMode="External"/><Relationship Id="rId947"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tapas%20mazumdar&amp;entry.2053410063=2026-07-17&amp;entry.954149285=" TargetMode="External"/><Relationship Id="rId704" Type="http://schemas.openxmlformats.org/officeDocument/2006/relationships/hyperlink" Target="https://drive.google.com/open?id=1TlzsS50idxn23X7llM-KKBKPMktU0uXU" TargetMode="External"/><Relationship Id="rId946" Type="http://schemas.openxmlformats.org/officeDocument/2006/relationships/hyperlink" Target="https://drive.google.com/open?id=1U6Oa_UWM4KBKnZV-gMeI8tlP5zqzdNGP" TargetMode="External"/><Relationship Id="rId703"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aghvendra%20jha&amp;entry.2053410063=2026-06-18&amp;entry.954149285=Attandance%20Sheet%20&amp;%20roll%20list%20blank%202sem%20-2025-2027" TargetMode="External"/><Relationship Id="rId945"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7-17&amp;entry.954149285=KINDLY%20CHANGE%20THE%20STUDENT%20HINDI%20NAME%20DATA%20SOURCE" TargetMode="External"/><Relationship Id="rId702" Type="http://schemas.openxmlformats.org/officeDocument/2006/relationships/hyperlink" Target="https://drive.google.com/open?id=1SJN43c-z0S5bpJGmP5DXm7mmQkZz95xE" TargetMode="External"/><Relationship Id="rId944" Type="http://schemas.openxmlformats.org/officeDocument/2006/relationships/hyperlink" Target="https://drive.google.com/open?id=1u6VEI3jiktx3UcnXirsTxW3XyWKsDofa" TargetMode="External"/><Relationship Id="rId73"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Somen%20parui&amp;entry.2053410063=2026-03-12&amp;entry.954149285=Discu%20s%20with%20rup" TargetMode="External"/><Relationship Id="rId72" Type="http://schemas.openxmlformats.org/officeDocument/2006/relationships/hyperlink" Target="https://drive.google.com/open?id=1i7GU4WPlvNfFvimjcNgS-h0p9hHqXHdt" TargetMode="External"/><Relationship Id="rId75" Type="http://schemas.openxmlformats.org/officeDocument/2006/relationships/hyperlink" Target="https://drive.google.com/open?id=1cL0Qv7EhJd7V1zoBXG0DsxUlzQqBaL9x" TargetMode="External"/><Relationship Id="rId74" Type="http://schemas.openxmlformats.org/officeDocument/2006/relationships/hyperlink" Target="https://drive.google.com/open?id=189EyqeomMlJ0q6j0VurZrBMYNmS_-KaA" TargetMode="External"/><Relationship Id="rId77" Type="http://schemas.openxmlformats.org/officeDocument/2006/relationships/hyperlink" Target="https://drive.google.com/open?id=1veGKbscRXN4SgdfDK6foyrljxmze4Gp7" TargetMode="External"/><Relationship Id="rId76"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AMIT%20KUMAR%20YADU&amp;entry.2053410063=2026-03-12&amp;entry.954149285=LLB%206TH%20TR'S%20ATKT%20ATTEMPT%20NOT%20SHOWING" TargetMode="External"/><Relationship Id="rId79" Type="http://schemas.openxmlformats.org/officeDocument/2006/relationships/hyperlink" Target="https://drive.google.com/open?id=1-6jr6KEVCyMAp29mgEVAPRX-cd2KgDPy" TargetMode="External"/><Relationship Id="rId78"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ohit%20Singh&amp;entry.2053410063=2026-03-13&amp;entry.954149285=please%20do%20this" TargetMode="External"/><Relationship Id="rId939"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rishnendu%20maity&amp;entry.2053410063=2026-07-16&amp;entry.954149285=GRADE_CARD%20blank%20generate." TargetMode="External"/><Relationship Id="rId938" Type="http://schemas.openxmlformats.org/officeDocument/2006/relationships/hyperlink" Target="https://drive.google.com/open?id=1gOfoB7_z5dzlCgT3_ZXjJWYBUbhKSbPD" TargetMode="External"/><Relationship Id="rId937"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7-16&amp;entry.954149285=KINDLY%20CORRECTION" TargetMode="External"/><Relationship Id="rId71"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VIRENDRA%20KUMAR&amp;entry.2053410063=2026-03-12&amp;entry.954149285=OBTAINED%20MARKS%20IS%20GREATER%20THAN%20MAXIMUM%20MARKS." TargetMode="External"/><Relationship Id="rId70" Type="http://schemas.openxmlformats.org/officeDocument/2006/relationships/hyperlink" Target="https://drive.google.com/open?id=1D4G-gIvzOLKH3C1DnEpFatRM3Vnvkcx5" TargetMode="External"/><Relationship Id="rId932" Type="http://schemas.openxmlformats.org/officeDocument/2006/relationships/hyperlink" Target="https://drive.google.com/open?id=15rlNHiJPlSt9Jzi6i8mVIa-ihu94z0fS" TargetMode="External"/><Relationship Id="rId931"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Satish%20kumar&amp;entry.2053410063=2026-07-16&amp;entry.954149285=TR%20correction" TargetMode="External"/><Relationship Id="rId930" Type="http://schemas.openxmlformats.org/officeDocument/2006/relationships/hyperlink" Target="https://drive.google.com/open?id=1ZZglhZm7zHo4mNYZNuNYyVPnJYVjyLvi" TargetMode="External"/><Relationship Id="rId936" Type="http://schemas.openxmlformats.org/officeDocument/2006/relationships/hyperlink" Target="https://drive.google.com/open?id=1o9uMGDFqFz2OySDt06aPov64FJ4joVgF" TargetMode="External"/><Relationship Id="rId935"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Ujjal%20das&amp;entry.2053410063=2026-07-16&amp;entry.954149285=Shastri%20Semester%20marksheet%20Correction" TargetMode="External"/><Relationship Id="rId934" Type="http://schemas.openxmlformats.org/officeDocument/2006/relationships/hyperlink" Target="https://drive.google.com/open?id=15ciX_ruRP2lxcFpuqN9HVqwPh9JFWqPm" TargetMode="External"/><Relationship Id="rId933"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Ujjal%20das&amp;entry.2053410063=2026-07-16&amp;entry.954149285=Upshastri%20Controller%20%20signature%20change" TargetMode="External"/><Relationship Id="rId62" Type="http://schemas.openxmlformats.org/officeDocument/2006/relationships/hyperlink" Target="https://drive.google.com/open?id=1Y8MEkSA6nNUW13nJCphy4DUI0faqn9-p" TargetMode="External"/><Relationship Id="rId61"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haleshwar&amp;entry.2053410063=2026-03-12&amp;entry.954149285=%20chnage%20the%20filter%20all%20and%20add%20collge%20wise" TargetMode="External"/><Relationship Id="rId64" Type="http://schemas.openxmlformats.org/officeDocument/2006/relationships/hyperlink" Target="https://drive.google.com/open?id=1XzNltjJcfAhjTv0H4wP6VF3DasqQN7QS" TargetMode="External"/><Relationship Id="rId63"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haleshwar&amp;entry.2053410063=2026-03-12&amp;entry.954149285=Plsae%20add%20the%20new%20collum%20in%20these%20exel%20BTACH" TargetMode="External"/><Relationship Id="rId66" Type="http://schemas.openxmlformats.org/officeDocument/2006/relationships/hyperlink" Target="https://drive.google.com/open?id=1dTVgOvo2Ge5U3Ia2kZCUTap2iAe7gSvv" TargetMode="External"/><Relationship Id="rId65"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chintu%20singh&amp;entry.2053410063=2026-03-12&amp;entry.954149285=Award%20Sheet%20(Internal%20Assessment)%20Not%20Downloading%20M.Ed.%201st%20&amp;%203rd%20Semester%20Session%202025-%2026" TargetMode="External"/><Relationship Id="rId68"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3-12&amp;entry.954149285=PLEASE%20UPDATE%20DIVISION%20FROM%20PASSOUTDATA%20TABLE" TargetMode="External"/><Relationship Id="rId67" Type="http://schemas.openxmlformats.org/officeDocument/2006/relationships/hyperlink" Target="https://drive.google.com/open?id=1buZH2sqopta4MkdCydsD9j0qIxs8Luyr" TargetMode="External"/><Relationship Id="rId729"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Somen%20parui&amp;entry.2053410063=2026-06-23&amp;entry.954149285=discuss%20with%20rup" TargetMode="External"/><Relationship Id="rId728" Type="http://schemas.openxmlformats.org/officeDocument/2006/relationships/hyperlink" Target="https://drive.google.com/open?id=11vAOSnUY80oKEUaby4nMPUxqNEK_mAI1" TargetMode="External"/><Relationship Id="rId60" Type="http://schemas.openxmlformats.org/officeDocument/2006/relationships/hyperlink" Target="https://drive.google.com/open?id=1WfHtC_Q4_PAjysD5RQMDkZoVEvV1LE7_" TargetMode="External"/><Relationship Id="rId723"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TUSAR%20CHHATUI&amp;entry.2053410063=2026-06-22&amp;entry.954149285=CALL%20ME" TargetMode="External"/><Relationship Id="rId965"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rishnendu%20maity&amp;entry.2053410063=2026-07-20&amp;entry.954149285=mar%20report%20blank%20download%20(this%20report%20download%20any%20time%20if%20college%20required%20%20)" TargetMode="External"/><Relationship Id="rId722" Type="http://schemas.openxmlformats.org/officeDocument/2006/relationships/hyperlink" Target="https://drive.google.com/open?id=1tpg2lmlNVLCKAQvC5vIL6FOz0l8KgjLg" TargetMode="External"/><Relationship Id="rId964" Type="http://schemas.openxmlformats.org/officeDocument/2006/relationships/hyperlink" Target="https://drive.google.com/open?id=1FAwEDnDFBu6ew32BhttIuDNzqlkfUI_f" TargetMode="External"/><Relationship Id="rId721"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TUSAR%20CHHATUI&amp;entry.2053410063=2026-06-22&amp;entry.954149285=NA" TargetMode="External"/><Relationship Id="rId963"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ANIL%20KUMAR%20YADAV&amp;entry.2053410063=2026-07-20&amp;entry.954149285=Please%20Process" TargetMode="External"/><Relationship Id="rId720" Type="http://schemas.openxmlformats.org/officeDocument/2006/relationships/hyperlink" Target="https://drive.google.com/open?id=1-ZMQWEGu-V0bWuBiVWWkpcWPs_kVIimO" TargetMode="External"/><Relationship Id="rId962" Type="http://schemas.openxmlformats.org/officeDocument/2006/relationships/hyperlink" Target="https://drive.google.com/open?id=1h7eyWxy3Y8ffmi5hg9VeDVTO3xpla_uW" TargetMode="External"/><Relationship Id="rId727"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AMINI%20THAKUR&amp;entry.2053410063=2026-06-22&amp;entry.954149285=BE%2008%20SEM%20WA%20MARKSHEET%20NIKAL%20RHA" TargetMode="External"/><Relationship Id="rId969"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Satish%20Kumar&amp;entry.2053410063=2026-07-21&amp;entry.954149285=Annual%20marks%20correction%20for%20regular%20student" TargetMode="External"/><Relationship Id="rId726" Type="http://schemas.openxmlformats.org/officeDocument/2006/relationships/hyperlink" Target="https://drive.google.com/open?id=1mF-2HUpI-ut64EDk5ciIoAUSDw7VK22o" TargetMode="External"/><Relationship Id="rId968" Type="http://schemas.openxmlformats.org/officeDocument/2006/relationships/hyperlink" Target="https://drive.google.com/open?id=13DJAem2dWkmI4KtsssK8whGOhKZpnVvL" TargetMode="External"/><Relationship Id="rId725"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Geetu%20verma&amp;entry.2053410063=2026-06-22&amp;entry.954149285=evaluation%20report%20anna." TargetMode="External"/><Relationship Id="rId967"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Satish%20Kumar&amp;entry.2053410063=2026-07-21&amp;entry.954149285=TR%20Correction%20for%20pre%20process" TargetMode="External"/><Relationship Id="rId724" Type="http://schemas.openxmlformats.org/officeDocument/2006/relationships/hyperlink" Target="https://drive.google.com/open?id=1jVE3fxj42R2Jab80VmVeWm30TrJIzL6B" TargetMode="External"/><Relationship Id="rId966" Type="http://schemas.openxmlformats.org/officeDocument/2006/relationships/hyperlink" Target="https://drive.google.com/open?id=1vCic8k0_raReODA9pTHBf9-Xa7GNRMIJ" TargetMode="External"/><Relationship Id="rId69" Type="http://schemas.openxmlformats.org/officeDocument/2006/relationships/hyperlink" Target="https://drive.google.com/open?id=1ajtRYS6Jd9HRJbuxCkKy5GGlu7Ts3RTW" TargetMode="External"/><Relationship Id="rId961"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Ujjal%20das&amp;entry.2053410063=2026-07-18&amp;entry.954149285=TR%20pdf%20to%20excel%20conver" TargetMode="External"/><Relationship Id="rId960" Type="http://schemas.openxmlformats.org/officeDocument/2006/relationships/hyperlink" Target="https://drive.google.com/open?id=1cIwfax3sfHCjZIcL224-N4JEbLLOyPIU" TargetMode="External"/><Relationship Id="rId51"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Somen%20parui&amp;entry.2053410063=2026-03-10&amp;entry.954149285=discuss%20with%20rup" TargetMode="External"/><Relationship Id="rId50" Type="http://schemas.openxmlformats.org/officeDocument/2006/relationships/hyperlink" Target="https://drive.google.com/open?id=1tLUZlvAhMzVIoEjuJTxG8SW39MfeB9qN" TargetMode="External"/><Relationship Id="rId53"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Ujjal%20das&amp;entry.2053410063=2026-03-11&amp;entry.954149285=TR%20not%20download" TargetMode="External"/><Relationship Id="rId52" Type="http://schemas.openxmlformats.org/officeDocument/2006/relationships/hyperlink" Target="https://drive.google.com/open?id=1tTlI48zeE6apcAG3ezeECElMTFARrLEE" TargetMode="External"/><Relationship Id="rId55"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haleshwar&amp;entry.2053410063=2026-03-12&amp;entry.954149285=CBCS%20TR%20chnage%20the%20filter%20all%20and%20add%20collge%20wise" TargetMode="External"/><Relationship Id="rId54" Type="http://schemas.openxmlformats.org/officeDocument/2006/relationships/hyperlink" Target="https://drive.google.com/open?id=1JT8GKwXxYmlulArzMkxreZFRkxi8pkh7" TargetMode="External"/><Relationship Id="rId57"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haleshwar&amp;entry.2053410063=2026-03-12&amp;entry.954149285=chnage%20the%20filter%20all%20and%20add%20collge%20wise" TargetMode="External"/><Relationship Id="rId56" Type="http://schemas.openxmlformats.org/officeDocument/2006/relationships/hyperlink" Target="https://drive.google.com/open?id=1OxKOYLqkTjPCGNz6ii-WWZ79g-N2yjad" TargetMode="External"/><Relationship Id="rId719"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Purna%20Kumar%20&amp;entry.2053410063=2026-06-20&amp;entry.954149285=NEP%20OLG%20DIGI%20LOCKER%20-%20CORRECTION%20%20STUDENTS%20ACADEMIC%20DATA" TargetMode="External"/><Relationship Id="rId718" Type="http://schemas.openxmlformats.org/officeDocument/2006/relationships/hyperlink" Target="https://drive.google.com/open?id=1pTisrP9SNOKJvcPKenOYNa_XocewesU2" TargetMode="External"/><Relationship Id="rId717"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Purrna%20Kumar%20&amp;entry.2053410063=2026-06-20&amp;entry.954149285=NEP%20DIGI%20LOCKER%20-%20ADMISSION%20YEAR%20CORRECTION" TargetMode="External"/><Relationship Id="rId959"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ajesh%20Gupta&amp;entry.2053410063=2026-07-18&amp;entry.954149285=Please%20find%20the%20attached%20below%20some%20changes%20required%20under%20D.%20Pharm.%202nd%20year%20TR%2014." TargetMode="External"/><Relationship Id="rId712" Type="http://schemas.openxmlformats.org/officeDocument/2006/relationships/hyperlink" Target="https://drive.google.com/open?id=19C-v99PIATZRyp6GsJohh8TlitDx1abs" TargetMode="External"/><Relationship Id="rId954" Type="http://schemas.openxmlformats.org/officeDocument/2006/relationships/hyperlink" Target="https://drive.google.com/open?id=1yb_pwCFFyZceE9EUy_yQGtDBf9TOJ2Wy" TargetMode="External"/><Relationship Id="rId711"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Nayan%20Debnath&amp;entry.2053410063=2026-06-20&amp;entry.954149285=%E2%9C%94%EF%B8%8F" TargetMode="External"/><Relationship Id="rId953"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tapas%20mazumdar&amp;entry.2053410063=2026-07-17&amp;entry.954149285=" TargetMode="External"/><Relationship Id="rId710" Type="http://schemas.openxmlformats.org/officeDocument/2006/relationships/hyperlink" Target="https://drive.google.com/open?id=1FQcs-o3Qs6B4rHln462h2zRp7TuXcfOC" TargetMode="External"/><Relationship Id="rId952" Type="http://schemas.openxmlformats.org/officeDocument/2006/relationships/hyperlink" Target="https://drive.google.com/open?id=1OAwz25teWMAPsYwKTs-EkncdciA95_7c" TargetMode="External"/><Relationship Id="rId951"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tapas%20mazumdar&amp;entry.2053410063=2026-07-17&amp;entry.954149285=" TargetMode="External"/><Relationship Id="rId716" Type="http://schemas.openxmlformats.org/officeDocument/2006/relationships/hyperlink" Target="https://drive.google.com/open?id=1pkOZcc16TAVGbuRSQ7a2PGjmWrJzlR59" TargetMode="External"/><Relationship Id="rId958" Type="http://schemas.openxmlformats.org/officeDocument/2006/relationships/hyperlink" Target="https://drive.google.com/open?id=1qR8MESB1iVrXT7fyXnEjxO3ue62GaSaN" TargetMode="External"/><Relationship Id="rId715"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Purna%20Kumar%20&amp;entry.2053410063=2026-06-20&amp;entry.954149285=NEP%20DIGI%20LOCKER%20-%20SESSSION%20CORRECTION%20AS%20PER%20GIVEN%20DATA" TargetMode="External"/><Relationship Id="rId957"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haleshwar&amp;entry.2053410063=2026-07-18&amp;entry.954149285=ad" TargetMode="External"/><Relationship Id="rId714" Type="http://schemas.openxmlformats.org/officeDocument/2006/relationships/hyperlink" Target="https://drive.google.com/open?id=1l5e3jpYHoH6AUpbSDkUFY_zR4dPZjpRe" TargetMode="External"/><Relationship Id="rId956" Type="http://schemas.openxmlformats.org/officeDocument/2006/relationships/hyperlink" Target="https://drive.google.com/open?id=1oQanshAXjrTuEqUIZtob4Vg8P01kxE5x" TargetMode="External"/><Relationship Id="rId713"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Geetu%20verma&amp;entry.2053410063=2026-06-20&amp;entry.954149285=Evaluation%20report%20anna%20add%20title." TargetMode="External"/><Relationship Id="rId955"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ajesh%20Gupta&amp;entry.2053410063=2026-07-18&amp;entry.954149285=Please%20check%20the%20MBBS%201st%20year%20admit%20card%20show%20only%20schedule%20exam%20paper%20data" TargetMode="External"/><Relationship Id="rId59"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haleshwar&amp;entry.2053410063=2026-03-12&amp;entry.954149285=chnage%20the%20filter%20all%20and%20add%20collge%20wise" TargetMode="External"/><Relationship Id="rId58" Type="http://schemas.openxmlformats.org/officeDocument/2006/relationships/hyperlink" Target="https://drive.google.com/open?id=1sM8I913yQcZCfTD53z338uYsIlAKxQ6g" TargetMode="External"/><Relationship Id="rId950" Type="http://schemas.openxmlformats.org/officeDocument/2006/relationships/hyperlink" Target="https://drive.google.com/open?id=16kkyCGFRNp5SPvUuCTe8TopUN5Aj8dWa" TargetMode="External"/><Relationship Id="rId590"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AJIV%20SIRSAT&amp;entry.2053410063=2026-05-29&amp;entry.954149285=ADD%20COURSCD%20COLUMN%20AT%20NO%207%20FROM%20LAST" TargetMode="External"/><Relationship Id="rId107" Type="http://schemas.openxmlformats.org/officeDocument/2006/relationships/hyperlink" Target="https://drive.google.com/open?id=1AwY39NOsVXDX2UX8i7o7dg3TcOJbFWrU" TargetMode="External"/><Relationship Id="rId349" Type="http://schemas.openxmlformats.org/officeDocument/2006/relationships/hyperlink" Target="https://drive.google.com/open?id=1L-jWEo1CBXLImWutQwUNK0PfK_fSg8MB" TargetMode="External"/><Relationship Id="rId106"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amp;entry.2053410063=2026-03-17&amp;entry.954149285=KINDLY%20CORRECT%20FOR%20LATERAL%20STUDENTS%20GRADE%20CARD" TargetMode="External"/><Relationship Id="rId348"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ohit%20Singh&amp;entry.2053410063=2026-04-23&amp;entry.954149285=please%20do%20as%20per%20discussion" TargetMode="External"/><Relationship Id="rId105" Type="http://schemas.openxmlformats.org/officeDocument/2006/relationships/hyperlink" Target="https://drive.google.com/open?id=1_dIO_18tSao841gwAYAs1rP6GCS4jtAz" TargetMode="External"/><Relationship Id="rId347" Type="http://schemas.openxmlformats.org/officeDocument/2006/relationships/hyperlink" Target="https://drive.google.com/open?id=1mLr7RxWLrpzfMBH85GBmeI7oNbbe_8ep" TargetMode="External"/><Relationship Id="rId589" Type="http://schemas.openxmlformats.org/officeDocument/2006/relationships/hyperlink" Target="https://drive.google.com/open?id=1K_pYwJX-6nQO_XfvGod9UzImkFolQYRf" TargetMode="External"/><Relationship Id="rId104"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HARSHIT%20KUMAR&amp;entry.2053410063=2026-03-17&amp;entry.954149285=DO%20THE%20CORRECTION%20AS%20PER%20ATTACHMENT" TargetMode="External"/><Relationship Id="rId346"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TAPAS%20MAZUMDAR&amp;entry.2053410063=2026-04-21&amp;entry.954149285=" TargetMode="External"/><Relationship Id="rId588"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hemant%20uniyal&amp;entry.2053410063=2026-05-29&amp;entry.954149285=PLEASE%20LOOK%20INTO%20THIS" TargetMode="External"/><Relationship Id="rId109"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HARSHIT%20KUMAR&amp;entry.2053410063=2026-03-17&amp;entry.954149285=DO%20THE%20CORRECTION%20AS%20PER%20ATTACHMENT" TargetMode="External"/><Relationship Id="rId108" Type="http://schemas.openxmlformats.org/officeDocument/2006/relationships/hyperlink" Target="https://drive.google.com/open?id=1Lz7cw0TXd78Vsq5dRaAytAaevdwCUMa0" TargetMode="External"/><Relationship Id="rId341" Type="http://schemas.openxmlformats.org/officeDocument/2006/relationships/hyperlink" Target="https://drive.google.com/open?id=1MJ1e0wrYX4BH0NUu24tu6Dl_YmtXAJjq" TargetMode="External"/><Relationship Id="rId583"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Tusar%20Chhatui&amp;entry.2053410063=2026-05-28&amp;entry.954149285=STUDENTS%20MARKS%20MISSING." TargetMode="External"/><Relationship Id="rId340"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ajesh%20Gupta&amp;entry.2053410063=2026-04-20&amp;entry.954149285=Please%20check%20and%20set%20report%20format" TargetMode="External"/><Relationship Id="rId582" Type="http://schemas.openxmlformats.org/officeDocument/2006/relationships/hyperlink" Target="https://drive.google.com/open?id=18-Fmj7QPQP-DHsutkEo48JqPVTrBAXcL" TargetMode="External"/><Relationship Id="rId581"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rishnendu%20maity&amp;entry.2053410063=2026-05-28&amp;entry.954149285=textual%20change%20in%20report%20file." TargetMode="External"/><Relationship Id="rId580" Type="http://schemas.openxmlformats.org/officeDocument/2006/relationships/hyperlink" Target="https://drive.google.com/open?id=1YJmYQNx908UWUESPdTq-XtNFYRuMjlbH" TargetMode="External"/><Relationship Id="rId103" Type="http://schemas.openxmlformats.org/officeDocument/2006/relationships/hyperlink" Target="https://drive.google.com/open?id=1NLsTytIZnOD--ivsXwaEAA7uFJj_iD2A" TargetMode="External"/><Relationship Id="rId345" Type="http://schemas.openxmlformats.org/officeDocument/2006/relationships/hyperlink" Target="https://drive.google.com/open?id=1NYd9ozuPNyrk87Mdb88bMS7m2KtCIXtQ" TargetMode="External"/><Relationship Id="rId587" Type="http://schemas.openxmlformats.org/officeDocument/2006/relationships/hyperlink" Target="https://drive.google.com/open?id=13RJVZZgVZhM9gamEazlWMo9HIljTTFWh" TargetMode="External"/><Relationship Id="rId102" Type="http://schemas.openxmlformats.org/officeDocument/2006/relationships/hyperlink" Target="https://drive.google.com/open?id=1tQy4pNXyYEICLyFWdaRLjX13uiThwbCQ" TargetMode="External"/><Relationship Id="rId344"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Some%20parui&amp;entry.2053410063=2026-04-20&amp;entry.954149285=Discuss%20with%20Rup" TargetMode="External"/><Relationship Id="rId586"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AMIT%20YADU&amp;entry.2053410063=2026-05-29&amp;entry.954149285=NON-COLLEGIATE%20KI%20JAGAH%20NON%20LIKHKAR%20AA%20RAHA%20B.A.%201ST%20SEM%20NEP%20ME." TargetMode="External"/><Relationship Id="rId101"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ajesh%20Gupta&amp;entry.2053410063=2026-03-16&amp;entry.954149285=Please%20check%20and%20resolve%20as%20soon%20as" TargetMode="External"/><Relationship Id="rId343" Type="http://schemas.openxmlformats.org/officeDocument/2006/relationships/hyperlink" Target="https://drive.google.com/open?id=1vV9yDwJqEToMFh4OJCgLP1zFislzonEz" TargetMode="External"/><Relationship Id="rId585" Type="http://schemas.openxmlformats.org/officeDocument/2006/relationships/hyperlink" Target="https://drive.google.com/open?id=1YtXraxtiqmBSKLkwCrOyWne3hGp77PyS" TargetMode="External"/><Relationship Id="rId100" Type="http://schemas.openxmlformats.org/officeDocument/2006/relationships/hyperlink" Target="https://drive.google.com/open?id=1Asj2gWb8j4kPtgmPND_D7hq5Fs4b_IVk" TargetMode="External"/><Relationship Id="rId342"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chintu%20singh&amp;entry.2053410063=2026-04-20&amp;entry.954149285=%09RR%20Report%20Over%20All%20First%20Semester%20(%20Sem%20-%201)_SE19%20update%20on%20te%20nep%20portal" TargetMode="External"/><Relationship Id="rId584" Type="http://schemas.openxmlformats.org/officeDocument/2006/relationships/hyperlink" Target="https://drive.google.com/open?id=1N5e18Wxl_7iJj_tCEeR7Qfzdda4zB_g-" TargetMode="External"/><Relationship Id="rId338" Type="http://schemas.openxmlformats.org/officeDocument/2006/relationships/hyperlink" Target="https://drive.google.com/open?id=1QRaPM-j0vHGwBjvaSIk4szdPcxJOsTZ1" TargetMode="External"/><Relationship Id="rId337"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ajesh%20Gupta&amp;entry.2053410063=2026-04-20&amp;entry.954149285=Please%20check%20P3%20Marks%20entry%20not%20show." TargetMode="External"/><Relationship Id="rId579"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rishnendu%20maity&amp;entry.2053410063=2026-05-28&amp;entry.954149285=after%20absent/ra%20submit%20and%20lock%20this%20report%20generate." TargetMode="External"/><Relationship Id="rId336" Type="http://schemas.openxmlformats.org/officeDocument/2006/relationships/hyperlink" Target="https://drive.google.com/open?id=1E8JIjyNe7LXJTn2UWAE-Ph0Hh5zmuAgc" TargetMode="External"/><Relationship Id="rId578" Type="http://schemas.openxmlformats.org/officeDocument/2006/relationships/hyperlink" Target="https://drive.google.com/open?id=12wWd77QEpqUhUC4OTZCLK-oNKR9l6t9d" TargetMode="External"/><Relationship Id="rId335" Type="http://schemas.openxmlformats.org/officeDocument/2006/relationships/hyperlink" Target="https://drive.google.com/open?id=1WblKGC8Ul21cCWGHqlul29FYl4vxYDum" TargetMode="External"/><Relationship Id="rId577"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rishnendu%20maity&amp;entry.2053410063=2026-05-28&amp;entry.954149285=text%20add%20in%20report%20file%20in%20bold%20." TargetMode="External"/><Relationship Id="rId339" Type="http://schemas.openxmlformats.org/officeDocument/2006/relationships/hyperlink" Target="https://drive.google.com/open?id=1ti0HeJ-SUBD8cBQfluTKK-ESUIGF-iQQ" TargetMode="External"/><Relationship Id="rId330"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4-17&amp;entry.954149285=KINDLY%20CHECK%20THE%20REPORT" TargetMode="External"/><Relationship Id="rId572" Type="http://schemas.openxmlformats.org/officeDocument/2006/relationships/hyperlink" Target="https://drive.google.com/open?id=1IiIIwAMGhevMCmDFpCmfDIiHvVCofFY3" TargetMode="External"/><Relationship Id="rId571"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Satish%20Kumar&amp;entry.2053410063=2026-05-28&amp;entry.954149285=please%20update%20,%20duplicte%20report%20display%20in%20the%20seating%20plan%20report" TargetMode="External"/><Relationship Id="rId570" Type="http://schemas.openxmlformats.org/officeDocument/2006/relationships/hyperlink" Target="https://drive.google.com/open?id=1CyFg_JyTSqNbguER8KaM6B_TieMgchy8" TargetMode="External"/><Relationship Id="rId334"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AMIT%20YADU&amp;entry.2053410063=2026-04-17&amp;entry.954149285=New%20logo%20updation%20in%20all%20reports%20at%20NON-NEP%20courses" TargetMode="External"/><Relationship Id="rId576" Type="http://schemas.openxmlformats.org/officeDocument/2006/relationships/hyperlink" Target="https://drive.google.com/open?id=1PML7UNtJMg8gAHErpFAq9-VDeNIzgkE2" TargetMode="External"/><Relationship Id="rId333" Type="http://schemas.openxmlformats.org/officeDocument/2006/relationships/hyperlink" Target="https://drive.google.com/open?id=1Sj6_FivZiK1CLkP5T3vAloQlGEgTjBWe" TargetMode="External"/><Relationship Id="rId575"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ohit%20Singh&amp;entry.2053410063=2026-05-28&amp;entry.954149285=please%20do%20as%20per%20communication" TargetMode="External"/><Relationship Id="rId332"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AMIT%20YADU&amp;entry.2053410063=2026-04-17&amp;entry.954149285=New%20logo%20updation%20in%20all%20reports%20at%20NEP%20all%20courses" TargetMode="External"/><Relationship Id="rId574" Type="http://schemas.openxmlformats.org/officeDocument/2006/relationships/hyperlink" Target="https://drive.google.com/open?id=1wdGVzZj9tg_nYsvLWH-nOdQMnxjKko1E" TargetMode="External"/><Relationship Id="rId331" Type="http://schemas.openxmlformats.org/officeDocument/2006/relationships/hyperlink" Target="https://drive.google.com/open?id=1jAY_nm8aicDIvMvgNc1a5uNbW4lvCriX" TargetMode="External"/><Relationship Id="rId573"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Satish%20Kumar&amp;entry.2053410063=2026-05-28&amp;entry.954149285=please%20update%20double%20record%20display%20in%20the%20admit%20card" TargetMode="External"/><Relationship Id="rId370" Type="http://schemas.openxmlformats.org/officeDocument/2006/relationships/hyperlink" Target="https://drive.google.com/open?id=1wXSEmDOL63HOZsJFoXjFZQ_f-7Y0YKoO" TargetMode="External"/><Relationship Id="rId129"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BISWAJIT%20MAJHI&amp;entry.2053410063=2026-03-20&amp;entry.954149285=please%20%20look%20in%20the%20matter" TargetMode="External"/><Relationship Id="rId128" Type="http://schemas.openxmlformats.org/officeDocument/2006/relationships/hyperlink" Target="https://drive.google.com/open?id=1i0vNspNmvEi67KWnB47YBJTyx7SS-Kx9" TargetMode="External"/><Relationship Id="rId127" Type="http://schemas.openxmlformats.org/officeDocument/2006/relationships/hyperlink" Target="https://drive.google.com/open?id=1L5Nu2khWeBG7JNsWqW8GdWv7e8TRPoxZ" TargetMode="External"/><Relationship Id="rId369"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AMIT%20KUMAR%20YADU&amp;entry.2053410063=2026-04-24&amp;entry.954149285=IS%20PATH%20ME%20ROLL%20WISE%20TR%20CHAIYE..." TargetMode="External"/><Relationship Id="rId126"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AMIT%20YADU&amp;entry.2053410063=2026-03-20&amp;entry.954149285=OTHER%20SESSION%20ENROLLED%20STUDENT%20ALSO%20COMING%20IN%20CURRENT%20SESSION." TargetMode="External"/><Relationship Id="rId368" Type="http://schemas.openxmlformats.org/officeDocument/2006/relationships/hyperlink" Target="https://drive.google.com/open?id=1q95WLD2flcvjaxmuScQFrlK9g8saaKqj" TargetMode="External"/><Relationship Id="rId121"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haleshwar&amp;entry.2053410063=2026-03-19&amp;entry.954149285=a" TargetMode="External"/><Relationship Id="rId363" Type="http://schemas.openxmlformats.org/officeDocument/2006/relationships/hyperlink" Target="https://drive.google.com/open?id=1NteFeBqdLshsl1HhaZbhigP5BZp_DyCt" TargetMode="External"/><Relationship Id="rId120" Type="http://schemas.openxmlformats.org/officeDocument/2006/relationships/hyperlink" Target="https://drive.google.com/open?id=1VJ1aE-S3XEpfX827h5A8o7_M7jD4Gyyw" TargetMode="External"/><Relationship Id="rId362"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haleshwar&amp;entry.2053410063=2026-04-24&amp;entry.954149285=plaese%20check%20argent" TargetMode="External"/><Relationship Id="rId361" Type="http://schemas.openxmlformats.org/officeDocument/2006/relationships/hyperlink" Target="https://drive.google.com/open?id=1RRSpY7YIk-dFWQ1IMsxCoj8u5VbIHKA0" TargetMode="External"/><Relationship Id="rId360"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akesh%20kumar&amp;entry.2053410063=2026-04-23&amp;entry.954149285=The%20'Student%20Type'%20dropdown%20needs%20a%20'Combine'%20option." TargetMode="External"/><Relationship Id="rId125" Type="http://schemas.openxmlformats.org/officeDocument/2006/relationships/hyperlink" Target="https://drive.google.com/open?id=1gRBjwQ3LYw5yKFduzavnVpU8zlNkO18p" TargetMode="External"/><Relationship Id="rId367"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AMIT%20KUMAR%20YADU&amp;entry.2053410063=2026-04-24&amp;entry.954149285=BBA/LLB%20COMBINE%20TR%20ME%20ROLL%20NO.%20WISE%20TR%20KA%20OPTION%20CHAIYE." TargetMode="External"/><Relationship Id="rId124" Type="http://schemas.openxmlformats.org/officeDocument/2006/relationships/hyperlink" Target="https://drive.google.com/open?id=1HvYNsI7N5FFbhs5OXLrZUIxgCO7Tuq7T" TargetMode="External"/><Relationship Id="rId366" Type="http://schemas.openxmlformats.org/officeDocument/2006/relationships/hyperlink" Target="https://drive.google.com/open?id=1ghPVcm1UWsC5dL5ZkEyOElXBD3krtkDp" TargetMode="External"/><Relationship Id="rId123"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AMINI%20THAKUR&amp;entry.2053410063=2026-03-19&amp;entry.954149285=MSC%20MARKSHEET%20CREDIT%20CORRECTION" TargetMode="External"/><Relationship Id="rId365"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AMIT%20KUMAR%20YADU&amp;entry.2053410063=2026-04-24&amp;entry.954149285=NEP%20TR%20STATUS%20NAHI%20AA%20RAHA%20THA" TargetMode="External"/><Relationship Id="rId122" Type="http://schemas.openxmlformats.org/officeDocument/2006/relationships/hyperlink" Target="https://drive.google.com/open?id=12fdYzHs-lrrC0IfsmioSfG42sDdYPwyt" TargetMode="External"/><Relationship Id="rId364" Type="http://schemas.openxmlformats.org/officeDocument/2006/relationships/hyperlink" Target="https://drive.google.com/open?id=1wxb7vYlzsvK5TLyeHDHPmbjfznGD6c00" TargetMode="External"/><Relationship Id="rId95" Type="http://schemas.openxmlformats.org/officeDocument/2006/relationships/hyperlink" Target="https://drive.google.com/open?id=1bdZZHtL1zFp13WPWhMQfxJzoSWj1eSd1" TargetMode="External"/><Relationship Id="rId94"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haleshwar&amp;entry.2053410063=2026-03-14&amp;entry.954149285=d" TargetMode="External"/><Relationship Id="rId97" Type="http://schemas.openxmlformats.org/officeDocument/2006/relationships/hyperlink" Target="https://drive.google.com/open?id=1sHBStsM1OF5GZapUAEp8I6WhPPQtqXP2" TargetMode="External"/><Relationship Id="rId96"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haleshwar&amp;entry.2053410063=2026-03-14&amp;entry.954149285=d" TargetMode="External"/><Relationship Id="rId99" Type="http://schemas.openxmlformats.org/officeDocument/2006/relationships/hyperlink" Target="https://drive.google.com/open?id=1n2JUadrVJkOCzXTb5JNjZXV77M5pPyr0" TargetMode="External"/><Relationship Id="rId98"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amp;entry.2053410063=2026-03-16&amp;entry.954149285=PLEASE%20UPDATE%20LATEST%20DATE%20OF%20EXAM%20TO%20COMPLETE%20COURSE" TargetMode="External"/><Relationship Id="rId91" Type="http://schemas.openxmlformats.org/officeDocument/2006/relationships/hyperlink" Target="https://drive.google.com/open?id=1ABa-MPs5surIGhGc06B5dK2sGAVYyoYD" TargetMode="External"/><Relationship Id="rId90"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ohit%20Singh&amp;entry.2053410063=2026-03-13&amp;entry.954149285=please%20do%20this" TargetMode="External"/><Relationship Id="rId93" Type="http://schemas.openxmlformats.org/officeDocument/2006/relationships/hyperlink" Target="https://drive.google.com/open?id=1U0JfpgCUwTZ-wBN_r1Ihwra9hkF0lFWY" TargetMode="External"/><Relationship Id="rId92"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chintu%20singh&amp;entry.2053410063=2026-03-14&amp;entry.954149285=Please%20provide%20the%20practical%20Data%20for%20M.Ed.%201st%20&amp;%203rd%20Semester,%20Re-appear,%20Regular,%20Mercy%20Chance," TargetMode="External"/><Relationship Id="rId118" Type="http://schemas.openxmlformats.org/officeDocument/2006/relationships/hyperlink" Target="https://drive.google.com/open?id=1o3qbQ20-wLMJKRPaVi9aSNw688_brHvO" TargetMode="External"/><Relationship Id="rId117"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sandeep%20narang&amp;entry.2053410063=2026-03-18&amp;entry.954149285=Blank%20TR%20is%20download" TargetMode="External"/><Relationship Id="rId359" Type="http://schemas.openxmlformats.org/officeDocument/2006/relationships/hyperlink" Target="https://drive.google.com/open?id=1ktNqFINNgqhCnbN9Y72uadFBWlxdC0nT" TargetMode="External"/><Relationship Id="rId116" Type="http://schemas.openxmlformats.org/officeDocument/2006/relationships/hyperlink" Target="https://drive.google.com/open?id=1sVtqyAGQ6PxDSsvG9fNWlsLDxVwa3_4g" TargetMode="External"/><Relationship Id="rId358" Type="http://schemas.openxmlformats.org/officeDocument/2006/relationships/hyperlink" Target="https://drive.google.com/open?id=1bZK9NJX-FpKrxbmtuvKneTZbQNRE_4ce" TargetMode="External"/><Relationship Id="rId115"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HARSHIT%20KUMAR&amp;entry.2053410063=2026-03-17&amp;entry.954149285=DO%20THE%20CORRECTION%20AS%20PER%20ATTACHMENT" TargetMode="External"/><Relationship Id="rId357"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chintu%20singh&amp;entry.2053410063=2026-04-23&amp;entry.954149285=BA/BCom-6th%20Sem%20Practical/Sessional%20Award%20Sheet%20Univ%20Regn.No%20Column%20is%20blank...plz%20check%20and%20resolve%20this" TargetMode="External"/><Relationship Id="rId599"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HARSHIT%20KUMAR&amp;entry.2053410063=2026-06-02&amp;entry.954149285=DO%20THE%20CORRECTION%20AS%20PER%20ATTACHMENT" TargetMode="External"/><Relationship Id="rId119"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ohitt%20Singh&amp;entry.2053410063=2026-03-19&amp;entry.954149285=TR%20Correction%20as%20per%20telephonic%20conversation" TargetMode="External"/><Relationship Id="rId110" Type="http://schemas.openxmlformats.org/officeDocument/2006/relationships/hyperlink" Target="https://drive.google.com/open?id=1BYfQt64vDe0_-yvschS7Qmg23z7vXM_m" TargetMode="External"/><Relationship Id="rId352"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tapas%20mazumdar&amp;entry.2053410063=2026-04-23&amp;entry.954149285=" TargetMode="External"/><Relationship Id="rId594"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6-01&amp;entry.954149285=Failed:%20Report%20file%20was%20not%20generated.%20Please%20check%20report%20parameters%20and%20try%20again." TargetMode="External"/><Relationship Id="rId351" Type="http://schemas.openxmlformats.org/officeDocument/2006/relationships/hyperlink" Target="https://drive.google.com/open?id=1wcTt4FJgJNX7wObCdQWpEVjfFp0oNUga" TargetMode="External"/><Relationship Id="rId593" Type="http://schemas.openxmlformats.org/officeDocument/2006/relationships/hyperlink" Target="https://drive.google.com/open?id=143TGiieKZCBopproEaL-xwOTZIq55Zy3" TargetMode="External"/><Relationship Id="rId350"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ohit%20Singh&amp;entry.2053410063=2026-04-23&amp;entry.954149285=please%20do%20as%20per%20discussion" TargetMode="External"/><Relationship Id="rId592"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Tusar%20Chhatui&amp;entry.2053410063=2026-05-29&amp;entry.954149285=report%20generated%20problem." TargetMode="External"/><Relationship Id="rId591" Type="http://schemas.openxmlformats.org/officeDocument/2006/relationships/hyperlink" Target="https://drive.google.com/open?id=1b_O6QMmj2Yy-PlgAQ7RBI6Unr92YT_ka" TargetMode="External"/><Relationship Id="rId114" Type="http://schemas.openxmlformats.org/officeDocument/2006/relationships/hyperlink" Target="https://drive.google.com/open?id=1BzZH7FZda-y55yUZm91gwoogXS-gnCCU" TargetMode="External"/><Relationship Id="rId356" Type="http://schemas.openxmlformats.org/officeDocument/2006/relationships/hyperlink" Target="https://drive.google.com/open?id=1iSXh4BR1LOs7Z-iIBe54oOdrYu-tgzuE" TargetMode="External"/><Relationship Id="rId598" Type="http://schemas.openxmlformats.org/officeDocument/2006/relationships/hyperlink" Target="https://drive.google.com/open?id=1phG9Kf-BRKlAgNWXm-Ie82QOE6PqP7T_" TargetMode="External"/><Relationship Id="rId113" Type="http://schemas.openxmlformats.org/officeDocument/2006/relationships/hyperlink" Target="https://drive.google.com/open?id=1B3-Ubst0ghJN26KXq0gs6vy0s1mbgwjm" TargetMode="External"/><Relationship Id="rId355" Type="http://schemas.openxmlformats.org/officeDocument/2006/relationships/hyperlink" Target="https://drive.google.com/open?id=14T6wIoOen5ipCVQrIqM41vgLSdGALGxe" TargetMode="External"/><Relationship Id="rId597" Type="http://schemas.openxmlformats.org/officeDocument/2006/relationships/hyperlink" Target="https://drive.google.com/open?id=1W1cXXAhTqAwDb9cDvQq3JIwqujhfigRP" TargetMode="External"/><Relationship Id="rId112"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HARSHIT%20KUMAR&amp;entry.2053410063=2026-03-17&amp;entry.954149285=DO%20THE%20CORRECTION%20AS%20PER%20ATTACHEMENT" TargetMode="External"/><Relationship Id="rId354"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tapas%20mazumdar&amp;entry.2053410063=2026-04-23&amp;entry.954149285=" TargetMode="External"/><Relationship Id="rId596"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AMINI%20THAKUR&amp;entry.2053410063=2026-06-01&amp;entry.954149285=BE%2008%20SEM%20ETC%20BRANCH%20MARKSHEET%20CORRECTION" TargetMode="External"/><Relationship Id="rId111" Type="http://schemas.openxmlformats.org/officeDocument/2006/relationships/hyperlink" Target="https://drive.google.com/open?id=1cLP41hmP3NnEWPfosdSpldBZWwZ0HvVb" TargetMode="External"/><Relationship Id="rId353" Type="http://schemas.openxmlformats.org/officeDocument/2006/relationships/hyperlink" Target="https://drive.google.com/open?id=1HNkfTlU1peXN09b_KX-2UHgZaFUZFkdH" TargetMode="External"/><Relationship Id="rId595" Type="http://schemas.openxmlformats.org/officeDocument/2006/relationships/hyperlink" Target="https://drive.google.com/open?id=1kmUnW55s4UW9HoJfIGVL_XMqIyDveJSX" TargetMode="External"/><Relationship Id="rId305"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HIRAJ%20KUMAR&amp;entry.2053410063=2026-04-09&amp;entry.954149285=Add%20B.ed%20students%20two%20extra%20feild%20that%20is%20Theory%20Total%20and%20Practical%20Total%20obtained%20(Urgent%20Need)" TargetMode="External"/><Relationship Id="rId547"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rishnendu%20maity&amp;entry.2053410063=2026-05-25&amp;entry.954149285=TR00000163%20Failed:%20Report%20file%20was%20not%20generated.%20Please%20check%20report%20parameters%20and%20try%20again.%20show%20%20grade%20card%20not%20generated." TargetMode="External"/><Relationship Id="rId789" Type="http://schemas.openxmlformats.org/officeDocument/2006/relationships/hyperlink" Target="https://drive.google.com/open?id=1YQR-Jd7SF_cHDpnliSIr4h8trSoy4etM" TargetMode="External"/><Relationship Id="rId304" Type="http://schemas.openxmlformats.org/officeDocument/2006/relationships/hyperlink" Target="https://drive.google.com/open?id=1_yFnGvQA67BbdBtfaigA7EHx8GjkDu_S" TargetMode="External"/><Relationship Id="rId546" Type="http://schemas.openxmlformats.org/officeDocument/2006/relationships/hyperlink" Target="https://drive.google.com/open?id=1TSHqfhm-qBB_wzvtB8Yx9xbKrRQN1hU3" TargetMode="External"/><Relationship Id="rId788" Type="http://schemas.openxmlformats.org/officeDocument/2006/relationships/hyperlink" Target="https://drive.google.com/open?id=1mlLoAt68YBCqdSmwbFPogC89Cfv4GCiL" TargetMode="External"/><Relationship Id="rId303"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rishnendu%20maity&amp;entry.2053410063=2026-04-09&amp;entry.954149285=TR00000115%20-%20if%20student%20fail%20in%20sessional%20then%20student%20result%20status%20X%20." TargetMode="External"/><Relationship Id="rId545"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rishnendu%20maity&amp;entry.2053410063=2026-05-25&amp;entry.954149285=MCA%20academic%20year%20%20year%20over%20lapping." TargetMode="External"/><Relationship Id="rId787"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6-29&amp;entry.954149285=ADD%20TYPE%20T%20FOR%20THEORY%20AND%20P%20FOR%20PRACTICAL" TargetMode="External"/><Relationship Id="rId302" Type="http://schemas.openxmlformats.org/officeDocument/2006/relationships/hyperlink" Target="https://drive.google.com/open?id=1uctxRS9AKRYm0u80CCUX9ZpMtVpaH-FH" TargetMode="External"/><Relationship Id="rId544" Type="http://schemas.openxmlformats.org/officeDocument/2006/relationships/hyperlink" Target="https://drive.google.com/open?id=1Lltv5lQvuz21rm_2ND0HOX3yp27dVPPk" TargetMode="External"/><Relationship Id="rId786" Type="http://schemas.openxmlformats.org/officeDocument/2006/relationships/hyperlink" Target="https://drive.google.com/open?id=1UlepkPwmqwOtJlZ7jJzNASMHV_ZP6ZIJ" TargetMode="External"/><Relationship Id="rId309" Type="http://schemas.openxmlformats.org/officeDocument/2006/relationships/hyperlink" Target="https://drive.google.com/open?id=1VtajuIhf_B7PIxyoN4baW1vbz2XKXqRz" TargetMode="External"/><Relationship Id="rId308"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akesh%20kumar&amp;entry.2053410063=2026-04-09&amp;entry.954149285=Deleted%20students%20should%20also%20appear%20and%20count%20in%20the%20TR.%20Deleted%20students%20should%20be%20shown%20with%20the%20date%20their%20results%20were%20canceled." TargetMode="External"/><Relationship Id="rId307" Type="http://schemas.openxmlformats.org/officeDocument/2006/relationships/hyperlink" Target="https://drive.google.com/open?id=1ddfYXBATvhpyo5AnXsPD0vd5OEF56XJa" TargetMode="External"/><Relationship Id="rId549"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tapas%20mazumdar&amp;entry.2053410063=2026-05-25&amp;entry.954149285=" TargetMode="External"/><Relationship Id="rId306" Type="http://schemas.openxmlformats.org/officeDocument/2006/relationships/hyperlink" Target="https://drive.google.com/open?id=1NFK0EZRgDfu453X36P8SpjZlLB3yxZnr" TargetMode="External"/><Relationship Id="rId548" Type="http://schemas.openxmlformats.org/officeDocument/2006/relationships/hyperlink" Target="https://drive.google.com/open?id=1SRHTgCypeDBCMleZkDyON0juYsMsQe3o" TargetMode="External"/><Relationship Id="rId781"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AKSHATA%20PERASPURE&amp;entry.2053410063=2026-06-27&amp;entry.954149285=WN%20fail%20&amp;%20pass%20&amp;%20wt%20ko%20%20lgana%20hai%20college%20wise%20summary%20pe%20wn%20dikhna%20chahiye" TargetMode="External"/><Relationship Id="rId780" Type="http://schemas.openxmlformats.org/officeDocument/2006/relationships/hyperlink" Target="https://drive.google.com/open?id=14MipvmBdCRLnVZLxjnduP-UMnDJXJPM3" TargetMode="External"/><Relationship Id="rId301"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BISWAJIT%20MAJHI&amp;entry.2053410063=2026-04-08&amp;entry.954149285=SUMMARY%20%20FONT%20CHENGE" TargetMode="External"/><Relationship Id="rId543"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aghvendra%20jha&amp;entry.2053410063=2026-05-25&amp;entry.954149285=Roll%20&amp;%20attendance%20sheet%20correction" TargetMode="External"/><Relationship Id="rId785"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Arpanalekhya%20Jana&amp;entry.2053410063=2026-06-29&amp;entry.954149285=d" TargetMode="External"/><Relationship Id="rId300" Type="http://schemas.openxmlformats.org/officeDocument/2006/relationships/hyperlink" Target="https://drive.google.com/open?id=1RenJH0Me94Dxb-U_K281FmsKOpEe5iSl" TargetMode="External"/><Relationship Id="rId542" Type="http://schemas.openxmlformats.org/officeDocument/2006/relationships/hyperlink" Target="https://drive.google.com/open?id=1Xz0wPLZLP4O8pNLUGSD5Iwv4COEs6Xea" TargetMode="External"/><Relationship Id="rId784" Type="http://schemas.openxmlformats.org/officeDocument/2006/relationships/hyperlink" Target="https://drive.google.com/open?id=1j2jaBm3ZvmqHbpaTdSI_ApnAImd6J1-i" TargetMode="External"/><Relationship Id="rId541"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5-25&amp;entry.954149285=KINDLY%20PREPARE%20AS%20PER%20CORRECTION%20IN%20SAMPLE,%20(SUBJECT%20CODE,%20CGPA,%20SATIFACTORY%20,%20DATE%20OF%20DECLARATION)" TargetMode="External"/><Relationship Id="rId783"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rishnendu%20maity&amp;entry.2053410063=2026-06-27&amp;entry.954149285=if%20student%20pass%20then%20TOT_CREDIT%20&amp;%20TOT_CREDIT_POINTS%20not%20calculation%20." TargetMode="External"/><Relationship Id="rId540" Type="http://schemas.openxmlformats.org/officeDocument/2006/relationships/hyperlink" Target="https://drive.google.com/open?id=1bBinTm8qIcT78x9KA7EK3_JL_IU-D2Mh" TargetMode="External"/><Relationship Id="rId782" Type="http://schemas.openxmlformats.org/officeDocument/2006/relationships/hyperlink" Target="https://drive.google.com/open?id=1UjH3OqP8PuUtzCXv_cA93Jy3LbuGiv-p" TargetMode="External"/><Relationship Id="rId536" Type="http://schemas.openxmlformats.org/officeDocument/2006/relationships/hyperlink" Target="https://drive.google.com/open?id=1xFUULpRMBEJOkSsm33GDvE1gpZ_mWA4P" TargetMode="External"/><Relationship Id="rId778"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AMINI%20THAKUR&amp;entry.2053410063=2026-06-27&amp;entry.954149285=MSC%20&amp;%20ENGG%20MARKSHEET%20CORRECTION%20W/N" TargetMode="External"/><Relationship Id="rId535" Type="http://schemas.openxmlformats.org/officeDocument/2006/relationships/hyperlink" Target="https://drive.google.com/open?id=1YPzfwrUc08yJo2Zh57y-sAczWXSNfyex" TargetMode="External"/><Relationship Id="rId777" Type="http://schemas.openxmlformats.org/officeDocument/2006/relationships/hyperlink" Target="https://drive.google.com/open?id=1ReygVLrtSNaBDFpnEWqLRTxbA-vZgQtL" TargetMode="External"/><Relationship Id="rId534"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5-23&amp;entry.954149285=KINDLY%20FIND%20OUT%20THE%20ERROR" TargetMode="External"/><Relationship Id="rId776" Type="http://schemas.openxmlformats.org/officeDocument/2006/relationships/hyperlink" Target="https://drive.google.com/open?id=1Kh73-gMonfjsh7hk7BqqdKbCj5Or7rUj" TargetMode="External"/><Relationship Id="rId533" Type="http://schemas.openxmlformats.org/officeDocument/2006/relationships/hyperlink" Target="https://drive.google.com/open?id=1PNCUxfD9qktUWqsyNnS9uDQ5qKNABONJ" TargetMode="External"/><Relationship Id="rId775"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AMINI%20THAKUR&amp;entry.2053410063=2026-06-26&amp;entry.954149285=BE%20TR%20FILE%20CORRECTION" TargetMode="External"/><Relationship Id="rId539"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Praveen%20Singh&amp;entry.2053410063=2026-05-25&amp;entry.954149285=FULL%20SUMMARY%20REPORT%20NOT%20COMMING%20ON%20TR" TargetMode="External"/><Relationship Id="rId538" Type="http://schemas.openxmlformats.org/officeDocument/2006/relationships/hyperlink" Target="https://drive.google.com/open?id=1xN3bObJBuiJglbkfK1foywvxBJPWJZ9E" TargetMode="External"/><Relationship Id="rId537"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Gayatri%20Gheware%20&amp;entry.2053410063=2026-05-23&amp;entry.954149285=Heading%20Stream%20Mai%20aana%20chaiye" TargetMode="External"/><Relationship Id="rId779" Type="http://schemas.openxmlformats.org/officeDocument/2006/relationships/hyperlink" Target="https://drive.google.com/open?id=1ewQ1hpl2g4MXp6AwpKLiqDhunBXUYC4r" TargetMode="External"/><Relationship Id="rId770"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aghvendra%20jha&amp;entry.2053410063=2026-06-26&amp;entry.954149285=P.G%20Digiloker%20data" TargetMode="External"/><Relationship Id="rId532"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rishnendu%20maity&amp;entry.2053410063=2026-05-22&amp;entry.954149285=1%20exam%20typ%20backlog/%20supply%20in%20report" TargetMode="External"/><Relationship Id="rId774" Type="http://schemas.openxmlformats.org/officeDocument/2006/relationships/hyperlink" Target="https://drive.google.com/open?id=1w0vb2x9b6Lh88PNm254OLJnnj83-yV0U" TargetMode="External"/><Relationship Id="rId531" Type="http://schemas.openxmlformats.org/officeDocument/2006/relationships/hyperlink" Target="https://drive.google.com/open?id=11zmlv3IQlJVUp0y76uOzOlINKMlEQx9O" TargetMode="External"/><Relationship Id="rId773"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Gayatri%20Gheware%20&amp;entry.2053410063=2026-06-26&amp;entry.954149285=Pass%20Fail%20&amp;%20W/N%20conditions%20BCA%20CGS%20TR%20Do%20ASAP" TargetMode="External"/><Relationship Id="rId530"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rishnendu%20maity&amp;entry.2053410063=2026-05-22&amp;entry.954149285=1.%20logo%20modification.%0A2.%20report%20name%20show%20in%20pdf" TargetMode="External"/><Relationship Id="rId772" Type="http://schemas.openxmlformats.org/officeDocument/2006/relationships/hyperlink" Target="https://drive.google.com/open?id=1VfGTjnIiX0yf2nkeK66rPqjI_ESyFBbZ" TargetMode="External"/><Relationship Id="rId771" Type="http://schemas.openxmlformats.org/officeDocument/2006/relationships/hyperlink" Target="https://drive.google.com/open?id=1-jCBQsL8rWdaneL23KWUbx9FDZ_olqs7" TargetMode="External"/><Relationship Id="rId327" Type="http://schemas.openxmlformats.org/officeDocument/2006/relationships/hyperlink" Target="https://drive.google.com/open?id=1s4CYPX6DHHQzxbfotZU3Ku8VFufRhdli" TargetMode="External"/><Relationship Id="rId569"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Satish%20Kumar&amp;entry.2053410063=2026-05-28&amp;entry.954149285=Please%20check%20and%20update,%20double%20record%20display%20in%20the%20attestation%20sheet" TargetMode="External"/><Relationship Id="rId326"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hanshree%20Kale%20&amp;entry.2053410063=2026-04-16&amp;entry.954149285=DO%20ASAP" TargetMode="External"/><Relationship Id="rId568" Type="http://schemas.openxmlformats.org/officeDocument/2006/relationships/hyperlink" Target="https://drive.google.com/open?id=1R7VReuRoRODjsfCUDbJS5ZxXRPngMeGg" TargetMode="External"/><Relationship Id="rId325" Type="http://schemas.openxmlformats.org/officeDocument/2006/relationships/hyperlink" Target="https://drive.google.com/open?id=1oFI_g2czQrJ_TJLZCheOJfXFQDfWqhqq" TargetMode="External"/><Relationship Id="rId567"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ohit%20Singh&amp;entry.2053410063=2026-05-28&amp;entry.954149285=Please%20do%20this%20its%20urgent" TargetMode="External"/><Relationship Id="rId324" Type="http://schemas.openxmlformats.org/officeDocument/2006/relationships/hyperlink" Target="https://drive.google.com/open?id=1rD3ZJJLlyiYn018d09If7dE6wny1pKkv" TargetMode="External"/><Relationship Id="rId566" Type="http://schemas.openxmlformats.org/officeDocument/2006/relationships/hyperlink" Target="https://drive.google.com/open?id=128ACTw-XIx9D0quKp06_0d3zQpJdh5rc" TargetMode="External"/><Relationship Id="rId329" Type="http://schemas.openxmlformats.org/officeDocument/2006/relationships/hyperlink" Target="https://drive.google.com/open?id=18BaJx8-vgxG3mBXpcUHVy9UK-u8vAYsS" TargetMode="External"/><Relationship Id="rId328"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ohit%20Singh&amp;entry.2053410063=2026-04-16&amp;entry.954149285=Please%20indicate%20the%20failed%20subject%20marks%20in%20red%20color." TargetMode="External"/><Relationship Id="rId561"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rishnendu%20maity&amp;entry.2053410063=2026-05-27&amp;entry.954149285=if%20re-appear%20select%20then%20report%20file%20header%20show%20Attendance%20Sheet%20for%20Odd%20Semester%20Supplementary%20Examination%202025-26%20." TargetMode="External"/><Relationship Id="rId560" Type="http://schemas.openxmlformats.org/officeDocument/2006/relationships/hyperlink" Target="https://drive.google.com/open?id=1GqWOPTRM1DTTZTe32fD6OmLi-iIdrxgX" TargetMode="External"/><Relationship Id="rId323"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Praveen%20Singh&amp;entry.2053410063=2026-04-16&amp;entry.954149285=do%20correction%20as%20per%20the%20attached%20file" TargetMode="External"/><Relationship Id="rId565"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Satish%20Kumar&amp;entry.2053410063=2026-05-27&amp;entry.954149285=Annual%20TR%20is%20not%20displaying%20properly,%20so%20please%20check%20and%20update%20the%20report%20at%20the%20earliest." TargetMode="External"/><Relationship Id="rId322" Type="http://schemas.openxmlformats.org/officeDocument/2006/relationships/hyperlink" Target="https://drive.google.com/open?id=1B5leeHuN1nukIKtNzu2Srgw7m7Xfh801" TargetMode="External"/><Relationship Id="rId564" Type="http://schemas.openxmlformats.org/officeDocument/2006/relationships/hyperlink" Target="https://drive.google.com/open?id=1T1nDnmfwLQeBKAivGzbKBAmBexyfaYcO" TargetMode="External"/><Relationship Id="rId321"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Ujjal%20das&amp;entry.2053410063=2026-04-15&amp;entry.954149285=Upshastri%20marksheet%20not%20downloading%20SE23" TargetMode="External"/><Relationship Id="rId563"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Satish%20Kumar&amp;entry.2053410063=2026-05-27&amp;entry.954149285=Please%20check%20and%20update%20the%20Packet%20Wise%20Marks%20Entry%20Report.%20Currently,%20only%20one%20mark%20is%20being%20displayed%20on%20one%20page,%20so%20please%20correct%20the%20report%20format%20accordingly." TargetMode="External"/><Relationship Id="rId320" Type="http://schemas.openxmlformats.org/officeDocument/2006/relationships/hyperlink" Target="https://drive.google.com/open?id=1MMc_ML-RhPkxRd-qwefqgJgnFwIYtbLB" TargetMode="External"/><Relationship Id="rId562" Type="http://schemas.openxmlformats.org/officeDocument/2006/relationships/hyperlink" Target="https://drive.google.com/open?id=1xQJ_ghRiT3ftJIHIpn4RMLP_QnDwro3Q" TargetMode="External"/><Relationship Id="rId316" Type="http://schemas.openxmlformats.org/officeDocument/2006/relationships/hyperlink" Target="https://drive.google.com/open?id=1Fj8Apt_eUkoIZj_RtV7UrI53wm5tMZBJ" TargetMode="External"/><Relationship Id="rId558" Type="http://schemas.openxmlformats.org/officeDocument/2006/relationships/hyperlink" Target="https://drive.google.com/open?id=1WsxbtjSPADEIJhwZXeL6VJLQmvfnVSV0" TargetMode="External"/><Relationship Id="rId315"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4-13&amp;entry.954149285=KINDLY%20SET%20THE%20SATISFACTORY%20PAPER%20FROM%20SUBJTYPE" TargetMode="External"/><Relationship Id="rId557"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tapas%20mazumdar&amp;entry.2053410063=2026-05-26&amp;entry.954149285=modification" TargetMode="External"/><Relationship Id="rId799" Type="http://schemas.openxmlformats.org/officeDocument/2006/relationships/hyperlink" Target="https://drive.google.com/open?id=1iyhtU_kdz6d8ePxewCBhwb-03PztRs1M" TargetMode="External"/><Relationship Id="rId314" Type="http://schemas.openxmlformats.org/officeDocument/2006/relationships/hyperlink" Target="https://drive.google.com/open?id=1FbIaZypcHM4k3vjF2ek-lP2OAs09Roon" TargetMode="External"/><Relationship Id="rId556" Type="http://schemas.openxmlformats.org/officeDocument/2006/relationships/hyperlink" Target="https://drive.google.com/open?id=1XtZisEHoJuwryKp7-ddvLwSr2-MZEOFU" TargetMode="External"/><Relationship Id="rId798"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Nithyashree&amp;entry.2053410063=2026-06-30&amp;entry.954149285=Transcript" TargetMode="External"/><Relationship Id="rId313"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Ujjal%20das&amp;entry.2053410063=2026-04-10&amp;entry.954149285=Shastri%20Semester%20Marksheet%20publication%20date%20to%20current%20date%20change" TargetMode="External"/><Relationship Id="rId555"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Barun%20santra&amp;entry.2053410063=2026-05-25&amp;entry.954149285=Discuss%20with%20rup" TargetMode="External"/><Relationship Id="rId797" Type="http://schemas.openxmlformats.org/officeDocument/2006/relationships/hyperlink" Target="https://drive.google.com/open?id=1m7NmlIms2QQHjG_Rbv-O2wDznn5dOSxx" TargetMode="External"/><Relationship Id="rId319"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Tusar%20Chhatui&amp;entry.2053410063=2026-04-14&amp;entry.954149285=correction%20in%20the%20%20supplementary%20marksheet." TargetMode="External"/><Relationship Id="rId318" Type="http://schemas.openxmlformats.org/officeDocument/2006/relationships/hyperlink" Target="https://drive.google.com/open?id=1Mi1aUdOVX-vIXSuTDpDPi3ZFmtMwtr5g" TargetMode="External"/><Relationship Id="rId317"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4-13&amp;entry.954149285=KINDLY%20CORRECTION%20TH%20TO%20THEORY" TargetMode="External"/><Relationship Id="rId559"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HEMANT%20UNIYAL&amp;entry.2053410063=2026-05-27&amp;entry.954149285=add%20stamp" TargetMode="External"/><Relationship Id="rId550" Type="http://schemas.openxmlformats.org/officeDocument/2006/relationships/hyperlink" Target="https://drive.google.com/open?id=1_6rOiM_b_xg0kIoJhfQgfylLd3G5wb0Q" TargetMode="External"/><Relationship Id="rId792"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aghvendra%20jha&amp;entry.2053410063=2026-06-30&amp;entry.954149285=P.G%20Result%20datils" TargetMode="External"/><Relationship Id="rId791" Type="http://schemas.openxmlformats.org/officeDocument/2006/relationships/hyperlink" Target="https://drive.google.com/open?id=1ND7n0j6Mw-UHvhht7vDV-w0CDCXMAlHL" TargetMode="External"/><Relationship Id="rId790"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Arpanalekhya%20Jana&amp;entry.2053410063=2026-06-30&amp;entry.954149285=d" TargetMode="External"/><Relationship Id="rId312" Type="http://schemas.openxmlformats.org/officeDocument/2006/relationships/hyperlink" Target="https://drive.google.com/open?id=1TtUVcU9MS_DS905Eu_uODrJx9YdH9Z8i" TargetMode="External"/><Relationship Id="rId554" Type="http://schemas.openxmlformats.org/officeDocument/2006/relationships/hyperlink" Target="https://drive.google.com/open?id=1USJDL_4pPiePZC_2UtrbyQNN1YoQIO13" TargetMode="External"/><Relationship Id="rId796"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6-30&amp;entry.954149285=MARKS%20MISSING..%20PLEASE%20ADJUST%20COLUMN" TargetMode="External"/><Relationship Id="rId311" Type="http://schemas.openxmlformats.org/officeDocument/2006/relationships/hyperlink" Target="https://drive.google.com/open?id=1_O8Ei3dgSkzqPNvLEOMh9YaIODRiIvjw" TargetMode="External"/><Relationship Id="rId553"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Barun%20santra&amp;entry.2053410063=2026-05-25&amp;entry.954149285=Discuss%20with%20rup" TargetMode="External"/><Relationship Id="rId795" Type="http://schemas.openxmlformats.org/officeDocument/2006/relationships/hyperlink" Target="https://drive.google.com/open?id=1hzONtLZySqFI1-I8W-k0Sir87frE3O6n" TargetMode="External"/><Relationship Id="rId310"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4-09&amp;entry.954149285=PLEASE%20CHECK%20THE%20ROLL%20NO..%20IT'S%20HIDE%20BY%20THE%20PHOTO" TargetMode="External"/><Relationship Id="rId552" Type="http://schemas.openxmlformats.org/officeDocument/2006/relationships/hyperlink" Target="https://drive.google.com/open?id=1XW21Y8NrwRz3ulwhr5MUCOvNThCBtiyy" TargetMode="External"/><Relationship Id="rId794"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hemant%20uniyal&amp;entry.2053410063=2026-06-30&amp;entry.954149285=please%20do%20it%20on%20urgent" TargetMode="External"/><Relationship Id="rId551"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Barun%20santra&amp;entry.2053410063=2026-05-25&amp;entry.954149285=Discuss%20with%20rup" TargetMode="External"/><Relationship Id="rId793" Type="http://schemas.openxmlformats.org/officeDocument/2006/relationships/hyperlink" Target="https://drive.google.com/open?id=1_o6pvgg8uaWfE-nwjdLcbZzeW7JNboLE" TargetMode="External"/><Relationship Id="rId297" Type="http://schemas.openxmlformats.org/officeDocument/2006/relationships/hyperlink" Target="https://drive.google.com/open?id=1SXAYscG50kPCFNDPTodyW53WkiEDtksZ" TargetMode="External"/><Relationship Id="rId296" Type="http://schemas.openxmlformats.org/officeDocument/2006/relationships/hyperlink" Target="https://drive.google.com/open?id=1XqqmFOy4ZvRprjYYaeTAFn2lWEBUpTco" TargetMode="External"/><Relationship Id="rId295"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Jigyasa%20Dewangan&amp;entry.2053410063=2026-04-08&amp;entry.954149285=one%20more%20column%20add%20in%20report" TargetMode="External"/><Relationship Id="rId294" Type="http://schemas.openxmlformats.org/officeDocument/2006/relationships/hyperlink" Target="https://drive.google.com/open?id=1X94-rTaaDLng7bEIUptGj34A_JTANLXk" TargetMode="External"/><Relationship Id="rId299" Type="http://schemas.openxmlformats.org/officeDocument/2006/relationships/hyperlink" Target="https://drive.google.com/open?id=1SIpEYUhMe2c87rjVh1bDTYawg6TV6uEe" TargetMode="External"/><Relationship Id="rId298"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BISWAJIT%20MAJHI&amp;entry.2053410063=2026-04-08&amp;entry.954149285=FONT%20CHENGE" TargetMode="External"/><Relationship Id="rId271"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Tusar%20Chhatui&amp;entry.2053410063=2026-04-06&amp;entry.954149285=Admit%20card%20update" TargetMode="External"/><Relationship Id="rId270" Type="http://schemas.openxmlformats.org/officeDocument/2006/relationships/hyperlink" Target="https://drive.google.com/open?id=1qxWxHR7jaCQwuzJXAfhuswxwct2K4vY_" TargetMode="External"/><Relationship Id="rId269"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BISWAJIT%20MAJHI&amp;entry.2053410063=2026-04-06&amp;entry.954149285=ONLY%20NEP%20TR" TargetMode="External"/><Relationship Id="rId264"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BISWAJIT%20MAJHI&amp;entry.2053410063=2026-04-06&amp;entry.954149285=PRE%20PROCESS%20ERROR%20STEP%20NO-7" TargetMode="External"/><Relationship Id="rId263" Type="http://schemas.openxmlformats.org/officeDocument/2006/relationships/hyperlink" Target="https://drive.google.com/open?id=1o0PbB4_Gi-_5nQNf20h2jHpYH68L67UH" TargetMode="External"/><Relationship Id="rId262" Type="http://schemas.openxmlformats.org/officeDocument/2006/relationships/hyperlink" Target="https://drive.google.com/open?id=1nkVrAJUqlDV3jJF1WkdqhyZZZNSO7vQS" TargetMode="External"/><Relationship Id="rId261"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Satish%20Kumar&amp;entry.2053410063=2026-04-04&amp;entry.954149285=Please%20correct%20the%20count%20center-wise." TargetMode="External"/><Relationship Id="rId268" Type="http://schemas.openxmlformats.org/officeDocument/2006/relationships/hyperlink" Target="https://drive.google.com/open?id=1ZU4a8WZtOjRpkyWyVYAuJOwrn341n839" TargetMode="External"/><Relationship Id="rId267" Type="http://schemas.openxmlformats.org/officeDocument/2006/relationships/hyperlink" Target="https://drive.google.com/open?id=1NObAZjlbrRiWizSVhzJgw3jb_XDJjvtg" TargetMode="External"/><Relationship Id="rId266"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jigyasa%20dewangan&amp;entry.2053410063=2026-04-06&amp;entry.954149285=Add%20one%20more%20paramter%20portalcode%20(appid)" TargetMode="External"/><Relationship Id="rId265" Type="http://schemas.openxmlformats.org/officeDocument/2006/relationships/hyperlink" Target="https://drive.google.com/open?id=13i2TEzuueP5gKG77-0ur8u1HF4G7JYQo" TargetMode="External"/><Relationship Id="rId260" Type="http://schemas.openxmlformats.org/officeDocument/2006/relationships/hyperlink" Target="https://drive.google.com/open?id=1Wfz3GE0fKZwAZn2U62OyQBguHou88EEX" TargetMode="External"/><Relationship Id="rId259"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amit%20yadu&amp;entry.2053410063=2026-04-03&amp;entry.954149285=DESIGN%20UPDATION%20IN%20TR" TargetMode="External"/><Relationship Id="rId258" Type="http://schemas.openxmlformats.org/officeDocument/2006/relationships/hyperlink" Target="https://drive.google.com/open?id=13-Sp61Jfg1u7ryCUvbR-TuEwKdYsG-mZ" TargetMode="External"/><Relationship Id="rId253" Type="http://schemas.openxmlformats.org/officeDocument/2006/relationships/hyperlink" Target="https://drive.google.com/open?id=1GWJMWyxuZHtamJZjzHuT73lzAImdtBeM" TargetMode="External"/><Relationship Id="rId495" Type="http://schemas.openxmlformats.org/officeDocument/2006/relationships/hyperlink" Target="https://drive.google.com/open?id=175H6SZAYboyuykgG6N8cVEMrQy_z6ih7" TargetMode="External"/><Relationship Id="rId252"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tapas%20mazumdar&amp;entry.2053410063=2026-04-03&amp;entry.954149285=" TargetMode="External"/><Relationship Id="rId494"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AMIT%20YADU&amp;entry.2053410063=2026-05-21&amp;entry.954149285=ADMIT%20CARD%20ROLL%20WISE%20SE%20STATUS%20REMOVE%20KARNA%20HAI." TargetMode="External"/><Relationship Id="rId251" Type="http://schemas.openxmlformats.org/officeDocument/2006/relationships/hyperlink" Target="https://drive.google.com/open?id=1fLHloFKsOymcxGrHxJJvh_6pXQVtqbVu" TargetMode="External"/><Relationship Id="rId493" Type="http://schemas.openxmlformats.org/officeDocument/2006/relationships/hyperlink" Target="https://drive.google.com/open?id=17s9qriSj0yKoJuUaD0k1SmBelOdjS-hK" TargetMode="External"/><Relationship Id="rId250"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tapas%20mazumdar&amp;entry.2053410063=2026-04-03&amp;entry.954149285=" TargetMode="External"/><Relationship Id="rId492" Type="http://schemas.openxmlformats.org/officeDocument/2006/relationships/hyperlink" Target="https://drive.google.com/open?id=1MJXRjdok2dD8dkIK4wktjuGUH4UAeVVs" TargetMode="External"/><Relationship Id="rId257"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BISWAJIT%20MAJHI&amp;entry.2053410063=2026-04-03&amp;entry.954149285=NEP%20COURSE%20TYPE(ONLY%20PG)" TargetMode="External"/><Relationship Id="rId499" Type="http://schemas.openxmlformats.org/officeDocument/2006/relationships/hyperlink" Target="https://drive.google.com/open?id=1aqW2iwtBDq1ntZthHSHFMAr2A7DPkqPm" TargetMode="External"/><Relationship Id="rId256" Type="http://schemas.openxmlformats.org/officeDocument/2006/relationships/hyperlink" Target="https://drive.google.com/open?id=1qZ7Q_4zNvE2KjDoa4mXjnp9oiQwNUKgW" TargetMode="External"/><Relationship Id="rId498"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Geetu%20verma&amp;entry.2053410063=2026-05-21&amp;entry.954149285=packet%20upload%20report." TargetMode="External"/><Relationship Id="rId255" Type="http://schemas.openxmlformats.org/officeDocument/2006/relationships/hyperlink" Target="https://drive.google.com/open?id=1s3gDH9qR4GsOOUVGgLt4ezluYlwyGqXB" TargetMode="External"/><Relationship Id="rId497" Type="http://schemas.openxmlformats.org/officeDocument/2006/relationships/hyperlink" Target="https://drive.google.com/open?id=1PljJGMZB1DStVFvgtcu2hD72GjCoOD2M" TargetMode="External"/><Relationship Id="rId254"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amini%20thakur&amp;entry.2053410063=2026-04-03&amp;entry.954149285=BE%2003%20SEM%20NEP%20MARKSHEET%20W-25" TargetMode="External"/><Relationship Id="rId496"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5-21&amp;entry.954149285=kindly%20fix%20the%20error%20report%20is%20blank" TargetMode="External"/><Relationship Id="rId293"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4-08&amp;entry.954149285=AB%20%20VISIBLE%20IN%200" TargetMode="External"/><Relationship Id="rId292" Type="http://schemas.openxmlformats.org/officeDocument/2006/relationships/hyperlink" Target="https://drive.google.com/open?id=17OyFLb1tw5zACsvsSC3HX7mXzhRtAB1c" TargetMode="External"/><Relationship Id="rId291" Type="http://schemas.openxmlformats.org/officeDocument/2006/relationships/hyperlink" Target="https://drive.google.com/open?id=1_kOd70_Ry1MIXU4mzsLST_nKDrHNa_4Z" TargetMode="External"/><Relationship Id="rId290"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SANTOSH%20TIWARI&amp;entry.2053410063=2026-04-08&amp;entry.954149285=SUBJECT%20REPEAT%20SHOWING" TargetMode="External"/><Relationship Id="rId286" Type="http://schemas.openxmlformats.org/officeDocument/2006/relationships/hyperlink" Target="https://drive.google.com/open?id=1X1chAQT8FVj2CZU5fpyyLR_gJbuYJUlz" TargetMode="External"/><Relationship Id="rId285"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Akshay%20Jaltare%20&amp;entry.2053410063=2026-04-07&amp;entry.954149285=Report%20not%20generated" TargetMode="External"/><Relationship Id="rId284" Type="http://schemas.openxmlformats.org/officeDocument/2006/relationships/hyperlink" Target="https://drive.google.com/open?id=1oqwXGUdAn40Zv-jxxD6DXVQoU9zW_kay" TargetMode="External"/><Relationship Id="rId283"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TAPAS%20MAZUMDAR&amp;entry.2053410063=2026-04-07&amp;entry.954149285=" TargetMode="External"/><Relationship Id="rId289" Type="http://schemas.openxmlformats.org/officeDocument/2006/relationships/hyperlink" Target="https://drive.google.com/open?id=1R3UEp81K3TN4kc2iOGSzzG8DOb3FqaA0" TargetMode="External"/><Relationship Id="rId288" Type="http://schemas.openxmlformats.org/officeDocument/2006/relationships/hyperlink" Target="https://drive.google.com/open?id=1qCvHNVeov-u2Zj61X5-lkjZKa5wTXO_U" TargetMode="External"/><Relationship Id="rId287"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Akshay%20Jaltare%20&amp;entry.2053410063=2026-04-07&amp;entry.954149285=Do%20ASAP" TargetMode="External"/><Relationship Id="rId282" Type="http://schemas.openxmlformats.org/officeDocument/2006/relationships/hyperlink" Target="https://drive.google.com/open?id=1BJMKdjEgBeVEDnI8-7qosBFJUKXxUFQw" TargetMode="External"/><Relationship Id="rId281"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jigyasa%20dewangan&amp;entry.2053410063=2026-04-07&amp;entry.954149285=add%20one%20more%20parameter%20portalcode" TargetMode="External"/><Relationship Id="rId280" Type="http://schemas.openxmlformats.org/officeDocument/2006/relationships/hyperlink" Target="https://drive.google.com/open?id=1H3PEsszXZgnrlTQ9fo8depZF-Fy_hGIm" TargetMode="External"/><Relationship Id="rId275"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CHINTU%20SINGH&amp;entry.2053410063=2026-04-07&amp;entry.954149285=In%20continuation%20of%20this%20office%20earlier%20emails,%20on%20the%20subject%20cited%20above.%20The%20updated%20result%20as%20per%20cut%20list%20have%20not%20been%20received%20yet.%20%0A%0ATherefore,%20it%20is%20requested%20to%20kindly%20check%20the%20subject%20cited%20result%20as%20per%20the%20cut-list%20and%20re-sent%20the%20same%20after%20correction,%20at%20the%20earliest,%20please" TargetMode="External"/><Relationship Id="rId274" Type="http://schemas.openxmlformats.org/officeDocument/2006/relationships/hyperlink" Target="https://drive.google.com/open?id=15BjqcjunKc10ej95n92qPCIdmCx65NiQ" TargetMode="External"/><Relationship Id="rId273"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Tusar%20Chhatui&amp;entry.2053410063=2026-04-06&amp;entry.954149285=Admit%20Card%20update" TargetMode="External"/><Relationship Id="rId272" Type="http://schemas.openxmlformats.org/officeDocument/2006/relationships/hyperlink" Target="https://drive.google.com/open?id=1_aFETP-1_bhDpS-fxZJMjg93jcqYDuxg" TargetMode="External"/><Relationship Id="rId279"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jigyasa%20dewangan&amp;entry.2053410063=2026-04-07&amp;entry.954149285=add%20one%20more%20parameter%20portalcode" TargetMode="External"/><Relationship Id="rId278" Type="http://schemas.openxmlformats.org/officeDocument/2006/relationships/hyperlink" Target="https://drive.google.com/open?id=1jerQUns6tNRxxC7iC3Y0Er77qLCjDtVW" TargetMode="External"/><Relationship Id="rId277"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CHINTU%20SINGH&amp;entry.2053410063=2026-04-07&amp;entry.954149285=It%20is%20to%20inform%20you%20that%2024L5.0-MDC-SKT-%20301,%2024L5.0-AEC-HIN-301,%2024L5.0-AEC-SKT-301,%2024L5.0-SEC-%20HIN-301%20-%20SY01%20and%2024L5.0-MDC-SKT-%20301,%2024L5.0-AEC-HIN-301,%2024L5.0-AEC-SKT-301,%2024L5.0-SEC-%20HIN-301,%2024L5.0-VAC-HIN-301%20-%20SY-03,%20the%20subject%20have%20not%20shown%20properly%20in%20the%20scheme.%20Further,%20the%20scheme%20of%20SY-03%20not%20mentioned%20in%20the%20TR.%20%0A%0ATherefore,%20it%20is%20requested%20to%20do%20the%20needful%20and%20re-send%20the%20TR%20separately%20of%20SY-01%20and%20SY-03,%20at%20the%20earliest,%20please." TargetMode="External"/><Relationship Id="rId276" Type="http://schemas.openxmlformats.org/officeDocument/2006/relationships/hyperlink" Target="https://drive.google.com/open?id=1T_C79TDQvD10II3789iBwo98N3SyixgJ" TargetMode="External"/><Relationship Id="rId907" Type="http://schemas.openxmlformats.org/officeDocument/2006/relationships/hyperlink" Target="https://drive.google.com/open?id=1dMdBrEvIrNSjFRMK58zpewywIjR4uUke" TargetMode="External"/><Relationship Id="rId906"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Somen%20Parui&amp;entry.2053410063=2026-07-13&amp;entry.954149285=Discuss%20with%20Rup%20on%20call" TargetMode="External"/><Relationship Id="rId905" Type="http://schemas.openxmlformats.org/officeDocument/2006/relationships/hyperlink" Target="https://drive.google.com/open?id=1o6qCJxU4z-QRc-U0McT_5YPdRhlTZT-u" TargetMode="External"/><Relationship Id="rId904"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Somen%20Parui&amp;entry.2053410063=2026-07-13&amp;entry.954149285=Discuss%20with%20Rup%20on%20call" TargetMode="External"/><Relationship Id="rId909" Type="http://schemas.openxmlformats.org/officeDocument/2006/relationships/hyperlink" Target="https://drive.google.com/open?id=1T1cMzfgDPS9dhec5NkToFvE9rdiWU74C" TargetMode="External"/><Relationship Id="rId908"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Somen%20Parui&amp;entry.2053410063=2026-07-13&amp;entry.954149285=Discuss%20with%20Rup%20on%20call" TargetMode="External"/><Relationship Id="rId903" Type="http://schemas.openxmlformats.org/officeDocument/2006/relationships/hyperlink" Target="https://drive.google.com/open?id=1_qNz4Vh9t7Wh_vsIAbGgVNisBgtWNZPa" TargetMode="External"/><Relationship Id="rId902"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Somen%20Parui&amp;entry.2053410063=2026-07-13&amp;entry.954149285=Discuss%20with%20Rup%20on%20call" TargetMode="External"/><Relationship Id="rId901" Type="http://schemas.openxmlformats.org/officeDocument/2006/relationships/hyperlink" Target="https://drive.google.com/open?id=1RUTC6VfT8_o0un5IJoQZbjz14d0HZLmy" TargetMode="External"/><Relationship Id="rId900"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Somen%20Parui&amp;entry.2053410063=2026-07-13&amp;entry.954149285=Discuss%20with%20Rup%20on%20call" TargetMode="External"/><Relationship Id="rId929"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7-16&amp;entry.954149285=ADD%20CHECKED%20BY%202%20IN%20FOOTER" TargetMode="External"/><Relationship Id="rId928" Type="http://schemas.openxmlformats.org/officeDocument/2006/relationships/hyperlink" Target="https://drive.google.com/open?id=1xW5qfpFgkC_TQMAjXTELug74SIdaHWLS" TargetMode="External"/><Relationship Id="rId927"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Anil%20Yadav%20&amp;entry.2053410063=2026-07-16&amp;entry.954149285=change%20marksheet%20design%20as%20per%20sem%20wise%201%20to%206th%20sem" TargetMode="External"/><Relationship Id="rId926" Type="http://schemas.openxmlformats.org/officeDocument/2006/relationships/hyperlink" Target="https://drive.google.com/open?id=1eSKoC9Bxfr-d1oIXBhMThkjYseyw-Qe0" TargetMode="External"/><Relationship Id="rId921"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ajesh%20Gupta&amp;entry.2053410063=2026-07-15&amp;entry.954149285=TR%2013%20Diploma%20in%20Pharmacy%20not%20download%20please%20check%20and%20resolve%20as%20soon%20as%20possible" TargetMode="External"/><Relationship Id="rId920" Type="http://schemas.openxmlformats.org/officeDocument/2006/relationships/hyperlink" Target="https://drive.google.com/open?id=13vkqJibP49gCAEf3juTjhPqmvBbQ2zWc" TargetMode="External"/><Relationship Id="rId925"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HEMANT%20UNIYAL&amp;entry.2053410063=2026-07-15&amp;entry.954149285=AS%20REQUESTE%20PELASE%20CORRET%20THE%20%20TR%20LOGIC%20SO%20WE%20CAN%20DO%20THENEEDFUL%20ASAP%20%20WE%20HAEV%20TO%20PROVIDE%20TR%20TO%20COE%20%20BY%20EOD" TargetMode="External"/><Relationship Id="rId924" Type="http://schemas.openxmlformats.org/officeDocument/2006/relationships/hyperlink" Target="https://drive.google.com/open?id=1PTD9HxW5Rv4A2X_gKrNNAln9-sUx0vsR" TargetMode="External"/><Relationship Id="rId923"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ajesh%20Gupta&amp;entry.2053410063=2026-07-15&amp;entry.954149285=Please%20change%20the%20logic%20and%20add%20coelom%20in%20this%20file%20D.%20Pharm.%202nd%20year" TargetMode="External"/><Relationship Id="rId922" Type="http://schemas.openxmlformats.org/officeDocument/2006/relationships/hyperlink" Target="https://drive.google.com/open?id=1eV1zsrcJPuyDvoWvkLFKTFgNbm-l8l48" TargetMode="External"/><Relationship Id="rId918" Type="http://schemas.openxmlformats.org/officeDocument/2006/relationships/hyperlink" Target="https://drive.google.com/open?id=1wKd89GGj0I4U1eQ_l5xbpev4cQMsSMpu" TargetMode="External"/><Relationship Id="rId917"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AKSHATA%20PERASPURE&amp;entry.2053410063=2026-07-15&amp;entry.954149285=WT%20TR%20UG%20NEP%20-NYA%20YE%20option%20bnado" TargetMode="External"/><Relationship Id="rId916" Type="http://schemas.openxmlformats.org/officeDocument/2006/relationships/hyperlink" Target="https://drive.google.com/open?id=1gRRb1BI58khf-NZR1M4oE-Yd2FV3An-v" TargetMode="External"/><Relationship Id="rId915"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7-15&amp;entry.954149285=TOTAL%20GPA%20MARKS%20CALCUCATION%20ERROR" TargetMode="External"/><Relationship Id="rId919"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CHINTU%20SINGH&amp;entry.2053410063=2026-07-15&amp;entry.954149285=R/Sir%20%0APlease%20solve%20this%20problem.%20The%20migration%20does%20not%20generate%20the%20vide%20reg.%20no.%20241741105043.(B.P.ED%20)%20%20NIKHIL%20SINGH%20S/O%20RAJENDER%20SINGH" TargetMode="External"/><Relationship Id="rId910"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rishnendu%20maity&amp;entry.2053410063=2026-07-14&amp;entry.954149285=Blank%20report%20generate" TargetMode="External"/><Relationship Id="rId914" Type="http://schemas.openxmlformats.org/officeDocument/2006/relationships/hyperlink" Target="https://drive.google.com/open?id=1TVPsOl3W1jho5wk7Cda3Gx-b6uXb2wNF" TargetMode="External"/><Relationship Id="rId913"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AKSHATA%20PERASPURE&amp;entry.2053410063=2026-07-14&amp;entry.954149285=TR%20pe%20%20Previous%20Sem%20Marks%20nhi%20aana%20chahiye%20htado%20uspe%20se" TargetMode="External"/><Relationship Id="rId912" Type="http://schemas.openxmlformats.org/officeDocument/2006/relationships/hyperlink" Target="https://drive.google.com/open?id=1p7Lg8RXGQ-jLdYew4jdVgBdD0ZtmPiA2" TargetMode="External"/><Relationship Id="rId911" Type="http://schemas.openxmlformats.org/officeDocument/2006/relationships/hyperlink" Target="https://drive.google.com/open?id=1KHbAeOQvSvCfLNZ7tsRTZVDr3tIjJ3TZ" TargetMode="External"/><Relationship Id="rId629"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VIRENDRA%20KUMAR&amp;entry.2053410063=2026-06-09&amp;entry.954149285=ELECTIVE%20PAPER" TargetMode="External"/><Relationship Id="rId624" Type="http://schemas.openxmlformats.org/officeDocument/2006/relationships/hyperlink" Target="https://drive.google.com/open?id=1FSS9K4RRCxdDsflT6H-qMdp22REOx92t" TargetMode="External"/><Relationship Id="rId866"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7-09&amp;entry.954149285=PLEASE%20REMOVE%20NULL" TargetMode="External"/><Relationship Id="rId623"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TAPAS%20MAZUMDAR&amp;entry.2053410063=2026-06-06&amp;entry.954149285=" TargetMode="External"/><Relationship Id="rId865" Type="http://schemas.openxmlformats.org/officeDocument/2006/relationships/hyperlink" Target="https://drive.google.com/open?id=19swGvq34wuHFd7Y9s3qYjoak5824b9yP" TargetMode="External"/><Relationship Id="rId622" Type="http://schemas.openxmlformats.org/officeDocument/2006/relationships/hyperlink" Target="https://drive.google.com/open?id=1R_9ZDN6ENrRV3QJwZR70nsKqHloFBZgR" TargetMode="External"/><Relationship Id="rId864"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haleshwar&amp;entry.2053410063=2026-07-09&amp;entry.954149285=Challenge%20revaluation%20me%20RV%20show%20ho%20rha" TargetMode="External"/><Relationship Id="rId621"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rishnendu%20maity&amp;entry.2053410063=2026-06-05&amp;entry.954149285=blank%20top%20sheet%20generate%20in%20below%20every%20date%20&amp;%20venue%20report." TargetMode="External"/><Relationship Id="rId863" Type="http://schemas.openxmlformats.org/officeDocument/2006/relationships/hyperlink" Target="https://drive.google.com/open?id=1xHB4bnri4_3Z62rUWzDcTxNNcHq5W7Jn" TargetMode="External"/><Relationship Id="rId628" Type="http://schemas.openxmlformats.org/officeDocument/2006/relationships/hyperlink" Target="https://drive.google.com/open?id=1A3aqL6QE9Bm1XbTdmVR35F3GNxQbeEjm" TargetMode="External"/><Relationship Id="rId627"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HIRAJ%20KUMAR&amp;entry.2053410063=2026-06-08&amp;entry.954149285=Examtype%20only%20show%20main%20Both%20main%20and%20re-appear" TargetMode="External"/><Relationship Id="rId869" Type="http://schemas.openxmlformats.org/officeDocument/2006/relationships/hyperlink" Target="https://drive.google.com/open?id=1WSxXAf3Pr3K24S4AK9iknBqOmIhYJ_vI" TargetMode="External"/><Relationship Id="rId626" Type="http://schemas.openxmlformats.org/officeDocument/2006/relationships/hyperlink" Target="https://drive.google.com/open?id=1aqj_gi6AYtHNWs7gXkq6T4JucoERJZc_" TargetMode="External"/><Relationship Id="rId868"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amp;entry.2053410063=2026-07-10&amp;entry.954149285=ADD%20PRACTICAL%20SUBJECT%20IN%20ATTANDANCE%20SHEET%20REPORT" TargetMode="External"/><Relationship Id="rId625"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6-08&amp;entry.954149285=KINDLY%20CORRECT%20THIS%20AS%20PER%20REMARK%20IN%20ATTACHED%20FILE" TargetMode="External"/><Relationship Id="rId867" Type="http://schemas.openxmlformats.org/officeDocument/2006/relationships/hyperlink" Target="https://drive.google.com/open?id=1U5cgE5NsKCuQI1oAR-k_fvyitUh4N8Yj" TargetMode="External"/><Relationship Id="rId620" Type="http://schemas.openxmlformats.org/officeDocument/2006/relationships/hyperlink" Target="https://drive.google.com/open?id=1sa_veGDgCORLamw2lbovjzAVTU_0wY_V" TargetMode="External"/><Relationship Id="rId862"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haleshwar&amp;entry.2053410063=2026-07-09&amp;entry.954149285=inside%20Analysis%20report%20the%20fee%20detail%20is%20not%20working" TargetMode="External"/><Relationship Id="rId861" Type="http://schemas.openxmlformats.org/officeDocument/2006/relationships/hyperlink" Target="https://drive.google.com/open?id=19xJJKxk8zOWOHanmg0xEw1tg8Zlg_Hs-" TargetMode="External"/><Relationship Id="rId860"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vesh%20Dutt%20Verma&amp;entry.2053410063=2026-07-08&amp;entry.954149285=Database:%20ucanassess_igkv%0ATable:%20student_master_june_2026_ug" TargetMode="External"/><Relationship Id="rId619"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rishnendu%20maity&amp;entry.2053410063=2026-06-05&amp;entry.954149285=DESPATCH%20CHALLAN%20separate%20generate%20%20for%20ra%20student." TargetMode="External"/><Relationship Id="rId618" Type="http://schemas.openxmlformats.org/officeDocument/2006/relationships/hyperlink" Target="https://drive.google.com/open?id=1rgZGjHTmrVLaKFV6WnvyLiWvN6TFNH41" TargetMode="External"/><Relationship Id="rId613" Type="http://schemas.openxmlformats.org/officeDocument/2006/relationships/hyperlink" Target="https://drive.google.com/open?id=19uNIOUBgcp4ppB5mzkewdFLQicm-LhLe" TargetMode="External"/><Relationship Id="rId855" Type="http://schemas.openxmlformats.org/officeDocument/2006/relationships/hyperlink" Target="https://drive.google.com/open?id=1ES6I9oa1PmZdDZxn38wB7TEC4Mm2BOMv" TargetMode="External"/><Relationship Id="rId612"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6-03&amp;entry.954149285=SET%20PAGE%20IN%20ONE%20PAGE" TargetMode="External"/><Relationship Id="rId854"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avikant%20Dewangan&amp;entry.2053410063=2026-07-08&amp;entry.954149285=Sort%20Order%0ACourseCode,%20ExamDate,%20session_year,%20SubjectCode,%20SeatNo" TargetMode="External"/><Relationship Id="rId611" Type="http://schemas.openxmlformats.org/officeDocument/2006/relationships/hyperlink" Target="https://drive.google.com/open?id=1gJnVdm-kdYnKXTBoIb1HT9gQJAdUj7ls" TargetMode="External"/><Relationship Id="rId853" Type="http://schemas.openxmlformats.org/officeDocument/2006/relationships/hyperlink" Target="https://drive.google.com/open?id=1e9PZYoUkdRt_6PUmZPax91d9Ye7xH7X4" TargetMode="External"/><Relationship Id="rId610" Type="http://schemas.openxmlformats.org/officeDocument/2006/relationships/hyperlink" Target="https://drive.google.com/open?id=1JQj35q39sUTWuOI70pi2I6GS48rLQq0K" TargetMode="External"/><Relationship Id="rId852"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Gayatri%20Gheware%20&amp;entry.2053410063=2026-07-08&amp;entry.954149285=W/N%20marksheet%20nhi%20nikalne%20ko%20hona.." TargetMode="External"/><Relationship Id="rId617"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Gayatri%20Gheware%20&amp;entry.2053410063=2026-06-05&amp;entry.954149285=Report%20File%20Was%20Not%20generated" TargetMode="External"/><Relationship Id="rId859" Type="http://schemas.openxmlformats.org/officeDocument/2006/relationships/hyperlink" Target="https://drive.google.com/open?id=1x2LE3-CQESnYeqdYw1wDImOLD7IQWiro" TargetMode="External"/><Relationship Id="rId616" Type="http://schemas.openxmlformats.org/officeDocument/2006/relationships/hyperlink" Target="https://drive.google.com/open?id=1cu-fMgkiq063_q4T9b6n_jA_UbXfIqQm" TargetMode="External"/><Relationship Id="rId858"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IGKV&amp;entry.2053410063=2026-07-08&amp;entry.954149285=Database:%20ucanassess_igkv%0ATable:%20student_master_june_2026_ug" TargetMode="External"/><Relationship Id="rId615" Type="http://schemas.openxmlformats.org/officeDocument/2006/relationships/hyperlink" Target="https://drive.google.com/open?id=1PDcXRcuOQJ7GttmAj9EPHmBEzWHeOLHt" TargetMode="External"/><Relationship Id="rId857" Type="http://schemas.openxmlformats.org/officeDocument/2006/relationships/hyperlink" Target="https://drive.google.com/open?id=1kVkELPiLHqs6eIK8WoQDwvIK41xXhbtA" TargetMode="External"/><Relationship Id="rId614"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tapas%20mazumdar&amp;entry.2053410063=2026-06-04&amp;entry.954149285=" TargetMode="External"/><Relationship Id="rId856"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vesh%20Dutt%20Verma&amp;entry.2053410063=2026-07-08&amp;entry.954149285=RDS:%20ucalivetest%0ADatabase:%20ucanassess_igkv%0ATable:%20student_master_june_2026_ug%0ASort%20Order:%20%60College_Name_E%60,Degree,%60sort_year%60,%60Course_Code%60,%60Student_Id%60" TargetMode="External"/><Relationship Id="rId851" Type="http://schemas.openxmlformats.org/officeDocument/2006/relationships/hyperlink" Target="https://drive.google.com/open?id=1QS0XueoyAP736DKcAZvxerHGK5pvbBjL" TargetMode="External"/><Relationship Id="rId850" Type="http://schemas.openxmlformats.org/officeDocument/2006/relationships/hyperlink" Target="https://drive.google.com/open?id=1GeGO8-2de6BhTw13stx6ZM55RPPVmMZh" TargetMode="External"/><Relationship Id="rId409" Type="http://schemas.openxmlformats.org/officeDocument/2006/relationships/hyperlink" Target="https://drive.google.com/open?id=1jgUUWe9anY9iQtjyVGMQgbYgf69Gcp7h" TargetMode="External"/><Relationship Id="rId404"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5-05&amp;entry.954149285=PLEASE%20ADD%20DEAN%20SIGN%20AND%20PUBLIHSED%20DATE%20FORMAT" TargetMode="External"/><Relationship Id="rId646"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Hemant%20uniyal&amp;entry.2053410063=2026-06-10&amp;entry.954149285=URGENT" TargetMode="External"/><Relationship Id="rId888"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INESH%20KUMAR&amp;entry.2053410063=2026-07-13&amp;entry.954149285=URGENT" TargetMode="External"/><Relationship Id="rId403" Type="http://schemas.openxmlformats.org/officeDocument/2006/relationships/hyperlink" Target="https://drive.google.com/open?id=1V2x2cfkLF6VG0XEhiY0saptmDuhUMewf" TargetMode="External"/><Relationship Id="rId645" Type="http://schemas.openxmlformats.org/officeDocument/2006/relationships/hyperlink" Target="https://drive.google.com/open?id=1uFCMRsIcdMkSaMhTohSCrvRCxaRWM88i" TargetMode="External"/><Relationship Id="rId887" Type="http://schemas.openxmlformats.org/officeDocument/2006/relationships/hyperlink" Target="https://drive.google.com/open?id=1koaJBvYi75MWU1dZNNOl6dOS0IrHU73P" TargetMode="External"/><Relationship Id="rId402" Type="http://schemas.openxmlformats.org/officeDocument/2006/relationships/hyperlink" Target="https://drive.google.com/open?id=1dj8YMLLDG8YWwaTcmE6RFnyyLk9cGl88" TargetMode="External"/><Relationship Id="rId644"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Hemant%20%20uniyal&amp;entry.2053410063=2026-06-10&amp;entry.954149285=plrase%20make%20it%20urgnet" TargetMode="External"/><Relationship Id="rId886"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7-13&amp;entry.954149285=TOTAL%20GRADE%20POINT%20MISMATCH%20..%20PLEASE%20CHECK" TargetMode="External"/><Relationship Id="rId401"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5-04&amp;entry.954149285=PLEASE%20ADD%20THE%20CREDIT%20POINT%20S%20COLUMN" TargetMode="External"/><Relationship Id="rId643" Type="http://schemas.openxmlformats.org/officeDocument/2006/relationships/hyperlink" Target="https://drive.google.com/open?id=1MJ75V5hB4C3IgKFlwKcAV6GiJOvLXBmo" TargetMode="External"/><Relationship Id="rId885" Type="http://schemas.openxmlformats.org/officeDocument/2006/relationships/hyperlink" Target="https://drive.google.com/open?id=1qmpOstbSGzlzLzH9xDi5dcJI7O1rKLst" TargetMode="External"/><Relationship Id="rId408" Type="http://schemas.openxmlformats.org/officeDocument/2006/relationships/hyperlink" Target="https://drive.google.com/open?id=1FVZ6xiJvh58z_2xlkfNf8xQAkeDajN-O" TargetMode="External"/><Relationship Id="rId407"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IWAKAR%20TIWARI&amp;entry.2053410063=2026-05-06&amp;entry.954149285=PLEASE%20UPDATE" TargetMode="External"/><Relationship Id="rId649" Type="http://schemas.openxmlformats.org/officeDocument/2006/relationships/hyperlink" Target="https://drive.google.com/open?id=1qbDi6YtYd6QzXzLDAWMcHo7BrjVDFP_Z" TargetMode="External"/><Relationship Id="rId406" Type="http://schemas.openxmlformats.org/officeDocument/2006/relationships/hyperlink" Target="https://drive.google.com/open?id=1zGerXLXf0plSloUA09O51gB5pzH6m5my" TargetMode="External"/><Relationship Id="rId648"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SANTOSH%20TIWARI&amp;entry.2053410063=2026-06-12&amp;entry.954149285=Promotion%20Rule%20%0A2nd%20to%203rd%20semester%20%20including%20all%20paper%201%20to%202nd%20semester%2028%20Creadit%20Earn%20%0A4th%20to%205th%20Semester%20including%20all%20paper%201%20to%204th%20semester%20%2068%20Creadit%20Earn%20%0A6th%20to%207th%20Semester%20including%20all%20paper%201%20to%205%20%20semester%20%20108%20Creadit%20Earn" TargetMode="External"/><Relationship Id="rId405" Type="http://schemas.openxmlformats.org/officeDocument/2006/relationships/hyperlink" Target="https://drive.google.com/open?id=12oOcCPYsLlSJu8u82qNKKH43Fe5wRT-9" TargetMode="External"/><Relationship Id="rId647" Type="http://schemas.openxmlformats.org/officeDocument/2006/relationships/hyperlink" Target="https://drive.google.com/open?id=1N-2lnyduhzVWQHYzBFdVlXM7Tuy2aA_V" TargetMode="External"/><Relationship Id="rId889" Type="http://schemas.openxmlformats.org/officeDocument/2006/relationships/hyperlink" Target="https://drive.google.com/open?id=12GsjBlPieFLGDD9pT_czA8bMPPUc7I8w" TargetMode="External"/><Relationship Id="rId880" Type="http://schemas.openxmlformats.org/officeDocument/2006/relationships/hyperlink" Target="https://drive.google.com/open?id=1_X2BNm4TGbHauzYYSheDcXFSwhUceNhD" TargetMode="External"/><Relationship Id="rId400" Type="http://schemas.openxmlformats.org/officeDocument/2006/relationships/hyperlink" Target="https://drive.google.com/open?id=1P-wgYXuYjOnxeRlVtaM_GD_yJq7ACA8c" TargetMode="External"/><Relationship Id="rId642"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6-10&amp;entry.954149285=KINDLY%20REMOVE%20COURSE%20SHOART%20NAME%20FORM%20HEADING..%20AND%20SUBHEDAR%20SIZE%20DECREASE" TargetMode="External"/><Relationship Id="rId884"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IWAKAR%20TIWARI&amp;entry.2053410063=2026-07-13&amp;entry.954149285=PLEASE%20ROLL%20NO%20SEQUENCE%20UPDATE" TargetMode="External"/><Relationship Id="rId641" Type="http://schemas.openxmlformats.org/officeDocument/2006/relationships/hyperlink" Target="https://drive.google.com/open?id=1GQeEWTA1MtG3irE_fn7xjpAdhKRWxoGQ" TargetMode="External"/><Relationship Id="rId883" Type="http://schemas.openxmlformats.org/officeDocument/2006/relationships/hyperlink" Target="https://drive.google.com/open?id=1rFjE__QjZ6yRGJZjNju-sMAK-abV_7hn" TargetMode="External"/><Relationship Id="rId640" Type="http://schemas.openxmlformats.org/officeDocument/2006/relationships/hyperlink" Target="https://drive.google.com/open?id=1CbpYbDiFHceUOjQk4aDEur7EjbGV74b_" TargetMode="External"/><Relationship Id="rId882" Type="http://schemas.openxmlformats.org/officeDocument/2006/relationships/hyperlink" Target="https://drive.google.com/open?id=1KhQYqZdPJM9RDLPCz8P0a34s4tTNvPr6" TargetMode="External"/><Relationship Id="rId881"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HEMANT%20UNIYAL&amp;entry.2053410063=2026-07-13&amp;entry.954149285=AS%20DISCUSSED%20EALRIER%20PLEASE%20CORRECT%20THE%20TR" TargetMode="External"/><Relationship Id="rId635" Type="http://schemas.openxmlformats.org/officeDocument/2006/relationships/hyperlink" Target="https://drive.google.com/open?id=13cblh4xLxIQ4yLJTj4tSdhzbO-bkYWnI" TargetMode="External"/><Relationship Id="rId877" Type="http://schemas.openxmlformats.org/officeDocument/2006/relationships/hyperlink" Target="https://drive.google.com/open?id=1qgv-vUidvO2ptfZ75d6AM30wXGHTlcm9" TargetMode="External"/><Relationship Id="rId634" Type="http://schemas.openxmlformats.org/officeDocument/2006/relationships/hyperlink" Target="https://drive.google.com/open?id=1-yQ1hkrJfAAHQtI-uoy-1OTFu-_VOOmI" TargetMode="External"/><Relationship Id="rId876"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AJIV%20SIRSAT&amp;entry.2053410063=2026-07-11&amp;entry.954149285=OVERWRITE%20IN%20EXEMPTION" TargetMode="External"/><Relationship Id="rId633"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virendra%20kumar&amp;entry.2053410063=2026-06-10&amp;entry.954149285=GRADE%20CARD%20NOT%20SHOWING%20ON%20STUDENT%20PROTAL" TargetMode="External"/><Relationship Id="rId875" Type="http://schemas.openxmlformats.org/officeDocument/2006/relationships/hyperlink" Target="https://drive.google.com/open?id=14a26gQ1W7j2mxa35xYsHu7XNRWqPbNeA" TargetMode="External"/><Relationship Id="rId632" Type="http://schemas.openxmlformats.org/officeDocument/2006/relationships/hyperlink" Target="https://drive.google.com/open?id=1i5Hmv3oIvfO0KbBGxVLc3Vdp7maqJ0Kb" TargetMode="External"/><Relationship Id="rId874"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haleshwar&amp;entry.2053410063=2026-07-11&amp;entry.954149285=Please%20update%20in%20scheme%20report%20for%20subject%20type,%20credits" TargetMode="External"/><Relationship Id="rId639"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6-10&amp;entry.954149285=KINDLY%20CORRECT%20THE%20MARKSHEET" TargetMode="External"/><Relationship Id="rId638" Type="http://schemas.openxmlformats.org/officeDocument/2006/relationships/hyperlink" Target="https://drive.google.com/open?id=11lQAkawlnt5xWBBAl0pTlsqXdxvN60ID" TargetMode="External"/><Relationship Id="rId637" Type="http://schemas.openxmlformats.org/officeDocument/2006/relationships/hyperlink" Target="https://drive.google.com/open?id=1e9p8aZAS-e52MwULNUNBqab-nv7wMylE" TargetMode="External"/><Relationship Id="rId879"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Gayatri%20Gheware%20&amp;entry.2053410063=2026-07-11&amp;entry.954149285=BCA%20SEM%20VI%20SO01%20Marksheet%20Nhi%20nikal%20rahi" TargetMode="External"/><Relationship Id="rId636"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6-10&amp;entry.954149285=KINDLY%20CHECK%20INTERNAL%20MARKS%20MISSING%20IN%20THE%20TR%20REPORT" TargetMode="External"/><Relationship Id="rId878" Type="http://schemas.openxmlformats.org/officeDocument/2006/relationships/hyperlink" Target="https://drive.google.com/open?id=1IflUGx8otAmAo8iRWVKwkLGdoiuBR8dX" TargetMode="External"/><Relationship Id="rId631"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HIRAJ%20KUMAR&amp;entry.2053410063=2026-06-09&amp;entry.954149285=C000011%20,%20C000012%20,%20C000050%20,%20C000118%20,%20C000119%20,%20C000075%20,%20C000076%20,%20C000074%20all%20courses%20corsecd" TargetMode="External"/><Relationship Id="rId873" Type="http://schemas.openxmlformats.org/officeDocument/2006/relationships/hyperlink" Target="https://drive.google.com/open?id=10hsZHSvTxZQohNryPTol_zHTVlmYwfzf" TargetMode="External"/><Relationship Id="rId630" Type="http://schemas.openxmlformats.org/officeDocument/2006/relationships/hyperlink" Target="https://drive.google.com/open?id=1yQqsC7eUzmDQM9u4dEVWOSjeYt0e-KGe" TargetMode="External"/><Relationship Id="rId872"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TAPAS%20MAZUMDAR&amp;entry.2053410063=2026-07-10&amp;entry.954149285=" TargetMode="External"/><Relationship Id="rId871" Type="http://schemas.openxmlformats.org/officeDocument/2006/relationships/hyperlink" Target="https://drive.google.com/open?id=19TaB-p99z9YjWfTjAed32Jjd6fJWZufy" TargetMode="External"/><Relationship Id="rId870"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tapas%20mazumdar&amp;entry.2053410063=2026-07-10&amp;entry.954149285=" TargetMode="External"/><Relationship Id="rId829"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haleshwar&amp;entry.2053410063=2026-07-04&amp;entry.954149285=add" TargetMode="External"/><Relationship Id="rId828" Type="http://schemas.openxmlformats.org/officeDocument/2006/relationships/hyperlink" Target="https://drive.google.com/open?id=1wY8-nYy2DUOKfWMAZackX-HKbK7csI-q" TargetMode="External"/><Relationship Id="rId827"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Tusar%20Chhatui&amp;entry.2053410063=2026-07-04&amp;entry.954149285=Same%20students%20double%20entry%20correction%20in%20TR%201st%20Semester%20B.Sc.%20Nursing" TargetMode="External"/><Relationship Id="rId822" Type="http://schemas.openxmlformats.org/officeDocument/2006/relationships/hyperlink" Target="https://drive.google.com/open?id=1fwr-L66XhtigcRmFThZbWPCB_rN7k7rL" TargetMode="External"/><Relationship Id="rId821" Type="http://schemas.openxmlformats.org/officeDocument/2006/relationships/hyperlink" Target="https://drive.google.com/open?id=1j01lyKjg4C6Wa4YqgZpliAfHiR_KKpYw" TargetMode="External"/><Relationship Id="rId820"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7-03&amp;entry.954149285=KINDLY%20CORRECT%20THE%20TR%20FOR%20ANNUAL" TargetMode="External"/><Relationship Id="rId826" Type="http://schemas.openxmlformats.org/officeDocument/2006/relationships/hyperlink" Target="https://drive.google.com/open?id=1MnGd7gAwjOh1WtxbkpAiqCDw4RGzjeKJ" TargetMode="External"/><Relationship Id="rId825"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haleshwar&amp;entry.2053410063=2026-07-03&amp;entry.954149285=Required%20Changes:%0AChange%20the%20attendance%20sheet%20layout%20from%20Portrait%20to%20Landscape%20orientation.%0ASeparate%20the%20Student%20Photo%20and%20Student%20Signature%20into%20two%20different%20boxes.%20They%20should%20not%20appear%20in%20the%20same%20box.%0ACreate%20separate%20boxes%20for%20the%20Student%20Signature%20and%20Student%20Thumb%20Impression.%20These%20should%20be%20displayed%20independently.%0AThis%20is%20high%20priority%20and%20is%20required%20today.%20Kindly%20complete%20the%20changes%20and%20share%20the%20updated%20version%20as%20soon%20as%20possible." TargetMode="External"/><Relationship Id="rId824" Type="http://schemas.openxmlformats.org/officeDocument/2006/relationships/hyperlink" Target="https://drive.google.com/open?id=1VPSW0IRNKqzxJ6NA_NddgcXa1rIuWwoi" TargetMode="External"/><Relationship Id="rId823"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HARSHIT%20KUMAR&amp;entry.2053410063=2026-07-03&amp;entry.954149285=DO%20THE%20CORRECTION%20AS%20PER%20ATTACHMENT" TargetMode="External"/><Relationship Id="rId819" Type="http://schemas.openxmlformats.org/officeDocument/2006/relationships/hyperlink" Target="https://drive.google.com/open?id=1qoxyQIviVtXy4GIYHqQZsQzvBEGYcxuY" TargetMode="External"/><Relationship Id="rId818"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CHINTU%20SINGH&amp;entry.2053410063=2026-07-03&amp;entry.954149285=Sir,%0A%20%20It%20is%20intimated%20that%20the%20TR%20of%20the%20BHMCT%208th%20Semester%20(May%202026)%20result%20be%20updated%20after%20matching%20it%20with%20the%20approved%20scheme,%20as%20the%20current%20result%20does%20not%20match%20the%20scheme." TargetMode="External"/><Relationship Id="rId817" Type="http://schemas.openxmlformats.org/officeDocument/2006/relationships/hyperlink" Target="https://drive.google.com/open?id=1rXGbyP0V74Nx-Qujx_iKhzflYDYiVOSO" TargetMode="External"/><Relationship Id="rId816"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CHINTU%20SINGH&amp;entry.2053410063=2026-07-03&amp;entry.954149285=Respected%20Sir/Madam,%0A%0AIn%20continuation%20of%20our%20previous%20communication%20regarding%20the%20theory%20attendance%20sheets%20on%20the%20university%20portal,%20we%20have%20encountered%20an%20additional%20issue.%0A%0AThe%20name%20of%20a%20certain%20student%20who%20is%20eligible%20to%20appear%20for%20the%20examinations%20are%20currently%20missing%20from%20the%20generated%20Theory%20Attendance%20Sheet.%20We%20request%20you%20to%20kindly%20add%20the%20student%20details%20to%20our%20college%20attendance%20list%20on%20the%20portal%20so%20that%20their%20attendance%20can%20be%20marked%20officially:%0A%0AStudent%20Details:%0A%0A%C2%B7%20%20%20%20%20%20%20%20%20Student%20Name:%20%20ANKIT%0A%0A%C2%B7%20%20%20%20%20%20%20%20%20University%20Roll%20No.%20/%20Reg%20No.:%20%20211880404027%0A%0A%C2%B7%20%20%20%20%20%20%20%20%20Course%20/%20Semester:%20B.Ed%20(Additional)%0A%0A%C2%B7%20%20%20%20%20%20%20%20%20Subject%20Name%20&amp;%20Paper%20Code:%20Pedagogy%20of%20English%0A%0AKindly%20update%20the%20portal%20at%20the%20earliest%20so%20we%20can%20proceed%20with%20the%20submission%20without%20any%20further%20delay." TargetMode="External"/><Relationship Id="rId811" Type="http://schemas.openxmlformats.org/officeDocument/2006/relationships/hyperlink" Target="https://drive.google.com/open?id=1cNwMtpMG9tS9SlGIhSWiINx7yWZV-Jjq" TargetMode="External"/><Relationship Id="rId810"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INESH%20KUMAR&amp;entry.2053410063=2026-07-01&amp;entry.954149285=URGENT" TargetMode="External"/><Relationship Id="rId815" Type="http://schemas.openxmlformats.org/officeDocument/2006/relationships/hyperlink" Target="https://drive.google.com/open?id=17m0gZI1pAF2P7AgWywIZU0aNusnsBJIs" TargetMode="External"/><Relationship Id="rId814"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CHINTU%20SINGH&amp;entry.2053410063=2026-07-03&amp;entry.954149285=Attendance%20Sheet%20Re%20Appear%20HCEK-203%20-%20Happy%20College%20of%20Education,%20Railway%20Station,%20Kosli%20(Rewari)%20Annual%20(%20Annual)%20UG%20(B.ED(ADDI))-BACHELOR%20OF%20EDUCATION(additional)_SE22" TargetMode="External"/><Relationship Id="rId813" Type="http://schemas.openxmlformats.org/officeDocument/2006/relationships/hyperlink" Target="https://drive.google.com/open?id=1J7YYVWjvAphzCaWD5ied86YH_H5su9bR" TargetMode="External"/><Relationship Id="rId812"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haleshwar&amp;entry.2053410063=2026-07-02&amp;entry.954149285=TR00000314%0AUG%0A(B.A)%20Bachelor%20of%20Arts%20REVEL" TargetMode="External"/><Relationship Id="rId609"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6-03&amp;entry.954149285=UPDATE%20DIVISION%20AS%20PER%20FINAL%20SEM" TargetMode="External"/><Relationship Id="rId608" Type="http://schemas.openxmlformats.org/officeDocument/2006/relationships/hyperlink" Target="https://drive.google.com/open?id=1hd6DkF38Vb7KskWO3AqXe_fsyJC9pxmR" TargetMode="External"/><Relationship Id="rId607"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6-03&amp;entry.954149285=KINDLY%20CORRECT%20THE%20FONT%20SIZE" TargetMode="External"/><Relationship Id="rId849"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HIRAJ%20KUMAR&amp;entry.2053410063=2026-07-08&amp;entry.954149285=obtained%20marks%20and%20Total%20Marks%20not%20show" TargetMode="External"/><Relationship Id="rId602" Type="http://schemas.openxmlformats.org/officeDocument/2006/relationships/hyperlink" Target="https://drive.google.com/open?id=1VtcJpu2Ubdi-WpRGV5Qv6_C45PqQtcKp" TargetMode="External"/><Relationship Id="rId844"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Arpanalekhya%20Jana&amp;entry.2053410063=2026-07-07&amp;entry.954149285=ygpa%20not%20show%2011601022019" TargetMode="External"/><Relationship Id="rId601"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Geetu%20verma&amp;entry.2053410063=2026-06-02&amp;entry.954149285=pattern%20status%20report." TargetMode="External"/><Relationship Id="rId843" Type="http://schemas.openxmlformats.org/officeDocument/2006/relationships/hyperlink" Target="https://drive.google.com/open?id=18Q0QuaUxl99iZu7FIpTV95J3KmoXCAVi" TargetMode="External"/><Relationship Id="rId600" Type="http://schemas.openxmlformats.org/officeDocument/2006/relationships/hyperlink" Target="https://drive.google.com/open?id=1xdt-BYayW9IJP0hGhE4itN2vi29rYgJ5" TargetMode="External"/><Relationship Id="rId842" Type="http://schemas.openxmlformats.org/officeDocument/2006/relationships/hyperlink" Target="https://drive.google.com/open?id=1EQtN00FXD5pAeMlfk9UCtaklKCU4NLE4" TargetMode="External"/><Relationship Id="rId841"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7-06&amp;entry.954149285=blank%20report%20downloaded" TargetMode="External"/><Relationship Id="rId606" Type="http://schemas.openxmlformats.org/officeDocument/2006/relationships/hyperlink" Target="https://drive.google.com/open?id=1e2SAdlpsp20plL9wnVp-O2CdQ0gKmG_M" TargetMode="External"/><Relationship Id="rId848" Type="http://schemas.openxmlformats.org/officeDocument/2006/relationships/hyperlink" Target="https://drive.google.com/open?id=1Z7QNZGwzJMIRn3UMhGiHhc_b_xSYP2Yu" TargetMode="External"/><Relationship Id="rId605"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Satish%20Kumar&amp;entry.2053410063=2026-06-03&amp;entry.954149285=Please%20check%20and%20correct" TargetMode="External"/><Relationship Id="rId847" Type="http://schemas.openxmlformats.org/officeDocument/2006/relationships/hyperlink" Target="https://drive.google.com/open?id=1xlJqA-AfxwzlCgc877nC1Yo_nJAheXY3" TargetMode="External"/><Relationship Id="rId604" Type="http://schemas.openxmlformats.org/officeDocument/2006/relationships/hyperlink" Target="https://drive.google.com/open?id=1mQ1m3flEEAVwTNVSi0uQv2vSCpSpVt9W" TargetMode="External"/><Relationship Id="rId846"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ajesh%20Gupta&amp;entry.2053410063=2026-07-08&amp;entry.954149285=Please%20check%20the%20attached%20file%20and%20add%20the%20yearly%20attendance%20report%20option%20under%20dropdown." TargetMode="External"/><Relationship Id="rId603"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haleshwar&amp;entry.2053410063=2026-06-02&amp;entry.954149285=ad" TargetMode="External"/><Relationship Id="rId845" Type="http://schemas.openxmlformats.org/officeDocument/2006/relationships/hyperlink" Target="https://drive.google.com/open?id=1X8sKqgqDKDtfummMnuZLF4iaR29h1tTu" TargetMode="External"/><Relationship Id="rId840" Type="http://schemas.openxmlformats.org/officeDocument/2006/relationships/hyperlink" Target="https://drive.google.com/open?id=16-mtXLDYKEkojxwj8iO2Tx2CzwG2d7Ck" TargetMode="External"/><Relationship Id="rId839"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haleshwar&amp;entry.2053410063=2026-07-06&amp;entry.954149285=ALL%20TYPE%20option%20need%20in%20Semester,%20course%20type%20and%20course%20name" TargetMode="External"/><Relationship Id="rId838" Type="http://schemas.openxmlformats.org/officeDocument/2006/relationships/hyperlink" Target="https://drive.google.com/open?id=1Rc9If3ZE4FkICMgZ7hVNJOANDAB6PoTD" TargetMode="External"/><Relationship Id="rId833"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7-06&amp;entry.954149285=FINAL%20SEMESTER%20RESULT%20STATUS%20ONLY%20PASS%20OR%20FAIL" TargetMode="External"/><Relationship Id="rId832" Type="http://schemas.openxmlformats.org/officeDocument/2006/relationships/hyperlink" Target="https://drive.google.com/open?id=1-5O3KNSBZpIrk1sJu-87uGzfidkYu1A3" TargetMode="External"/><Relationship Id="rId831"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7-06&amp;entry.954149285=ADJUST%20ADMIT%20CARD%20IN%20ONE%20PAGE" TargetMode="External"/><Relationship Id="rId830" Type="http://schemas.openxmlformats.org/officeDocument/2006/relationships/hyperlink" Target="https://drive.google.com/open?id=1IYfZJelPNarMU7l4HwXkXIiQQDIJ-1Ez" TargetMode="External"/><Relationship Id="rId837"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VIRENDRA%20KUMAR&amp;entry.2053410063=2026-07-06&amp;entry.954149285=REMOVE%20OFFG.%20AND%20S%20FROM%20EXAMINATIONS%20AND%20ADD%20TEXT%20AT%20LAST%20(This%20is%20a%20computer%20generated%20marksheet%20in%20Pdf%20form%20to%20be%20verified%20from%20the%20Office%20of%20%22The%20Controller%20of%20Examinations%0AJMI%22,%20before%20submitting%20it%20as%20a%20proof)" TargetMode="External"/><Relationship Id="rId836" Type="http://schemas.openxmlformats.org/officeDocument/2006/relationships/hyperlink" Target="https://drive.google.com/open?id=1dLZrsMPaRF2u22mHfYrTYezeqsjf345z" TargetMode="External"/><Relationship Id="rId835"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haleshwar&amp;entry.2053410063=2026-07-06&amp;entry.954149285=Date%20Wise%20filter" TargetMode="External"/><Relationship Id="rId834" Type="http://schemas.openxmlformats.org/officeDocument/2006/relationships/hyperlink" Target="https://drive.google.com/open?id=1i9m5uWDPl-Z07-F1H2WQ-yw7SKtgJGHR" TargetMode="External"/><Relationship Id="rId1059"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CHINTU%20SINGH&amp;entry.2053410063=2026-07-30&amp;entry.954149285=Dear%20Sir,%0A%0APlease%20do%20the%20corrections%20as%20provided%20to%20you%20in%20the%20form%20of%20a%20hard%20file%20at%2012:35PM%20for%20further%20corrections%20and%20declaration%20of%20result%20as%20soon%20as%20possible.%20Please%20correct%20and%20send%20back%20the%20file%20for%20f.n.a." TargetMode="External"/><Relationship Id="rId228"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HIRAJ%20KUMAR&amp;entry.2053410063=2026-04-01&amp;entry.954149285=RE-APPEAR%20STUDENTS%20SGPA%20SHOW%20PLEASE%20REMOVE" TargetMode="External"/><Relationship Id="rId227" Type="http://schemas.openxmlformats.org/officeDocument/2006/relationships/hyperlink" Target="https://drive.google.com/open?id=1SPVWhNDSswl-n-zgHsdipTxSfdP5PpAY" TargetMode="External"/><Relationship Id="rId469"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ohit%20Singh&amp;entry.2053410063=2026-05-19&amp;entry.954149285=please%20do%20as%20per%20discussion" TargetMode="External"/><Relationship Id="rId226"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4-01&amp;entry.954149285=ERROR%20TO%20REPORT%20GENERATE" TargetMode="External"/><Relationship Id="rId468" Type="http://schemas.openxmlformats.org/officeDocument/2006/relationships/hyperlink" Target="https://drive.google.com/open?id=1Fc2daxeU76rfBnLir1MVOHCYdB3H3KuL" TargetMode="External"/><Relationship Id="rId225" Type="http://schemas.openxmlformats.org/officeDocument/2006/relationships/hyperlink" Target="https://drive.google.com/open?id=1uv0_jyoBQRql6G_DZPmt1WKmUoq9EIub" TargetMode="External"/><Relationship Id="rId467"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ajesh%20Gupta&amp;entry.2053410063=2026-05-19&amp;entry.954149285=Please%20check%20the%20attached%20below%20and%20set%20the%2015%20student%20each%20page%20under%20TR%2012" TargetMode="External"/><Relationship Id="rId229" Type="http://schemas.openxmlformats.org/officeDocument/2006/relationships/hyperlink" Target="https://drive.google.com/open?id=1hb36yb24gxNyHVyf9Lyb7Kjo1gAbqk7c" TargetMode="External"/><Relationship Id="rId1050"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ohit%20Singh&amp;entry.2053410063=2026-07-29&amp;entry.954149285=The%20marks%20of%20failed%20students%20should%20not%20be%20highlighted%20in%20red%20on%20the%20mark%20sheet." TargetMode="External"/><Relationship Id="rId220" Type="http://schemas.openxmlformats.org/officeDocument/2006/relationships/hyperlink" Target="https://drive.google.com/open?id=1GdzUwgrUAHjxZP8Y8iOD_ncETjw7-7j6" TargetMode="External"/><Relationship Id="rId462" Type="http://schemas.openxmlformats.org/officeDocument/2006/relationships/hyperlink" Target="https://drive.google.com/open?id=1NBSIYH2BkBAVf_0Pfcx7fyHWm9q-dpVc" TargetMode="External"/><Relationship Id="rId1051" Type="http://schemas.openxmlformats.org/officeDocument/2006/relationships/hyperlink" Target="https://drive.google.com/open?id=1nC8nU6ke5S18qZGOelYDWA0EwMCoL3Ys" TargetMode="External"/><Relationship Id="rId461"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5-18&amp;entry.954149285=PLEASE%20ADD%20A%20COLUMN%20FOR%20STUDENT%20COUNT" TargetMode="External"/><Relationship Id="rId1052"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ohit%20Singh&amp;entry.2053410063=2026-07-29&amp;entry.954149285=The%20practical%20marks%20of%20private%20students%20are%20not%20showing%20on%20the%20mark%20sheet." TargetMode="External"/><Relationship Id="rId460" Type="http://schemas.openxmlformats.org/officeDocument/2006/relationships/hyperlink" Target="https://drive.google.com/open?id=1G9T7-uYa_KcSYTVVIGytv_xICxzGuJ4v" TargetMode="External"/><Relationship Id="rId1053" Type="http://schemas.openxmlformats.org/officeDocument/2006/relationships/hyperlink" Target="https://drive.google.com/open?id=1UpamrMmiBuutS7AF_GLqUHAQMBh2O7NO" TargetMode="External"/><Relationship Id="rId1054"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ohit%20Singh&amp;entry.2053410063=2026-07-29&amp;entry.954149285=The%20mark%20sheet%20is%20not%20downloading%20of%20part-3" TargetMode="External"/><Relationship Id="rId224"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4-01&amp;entry.954149285=PAGE%20ADJUSTMENT" TargetMode="External"/><Relationship Id="rId466" Type="http://schemas.openxmlformats.org/officeDocument/2006/relationships/hyperlink" Target="https://drive.google.com/open?id=1-HGVPDX27j-_0zVkn8z94YTcZv2XhNXe" TargetMode="External"/><Relationship Id="rId1055" Type="http://schemas.openxmlformats.org/officeDocument/2006/relationships/hyperlink" Target="https://drive.google.com/open?id=1t-iM0eAeZsZr7nzYAFmO45nM3QusKUeZ" TargetMode="External"/><Relationship Id="rId223" Type="http://schemas.openxmlformats.org/officeDocument/2006/relationships/hyperlink" Target="https://drive.google.com/open?id=171vDpI9_OOmmH1J3oDA-sBAmimBHfXHA" TargetMode="External"/><Relationship Id="rId465"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ohit%20Singh&amp;entry.2053410063=2026-05-18&amp;entry.954149285=Course%20name%20font%20size%20decrease%20as%20per%20our%20discussion" TargetMode="External"/><Relationship Id="rId1056"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7-29&amp;entry.954149285=PLEASE%20SET%20REGISTRATION%20NO%20VIEW%20FROM%20TRPASSOUTDATA%20TABLE" TargetMode="External"/><Relationship Id="rId222"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hanshree%20Kale%20&amp;entry.2053410063=2026-04-01&amp;entry.954149285=DO%20ASAP" TargetMode="External"/><Relationship Id="rId464" Type="http://schemas.openxmlformats.org/officeDocument/2006/relationships/hyperlink" Target="https://drive.google.com/open?id=1YxsvXS0zYWop2f__Pet4J74K086Yy80e" TargetMode="External"/><Relationship Id="rId1057" Type="http://schemas.openxmlformats.org/officeDocument/2006/relationships/hyperlink" Target="https://drive.google.com/open?id=11UGY-1Rl-A7QsxH6vC7yl-dIU0qDoBjB" TargetMode="External"/><Relationship Id="rId221" Type="http://schemas.openxmlformats.org/officeDocument/2006/relationships/hyperlink" Target="https://drive.google.com/open?id=1C_A6MzM3jyw4GNhLF3nvZKRd9Ghcti0p" TargetMode="External"/><Relationship Id="rId463"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5-18&amp;entry.954149285=KINDLY%20VIEW%20THE%20EXAM%20STARTING%20DAY%20DATE" TargetMode="External"/><Relationship Id="rId1058" Type="http://schemas.openxmlformats.org/officeDocument/2006/relationships/hyperlink" Target="https://drive.google.com/open?id=1c5nLOUQbRcTcIv3t5lRN8GowTeOO8BjL" TargetMode="External"/><Relationship Id="rId1048"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ajesh%20Gupta&amp;entry.2053410063=2026-07-29&amp;entry.954149285=Please%20check%20TR%2018%203rd%20sem.%20and%20add%20result%20column" TargetMode="External"/><Relationship Id="rId1049" Type="http://schemas.openxmlformats.org/officeDocument/2006/relationships/hyperlink" Target="https://drive.google.com/open?id=17QejiLw3HyWBti09wWgC3CbElFHNgb2s" TargetMode="External"/><Relationship Id="rId217" Type="http://schemas.openxmlformats.org/officeDocument/2006/relationships/hyperlink" Target="https://drive.google.com/open?id=1_nw09-xrHzPpyIWzauxOp9FojdX202BM" TargetMode="External"/><Relationship Id="rId459" Type="http://schemas.openxmlformats.org/officeDocument/2006/relationships/hyperlink" Target="https://drive.google.com/open?id=1WnRG4C05vLecV5OL5nRJtWssHwk4NkH5" TargetMode="External"/><Relationship Id="rId216"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BISWAJIT%20MAJHI&amp;entry.2053410063=2026-04-01&amp;entry.954149285=PLEASE%20UPDATE" TargetMode="External"/><Relationship Id="rId458"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ohit%20Singh&amp;entry.2053410063=2026-05-18&amp;entry.954149285=subject%20unit%20name%20not%20show%20in%20panel" TargetMode="External"/><Relationship Id="rId215" Type="http://schemas.openxmlformats.org/officeDocument/2006/relationships/hyperlink" Target="https://drive.google.com/open?id=1TCz5_eoBZOjD81rtvkz4ikEVwBDoafzc" TargetMode="External"/><Relationship Id="rId457" Type="http://schemas.openxmlformats.org/officeDocument/2006/relationships/hyperlink" Target="https://drive.google.com/open?id=1br_a5rgR3YRDQ9EnGugn9ddh6cBb8w5w" TargetMode="External"/><Relationship Id="rId699"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rishnendu%20maity&amp;entry.2053410063=2026-06-18&amp;entry.954149285=Correction%20mention%20in%20excel%20file" TargetMode="External"/><Relationship Id="rId214" Type="http://schemas.openxmlformats.org/officeDocument/2006/relationships/hyperlink" Target="https://drive.google.com/open?id=1T0pinKU1Tsdk-lnw-_EoJrDh99u9ZpRM" TargetMode="External"/><Relationship Id="rId456"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rishnendu%20maity&amp;entry.2053410063=2026-05-16&amp;entry.954149285=MODIFICATION" TargetMode="External"/><Relationship Id="rId698" Type="http://schemas.openxmlformats.org/officeDocument/2006/relationships/hyperlink" Target="https://drive.google.com/open?id=1vEmbhDuqdrXGSHdP5NbyffBKzX5LqeMH" TargetMode="External"/><Relationship Id="rId219"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BISWAJIT%20MAJHI&amp;entry.2053410063=2026-04-01&amp;entry.954149285=PRG%20RESULT%20IN%20TR" TargetMode="External"/><Relationship Id="rId218" Type="http://schemas.openxmlformats.org/officeDocument/2006/relationships/hyperlink" Target="https://drive.google.com/open?id=1dhtEZGQg0nHVlMYrpZdn4Ue5MsauqJfy" TargetMode="External"/><Relationship Id="rId451" Type="http://schemas.openxmlformats.org/officeDocument/2006/relationships/hyperlink" Target="https://drive.google.com/open?id=1aWiLSX-720tlN6aDsO0sIOnpMoDuwW4h" TargetMode="External"/><Relationship Id="rId693"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6-17&amp;entry.954149285=please%20add%20filter%20the%20exam%20type%20for%20supply%20marks%20foil%20print" TargetMode="External"/><Relationship Id="rId1040" Type="http://schemas.openxmlformats.org/officeDocument/2006/relationships/hyperlink" Target="https://drive.google.com/open?id=1WIqxzd_FjCQB9EDGjytEUOpOm7lhlTls" TargetMode="External"/><Relationship Id="rId450"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rishnendu%20maity&amp;entry.2053410063=2026-05-16&amp;entry.954149285=MODIFICATION" TargetMode="External"/><Relationship Id="rId692" Type="http://schemas.openxmlformats.org/officeDocument/2006/relationships/hyperlink" Target="https://drive.google.com/open?id=16XyUwn5ZJ7w4_kw1zE4votPCpn5Tr3nv" TargetMode="External"/><Relationship Id="rId1041" Type="http://schemas.openxmlformats.org/officeDocument/2006/relationships/hyperlink" Target="https://drive.google.com/open?id=1qQBTHyl0_iupVuCNsDk8ePGY7tl875kg" TargetMode="External"/><Relationship Id="rId691"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6-16&amp;entry.954149285=please%20adjust%20marksheet%20in%20one%20pagE" TargetMode="External"/><Relationship Id="rId1042"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Akshay%20jaltare&amp;entry.2053410063=2026-07-28&amp;entry.954149285=Marksheet%20correction" TargetMode="External"/><Relationship Id="rId690" Type="http://schemas.openxmlformats.org/officeDocument/2006/relationships/hyperlink" Target="https://drive.google.com/open?id=1S2v7K8m6cr7ReNvDdiNOjy4FuN1a9PEK" TargetMode="External"/><Relationship Id="rId1043" Type="http://schemas.openxmlformats.org/officeDocument/2006/relationships/hyperlink" Target="https://drive.google.com/open?id=1uREFuAFiQh8EXV3eHUstFvv0gpp7-sfZ" TargetMode="External"/><Relationship Id="rId213"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4-01&amp;entry.954149285=PLEASE%20CHANGE%20THE%20DATE%20FORMAT" TargetMode="External"/><Relationship Id="rId455" Type="http://schemas.openxmlformats.org/officeDocument/2006/relationships/hyperlink" Target="https://drive.google.com/open?id=1yCt_ko5aPYqBXUpC0RiQB1KVA0-UclJh" TargetMode="External"/><Relationship Id="rId697"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Purna%20Kumar&amp;entry.2053410063=2026-06-17&amp;entry.954149285=In%20case%20of%20Promoted%20and%20Detained%20students%20-%20Total%20credit%20points%20is%20reflecting%20ZERO%20in%20excel" TargetMode="External"/><Relationship Id="rId1044"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INESH%20KUMAR&amp;entry.2053410063=2026-07-29&amp;entry.954149285=URGENT" TargetMode="External"/><Relationship Id="rId212" Type="http://schemas.openxmlformats.org/officeDocument/2006/relationships/hyperlink" Target="https://drive.google.com/open?id=1zMOqcFZpeJJc4buvjkKWYxstiTA_qeCH" TargetMode="External"/><Relationship Id="rId454"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rishnendu%20maity&amp;entry.2053410063=2026-05-16&amp;entry.954149285=MODIFICATION" TargetMode="External"/><Relationship Id="rId696" Type="http://schemas.openxmlformats.org/officeDocument/2006/relationships/hyperlink" Target="https://drive.google.com/open?id=1EBSTK5c67EKEHPaWIWGjZyeDccFl4W5Y" TargetMode="External"/><Relationship Id="rId1045" Type="http://schemas.openxmlformats.org/officeDocument/2006/relationships/hyperlink" Target="https://drive.google.com/open?id=1-3iY3eBU0PZqLwdTEoTqnNhZjsFfxo0X" TargetMode="External"/><Relationship Id="rId211"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rishnendu%20maity&amp;entry.2053410063=2026-03-31&amp;entry.954149285=Re-appear%20marks%20entry%20report%20not%20generate." TargetMode="External"/><Relationship Id="rId453" Type="http://schemas.openxmlformats.org/officeDocument/2006/relationships/hyperlink" Target="https://drive.google.com/open?id=1WQrI2wA0h44gaPLcZOjiNOaHnKROEUya" TargetMode="External"/><Relationship Id="rId695"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Somen%20parui&amp;entry.2053410063=2026-06-17&amp;entry.954149285=MARK_ENTRY_TMP1%20deleted_at%20is%20null" TargetMode="External"/><Relationship Id="rId1046"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7-29&amp;entry.954149285=PLEASE%20ADD%20THE%20REPORT%20FOR%20FINAL%20SEMESTER" TargetMode="External"/><Relationship Id="rId210" Type="http://schemas.openxmlformats.org/officeDocument/2006/relationships/hyperlink" Target="https://drive.google.com/open?id=1Uc8KQLn0h8YkJILR1r3KHR3txDnERFRM" TargetMode="External"/><Relationship Id="rId452"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rishnendu%20maity&amp;entry.2053410063=2026-05-16&amp;entry.954149285=modification" TargetMode="External"/><Relationship Id="rId694" Type="http://schemas.openxmlformats.org/officeDocument/2006/relationships/hyperlink" Target="https://drive.google.com/open?id=11q8ZfMJuxThBt8JJTm18fiL4f-b1yPZm" TargetMode="External"/><Relationship Id="rId1047" Type="http://schemas.openxmlformats.org/officeDocument/2006/relationships/hyperlink" Target="https://drive.google.com/open?id=12oc2rP0pDXX2VME6xJXulNJiu02vj2db" TargetMode="External"/><Relationship Id="rId491"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AMIT%20YADU&amp;entry.2053410063=2026-05-21&amp;entry.954149285=ADMIT%20CARD%20ME%20STATUS%20REMOVE%20KARNA%20HAI." TargetMode="External"/><Relationship Id="rId490" Type="http://schemas.openxmlformats.org/officeDocument/2006/relationships/hyperlink" Target="https://drive.google.com/open?id=1Nnll1wvk89XTo9l3KQ6E932Y1Gemp7OS" TargetMode="External"/><Relationship Id="rId249" Type="http://schemas.openxmlformats.org/officeDocument/2006/relationships/hyperlink" Target="https://drive.google.com/open?id=1MgkT8jD99tTVwqW8G5RIGWy9ajhgydpk" TargetMode="External"/><Relationship Id="rId248"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rishnendu%20maity&amp;entry.2053410063=2026-04-03&amp;entry.954149285=CA/CIA%20MARK%20ENTRY%20report%20few%20subject%20SUBJECTQCODE%20blank%20show." TargetMode="External"/><Relationship Id="rId247" Type="http://schemas.openxmlformats.org/officeDocument/2006/relationships/hyperlink" Target="https://drive.google.com/open?id=1iwMGvRkfE4nzQd3ikjqWKz013LpEp0U-" TargetMode="External"/><Relationship Id="rId489" Type="http://schemas.openxmlformats.org/officeDocument/2006/relationships/hyperlink" Target="https://drive.google.com/open?id=17LqZCAtrz3p1Ag8-pKrwNQQ9CKdhEUQU" TargetMode="External"/><Relationship Id="rId1070" Type="http://schemas.openxmlformats.org/officeDocument/2006/relationships/hyperlink" Target="https://drive.google.com/open?id=1SYUJ1m4gV43GOlaFbSxAB-AOcdIFAL9f" TargetMode="External"/><Relationship Id="rId1071"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7-31&amp;entry.954149285=UFM%20refelct%20in%20TR%20is%200..%20it%20change%20to%20UFM%20in%20Red%20color" TargetMode="External"/><Relationship Id="rId1072" Type="http://schemas.openxmlformats.org/officeDocument/2006/relationships/hyperlink" Target="https://drive.google.com/open?id=1laJYtYr9r3fQnatxm4YuWbgzPGeZYtAS" TargetMode="External"/><Relationship Id="rId242"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ohit%20Singh&amp;entry.2053410063=2026-04-02&amp;entry.954149285=Please%20update%20the%20student%20details" TargetMode="External"/><Relationship Id="rId484"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ohit%20Singh&amp;entry.2053410063=2026-05-21&amp;entry.954149285=Please%20as%20per%20discussion" TargetMode="External"/><Relationship Id="rId1073" Type="http://schemas.openxmlformats.org/officeDocument/2006/relationships/hyperlink" Target="https://drive.google.com/open?id=1NDNsuhmMbV7myAc-XovftPpmdSJSXudJ" TargetMode="External"/><Relationship Id="rId241" Type="http://schemas.openxmlformats.org/officeDocument/2006/relationships/hyperlink" Target="https://drive.google.com/open?id=1XYxjhY0MssteWsu6u4Kvc6TQTw1y9-SP" TargetMode="External"/><Relationship Id="rId483" Type="http://schemas.openxmlformats.org/officeDocument/2006/relationships/hyperlink" Target="https://drive.google.com/open?id=1OxcO-EihUpm1az3Df9SRn9GFyqxH1Hlr" TargetMode="External"/><Relationship Id="rId1074"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8-01&amp;entry.954149285=KINDLY%20CORRECT%20SUB%20HEADER" TargetMode="External"/><Relationship Id="rId240"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Satish%20Kumar&amp;entry.2053410063=2026-04-02&amp;entry.954149285=Please%20add%20the%20extension%20for%20the%20downloading.%20in%20Excel.%0A%0A1.%20sessional%20marks%20missing%20report%0A2.%20practical%20marks%20missing%20report%0A3.%20theory%20marks%20missing%20report%0Aadd%20the%20one%20filed%20rollno" TargetMode="External"/><Relationship Id="rId482"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PURNA%20KUMAR&amp;entry.2053410063=2026-05-21&amp;entry.954149285=Correction%20in%20attendance%20sheet" TargetMode="External"/><Relationship Id="rId1075" Type="http://schemas.openxmlformats.org/officeDocument/2006/relationships/hyperlink" Target="https://drive.google.com/open?id=1Td_-nhAPHyXPqgsdILtXFNo8oQuetXAI" TargetMode="External"/><Relationship Id="rId481" Type="http://schemas.openxmlformats.org/officeDocument/2006/relationships/hyperlink" Target="https://drive.google.com/open?id=1Iw0-nQcIC-r2sy9ohu7sutGeZuigOTBJ" TargetMode="External"/><Relationship Id="rId1076"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ohit%20Singh&amp;entry.2053410063=2026-08-04&amp;entry.954149285=CF%20not%20display%20in%20TR" TargetMode="External"/><Relationship Id="rId246"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CBLU&amp;entry.2053410063=2026-04-02&amp;entry.954149285=GRACE%20marks%20show%20Double" TargetMode="External"/><Relationship Id="rId488"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Akshata%20peraspure%20&amp;entry.2053410063=2026-05-21&amp;entry.954149285=Bpes%20tr%20alignment" TargetMode="External"/><Relationship Id="rId1077" Type="http://schemas.openxmlformats.org/officeDocument/2006/relationships/hyperlink" Target="https://drive.google.com/open?id=1zggCi4O3zO74tjTHciZjxSRi-pynJK8V" TargetMode="External"/><Relationship Id="rId245" Type="http://schemas.openxmlformats.org/officeDocument/2006/relationships/hyperlink" Target="https://drive.google.com/open?id=19cUHDu9Bnw1ZM99xaqdf1nOS0k9ZGcKF" TargetMode="External"/><Relationship Id="rId487" Type="http://schemas.openxmlformats.org/officeDocument/2006/relationships/hyperlink" Target="https://drive.google.com/open?id=12tihj6KfgPwQr-yPP7nnlB2DE_C6IxGy" TargetMode="External"/><Relationship Id="rId1078"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CHINTU%20SINGH&amp;entry.2053410063=2026-08-05&amp;entry.954149285=Sir,%20%20please%20provide%20the%20final%20TR%20download%20option%20in%20the%20NEP%20portal" TargetMode="External"/><Relationship Id="rId244"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HIRAJ%20KUMAR&amp;entry.2053410063=2026-04-02&amp;entry.954149285=Duplicate%20students%20show%20and%20fee%20not%20show" TargetMode="External"/><Relationship Id="rId486"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ajesh%20Gupta&amp;entry.2053410063=2026-05-21&amp;entry.954149285=0221124004,%200221124005,%200221124006,%200221124007,%200221124008,%200221124009,%200221124011,%200221124013,%200221124018,%200221124021,%200221124025,%200221124037,%200221124028,%200221124030,%200221124032,%200221124036,%200221124040,%200221124045,%200221124047,%200221124048,%200221124049,%200221124051,%200221124052,%200221124053,%200221124059,%200221124062,%200221124065,%200221124066,%200221124068,%200221124069,%200221124070,%200221124078,%200221124079,%200221124080,%200221124084,%200221124085,%200221124086,%200221124089,%200221124090,%200221124092,%200221124093,%200221124094,%200221124097,%200221124098,%200221124100%20in%20sab%20k%20marksheet%20m%20error%20hai,%20so%20please%20check%20and%20resolve%20as%20soon%20as%20possible." TargetMode="External"/><Relationship Id="rId1079" Type="http://schemas.openxmlformats.org/officeDocument/2006/relationships/hyperlink" Target="https://drive.google.com/open?id=1yM7dpw71uA1blBKG88QanMjyu-WMAyWu" TargetMode="External"/><Relationship Id="rId243" Type="http://schemas.openxmlformats.org/officeDocument/2006/relationships/hyperlink" Target="https://drive.google.com/open?id=1c7klg4rf1M68ihG7WynOsbCutIl1npKV" TargetMode="External"/><Relationship Id="rId485" Type="http://schemas.openxmlformats.org/officeDocument/2006/relationships/hyperlink" Target="https://drive.google.com/open?id=1JGtJiqMyJhM5cnYS4T23UKEXY8R-QFCD" TargetMode="External"/><Relationship Id="rId480"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Arpanalekhya%20Jana&amp;entry.2053410063=2026-05-21&amp;entry.954149285=d" TargetMode="External"/><Relationship Id="rId239" Type="http://schemas.openxmlformats.org/officeDocument/2006/relationships/hyperlink" Target="https://drive.google.com/open?id=1FhIfXigVDj1iDBEiXlVbNliWPuSr7aAx" TargetMode="External"/><Relationship Id="rId238"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ohit%20Singh&amp;entry.2053410063=2026-04-01&amp;entry.954149285=Update%20the%20Press%20Release%20as%20per%20TR" TargetMode="External"/><Relationship Id="rId237" Type="http://schemas.openxmlformats.org/officeDocument/2006/relationships/hyperlink" Target="https://drive.google.com/open?id=1oYpl9O17uhpSqivF7osz86umWxoMZCD6" TargetMode="External"/><Relationship Id="rId479" Type="http://schemas.openxmlformats.org/officeDocument/2006/relationships/hyperlink" Target="https://drive.google.com/open?id=1re6vAB33N7MUZ77KajsjJlFBSIBhANwn" TargetMode="External"/><Relationship Id="rId236"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ohit%20Singh&amp;entry.2053410063=2026-04-01&amp;entry.954149285=Please%20update%20the%20student%20result%20status%20in%20TR" TargetMode="External"/><Relationship Id="rId478"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hiraj%20Kumar&amp;entry.2053410063=2026-05-20&amp;entry.954149285=In%20TR%20Add%20grace%20Given%20%20in%20Remarks%20section%20in%20Main%20TR%20and%20Grace%20Taken%20in%20prev.%20Exam%20%20Re-appear%20TR%20(Urgent)" TargetMode="External"/><Relationship Id="rId1060" Type="http://schemas.openxmlformats.org/officeDocument/2006/relationships/hyperlink" Target="https://drive.google.com/open?id=1EK1CXs_0_ASiuoo2HXJrLbLeOjT9oxyD" TargetMode="External"/><Relationship Id="rId1061" Type="http://schemas.openxmlformats.org/officeDocument/2006/relationships/hyperlink" Target="https://drive.google.com/open?id=1UJzN2VXAQVPiOHdH6tJZFKrWP5cFMvFK" TargetMode="External"/><Relationship Id="rId231" Type="http://schemas.openxmlformats.org/officeDocument/2006/relationships/hyperlink" Target="https://drive.google.com/open?id=1iJwQfjtymOgmHQoZ-5ZM--YEjOXOC4vJ" TargetMode="External"/><Relationship Id="rId473"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ohit%20Singh&amp;entry.2053410063=2026-05-19&amp;entry.954149285=Please%20change%20the%20font%20type" TargetMode="External"/><Relationship Id="rId1062"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IWAKARTIWARI&amp;entry.2053410063=2026-07-30&amp;entry.954149285=PLZ%20UPDATE" TargetMode="External"/><Relationship Id="rId230"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HIRAJ%20KUMAR&amp;entry.2053410063=2026-04-01&amp;entry.954149285=DUPLICATE%20FEILD%20REMOVE" TargetMode="External"/><Relationship Id="rId472" Type="http://schemas.openxmlformats.org/officeDocument/2006/relationships/hyperlink" Target="https://drive.google.com/open?id=1uwJ2ETFc5D-X047Q0u6cC1-usSptfFtP" TargetMode="External"/><Relationship Id="rId1063" Type="http://schemas.openxmlformats.org/officeDocument/2006/relationships/hyperlink" Target="https://drive.google.com/open?id=1Ma_ayNpI05LOV11ouSdWb8qCUwIfsA1C" TargetMode="External"/><Relationship Id="rId471"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AJIV%20SIRSAT&amp;entry.2053410063=2026-05-19&amp;entry.954149285=SOME%20SUBJECT%20MISSING%20IN%20RESULT%20STATISTICS%20FOR%20THE%20COLLEGE" TargetMode="External"/><Relationship Id="rId1064"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7-31&amp;entry.954149285=Kindly%20change%20division%20condition%20for%20final%20sem%20marksheet/grade%20card.%20please%20add%20conditions%20from%20coursemst" TargetMode="External"/><Relationship Id="rId470" Type="http://schemas.openxmlformats.org/officeDocument/2006/relationships/hyperlink" Target="https://drive.google.com/open?id=16m7IbJmdY71pex5vZKxA0pvFGlCCO0Uj" TargetMode="External"/><Relationship Id="rId1065" Type="http://schemas.openxmlformats.org/officeDocument/2006/relationships/hyperlink" Target="https://drive.google.com/open?id=1PFrQfz59TQTJK4DFiyJXvbXQf3fKkz-Z" TargetMode="External"/><Relationship Id="rId235" Type="http://schemas.openxmlformats.org/officeDocument/2006/relationships/hyperlink" Target="https://drive.google.com/open?id=1SVdzFYj_upWdlwYly-am0eNfh7jWGHYj" TargetMode="External"/><Relationship Id="rId477" Type="http://schemas.openxmlformats.org/officeDocument/2006/relationships/hyperlink" Target="https://drive.google.com/open?id=1u4vFsNmwPYrzNjxAbNWQnAExk_ftQbk0" TargetMode="External"/><Relationship Id="rId1066"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7-31&amp;entry.954149285=error%20of%20selection%20parameter%20required%20enrollment%20form" TargetMode="External"/><Relationship Id="rId234"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Tusar%20Chhatui&amp;entry.2053410063=2026-04-01&amp;entry.954149285=TR%20not%20download" TargetMode="External"/><Relationship Id="rId476"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HARSHIT%20KUMAR&amp;entry.2053410063=2026-05-19&amp;entry.954149285=DO%20THE%20CORRECTION%20AS%20PER%20ATTACHEMNET" TargetMode="External"/><Relationship Id="rId1067" Type="http://schemas.openxmlformats.org/officeDocument/2006/relationships/hyperlink" Target="https://drive.google.com/open?id=1IdFBbktYDRLlMtEFgVsJ081i6z2DmKX7" TargetMode="External"/><Relationship Id="rId233" Type="http://schemas.openxmlformats.org/officeDocument/2006/relationships/hyperlink" Target="https://drive.google.com/open?id=1EulZzM0rOJ9MC284BfOsTugymjOyI0x5" TargetMode="External"/><Relationship Id="rId475" Type="http://schemas.openxmlformats.org/officeDocument/2006/relationships/hyperlink" Target="https://drive.google.com/open?id=1ISO4Lbwu7AKoaeNCMVqtIdJ-ui2uvEUp" TargetMode="External"/><Relationship Id="rId1068"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haleshwar&amp;entry.2053410063=2026-07-31&amp;entry.954149285=ad" TargetMode="External"/><Relationship Id="rId232"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haleshwar&amp;entry.2053410063=2026-04-01&amp;entry.954149285=ad" TargetMode="External"/><Relationship Id="rId474" Type="http://schemas.openxmlformats.org/officeDocument/2006/relationships/hyperlink" Target="https://drive.google.com/open?id=1Z1DatcU84jUJfkhL5SXSRIrH6AHeculY" TargetMode="External"/><Relationship Id="rId1069" Type="http://schemas.openxmlformats.org/officeDocument/2006/relationships/hyperlink" Target="https://drive.google.com/open?id=1PvLeJ_UzfZ0QkU94ENJCf2gKy3waeUfN" TargetMode="External"/><Relationship Id="rId1015" Type="http://schemas.openxmlformats.org/officeDocument/2006/relationships/hyperlink" Target="https://drive.google.com/open?id=1h6_zPJVUJR20Qs9XzoT4LXH8o8H7wHpp" TargetMode="External"/><Relationship Id="rId1016"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7-25&amp;entry.954149285=KINDLY%20UPDATE%20MISSING%20SUBJECT" TargetMode="External"/><Relationship Id="rId1017" Type="http://schemas.openxmlformats.org/officeDocument/2006/relationships/hyperlink" Target="https://drive.google.com/open?id=1-70CW1XPgUeO7hDbE098NEdmXUNPbZHm" TargetMode="External"/><Relationship Id="rId1018"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ohit%20Singh&amp;entry.2053410063=2026-07-25&amp;entry.954149285=practical%20marks%20not%20show%20in%20marks%20sheet" TargetMode="External"/><Relationship Id="rId1019" Type="http://schemas.openxmlformats.org/officeDocument/2006/relationships/hyperlink" Target="https://drive.google.com/open?id=1ifvL5J2DyhV3Rcm0UwypHkoe7gRNLlQK" TargetMode="External"/><Relationship Id="rId426" Type="http://schemas.openxmlformats.org/officeDocument/2006/relationships/hyperlink" Target="https://drive.google.com/open?id=19RAeOvxbl0KG_n8OvQD2Gfaq3sb9FL7a" TargetMode="External"/><Relationship Id="rId668" Type="http://schemas.openxmlformats.org/officeDocument/2006/relationships/hyperlink" Target="https://drive.google.com/open?id=1s37tZlRDw0Db2ca2MXrS4lcQe5dK8oib" TargetMode="External"/><Relationship Id="rId425"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5-09&amp;entry.954149285=KINDLY%20CORRECT%20THE%20TR%20REPORT" TargetMode="External"/><Relationship Id="rId667" Type="http://schemas.openxmlformats.org/officeDocument/2006/relationships/hyperlink" Target="https://drive.google.com/open?id=1vVuj9dsu9tyIbjZkKr0iZnMVwvsMCkoO" TargetMode="External"/><Relationship Id="rId424" Type="http://schemas.openxmlformats.org/officeDocument/2006/relationships/hyperlink" Target="https://drive.google.com/open?id=1B5rjSArg9tTQk_tvVKmwmH2fFLCHXLvy" TargetMode="External"/><Relationship Id="rId666"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Gayatri%20Gheware%20&amp;entry.2053410063=2026-06-13&amp;entry.954149285=W/N%20conditions%20In%20TR%20&amp;%20TR%20summary" TargetMode="External"/><Relationship Id="rId423" Type="http://schemas.openxmlformats.org/officeDocument/2006/relationships/hyperlink" Target="https://drive.google.com/open?id=1VQ5WGCad0Yg5rZNFca4fe9ts4vEQ3LKf" TargetMode="External"/><Relationship Id="rId665" Type="http://schemas.openxmlformats.org/officeDocument/2006/relationships/hyperlink" Target="https://drive.google.com/open?id=1S28CLPdzIbAJ7cprYeJyfSgCHwSZBNFV" TargetMode="External"/><Relationship Id="rId429" Type="http://schemas.openxmlformats.org/officeDocument/2006/relationships/hyperlink" Target="https://drive.google.com/open?id=1mkZYO8WrkXcKh3dKlxcIrwise1rZwgWq" TargetMode="External"/><Relationship Id="rId428" Type="http://schemas.openxmlformats.org/officeDocument/2006/relationships/hyperlink" Target="https://drive.google.com/open?id=1PBjG5YRHISTf0PWvs9XbO8yQ59CUOQ6j" TargetMode="External"/><Relationship Id="rId427"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INESH%20KUMAR&amp;entry.2053410063=2026-05-11&amp;entry.954149285=urgent" TargetMode="External"/><Relationship Id="rId669"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Gayatri%20Gheware%20&amp;entry.2053410063=2026-06-13&amp;entry.954149285=W/N%20conditions%20in%20TR%20&amp;%20TR%20summary" TargetMode="External"/><Relationship Id="rId660"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Gayatri%20Gheware%20&amp;entry.2053410063=2026-06-13&amp;entry.954149285=W/N%20conditions%20In%20TR%20&amp;%20TR%20summary" TargetMode="External"/><Relationship Id="rId1010"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TAPAS%20MAZUMDAR&amp;entry.2053410063=2026-07-24&amp;entry.954149285=" TargetMode="External"/><Relationship Id="rId422"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rishnendu%20maity&amp;entry.2053410063=2026-05-09&amp;entry.954149285=STUDENT_ATTENDANCE%20%20report%20Select%20Report%20Type%20add%20pdf%20%20for%20college%20and%20Select%20Report%20Type%20excel%20&amp;%20pdf%20add%20for%20admin." TargetMode="External"/><Relationship Id="rId664" Type="http://schemas.openxmlformats.org/officeDocument/2006/relationships/hyperlink" Target="https://drive.google.com/open?id=1YWGDGjqLoKXYQQqdWDILizFrs_YabZdj" TargetMode="External"/><Relationship Id="rId1011" Type="http://schemas.openxmlformats.org/officeDocument/2006/relationships/hyperlink" Target="https://drive.google.com/open?id=1c4XBmZ0OqbDhadJnYnIlu2ioeeUcSk8T" TargetMode="External"/><Relationship Id="rId421" Type="http://schemas.openxmlformats.org/officeDocument/2006/relationships/hyperlink" Target="https://drive.google.com/open?id=1nlskHSreeuiWWZzFA7Ehs78RGY-L0gY5" TargetMode="External"/><Relationship Id="rId663"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Gayatri%20Gheware%20&amp;entry.2053410063=2026-06-13&amp;entry.954149285=W/N%20conditions%20In%20TR%20&amp;%20TR%20summary" TargetMode="External"/><Relationship Id="rId1012"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7-25&amp;entry.954149285=CORRECTION" TargetMode="External"/><Relationship Id="rId420"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rishnendu%20maity&amp;entry.2053410063=2026-05-09&amp;entry.954149285=STUDENT_ATTENDANCE%20report%20mobile%20no%20and%20admission%20year%20add." TargetMode="External"/><Relationship Id="rId662" Type="http://schemas.openxmlformats.org/officeDocument/2006/relationships/hyperlink" Target="https://drive.google.com/open?id=1OOHvna7qPfLtiLCm87Z7nTZUgURLxQnt" TargetMode="External"/><Relationship Id="rId1013" Type="http://schemas.openxmlformats.org/officeDocument/2006/relationships/hyperlink" Target="https://drive.google.com/open?id=1LZzPlHtrFbhxOtZmxXBQpIbEj8bmmR0u" TargetMode="External"/><Relationship Id="rId661" Type="http://schemas.openxmlformats.org/officeDocument/2006/relationships/hyperlink" Target="https://drive.google.com/open?id=1qrxQym0GZyHa0h-gOW0MoUgYyNL9nBJy" TargetMode="External"/><Relationship Id="rId1014"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7-25&amp;entry.954149285=ROLL%20NO%20AN%20ENROOL%20NO%20CORRECTION%20FIELD" TargetMode="External"/><Relationship Id="rId1004"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ohit%20Singh&amp;entry.2053410063=2026-07-24&amp;entry.954149285=its%20urgent" TargetMode="External"/><Relationship Id="rId1005" Type="http://schemas.openxmlformats.org/officeDocument/2006/relationships/hyperlink" Target="https://drive.google.com/open?id=1rE-dCSexpfMcM-hhTiPRSknzuDm57r4X" TargetMode="External"/><Relationship Id="rId1006"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ajesh%20Gupta&amp;entry.2053410063=2026-07-24&amp;entry.954149285=Please%20check%20TR%2017%20and%20TR%2018%20not%20download." TargetMode="External"/><Relationship Id="rId1007" Type="http://schemas.openxmlformats.org/officeDocument/2006/relationships/hyperlink" Target="https://drive.google.com/open?id=1RWWYTJhzlQ9YvO-T3I0TZL7Y11fNe73O" TargetMode="External"/><Relationship Id="rId1008"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TAPAS%20MAZUMDAR&amp;entry.2053410063=2026-07-24&amp;entry.954149285=" TargetMode="External"/><Relationship Id="rId1009" Type="http://schemas.openxmlformats.org/officeDocument/2006/relationships/hyperlink" Target="https://drive.google.com/open?id=1wnOyLlfC_ubbzBA9S29I4rtFC0x_OQfc" TargetMode="External"/><Relationship Id="rId415" Type="http://schemas.openxmlformats.org/officeDocument/2006/relationships/hyperlink" Target="https://drive.google.com/open?id=1XV7-_Qu5x1wfy7It9cobXuPz6NurzAT_" TargetMode="External"/><Relationship Id="rId657"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Gayatri%20Gheware%20&amp;entry.2053410063=2026-06-13&amp;entry.954149285=W/N%20conditions%20In%20TR%20&amp;%20TR%20summary" TargetMode="External"/><Relationship Id="rId899" Type="http://schemas.openxmlformats.org/officeDocument/2006/relationships/hyperlink" Target="https://drive.google.com/open?id=1oFhx138_h5xQ7E2ELM5wmgyxFrSP8v01" TargetMode="External"/><Relationship Id="rId414"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5-07&amp;entry.954149285=REPORT%20NOT%20GENERATE" TargetMode="External"/><Relationship Id="rId656" Type="http://schemas.openxmlformats.org/officeDocument/2006/relationships/hyperlink" Target="https://drive.google.com/open?id=1GoyY1zbD7w7Z1Tt6oeFEOz5tLxiydSuV" TargetMode="External"/><Relationship Id="rId898"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Somen%20Parui&amp;entry.2053410063=2026-07-13&amp;entry.954149285=Discuss%20with%20Rup%20on%20call" TargetMode="External"/><Relationship Id="rId413" Type="http://schemas.openxmlformats.org/officeDocument/2006/relationships/hyperlink" Target="https://drive.google.com/open?id=1bF-7mZfqNZncq4cmgVq-pdma8gwyr0pP" TargetMode="External"/><Relationship Id="rId655" Type="http://schemas.openxmlformats.org/officeDocument/2006/relationships/hyperlink" Target="https://drive.google.com/open?id=1Q-8bUcgnHRp6XRLmHyiOpIA9iWCBN_NJ" TargetMode="External"/><Relationship Id="rId897" Type="http://schemas.openxmlformats.org/officeDocument/2006/relationships/hyperlink" Target="https://drive.google.com/open?id=1kF1vlRchi19mZ1qRhWD5Ymi9K_R0CFTy" TargetMode="External"/><Relationship Id="rId412"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Arpanalekhya%20Jana&amp;entry.2053410063=2026-05-07&amp;entry.954149285=d" TargetMode="External"/><Relationship Id="rId654"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Purna%20Kumar&amp;entry.2053410063=2026-06-13&amp;entry.954149285=TEMPLETE%20NEP" TargetMode="External"/><Relationship Id="rId896"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Somen%20Parui&amp;entry.2053410063=2026-07-13&amp;entry.954149285=Discuss%20with%20Rup%20on%20call" TargetMode="External"/><Relationship Id="rId419" Type="http://schemas.openxmlformats.org/officeDocument/2006/relationships/hyperlink" Target="https://drive.google.com/open?id=1oxEIfwLin85Ub3HyhqLa4NVkTabTcRnL" TargetMode="External"/><Relationship Id="rId418"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PURNA%20KUMAR&amp;entry.2053410063=2026-05-08&amp;entry.954149285=Course%20Title%20-%20Font%20Size" TargetMode="External"/><Relationship Id="rId417" Type="http://schemas.openxmlformats.org/officeDocument/2006/relationships/hyperlink" Target="https://drive.google.com/open?id=1PwX0RU0PB1hIKEjJudIKM6bFuu8nKzTz" TargetMode="External"/><Relationship Id="rId659" Type="http://schemas.openxmlformats.org/officeDocument/2006/relationships/hyperlink" Target="https://drive.google.com/open?id=1FHGLmKVTY8DeAu702QgUSp15cvAZmkao" TargetMode="External"/><Relationship Id="rId416"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PURNA%20KUMAR&amp;entry.2053410063=2026-05-08&amp;entry.954149285=GRAND%20TOTAL%20CORRECTION" TargetMode="External"/><Relationship Id="rId658" Type="http://schemas.openxmlformats.org/officeDocument/2006/relationships/hyperlink" Target="https://drive.google.com/open?id=1Lck9pyCx-JRG-Mkpvocgfb7dIAmoi6-D" TargetMode="External"/><Relationship Id="rId891" Type="http://schemas.openxmlformats.org/officeDocument/2006/relationships/hyperlink" Target="https://drive.google.com/open?id=11hc7H55-uXwixc1VzKm7q4M1mLR1OYmv" TargetMode="External"/><Relationship Id="rId890"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Somen%20Parui&amp;entry.2053410063=2026-07-13&amp;entry.954149285=Discuss%20with%20Rup%20on%20call" TargetMode="External"/><Relationship Id="rId411" Type="http://schemas.openxmlformats.org/officeDocument/2006/relationships/hyperlink" Target="https://drive.google.com/open?id=1Q8mHr9Ue2993Z0d1oxG3Yv3JiG81WOnq" TargetMode="External"/><Relationship Id="rId653" Type="http://schemas.openxmlformats.org/officeDocument/2006/relationships/hyperlink" Target="https://drive.google.com/open?id=1OD084f_FieGZ7rrQS9cH693AK-7pAPPz" TargetMode="External"/><Relationship Id="rId895" Type="http://schemas.openxmlformats.org/officeDocument/2006/relationships/hyperlink" Target="https://drive.google.com/open?id=1BcQK3RvFYa9da1BU82yGG32wMu3AYQqR" TargetMode="External"/><Relationship Id="rId1000"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ajesh%20Gupta&amp;entry.2053410063=2026-07-23&amp;entry.954149285=Please%20find%20the%20attached%20below%20some%20error%20show%20under%20report%20download." TargetMode="External"/><Relationship Id="rId410"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hanshree%20kale&amp;entry.2053410063=2026-05-06&amp;entry.954149285=Please%20do%20ASAP" TargetMode="External"/><Relationship Id="rId652"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6-12&amp;entry.954149285=ERROR%20TO%20GENERATE%20REPORT" TargetMode="External"/><Relationship Id="rId894"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Somen%20Parui&amp;entry.2053410063=2026-07-13&amp;entry.954149285=Discuss%20with%20Rup%20on%20call" TargetMode="External"/><Relationship Id="rId1001" Type="http://schemas.openxmlformats.org/officeDocument/2006/relationships/hyperlink" Target="https://drive.google.com/open?id=1Kr1ObGd0bkP35FDmxtXtDcikHQDy81Dk" TargetMode="External"/><Relationship Id="rId651" Type="http://schemas.openxmlformats.org/officeDocument/2006/relationships/hyperlink" Target="https://drive.google.com/open?id=1P5WYFDJZ6vXyuS1BzeDgE0x_iFtMYeTS" TargetMode="External"/><Relationship Id="rId893" Type="http://schemas.openxmlformats.org/officeDocument/2006/relationships/hyperlink" Target="https://drive.google.com/open?id=19_3BIjQczF4cLwwsveqd5rMS7YIVDYJv" TargetMode="External"/><Relationship Id="rId1002"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INESH%20KUMAR&amp;entry.2053410063=2026-07-24&amp;entry.954149285=URGENT" TargetMode="External"/><Relationship Id="rId650"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SANTOSH%20TIWARI&amp;entry.2053410063=2026-06-12&amp;entry.954149285=Promotion%20Rule%20%0A2nd%20to%203rd%20semester%20%20including%20all%20paper%201%20to%202nd%20semester%2028%20Creadit%20Earn%20%0A4th%20to%205th%20Semester%20including%20all%20paper%201%20to%204th%20semester%20%2068%20Creadit%20Earn%20%0A6th%20to%207th%20Semester%20including%20all%20paper%201%20to%205%20%20semester%20%20108%20Creadit%20Earn" TargetMode="External"/><Relationship Id="rId892"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Somen%20Parui&amp;entry.2053410063=2026-07-13&amp;entry.954149285=Discuss%20with%20Rup%20on%20call" TargetMode="External"/><Relationship Id="rId1003" Type="http://schemas.openxmlformats.org/officeDocument/2006/relationships/hyperlink" Target="https://drive.google.com/open?id=14mEqLRY-wOiq3YNpqbbfnrW3-Q3GSRyn" TargetMode="External"/><Relationship Id="rId1037" Type="http://schemas.openxmlformats.org/officeDocument/2006/relationships/hyperlink" Target="https://drive.google.com/open?id=1QGvfCxlIigJ6mTUaL-vnxuCelrnftk7h" TargetMode="External"/><Relationship Id="rId1038" Type="http://schemas.openxmlformats.org/officeDocument/2006/relationships/hyperlink" Target="https://drive.google.com/open?id=1bjuIyyWIHOQeh-zjToFC4RptMiSrEtvU" TargetMode="External"/><Relationship Id="rId1039"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santosh%20tiwari&amp;entry.2053410063=2026-07-28&amp;entry.954149285=MARKSHEET%20AYURVEDA" TargetMode="External"/><Relationship Id="rId206" Type="http://schemas.openxmlformats.org/officeDocument/2006/relationships/hyperlink" Target="https://drive.google.com/open?id=15OYxPjqpXB6PPBpJNl0pv0wO0cvDkpI_" TargetMode="External"/><Relationship Id="rId448"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rishnendu%20maity&amp;entry.2053410063=2026-05-16&amp;entry.954149285=1.%20REPORT%20NAME%20SHOE%20IN%20PDF%20COPY.%0A2.%20LOGO%20CHANGE.%0A3.%20COURSE%20NAME%20CHANGE.%0A4.COLLEGE%20CODE%20ADD." TargetMode="External"/><Relationship Id="rId205"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Somen%20Parui&amp;entry.2053410063=2026-03-30&amp;entry.954149285=TR%20REPORT%20MZU%20DISTANCE%20PROMOTED%20CASE%20UPDATE" TargetMode="External"/><Relationship Id="rId447" Type="http://schemas.openxmlformats.org/officeDocument/2006/relationships/hyperlink" Target="https://drive.google.com/open?id=1chRhgn57YtBeNKucXIoUa0h3Yoacs-YQ" TargetMode="External"/><Relationship Id="rId689"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Tusar%20Chhatui&amp;entry.2053410063=2026-06-16&amp;entry.954149285=marks%20missing%20correction" TargetMode="External"/><Relationship Id="rId204" Type="http://schemas.openxmlformats.org/officeDocument/2006/relationships/hyperlink" Target="https://drive.google.com/open?id=1ijmSkv-0U41E63TlspfGXNFNizHFcwr3" TargetMode="External"/><Relationship Id="rId446"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INESH%20KUMAR&amp;entry.2053410063=2026-05-16&amp;entry.954149285=URGENT" TargetMode="External"/><Relationship Id="rId688" Type="http://schemas.openxmlformats.org/officeDocument/2006/relationships/hyperlink" Target="https://drive.google.com/open?id=1UoD_zSWsGRqDE8mwyRhKwQ3E7bJEXcu8" TargetMode="External"/><Relationship Id="rId203"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Somen%20Parui&amp;entry.2053410063=2026-03-30&amp;entry.954149285=GRADE%20CARD%20MZU%20DISTANCE%20PROMOTED%20CASE%20UPDATE." TargetMode="External"/><Relationship Id="rId445" Type="http://schemas.openxmlformats.org/officeDocument/2006/relationships/hyperlink" Target="https://drive.google.com/open?id=1B8-93kuWqrVl8NU3WZbW4OcFzKW9oxQO" TargetMode="External"/><Relationship Id="rId687"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haleshwar&amp;entry.2053410063=2026-06-16&amp;entry.954149285=The%20extra%20fee%20payment%20is%20not%20appearing%20in%20the%20report." TargetMode="External"/><Relationship Id="rId209"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rishnendu%20maity&amp;entry.2053410063=2026-03-31&amp;entry.954149285=Re-appear%20marks%20entry%20report%20not%20generate" TargetMode="External"/><Relationship Id="rId208" Type="http://schemas.openxmlformats.org/officeDocument/2006/relationships/hyperlink" Target="https://drive.google.com/open?id=1rCDQyDv1xQp3fh1-rD17aTuSG5iKzcrj" TargetMode="External"/><Relationship Id="rId207"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ohit%20Singh&amp;entry.2053410063=2026-03-30&amp;entry.954149285=Please%20update%20marks%20sheet%20S.NO%20in%20TR" TargetMode="External"/><Relationship Id="rId449" Type="http://schemas.openxmlformats.org/officeDocument/2006/relationships/hyperlink" Target="https://drive.google.com/open?id=1d58mqgq0EJRKdQ330eF4-9rx8EFYiyDc" TargetMode="External"/><Relationship Id="rId440" Type="http://schemas.openxmlformats.org/officeDocument/2006/relationships/hyperlink" Target="https://drive.google.com/open?id=1N1J3jaVlLyospJlENB6FHIkKOIgZW3QW" TargetMode="External"/><Relationship Id="rId682" Type="http://schemas.openxmlformats.org/officeDocument/2006/relationships/hyperlink" Target="https://drive.google.com/open?id=1Bf0FVThXcifM0xtuaE4X3PRuzOfw_51f" TargetMode="External"/><Relationship Id="rId681"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haleshwar&amp;entry.2053410063=2026-06-16&amp;entry.954149285=change%20the%20logic%20for%20LE" TargetMode="External"/><Relationship Id="rId1030" Type="http://schemas.openxmlformats.org/officeDocument/2006/relationships/hyperlink" Target="https://drive.google.com/open?id=1pB518pmjZi0h7v41aBOEktOx8msFj6pD" TargetMode="External"/><Relationship Id="rId680" Type="http://schemas.openxmlformats.org/officeDocument/2006/relationships/hyperlink" Target="https://drive.google.com/open?id=1vqMwQdVRLytWmiAQ6NySW9TdE9hWy5mG" TargetMode="External"/><Relationship Id="rId1031"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7-27&amp;entry.954149285=REMOVE%20SPACE%20FORM%20HEADER%20AND%20ADJUST%20IN%20ONE%20PAGE" TargetMode="External"/><Relationship Id="rId1032" Type="http://schemas.openxmlformats.org/officeDocument/2006/relationships/hyperlink" Target="https://drive.google.com/open?id=1Fw_Qww4zwfll-g9Qml7iOwN3mr7weLtq" TargetMode="External"/><Relationship Id="rId202" Type="http://schemas.openxmlformats.org/officeDocument/2006/relationships/hyperlink" Target="https://drive.google.com/open?id=16P4SH6LJgICVA432_eeqQlrJB8kxgoIV" TargetMode="External"/><Relationship Id="rId444"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Gayatri%20Gheware%20&amp;entry.2053410063=2026-05-14&amp;entry.954149285=DO%20ASAP" TargetMode="External"/><Relationship Id="rId686" Type="http://schemas.openxmlformats.org/officeDocument/2006/relationships/hyperlink" Target="https://drive.google.com/open?id=1CYV1fylexgSh-_RzOtnmeQz7YmlAL8IC" TargetMode="External"/><Relationship Id="rId1033" Type="http://schemas.openxmlformats.org/officeDocument/2006/relationships/hyperlink" Target="https://drive.google.com/open?id=1qbl9LqGku5ngCrBVNVOr09OzulhS3CLi" TargetMode="External"/><Relationship Id="rId201"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Somen%20Parui&amp;entry.2053410063=2026-03-30&amp;entry.954149285=TR%20GRADING/%20NON-GRADING%20MZU%20PROMOTED%20CASE%20UPDATE%20FOR%20COURSE" TargetMode="External"/><Relationship Id="rId443" Type="http://schemas.openxmlformats.org/officeDocument/2006/relationships/hyperlink" Target="https://drive.google.com/open?id=1aApUAX2LoUpz64VC5kVhKvEyWbjTnn3M" TargetMode="External"/><Relationship Id="rId685"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haleshwar&amp;entry.2053410063=2026-06-16&amp;entry.954149285=logic%20change" TargetMode="External"/><Relationship Id="rId1034"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7-28&amp;entry.954149285=KINDLY%20ADD%20CONDITION%20FOR%20%20TYPE%20%22T%22" TargetMode="External"/><Relationship Id="rId200" Type="http://schemas.openxmlformats.org/officeDocument/2006/relationships/hyperlink" Target="https://drive.google.com/open?id=1xf4vvfnUYq2MdrnInWxmYv8VpF0jdgi5" TargetMode="External"/><Relationship Id="rId442" Type="http://schemas.openxmlformats.org/officeDocument/2006/relationships/hyperlink" Target="https://drive.google.com/open?id=1aBx88B9kJPFS8Om0r7wtqPmTke8zigOK" TargetMode="External"/><Relationship Id="rId684" Type="http://schemas.openxmlformats.org/officeDocument/2006/relationships/hyperlink" Target="https://drive.google.com/open?id=16FDs4gDTjLON5M6H87pCgI1MM7_CBZi7" TargetMode="External"/><Relationship Id="rId1035" Type="http://schemas.openxmlformats.org/officeDocument/2006/relationships/hyperlink" Target="https://drive.google.com/open?id=1CHYx87_JDKyackNW-wk7dvebjwTjudpM" TargetMode="External"/><Relationship Id="rId441"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Rajesh%20Gupta&amp;entry.2053410063=2026-05-14&amp;entry.954149285=please%20check%20the%20path%20i'm%20download%20the%20BAMS%20TR%2012%20but%20not%20download" TargetMode="External"/><Relationship Id="rId683"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Khaleshwar&amp;entry.2053410063=2026-06-16&amp;entry.954149285=change%20the%2016%20subject%20set" TargetMode="External"/><Relationship Id="rId1036"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Santosh%20Tiwari&amp;entry.2053410063=2026-07-28&amp;entry.954149285=tr%20correction" TargetMode="External"/><Relationship Id="rId1026" Type="http://schemas.openxmlformats.org/officeDocument/2006/relationships/hyperlink" Target="https://drive.google.com/open?id=178VHxtKVTkGXG7u0D4NM1vW0XihfO4HW" TargetMode="External"/><Relationship Id="rId1027"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7-27&amp;entry.954149285=NON%20CREDIT%20PAPER%20DOES%20NOT" TargetMode="External"/><Relationship Id="rId1028" Type="http://schemas.openxmlformats.org/officeDocument/2006/relationships/hyperlink" Target="https://drive.google.com/open?id=1iOqZo-TJd2BY5fzig75m2HjK7GLF2LaX" TargetMode="External"/><Relationship Id="rId1029"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7-27&amp;entry.954149285=KINDLY%20ADJUST%20THE%20ADMIT%20CARD%20IN%201%20PAGE" TargetMode="External"/><Relationship Id="rId437"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Satish%20Kumar&amp;entry.2053410063=2026-05-14&amp;entry.954149285=Please%20check%20and%20update" TargetMode="External"/><Relationship Id="rId679"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6-15&amp;entry.954149285=KINDLY%20ADD%20THE%20MULTIPLE%20UNIT%20DATA%20IN%20THE%20SAME%20REPORT" TargetMode="External"/><Relationship Id="rId436" Type="http://schemas.openxmlformats.org/officeDocument/2006/relationships/hyperlink" Target="https://drive.google.com/open?id=1plb1J7sOXvM0pTqeL4O02KY7iDVOqzbd" TargetMode="External"/><Relationship Id="rId678" Type="http://schemas.openxmlformats.org/officeDocument/2006/relationships/hyperlink" Target="https://drive.google.com/open?id=1gfJV7VBFei0pAJ3gF_FXVwqNOB5dNbj8" TargetMode="External"/><Relationship Id="rId435"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Gayatri%20Gheware%20&amp;entry.2053410063=2026-05-12&amp;entry.954149285=DO%20ASAP" TargetMode="External"/><Relationship Id="rId677"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CHINTU%20SINGH&amp;entry.2053410063=2026-06-15&amp;entry.954149285=It%20is%20submitted%20that%20the%20PGDCA%201st%20Semester%20Re-appear%20Examination%20is%20scheduled%20to%20commence%20from%2015.06.2026(M).%20As%20per%20the%20Admit%20Cards%20issued%20to%20the%20students,%20S.K.%20Govt.%20College,%20Kanwali%20(Centre%20No.%20124)%20has%20been%20designated%20as%20the%20examination%20center." TargetMode="External"/><Relationship Id="rId434" Type="http://schemas.openxmlformats.org/officeDocument/2006/relationships/hyperlink" Target="https://drive.google.com/open?id=1fpqJVLvJbEBmHM-Vp-jdzrD3zLqK4Qpo" TargetMode="External"/><Relationship Id="rId676" Type="http://schemas.openxmlformats.org/officeDocument/2006/relationships/hyperlink" Target="https://drive.google.com/open?id=1EtJ3tSXEhyC4qvp5oY1rw1S6UAGG14Gn" TargetMode="External"/><Relationship Id="rId439"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Satish%20Kumar&amp;entry.2053410063=2026-05-14&amp;entry.954149285=Please%20check%20and%20update" TargetMode="External"/><Relationship Id="rId438" Type="http://schemas.openxmlformats.org/officeDocument/2006/relationships/hyperlink" Target="https://drive.google.com/open?id=1_RwDT9HADeLRWUbtTPZSrPkp8ZmmnSIC" TargetMode="External"/><Relationship Id="rId671" Type="http://schemas.openxmlformats.org/officeDocument/2006/relationships/hyperlink" Target="https://drive.google.com/open?id=1_ESct80P44txqtGzbivM-a8qnqnwAPUb" TargetMode="External"/><Relationship Id="rId670" Type="http://schemas.openxmlformats.org/officeDocument/2006/relationships/hyperlink" Target="https://drive.google.com/open?id=1zCC6JATCCHmBeotnvoVmpFlBL9GnpIPH" TargetMode="External"/><Relationship Id="rId1020"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7-27&amp;entry.954149285=MISSING%20DATA%20REPORT" TargetMode="External"/><Relationship Id="rId1021" Type="http://schemas.openxmlformats.org/officeDocument/2006/relationships/hyperlink" Target="https://drive.google.com/open?id=1IYM-o1-np5L2TRLapT-H3DTHEL9WcW3c" TargetMode="External"/><Relationship Id="rId433" Type="http://schemas.openxmlformats.org/officeDocument/2006/relationships/hyperlink" Target="https://drive.google.com/open?id=1tomoLE2v3NYD5-S0Rf3RlZhz2j7AnRuQ" TargetMode="External"/><Relationship Id="rId675"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Gayatri%20Gheware%20&amp;entry.2053410063=2026-06-13&amp;entry.954149285=W/N%20conditions%20In%20TR%20&amp;%20TR%20summary" TargetMode="External"/><Relationship Id="rId1022" Type="http://schemas.openxmlformats.org/officeDocument/2006/relationships/hyperlink" Target="https://drive.google.com/open?id=1ILRdmKYWU3AR_smaPQw7Z9Gu_IQpLqXe" TargetMode="External"/><Relationship Id="rId432"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5-12&amp;entry.954149285=KINDLY%20UPDATE%20GRADE%20POINT" TargetMode="External"/><Relationship Id="rId674" Type="http://schemas.openxmlformats.org/officeDocument/2006/relationships/hyperlink" Target="https://drive.google.com/open?id=10yVkjWrt_oqyLh3hzQSyk5pjrCD_aigd" TargetMode="External"/><Relationship Id="rId1023"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CHINTU%20SINGH&amp;entry.2053410063=2026-07-27&amp;entry.954149285=URGENT%20Dear%20Sir,%20It%20is%20submitted%20that%20the%20following%20observations%20need%20to%20be%20corrected%20in%20the%20Result%20TR%20before%20the%20declaration%20of%20the%20Result.C.T.%20(Course%20Type)%20is%20showing%20as%20null,%20and%20it%20is%20also%20not%20showing%20in%20the%20Result%20TR%20sheet" TargetMode="External"/><Relationship Id="rId431" Type="http://schemas.openxmlformats.org/officeDocument/2006/relationships/hyperlink" Target="https://drive.google.com/open?id=1rpLlT_dfSN9NEpe2QEBDKwP4Q35VGRWc" TargetMode="External"/><Relationship Id="rId673" Type="http://schemas.openxmlformats.org/officeDocument/2006/relationships/hyperlink" Target="https://drive.google.com/open?id=1eU29llRkVdfGYw9YLGkL1iNkCbtsCmgM" TargetMode="External"/><Relationship Id="rId1024" Type="http://schemas.openxmlformats.org/officeDocument/2006/relationships/hyperlink" Target="https://drive.google.com/open?id=1dWRmb1iJ-BXDZm1PrjGnW5utZwZb1yKx" TargetMode="External"/><Relationship Id="rId430"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DEEPAK%20KAYAL&amp;entry.2053410063=2026-05-12&amp;entry.954149285=KINDLY%20ADJUST%20%20THE%20LINE" TargetMode="External"/><Relationship Id="rId672"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Gayatri%20Gheware%20&amp;entry.2053410063=2026-06-13&amp;entry.954149285=W/N%20conditions%20In%20TR%20&amp;%20TR%20summary" TargetMode="External"/><Relationship Id="rId1025" Type="http://schemas.openxmlformats.org/officeDocument/2006/relationships/hyperlink" Target="https://docs.google.com/forms/d/e/1FAIpQLScU7DKr6HbmoID_UwKfI13gEe3bspqg0MBmrgEwXFMuax8Tnw/viewform?usp=pp_url&amp;entry.64613668=EMP3230%20Shobha%20sahu&amp;entry.947283785=FMS%20148%20Corrections/Bugs/%20Update&amp;entry.492682368=HEMANT%20UNIYAL&amp;entry.2053410063=2026-07-27&amp;entry.954149285=%20TR%20NAME%20SHUOLD%20BE%20COURE%20WISE%20OR%20COLLAGE%20WISE%20%0AIntegrated%20M.Voc.%20in%20Crafts%20&amp;%20Design%20(Fired%20Material/%20Soft%20Material/%20Hard%20Material/%20Fashion%20Clothing%2010th%20semester"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r.no/" TargetMode="External"/><Relationship Id="rId2" Type="http://schemas.openxmlformats.org/officeDocument/2006/relationships/hyperlink" Target="http://sr.no/" TargetMode="External"/><Relationship Id="rId3" Type="http://schemas.openxmlformats.org/officeDocument/2006/relationships/hyperlink" Target="http://sr.no/" TargetMode="External"/><Relationship Id="rId4" Type="http://schemas.openxmlformats.org/officeDocument/2006/relationships/hyperlink" Target="http://sr.no/" TargetMode="External"/><Relationship Id="rId5" Type="http://schemas.openxmlformats.org/officeDocument/2006/relationships/hyperlink" Target="http://sr.no/" TargetMode="External"/><Relationship Id="rId6"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tinyurl.com/2r2xrakx" TargetMode="External"/><Relationship Id="rId2"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3" width="18.88"/>
    <col customWidth="1" min="4" max="4" width="22.38"/>
    <col customWidth="1" min="5" max="19" width="18.88"/>
  </cols>
  <sheetData>
    <row r="1">
      <c r="A1" s="6" t="s">
        <v>13</v>
      </c>
      <c r="B1" s="6" t="s">
        <v>18</v>
      </c>
      <c r="C1" s="6" t="s">
        <v>19</v>
      </c>
      <c r="D1" s="9" t="s">
        <v>22</v>
      </c>
      <c r="E1" s="9" t="s">
        <v>31</v>
      </c>
      <c r="F1" s="6" t="s">
        <v>34</v>
      </c>
      <c r="G1" s="6" t="s">
        <v>36</v>
      </c>
      <c r="H1" s="6" t="s">
        <v>38</v>
      </c>
      <c r="I1" s="6" t="s">
        <v>3</v>
      </c>
      <c r="J1" s="6" t="s">
        <v>40</v>
      </c>
      <c r="K1" s="6" t="s">
        <v>42</v>
      </c>
      <c r="L1" s="6" t="s">
        <v>43</v>
      </c>
      <c r="M1" s="6" t="s">
        <v>44</v>
      </c>
    </row>
    <row r="2">
      <c r="A2" s="12">
        <v>46083.57868827546</v>
      </c>
      <c r="B2" s="3" t="s">
        <v>47</v>
      </c>
      <c r="C2" s="3" t="s">
        <v>49</v>
      </c>
      <c r="D2" s="18" t="s">
        <v>50</v>
      </c>
      <c r="E2" s="3" t="s">
        <v>60</v>
      </c>
      <c r="F2" s="3" t="s">
        <v>62</v>
      </c>
      <c r="G2" s="3" t="s">
        <v>63</v>
      </c>
      <c r="H2" s="3" t="s">
        <v>64</v>
      </c>
      <c r="I2" s="3" t="s">
        <v>12</v>
      </c>
      <c r="J2" s="3" t="s">
        <v>65</v>
      </c>
      <c r="L2" s="3" t="s">
        <v>66</v>
      </c>
    </row>
    <row r="3">
      <c r="A3" s="12">
        <v>46083.61367006945</v>
      </c>
      <c r="B3" s="3" t="s">
        <v>67</v>
      </c>
      <c r="C3" s="3" t="s">
        <v>68</v>
      </c>
      <c r="D3" s="18" t="s">
        <v>69</v>
      </c>
      <c r="E3" s="3" t="s">
        <v>75</v>
      </c>
      <c r="F3" s="3" t="s">
        <v>62</v>
      </c>
      <c r="G3" s="3" t="s">
        <v>76</v>
      </c>
      <c r="H3" s="3" t="s">
        <v>64</v>
      </c>
      <c r="I3" s="3" t="s">
        <v>30</v>
      </c>
      <c r="J3" s="3" t="s">
        <v>65</v>
      </c>
      <c r="L3" s="3" t="s">
        <v>77</v>
      </c>
    </row>
    <row r="4">
      <c r="A4" s="12">
        <v>46083.6147493287</v>
      </c>
      <c r="B4" s="3" t="s">
        <v>78</v>
      </c>
      <c r="C4" s="3" t="s">
        <v>79</v>
      </c>
      <c r="D4" s="18" t="s">
        <v>80</v>
      </c>
      <c r="E4" s="3" t="s">
        <v>75</v>
      </c>
      <c r="F4" s="3" t="s">
        <v>62</v>
      </c>
      <c r="G4" s="3" t="s">
        <v>76</v>
      </c>
      <c r="H4" s="3" t="s">
        <v>64</v>
      </c>
      <c r="I4" s="3" t="s">
        <v>46</v>
      </c>
      <c r="J4" s="3" t="s">
        <v>65</v>
      </c>
      <c r="L4" s="3" t="s">
        <v>77</v>
      </c>
    </row>
    <row r="5">
      <c r="A5" s="12">
        <v>46084.63439167824</v>
      </c>
      <c r="B5" s="3" t="s">
        <v>85</v>
      </c>
      <c r="C5" s="3" t="s">
        <v>86</v>
      </c>
      <c r="D5" s="18" t="s">
        <v>87</v>
      </c>
      <c r="E5" s="3" t="s">
        <v>88</v>
      </c>
      <c r="F5" s="3" t="s">
        <v>62</v>
      </c>
      <c r="G5" s="3" t="s">
        <v>91</v>
      </c>
      <c r="H5" s="3" t="s">
        <v>64</v>
      </c>
      <c r="I5" s="3" t="s">
        <v>52</v>
      </c>
      <c r="J5" s="3" t="s">
        <v>65</v>
      </c>
      <c r="L5" s="3" t="s">
        <v>77</v>
      </c>
    </row>
    <row r="6">
      <c r="A6" s="12">
        <v>46084.65936579861</v>
      </c>
      <c r="B6" s="3" t="s">
        <v>67</v>
      </c>
      <c r="C6" s="3" t="s">
        <v>68</v>
      </c>
      <c r="D6" s="18" t="s">
        <v>92</v>
      </c>
      <c r="E6" s="3" t="s">
        <v>96</v>
      </c>
      <c r="F6" s="3" t="s">
        <v>62</v>
      </c>
      <c r="G6" s="3" t="s">
        <v>76</v>
      </c>
      <c r="H6" s="3" t="s">
        <v>64</v>
      </c>
      <c r="I6" s="3" t="s">
        <v>56</v>
      </c>
      <c r="J6" s="3" t="s">
        <v>65</v>
      </c>
      <c r="L6" s="3" t="s">
        <v>77</v>
      </c>
    </row>
    <row r="7">
      <c r="A7" s="12">
        <v>46086.441568229166</v>
      </c>
      <c r="B7" s="3" t="s">
        <v>97</v>
      </c>
      <c r="C7" s="3" t="s">
        <v>98</v>
      </c>
      <c r="D7" s="18" t="s">
        <v>99</v>
      </c>
      <c r="E7" s="3" t="s">
        <v>59</v>
      </c>
      <c r="F7" s="3" t="s">
        <v>103</v>
      </c>
      <c r="G7" s="3" t="s">
        <v>59</v>
      </c>
      <c r="H7" s="3" t="s">
        <v>64</v>
      </c>
      <c r="I7" s="3" t="s">
        <v>59</v>
      </c>
      <c r="J7" s="3" t="s">
        <v>65</v>
      </c>
      <c r="L7" s="3" t="s">
        <v>104</v>
      </c>
    </row>
    <row r="8">
      <c r="A8" s="12">
        <v>46086.688379907406</v>
      </c>
      <c r="B8" s="3" t="s">
        <v>105</v>
      </c>
      <c r="C8" s="3" t="s">
        <v>106</v>
      </c>
      <c r="D8" s="18" t="s">
        <v>107</v>
      </c>
      <c r="E8" s="3" t="s">
        <v>111</v>
      </c>
      <c r="F8" s="3" t="s">
        <v>62</v>
      </c>
      <c r="G8" s="3" t="s">
        <v>112</v>
      </c>
      <c r="H8" s="3" t="s">
        <v>64</v>
      </c>
      <c r="I8" s="3" t="s">
        <v>71</v>
      </c>
      <c r="J8" s="3" t="s">
        <v>65</v>
      </c>
      <c r="L8" s="3" t="s">
        <v>113</v>
      </c>
    </row>
    <row r="9">
      <c r="A9" s="12">
        <v>46086.69032638889</v>
      </c>
      <c r="B9" s="3" t="s">
        <v>105</v>
      </c>
      <c r="C9" s="3" t="s">
        <v>106</v>
      </c>
      <c r="D9" s="18" t="s">
        <v>114</v>
      </c>
      <c r="E9" s="3" t="s">
        <v>117</v>
      </c>
      <c r="F9" s="3" t="s">
        <v>62</v>
      </c>
      <c r="G9" s="3" t="s">
        <v>119</v>
      </c>
      <c r="H9" s="3" t="s">
        <v>64</v>
      </c>
      <c r="I9" s="3" t="s">
        <v>74</v>
      </c>
      <c r="J9" s="3" t="s">
        <v>65</v>
      </c>
      <c r="L9" s="3" t="s">
        <v>113</v>
      </c>
    </row>
    <row r="10">
      <c r="A10" s="12">
        <v>46087.45705804398</v>
      </c>
      <c r="B10" s="3" t="s">
        <v>121</v>
      </c>
      <c r="C10" s="3" t="s">
        <v>122</v>
      </c>
      <c r="D10" s="18" t="s">
        <v>123</v>
      </c>
      <c r="E10" s="3" t="s">
        <v>82</v>
      </c>
      <c r="F10" s="3" t="s">
        <v>126</v>
      </c>
      <c r="G10" s="3" t="s">
        <v>127</v>
      </c>
      <c r="H10" s="3" t="s">
        <v>64</v>
      </c>
      <c r="I10" s="3" t="s">
        <v>82</v>
      </c>
      <c r="J10" s="3" t="s">
        <v>65</v>
      </c>
      <c r="K10" s="18" t="s">
        <v>128</v>
      </c>
      <c r="L10" s="3" t="s">
        <v>131</v>
      </c>
      <c r="U10" s="13">
        <v>0.0</v>
      </c>
    </row>
    <row r="11">
      <c r="A11" s="12">
        <v>46087.63912599537</v>
      </c>
      <c r="B11" s="3" t="s">
        <v>132</v>
      </c>
      <c r="C11" s="3" t="s">
        <v>133</v>
      </c>
      <c r="D11" s="18" t="s">
        <v>134</v>
      </c>
      <c r="E11" s="3" t="s">
        <v>137</v>
      </c>
      <c r="F11" s="3" t="s">
        <v>138</v>
      </c>
      <c r="G11" s="3" t="s">
        <v>84</v>
      </c>
      <c r="H11" s="3" t="s">
        <v>139</v>
      </c>
      <c r="I11" s="3" t="s">
        <v>84</v>
      </c>
      <c r="J11" s="3" t="s">
        <v>65</v>
      </c>
      <c r="L11" s="3" t="s">
        <v>140</v>
      </c>
      <c r="U11" s="13">
        <v>0.0</v>
      </c>
    </row>
    <row r="12">
      <c r="A12" s="12">
        <v>46087.73306724537</v>
      </c>
      <c r="B12" s="3" t="s">
        <v>141</v>
      </c>
      <c r="C12" s="3" t="s">
        <v>142</v>
      </c>
      <c r="D12" s="18" t="s">
        <v>143</v>
      </c>
      <c r="E12" s="3" t="s">
        <v>146</v>
      </c>
      <c r="F12" s="3" t="s">
        <v>147</v>
      </c>
      <c r="G12" s="3" t="s">
        <v>148</v>
      </c>
      <c r="H12" s="3" t="s">
        <v>64</v>
      </c>
      <c r="I12" s="3" t="s">
        <v>90</v>
      </c>
      <c r="J12" s="3" t="s">
        <v>65</v>
      </c>
      <c r="L12" s="3" t="s">
        <v>149</v>
      </c>
      <c r="U12" s="13">
        <v>0.0</v>
      </c>
    </row>
    <row r="13">
      <c r="A13" s="12">
        <v>46087.776164097224</v>
      </c>
      <c r="B13" s="3" t="s">
        <v>150</v>
      </c>
      <c r="C13" s="3" t="s">
        <v>151</v>
      </c>
      <c r="D13" s="18" t="s">
        <v>152</v>
      </c>
      <c r="E13" s="3" t="s">
        <v>60</v>
      </c>
      <c r="F13" s="3" t="s">
        <v>62</v>
      </c>
      <c r="G13" s="3" t="s">
        <v>155</v>
      </c>
      <c r="H13" s="3" t="s">
        <v>64</v>
      </c>
      <c r="I13" s="3" t="s">
        <v>94</v>
      </c>
      <c r="J13" s="3" t="s">
        <v>65</v>
      </c>
      <c r="L13" s="3" t="s">
        <v>66</v>
      </c>
      <c r="U13" s="47"/>
    </row>
    <row r="14">
      <c r="A14" s="12">
        <v>46088.417013541664</v>
      </c>
      <c r="B14" s="3" t="s">
        <v>132</v>
      </c>
      <c r="C14" s="3" t="s">
        <v>133</v>
      </c>
      <c r="D14" s="18" t="s">
        <v>156</v>
      </c>
      <c r="E14" s="3" t="s">
        <v>160</v>
      </c>
      <c r="F14" s="3" t="s">
        <v>138</v>
      </c>
      <c r="G14" s="3" t="s">
        <v>161</v>
      </c>
      <c r="H14" s="3" t="s">
        <v>139</v>
      </c>
      <c r="I14" s="3" t="s">
        <v>101</v>
      </c>
      <c r="J14" s="3" t="s">
        <v>65</v>
      </c>
      <c r="L14" s="3" t="s">
        <v>140</v>
      </c>
      <c r="U14" s="47"/>
    </row>
    <row r="15">
      <c r="A15" s="12">
        <v>46088.442918182875</v>
      </c>
      <c r="B15" s="3" t="s">
        <v>141</v>
      </c>
      <c r="C15" s="3" t="s">
        <v>142</v>
      </c>
      <c r="D15" s="18" t="s">
        <v>163</v>
      </c>
      <c r="E15" s="3" t="s">
        <v>168</v>
      </c>
      <c r="F15" s="3" t="s">
        <v>147</v>
      </c>
      <c r="G15" s="3" t="s">
        <v>169</v>
      </c>
      <c r="H15" s="3" t="s">
        <v>64</v>
      </c>
      <c r="I15" s="3" t="s">
        <v>109</v>
      </c>
      <c r="J15" s="3" t="s">
        <v>65</v>
      </c>
      <c r="L15" s="3" t="s">
        <v>149</v>
      </c>
      <c r="U15" s="7">
        <v>0.0</v>
      </c>
    </row>
    <row r="16">
      <c r="A16" s="12">
        <v>46090.49635947916</v>
      </c>
      <c r="B16" s="3" t="s">
        <v>121</v>
      </c>
      <c r="C16" s="3" t="s">
        <v>170</v>
      </c>
      <c r="D16" s="18" t="s">
        <v>171</v>
      </c>
      <c r="E16" s="3" t="s">
        <v>116</v>
      </c>
      <c r="F16" s="3" t="s">
        <v>138</v>
      </c>
      <c r="G16" s="3" t="s">
        <v>175</v>
      </c>
      <c r="H16" s="3" t="s">
        <v>64</v>
      </c>
      <c r="I16" s="3" t="s">
        <v>116</v>
      </c>
      <c r="J16" s="3" t="s">
        <v>65</v>
      </c>
      <c r="K16" s="18" t="s">
        <v>176</v>
      </c>
      <c r="L16" s="3" t="s">
        <v>131</v>
      </c>
    </row>
    <row r="17">
      <c r="A17" s="12">
        <v>46090.53482151621</v>
      </c>
      <c r="B17" s="3" t="s">
        <v>185</v>
      </c>
      <c r="C17" s="3" t="s">
        <v>186</v>
      </c>
      <c r="D17" s="18" t="s">
        <v>187</v>
      </c>
      <c r="E17" s="3" t="s">
        <v>195</v>
      </c>
      <c r="F17" s="3" t="s">
        <v>126</v>
      </c>
      <c r="G17" s="3" t="s">
        <v>196</v>
      </c>
      <c r="H17" s="3" t="s">
        <v>64</v>
      </c>
      <c r="I17" s="3" t="s">
        <v>120</v>
      </c>
      <c r="J17" s="3" t="s">
        <v>65</v>
      </c>
      <c r="L17" s="3" t="s">
        <v>197</v>
      </c>
    </row>
    <row r="18">
      <c r="A18" s="12">
        <v>46090.537900219904</v>
      </c>
      <c r="B18" s="3" t="s">
        <v>198</v>
      </c>
      <c r="C18" s="3" t="s">
        <v>122</v>
      </c>
      <c r="D18" s="18" t="s">
        <v>200</v>
      </c>
      <c r="E18" s="3" t="s">
        <v>203</v>
      </c>
      <c r="F18" s="3" t="s">
        <v>204</v>
      </c>
      <c r="G18" s="3" t="s">
        <v>203</v>
      </c>
      <c r="H18" s="3" t="s">
        <v>64</v>
      </c>
      <c r="I18" s="3" t="s">
        <v>205</v>
      </c>
      <c r="J18" s="3" t="s">
        <v>65</v>
      </c>
      <c r="L18" s="3" t="s">
        <v>104</v>
      </c>
    </row>
    <row r="19">
      <c r="A19" s="12">
        <v>46090.54034806713</v>
      </c>
      <c r="B19" s="3" t="s">
        <v>206</v>
      </c>
      <c r="C19" s="3" t="s">
        <v>207</v>
      </c>
      <c r="D19" s="18" t="s">
        <v>208</v>
      </c>
      <c r="E19" s="3" t="s">
        <v>211</v>
      </c>
      <c r="F19" s="3" t="s">
        <v>62</v>
      </c>
      <c r="G19" s="3" t="s">
        <v>212</v>
      </c>
      <c r="H19" s="3" t="s">
        <v>64</v>
      </c>
      <c r="I19" s="3" t="s">
        <v>130</v>
      </c>
      <c r="J19" s="3" t="s">
        <v>65</v>
      </c>
      <c r="L19" s="3" t="s">
        <v>213</v>
      </c>
    </row>
    <row r="20">
      <c r="A20" s="12">
        <v>46090.57604853009</v>
      </c>
      <c r="B20" s="3" t="s">
        <v>214</v>
      </c>
      <c r="C20" s="3" t="s">
        <v>215</v>
      </c>
      <c r="D20" s="18" t="s">
        <v>216</v>
      </c>
      <c r="E20" s="3" t="s">
        <v>220</v>
      </c>
      <c r="F20" s="3" t="s">
        <v>62</v>
      </c>
      <c r="G20" s="3" t="s">
        <v>221</v>
      </c>
      <c r="H20" s="3" t="s">
        <v>64</v>
      </c>
      <c r="I20" s="3" t="s">
        <v>136</v>
      </c>
      <c r="J20" s="3" t="s">
        <v>65</v>
      </c>
      <c r="L20" s="3" t="s">
        <v>222</v>
      </c>
    </row>
    <row r="21">
      <c r="A21" s="12">
        <v>46090.59483484954</v>
      </c>
      <c r="B21" s="3" t="s">
        <v>223</v>
      </c>
      <c r="C21" s="3" t="s">
        <v>225</v>
      </c>
      <c r="D21" s="18" t="s">
        <v>226</v>
      </c>
      <c r="E21" s="3" t="s">
        <v>227</v>
      </c>
      <c r="F21" s="3" t="s">
        <v>138</v>
      </c>
      <c r="G21" s="3" t="s">
        <v>145</v>
      </c>
      <c r="H21" s="3" t="s">
        <v>64</v>
      </c>
      <c r="I21" s="3" t="s">
        <v>145</v>
      </c>
      <c r="J21" s="3" t="s">
        <v>65</v>
      </c>
      <c r="L21" s="3" t="s">
        <v>228</v>
      </c>
    </row>
    <row r="22">
      <c r="A22" s="12">
        <v>46091.61868193287</v>
      </c>
      <c r="B22" s="3" t="s">
        <v>231</v>
      </c>
      <c r="C22" s="3" t="s">
        <v>232</v>
      </c>
      <c r="D22" s="18" t="s">
        <v>233</v>
      </c>
      <c r="E22" s="3" t="s">
        <v>154</v>
      </c>
      <c r="F22" s="3" t="s">
        <v>126</v>
      </c>
      <c r="G22" s="3" t="s">
        <v>235</v>
      </c>
      <c r="H22" s="3" t="s">
        <v>237</v>
      </c>
      <c r="I22" s="3" t="s">
        <v>154</v>
      </c>
      <c r="J22" s="3" t="s">
        <v>65</v>
      </c>
      <c r="K22" s="18" t="s">
        <v>239</v>
      </c>
      <c r="L22" s="3" t="s">
        <v>241</v>
      </c>
    </row>
    <row r="23">
      <c r="A23" s="12">
        <v>46091.62279633102</v>
      </c>
      <c r="B23" s="3" t="s">
        <v>47</v>
      </c>
      <c r="C23" s="3" t="s">
        <v>243</v>
      </c>
      <c r="D23" s="18" t="s">
        <v>245</v>
      </c>
      <c r="E23" s="3" t="s">
        <v>246</v>
      </c>
      <c r="F23" s="3" t="s">
        <v>62</v>
      </c>
      <c r="G23" s="3" t="s">
        <v>247</v>
      </c>
      <c r="H23" s="3" t="s">
        <v>64</v>
      </c>
      <c r="I23" s="3" t="s">
        <v>158</v>
      </c>
      <c r="J23" s="3" t="s">
        <v>65</v>
      </c>
      <c r="L23" s="3" t="s">
        <v>66</v>
      </c>
    </row>
    <row r="24">
      <c r="A24" s="12">
        <v>46091.73888290509</v>
      </c>
      <c r="B24" s="3" t="s">
        <v>141</v>
      </c>
      <c r="C24" s="3" t="s">
        <v>142</v>
      </c>
      <c r="D24" s="18" t="s">
        <v>250</v>
      </c>
      <c r="E24" s="3" t="s">
        <v>146</v>
      </c>
      <c r="F24" s="3" t="s">
        <v>147</v>
      </c>
      <c r="G24" s="3" t="s">
        <v>253</v>
      </c>
      <c r="H24" s="3" t="s">
        <v>64</v>
      </c>
      <c r="I24" s="3" t="s">
        <v>166</v>
      </c>
      <c r="J24" s="3" t="s">
        <v>65</v>
      </c>
      <c r="L24" s="3" t="s">
        <v>149</v>
      </c>
    </row>
    <row r="25">
      <c r="A25" s="12">
        <v>46091.8128606713</v>
      </c>
      <c r="B25" s="3" t="s">
        <v>254</v>
      </c>
      <c r="C25" s="3" t="s">
        <v>255</v>
      </c>
      <c r="D25" s="18" t="s">
        <v>256</v>
      </c>
      <c r="E25" s="3" t="s">
        <v>260</v>
      </c>
      <c r="F25" s="3" t="s">
        <v>147</v>
      </c>
      <c r="G25" s="3" t="s">
        <v>261</v>
      </c>
      <c r="H25" s="3" t="s">
        <v>64</v>
      </c>
      <c r="I25" s="3">
        <v>3152.0</v>
      </c>
      <c r="J25" s="3" t="s">
        <v>65</v>
      </c>
      <c r="L25" s="3" t="s">
        <v>262</v>
      </c>
    </row>
    <row r="26">
      <c r="A26" s="12">
        <v>46092.633829976854</v>
      </c>
      <c r="B26" s="3" t="s">
        <v>263</v>
      </c>
      <c r="C26" s="3" t="s">
        <v>264</v>
      </c>
      <c r="D26" s="18" t="s">
        <v>265</v>
      </c>
      <c r="E26" s="3" t="s">
        <v>269</v>
      </c>
      <c r="F26" s="3" t="s">
        <v>126</v>
      </c>
      <c r="G26" s="3" t="s">
        <v>270</v>
      </c>
      <c r="H26" s="3" t="s">
        <v>64</v>
      </c>
      <c r="I26" s="3" t="s">
        <v>272</v>
      </c>
      <c r="J26" s="3" t="s">
        <v>65</v>
      </c>
      <c r="L26" s="3" t="s">
        <v>273</v>
      </c>
    </row>
    <row r="27">
      <c r="A27" s="12">
        <v>46093.44972599537</v>
      </c>
      <c r="B27" s="3" t="s">
        <v>67</v>
      </c>
      <c r="C27" s="3" t="s">
        <v>277</v>
      </c>
      <c r="D27" s="18" t="s">
        <v>278</v>
      </c>
      <c r="E27" s="3" t="s">
        <v>281</v>
      </c>
      <c r="F27" s="3" t="s">
        <v>62</v>
      </c>
      <c r="G27" s="3" t="s">
        <v>193</v>
      </c>
      <c r="H27" s="3" t="s">
        <v>64</v>
      </c>
      <c r="I27" s="3" t="s">
        <v>193</v>
      </c>
      <c r="J27" s="3" t="s">
        <v>65</v>
      </c>
      <c r="L27" s="3" t="s">
        <v>77</v>
      </c>
    </row>
    <row r="28">
      <c r="A28" s="12">
        <v>46093.450537199074</v>
      </c>
      <c r="B28" s="3" t="s">
        <v>67</v>
      </c>
      <c r="C28" s="3" t="s">
        <v>277</v>
      </c>
      <c r="D28" s="18" t="s">
        <v>282</v>
      </c>
      <c r="E28" s="3" t="s">
        <v>75</v>
      </c>
      <c r="F28" s="3" t="s">
        <v>62</v>
      </c>
      <c r="G28" s="3" t="s">
        <v>285</v>
      </c>
      <c r="H28" s="3" t="s">
        <v>64</v>
      </c>
      <c r="I28" s="3" t="s">
        <v>202</v>
      </c>
      <c r="J28" s="3" t="s">
        <v>65</v>
      </c>
      <c r="L28" s="3" t="s">
        <v>77</v>
      </c>
    </row>
    <row r="29">
      <c r="A29" s="12">
        <v>46093.4511978125</v>
      </c>
      <c r="B29" s="3" t="s">
        <v>67</v>
      </c>
      <c r="C29" s="3" t="s">
        <v>277</v>
      </c>
      <c r="D29" s="18" t="s">
        <v>286</v>
      </c>
      <c r="E29" s="3" t="s">
        <v>289</v>
      </c>
      <c r="F29" s="3" t="s">
        <v>62</v>
      </c>
      <c r="G29" s="3" t="s">
        <v>285</v>
      </c>
      <c r="H29" s="3" t="s">
        <v>64</v>
      </c>
      <c r="I29" s="3" t="s">
        <v>210</v>
      </c>
      <c r="J29" s="3" t="s">
        <v>65</v>
      </c>
      <c r="L29" s="3" t="s">
        <v>77</v>
      </c>
    </row>
    <row r="30">
      <c r="A30" s="12">
        <v>46093.451858541666</v>
      </c>
      <c r="B30" s="3" t="s">
        <v>67</v>
      </c>
      <c r="C30" s="3" t="s">
        <v>277</v>
      </c>
      <c r="D30" s="18" t="s">
        <v>290</v>
      </c>
      <c r="E30" s="3" t="s">
        <v>75</v>
      </c>
      <c r="F30" s="3" t="s">
        <v>62</v>
      </c>
      <c r="G30" s="3" t="s">
        <v>292</v>
      </c>
      <c r="H30" s="3" t="s">
        <v>64</v>
      </c>
      <c r="I30" s="3" t="s">
        <v>219</v>
      </c>
      <c r="J30" s="3" t="s">
        <v>65</v>
      </c>
      <c r="L30" s="3" t="s">
        <v>77</v>
      </c>
    </row>
    <row r="31">
      <c r="A31" s="12">
        <v>46093.5202490625</v>
      </c>
      <c r="B31" s="3" t="s">
        <v>67</v>
      </c>
      <c r="C31" s="3" t="s">
        <v>277</v>
      </c>
      <c r="D31" s="18" t="s">
        <v>293</v>
      </c>
      <c r="E31" s="3" t="s">
        <v>75</v>
      </c>
      <c r="F31" s="3" t="s">
        <v>62</v>
      </c>
      <c r="G31" s="3" t="s">
        <v>297</v>
      </c>
      <c r="H31" s="3" t="s">
        <v>237</v>
      </c>
      <c r="I31" s="3" t="s">
        <v>230</v>
      </c>
      <c r="J31" s="3" t="s">
        <v>65</v>
      </c>
      <c r="L31" s="3" t="s">
        <v>77</v>
      </c>
    </row>
    <row r="32">
      <c r="A32" s="12">
        <v>46093.55431407408</v>
      </c>
      <c r="B32" s="3" t="s">
        <v>97</v>
      </c>
      <c r="C32" s="3" t="s">
        <v>98</v>
      </c>
      <c r="D32" s="18" t="s">
        <v>299</v>
      </c>
      <c r="E32" s="3" t="s">
        <v>302</v>
      </c>
      <c r="F32" s="3" t="s">
        <v>126</v>
      </c>
      <c r="G32" s="3" t="s">
        <v>302</v>
      </c>
      <c r="H32" s="3" t="s">
        <v>64</v>
      </c>
      <c r="I32" s="3" t="s">
        <v>236</v>
      </c>
      <c r="J32" s="3" t="s">
        <v>65</v>
      </c>
      <c r="L32" s="3" t="s">
        <v>104</v>
      </c>
    </row>
    <row r="33">
      <c r="A33" s="12">
        <v>46093.5691315625</v>
      </c>
      <c r="B33" s="3" t="s">
        <v>303</v>
      </c>
      <c r="C33" s="3" t="s">
        <v>186</v>
      </c>
      <c r="D33" s="18" t="s">
        <v>304</v>
      </c>
      <c r="E33" s="3" t="s">
        <v>308</v>
      </c>
      <c r="F33" s="3" t="s">
        <v>126</v>
      </c>
      <c r="G33" s="3" t="s">
        <v>309</v>
      </c>
      <c r="H33" s="3" t="s">
        <v>64</v>
      </c>
      <c r="I33" s="3" t="s">
        <v>244</v>
      </c>
      <c r="J33" s="3" t="s">
        <v>65</v>
      </c>
      <c r="K33" s="18" t="s">
        <v>310</v>
      </c>
      <c r="L33" s="3" t="s">
        <v>197</v>
      </c>
    </row>
    <row r="34">
      <c r="A34" s="12">
        <v>46093.64534299768</v>
      </c>
      <c r="B34" s="3" t="s">
        <v>231</v>
      </c>
      <c r="C34" s="3" t="s">
        <v>232</v>
      </c>
      <c r="D34" s="18" t="s">
        <v>316</v>
      </c>
      <c r="E34" s="3" t="s">
        <v>321</v>
      </c>
      <c r="F34" s="3" t="s">
        <v>62</v>
      </c>
      <c r="G34" s="3" t="s">
        <v>321</v>
      </c>
      <c r="H34" s="3" t="s">
        <v>324</v>
      </c>
      <c r="I34" s="3" t="s">
        <v>249</v>
      </c>
      <c r="J34" s="3" t="s">
        <v>65</v>
      </c>
      <c r="K34" s="18" t="s">
        <v>325</v>
      </c>
      <c r="L34" s="3" t="s">
        <v>241</v>
      </c>
    </row>
    <row r="35">
      <c r="A35" s="12">
        <v>46093.72645004629</v>
      </c>
      <c r="B35" s="3" t="s">
        <v>254</v>
      </c>
      <c r="C35" s="3" t="s">
        <v>255</v>
      </c>
      <c r="D35" s="18" t="s">
        <v>328</v>
      </c>
      <c r="E35" s="3" t="s">
        <v>330</v>
      </c>
      <c r="F35" s="3" t="s">
        <v>103</v>
      </c>
      <c r="G35" s="3" t="s">
        <v>331</v>
      </c>
      <c r="H35" s="3" t="s">
        <v>64</v>
      </c>
      <c r="I35" s="3">
        <v>3152.0</v>
      </c>
      <c r="J35" s="3" t="s">
        <v>65</v>
      </c>
      <c r="L35" s="3" t="s">
        <v>262</v>
      </c>
    </row>
    <row r="36">
      <c r="A36" s="12">
        <v>46093.73453775463</v>
      </c>
      <c r="B36" s="3" t="s">
        <v>332</v>
      </c>
      <c r="C36" s="3" t="s">
        <v>334</v>
      </c>
      <c r="D36" s="18" t="s">
        <v>336</v>
      </c>
      <c r="E36" s="3" t="s">
        <v>345</v>
      </c>
      <c r="F36" s="3" t="s">
        <v>62</v>
      </c>
      <c r="G36" s="3" t="s">
        <v>346</v>
      </c>
      <c r="H36" s="3" t="s">
        <v>64</v>
      </c>
      <c r="I36" s="3" t="s">
        <v>74</v>
      </c>
      <c r="J36" s="3" t="s">
        <v>65</v>
      </c>
      <c r="K36" s="18" t="s">
        <v>347</v>
      </c>
      <c r="L36" s="3" t="s">
        <v>113</v>
      </c>
    </row>
    <row r="37">
      <c r="A37" s="12">
        <v>46094.44553679398</v>
      </c>
      <c r="B37" s="3" t="s">
        <v>141</v>
      </c>
      <c r="C37" s="3" t="s">
        <v>142</v>
      </c>
      <c r="D37" s="18" t="s">
        <v>351</v>
      </c>
      <c r="E37" s="3" t="s">
        <v>354</v>
      </c>
      <c r="F37" s="3" t="s">
        <v>138</v>
      </c>
      <c r="G37" s="3" t="s">
        <v>253</v>
      </c>
      <c r="H37" s="3" t="s">
        <v>64</v>
      </c>
      <c r="I37" s="3" t="s">
        <v>355</v>
      </c>
      <c r="J37" s="3" t="s">
        <v>65</v>
      </c>
      <c r="L37" s="3" t="s">
        <v>149</v>
      </c>
    </row>
    <row r="38">
      <c r="A38" s="12">
        <v>46094.4890605324</v>
      </c>
      <c r="B38" s="3" t="s">
        <v>356</v>
      </c>
      <c r="C38" s="3" t="s">
        <v>357</v>
      </c>
      <c r="D38" s="18" t="s">
        <v>358</v>
      </c>
      <c r="E38" s="3" t="s">
        <v>360</v>
      </c>
      <c r="F38" s="3" t="s">
        <v>138</v>
      </c>
      <c r="G38" s="3" t="s">
        <v>361</v>
      </c>
      <c r="H38" s="3" t="s">
        <v>64</v>
      </c>
      <c r="I38" s="3" t="s">
        <v>275</v>
      </c>
      <c r="J38" s="3" t="s">
        <v>65</v>
      </c>
      <c r="L38" s="3" t="s">
        <v>362</v>
      </c>
    </row>
    <row r="39">
      <c r="A39" s="12">
        <v>46094.52206167824</v>
      </c>
      <c r="B39" s="3" t="s">
        <v>206</v>
      </c>
      <c r="C39" s="3" t="s">
        <v>207</v>
      </c>
      <c r="D39" s="18" t="s">
        <v>363</v>
      </c>
      <c r="E39" s="3" t="s">
        <v>211</v>
      </c>
      <c r="F39" s="3" t="s">
        <v>62</v>
      </c>
      <c r="G39" s="3" t="s">
        <v>366</v>
      </c>
      <c r="H39" s="3" t="s">
        <v>64</v>
      </c>
      <c r="I39" s="3" t="s">
        <v>280</v>
      </c>
      <c r="J39" s="3" t="s">
        <v>65</v>
      </c>
      <c r="K39" s="18" t="s">
        <v>367</v>
      </c>
      <c r="L39" s="3" t="s">
        <v>213</v>
      </c>
    </row>
    <row r="40">
      <c r="A40" s="12">
        <v>46094.52405418982</v>
      </c>
      <c r="B40" s="3" t="s">
        <v>206</v>
      </c>
      <c r="C40" s="3" t="s">
        <v>207</v>
      </c>
      <c r="D40" s="18" t="s">
        <v>369</v>
      </c>
      <c r="E40" s="3" t="s">
        <v>211</v>
      </c>
      <c r="F40" s="3" t="s">
        <v>62</v>
      </c>
      <c r="G40" s="3" t="s">
        <v>372</v>
      </c>
      <c r="H40" s="3" t="s">
        <v>64</v>
      </c>
      <c r="I40" s="3" t="s">
        <v>284</v>
      </c>
      <c r="J40" s="3" t="s">
        <v>65</v>
      </c>
      <c r="K40" s="18" t="s">
        <v>373</v>
      </c>
      <c r="L40" s="3" t="s">
        <v>213</v>
      </c>
    </row>
    <row r="41">
      <c r="A41" s="12">
        <v>46094.668152928236</v>
      </c>
      <c r="B41" s="3" t="s">
        <v>47</v>
      </c>
      <c r="C41" s="3" t="s">
        <v>49</v>
      </c>
      <c r="D41" s="18" t="s">
        <v>376</v>
      </c>
      <c r="E41" s="3" t="s">
        <v>378</v>
      </c>
      <c r="F41" s="3" t="s">
        <v>62</v>
      </c>
      <c r="G41" s="3" t="s">
        <v>379</v>
      </c>
      <c r="H41" s="3" t="s">
        <v>64</v>
      </c>
      <c r="I41" s="3" t="s">
        <v>288</v>
      </c>
      <c r="J41" s="3" t="s">
        <v>65</v>
      </c>
      <c r="L41" s="3" t="s">
        <v>66</v>
      </c>
    </row>
    <row r="42">
      <c r="A42" s="12">
        <v>46094.735009421296</v>
      </c>
      <c r="B42" s="3" t="s">
        <v>141</v>
      </c>
      <c r="C42" s="3" t="s">
        <v>142</v>
      </c>
      <c r="D42" s="18" t="s">
        <v>381</v>
      </c>
      <c r="E42" s="3" t="s">
        <v>146</v>
      </c>
      <c r="F42" s="3" t="s">
        <v>147</v>
      </c>
      <c r="G42" s="3" t="s">
        <v>253</v>
      </c>
      <c r="H42" s="3" t="s">
        <v>64</v>
      </c>
      <c r="I42" s="3" t="s">
        <v>355</v>
      </c>
      <c r="J42" s="3" t="s">
        <v>65</v>
      </c>
      <c r="L42" s="3" t="s">
        <v>149</v>
      </c>
    </row>
    <row r="43">
      <c r="A43" s="12">
        <v>46095.459754270836</v>
      </c>
      <c r="B43" s="3" t="s">
        <v>97</v>
      </c>
      <c r="C43" s="3" t="s">
        <v>98</v>
      </c>
      <c r="D43" s="18" t="s">
        <v>384</v>
      </c>
      <c r="E43" s="3" t="s">
        <v>296</v>
      </c>
      <c r="F43" s="3" t="s">
        <v>126</v>
      </c>
      <c r="G43" s="3" t="s">
        <v>296</v>
      </c>
      <c r="H43" s="3" t="s">
        <v>64</v>
      </c>
      <c r="I43" s="3" t="s">
        <v>296</v>
      </c>
      <c r="J43" s="3" t="s">
        <v>65</v>
      </c>
      <c r="L43" s="3" t="s">
        <v>104</v>
      </c>
    </row>
    <row r="44">
      <c r="A44" s="12">
        <v>46095.614419328704</v>
      </c>
      <c r="B44" s="3" t="s">
        <v>67</v>
      </c>
      <c r="C44" s="3" t="s">
        <v>277</v>
      </c>
      <c r="D44" s="18" t="s">
        <v>387</v>
      </c>
      <c r="E44" s="3" t="s">
        <v>390</v>
      </c>
      <c r="F44" s="3" t="s">
        <v>62</v>
      </c>
      <c r="G44" s="3" t="s">
        <v>391</v>
      </c>
      <c r="H44" s="3" t="s">
        <v>64</v>
      </c>
      <c r="I44" s="3" t="s">
        <v>301</v>
      </c>
      <c r="J44" s="3" t="s">
        <v>65</v>
      </c>
      <c r="L44" s="3" t="s">
        <v>77</v>
      </c>
    </row>
    <row r="45">
      <c r="A45" s="12">
        <v>46095.61498640046</v>
      </c>
      <c r="B45" s="3" t="s">
        <v>67</v>
      </c>
      <c r="C45" s="3" t="s">
        <v>277</v>
      </c>
      <c r="D45" s="18" t="s">
        <v>392</v>
      </c>
      <c r="E45" s="3" t="s">
        <v>281</v>
      </c>
      <c r="F45" s="3" t="s">
        <v>62</v>
      </c>
      <c r="G45" s="3" t="s">
        <v>391</v>
      </c>
      <c r="H45" s="3" t="s">
        <v>64</v>
      </c>
      <c r="I45" s="3" t="s">
        <v>307</v>
      </c>
      <c r="J45" s="3" t="s">
        <v>65</v>
      </c>
      <c r="L45" s="3" t="s">
        <v>77</v>
      </c>
    </row>
    <row r="46">
      <c r="A46" s="12">
        <v>46097.517408750005</v>
      </c>
      <c r="B46" s="3" t="s">
        <v>394</v>
      </c>
      <c r="C46" s="3" t="s">
        <v>186</v>
      </c>
      <c r="D46" s="18" t="s">
        <v>395</v>
      </c>
      <c r="E46" s="3" t="s">
        <v>398</v>
      </c>
      <c r="F46" s="3" t="s">
        <v>138</v>
      </c>
      <c r="G46" s="3" t="s">
        <v>399</v>
      </c>
      <c r="H46" s="3" t="s">
        <v>64</v>
      </c>
      <c r="I46" s="3" t="s">
        <v>313</v>
      </c>
      <c r="J46" s="3" t="s">
        <v>65</v>
      </c>
      <c r="L46" s="3" t="s">
        <v>197</v>
      </c>
    </row>
    <row r="47">
      <c r="A47" s="12">
        <v>46097.61655346065</v>
      </c>
      <c r="B47" s="3" t="s">
        <v>206</v>
      </c>
      <c r="C47" s="3" t="s">
        <v>400</v>
      </c>
      <c r="D47" s="18" t="s">
        <v>401</v>
      </c>
      <c r="E47" s="3" t="s">
        <v>211</v>
      </c>
      <c r="F47" s="3" t="s">
        <v>126</v>
      </c>
      <c r="G47" s="3" t="s">
        <v>404</v>
      </c>
      <c r="H47" s="3" t="s">
        <v>64</v>
      </c>
      <c r="I47" s="3" t="s">
        <v>318</v>
      </c>
      <c r="J47" s="3" t="s">
        <v>65</v>
      </c>
      <c r="K47" s="18" t="s">
        <v>405</v>
      </c>
      <c r="L47" s="3" t="s">
        <v>213</v>
      </c>
    </row>
    <row r="48">
      <c r="A48" s="12">
        <v>46098.72754019676</v>
      </c>
      <c r="B48" s="3" t="s">
        <v>121</v>
      </c>
      <c r="C48" s="3" t="s">
        <v>122</v>
      </c>
      <c r="D48" s="18" t="s">
        <v>408</v>
      </c>
      <c r="E48" s="3" t="s">
        <v>323</v>
      </c>
      <c r="F48" s="3" t="s">
        <v>147</v>
      </c>
      <c r="G48" s="3" t="s">
        <v>175</v>
      </c>
      <c r="H48" s="3" t="s">
        <v>64</v>
      </c>
      <c r="I48" s="3" t="s">
        <v>323</v>
      </c>
      <c r="J48" s="3" t="s">
        <v>65</v>
      </c>
      <c r="K48" s="18" t="s">
        <v>411</v>
      </c>
      <c r="L48" s="3" t="s">
        <v>131</v>
      </c>
    </row>
    <row r="49">
      <c r="A49" s="12">
        <v>46098.729061307866</v>
      </c>
      <c r="B49" s="3" t="s">
        <v>185</v>
      </c>
      <c r="C49" s="3" t="s">
        <v>186</v>
      </c>
      <c r="D49" s="18" t="s">
        <v>414</v>
      </c>
      <c r="E49" s="3" t="s">
        <v>416</v>
      </c>
      <c r="F49" s="3" t="s">
        <v>147</v>
      </c>
      <c r="G49" s="3" t="s">
        <v>417</v>
      </c>
      <c r="H49" s="3" t="s">
        <v>64</v>
      </c>
      <c r="I49" s="3" t="s">
        <v>327</v>
      </c>
      <c r="J49" s="3" t="s">
        <v>65</v>
      </c>
      <c r="L49" s="3" t="s">
        <v>197</v>
      </c>
    </row>
    <row r="50">
      <c r="A50" s="12">
        <v>46098.73102717593</v>
      </c>
      <c r="B50" s="3" t="s">
        <v>121</v>
      </c>
      <c r="C50" s="3" t="s">
        <v>122</v>
      </c>
      <c r="D50" s="18" t="s">
        <v>418</v>
      </c>
      <c r="E50" s="3" t="s">
        <v>335</v>
      </c>
      <c r="F50" s="3" t="s">
        <v>147</v>
      </c>
      <c r="G50" s="3" t="s">
        <v>175</v>
      </c>
      <c r="H50" s="3" t="s">
        <v>64</v>
      </c>
      <c r="I50" s="3" t="s">
        <v>335</v>
      </c>
      <c r="J50" s="3" t="s">
        <v>65</v>
      </c>
      <c r="K50" s="18" t="s">
        <v>422</v>
      </c>
      <c r="L50" s="3" t="s">
        <v>131</v>
      </c>
    </row>
    <row r="51">
      <c r="A51" s="12">
        <v>46098.73467518519</v>
      </c>
      <c r="B51" s="3" t="s">
        <v>121</v>
      </c>
      <c r="C51" s="3" t="s">
        <v>170</v>
      </c>
      <c r="D51" s="18" t="s">
        <v>425</v>
      </c>
      <c r="E51" s="3" t="s">
        <v>341</v>
      </c>
      <c r="F51" s="3" t="s">
        <v>147</v>
      </c>
      <c r="G51" s="3" t="s">
        <v>427</v>
      </c>
      <c r="H51" s="3" t="s">
        <v>64</v>
      </c>
      <c r="I51" s="3" t="s">
        <v>341</v>
      </c>
      <c r="J51" s="3" t="s">
        <v>65</v>
      </c>
      <c r="K51" s="18" t="s">
        <v>428</v>
      </c>
      <c r="L51" s="3" t="s">
        <v>131</v>
      </c>
    </row>
    <row r="52">
      <c r="A52" s="12">
        <v>46098.73678253472</v>
      </c>
      <c r="B52" s="3" t="s">
        <v>121</v>
      </c>
      <c r="C52" s="3" t="s">
        <v>122</v>
      </c>
      <c r="D52" s="18" t="s">
        <v>431</v>
      </c>
      <c r="E52" s="3" t="s">
        <v>432</v>
      </c>
      <c r="F52" s="3" t="s">
        <v>147</v>
      </c>
      <c r="G52" s="3" t="s">
        <v>175</v>
      </c>
      <c r="H52" s="3" t="s">
        <v>64</v>
      </c>
      <c r="I52" s="3" t="s">
        <v>432</v>
      </c>
      <c r="J52" s="3" t="s">
        <v>65</v>
      </c>
      <c r="K52" s="18" t="s">
        <v>433</v>
      </c>
      <c r="L52" s="3" t="s">
        <v>131</v>
      </c>
    </row>
    <row r="53">
      <c r="A53" s="12">
        <v>46099.46320467592</v>
      </c>
      <c r="B53" s="3" t="s">
        <v>437</v>
      </c>
      <c r="C53" s="3" t="s">
        <v>438</v>
      </c>
      <c r="D53" s="18" t="s">
        <v>439</v>
      </c>
      <c r="E53" s="3" t="s">
        <v>354</v>
      </c>
      <c r="F53" s="3" t="s">
        <v>126</v>
      </c>
      <c r="G53" s="3" t="s">
        <v>442</v>
      </c>
      <c r="H53" s="3" t="s">
        <v>64</v>
      </c>
      <c r="I53" s="3" t="s">
        <v>353</v>
      </c>
      <c r="J53" s="3" t="s">
        <v>65</v>
      </c>
      <c r="L53" s="3" t="s">
        <v>443</v>
      </c>
    </row>
    <row r="54">
      <c r="A54" s="12">
        <v>46100.474261828705</v>
      </c>
      <c r="B54" s="3" t="s">
        <v>444</v>
      </c>
      <c r="C54" s="3" t="s">
        <v>142</v>
      </c>
      <c r="D54" s="18" t="s">
        <v>445</v>
      </c>
      <c r="E54" s="3" t="s">
        <v>168</v>
      </c>
      <c r="F54" s="3" t="s">
        <v>62</v>
      </c>
      <c r="G54" s="3" t="s">
        <v>448</v>
      </c>
      <c r="H54" s="3" t="s">
        <v>64</v>
      </c>
      <c r="I54" s="3" t="s">
        <v>166</v>
      </c>
      <c r="J54" s="3" t="s">
        <v>65</v>
      </c>
      <c r="L54" s="3" t="s">
        <v>149</v>
      </c>
    </row>
    <row r="55">
      <c r="A55" s="12">
        <v>46100.63334033565</v>
      </c>
      <c r="B55" s="3" t="s">
        <v>67</v>
      </c>
      <c r="C55" s="3" t="s">
        <v>277</v>
      </c>
      <c r="D55" s="18" t="s">
        <v>449</v>
      </c>
      <c r="E55" s="3" t="s">
        <v>75</v>
      </c>
      <c r="F55" s="3" t="s">
        <v>62</v>
      </c>
      <c r="G55" s="3" t="s">
        <v>452</v>
      </c>
      <c r="H55" s="3" t="s">
        <v>64</v>
      </c>
      <c r="I55" s="3" t="s">
        <v>365</v>
      </c>
      <c r="J55" s="3" t="s">
        <v>65</v>
      </c>
      <c r="L55" s="3" t="s">
        <v>77</v>
      </c>
    </row>
    <row r="56">
      <c r="A56" s="12">
        <v>46100.715419687505</v>
      </c>
      <c r="B56" s="3" t="s">
        <v>214</v>
      </c>
      <c r="C56" s="3" t="s">
        <v>215</v>
      </c>
      <c r="D56" s="18" t="s">
        <v>453</v>
      </c>
      <c r="E56" s="3" t="s">
        <v>456</v>
      </c>
      <c r="F56" s="3" t="s">
        <v>62</v>
      </c>
      <c r="G56" s="3" t="s">
        <v>457</v>
      </c>
      <c r="H56" s="3" t="s">
        <v>64</v>
      </c>
      <c r="I56" s="3" t="s">
        <v>136</v>
      </c>
      <c r="J56" s="3" t="s">
        <v>65</v>
      </c>
      <c r="L56" s="3" t="s">
        <v>222</v>
      </c>
    </row>
    <row r="57">
      <c r="A57" s="12">
        <v>46101.63194039352</v>
      </c>
      <c r="B57" s="3" t="s">
        <v>105</v>
      </c>
      <c r="C57" s="3" t="s">
        <v>106</v>
      </c>
      <c r="D57" s="18" t="s">
        <v>458</v>
      </c>
      <c r="E57" s="3" t="s">
        <v>345</v>
      </c>
      <c r="F57" s="3" t="s">
        <v>62</v>
      </c>
      <c r="G57" s="3" t="s">
        <v>461</v>
      </c>
      <c r="H57" s="3" t="s">
        <v>64</v>
      </c>
      <c r="I57" s="3" t="s">
        <v>371</v>
      </c>
      <c r="J57" s="3" t="s">
        <v>65</v>
      </c>
      <c r="K57" s="18" t="s">
        <v>462</v>
      </c>
      <c r="L57" s="3" t="s">
        <v>113</v>
      </c>
    </row>
    <row r="58">
      <c r="A58" s="12">
        <v>46101.73445738426</v>
      </c>
      <c r="B58" s="3" t="s">
        <v>465</v>
      </c>
      <c r="C58" s="3" t="s">
        <v>466</v>
      </c>
      <c r="D58" s="18" t="s">
        <v>467</v>
      </c>
      <c r="E58" s="3" t="s">
        <v>470</v>
      </c>
      <c r="F58" s="3" t="s">
        <v>126</v>
      </c>
      <c r="G58" s="3" t="s">
        <v>471</v>
      </c>
      <c r="H58" s="3" t="s">
        <v>64</v>
      </c>
      <c r="I58" s="3" t="s">
        <v>375</v>
      </c>
      <c r="J58" s="3" t="s">
        <v>65</v>
      </c>
      <c r="K58" s="18" t="s">
        <v>472</v>
      </c>
      <c r="L58" s="3" t="s">
        <v>475</v>
      </c>
    </row>
    <row r="59">
      <c r="A59" s="12">
        <v>46101.76735212963</v>
      </c>
      <c r="B59" s="3" t="s">
        <v>303</v>
      </c>
      <c r="C59" s="3" t="s">
        <v>186</v>
      </c>
      <c r="D59" s="18" t="s">
        <v>476</v>
      </c>
      <c r="E59" s="3" t="s">
        <v>478</v>
      </c>
      <c r="F59" s="3" t="s">
        <v>103</v>
      </c>
      <c r="G59" s="3" t="s">
        <v>479</v>
      </c>
      <c r="H59" s="3" t="s">
        <v>64</v>
      </c>
      <c r="I59" s="3" t="s">
        <v>480</v>
      </c>
      <c r="J59" s="3" t="s">
        <v>65</v>
      </c>
      <c r="L59" s="3" t="s">
        <v>197</v>
      </c>
    </row>
    <row r="60">
      <c r="A60" s="12">
        <v>46104.64123443287</v>
      </c>
      <c r="B60" s="3" t="s">
        <v>483</v>
      </c>
      <c r="C60" s="3" t="s">
        <v>186</v>
      </c>
      <c r="D60" s="18" t="s">
        <v>484</v>
      </c>
      <c r="E60" s="3" t="s">
        <v>486</v>
      </c>
      <c r="F60" s="3" t="s">
        <v>147</v>
      </c>
      <c r="G60" s="3" t="s">
        <v>487</v>
      </c>
      <c r="H60" s="3" t="s">
        <v>64</v>
      </c>
      <c r="I60" s="3" t="s">
        <v>244</v>
      </c>
      <c r="J60" s="3" t="s">
        <v>65</v>
      </c>
      <c r="L60" s="3" t="s">
        <v>197</v>
      </c>
    </row>
    <row r="61">
      <c r="A61" s="12">
        <v>46104.66277429398</v>
      </c>
      <c r="B61" s="3" t="s">
        <v>488</v>
      </c>
      <c r="C61" s="3" t="s">
        <v>357</v>
      </c>
      <c r="D61" s="18" t="s">
        <v>489</v>
      </c>
      <c r="E61" s="3" t="s">
        <v>491</v>
      </c>
      <c r="F61" s="3" t="s">
        <v>147</v>
      </c>
      <c r="G61" s="3" t="s">
        <v>492</v>
      </c>
      <c r="H61" s="3" t="s">
        <v>64</v>
      </c>
      <c r="I61" s="3" t="s">
        <v>383</v>
      </c>
      <c r="J61" s="3" t="s">
        <v>65</v>
      </c>
      <c r="L61" s="3" t="s">
        <v>493</v>
      </c>
    </row>
    <row r="62">
      <c r="A62" s="12">
        <v>46104.71830611111</v>
      </c>
      <c r="B62" s="3" t="s">
        <v>67</v>
      </c>
      <c r="C62" s="3" t="s">
        <v>277</v>
      </c>
      <c r="D62" s="18" t="s">
        <v>494</v>
      </c>
      <c r="E62" s="3" t="s">
        <v>75</v>
      </c>
      <c r="F62" s="3" t="s">
        <v>62</v>
      </c>
      <c r="G62" s="3" t="s">
        <v>496</v>
      </c>
      <c r="H62" s="3" t="s">
        <v>64</v>
      </c>
      <c r="I62" s="3" t="s">
        <v>386</v>
      </c>
      <c r="J62" s="3" t="s">
        <v>65</v>
      </c>
      <c r="L62" s="3" t="s">
        <v>77</v>
      </c>
    </row>
    <row r="63">
      <c r="A63" s="12">
        <v>46105.693644583334</v>
      </c>
      <c r="B63" s="3" t="s">
        <v>67</v>
      </c>
      <c r="C63" s="3" t="s">
        <v>277</v>
      </c>
      <c r="D63" s="18" t="s">
        <v>497</v>
      </c>
      <c r="E63" s="3" t="s">
        <v>75</v>
      </c>
      <c r="F63" s="3" t="s">
        <v>62</v>
      </c>
      <c r="G63" s="3" t="s">
        <v>76</v>
      </c>
      <c r="H63" s="3" t="s">
        <v>64</v>
      </c>
      <c r="I63" s="3" t="s">
        <v>389</v>
      </c>
      <c r="J63" s="3" t="s">
        <v>65</v>
      </c>
      <c r="L63" s="3" t="s">
        <v>77</v>
      </c>
    </row>
    <row r="64">
      <c r="A64" s="12">
        <v>46106.46225028935</v>
      </c>
      <c r="B64" s="3" t="s">
        <v>141</v>
      </c>
      <c r="C64" s="3" t="s">
        <v>142</v>
      </c>
      <c r="D64" s="18" t="s">
        <v>499</v>
      </c>
      <c r="E64" s="3" t="s">
        <v>211</v>
      </c>
      <c r="F64" s="3" t="s">
        <v>138</v>
      </c>
      <c r="G64" s="3" t="s">
        <v>501</v>
      </c>
      <c r="H64" s="3" t="s">
        <v>64</v>
      </c>
      <c r="I64" s="3" t="s">
        <v>166</v>
      </c>
      <c r="J64" s="3" t="s">
        <v>65</v>
      </c>
      <c r="L64" s="3" t="s">
        <v>149</v>
      </c>
    </row>
    <row r="65">
      <c r="A65" s="12">
        <v>46106.6323257176</v>
      </c>
      <c r="B65" s="3" t="s">
        <v>97</v>
      </c>
      <c r="C65" s="3" t="s">
        <v>98</v>
      </c>
      <c r="D65" s="18" t="s">
        <v>502</v>
      </c>
      <c r="E65" s="3" t="s">
        <v>397</v>
      </c>
      <c r="F65" s="3" t="s">
        <v>126</v>
      </c>
      <c r="G65" s="3" t="s">
        <v>397</v>
      </c>
      <c r="H65" s="3" t="s">
        <v>64</v>
      </c>
      <c r="I65" s="3" t="s">
        <v>397</v>
      </c>
      <c r="J65" s="3" t="s">
        <v>65</v>
      </c>
      <c r="L65" s="3" t="s">
        <v>104</v>
      </c>
    </row>
    <row r="66">
      <c r="A66" s="12">
        <v>46106.63661938657</v>
      </c>
      <c r="B66" s="3" t="s">
        <v>504</v>
      </c>
      <c r="C66" s="3" t="s">
        <v>505</v>
      </c>
      <c r="D66" s="18" t="s">
        <v>506</v>
      </c>
      <c r="E66" s="3" t="s">
        <v>509</v>
      </c>
      <c r="F66" s="3" t="s">
        <v>62</v>
      </c>
      <c r="G66" s="3" t="s">
        <v>510</v>
      </c>
      <c r="H66" s="3" t="s">
        <v>64</v>
      </c>
      <c r="I66" s="3" t="s">
        <v>511</v>
      </c>
      <c r="J66" s="3" t="s">
        <v>65</v>
      </c>
      <c r="L66" s="3" t="s">
        <v>512</v>
      </c>
    </row>
    <row r="67">
      <c r="A67" s="12">
        <v>46106.71041579861</v>
      </c>
      <c r="B67" s="3" t="s">
        <v>513</v>
      </c>
      <c r="C67" s="3" t="s">
        <v>255</v>
      </c>
      <c r="D67" s="18" t="s">
        <v>514</v>
      </c>
      <c r="E67" s="3" t="s">
        <v>517</v>
      </c>
      <c r="F67" s="3" t="s">
        <v>138</v>
      </c>
      <c r="G67" s="3" t="s">
        <v>518</v>
      </c>
      <c r="H67" s="3" t="s">
        <v>64</v>
      </c>
      <c r="I67" s="3" t="s">
        <v>519</v>
      </c>
      <c r="J67" s="3" t="s">
        <v>65</v>
      </c>
      <c r="L67" s="3" t="s">
        <v>520</v>
      </c>
    </row>
    <row r="68">
      <c r="A68" s="12">
        <v>46106.71808373842</v>
      </c>
      <c r="B68" s="3" t="s">
        <v>513</v>
      </c>
      <c r="C68" s="3" t="s">
        <v>255</v>
      </c>
      <c r="D68" s="18" t="s">
        <v>522</v>
      </c>
      <c r="E68" s="3" t="s">
        <v>524</v>
      </c>
      <c r="F68" s="3" t="s">
        <v>138</v>
      </c>
      <c r="G68" s="3" t="s">
        <v>518</v>
      </c>
      <c r="H68" s="3" t="s">
        <v>64</v>
      </c>
      <c r="I68" s="3" t="s">
        <v>525</v>
      </c>
      <c r="J68" s="3" t="s">
        <v>65</v>
      </c>
      <c r="L68" s="3" t="s">
        <v>520</v>
      </c>
    </row>
    <row r="69">
      <c r="A69" s="12">
        <v>46107.48119082176</v>
      </c>
      <c r="B69" s="3" t="s">
        <v>47</v>
      </c>
      <c r="C69" s="3" t="s">
        <v>49</v>
      </c>
      <c r="D69" s="18" t="s">
        <v>527</v>
      </c>
      <c r="E69" s="3" t="s">
        <v>528</v>
      </c>
      <c r="F69" s="3" t="s">
        <v>62</v>
      </c>
      <c r="G69" s="3" t="s">
        <v>529</v>
      </c>
      <c r="H69" s="3" t="s">
        <v>324</v>
      </c>
      <c r="I69" s="3" t="s">
        <v>413</v>
      </c>
      <c r="J69" s="3" t="s">
        <v>65</v>
      </c>
      <c r="L69" s="3" t="s">
        <v>66</v>
      </c>
    </row>
    <row r="70">
      <c r="A70" s="12">
        <v>46107.50451267361</v>
      </c>
      <c r="B70" s="3" t="s">
        <v>105</v>
      </c>
      <c r="C70" s="3" t="s">
        <v>106</v>
      </c>
      <c r="D70" s="18" t="s">
        <v>531</v>
      </c>
      <c r="E70" s="3" t="s">
        <v>533</v>
      </c>
      <c r="F70" s="3" t="s">
        <v>62</v>
      </c>
      <c r="G70" s="3" t="s">
        <v>535</v>
      </c>
      <c r="H70" s="3" t="s">
        <v>64</v>
      </c>
      <c r="I70" s="3" t="s">
        <v>371</v>
      </c>
      <c r="J70" s="3" t="s">
        <v>65</v>
      </c>
      <c r="K70" s="18" t="s">
        <v>536</v>
      </c>
      <c r="L70" s="3" t="s">
        <v>113</v>
      </c>
    </row>
    <row r="71">
      <c r="A71" s="12">
        <v>46107.509258819446</v>
      </c>
      <c r="B71" s="3" t="s">
        <v>539</v>
      </c>
      <c r="C71" s="3" t="s">
        <v>106</v>
      </c>
      <c r="D71" s="18" t="s">
        <v>540</v>
      </c>
      <c r="E71" s="3" t="s">
        <v>533</v>
      </c>
      <c r="F71" s="3" t="s">
        <v>62</v>
      </c>
      <c r="G71" s="3" t="s">
        <v>542</v>
      </c>
      <c r="H71" s="3" t="s">
        <v>64</v>
      </c>
      <c r="I71" s="3" t="s">
        <v>371</v>
      </c>
      <c r="J71" s="3" t="s">
        <v>65</v>
      </c>
      <c r="K71" s="18" t="s">
        <v>543</v>
      </c>
      <c r="L71" s="3" t="s">
        <v>113</v>
      </c>
    </row>
    <row r="72">
      <c r="A72" s="12">
        <v>46107.532502256945</v>
      </c>
      <c r="B72" s="3" t="s">
        <v>67</v>
      </c>
      <c r="C72" s="3" t="s">
        <v>277</v>
      </c>
      <c r="D72" s="18" t="s">
        <v>545</v>
      </c>
      <c r="E72" s="3" t="s">
        <v>75</v>
      </c>
      <c r="F72" s="3" t="s">
        <v>62</v>
      </c>
      <c r="G72" s="3" t="s">
        <v>76</v>
      </c>
      <c r="H72" s="3" t="s">
        <v>64</v>
      </c>
      <c r="I72" s="3" t="s">
        <v>421</v>
      </c>
      <c r="J72" s="3" t="s">
        <v>65</v>
      </c>
      <c r="L72" s="3" t="s">
        <v>77</v>
      </c>
    </row>
    <row r="73">
      <c r="A73" s="12">
        <v>46107.56980696759</v>
      </c>
      <c r="B73" s="3" t="s">
        <v>356</v>
      </c>
      <c r="C73" s="3" t="s">
        <v>357</v>
      </c>
      <c r="D73" s="18" t="s">
        <v>548</v>
      </c>
      <c r="E73" s="3" t="s">
        <v>551</v>
      </c>
      <c r="F73" s="3" t="s">
        <v>138</v>
      </c>
      <c r="G73" s="3" t="s">
        <v>552</v>
      </c>
      <c r="H73" s="3" t="s">
        <v>64</v>
      </c>
      <c r="I73" s="3" t="s">
        <v>424</v>
      </c>
      <c r="J73" s="3" t="s">
        <v>65</v>
      </c>
      <c r="L73" s="3" t="s">
        <v>362</v>
      </c>
    </row>
    <row r="74">
      <c r="A74" s="12">
        <v>46108.53454853009</v>
      </c>
      <c r="B74" s="3" t="s">
        <v>141</v>
      </c>
      <c r="C74" s="3" t="s">
        <v>142</v>
      </c>
      <c r="D74" s="18" t="s">
        <v>553</v>
      </c>
      <c r="E74" s="3" t="s">
        <v>146</v>
      </c>
      <c r="F74" s="3" t="s">
        <v>62</v>
      </c>
      <c r="G74" s="3" t="s">
        <v>557</v>
      </c>
      <c r="H74" s="3" t="s">
        <v>64</v>
      </c>
      <c r="I74" s="3" t="s">
        <v>166</v>
      </c>
      <c r="J74" s="3" t="s">
        <v>65</v>
      </c>
      <c r="L74" s="3" t="s">
        <v>149</v>
      </c>
    </row>
    <row r="75">
      <c r="A75" s="12">
        <v>46108.674200127316</v>
      </c>
      <c r="B75" s="3" t="s">
        <v>465</v>
      </c>
      <c r="C75" s="3" t="s">
        <v>122</v>
      </c>
      <c r="D75" s="18" t="s">
        <v>558</v>
      </c>
      <c r="E75" s="3" t="s">
        <v>561</v>
      </c>
      <c r="F75" s="3" t="s">
        <v>62</v>
      </c>
      <c r="G75" s="3" t="s">
        <v>562</v>
      </c>
      <c r="H75" s="3" t="s">
        <v>64</v>
      </c>
      <c r="I75" s="3" t="s">
        <v>563</v>
      </c>
      <c r="J75" s="3" t="s">
        <v>65</v>
      </c>
      <c r="K75" s="18" t="s">
        <v>564</v>
      </c>
      <c r="L75" s="3" t="s">
        <v>475</v>
      </c>
    </row>
    <row r="76">
      <c r="A76" s="12">
        <v>46108.70513040509</v>
      </c>
      <c r="B76" s="3" t="s">
        <v>465</v>
      </c>
      <c r="C76" s="3" t="s">
        <v>122</v>
      </c>
      <c r="D76" s="18" t="s">
        <v>567</v>
      </c>
      <c r="E76" s="3" t="s">
        <v>569</v>
      </c>
      <c r="F76" s="3" t="s">
        <v>62</v>
      </c>
      <c r="G76" s="3" t="s">
        <v>570</v>
      </c>
      <c r="H76" s="3" t="s">
        <v>64</v>
      </c>
      <c r="I76" s="3" t="s">
        <v>436</v>
      </c>
      <c r="J76" s="3" t="s">
        <v>65</v>
      </c>
      <c r="K76" s="18" t="s">
        <v>571</v>
      </c>
      <c r="L76" s="3" t="s">
        <v>475</v>
      </c>
    </row>
    <row r="77">
      <c r="A77" s="12">
        <v>46109.47600181713</v>
      </c>
      <c r="B77" s="3" t="s">
        <v>105</v>
      </c>
      <c r="C77" s="3" t="s">
        <v>106</v>
      </c>
      <c r="D77" s="18" t="s">
        <v>574</v>
      </c>
      <c r="E77" s="3" t="s">
        <v>576</v>
      </c>
      <c r="F77" s="3" t="s">
        <v>62</v>
      </c>
      <c r="G77" s="3" t="s">
        <v>577</v>
      </c>
      <c r="H77" s="3" t="s">
        <v>64</v>
      </c>
      <c r="I77" s="3" t="s">
        <v>441</v>
      </c>
      <c r="J77" s="3" t="s">
        <v>65</v>
      </c>
      <c r="K77" s="18" t="s">
        <v>578</v>
      </c>
      <c r="L77" s="3" t="s">
        <v>113</v>
      </c>
    </row>
    <row r="78">
      <c r="A78" s="12">
        <v>46109.50093337963</v>
      </c>
      <c r="B78" s="3" t="s">
        <v>214</v>
      </c>
      <c r="C78" s="3" t="s">
        <v>215</v>
      </c>
      <c r="D78" s="18" t="s">
        <v>581</v>
      </c>
      <c r="E78" s="3" t="s">
        <v>584</v>
      </c>
      <c r="F78" s="3" t="s">
        <v>62</v>
      </c>
      <c r="G78" s="3" t="s">
        <v>585</v>
      </c>
      <c r="H78" s="3" t="s">
        <v>64</v>
      </c>
      <c r="I78" s="3" t="s">
        <v>447</v>
      </c>
      <c r="J78" s="3" t="s">
        <v>65</v>
      </c>
      <c r="L78" s="3" t="s">
        <v>222</v>
      </c>
    </row>
    <row r="79">
      <c r="A79" s="12">
        <v>46109.52022850694</v>
      </c>
      <c r="B79" s="3" t="s">
        <v>465</v>
      </c>
      <c r="C79" s="3" t="s">
        <v>122</v>
      </c>
      <c r="D79" s="18" t="s">
        <v>586</v>
      </c>
      <c r="E79" s="3" t="s">
        <v>588</v>
      </c>
      <c r="F79" s="3" t="s">
        <v>62</v>
      </c>
      <c r="G79" s="3" t="s">
        <v>589</v>
      </c>
      <c r="H79" s="3" t="s">
        <v>64</v>
      </c>
      <c r="I79" s="3" t="s">
        <v>590</v>
      </c>
      <c r="J79" s="3" t="s">
        <v>65</v>
      </c>
      <c r="K79" s="18" t="s">
        <v>591</v>
      </c>
      <c r="L79" s="3" t="s">
        <v>475</v>
      </c>
    </row>
    <row r="80">
      <c r="A80" s="12">
        <v>46109.53720652778</v>
      </c>
      <c r="B80" s="3" t="s">
        <v>105</v>
      </c>
      <c r="C80" s="3" t="s">
        <v>334</v>
      </c>
      <c r="D80" s="18" t="s">
        <v>594</v>
      </c>
      <c r="E80" s="3" t="s">
        <v>117</v>
      </c>
      <c r="F80" s="3" t="s">
        <v>62</v>
      </c>
      <c r="G80" s="3" t="s">
        <v>596</v>
      </c>
      <c r="H80" s="3" t="s">
        <v>64</v>
      </c>
      <c r="I80" s="3" t="s">
        <v>455</v>
      </c>
      <c r="J80" s="3" t="s">
        <v>65</v>
      </c>
      <c r="K80" s="18" t="s">
        <v>597</v>
      </c>
      <c r="L80" s="3" t="s">
        <v>113</v>
      </c>
    </row>
    <row r="81">
      <c r="A81" s="12">
        <v>46109.54214327547</v>
      </c>
      <c r="B81" s="3" t="s">
        <v>105</v>
      </c>
      <c r="C81" s="3" t="s">
        <v>334</v>
      </c>
      <c r="D81" s="18" t="s">
        <v>599</v>
      </c>
      <c r="E81" s="3" t="s">
        <v>117</v>
      </c>
      <c r="F81" s="3" t="s">
        <v>62</v>
      </c>
      <c r="G81" s="3" t="s">
        <v>602</v>
      </c>
      <c r="H81" s="3" t="s">
        <v>64</v>
      </c>
      <c r="I81" s="3" t="s">
        <v>460</v>
      </c>
      <c r="J81" s="3" t="s">
        <v>65</v>
      </c>
      <c r="K81" s="18" t="s">
        <v>603</v>
      </c>
      <c r="L81" s="3" t="s">
        <v>113</v>
      </c>
    </row>
    <row r="82">
      <c r="A82" s="12">
        <v>46109.62613456018</v>
      </c>
      <c r="B82" s="3" t="s">
        <v>223</v>
      </c>
      <c r="C82" s="3" t="s">
        <v>225</v>
      </c>
      <c r="D82" s="18" t="s">
        <v>605</v>
      </c>
      <c r="E82" s="3" t="s">
        <v>608</v>
      </c>
      <c r="F82" s="3" t="s">
        <v>138</v>
      </c>
      <c r="G82" s="3" t="s">
        <v>609</v>
      </c>
      <c r="H82" s="3" t="s">
        <v>64</v>
      </c>
      <c r="I82" s="3" t="s">
        <v>464</v>
      </c>
      <c r="J82" s="3" t="s">
        <v>65</v>
      </c>
      <c r="L82" s="3" t="s">
        <v>228</v>
      </c>
    </row>
    <row r="83">
      <c r="A83" s="12">
        <v>46109.62683728009</v>
      </c>
      <c r="B83" s="3" t="s">
        <v>47</v>
      </c>
      <c r="C83" s="3" t="s">
        <v>610</v>
      </c>
      <c r="D83" s="18" t="s">
        <v>611</v>
      </c>
      <c r="E83" s="3" t="s">
        <v>614</v>
      </c>
      <c r="F83" s="3" t="s">
        <v>62</v>
      </c>
      <c r="G83" s="3" t="s">
        <v>615</v>
      </c>
      <c r="H83" s="3" t="s">
        <v>64</v>
      </c>
      <c r="I83" s="3" t="s">
        <v>469</v>
      </c>
      <c r="J83" s="3" t="s">
        <v>65</v>
      </c>
      <c r="L83" s="3" t="s">
        <v>66</v>
      </c>
    </row>
    <row r="84">
      <c r="A84" s="12">
        <v>46109.62792107639</v>
      </c>
      <c r="B84" s="3" t="s">
        <v>223</v>
      </c>
      <c r="C84" s="3" t="s">
        <v>225</v>
      </c>
      <c r="D84" s="18" t="s">
        <v>616</v>
      </c>
      <c r="E84" s="3" t="s">
        <v>619</v>
      </c>
      <c r="F84" s="3" t="s">
        <v>138</v>
      </c>
      <c r="G84" s="3" t="s">
        <v>620</v>
      </c>
      <c r="H84" s="3" t="s">
        <v>64</v>
      </c>
      <c r="I84" s="3" t="s">
        <v>474</v>
      </c>
      <c r="J84" s="3" t="s">
        <v>65</v>
      </c>
      <c r="L84" s="3" t="s">
        <v>228</v>
      </c>
    </row>
    <row r="85">
      <c r="A85" s="12">
        <v>46109.631411064816</v>
      </c>
      <c r="B85" s="3" t="s">
        <v>465</v>
      </c>
      <c r="C85" s="3" t="s">
        <v>122</v>
      </c>
      <c r="D85" s="18" t="s">
        <v>621</v>
      </c>
      <c r="E85" s="3" t="s">
        <v>624</v>
      </c>
      <c r="F85" s="3" t="s">
        <v>62</v>
      </c>
      <c r="G85" s="3" t="s">
        <v>625</v>
      </c>
      <c r="H85" s="3" t="s">
        <v>64</v>
      </c>
      <c r="I85" s="3" t="s">
        <v>355</v>
      </c>
      <c r="J85" s="3" t="s">
        <v>65</v>
      </c>
      <c r="K85" s="18" t="s">
        <v>626</v>
      </c>
      <c r="L85" s="3" t="s">
        <v>475</v>
      </c>
    </row>
    <row r="86">
      <c r="A86" s="12">
        <v>46111.52355054398</v>
      </c>
      <c r="B86" s="3" t="s">
        <v>356</v>
      </c>
      <c r="C86" s="3" t="s">
        <v>357</v>
      </c>
      <c r="D86" s="18" t="s">
        <v>629</v>
      </c>
      <c r="E86" s="3" t="s">
        <v>632</v>
      </c>
      <c r="F86" s="3" t="s">
        <v>138</v>
      </c>
      <c r="G86" s="3" t="s">
        <v>633</v>
      </c>
      <c r="H86" s="3" t="s">
        <v>64</v>
      </c>
      <c r="I86" s="3" t="s">
        <v>482</v>
      </c>
      <c r="J86" s="3" t="s">
        <v>65</v>
      </c>
      <c r="L86" s="3" t="s">
        <v>362</v>
      </c>
    </row>
    <row r="87">
      <c r="A87" s="12">
        <v>46111.5898325</v>
      </c>
      <c r="B87" s="3" t="s">
        <v>539</v>
      </c>
      <c r="C87" s="3" t="s">
        <v>106</v>
      </c>
      <c r="D87" s="18" t="s">
        <v>634</v>
      </c>
      <c r="E87" s="3" t="s">
        <v>117</v>
      </c>
      <c r="F87" s="3" t="s">
        <v>62</v>
      </c>
      <c r="G87" s="3" t="s">
        <v>637</v>
      </c>
      <c r="H87" s="3" t="s">
        <v>64</v>
      </c>
      <c r="I87" s="3" t="s">
        <v>74</v>
      </c>
      <c r="J87" s="3" t="s">
        <v>65</v>
      </c>
      <c r="K87" s="18" t="s">
        <v>638</v>
      </c>
      <c r="L87" s="3" t="s">
        <v>113</v>
      </c>
    </row>
    <row r="88">
      <c r="A88" s="12">
        <v>46111.639558888884</v>
      </c>
      <c r="B88" s="3" t="s">
        <v>641</v>
      </c>
      <c r="C88" s="3" t="s">
        <v>255</v>
      </c>
      <c r="D88" s="18" t="s">
        <v>642</v>
      </c>
      <c r="E88" s="3" t="s">
        <v>644</v>
      </c>
      <c r="F88" s="3" t="s">
        <v>62</v>
      </c>
      <c r="G88" s="3" t="s">
        <v>645</v>
      </c>
      <c r="H88" s="3" t="s">
        <v>64</v>
      </c>
      <c r="I88" s="3">
        <v>3629.0</v>
      </c>
      <c r="J88" s="3" t="s">
        <v>65</v>
      </c>
      <c r="L88" s="3" t="s">
        <v>646</v>
      </c>
    </row>
    <row r="89">
      <c r="A89" s="12">
        <v>46111.640718263894</v>
      </c>
      <c r="B89" s="3" t="s">
        <v>641</v>
      </c>
      <c r="C89" s="3" t="s">
        <v>255</v>
      </c>
      <c r="D89" s="18" t="s">
        <v>647</v>
      </c>
      <c r="E89" s="3" t="s">
        <v>648</v>
      </c>
      <c r="F89" s="3" t="s">
        <v>62</v>
      </c>
      <c r="G89" s="3" t="s">
        <v>650</v>
      </c>
      <c r="H89" s="3" t="s">
        <v>64</v>
      </c>
      <c r="I89" s="3">
        <v>3630.0</v>
      </c>
      <c r="J89" s="3" t="s">
        <v>65</v>
      </c>
      <c r="L89" s="3" t="s">
        <v>646</v>
      </c>
    </row>
    <row r="90">
      <c r="A90" s="12">
        <v>46111.641459583334</v>
      </c>
      <c r="B90" s="3" t="s">
        <v>641</v>
      </c>
      <c r="C90" s="3" t="s">
        <v>255</v>
      </c>
      <c r="D90" s="18" t="s">
        <v>651</v>
      </c>
      <c r="E90" s="3" t="s">
        <v>648</v>
      </c>
      <c r="F90" s="3" t="s">
        <v>62</v>
      </c>
      <c r="G90" s="3" t="s">
        <v>653</v>
      </c>
      <c r="H90" s="3" t="s">
        <v>64</v>
      </c>
      <c r="I90" s="3">
        <v>3629.0</v>
      </c>
      <c r="J90" s="3" t="s">
        <v>65</v>
      </c>
      <c r="L90" s="3" t="s">
        <v>646</v>
      </c>
    </row>
    <row r="91">
      <c r="A91" s="12">
        <v>46111.642687893516</v>
      </c>
      <c r="B91" s="3" t="s">
        <v>641</v>
      </c>
      <c r="C91" s="3" t="s">
        <v>255</v>
      </c>
      <c r="D91" s="18" t="s">
        <v>654</v>
      </c>
      <c r="E91" s="3" t="s">
        <v>648</v>
      </c>
      <c r="F91" s="3" t="s">
        <v>62</v>
      </c>
      <c r="G91" s="3" t="s">
        <v>657</v>
      </c>
      <c r="H91" s="3" t="s">
        <v>64</v>
      </c>
      <c r="I91" s="3">
        <v>3630.0</v>
      </c>
      <c r="J91" s="3" t="s">
        <v>65</v>
      </c>
      <c r="L91" s="3" t="s">
        <v>646</v>
      </c>
    </row>
    <row r="92">
      <c r="A92" s="12">
        <v>46111.71831818287</v>
      </c>
      <c r="B92" s="3" t="s">
        <v>141</v>
      </c>
      <c r="C92" s="3" t="s">
        <v>142</v>
      </c>
      <c r="D92" s="18" t="s">
        <v>658</v>
      </c>
      <c r="E92" s="3" t="s">
        <v>168</v>
      </c>
      <c r="F92" s="3" t="s">
        <v>62</v>
      </c>
      <c r="G92" s="3" t="s">
        <v>661</v>
      </c>
      <c r="H92" s="3" t="s">
        <v>64</v>
      </c>
      <c r="I92" s="3" t="s">
        <v>166</v>
      </c>
      <c r="J92" s="3" t="s">
        <v>65</v>
      </c>
      <c r="L92" s="3" t="s">
        <v>149</v>
      </c>
    </row>
    <row r="93">
      <c r="A93" s="12">
        <v>46112.48596023148</v>
      </c>
      <c r="B93" s="3" t="s">
        <v>662</v>
      </c>
      <c r="C93" s="3" t="s">
        <v>663</v>
      </c>
      <c r="D93" s="18" t="s">
        <v>664</v>
      </c>
      <c r="E93" s="3" t="s">
        <v>666</v>
      </c>
      <c r="F93" s="3" t="s">
        <v>668</v>
      </c>
      <c r="G93" s="3" t="s">
        <v>669</v>
      </c>
      <c r="H93" s="3" t="s">
        <v>64</v>
      </c>
      <c r="I93" s="3" t="s">
        <v>508</v>
      </c>
      <c r="J93" s="3" t="s">
        <v>65</v>
      </c>
      <c r="L93" s="3" t="s">
        <v>646</v>
      </c>
    </row>
    <row r="94">
      <c r="A94" s="12">
        <v>46112.48854196759</v>
      </c>
      <c r="B94" s="3" t="s">
        <v>662</v>
      </c>
      <c r="C94" s="3" t="s">
        <v>670</v>
      </c>
      <c r="D94" s="18" t="s">
        <v>671</v>
      </c>
      <c r="E94" s="3" t="s">
        <v>674</v>
      </c>
      <c r="F94" s="3" t="s">
        <v>62</v>
      </c>
      <c r="G94" s="3" t="s">
        <v>675</v>
      </c>
      <c r="H94" s="3" t="s">
        <v>64</v>
      </c>
      <c r="I94" s="3" t="s">
        <v>516</v>
      </c>
      <c r="J94" s="3" t="s">
        <v>65</v>
      </c>
      <c r="L94" s="3" t="s">
        <v>646</v>
      </c>
    </row>
    <row r="95">
      <c r="A95" s="12">
        <v>46113.47006789352</v>
      </c>
      <c r="B95" s="3" t="s">
        <v>303</v>
      </c>
      <c r="C95" s="3" t="s">
        <v>186</v>
      </c>
      <c r="D95" s="18" t="s">
        <v>676</v>
      </c>
      <c r="E95" s="3" t="s">
        <v>678</v>
      </c>
      <c r="F95" s="3" t="s">
        <v>103</v>
      </c>
      <c r="G95" s="3" t="s">
        <v>679</v>
      </c>
      <c r="H95" s="3" t="s">
        <v>64</v>
      </c>
      <c r="I95" s="3" t="s">
        <v>523</v>
      </c>
      <c r="J95" s="3" t="s">
        <v>65</v>
      </c>
      <c r="L95" s="3" t="s">
        <v>197</v>
      </c>
    </row>
    <row r="96">
      <c r="A96" s="12">
        <v>46113.513930636575</v>
      </c>
      <c r="B96" s="3" t="s">
        <v>465</v>
      </c>
      <c r="C96" s="3" t="s">
        <v>122</v>
      </c>
      <c r="D96" s="18" t="s">
        <v>680</v>
      </c>
      <c r="E96" s="3" t="s">
        <v>682</v>
      </c>
      <c r="F96" s="3" t="s">
        <v>62</v>
      </c>
      <c r="G96" s="3" t="s">
        <v>683</v>
      </c>
      <c r="H96" s="3" t="s">
        <v>64</v>
      </c>
      <c r="I96" s="3" t="s">
        <v>355</v>
      </c>
      <c r="J96" s="3" t="s">
        <v>65</v>
      </c>
      <c r="K96" s="18" t="s">
        <v>684</v>
      </c>
      <c r="L96" s="3" t="s">
        <v>475</v>
      </c>
    </row>
    <row r="97">
      <c r="A97" s="12">
        <v>46113.52339030092</v>
      </c>
      <c r="B97" s="3" t="s">
        <v>465</v>
      </c>
      <c r="C97" s="3" t="s">
        <v>122</v>
      </c>
      <c r="D97" s="18" t="s">
        <v>687</v>
      </c>
      <c r="E97" s="3" t="s">
        <v>690</v>
      </c>
      <c r="F97" s="3" t="s">
        <v>62</v>
      </c>
      <c r="G97" s="3" t="s">
        <v>691</v>
      </c>
      <c r="H97" s="3" t="s">
        <v>64</v>
      </c>
      <c r="I97" s="3" t="s">
        <v>355</v>
      </c>
      <c r="J97" s="3" t="s">
        <v>65</v>
      </c>
      <c r="K97" s="18" t="s">
        <v>692</v>
      </c>
      <c r="L97" s="3" t="s">
        <v>475</v>
      </c>
    </row>
    <row r="98">
      <c r="A98" s="12">
        <v>46113.53227776621</v>
      </c>
      <c r="B98" s="3" t="s">
        <v>695</v>
      </c>
      <c r="C98" s="3" t="s">
        <v>696</v>
      </c>
      <c r="D98" s="18" t="s">
        <v>697</v>
      </c>
      <c r="E98" s="3" t="s">
        <v>700</v>
      </c>
      <c r="F98" s="3" t="s">
        <v>62</v>
      </c>
      <c r="G98" s="3" t="s">
        <v>701</v>
      </c>
      <c r="H98" s="3" t="s">
        <v>64</v>
      </c>
      <c r="I98" s="3" t="s">
        <v>702</v>
      </c>
      <c r="J98" s="3" t="s">
        <v>65</v>
      </c>
      <c r="K98" s="18" t="s">
        <v>703</v>
      </c>
      <c r="L98" s="3" t="s">
        <v>706</v>
      </c>
    </row>
    <row r="99">
      <c r="A99" s="12">
        <v>46113.533832326386</v>
      </c>
      <c r="B99" s="3" t="s">
        <v>303</v>
      </c>
      <c r="C99" s="3" t="s">
        <v>186</v>
      </c>
      <c r="D99" s="18" t="s">
        <v>707</v>
      </c>
      <c r="E99" s="3" t="s">
        <v>709</v>
      </c>
      <c r="F99" s="3" t="s">
        <v>147</v>
      </c>
      <c r="G99" s="3" t="s">
        <v>710</v>
      </c>
      <c r="H99" s="3" t="s">
        <v>64</v>
      </c>
      <c r="I99" s="3" t="s">
        <v>538</v>
      </c>
      <c r="J99" s="3" t="s">
        <v>65</v>
      </c>
      <c r="L99" s="3" t="s">
        <v>197</v>
      </c>
    </row>
    <row r="100">
      <c r="A100" s="12">
        <v>46113.534735277775</v>
      </c>
      <c r="B100" s="3" t="s">
        <v>303</v>
      </c>
      <c r="C100" s="3" t="s">
        <v>186</v>
      </c>
      <c r="D100" s="18" t="s">
        <v>711</v>
      </c>
      <c r="E100" s="3" t="s">
        <v>714</v>
      </c>
      <c r="F100" s="3" t="s">
        <v>126</v>
      </c>
      <c r="G100" s="3" t="s">
        <v>715</v>
      </c>
      <c r="H100" s="3" t="s">
        <v>64</v>
      </c>
      <c r="I100" s="3" t="s">
        <v>523</v>
      </c>
      <c r="J100" s="3" t="s">
        <v>65</v>
      </c>
      <c r="L100" s="3" t="s">
        <v>197</v>
      </c>
    </row>
    <row r="101">
      <c r="A101" s="12">
        <v>46113.69360945602</v>
      </c>
      <c r="B101" s="3" t="s">
        <v>356</v>
      </c>
      <c r="C101" s="3" t="s">
        <v>357</v>
      </c>
      <c r="D101" s="18" t="s">
        <v>716</v>
      </c>
      <c r="E101" s="3" t="s">
        <v>719</v>
      </c>
      <c r="F101" s="3" t="s">
        <v>138</v>
      </c>
      <c r="G101" s="3" t="s">
        <v>720</v>
      </c>
      <c r="H101" s="3" t="s">
        <v>64</v>
      </c>
      <c r="I101" s="3" t="s">
        <v>74</v>
      </c>
      <c r="J101" s="3" t="s">
        <v>65</v>
      </c>
      <c r="L101" s="3" t="s">
        <v>362</v>
      </c>
    </row>
    <row r="102">
      <c r="A102" s="12">
        <v>46113.6952050463</v>
      </c>
      <c r="B102" s="3" t="s">
        <v>356</v>
      </c>
      <c r="C102" s="3" t="s">
        <v>357</v>
      </c>
      <c r="D102" s="18" t="s">
        <v>722</v>
      </c>
      <c r="E102" s="3" t="s">
        <v>360</v>
      </c>
      <c r="F102" s="3" t="s">
        <v>138</v>
      </c>
      <c r="G102" s="3" t="s">
        <v>724</v>
      </c>
      <c r="H102" s="3" t="s">
        <v>64</v>
      </c>
      <c r="I102" s="3" t="s">
        <v>547</v>
      </c>
      <c r="J102" s="3" t="s">
        <v>65</v>
      </c>
      <c r="L102" s="3" t="s">
        <v>362</v>
      </c>
    </row>
    <row r="103">
      <c r="A103" s="12">
        <v>46113.72143315972</v>
      </c>
      <c r="B103" s="3" t="s">
        <v>67</v>
      </c>
      <c r="C103" s="3" t="s">
        <v>277</v>
      </c>
      <c r="D103" s="18" t="s">
        <v>726</v>
      </c>
      <c r="E103" s="3" t="s">
        <v>75</v>
      </c>
      <c r="F103" s="3" t="s">
        <v>62</v>
      </c>
      <c r="G103" s="3" t="s">
        <v>76</v>
      </c>
      <c r="H103" s="3" t="s">
        <v>64</v>
      </c>
      <c r="I103" s="3" t="s">
        <v>550</v>
      </c>
      <c r="J103" s="3" t="s">
        <v>65</v>
      </c>
      <c r="L103" s="3" t="s">
        <v>77</v>
      </c>
    </row>
    <row r="104">
      <c r="A104" s="12">
        <v>46113.73394653935</v>
      </c>
      <c r="B104" s="3" t="s">
        <v>223</v>
      </c>
      <c r="C104" s="3" t="s">
        <v>225</v>
      </c>
      <c r="D104" s="18" t="s">
        <v>729</v>
      </c>
      <c r="E104" s="3" t="s">
        <v>608</v>
      </c>
      <c r="F104" s="3" t="s">
        <v>138</v>
      </c>
      <c r="G104" s="3" t="s">
        <v>731</v>
      </c>
      <c r="H104" s="3" t="s">
        <v>64</v>
      </c>
      <c r="I104" s="3" t="s">
        <v>555</v>
      </c>
      <c r="J104" s="3" t="s">
        <v>65</v>
      </c>
      <c r="L104" s="3" t="s">
        <v>228</v>
      </c>
    </row>
    <row r="105">
      <c r="A105" s="12">
        <v>46113.73623491898</v>
      </c>
      <c r="B105" s="3" t="s">
        <v>141</v>
      </c>
      <c r="C105" s="3" t="s">
        <v>142</v>
      </c>
      <c r="D105" s="18" t="s">
        <v>732</v>
      </c>
      <c r="E105" s="3" t="s">
        <v>168</v>
      </c>
      <c r="F105" s="3" t="s">
        <v>62</v>
      </c>
      <c r="G105" s="3" t="s">
        <v>737</v>
      </c>
      <c r="H105" s="3" t="s">
        <v>64</v>
      </c>
      <c r="I105" s="3" t="s">
        <v>166</v>
      </c>
      <c r="J105" s="3" t="s">
        <v>65</v>
      </c>
      <c r="L105" s="3" t="s">
        <v>149</v>
      </c>
    </row>
    <row r="106">
      <c r="A106" s="12">
        <v>46113.737228032405</v>
      </c>
      <c r="B106" s="3" t="s">
        <v>141</v>
      </c>
      <c r="C106" s="3" t="s">
        <v>142</v>
      </c>
      <c r="D106" s="18" t="s">
        <v>738</v>
      </c>
      <c r="E106" s="3" t="s">
        <v>146</v>
      </c>
      <c r="F106" s="3" t="s">
        <v>62</v>
      </c>
      <c r="G106" s="3" t="s">
        <v>741</v>
      </c>
      <c r="H106" s="3" t="s">
        <v>64</v>
      </c>
      <c r="I106" s="3" t="s">
        <v>560</v>
      </c>
      <c r="J106" s="3" t="s">
        <v>65</v>
      </c>
      <c r="L106" s="3" t="s">
        <v>149</v>
      </c>
    </row>
    <row r="107">
      <c r="A107" s="12">
        <v>46114.57477358796</v>
      </c>
      <c r="B107" s="3" t="s">
        <v>47</v>
      </c>
      <c r="C107" s="3" t="s">
        <v>49</v>
      </c>
      <c r="D107" s="18" t="s">
        <v>742</v>
      </c>
      <c r="E107" s="3" t="s">
        <v>744</v>
      </c>
      <c r="F107" s="3" t="s">
        <v>62</v>
      </c>
      <c r="G107" s="3" t="s">
        <v>745</v>
      </c>
      <c r="H107" s="3" t="s">
        <v>64</v>
      </c>
      <c r="I107" s="3" t="s">
        <v>566</v>
      </c>
      <c r="J107" s="3" t="s">
        <v>65</v>
      </c>
      <c r="L107" s="3" t="s">
        <v>66</v>
      </c>
    </row>
    <row r="108">
      <c r="A108" s="12">
        <v>46114.63719616898</v>
      </c>
      <c r="B108" s="3" t="s">
        <v>141</v>
      </c>
      <c r="C108" s="3" t="s">
        <v>142</v>
      </c>
      <c r="D108" s="18" t="s">
        <v>748</v>
      </c>
      <c r="E108" s="3" t="s">
        <v>168</v>
      </c>
      <c r="F108" s="3" t="s">
        <v>62</v>
      </c>
      <c r="G108" s="3" t="s">
        <v>750</v>
      </c>
      <c r="H108" s="3" t="s">
        <v>64</v>
      </c>
      <c r="I108" s="3" t="s">
        <v>751</v>
      </c>
      <c r="J108" s="3" t="s">
        <v>65</v>
      </c>
      <c r="L108" s="3" t="s">
        <v>149</v>
      </c>
    </row>
    <row r="109">
      <c r="A109" s="12">
        <v>46114.67649063657</v>
      </c>
      <c r="B109" s="3" t="s">
        <v>356</v>
      </c>
      <c r="C109" s="3" t="s">
        <v>357</v>
      </c>
      <c r="D109" s="18" t="s">
        <v>752</v>
      </c>
      <c r="E109" s="3" t="s">
        <v>755</v>
      </c>
      <c r="F109" s="3" t="s">
        <v>138</v>
      </c>
      <c r="G109" s="3" t="s">
        <v>756</v>
      </c>
      <c r="H109" s="3" t="s">
        <v>64</v>
      </c>
      <c r="I109" s="3" t="s">
        <v>573</v>
      </c>
      <c r="J109" s="3" t="s">
        <v>65</v>
      </c>
      <c r="L109" s="3" t="s">
        <v>362</v>
      </c>
    </row>
    <row r="110">
      <c r="A110" s="12">
        <v>46114.677965717594</v>
      </c>
      <c r="B110" s="3" t="s">
        <v>357</v>
      </c>
      <c r="C110" s="3" t="s">
        <v>357</v>
      </c>
      <c r="D110" s="18" t="s">
        <v>758</v>
      </c>
      <c r="E110" s="3" t="s">
        <v>760</v>
      </c>
      <c r="F110" s="3" t="s">
        <v>138</v>
      </c>
      <c r="G110" s="3" t="s">
        <v>762</v>
      </c>
      <c r="H110" s="3" t="s">
        <v>64</v>
      </c>
      <c r="I110" s="3" t="s">
        <v>275</v>
      </c>
      <c r="J110" s="3" t="s">
        <v>65</v>
      </c>
      <c r="L110" s="3" t="s">
        <v>362</v>
      </c>
    </row>
    <row r="111">
      <c r="A111" s="12">
        <v>46115.472794189816</v>
      </c>
      <c r="B111" s="3" t="s">
        <v>662</v>
      </c>
      <c r="C111" s="3" t="s">
        <v>763</v>
      </c>
      <c r="D111" s="18" t="s">
        <v>764</v>
      </c>
      <c r="E111" s="3" t="s">
        <v>648</v>
      </c>
      <c r="F111" s="3" t="s">
        <v>62</v>
      </c>
      <c r="G111" s="3" t="s">
        <v>767</v>
      </c>
      <c r="H111" s="3" t="s">
        <v>64</v>
      </c>
      <c r="I111" s="3" t="s">
        <v>580</v>
      </c>
      <c r="J111" s="3" t="s">
        <v>65</v>
      </c>
      <c r="L111" s="3" t="s">
        <v>646</v>
      </c>
    </row>
    <row r="112">
      <c r="A112" s="12">
        <v>46115.47900577546</v>
      </c>
      <c r="B112" s="3" t="s">
        <v>768</v>
      </c>
      <c r="C112" s="3" t="s">
        <v>769</v>
      </c>
      <c r="D112" s="18" t="s">
        <v>770</v>
      </c>
      <c r="E112" s="3" t="s">
        <v>773</v>
      </c>
      <c r="F112" s="3" t="s">
        <v>147</v>
      </c>
      <c r="G112" s="3" t="s">
        <v>518</v>
      </c>
      <c r="H112" s="3" t="s">
        <v>64</v>
      </c>
      <c r="I112" s="3" t="s">
        <v>583</v>
      </c>
      <c r="J112" s="3" t="s">
        <v>65</v>
      </c>
      <c r="L112" s="3" t="s">
        <v>520</v>
      </c>
    </row>
    <row r="113">
      <c r="A113" s="12">
        <v>46115.48281878472</v>
      </c>
      <c r="B113" s="3" t="s">
        <v>768</v>
      </c>
      <c r="C113" s="3" t="s">
        <v>769</v>
      </c>
      <c r="D113" s="18" t="s">
        <v>774</v>
      </c>
      <c r="E113" s="3" t="s">
        <v>773</v>
      </c>
      <c r="F113" s="3" t="s">
        <v>62</v>
      </c>
      <c r="G113" s="3" t="s">
        <v>518</v>
      </c>
      <c r="H113" s="3" t="s">
        <v>64</v>
      </c>
      <c r="I113" s="3" t="s">
        <v>407</v>
      </c>
      <c r="J113" s="3" t="s">
        <v>65</v>
      </c>
      <c r="L113" s="3" t="s">
        <v>520</v>
      </c>
    </row>
    <row r="114">
      <c r="A114" s="12">
        <v>46115.544936562495</v>
      </c>
      <c r="B114" s="3" t="s">
        <v>778</v>
      </c>
      <c r="C114" s="3" t="s">
        <v>215</v>
      </c>
      <c r="D114" s="18" t="s">
        <v>779</v>
      </c>
      <c r="E114" s="3" t="s">
        <v>782</v>
      </c>
      <c r="F114" s="3" t="s">
        <v>62</v>
      </c>
      <c r="G114" s="3" t="s">
        <v>783</v>
      </c>
      <c r="H114" s="3" t="s">
        <v>64</v>
      </c>
      <c r="I114" s="3" t="s">
        <v>593</v>
      </c>
      <c r="J114" s="3" t="s">
        <v>65</v>
      </c>
      <c r="L114" s="3" t="s">
        <v>222</v>
      </c>
    </row>
    <row r="115">
      <c r="A115" s="12">
        <v>46115.55742894676</v>
      </c>
      <c r="B115" s="3" t="s">
        <v>465</v>
      </c>
      <c r="C115" s="3" t="s">
        <v>122</v>
      </c>
      <c r="D115" s="18" t="s">
        <v>784</v>
      </c>
      <c r="E115" s="3" t="s">
        <v>786</v>
      </c>
      <c r="F115" s="3" t="s">
        <v>147</v>
      </c>
      <c r="G115" s="3" t="s">
        <v>787</v>
      </c>
      <c r="H115" s="3" t="s">
        <v>64</v>
      </c>
      <c r="I115" s="3" t="s">
        <v>355</v>
      </c>
      <c r="J115" s="3" t="s">
        <v>65</v>
      </c>
      <c r="K115" s="18" t="s">
        <v>789</v>
      </c>
      <c r="L115" s="3" t="s">
        <v>475</v>
      </c>
    </row>
    <row r="116">
      <c r="A116" s="12">
        <v>46115.61686734954</v>
      </c>
      <c r="B116" s="3" t="s">
        <v>793</v>
      </c>
      <c r="C116" s="3" t="s">
        <v>106</v>
      </c>
      <c r="D116" s="18" t="s">
        <v>794</v>
      </c>
      <c r="E116" s="3" t="s">
        <v>797</v>
      </c>
      <c r="F116" s="3" t="s">
        <v>62</v>
      </c>
      <c r="G116" s="3" t="s">
        <v>798</v>
      </c>
      <c r="H116" s="3" t="s">
        <v>64</v>
      </c>
      <c r="I116" s="3" t="s">
        <v>74</v>
      </c>
      <c r="J116" s="3" t="s">
        <v>65</v>
      </c>
      <c r="L116" s="3" t="s">
        <v>113</v>
      </c>
    </row>
    <row r="117">
      <c r="A117" s="12">
        <v>46116.65343688657</v>
      </c>
      <c r="B117" s="3" t="s">
        <v>47</v>
      </c>
      <c r="C117" s="3" t="s">
        <v>49</v>
      </c>
      <c r="D117" s="18" t="s">
        <v>801</v>
      </c>
      <c r="E117" s="3" t="s">
        <v>60</v>
      </c>
      <c r="F117" s="3" t="s">
        <v>62</v>
      </c>
      <c r="G117" s="3" t="s">
        <v>804</v>
      </c>
      <c r="H117" s="3" t="s">
        <v>64</v>
      </c>
      <c r="I117" s="3" t="s">
        <v>601</v>
      </c>
      <c r="J117" s="3" t="s">
        <v>65</v>
      </c>
      <c r="L117" s="3" t="s">
        <v>66</v>
      </c>
    </row>
    <row r="118">
      <c r="A118" s="12">
        <v>46118.480856064816</v>
      </c>
      <c r="B118" s="3" t="s">
        <v>465</v>
      </c>
      <c r="C118" s="3" t="s">
        <v>122</v>
      </c>
      <c r="D118" s="18" t="s">
        <v>805</v>
      </c>
      <c r="E118" s="3" t="s">
        <v>808</v>
      </c>
      <c r="F118" s="3" t="s">
        <v>126</v>
      </c>
      <c r="G118" s="3" t="s">
        <v>809</v>
      </c>
      <c r="H118" s="3" t="s">
        <v>64</v>
      </c>
      <c r="I118" s="3" t="s">
        <v>436</v>
      </c>
      <c r="J118" s="3" t="s">
        <v>65</v>
      </c>
      <c r="K118" s="18" t="s">
        <v>812</v>
      </c>
      <c r="L118" s="3" t="s">
        <v>475</v>
      </c>
    </row>
    <row r="119">
      <c r="A119" s="12">
        <v>46118.66011914352</v>
      </c>
      <c r="B119" s="3" t="s">
        <v>814</v>
      </c>
      <c r="C119" s="3" t="s">
        <v>815</v>
      </c>
      <c r="D119" s="18" t="s">
        <v>816</v>
      </c>
      <c r="E119" s="3" t="s">
        <v>819</v>
      </c>
      <c r="F119" s="3" t="s">
        <v>62</v>
      </c>
      <c r="G119" s="3" t="s">
        <v>820</v>
      </c>
      <c r="H119" s="3" t="s">
        <v>324</v>
      </c>
      <c r="I119" s="3" t="s">
        <v>607</v>
      </c>
      <c r="J119" s="3" t="s">
        <v>65</v>
      </c>
      <c r="L119" s="3" t="s">
        <v>821</v>
      </c>
    </row>
    <row r="120">
      <c r="A120" s="12">
        <v>46118.737442928235</v>
      </c>
      <c r="B120" s="3" t="s">
        <v>465</v>
      </c>
      <c r="C120" s="3" t="s">
        <v>122</v>
      </c>
      <c r="D120" s="18" t="s">
        <v>822</v>
      </c>
      <c r="E120" s="3" t="s">
        <v>826</v>
      </c>
      <c r="F120" s="3" t="s">
        <v>138</v>
      </c>
      <c r="G120" s="3" t="s">
        <v>827</v>
      </c>
      <c r="H120" s="3" t="s">
        <v>64</v>
      </c>
      <c r="I120" s="3" t="s">
        <v>613</v>
      </c>
      <c r="J120" s="3" t="s">
        <v>65</v>
      </c>
      <c r="K120" s="18" t="s">
        <v>828</v>
      </c>
      <c r="L120" s="3" t="s">
        <v>475</v>
      </c>
    </row>
    <row r="121">
      <c r="A121" s="12">
        <v>46118.737965821754</v>
      </c>
      <c r="B121" s="3" t="s">
        <v>223</v>
      </c>
      <c r="C121" s="3" t="s">
        <v>225</v>
      </c>
      <c r="D121" s="18" t="s">
        <v>831</v>
      </c>
      <c r="E121" s="3" t="s">
        <v>834</v>
      </c>
      <c r="F121" s="3" t="s">
        <v>138</v>
      </c>
      <c r="G121" s="3" t="s">
        <v>835</v>
      </c>
      <c r="H121" s="3" t="s">
        <v>64</v>
      </c>
      <c r="I121" s="3" t="s">
        <v>618</v>
      </c>
      <c r="J121" s="3" t="s">
        <v>65</v>
      </c>
      <c r="L121" s="3" t="s">
        <v>228</v>
      </c>
    </row>
    <row r="122">
      <c r="A122" s="12">
        <v>46118.73949814815</v>
      </c>
      <c r="B122" s="3" t="s">
        <v>223</v>
      </c>
      <c r="C122" s="3" t="s">
        <v>225</v>
      </c>
      <c r="D122" s="18" t="s">
        <v>837</v>
      </c>
      <c r="E122" s="3" t="s">
        <v>841</v>
      </c>
      <c r="F122" s="3" t="s">
        <v>138</v>
      </c>
      <c r="G122" s="3" t="s">
        <v>842</v>
      </c>
      <c r="H122" s="3" t="s">
        <v>64</v>
      </c>
      <c r="I122" s="3" t="s">
        <v>623</v>
      </c>
      <c r="J122" s="3" t="s">
        <v>65</v>
      </c>
      <c r="L122" s="3" t="s">
        <v>228</v>
      </c>
    </row>
    <row r="123">
      <c r="A123" s="12">
        <v>46119.472671724536</v>
      </c>
      <c r="B123" s="3" t="s">
        <v>198</v>
      </c>
      <c r="C123" s="3" t="s">
        <v>122</v>
      </c>
      <c r="D123" s="18" t="s">
        <v>843</v>
      </c>
      <c r="E123" s="3" t="s">
        <v>846</v>
      </c>
      <c r="F123" s="3" t="s">
        <v>138</v>
      </c>
      <c r="G123" s="3" t="s">
        <v>848</v>
      </c>
      <c r="H123" s="3" t="s">
        <v>64</v>
      </c>
      <c r="I123" s="3" t="s">
        <v>849</v>
      </c>
      <c r="J123" s="3" t="s">
        <v>65</v>
      </c>
      <c r="L123" s="3" t="s">
        <v>104</v>
      </c>
    </row>
    <row r="124">
      <c r="A124" s="12">
        <v>46119.474713310185</v>
      </c>
      <c r="B124" s="3" t="s">
        <v>198</v>
      </c>
      <c r="C124" s="3" t="s">
        <v>122</v>
      </c>
      <c r="D124" s="18" t="s">
        <v>850</v>
      </c>
      <c r="E124" s="3" t="s">
        <v>853</v>
      </c>
      <c r="F124" s="3" t="s">
        <v>138</v>
      </c>
      <c r="G124" s="3" t="s">
        <v>854</v>
      </c>
      <c r="H124" s="3" t="s">
        <v>64</v>
      </c>
      <c r="I124" s="3" t="s">
        <v>631</v>
      </c>
      <c r="J124" s="3" t="s">
        <v>65</v>
      </c>
      <c r="L124" s="3" t="s">
        <v>104</v>
      </c>
    </row>
    <row r="125">
      <c r="A125" s="12">
        <v>46119.5061453588</v>
      </c>
      <c r="B125" s="3" t="s">
        <v>814</v>
      </c>
      <c r="C125" s="3" t="s">
        <v>815</v>
      </c>
      <c r="D125" s="18" t="s">
        <v>857</v>
      </c>
      <c r="E125" s="3" t="s">
        <v>860</v>
      </c>
      <c r="F125" s="3" t="s">
        <v>62</v>
      </c>
      <c r="G125" s="3" t="s">
        <v>861</v>
      </c>
      <c r="H125" s="3" t="s">
        <v>324</v>
      </c>
      <c r="I125" s="3" t="s">
        <v>636</v>
      </c>
      <c r="J125" s="3" t="s">
        <v>65</v>
      </c>
      <c r="L125" s="3" t="s">
        <v>821</v>
      </c>
    </row>
    <row r="126">
      <c r="A126" s="12">
        <v>46119.510328171295</v>
      </c>
      <c r="B126" s="3" t="s">
        <v>814</v>
      </c>
      <c r="C126" s="3" t="s">
        <v>815</v>
      </c>
      <c r="D126" s="18" t="s">
        <v>862</v>
      </c>
      <c r="E126" s="3" t="s">
        <v>865</v>
      </c>
      <c r="F126" s="3" t="s">
        <v>62</v>
      </c>
      <c r="G126" s="3" t="s">
        <v>861</v>
      </c>
      <c r="H126" s="3" t="s">
        <v>324</v>
      </c>
      <c r="I126" s="3" t="s">
        <v>640</v>
      </c>
      <c r="J126" s="3" t="s">
        <v>65</v>
      </c>
      <c r="L126" s="3" t="s">
        <v>821</v>
      </c>
    </row>
    <row r="127">
      <c r="A127" s="12">
        <v>46119.5307712963</v>
      </c>
      <c r="B127" s="3" t="s">
        <v>513</v>
      </c>
      <c r="C127" s="3" t="s">
        <v>255</v>
      </c>
      <c r="D127" s="18" t="s">
        <v>867</v>
      </c>
      <c r="E127" s="3" t="s">
        <v>870</v>
      </c>
      <c r="F127" s="3" t="s">
        <v>62</v>
      </c>
      <c r="G127" s="3" t="s">
        <v>518</v>
      </c>
      <c r="H127" s="3" t="s">
        <v>64</v>
      </c>
      <c r="I127" s="3" t="s">
        <v>410</v>
      </c>
      <c r="J127" s="3" t="s">
        <v>65</v>
      </c>
      <c r="L127" s="3" t="s">
        <v>520</v>
      </c>
    </row>
    <row r="128">
      <c r="A128" s="12">
        <v>46119.70194708333</v>
      </c>
      <c r="B128" s="3" t="s">
        <v>872</v>
      </c>
      <c r="C128" s="3" t="s">
        <v>505</v>
      </c>
      <c r="D128" s="18" t="s">
        <v>873</v>
      </c>
      <c r="E128" s="3" t="s">
        <v>511</v>
      </c>
      <c r="F128" s="3" t="s">
        <v>62</v>
      </c>
      <c r="G128" s="3" t="s">
        <v>876</v>
      </c>
      <c r="H128" s="3" t="s">
        <v>64</v>
      </c>
      <c r="I128" s="3" t="s">
        <v>511</v>
      </c>
      <c r="J128" s="3" t="s">
        <v>65</v>
      </c>
      <c r="L128" s="3" t="s">
        <v>512</v>
      </c>
    </row>
    <row r="129">
      <c r="A129" s="12">
        <v>46119.71629619213</v>
      </c>
      <c r="B129" s="3" t="s">
        <v>872</v>
      </c>
      <c r="C129" s="3" t="s">
        <v>505</v>
      </c>
      <c r="D129" s="18" t="s">
        <v>877</v>
      </c>
      <c r="E129" s="3" t="s">
        <v>879</v>
      </c>
      <c r="F129" s="3" t="s">
        <v>62</v>
      </c>
      <c r="G129" s="3" t="s">
        <v>880</v>
      </c>
      <c r="H129" s="3" t="s">
        <v>64</v>
      </c>
      <c r="I129" s="3" t="s">
        <v>511</v>
      </c>
      <c r="J129" s="3" t="s">
        <v>65</v>
      </c>
      <c r="L129" s="3" t="s">
        <v>512</v>
      </c>
    </row>
    <row r="130">
      <c r="A130" s="12">
        <v>46120.511020844904</v>
      </c>
      <c r="B130" s="3" t="s">
        <v>883</v>
      </c>
      <c r="C130" s="3" t="s">
        <v>264</v>
      </c>
      <c r="D130" s="18" t="s">
        <v>884</v>
      </c>
      <c r="E130" s="3" t="s">
        <v>360</v>
      </c>
      <c r="F130" s="3" t="s">
        <v>62</v>
      </c>
      <c r="G130" s="3" t="s">
        <v>887</v>
      </c>
      <c r="H130" s="3" t="s">
        <v>64</v>
      </c>
      <c r="I130" s="3" t="s">
        <v>656</v>
      </c>
      <c r="J130" s="3" t="s">
        <v>65</v>
      </c>
      <c r="K130" s="18" t="s">
        <v>888</v>
      </c>
      <c r="L130" s="3" t="s">
        <v>890</v>
      </c>
    </row>
    <row r="131">
      <c r="A131" s="12">
        <v>46120.53498216435</v>
      </c>
      <c r="B131" s="3" t="s">
        <v>303</v>
      </c>
      <c r="C131" s="3" t="s">
        <v>186</v>
      </c>
      <c r="D131" s="18" t="s">
        <v>891</v>
      </c>
      <c r="E131" s="3" t="s">
        <v>893</v>
      </c>
      <c r="F131" s="3" t="s">
        <v>138</v>
      </c>
      <c r="G131" s="3" t="s">
        <v>895</v>
      </c>
      <c r="H131" s="3" t="s">
        <v>64</v>
      </c>
      <c r="I131" s="3" t="s">
        <v>660</v>
      </c>
      <c r="J131" s="3" t="s">
        <v>65</v>
      </c>
      <c r="K131" s="18" t="s">
        <v>896</v>
      </c>
      <c r="L131" s="3" t="s">
        <v>197</v>
      </c>
    </row>
    <row r="132">
      <c r="A132" s="12">
        <v>46120.71801709491</v>
      </c>
      <c r="B132" s="3" t="s">
        <v>899</v>
      </c>
      <c r="C132" s="3" t="s">
        <v>815</v>
      </c>
      <c r="D132" s="18" t="s">
        <v>900</v>
      </c>
      <c r="E132" s="3" t="s">
        <v>901</v>
      </c>
      <c r="F132" s="3" t="s">
        <v>62</v>
      </c>
      <c r="G132" s="3" t="s">
        <v>902</v>
      </c>
      <c r="H132" s="3" t="s">
        <v>324</v>
      </c>
      <c r="I132" s="3" t="s">
        <v>667</v>
      </c>
      <c r="J132" s="3" t="s">
        <v>65</v>
      </c>
      <c r="L132" s="3" t="s">
        <v>821</v>
      </c>
    </row>
    <row r="133">
      <c r="A133" s="12">
        <v>46120.7264534375</v>
      </c>
      <c r="B133" s="3" t="s">
        <v>465</v>
      </c>
      <c r="C133" s="3" t="s">
        <v>122</v>
      </c>
      <c r="D133" s="18" t="s">
        <v>903</v>
      </c>
      <c r="E133" s="3" t="s">
        <v>906</v>
      </c>
      <c r="F133" s="3" t="s">
        <v>62</v>
      </c>
      <c r="G133" s="3" t="s">
        <v>907</v>
      </c>
      <c r="H133" s="3" t="s">
        <v>64</v>
      </c>
      <c r="I133" s="3" t="s">
        <v>166</v>
      </c>
      <c r="J133" s="3" t="s">
        <v>65</v>
      </c>
      <c r="K133" s="18" t="s">
        <v>908</v>
      </c>
      <c r="L133" s="3" t="s">
        <v>475</v>
      </c>
    </row>
    <row r="134">
      <c r="A134" s="12">
        <v>46120.72727885417</v>
      </c>
      <c r="B134" s="3" t="s">
        <v>465</v>
      </c>
      <c r="C134" s="3" t="s">
        <v>122</v>
      </c>
      <c r="D134" s="18" t="s">
        <v>911</v>
      </c>
      <c r="E134" s="3" t="s">
        <v>914</v>
      </c>
      <c r="F134" s="3" t="s">
        <v>62</v>
      </c>
      <c r="G134" s="3" t="s">
        <v>915</v>
      </c>
      <c r="H134" s="3" t="s">
        <v>64</v>
      </c>
      <c r="I134" s="3" t="s">
        <v>355</v>
      </c>
      <c r="J134" s="3" t="s">
        <v>65</v>
      </c>
      <c r="K134" s="18" t="s">
        <v>916</v>
      </c>
      <c r="L134" s="3" t="s">
        <v>475</v>
      </c>
    </row>
    <row r="135">
      <c r="A135" s="12">
        <v>46121.53602270833</v>
      </c>
      <c r="B135" s="3" t="s">
        <v>662</v>
      </c>
      <c r="C135" s="3" t="s">
        <v>921</v>
      </c>
      <c r="D135" s="18" t="s">
        <v>922</v>
      </c>
      <c r="E135" s="3" t="s">
        <v>648</v>
      </c>
      <c r="F135" s="3" t="s">
        <v>62</v>
      </c>
      <c r="G135" s="3" t="s">
        <v>925</v>
      </c>
      <c r="H135" s="3" t="s">
        <v>64</v>
      </c>
      <c r="I135" s="3" t="s">
        <v>166</v>
      </c>
      <c r="J135" s="3" t="s">
        <v>65</v>
      </c>
      <c r="L135" s="3" t="s">
        <v>646</v>
      </c>
    </row>
    <row r="136">
      <c r="A136" s="12">
        <v>46121.57060734954</v>
      </c>
      <c r="B136" s="3" t="s">
        <v>356</v>
      </c>
      <c r="C136" s="3" t="s">
        <v>357</v>
      </c>
      <c r="D136" s="18" t="s">
        <v>926</v>
      </c>
      <c r="E136" s="3" t="s">
        <v>928</v>
      </c>
      <c r="F136" s="3" t="s">
        <v>138</v>
      </c>
      <c r="G136" s="3" t="s">
        <v>929</v>
      </c>
      <c r="H136" s="3" t="s">
        <v>64</v>
      </c>
      <c r="I136" s="3" t="s">
        <v>686</v>
      </c>
      <c r="J136" s="3" t="s">
        <v>65</v>
      </c>
      <c r="L136" s="3" t="s">
        <v>362</v>
      </c>
    </row>
    <row r="137">
      <c r="A137" s="12">
        <v>46121.64494961806</v>
      </c>
      <c r="B137" s="3" t="s">
        <v>932</v>
      </c>
      <c r="C137" s="3" t="s">
        <v>933</v>
      </c>
      <c r="D137" s="18" t="s">
        <v>934</v>
      </c>
      <c r="E137" s="3" t="s">
        <v>937</v>
      </c>
      <c r="F137" s="3" t="s">
        <v>62</v>
      </c>
      <c r="G137" s="3" t="s">
        <v>938</v>
      </c>
      <c r="H137" s="3" t="s">
        <v>64</v>
      </c>
      <c r="I137" s="3" t="s">
        <v>689</v>
      </c>
      <c r="J137" s="3" t="s">
        <v>65</v>
      </c>
      <c r="K137" s="18" t="s">
        <v>939</v>
      </c>
      <c r="L137" s="3" t="s">
        <v>942</v>
      </c>
    </row>
    <row r="138">
      <c r="A138" s="12">
        <v>46121.64940755787</v>
      </c>
      <c r="B138" s="3" t="s">
        <v>303</v>
      </c>
      <c r="C138" s="3" t="s">
        <v>186</v>
      </c>
      <c r="D138" s="18" t="s">
        <v>943</v>
      </c>
      <c r="E138" s="3" t="s">
        <v>945</v>
      </c>
      <c r="F138" s="3" t="s">
        <v>147</v>
      </c>
      <c r="G138" s="3" t="s">
        <v>946</v>
      </c>
      <c r="H138" s="3" t="s">
        <v>64</v>
      </c>
      <c r="I138" s="3" t="s">
        <v>694</v>
      </c>
      <c r="J138" s="3" t="s">
        <v>65</v>
      </c>
      <c r="L138" s="3" t="s">
        <v>197</v>
      </c>
    </row>
    <row r="139">
      <c r="A139" s="12">
        <v>46122.57690050926</v>
      </c>
      <c r="B139" s="3" t="s">
        <v>263</v>
      </c>
      <c r="C139" s="3" t="s">
        <v>264</v>
      </c>
      <c r="D139" s="18" t="s">
        <v>949</v>
      </c>
      <c r="E139" s="3" t="s">
        <v>952</v>
      </c>
      <c r="F139" s="3" t="s">
        <v>62</v>
      </c>
      <c r="G139" s="3" t="s">
        <v>699</v>
      </c>
      <c r="H139" s="3" t="s">
        <v>64</v>
      </c>
      <c r="I139" s="3" t="s">
        <v>699</v>
      </c>
      <c r="J139" s="3" t="s">
        <v>65</v>
      </c>
      <c r="K139" s="18" t="s">
        <v>953</v>
      </c>
      <c r="L139" s="3" t="s">
        <v>273</v>
      </c>
    </row>
    <row r="140">
      <c r="A140" s="12">
        <v>46125.69392618055</v>
      </c>
      <c r="B140" s="3" t="s">
        <v>303</v>
      </c>
      <c r="C140" s="3" t="s">
        <v>186</v>
      </c>
      <c r="D140" s="18" t="s">
        <v>956</v>
      </c>
      <c r="E140" s="3" t="s">
        <v>959</v>
      </c>
      <c r="F140" s="3" t="s">
        <v>147</v>
      </c>
      <c r="G140" s="3" t="s">
        <v>960</v>
      </c>
      <c r="H140" s="3" t="s">
        <v>64</v>
      </c>
      <c r="I140" s="3" t="s">
        <v>705</v>
      </c>
      <c r="J140" s="3" t="s">
        <v>65</v>
      </c>
      <c r="L140" s="3" t="s">
        <v>197</v>
      </c>
    </row>
    <row r="141">
      <c r="A141" s="12">
        <v>46125.69463059028</v>
      </c>
      <c r="B141" s="3" t="s">
        <v>303</v>
      </c>
      <c r="C141" s="3" t="s">
        <v>186</v>
      </c>
      <c r="D141" s="18" t="s">
        <v>961</v>
      </c>
      <c r="E141" s="3" t="s">
        <v>714</v>
      </c>
      <c r="F141" s="3" t="s">
        <v>147</v>
      </c>
      <c r="G141" s="3" t="s">
        <v>964</v>
      </c>
      <c r="H141" s="3" t="s">
        <v>64</v>
      </c>
      <c r="I141" s="3" t="s">
        <v>523</v>
      </c>
      <c r="J141" s="3" t="s">
        <v>65</v>
      </c>
      <c r="L141" s="3" t="s">
        <v>197</v>
      </c>
    </row>
    <row r="142">
      <c r="A142" s="12">
        <v>46126.68532871528</v>
      </c>
      <c r="B142" s="3" t="s">
        <v>223</v>
      </c>
      <c r="C142" s="3" t="s">
        <v>225</v>
      </c>
      <c r="D142" s="18" t="s">
        <v>965</v>
      </c>
      <c r="E142" s="3" t="s">
        <v>967</v>
      </c>
      <c r="F142" s="3" t="s">
        <v>138</v>
      </c>
      <c r="G142" s="3" t="s">
        <v>968</v>
      </c>
      <c r="H142" s="3" t="s">
        <v>64</v>
      </c>
      <c r="I142" s="3" t="s">
        <v>713</v>
      </c>
      <c r="J142" s="3" t="s">
        <v>65</v>
      </c>
      <c r="L142" s="3" t="s">
        <v>228</v>
      </c>
    </row>
    <row r="143">
      <c r="A143" s="12">
        <v>46127.562220625</v>
      </c>
      <c r="B143" s="3" t="s">
        <v>263</v>
      </c>
      <c r="C143" s="3" t="s">
        <v>264</v>
      </c>
      <c r="D143" s="18" t="s">
        <v>971</v>
      </c>
      <c r="E143" s="3" t="s">
        <v>973</v>
      </c>
      <c r="F143" s="3" t="s">
        <v>126</v>
      </c>
      <c r="G143" s="3" t="s">
        <v>718</v>
      </c>
      <c r="H143" s="3" t="s">
        <v>64</v>
      </c>
      <c r="I143" s="3" t="s">
        <v>718</v>
      </c>
      <c r="J143" s="3" t="s">
        <v>65</v>
      </c>
      <c r="L143" s="3" t="s">
        <v>273</v>
      </c>
    </row>
    <row r="144">
      <c r="A144" s="12">
        <v>46128.48420013889</v>
      </c>
      <c r="B144" s="3" t="s">
        <v>974</v>
      </c>
      <c r="C144" s="3" t="s">
        <v>215</v>
      </c>
      <c r="D144" s="18" t="s">
        <v>975</v>
      </c>
      <c r="E144" s="3" t="s">
        <v>978</v>
      </c>
      <c r="F144" s="3" t="s">
        <v>147</v>
      </c>
      <c r="G144" s="3" t="s">
        <v>979</v>
      </c>
      <c r="H144" s="3" t="s">
        <v>64</v>
      </c>
      <c r="I144" s="3" t="s">
        <v>723</v>
      </c>
      <c r="J144" s="3" t="s">
        <v>65</v>
      </c>
      <c r="L144" s="3" t="s">
        <v>981</v>
      </c>
    </row>
    <row r="145">
      <c r="A145" s="12">
        <v>46128.50246351852</v>
      </c>
      <c r="B145" s="3" t="s">
        <v>695</v>
      </c>
      <c r="C145" s="3" t="s">
        <v>982</v>
      </c>
      <c r="D145" s="18" t="s">
        <v>983</v>
      </c>
      <c r="E145" s="3" t="s">
        <v>985</v>
      </c>
      <c r="F145" s="3" t="s">
        <v>62</v>
      </c>
      <c r="G145" s="3" t="s">
        <v>701</v>
      </c>
      <c r="H145" s="3" t="s">
        <v>324</v>
      </c>
      <c r="I145" s="3" t="s">
        <v>986</v>
      </c>
      <c r="J145" s="3" t="s">
        <v>65</v>
      </c>
      <c r="K145" s="18" t="s">
        <v>987</v>
      </c>
      <c r="L145" s="3" t="s">
        <v>706</v>
      </c>
    </row>
    <row r="146">
      <c r="A146" s="12">
        <v>46128.65566605324</v>
      </c>
      <c r="B146" s="3" t="s">
        <v>141</v>
      </c>
      <c r="C146" s="3" t="s">
        <v>142</v>
      </c>
      <c r="D146" s="18" t="s">
        <v>989</v>
      </c>
      <c r="E146" s="3" t="s">
        <v>168</v>
      </c>
      <c r="F146" s="3" t="s">
        <v>62</v>
      </c>
      <c r="G146" s="3" t="s">
        <v>993</v>
      </c>
      <c r="H146" s="3" t="s">
        <v>64</v>
      </c>
      <c r="I146" s="3" t="s">
        <v>166</v>
      </c>
      <c r="J146" s="3" t="s">
        <v>65</v>
      </c>
      <c r="L146" s="3" t="s">
        <v>149</v>
      </c>
    </row>
    <row r="147">
      <c r="A147" s="12">
        <v>46129.47292703704</v>
      </c>
      <c r="B147" s="3" t="s">
        <v>303</v>
      </c>
      <c r="C147" s="3" t="s">
        <v>186</v>
      </c>
      <c r="D147" s="18" t="s">
        <v>994</v>
      </c>
      <c r="E147" s="3" t="s">
        <v>997</v>
      </c>
      <c r="F147" s="3" t="s">
        <v>126</v>
      </c>
      <c r="G147" s="3" t="s">
        <v>998</v>
      </c>
      <c r="H147" s="3" t="s">
        <v>64</v>
      </c>
      <c r="I147" s="3" t="s">
        <v>694</v>
      </c>
      <c r="J147" s="3" t="s">
        <v>65</v>
      </c>
      <c r="L147" s="3" t="s">
        <v>197</v>
      </c>
    </row>
    <row r="148">
      <c r="A148" s="12">
        <v>46129.57255215278</v>
      </c>
      <c r="B148" s="3" t="s">
        <v>105</v>
      </c>
      <c r="C148" s="3" t="s">
        <v>106</v>
      </c>
      <c r="D148" s="18" t="s">
        <v>1001</v>
      </c>
      <c r="E148" s="3" t="s">
        <v>1004</v>
      </c>
      <c r="F148" s="3" t="s">
        <v>62</v>
      </c>
      <c r="G148" s="3" t="s">
        <v>1005</v>
      </c>
      <c r="H148" s="3" t="s">
        <v>64</v>
      </c>
      <c r="I148" s="3" t="s">
        <v>734</v>
      </c>
      <c r="J148" s="3" t="s">
        <v>65</v>
      </c>
      <c r="L148" s="3" t="s">
        <v>113</v>
      </c>
    </row>
    <row r="149">
      <c r="A149" s="12">
        <v>46129.57468482639</v>
      </c>
      <c r="B149" s="3" t="s">
        <v>105</v>
      </c>
      <c r="C149" s="3" t="s">
        <v>106</v>
      </c>
      <c r="D149" s="18" t="s">
        <v>1006</v>
      </c>
      <c r="E149" s="3" t="s">
        <v>1009</v>
      </c>
      <c r="F149" s="3" t="s">
        <v>62</v>
      </c>
      <c r="G149" s="3" t="s">
        <v>1010</v>
      </c>
      <c r="H149" s="3" t="s">
        <v>64</v>
      </c>
      <c r="I149" s="3" t="s">
        <v>736</v>
      </c>
      <c r="J149" s="3" t="s">
        <v>65</v>
      </c>
      <c r="L149" s="3" t="s">
        <v>113</v>
      </c>
    </row>
    <row r="150">
      <c r="A150" s="12">
        <v>46132.52593070602</v>
      </c>
      <c r="B150" s="3" t="s">
        <v>206</v>
      </c>
      <c r="C150" s="3" t="s">
        <v>207</v>
      </c>
      <c r="D150" s="18" t="s">
        <v>1012</v>
      </c>
      <c r="E150" s="3" t="s">
        <v>211</v>
      </c>
      <c r="F150" s="3" t="s">
        <v>126</v>
      </c>
      <c r="G150" s="3" t="s">
        <v>1015</v>
      </c>
      <c r="H150" s="3" t="s">
        <v>64</v>
      </c>
      <c r="I150" s="3" t="s">
        <v>740</v>
      </c>
      <c r="J150" s="3" t="s">
        <v>65</v>
      </c>
      <c r="K150" s="18" t="s">
        <v>1016</v>
      </c>
      <c r="L150" s="3" t="s">
        <v>213</v>
      </c>
    </row>
    <row r="151">
      <c r="A151" s="12">
        <v>46132.527563020834</v>
      </c>
      <c r="B151" s="3" t="s">
        <v>206</v>
      </c>
      <c r="C151" s="3" t="s">
        <v>207</v>
      </c>
      <c r="D151" s="18" t="s">
        <v>1020</v>
      </c>
      <c r="E151" s="3" t="s">
        <v>354</v>
      </c>
      <c r="F151" s="3" t="s">
        <v>147</v>
      </c>
      <c r="G151" s="3" t="s">
        <v>1024</v>
      </c>
      <c r="H151" s="3" t="s">
        <v>64</v>
      </c>
      <c r="I151" s="3" t="s">
        <v>740</v>
      </c>
      <c r="J151" s="3" t="s">
        <v>65</v>
      </c>
      <c r="K151" s="18" t="s">
        <v>1025</v>
      </c>
      <c r="L151" s="3" t="s">
        <v>213</v>
      </c>
    </row>
    <row r="152">
      <c r="A152" s="12">
        <v>46132.72262929398</v>
      </c>
      <c r="B152" s="3" t="s">
        <v>97</v>
      </c>
      <c r="C152" s="3" t="s">
        <v>98</v>
      </c>
      <c r="D152" s="18" t="s">
        <v>1028</v>
      </c>
      <c r="E152" s="3" t="s">
        <v>1030</v>
      </c>
      <c r="F152" s="3" t="s">
        <v>1031</v>
      </c>
      <c r="G152" s="3" t="s">
        <v>1030</v>
      </c>
      <c r="H152" s="3" t="s">
        <v>64</v>
      </c>
      <c r="I152" s="3" t="s">
        <v>747</v>
      </c>
      <c r="J152" s="3" t="s">
        <v>65</v>
      </c>
      <c r="L152" s="3" t="s">
        <v>104</v>
      </c>
    </row>
    <row r="153">
      <c r="A153" s="12">
        <v>46132.815133067124</v>
      </c>
      <c r="B153" s="3" t="s">
        <v>1033</v>
      </c>
      <c r="C153" s="3" t="s">
        <v>255</v>
      </c>
      <c r="D153" s="18" t="s">
        <v>1034</v>
      </c>
      <c r="E153" s="3" t="s">
        <v>1037</v>
      </c>
      <c r="F153" s="3" t="s">
        <v>138</v>
      </c>
      <c r="G153" s="3" t="s">
        <v>1038</v>
      </c>
      <c r="H153" s="3" t="s">
        <v>64</v>
      </c>
      <c r="I153" s="3">
        <v>3386.0</v>
      </c>
      <c r="J153" s="3" t="s">
        <v>65</v>
      </c>
      <c r="L153" s="3" t="s">
        <v>262</v>
      </c>
    </row>
    <row r="154">
      <c r="A154" s="12">
        <v>46133.72904335648</v>
      </c>
      <c r="B154" s="3" t="s">
        <v>513</v>
      </c>
      <c r="C154" s="3" t="s">
        <v>255</v>
      </c>
      <c r="D154" s="18" t="s">
        <v>1039</v>
      </c>
      <c r="E154" s="3" t="s">
        <v>1044</v>
      </c>
      <c r="F154" s="3" t="s">
        <v>147</v>
      </c>
      <c r="G154" s="3" t="s">
        <v>518</v>
      </c>
      <c r="H154" s="3" t="s">
        <v>64</v>
      </c>
      <c r="I154" s="3" t="s">
        <v>754</v>
      </c>
      <c r="J154" s="3" t="s">
        <v>65</v>
      </c>
      <c r="L154" s="3" t="s">
        <v>520</v>
      </c>
    </row>
    <row r="155">
      <c r="A155" s="12">
        <v>46135.451505335644</v>
      </c>
      <c r="B155" s="3" t="s">
        <v>141</v>
      </c>
      <c r="C155" s="3" t="s">
        <v>142</v>
      </c>
      <c r="D155" s="18" t="s">
        <v>1045</v>
      </c>
      <c r="E155" s="3" t="s">
        <v>168</v>
      </c>
      <c r="F155" s="3" t="s">
        <v>62</v>
      </c>
      <c r="G155" s="3" t="s">
        <v>1048</v>
      </c>
      <c r="H155" s="3" t="s">
        <v>64</v>
      </c>
      <c r="I155" s="3" t="s">
        <v>109</v>
      </c>
      <c r="J155" s="3" t="s">
        <v>65</v>
      </c>
      <c r="L155" s="3" t="s">
        <v>149</v>
      </c>
    </row>
    <row r="156">
      <c r="A156" s="12">
        <v>46135.45208444445</v>
      </c>
      <c r="B156" s="3" t="s">
        <v>141</v>
      </c>
      <c r="C156" s="3" t="s">
        <v>142</v>
      </c>
      <c r="D156" s="18" t="s">
        <v>1051</v>
      </c>
      <c r="E156" s="3" t="s">
        <v>146</v>
      </c>
      <c r="F156" s="3" t="s">
        <v>62</v>
      </c>
      <c r="G156" s="3" t="s">
        <v>1048</v>
      </c>
      <c r="H156" s="3" t="s">
        <v>64</v>
      </c>
      <c r="I156" s="3" t="s">
        <v>761</v>
      </c>
      <c r="J156" s="3" t="s">
        <v>65</v>
      </c>
      <c r="L156" s="3" t="s">
        <v>149</v>
      </c>
    </row>
    <row r="157">
      <c r="A157" s="12">
        <v>46135.51889209491</v>
      </c>
      <c r="B157" s="3" t="s">
        <v>768</v>
      </c>
      <c r="C157" s="3" t="s">
        <v>769</v>
      </c>
      <c r="D157" s="18" t="s">
        <v>1054</v>
      </c>
      <c r="E157" s="3" t="s">
        <v>1057</v>
      </c>
      <c r="F157" s="3" t="s">
        <v>147</v>
      </c>
      <c r="G157" s="3" t="s">
        <v>518</v>
      </c>
      <c r="H157" s="3" t="s">
        <v>64</v>
      </c>
      <c r="I157" s="3" t="s">
        <v>766</v>
      </c>
      <c r="J157" s="3" t="s">
        <v>65</v>
      </c>
      <c r="L157" s="3" t="s">
        <v>520</v>
      </c>
    </row>
    <row r="158">
      <c r="A158" s="12">
        <v>46135.52235758102</v>
      </c>
      <c r="B158" s="3" t="s">
        <v>768</v>
      </c>
      <c r="C158" s="3" t="s">
        <v>769</v>
      </c>
      <c r="D158" s="18" t="s">
        <v>1059</v>
      </c>
      <c r="E158" s="3" t="s">
        <v>1060</v>
      </c>
      <c r="F158" s="3" t="s">
        <v>62</v>
      </c>
      <c r="G158" s="3" t="s">
        <v>518</v>
      </c>
      <c r="H158" s="3" t="s">
        <v>64</v>
      </c>
      <c r="I158" s="3" t="s">
        <v>772</v>
      </c>
      <c r="J158" s="3" t="s">
        <v>65</v>
      </c>
      <c r="L158" s="3" t="s">
        <v>520</v>
      </c>
    </row>
    <row r="159">
      <c r="A159" s="12">
        <v>46135.61415497685</v>
      </c>
      <c r="B159" s="3" t="s">
        <v>97</v>
      </c>
      <c r="C159" s="3" t="s">
        <v>98</v>
      </c>
      <c r="D159" s="18" t="s">
        <v>1063</v>
      </c>
      <c r="E159" s="3" t="s">
        <v>1065</v>
      </c>
      <c r="F159" s="3" t="s">
        <v>103</v>
      </c>
      <c r="G159" s="3" t="s">
        <v>1065</v>
      </c>
      <c r="H159" s="3" t="s">
        <v>64</v>
      </c>
      <c r="I159" s="3" t="s">
        <v>776</v>
      </c>
      <c r="J159" s="3" t="s">
        <v>65</v>
      </c>
      <c r="K159" s="18" t="s">
        <v>1066</v>
      </c>
      <c r="L159" s="3" t="s">
        <v>104</v>
      </c>
    </row>
    <row r="160">
      <c r="A160" s="12">
        <v>46135.64188572917</v>
      </c>
      <c r="B160" s="3" t="s">
        <v>932</v>
      </c>
      <c r="C160" s="3" t="s">
        <v>933</v>
      </c>
      <c r="D160" s="18" t="s">
        <v>1071</v>
      </c>
      <c r="E160" s="3" t="s">
        <v>937</v>
      </c>
      <c r="F160" s="3" t="s">
        <v>62</v>
      </c>
      <c r="G160" s="3" t="s">
        <v>1073</v>
      </c>
      <c r="H160" s="3" t="s">
        <v>64</v>
      </c>
      <c r="I160" s="3" t="s">
        <v>689</v>
      </c>
      <c r="J160" s="3" t="s">
        <v>65</v>
      </c>
      <c r="K160" s="18" t="s">
        <v>1074</v>
      </c>
      <c r="L160" s="3" t="s">
        <v>942</v>
      </c>
    </row>
    <row r="161">
      <c r="A161" s="12">
        <v>46136.52016341435</v>
      </c>
      <c r="B161" s="3" t="s">
        <v>67</v>
      </c>
      <c r="C161" s="3" t="s">
        <v>277</v>
      </c>
      <c r="D161" s="18" t="s">
        <v>1078</v>
      </c>
      <c r="E161" s="3" t="s">
        <v>1080</v>
      </c>
      <c r="F161" s="3" t="s">
        <v>147</v>
      </c>
      <c r="G161" s="3" t="s">
        <v>1081</v>
      </c>
      <c r="H161" s="3" t="s">
        <v>64</v>
      </c>
      <c r="I161" s="3" t="s">
        <v>1082</v>
      </c>
      <c r="J161" s="3" t="s">
        <v>65</v>
      </c>
      <c r="L161" s="3" t="s">
        <v>77</v>
      </c>
    </row>
    <row r="162">
      <c r="A162" s="12">
        <v>46136.521452071756</v>
      </c>
      <c r="B162" s="3" t="s">
        <v>332</v>
      </c>
      <c r="C162" s="3" t="s">
        <v>106</v>
      </c>
      <c r="D162" s="18" t="s">
        <v>1083</v>
      </c>
      <c r="E162" s="3" t="s">
        <v>1085</v>
      </c>
      <c r="F162" s="3" t="s">
        <v>62</v>
      </c>
      <c r="G162" s="3" t="s">
        <v>1086</v>
      </c>
      <c r="H162" s="3" t="s">
        <v>64</v>
      </c>
      <c r="I162" s="3" t="s">
        <v>460</v>
      </c>
      <c r="J162" s="3" t="s">
        <v>65</v>
      </c>
      <c r="K162" s="18" t="s">
        <v>1089</v>
      </c>
      <c r="L162" s="3" t="s">
        <v>113</v>
      </c>
    </row>
    <row r="163">
      <c r="A163" s="12">
        <v>46136.523647071765</v>
      </c>
      <c r="B163" s="3" t="s">
        <v>332</v>
      </c>
      <c r="C163" s="3" t="s">
        <v>106</v>
      </c>
      <c r="D163" s="18" t="s">
        <v>1092</v>
      </c>
      <c r="E163" s="3" t="s">
        <v>345</v>
      </c>
      <c r="F163" s="3" t="s">
        <v>62</v>
      </c>
      <c r="G163" s="3" t="s">
        <v>1094</v>
      </c>
      <c r="H163" s="3" t="s">
        <v>64</v>
      </c>
      <c r="I163" s="3" t="s">
        <v>790</v>
      </c>
      <c r="J163" s="3" t="s">
        <v>65</v>
      </c>
      <c r="L163" s="3" t="s">
        <v>113</v>
      </c>
    </row>
    <row r="164">
      <c r="A164" s="12">
        <v>46136.54016413195</v>
      </c>
      <c r="B164" s="3" t="s">
        <v>332</v>
      </c>
      <c r="C164" s="3" t="s">
        <v>106</v>
      </c>
      <c r="D164" s="18" t="s">
        <v>1097</v>
      </c>
      <c r="E164" s="3" t="s">
        <v>117</v>
      </c>
      <c r="F164" s="3" t="s">
        <v>62</v>
      </c>
      <c r="G164" s="3" t="s">
        <v>1099</v>
      </c>
      <c r="H164" s="3" t="s">
        <v>64</v>
      </c>
      <c r="I164" s="3" t="s">
        <v>792</v>
      </c>
      <c r="J164" s="3" t="s">
        <v>65</v>
      </c>
      <c r="L164" s="3" t="s">
        <v>113</v>
      </c>
    </row>
    <row r="165">
      <c r="A165" s="12">
        <v>46139.51735393518</v>
      </c>
      <c r="B165" s="3" t="s">
        <v>47</v>
      </c>
      <c r="C165" s="3" t="s">
        <v>49</v>
      </c>
      <c r="D165" s="18" t="s">
        <v>1100</v>
      </c>
      <c r="E165" s="3" t="s">
        <v>60</v>
      </c>
      <c r="F165" s="3" t="s">
        <v>126</v>
      </c>
      <c r="G165" s="3" t="s">
        <v>1105</v>
      </c>
      <c r="H165" s="3" t="s">
        <v>64</v>
      </c>
      <c r="I165" s="3" t="s">
        <v>796</v>
      </c>
      <c r="J165" s="3" t="s">
        <v>65</v>
      </c>
      <c r="L165" s="3" t="s">
        <v>66</v>
      </c>
    </row>
    <row r="166">
      <c r="A166" s="12">
        <v>46139.53897920139</v>
      </c>
      <c r="B166" s="3" t="s">
        <v>303</v>
      </c>
      <c r="C166" s="3" t="s">
        <v>186</v>
      </c>
      <c r="D166" s="18" t="s">
        <v>1108</v>
      </c>
      <c r="E166" s="3" t="s">
        <v>1111</v>
      </c>
      <c r="F166" s="3" t="s">
        <v>147</v>
      </c>
      <c r="G166" s="3" t="s">
        <v>1112</v>
      </c>
      <c r="H166" s="3" t="s">
        <v>64</v>
      </c>
      <c r="I166" s="3" t="s">
        <v>800</v>
      </c>
      <c r="J166" s="3" t="s">
        <v>65</v>
      </c>
      <c r="K166" s="18" t="s">
        <v>1113</v>
      </c>
      <c r="L166" s="3" t="s">
        <v>197</v>
      </c>
    </row>
    <row r="167">
      <c r="A167" s="12">
        <v>46139.7474075</v>
      </c>
      <c r="B167" s="3" t="s">
        <v>513</v>
      </c>
      <c r="C167" s="3" t="s">
        <v>255</v>
      </c>
      <c r="D167" s="18" t="s">
        <v>1116</v>
      </c>
      <c r="E167" s="3" t="s">
        <v>1121</v>
      </c>
      <c r="F167" s="3" t="s">
        <v>62</v>
      </c>
      <c r="G167" s="3" t="s">
        <v>518</v>
      </c>
      <c r="H167" s="3" t="s">
        <v>64</v>
      </c>
      <c r="I167" s="3" t="s">
        <v>803</v>
      </c>
      <c r="J167" s="3" t="s">
        <v>65</v>
      </c>
      <c r="L167" s="3" t="s">
        <v>520</v>
      </c>
    </row>
    <row r="168">
      <c r="A168" s="12">
        <v>46139.74832550926</v>
      </c>
      <c r="B168" s="3" t="s">
        <v>513</v>
      </c>
      <c r="C168" s="3" t="s">
        <v>255</v>
      </c>
      <c r="D168" s="18" t="s">
        <v>1122</v>
      </c>
      <c r="E168" s="3" t="s">
        <v>1121</v>
      </c>
      <c r="F168" s="3" t="s">
        <v>147</v>
      </c>
      <c r="G168" s="3" t="s">
        <v>1125</v>
      </c>
      <c r="H168" s="3" t="s">
        <v>64</v>
      </c>
      <c r="I168" s="3" t="s">
        <v>807</v>
      </c>
      <c r="J168" s="3" t="s">
        <v>65</v>
      </c>
      <c r="L168" s="3" t="s">
        <v>520</v>
      </c>
    </row>
    <row r="169">
      <c r="A169" s="12">
        <v>46142.53239299769</v>
      </c>
      <c r="B169" s="3" t="s">
        <v>67</v>
      </c>
      <c r="C169" s="3" t="s">
        <v>277</v>
      </c>
      <c r="D169" s="18" t="s">
        <v>1126</v>
      </c>
      <c r="E169" s="3" t="s">
        <v>1129</v>
      </c>
      <c r="F169" s="3" t="s">
        <v>138</v>
      </c>
      <c r="G169" s="3" t="s">
        <v>1130</v>
      </c>
      <c r="H169" s="3" t="s">
        <v>64</v>
      </c>
      <c r="I169" s="3" t="s">
        <v>811</v>
      </c>
      <c r="J169" s="3" t="s">
        <v>65</v>
      </c>
      <c r="L169" s="3" t="s">
        <v>77</v>
      </c>
    </row>
    <row r="170">
      <c r="A170" s="12">
        <v>46143.5422737037</v>
      </c>
      <c r="B170" s="3" t="s">
        <v>141</v>
      </c>
      <c r="C170" s="3" t="s">
        <v>142</v>
      </c>
      <c r="D170" s="18" t="s">
        <v>1131</v>
      </c>
      <c r="E170" s="3" t="s">
        <v>1133</v>
      </c>
      <c r="F170" s="3" t="s">
        <v>147</v>
      </c>
      <c r="G170" s="3" t="s">
        <v>253</v>
      </c>
      <c r="H170" s="3" t="s">
        <v>64</v>
      </c>
      <c r="I170" s="3" t="s">
        <v>109</v>
      </c>
      <c r="J170" s="3" t="s">
        <v>65</v>
      </c>
      <c r="L170" s="3" t="s">
        <v>149</v>
      </c>
    </row>
    <row r="171">
      <c r="A171" s="12">
        <v>46143.6146306713</v>
      </c>
      <c r="B171" s="3" t="s">
        <v>132</v>
      </c>
      <c r="C171" s="3" t="s">
        <v>133</v>
      </c>
      <c r="D171" s="18" t="s">
        <v>1134</v>
      </c>
      <c r="E171" s="3" t="s">
        <v>1139</v>
      </c>
      <c r="F171" s="3" t="s">
        <v>138</v>
      </c>
      <c r="G171" s="3" t="s">
        <v>1140</v>
      </c>
      <c r="H171" s="3" t="s">
        <v>237</v>
      </c>
      <c r="I171" s="3" t="s">
        <v>818</v>
      </c>
      <c r="J171" s="3" t="s">
        <v>65</v>
      </c>
      <c r="L171" s="3" t="s">
        <v>140</v>
      </c>
    </row>
    <row r="172">
      <c r="A172" s="12">
        <v>46143.6444681713</v>
      </c>
      <c r="B172" s="3" t="s">
        <v>141</v>
      </c>
      <c r="C172" s="3" t="s">
        <v>142</v>
      </c>
      <c r="D172" s="18" t="s">
        <v>1141</v>
      </c>
      <c r="E172" s="3" t="s">
        <v>146</v>
      </c>
      <c r="F172" s="3" t="s">
        <v>1144</v>
      </c>
      <c r="G172" s="3" t="s">
        <v>1048</v>
      </c>
      <c r="H172" s="3" t="s">
        <v>64</v>
      </c>
      <c r="I172" s="3" t="s">
        <v>761</v>
      </c>
      <c r="J172" s="3" t="s">
        <v>65</v>
      </c>
      <c r="L172" s="3" t="s">
        <v>149</v>
      </c>
    </row>
    <row r="173">
      <c r="A173" s="12">
        <v>46143.70594945602</v>
      </c>
      <c r="B173" s="3" t="s">
        <v>513</v>
      </c>
      <c r="C173" s="3" t="s">
        <v>255</v>
      </c>
      <c r="D173" s="18" t="s">
        <v>1145</v>
      </c>
      <c r="E173" s="3" t="s">
        <v>1149</v>
      </c>
      <c r="F173" s="3" t="s">
        <v>147</v>
      </c>
      <c r="G173" s="3" t="s">
        <v>518</v>
      </c>
      <c r="H173" s="3" t="s">
        <v>64</v>
      </c>
      <c r="I173" s="3" t="s">
        <v>825</v>
      </c>
      <c r="J173" s="3" t="s">
        <v>65</v>
      </c>
      <c r="L173" s="3" t="s">
        <v>520</v>
      </c>
    </row>
    <row r="174">
      <c r="A174" s="12">
        <v>46144.48973072917</v>
      </c>
      <c r="B174" s="3" t="s">
        <v>141</v>
      </c>
      <c r="C174" s="3" t="s">
        <v>142</v>
      </c>
      <c r="D174" s="18" t="s">
        <v>1150</v>
      </c>
      <c r="E174" s="3" t="s">
        <v>168</v>
      </c>
      <c r="F174" s="3" t="s">
        <v>147</v>
      </c>
      <c r="G174" s="3" t="s">
        <v>1153</v>
      </c>
      <c r="H174" s="3" t="s">
        <v>64</v>
      </c>
      <c r="I174" s="3" t="s">
        <v>830</v>
      </c>
      <c r="J174" s="3" t="s">
        <v>65</v>
      </c>
      <c r="L174" s="3" t="s">
        <v>149</v>
      </c>
    </row>
    <row r="175">
      <c r="A175" s="12">
        <v>46144.52227152778</v>
      </c>
      <c r="B175" s="3" t="s">
        <v>206</v>
      </c>
      <c r="C175" s="3" t="s">
        <v>207</v>
      </c>
      <c r="D175" s="18" t="s">
        <v>1154</v>
      </c>
      <c r="E175" s="3" t="s">
        <v>1159</v>
      </c>
      <c r="F175" s="3" t="s">
        <v>126</v>
      </c>
      <c r="G175" s="3" t="s">
        <v>1160</v>
      </c>
      <c r="H175" s="3" t="s">
        <v>64</v>
      </c>
      <c r="I175" s="3" t="s">
        <v>833</v>
      </c>
      <c r="J175" s="3" t="s">
        <v>65</v>
      </c>
      <c r="L175" s="3" t="s">
        <v>213</v>
      </c>
    </row>
    <row r="176">
      <c r="A176" s="12">
        <v>46144.5648090625</v>
      </c>
      <c r="B176" s="3" t="s">
        <v>1161</v>
      </c>
      <c r="C176" s="3" t="s">
        <v>1162</v>
      </c>
      <c r="D176" s="18" t="s">
        <v>1163</v>
      </c>
      <c r="E176" s="3" t="s">
        <v>1166</v>
      </c>
      <c r="F176" s="3" t="s">
        <v>138</v>
      </c>
      <c r="G176" s="3" t="s">
        <v>1167</v>
      </c>
      <c r="H176" s="3" t="s">
        <v>139</v>
      </c>
      <c r="I176" s="3" t="s">
        <v>838</v>
      </c>
      <c r="J176" s="3" t="s">
        <v>65</v>
      </c>
      <c r="L176" s="3" t="s">
        <v>1168</v>
      </c>
    </row>
    <row r="177">
      <c r="A177" s="12">
        <v>46146.63851618055</v>
      </c>
      <c r="B177" s="3" t="s">
        <v>1161</v>
      </c>
      <c r="C177" s="3" t="s">
        <v>1162</v>
      </c>
      <c r="D177" s="18" t="s">
        <v>1169</v>
      </c>
      <c r="E177" s="3" t="s">
        <v>1171</v>
      </c>
      <c r="F177" s="3" t="s">
        <v>138</v>
      </c>
      <c r="G177" s="3" t="s">
        <v>1167</v>
      </c>
      <c r="H177" s="3" t="s">
        <v>139</v>
      </c>
      <c r="I177" s="3" t="s">
        <v>840</v>
      </c>
      <c r="J177" s="3" t="s">
        <v>65</v>
      </c>
      <c r="L177" s="3" t="s">
        <v>1168</v>
      </c>
    </row>
    <row r="178">
      <c r="A178" s="12">
        <v>46146.688686608795</v>
      </c>
      <c r="B178" s="3" t="s">
        <v>974</v>
      </c>
      <c r="C178" s="3" t="s">
        <v>215</v>
      </c>
      <c r="D178" s="18" t="s">
        <v>1173</v>
      </c>
      <c r="E178" s="3" t="s">
        <v>1176</v>
      </c>
      <c r="F178" s="3" t="s">
        <v>147</v>
      </c>
      <c r="G178" s="3" t="s">
        <v>1177</v>
      </c>
      <c r="H178" s="3" t="s">
        <v>64</v>
      </c>
      <c r="I178" s="3" t="s">
        <v>845</v>
      </c>
      <c r="J178" s="3" t="s">
        <v>65</v>
      </c>
      <c r="L178" s="3" t="s">
        <v>981</v>
      </c>
    </row>
    <row r="179">
      <c r="A179" s="12">
        <v>46146.71806738426</v>
      </c>
      <c r="B179" s="3" t="s">
        <v>1178</v>
      </c>
      <c r="C179" s="3" t="s">
        <v>186</v>
      </c>
      <c r="D179" s="18" t="s">
        <v>1179</v>
      </c>
      <c r="E179" s="3" t="s">
        <v>1181</v>
      </c>
      <c r="F179" s="3" t="s">
        <v>126</v>
      </c>
      <c r="G179" s="3" t="s">
        <v>1182</v>
      </c>
      <c r="H179" s="3" t="s">
        <v>64</v>
      </c>
      <c r="I179" s="3" t="s">
        <v>800</v>
      </c>
      <c r="J179" s="3" t="s">
        <v>65</v>
      </c>
      <c r="K179" s="18" t="s">
        <v>1183</v>
      </c>
      <c r="L179" s="3" t="s">
        <v>197</v>
      </c>
    </row>
    <row r="180">
      <c r="A180" s="12">
        <v>46147.482001006945</v>
      </c>
      <c r="B180" s="3" t="s">
        <v>303</v>
      </c>
      <c r="C180" s="3" t="s">
        <v>186</v>
      </c>
      <c r="D180" s="18" t="s">
        <v>1187</v>
      </c>
      <c r="E180" s="3" t="s">
        <v>1189</v>
      </c>
      <c r="F180" s="3" t="s">
        <v>147</v>
      </c>
      <c r="G180" s="3" t="s">
        <v>1190</v>
      </c>
      <c r="H180" s="3" t="s">
        <v>64</v>
      </c>
      <c r="I180" s="3" t="s">
        <v>1191</v>
      </c>
      <c r="J180" s="3" t="s">
        <v>65</v>
      </c>
      <c r="K180" s="18" t="s">
        <v>1192</v>
      </c>
      <c r="L180" s="3" t="s">
        <v>197</v>
      </c>
    </row>
    <row r="181">
      <c r="A181" s="12">
        <v>46148.55552652778</v>
      </c>
      <c r="B181" s="3" t="s">
        <v>1194</v>
      </c>
      <c r="C181" s="3" t="s">
        <v>334</v>
      </c>
      <c r="D181" s="18" t="s">
        <v>1195</v>
      </c>
      <c r="E181" s="3" t="s">
        <v>856</v>
      </c>
      <c r="F181" s="3" t="s">
        <v>62</v>
      </c>
      <c r="G181" s="3" t="s">
        <v>683</v>
      </c>
      <c r="H181" s="3" t="s">
        <v>324</v>
      </c>
      <c r="I181" s="3" t="s">
        <v>856</v>
      </c>
      <c r="J181" s="3" t="s">
        <v>65</v>
      </c>
      <c r="K181" s="18" t="s">
        <v>1197</v>
      </c>
      <c r="L181" s="3" t="s">
        <v>1200</v>
      </c>
    </row>
    <row r="182">
      <c r="A182" s="12">
        <v>46148.70090059028</v>
      </c>
      <c r="B182" s="3" t="s">
        <v>1201</v>
      </c>
      <c r="C182" s="3" t="s">
        <v>1202</v>
      </c>
      <c r="D182" s="18" t="s">
        <v>1203</v>
      </c>
      <c r="E182" s="3" t="s">
        <v>1206</v>
      </c>
      <c r="F182" s="3" t="s">
        <v>62</v>
      </c>
      <c r="G182" s="3" t="s">
        <v>1207</v>
      </c>
      <c r="H182" s="3" t="s">
        <v>64</v>
      </c>
      <c r="I182" s="3" t="s">
        <v>859</v>
      </c>
      <c r="J182" s="3" t="s">
        <v>65</v>
      </c>
      <c r="K182" s="18" t="s">
        <v>1208</v>
      </c>
      <c r="L182" s="3" t="s">
        <v>706</v>
      </c>
    </row>
    <row r="183">
      <c r="A183" s="12">
        <v>46149.67264616898</v>
      </c>
      <c r="B183" s="3" t="s">
        <v>1211</v>
      </c>
      <c r="C183" s="3" t="s">
        <v>1212</v>
      </c>
      <c r="D183" s="18" t="s">
        <v>1213</v>
      </c>
      <c r="E183" s="3" t="s">
        <v>1216</v>
      </c>
      <c r="F183" s="3" t="s">
        <v>147</v>
      </c>
      <c r="G183" s="3" t="s">
        <v>391</v>
      </c>
      <c r="H183" s="3" t="s">
        <v>64</v>
      </c>
      <c r="I183" s="3" t="s">
        <v>864</v>
      </c>
      <c r="J183" s="3" t="s">
        <v>65</v>
      </c>
      <c r="L183" s="3" t="s">
        <v>1217</v>
      </c>
    </row>
    <row r="184">
      <c r="A184" s="12">
        <v>46149.7028496875</v>
      </c>
      <c r="B184" s="3" t="s">
        <v>303</v>
      </c>
      <c r="C184" s="3" t="s">
        <v>186</v>
      </c>
      <c r="D184" s="18" t="s">
        <v>1218</v>
      </c>
      <c r="E184" s="3" t="s">
        <v>1221</v>
      </c>
      <c r="F184" s="3" t="s">
        <v>126</v>
      </c>
      <c r="G184" s="3" t="s">
        <v>1222</v>
      </c>
      <c r="H184" s="3" t="s">
        <v>64</v>
      </c>
      <c r="I184" s="3" t="s">
        <v>705</v>
      </c>
      <c r="J184" s="3" t="s">
        <v>65</v>
      </c>
      <c r="L184" s="3" t="s">
        <v>197</v>
      </c>
    </row>
    <row r="185">
      <c r="A185" s="12">
        <v>46150.73620893518</v>
      </c>
      <c r="B185" s="3" t="s">
        <v>1223</v>
      </c>
      <c r="C185" s="3" t="s">
        <v>142</v>
      </c>
      <c r="D185" s="18" t="s">
        <v>1224</v>
      </c>
      <c r="E185" s="3" t="s">
        <v>1226</v>
      </c>
      <c r="F185" s="3" t="s">
        <v>62</v>
      </c>
      <c r="G185" s="3" t="s">
        <v>1227</v>
      </c>
      <c r="H185" s="3" t="s">
        <v>324</v>
      </c>
      <c r="I185" s="3" t="s">
        <v>869</v>
      </c>
      <c r="J185" s="3" t="s">
        <v>65</v>
      </c>
      <c r="L185" s="3" t="s">
        <v>1228</v>
      </c>
    </row>
    <row r="186">
      <c r="A186" s="12">
        <v>46150.73694364583</v>
      </c>
      <c r="B186" s="3" t="s">
        <v>1223</v>
      </c>
      <c r="C186" s="3" t="s">
        <v>142</v>
      </c>
      <c r="D186" s="18" t="s">
        <v>1229</v>
      </c>
      <c r="E186" s="3" t="s">
        <v>1231</v>
      </c>
      <c r="F186" s="3" t="s">
        <v>62</v>
      </c>
      <c r="G186" s="3" t="s">
        <v>1231</v>
      </c>
      <c r="H186" s="3" t="s">
        <v>324</v>
      </c>
      <c r="I186" s="3" t="s">
        <v>869</v>
      </c>
      <c r="J186" s="3" t="s">
        <v>65</v>
      </c>
      <c r="L186" s="3" t="s">
        <v>1228</v>
      </c>
    </row>
    <row r="187">
      <c r="A187" s="12">
        <v>46151.61580866898</v>
      </c>
      <c r="B187" s="3" t="s">
        <v>662</v>
      </c>
      <c r="C187" s="3" t="s">
        <v>1232</v>
      </c>
      <c r="D187" s="18" t="s">
        <v>1234</v>
      </c>
      <c r="E187" s="3" t="s">
        <v>674</v>
      </c>
      <c r="F187" s="3" t="s">
        <v>62</v>
      </c>
      <c r="G187" s="3" t="s">
        <v>1235</v>
      </c>
      <c r="H187" s="3" t="s">
        <v>64</v>
      </c>
      <c r="I187" s="3" t="s">
        <v>875</v>
      </c>
      <c r="J187" s="3" t="s">
        <v>65</v>
      </c>
      <c r="L187" s="3" t="s">
        <v>646</v>
      </c>
    </row>
    <row r="188">
      <c r="A188" s="12">
        <v>46151.61723533565</v>
      </c>
      <c r="B188" s="3" t="s">
        <v>662</v>
      </c>
      <c r="C188" s="3" t="s">
        <v>1232</v>
      </c>
      <c r="D188" s="18" t="s">
        <v>1238</v>
      </c>
      <c r="E188" s="3" t="s">
        <v>644</v>
      </c>
      <c r="F188" s="3" t="s">
        <v>668</v>
      </c>
      <c r="G188" s="3" t="s">
        <v>1241</v>
      </c>
      <c r="H188" s="3" t="s">
        <v>64</v>
      </c>
      <c r="I188" s="3" t="s">
        <v>1242</v>
      </c>
      <c r="J188" s="3" t="s">
        <v>65</v>
      </c>
      <c r="L188" s="3" t="s">
        <v>646</v>
      </c>
    </row>
    <row r="189">
      <c r="A189" s="12">
        <v>46151.70705739583</v>
      </c>
      <c r="B189" s="3" t="s">
        <v>303</v>
      </c>
      <c r="C189" s="3" t="s">
        <v>186</v>
      </c>
      <c r="D189" s="18" t="s">
        <v>1243</v>
      </c>
      <c r="E189" s="3" t="s">
        <v>1246</v>
      </c>
      <c r="F189" s="3" t="s">
        <v>1247</v>
      </c>
      <c r="G189" s="3" t="s">
        <v>1248</v>
      </c>
      <c r="H189" s="3" t="s">
        <v>64</v>
      </c>
      <c r="I189" s="3" t="s">
        <v>1249</v>
      </c>
      <c r="J189" s="3" t="s">
        <v>65</v>
      </c>
      <c r="K189" s="18" t="s">
        <v>1250</v>
      </c>
      <c r="L189" s="3" t="s">
        <v>197</v>
      </c>
    </row>
    <row r="190">
      <c r="A190" s="12">
        <v>46153.49407373843</v>
      </c>
      <c r="B190" s="3" t="s">
        <v>1253</v>
      </c>
      <c r="C190" s="3" t="s">
        <v>357</v>
      </c>
      <c r="D190" s="18" t="s">
        <v>1254</v>
      </c>
      <c r="E190" s="3" t="s">
        <v>1256</v>
      </c>
      <c r="F190" s="3" t="s">
        <v>147</v>
      </c>
      <c r="G190" s="3" t="s">
        <v>1257</v>
      </c>
      <c r="H190" s="3" t="s">
        <v>64</v>
      </c>
      <c r="I190" s="3" t="s">
        <v>886</v>
      </c>
      <c r="J190" s="3" t="s">
        <v>65</v>
      </c>
      <c r="L190" s="3" t="s">
        <v>493</v>
      </c>
    </row>
    <row r="191">
      <c r="A191" s="12">
        <v>46154.64773019676</v>
      </c>
      <c r="B191" s="3" t="s">
        <v>303</v>
      </c>
      <c r="C191" s="3" t="s">
        <v>186</v>
      </c>
      <c r="D191" s="18" t="s">
        <v>1258</v>
      </c>
      <c r="E191" s="3" t="s">
        <v>1259</v>
      </c>
      <c r="F191" s="3" t="s">
        <v>126</v>
      </c>
      <c r="G191" s="3" t="s">
        <v>1260</v>
      </c>
      <c r="H191" s="3" t="s">
        <v>64</v>
      </c>
      <c r="I191" s="3" t="s">
        <v>1261</v>
      </c>
      <c r="J191" s="3" t="s">
        <v>65</v>
      </c>
      <c r="K191" s="18" t="s">
        <v>1263</v>
      </c>
      <c r="L191" s="3" t="s">
        <v>197</v>
      </c>
    </row>
    <row r="192">
      <c r="A192" s="12">
        <v>46154.650738125</v>
      </c>
      <c r="B192" s="3" t="s">
        <v>303</v>
      </c>
      <c r="C192" s="3" t="s">
        <v>186</v>
      </c>
      <c r="D192" s="18" t="s">
        <v>1265</v>
      </c>
      <c r="E192" s="3" t="s">
        <v>1266</v>
      </c>
      <c r="F192" s="3" t="s">
        <v>138</v>
      </c>
      <c r="G192" s="3" t="s">
        <v>1267</v>
      </c>
      <c r="H192" s="3" t="s">
        <v>64</v>
      </c>
      <c r="I192" s="3" t="s">
        <v>894</v>
      </c>
      <c r="J192" s="3" t="s">
        <v>65</v>
      </c>
      <c r="L192" s="3" t="s">
        <v>197</v>
      </c>
    </row>
    <row r="193">
      <c r="A193" s="12">
        <v>46154.7034228125</v>
      </c>
      <c r="B193" s="3" t="s">
        <v>1269</v>
      </c>
      <c r="C193" s="3" t="s">
        <v>1270</v>
      </c>
      <c r="D193" s="18" t="s">
        <v>1271</v>
      </c>
      <c r="E193" s="3" t="s">
        <v>986</v>
      </c>
      <c r="F193" s="3" t="s">
        <v>62</v>
      </c>
      <c r="G193" s="3" t="s">
        <v>701</v>
      </c>
      <c r="H193" s="3" t="s">
        <v>324</v>
      </c>
      <c r="I193" s="3" t="s">
        <v>898</v>
      </c>
      <c r="J193" s="3" t="s">
        <v>65</v>
      </c>
      <c r="K193" s="18" t="s">
        <v>1273</v>
      </c>
      <c r="L193" s="3" t="s">
        <v>706</v>
      </c>
    </row>
    <row r="194">
      <c r="A194" s="12">
        <v>46156.6766552662</v>
      </c>
      <c r="B194" s="3" t="s">
        <v>47</v>
      </c>
      <c r="C194" s="3" t="s">
        <v>49</v>
      </c>
      <c r="D194" s="18" t="s">
        <v>1275</v>
      </c>
      <c r="E194" s="3" t="s">
        <v>1276</v>
      </c>
      <c r="F194" s="3" t="s">
        <v>62</v>
      </c>
      <c r="G194" s="3" t="s">
        <v>1277</v>
      </c>
      <c r="H194" s="3" t="s">
        <v>64</v>
      </c>
      <c r="I194" s="3" t="s">
        <v>905</v>
      </c>
      <c r="J194" s="3" t="s">
        <v>65</v>
      </c>
      <c r="L194" s="3" t="s">
        <v>66</v>
      </c>
    </row>
    <row r="195">
      <c r="A195" s="12">
        <v>46156.67850476852</v>
      </c>
      <c r="B195" s="3" t="s">
        <v>47</v>
      </c>
      <c r="C195" s="3" t="s">
        <v>49</v>
      </c>
      <c r="D195" s="18" t="s">
        <v>1280</v>
      </c>
      <c r="E195" s="3" t="s">
        <v>1281</v>
      </c>
      <c r="F195" s="3" t="s">
        <v>62</v>
      </c>
      <c r="G195" s="3" t="s">
        <v>1277</v>
      </c>
      <c r="H195" s="3" t="s">
        <v>64</v>
      </c>
      <c r="I195" s="3" t="s">
        <v>910</v>
      </c>
      <c r="J195" s="3" t="s">
        <v>65</v>
      </c>
      <c r="L195" s="3" t="s">
        <v>66</v>
      </c>
    </row>
    <row r="196">
      <c r="A196" s="12">
        <v>46156.70150758102</v>
      </c>
      <c r="B196" s="3" t="s">
        <v>206</v>
      </c>
      <c r="C196" s="3" t="s">
        <v>207</v>
      </c>
      <c r="D196" s="18" t="s">
        <v>1284</v>
      </c>
      <c r="E196" s="3" t="s">
        <v>211</v>
      </c>
      <c r="F196" s="3" t="s">
        <v>126</v>
      </c>
      <c r="G196" s="3" t="s">
        <v>1286</v>
      </c>
      <c r="H196" s="3" t="s">
        <v>64</v>
      </c>
      <c r="I196" s="3" t="s">
        <v>913</v>
      </c>
      <c r="J196" s="3" t="s">
        <v>65</v>
      </c>
      <c r="L196" s="3" t="s">
        <v>213</v>
      </c>
    </row>
    <row r="197">
      <c r="A197" s="12">
        <v>46156.70327225694</v>
      </c>
      <c r="B197" s="3" t="s">
        <v>1269</v>
      </c>
      <c r="C197" s="3" t="s">
        <v>982</v>
      </c>
      <c r="D197" s="18" t="s">
        <v>1288</v>
      </c>
      <c r="E197" s="3" t="s">
        <v>1291</v>
      </c>
      <c r="F197" s="3" t="s">
        <v>62</v>
      </c>
      <c r="G197" s="3" t="s">
        <v>1292</v>
      </c>
      <c r="H197" s="3" t="s">
        <v>324</v>
      </c>
      <c r="I197" s="3" t="s">
        <v>918</v>
      </c>
      <c r="J197" s="3" t="s">
        <v>65</v>
      </c>
      <c r="K197" s="18" t="s">
        <v>1293</v>
      </c>
      <c r="L197" s="3" t="s">
        <v>706</v>
      </c>
    </row>
    <row r="198">
      <c r="A198" s="12">
        <v>46158.506623865745</v>
      </c>
      <c r="B198" s="3" t="s">
        <v>1253</v>
      </c>
      <c r="C198" s="3" t="s">
        <v>357</v>
      </c>
      <c r="D198" s="18" t="s">
        <v>1296</v>
      </c>
      <c r="E198" s="3" t="s">
        <v>1298</v>
      </c>
      <c r="F198" s="3" t="s">
        <v>147</v>
      </c>
      <c r="G198" s="3" t="s">
        <v>492</v>
      </c>
      <c r="H198" s="3" t="s">
        <v>64</v>
      </c>
      <c r="I198" s="3" t="s">
        <v>1299</v>
      </c>
      <c r="J198" s="3" t="s">
        <v>65</v>
      </c>
      <c r="L198" s="3" t="s">
        <v>493</v>
      </c>
    </row>
    <row r="199">
      <c r="A199" s="12">
        <v>46158.599096122685</v>
      </c>
      <c r="B199" s="3" t="s">
        <v>662</v>
      </c>
      <c r="C199" s="3" t="s">
        <v>1300</v>
      </c>
      <c r="D199" s="18" t="s">
        <v>1301</v>
      </c>
      <c r="E199" s="3" t="s">
        <v>1304</v>
      </c>
      <c r="F199" s="3" t="s">
        <v>1144</v>
      </c>
      <c r="G199" s="3" t="s">
        <v>1305</v>
      </c>
      <c r="H199" s="3" t="s">
        <v>64</v>
      </c>
      <c r="I199" s="3" t="s">
        <v>924</v>
      </c>
      <c r="J199" s="3" t="s">
        <v>65</v>
      </c>
      <c r="L199" s="3" t="s">
        <v>646</v>
      </c>
    </row>
    <row r="200">
      <c r="A200" s="12">
        <v>46158.60197505787</v>
      </c>
      <c r="B200" s="3" t="s">
        <v>662</v>
      </c>
      <c r="C200" s="3" t="s">
        <v>1300</v>
      </c>
      <c r="D200" s="18" t="s">
        <v>1306</v>
      </c>
      <c r="E200" s="3" t="s">
        <v>1309</v>
      </c>
      <c r="F200" s="3" t="s">
        <v>62</v>
      </c>
      <c r="G200" s="3" t="s">
        <v>1310</v>
      </c>
      <c r="H200" s="3" t="s">
        <v>237</v>
      </c>
      <c r="I200" s="3" t="s">
        <v>96</v>
      </c>
      <c r="J200" s="3" t="s">
        <v>65</v>
      </c>
      <c r="L200" s="3" t="s">
        <v>646</v>
      </c>
    </row>
    <row r="201">
      <c r="A201" s="12">
        <v>46158.60298231481</v>
      </c>
      <c r="B201" s="3" t="s">
        <v>662</v>
      </c>
      <c r="C201" s="3" t="s">
        <v>1300</v>
      </c>
      <c r="D201" s="18" t="s">
        <v>1311</v>
      </c>
      <c r="E201" s="3" t="s">
        <v>644</v>
      </c>
      <c r="F201" s="3" t="s">
        <v>62</v>
      </c>
      <c r="G201" s="3" t="s">
        <v>1313</v>
      </c>
      <c r="H201" s="3" t="s">
        <v>64</v>
      </c>
      <c r="I201" s="3" t="s">
        <v>931</v>
      </c>
      <c r="J201" s="3" t="s">
        <v>65</v>
      </c>
      <c r="L201" s="3" t="s">
        <v>646</v>
      </c>
    </row>
    <row r="202">
      <c r="A202" s="12">
        <v>46158.604578125</v>
      </c>
      <c r="B202" s="3" t="s">
        <v>662</v>
      </c>
      <c r="C202" s="3" t="s">
        <v>1300</v>
      </c>
      <c r="D202" s="18" t="s">
        <v>1314</v>
      </c>
      <c r="E202" s="3" t="s">
        <v>1309</v>
      </c>
      <c r="F202" s="3" t="s">
        <v>62</v>
      </c>
      <c r="G202" s="3" t="s">
        <v>1316</v>
      </c>
      <c r="H202" s="3" t="s">
        <v>64</v>
      </c>
      <c r="I202" s="3" t="s">
        <v>936</v>
      </c>
      <c r="J202" s="3" t="s">
        <v>65</v>
      </c>
      <c r="L202" s="3" t="s">
        <v>646</v>
      </c>
    </row>
    <row r="203">
      <c r="A203" s="12">
        <v>46158.60554762732</v>
      </c>
      <c r="B203" s="3" t="s">
        <v>662</v>
      </c>
      <c r="C203" s="3" t="s">
        <v>1300</v>
      </c>
      <c r="D203" s="18" t="s">
        <v>1317</v>
      </c>
      <c r="E203" s="3" t="s">
        <v>941</v>
      </c>
      <c r="F203" s="3" t="s">
        <v>62</v>
      </c>
      <c r="G203" s="3" t="s">
        <v>1316</v>
      </c>
      <c r="H203" s="3" t="s">
        <v>64</v>
      </c>
      <c r="I203" s="3" t="s">
        <v>1309</v>
      </c>
      <c r="J203" s="3" t="s">
        <v>65</v>
      </c>
      <c r="L203" s="3" t="s">
        <v>646</v>
      </c>
    </row>
    <row r="204">
      <c r="A204" s="12">
        <v>46160.54952479167</v>
      </c>
      <c r="B204" s="3" t="s">
        <v>141</v>
      </c>
      <c r="C204" s="3" t="s">
        <v>142</v>
      </c>
      <c r="D204" s="18" t="s">
        <v>1319</v>
      </c>
      <c r="E204" s="3" t="s">
        <v>168</v>
      </c>
      <c r="F204" s="3" t="s">
        <v>138</v>
      </c>
      <c r="G204" s="3" t="s">
        <v>1322</v>
      </c>
      <c r="H204" s="3" t="s">
        <v>64</v>
      </c>
      <c r="I204" s="3" t="s">
        <v>90</v>
      </c>
      <c r="J204" s="3" t="s">
        <v>65</v>
      </c>
      <c r="L204" s="3" t="s">
        <v>149</v>
      </c>
    </row>
    <row r="205">
      <c r="A205" s="12">
        <v>46160.73358792824</v>
      </c>
      <c r="B205" s="3" t="s">
        <v>1178</v>
      </c>
      <c r="C205" s="3" t="s">
        <v>186</v>
      </c>
      <c r="D205" s="18" t="s">
        <v>1323</v>
      </c>
      <c r="E205" s="3" t="s">
        <v>1326</v>
      </c>
      <c r="F205" s="3" t="s">
        <v>147</v>
      </c>
      <c r="G205" s="3" t="s">
        <v>1327</v>
      </c>
      <c r="H205" s="3" t="s">
        <v>64</v>
      </c>
      <c r="I205" s="3" t="s">
        <v>948</v>
      </c>
      <c r="J205" s="3" t="s">
        <v>65</v>
      </c>
      <c r="K205" s="18" t="s">
        <v>1328</v>
      </c>
      <c r="L205" s="3" t="s">
        <v>197</v>
      </c>
    </row>
    <row r="206">
      <c r="A206" s="12">
        <v>46160.73461568287</v>
      </c>
      <c r="B206" s="3" t="s">
        <v>303</v>
      </c>
      <c r="C206" s="3" t="s">
        <v>186</v>
      </c>
      <c r="D206" s="18" t="s">
        <v>1331</v>
      </c>
      <c r="E206" s="3" t="s">
        <v>1333</v>
      </c>
      <c r="F206" s="3" t="s">
        <v>147</v>
      </c>
      <c r="G206" s="3" t="s">
        <v>1335</v>
      </c>
      <c r="H206" s="3" t="s">
        <v>64</v>
      </c>
      <c r="I206" s="3" t="s">
        <v>1336</v>
      </c>
      <c r="J206" s="3" t="s">
        <v>65</v>
      </c>
      <c r="L206" s="3" t="s">
        <v>197</v>
      </c>
    </row>
    <row r="207">
      <c r="A207" s="12">
        <v>46160.75133013889</v>
      </c>
      <c r="B207" s="3" t="s">
        <v>141</v>
      </c>
      <c r="C207" s="3" t="s">
        <v>142</v>
      </c>
      <c r="D207" s="18" t="s">
        <v>1337</v>
      </c>
      <c r="E207" s="3" t="s">
        <v>168</v>
      </c>
      <c r="F207" s="3" t="s">
        <v>126</v>
      </c>
      <c r="G207" s="3" t="s">
        <v>1340</v>
      </c>
      <c r="H207" s="3" t="s">
        <v>64</v>
      </c>
      <c r="I207" s="3" t="s">
        <v>955</v>
      </c>
      <c r="J207" s="3" t="s">
        <v>65</v>
      </c>
      <c r="L207" s="3" t="s">
        <v>149</v>
      </c>
    </row>
    <row r="208">
      <c r="A208" s="12">
        <v>46161.46429532407</v>
      </c>
      <c r="B208" s="3" t="s">
        <v>206</v>
      </c>
      <c r="C208" s="3" t="s">
        <v>207</v>
      </c>
      <c r="D208" s="18" t="s">
        <v>1341</v>
      </c>
      <c r="E208" s="3" t="s">
        <v>211</v>
      </c>
      <c r="F208" s="3" t="s">
        <v>62</v>
      </c>
      <c r="G208" s="3" t="s">
        <v>1344</v>
      </c>
      <c r="H208" s="3" t="s">
        <v>64</v>
      </c>
      <c r="I208" s="3" t="s">
        <v>913</v>
      </c>
      <c r="J208" s="3" t="s">
        <v>65</v>
      </c>
      <c r="L208" s="3" t="s">
        <v>213</v>
      </c>
    </row>
    <row r="209">
      <c r="A209" s="12">
        <v>46161.518614016204</v>
      </c>
      <c r="B209" s="3" t="s">
        <v>141</v>
      </c>
      <c r="C209" s="3" t="s">
        <v>142</v>
      </c>
      <c r="D209" s="18" t="s">
        <v>1345</v>
      </c>
      <c r="E209" s="3" t="s">
        <v>168</v>
      </c>
      <c r="F209" s="3" t="s">
        <v>103</v>
      </c>
      <c r="G209" s="3" t="s">
        <v>1348</v>
      </c>
      <c r="H209" s="3" t="s">
        <v>64</v>
      </c>
      <c r="I209" s="3" t="s">
        <v>166</v>
      </c>
      <c r="J209" s="3" t="s">
        <v>65</v>
      </c>
      <c r="L209" s="3" t="s">
        <v>149</v>
      </c>
    </row>
    <row r="210">
      <c r="A210" s="12">
        <v>46161.53412164352</v>
      </c>
      <c r="B210" s="3" t="s">
        <v>1349</v>
      </c>
      <c r="C210" s="3" t="s">
        <v>215</v>
      </c>
      <c r="D210" s="18" t="s">
        <v>1350</v>
      </c>
      <c r="E210" s="3" t="s">
        <v>1353</v>
      </c>
      <c r="F210" s="3" t="s">
        <v>62</v>
      </c>
      <c r="G210" s="3" t="s">
        <v>1354</v>
      </c>
      <c r="H210" s="3" t="s">
        <v>64</v>
      </c>
      <c r="I210" s="3" t="s">
        <v>963</v>
      </c>
      <c r="J210" s="3" t="s">
        <v>65</v>
      </c>
      <c r="L210" s="3" t="s">
        <v>1355</v>
      </c>
    </row>
    <row r="211">
      <c r="A211" s="12">
        <v>46161.64378273148</v>
      </c>
      <c r="B211" s="3" t="s">
        <v>141</v>
      </c>
      <c r="C211" s="3" t="s">
        <v>142</v>
      </c>
      <c r="D211" s="18" t="s">
        <v>1356</v>
      </c>
      <c r="E211" s="3" t="s">
        <v>1359</v>
      </c>
      <c r="F211" s="3" t="s">
        <v>103</v>
      </c>
      <c r="G211" s="3" t="s">
        <v>1360</v>
      </c>
      <c r="H211" s="3" t="s">
        <v>64</v>
      </c>
      <c r="I211" s="3" t="s">
        <v>761</v>
      </c>
      <c r="J211" s="3" t="s">
        <v>65</v>
      </c>
      <c r="L211" s="3" t="s">
        <v>149</v>
      </c>
    </row>
    <row r="212">
      <c r="A212" s="12">
        <v>46161.74331960648</v>
      </c>
      <c r="B212" s="3" t="s">
        <v>121</v>
      </c>
      <c r="C212" s="3" t="s">
        <v>122</v>
      </c>
      <c r="D212" s="18" t="s">
        <v>1361</v>
      </c>
      <c r="E212" s="3" t="s">
        <v>1363</v>
      </c>
      <c r="F212" s="3" t="s">
        <v>126</v>
      </c>
      <c r="G212" s="3" t="s">
        <v>1364</v>
      </c>
      <c r="H212" s="3" t="s">
        <v>64</v>
      </c>
      <c r="I212" s="3" t="s">
        <v>1363</v>
      </c>
      <c r="J212" s="3" t="s">
        <v>65</v>
      </c>
      <c r="K212" s="18" t="s">
        <v>1365</v>
      </c>
      <c r="L212" s="3" t="s">
        <v>131</v>
      </c>
    </row>
    <row r="213">
      <c r="A213" s="12">
        <v>46162.71379351852</v>
      </c>
      <c r="B213" s="3" t="s">
        <v>1367</v>
      </c>
      <c r="C213" s="3" t="s">
        <v>357</v>
      </c>
      <c r="D213" s="18" t="s">
        <v>1368</v>
      </c>
      <c r="E213" s="3" t="s">
        <v>354</v>
      </c>
      <c r="F213" s="3" t="s">
        <v>147</v>
      </c>
      <c r="G213" s="3" t="s">
        <v>1370</v>
      </c>
      <c r="H213" s="3" t="s">
        <v>64</v>
      </c>
      <c r="I213" s="3" t="s">
        <v>727</v>
      </c>
      <c r="J213" s="3" t="s">
        <v>65</v>
      </c>
      <c r="L213" s="3" t="s">
        <v>362</v>
      </c>
    </row>
    <row r="214">
      <c r="A214" s="12">
        <v>46163.46180819444</v>
      </c>
      <c r="B214" s="3" t="s">
        <v>1211</v>
      </c>
      <c r="C214" s="3" t="s">
        <v>1212</v>
      </c>
      <c r="D214" s="18" t="s">
        <v>1371</v>
      </c>
      <c r="E214" s="3" t="s">
        <v>1374</v>
      </c>
      <c r="F214" s="3" t="s">
        <v>62</v>
      </c>
      <c r="G214" s="3" t="s">
        <v>391</v>
      </c>
      <c r="H214" s="3" t="s">
        <v>64</v>
      </c>
      <c r="I214" s="3" t="s">
        <v>977</v>
      </c>
      <c r="J214" s="3" t="s">
        <v>65</v>
      </c>
      <c r="L214" s="3" t="s">
        <v>1217</v>
      </c>
    </row>
    <row r="215">
      <c r="A215" s="12">
        <v>46163.52710212963</v>
      </c>
      <c r="B215" s="3" t="s">
        <v>1223</v>
      </c>
      <c r="C215" s="3" t="s">
        <v>142</v>
      </c>
      <c r="D215" s="18" t="s">
        <v>1375</v>
      </c>
      <c r="E215" s="3" t="s">
        <v>1378</v>
      </c>
      <c r="F215" s="3" t="s">
        <v>62</v>
      </c>
      <c r="G215" s="3" t="s">
        <v>1378</v>
      </c>
      <c r="H215" s="3" t="s">
        <v>324</v>
      </c>
      <c r="I215" s="3" t="s">
        <v>142</v>
      </c>
      <c r="J215" s="3" t="s">
        <v>65</v>
      </c>
      <c r="L215" s="3" t="s">
        <v>1228</v>
      </c>
    </row>
    <row r="216">
      <c r="A216" s="12">
        <v>46163.54087226852</v>
      </c>
      <c r="B216" s="3" t="s">
        <v>141</v>
      </c>
      <c r="C216" s="3" t="s">
        <v>142</v>
      </c>
      <c r="D216" s="18" t="s">
        <v>1379</v>
      </c>
      <c r="E216" s="3" t="s">
        <v>168</v>
      </c>
      <c r="F216" s="3" t="s">
        <v>147</v>
      </c>
      <c r="G216" s="3" t="s">
        <v>1382</v>
      </c>
      <c r="H216" s="3" t="s">
        <v>64</v>
      </c>
      <c r="I216" s="3" t="s">
        <v>109</v>
      </c>
      <c r="J216" s="3" t="s">
        <v>65</v>
      </c>
      <c r="L216" s="3" t="s">
        <v>149</v>
      </c>
    </row>
    <row r="217">
      <c r="A217" s="12">
        <v>46163.55016320602</v>
      </c>
      <c r="B217" s="3" t="s">
        <v>206</v>
      </c>
      <c r="C217" s="3" t="s">
        <v>207</v>
      </c>
      <c r="D217" s="18" t="s">
        <v>1384</v>
      </c>
      <c r="E217" s="3" t="s">
        <v>354</v>
      </c>
      <c r="F217" s="3" t="s">
        <v>62</v>
      </c>
      <c r="G217" s="3" t="s">
        <v>1386</v>
      </c>
      <c r="H217" s="3" t="s">
        <v>64</v>
      </c>
      <c r="I217" s="3" t="s">
        <v>52</v>
      </c>
      <c r="J217" s="3" t="s">
        <v>65</v>
      </c>
      <c r="L217" s="3" t="s">
        <v>213</v>
      </c>
    </row>
    <row r="218">
      <c r="A218" s="12">
        <v>46163.550371562495</v>
      </c>
      <c r="B218" s="3" t="s">
        <v>1387</v>
      </c>
      <c r="C218" s="3" t="s">
        <v>1388</v>
      </c>
      <c r="D218" s="18" t="s">
        <v>1389</v>
      </c>
      <c r="E218" s="3" t="s">
        <v>1391</v>
      </c>
      <c r="F218" s="3" t="s">
        <v>62</v>
      </c>
      <c r="G218" s="3" t="s">
        <v>1392</v>
      </c>
      <c r="H218" s="3" t="s">
        <v>64</v>
      </c>
      <c r="I218" s="3" t="s">
        <v>1393</v>
      </c>
      <c r="J218" s="3" t="s">
        <v>65</v>
      </c>
      <c r="L218" s="3" t="s">
        <v>1394</v>
      </c>
    </row>
    <row r="219">
      <c r="A219" s="12">
        <v>46163.68439527778</v>
      </c>
      <c r="B219" s="3" t="s">
        <v>105</v>
      </c>
      <c r="C219" s="3" t="s">
        <v>106</v>
      </c>
      <c r="D219" s="18" t="s">
        <v>1395</v>
      </c>
      <c r="E219" s="3" t="s">
        <v>1398</v>
      </c>
      <c r="F219" s="3" t="s">
        <v>1399</v>
      </c>
      <c r="G219" s="3" t="s">
        <v>1400</v>
      </c>
      <c r="H219" s="3" t="s">
        <v>64</v>
      </c>
      <c r="I219" s="3" t="s">
        <v>125</v>
      </c>
      <c r="J219" s="3" t="s">
        <v>65</v>
      </c>
      <c r="K219" s="18" t="s">
        <v>1401</v>
      </c>
      <c r="L219" s="3" t="s">
        <v>113</v>
      </c>
    </row>
    <row r="220">
      <c r="A220" s="12">
        <v>46163.685991782404</v>
      </c>
      <c r="B220" s="3" t="s">
        <v>105</v>
      </c>
      <c r="C220" s="3" t="s">
        <v>106</v>
      </c>
      <c r="D220" s="18" t="s">
        <v>1404</v>
      </c>
      <c r="E220" s="3" t="s">
        <v>1407</v>
      </c>
      <c r="F220" s="3" t="s">
        <v>62</v>
      </c>
      <c r="G220" s="3" t="s">
        <v>1409</v>
      </c>
      <c r="H220" s="3" t="s">
        <v>64</v>
      </c>
      <c r="I220" s="3" t="s">
        <v>996</v>
      </c>
      <c r="J220" s="3" t="s">
        <v>65</v>
      </c>
      <c r="K220" s="18" t="s">
        <v>1411</v>
      </c>
      <c r="L220" s="3" t="s">
        <v>113</v>
      </c>
    </row>
    <row r="221">
      <c r="A221" s="12">
        <v>46163.706183773145</v>
      </c>
      <c r="B221" s="3" t="s">
        <v>1178</v>
      </c>
      <c r="C221" s="3" t="s">
        <v>1414</v>
      </c>
      <c r="D221" s="18" t="s">
        <v>1415</v>
      </c>
      <c r="E221" s="3" t="s">
        <v>1418</v>
      </c>
      <c r="F221" s="3" t="s">
        <v>126</v>
      </c>
      <c r="G221" s="3" t="s">
        <v>1419</v>
      </c>
      <c r="H221" s="3" t="s">
        <v>64</v>
      </c>
      <c r="I221" s="3" t="s">
        <v>1000</v>
      </c>
      <c r="J221" s="3" t="s">
        <v>65</v>
      </c>
      <c r="L221" s="3" t="s">
        <v>197</v>
      </c>
    </row>
    <row r="222">
      <c r="A222" s="12">
        <v>46163.7570021412</v>
      </c>
      <c r="B222" s="3" t="s">
        <v>1420</v>
      </c>
      <c r="C222" s="3" t="s">
        <v>186</v>
      </c>
      <c r="D222" s="18" t="s">
        <v>1421</v>
      </c>
      <c r="E222" s="3" t="s">
        <v>1426</v>
      </c>
      <c r="F222" s="3" t="s">
        <v>62</v>
      </c>
      <c r="G222" s="3" t="s">
        <v>1003</v>
      </c>
      <c r="H222" s="3" t="s">
        <v>139</v>
      </c>
      <c r="I222" s="3" t="s">
        <v>1003</v>
      </c>
      <c r="J222" s="3" t="s">
        <v>65</v>
      </c>
      <c r="L222" s="3" t="s">
        <v>1427</v>
      </c>
    </row>
    <row r="223">
      <c r="A223" s="12">
        <v>46163.79504473379</v>
      </c>
      <c r="B223" s="3" t="s">
        <v>121</v>
      </c>
      <c r="C223" s="3" t="s">
        <v>122</v>
      </c>
      <c r="D223" s="18" t="s">
        <v>1428</v>
      </c>
      <c r="E223" s="3" t="s">
        <v>1008</v>
      </c>
      <c r="F223" s="3" t="s">
        <v>147</v>
      </c>
      <c r="G223" s="3" t="s">
        <v>1431</v>
      </c>
      <c r="H223" s="3" t="s">
        <v>64</v>
      </c>
      <c r="I223" s="3" t="s">
        <v>1008</v>
      </c>
      <c r="J223" s="3" t="s">
        <v>65</v>
      </c>
      <c r="K223" s="18" t="s">
        <v>1432</v>
      </c>
      <c r="L223" s="3" t="s">
        <v>131</v>
      </c>
    </row>
    <row r="224">
      <c r="A224" s="12">
        <v>46164.49989491898</v>
      </c>
      <c r="B224" s="3" t="s">
        <v>206</v>
      </c>
      <c r="C224" s="3" t="s">
        <v>207</v>
      </c>
      <c r="D224" s="18" t="s">
        <v>1435</v>
      </c>
      <c r="E224" s="3" t="s">
        <v>211</v>
      </c>
      <c r="F224" s="3" t="s">
        <v>147</v>
      </c>
      <c r="G224" s="3" t="s">
        <v>1438</v>
      </c>
      <c r="H224" s="3" t="s">
        <v>64</v>
      </c>
      <c r="I224" s="3" t="s">
        <v>52</v>
      </c>
      <c r="J224" s="3" t="s">
        <v>65</v>
      </c>
      <c r="K224" s="18" t="s">
        <v>1439</v>
      </c>
      <c r="L224" s="3" t="s">
        <v>213</v>
      </c>
    </row>
    <row r="225">
      <c r="A225" s="12">
        <v>46164.65107033565</v>
      </c>
      <c r="B225" s="3" t="s">
        <v>303</v>
      </c>
      <c r="C225" s="3" t="s">
        <v>186</v>
      </c>
      <c r="D225" s="18" t="s">
        <v>1442</v>
      </c>
      <c r="E225" s="3" t="s">
        <v>1445</v>
      </c>
      <c r="F225" s="3" t="s">
        <v>126</v>
      </c>
      <c r="G225" s="3" t="s">
        <v>1446</v>
      </c>
      <c r="H225" s="3" t="s">
        <v>64</v>
      </c>
      <c r="I225" s="3" t="s">
        <v>1447</v>
      </c>
      <c r="J225" s="3" t="s">
        <v>65</v>
      </c>
      <c r="L225" s="3" t="s">
        <v>197</v>
      </c>
    </row>
    <row r="226">
      <c r="A226" s="12">
        <v>46164.66358166667</v>
      </c>
      <c r="B226" s="3" t="s">
        <v>662</v>
      </c>
      <c r="C226" s="3" t="s">
        <v>1300</v>
      </c>
      <c r="D226" s="18" t="s">
        <v>1450</v>
      </c>
      <c r="E226" s="3" t="s">
        <v>1309</v>
      </c>
      <c r="F226" s="3" t="s">
        <v>103</v>
      </c>
      <c r="G226" s="3" t="s">
        <v>1453</v>
      </c>
      <c r="H226" s="3" t="s">
        <v>64</v>
      </c>
      <c r="I226" s="3" t="s">
        <v>1018</v>
      </c>
      <c r="J226" s="3" t="s">
        <v>65</v>
      </c>
      <c r="L226" s="3" t="s">
        <v>646</v>
      </c>
    </row>
    <row r="227">
      <c r="A227" s="12">
        <v>46164.66527032407</v>
      </c>
      <c r="B227" s="3" t="s">
        <v>206</v>
      </c>
      <c r="C227" s="3" t="s">
        <v>207</v>
      </c>
      <c r="D227" s="18" t="s">
        <v>1454</v>
      </c>
      <c r="E227" s="3" t="s">
        <v>211</v>
      </c>
      <c r="F227" s="3" t="s">
        <v>62</v>
      </c>
      <c r="G227" s="3" t="s">
        <v>1457</v>
      </c>
      <c r="H227" s="3" t="s">
        <v>64</v>
      </c>
      <c r="I227" s="3" t="s">
        <v>1021</v>
      </c>
      <c r="J227" s="3" t="s">
        <v>65</v>
      </c>
      <c r="K227" s="18" t="s">
        <v>1458</v>
      </c>
      <c r="L227" s="3" t="s">
        <v>213</v>
      </c>
    </row>
    <row r="228">
      <c r="A228" s="12">
        <v>46164.66583699074</v>
      </c>
      <c r="B228" s="3" t="s">
        <v>662</v>
      </c>
      <c r="C228" s="3" t="s">
        <v>1300</v>
      </c>
      <c r="D228" s="18" t="s">
        <v>1460</v>
      </c>
      <c r="E228" s="3" t="s">
        <v>941</v>
      </c>
      <c r="F228" s="3" t="s">
        <v>147</v>
      </c>
      <c r="G228" s="3" t="s">
        <v>1463</v>
      </c>
      <c r="H228" s="3" t="s">
        <v>64</v>
      </c>
      <c r="I228" s="3" t="s">
        <v>1464</v>
      </c>
      <c r="J228" s="3" t="s">
        <v>65</v>
      </c>
      <c r="L228" s="3" t="s">
        <v>646</v>
      </c>
    </row>
    <row r="229">
      <c r="A229" s="12">
        <v>46164.67012203704</v>
      </c>
      <c r="B229" s="3" t="s">
        <v>662</v>
      </c>
      <c r="C229" s="3" t="s">
        <v>1300</v>
      </c>
      <c r="D229" s="18" t="s">
        <v>1465</v>
      </c>
      <c r="E229" s="3" t="s">
        <v>1468</v>
      </c>
      <c r="F229" s="3" t="s">
        <v>103</v>
      </c>
      <c r="G229" s="3" t="s">
        <v>1469</v>
      </c>
      <c r="H229" s="3" t="s">
        <v>64</v>
      </c>
      <c r="I229" s="3" t="s">
        <v>1027</v>
      </c>
      <c r="J229" s="3" t="s">
        <v>65</v>
      </c>
      <c r="L229" s="3" t="s">
        <v>646</v>
      </c>
    </row>
    <row r="230">
      <c r="A230" s="12">
        <v>46164.67168168981</v>
      </c>
      <c r="B230" s="3" t="s">
        <v>662</v>
      </c>
      <c r="C230" s="3" t="s">
        <v>1300</v>
      </c>
      <c r="D230" s="18" t="s">
        <v>1472</v>
      </c>
      <c r="E230" s="3" t="s">
        <v>644</v>
      </c>
      <c r="F230" s="3" t="s">
        <v>62</v>
      </c>
      <c r="G230" s="3" t="s">
        <v>1474</v>
      </c>
      <c r="H230" s="3" t="s">
        <v>64</v>
      </c>
      <c r="I230" s="3" t="s">
        <v>1027</v>
      </c>
      <c r="J230" s="3" t="s">
        <v>65</v>
      </c>
      <c r="L230" s="3" t="s">
        <v>646</v>
      </c>
    </row>
    <row r="231">
      <c r="A231" s="12">
        <v>46164.67395311342</v>
      </c>
      <c r="B231" s="3" t="s">
        <v>662</v>
      </c>
      <c r="C231" s="3" t="s">
        <v>1300</v>
      </c>
      <c r="D231" s="18" t="s">
        <v>1475</v>
      </c>
      <c r="E231" s="3" t="s">
        <v>674</v>
      </c>
      <c r="F231" s="3" t="s">
        <v>147</v>
      </c>
      <c r="G231" s="3" t="s">
        <v>1477</v>
      </c>
      <c r="H231" s="3" t="s">
        <v>64</v>
      </c>
      <c r="I231" s="3" t="s">
        <v>96</v>
      </c>
      <c r="J231" s="3" t="s">
        <v>65</v>
      </c>
      <c r="L231" s="3" t="s">
        <v>646</v>
      </c>
    </row>
    <row r="232">
      <c r="A232" s="12">
        <v>46164.68086972222</v>
      </c>
      <c r="B232" s="3" t="s">
        <v>662</v>
      </c>
      <c r="C232" s="3" t="s">
        <v>1300</v>
      </c>
      <c r="D232" s="18" t="s">
        <v>1478</v>
      </c>
      <c r="E232" s="3" t="s">
        <v>674</v>
      </c>
      <c r="F232" s="3" t="s">
        <v>1144</v>
      </c>
      <c r="G232" s="3" t="s">
        <v>1481</v>
      </c>
      <c r="H232" s="3" t="s">
        <v>64</v>
      </c>
      <c r="I232" s="3" t="s">
        <v>1036</v>
      </c>
      <c r="J232" s="3" t="s">
        <v>65</v>
      </c>
      <c r="L232" s="3" t="s">
        <v>646</v>
      </c>
    </row>
    <row r="233">
      <c r="A233" s="12">
        <v>46164.68218055555</v>
      </c>
      <c r="B233" s="3" t="s">
        <v>662</v>
      </c>
      <c r="C233" s="3" t="s">
        <v>1300</v>
      </c>
      <c r="D233" s="18" t="s">
        <v>1482</v>
      </c>
      <c r="E233" s="3" t="s">
        <v>674</v>
      </c>
      <c r="F233" s="3" t="s">
        <v>1144</v>
      </c>
      <c r="G233" s="3" t="s">
        <v>1487</v>
      </c>
      <c r="H233" s="3" t="s">
        <v>324</v>
      </c>
      <c r="I233" s="3" t="s">
        <v>1041</v>
      </c>
      <c r="J233" s="3" t="s">
        <v>65</v>
      </c>
      <c r="L233" s="3" t="s">
        <v>646</v>
      </c>
    </row>
    <row r="234">
      <c r="A234" s="12">
        <v>46164.683950289356</v>
      </c>
      <c r="B234" s="3" t="s">
        <v>662</v>
      </c>
      <c r="C234" s="3" t="s">
        <v>1300</v>
      </c>
      <c r="D234" s="18" t="s">
        <v>1488</v>
      </c>
      <c r="E234" s="3" t="s">
        <v>941</v>
      </c>
      <c r="F234" s="3" t="s">
        <v>1144</v>
      </c>
      <c r="G234" s="3" t="s">
        <v>1491</v>
      </c>
      <c r="H234" s="3" t="s">
        <v>64</v>
      </c>
      <c r="I234" s="3" t="s">
        <v>1043</v>
      </c>
      <c r="J234" s="3" t="s">
        <v>65</v>
      </c>
      <c r="L234" s="3" t="s">
        <v>646</v>
      </c>
    </row>
    <row r="235">
      <c r="A235" s="12">
        <v>46164.70794980324</v>
      </c>
      <c r="B235" s="3" t="s">
        <v>1269</v>
      </c>
      <c r="C235" s="3" t="s">
        <v>982</v>
      </c>
      <c r="D235" s="18" t="s">
        <v>1494</v>
      </c>
      <c r="E235" s="3" t="s">
        <v>1497</v>
      </c>
      <c r="F235" s="3" t="s">
        <v>62</v>
      </c>
      <c r="G235" s="3" t="s">
        <v>1292</v>
      </c>
      <c r="H235" s="3" t="s">
        <v>324</v>
      </c>
      <c r="I235" s="3" t="s">
        <v>1498</v>
      </c>
      <c r="J235" s="3" t="s">
        <v>65</v>
      </c>
      <c r="K235" s="18" t="s">
        <v>1500</v>
      </c>
      <c r="L235" s="3" t="s">
        <v>706</v>
      </c>
    </row>
    <row r="236">
      <c r="A236" s="12">
        <v>46164.716135254625</v>
      </c>
      <c r="B236" s="3" t="s">
        <v>662</v>
      </c>
      <c r="C236" s="3" t="s">
        <v>1300</v>
      </c>
      <c r="D236" s="18" t="s">
        <v>1502</v>
      </c>
      <c r="E236" s="3" t="s">
        <v>1507</v>
      </c>
      <c r="F236" s="3" t="s">
        <v>62</v>
      </c>
      <c r="G236" s="3" t="s">
        <v>1508</v>
      </c>
      <c r="H236" s="3" t="s">
        <v>64</v>
      </c>
      <c r="I236" s="3" t="s">
        <v>1050</v>
      </c>
      <c r="J236" s="3" t="s">
        <v>65</v>
      </c>
      <c r="L236" s="3" t="s">
        <v>646</v>
      </c>
    </row>
    <row r="237">
      <c r="A237" s="12">
        <v>46164.724969930554</v>
      </c>
      <c r="B237" s="3" t="s">
        <v>662</v>
      </c>
      <c r="C237" s="3" t="s">
        <v>921</v>
      </c>
      <c r="D237" s="18" t="s">
        <v>1509</v>
      </c>
      <c r="E237" s="3" t="s">
        <v>674</v>
      </c>
      <c r="F237" s="3" t="s">
        <v>62</v>
      </c>
      <c r="G237" s="3" t="s">
        <v>1511</v>
      </c>
      <c r="H237" s="3" t="s">
        <v>64</v>
      </c>
      <c r="I237" s="3" t="s">
        <v>1053</v>
      </c>
      <c r="J237" s="3" t="s">
        <v>65</v>
      </c>
      <c r="L237" s="3" t="s">
        <v>646</v>
      </c>
    </row>
    <row r="238">
      <c r="A238" s="12">
        <v>46165.38757057871</v>
      </c>
      <c r="B238" s="3" t="s">
        <v>1178</v>
      </c>
      <c r="C238" s="3" t="s">
        <v>186</v>
      </c>
      <c r="D238" s="18" t="s">
        <v>1512</v>
      </c>
      <c r="E238" s="3" t="s">
        <v>1515</v>
      </c>
      <c r="F238" s="3" t="s">
        <v>126</v>
      </c>
      <c r="G238" s="3" t="s">
        <v>1516</v>
      </c>
      <c r="H238" s="3" t="s">
        <v>64</v>
      </c>
      <c r="I238" s="3" t="s">
        <v>1056</v>
      </c>
      <c r="J238" s="3" t="s">
        <v>65</v>
      </c>
      <c r="L238" s="3" t="s">
        <v>197</v>
      </c>
    </row>
    <row r="239">
      <c r="A239" s="12">
        <v>46165.63787533565</v>
      </c>
      <c r="B239" s="3" t="s">
        <v>1269</v>
      </c>
      <c r="C239" s="3" t="s">
        <v>982</v>
      </c>
      <c r="D239" s="18" t="s">
        <v>1518</v>
      </c>
      <c r="E239" s="3" t="s">
        <v>1520</v>
      </c>
      <c r="F239" s="3" t="s">
        <v>62</v>
      </c>
      <c r="G239" s="3" t="s">
        <v>1521</v>
      </c>
      <c r="H239" s="3" t="s">
        <v>324</v>
      </c>
      <c r="I239" s="3" t="s">
        <v>986</v>
      </c>
      <c r="J239" s="3" t="s">
        <v>65</v>
      </c>
      <c r="K239" s="18" t="s">
        <v>1522</v>
      </c>
      <c r="L239" s="3" t="s">
        <v>706</v>
      </c>
    </row>
    <row r="240">
      <c r="A240" s="12">
        <v>46167.507025983796</v>
      </c>
      <c r="B240" s="3" t="s">
        <v>974</v>
      </c>
      <c r="C240" s="3" t="s">
        <v>215</v>
      </c>
      <c r="D240" s="18" t="s">
        <v>1527</v>
      </c>
      <c r="E240" s="3">
        <v>163.0</v>
      </c>
      <c r="F240" s="3" t="s">
        <v>138</v>
      </c>
      <c r="G240" s="3" t="s">
        <v>1530</v>
      </c>
      <c r="H240" s="3" t="s">
        <v>64</v>
      </c>
      <c r="I240" s="3" t="s">
        <v>1062</v>
      </c>
      <c r="J240" s="3" t="s">
        <v>65</v>
      </c>
      <c r="L240" s="3" t="s">
        <v>981</v>
      </c>
    </row>
    <row r="241">
      <c r="A241" s="12">
        <v>46167.70544952546</v>
      </c>
      <c r="B241" s="3" t="s">
        <v>1178</v>
      </c>
      <c r="C241" s="3" t="s">
        <v>186</v>
      </c>
      <c r="D241" s="18" t="s">
        <v>1533</v>
      </c>
      <c r="E241" s="3" t="s">
        <v>1536</v>
      </c>
      <c r="F241" s="3" t="s">
        <v>147</v>
      </c>
      <c r="G241" s="3" t="s">
        <v>1537</v>
      </c>
      <c r="H241" s="3" t="s">
        <v>64</v>
      </c>
      <c r="I241" s="3" t="s">
        <v>894</v>
      </c>
      <c r="J241" s="3" t="s">
        <v>65</v>
      </c>
      <c r="L241" s="3" t="s">
        <v>197</v>
      </c>
    </row>
    <row r="242">
      <c r="A242" s="12">
        <v>46167.71408464121</v>
      </c>
      <c r="B242" s="3" t="s">
        <v>1538</v>
      </c>
      <c r="C242" s="3" t="s">
        <v>1539</v>
      </c>
      <c r="D242" s="18" t="s">
        <v>1540</v>
      </c>
      <c r="E242" s="3" t="s">
        <v>1543</v>
      </c>
      <c r="F242" s="3" t="s">
        <v>62</v>
      </c>
      <c r="G242" s="3" t="s">
        <v>1544</v>
      </c>
      <c r="H242" s="3" t="s">
        <v>64</v>
      </c>
      <c r="I242" s="3" t="s">
        <v>1068</v>
      </c>
      <c r="J242" s="3" t="s">
        <v>65</v>
      </c>
      <c r="L242" s="3" t="s">
        <v>1545</v>
      </c>
    </row>
    <row r="243">
      <c r="A243" s="12">
        <v>46167.72474950232</v>
      </c>
      <c r="B243" s="3" t="s">
        <v>662</v>
      </c>
      <c r="C243" s="3" t="s">
        <v>670</v>
      </c>
      <c r="D243" s="18" t="s">
        <v>1546</v>
      </c>
      <c r="E243" s="3" t="s">
        <v>644</v>
      </c>
      <c r="F243" s="3" t="s">
        <v>62</v>
      </c>
      <c r="G243" s="3" t="s">
        <v>1548</v>
      </c>
      <c r="H243" s="3" t="s">
        <v>64</v>
      </c>
      <c r="I243" s="3" t="s">
        <v>1070</v>
      </c>
      <c r="J243" s="3" t="s">
        <v>65</v>
      </c>
      <c r="L243" s="3" t="s">
        <v>646</v>
      </c>
    </row>
    <row r="244">
      <c r="A244" s="12">
        <v>46167.72639287037</v>
      </c>
      <c r="B244" s="3" t="s">
        <v>662</v>
      </c>
      <c r="C244" s="3" t="s">
        <v>1549</v>
      </c>
      <c r="D244" s="18" t="s">
        <v>1552</v>
      </c>
      <c r="E244" s="3" t="s">
        <v>674</v>
      </c>
      <c r="F244" s="3" t="s">
        <v>62</v>
      </c>
      <c r="G244" s="3" t="s">
        <v>1555</v>
      </c>
      <c r="H244" s="3" t="s">
        <v>237</v>
      </c>
      <c r="I244" s="3" t="s">
        <v>1070</v>
      </c>
      <c r="J244" s="3" t="s">
        <v>65</v>
      </c>
      <c r="L244" s="3" t="s">
        <v>646</v>
      </c>
    </row>
    <row r="245">
      <c r="A245" s="12">
        <v>46167.73668128472</v>
      </c>
      <c r="B245" s="3" t="s">
        <v>768</v>
      </c>
      <c r="C245" s="3" t="s">
        <v>769</v>
      </c>
      <c r="D245" s="18" t="s">
        <v>1556</v>
      </c>
      <c r="E245" s="3" t="s">
        <v>1559</v>
      </c>
      <c r="F245" s="3" t="s">
        <v>62</v>
      </c>
      <c r="G245" s="3" t="s">
        <v>518</v>
      </c>
      <c r="H245" s="3" t="s">
        <v>64</v>
      </c>
      <c r="I245" s="3" t="s">
        <v>1076</v>
      </c>
      <c r="J245" s="3" t="s">
        <v>65</v>
      </c>
      <c r="L245" s="3" t="s">
        <v>520</v>
      </c>
    </row>
    <row r="246">
      <c r="A246" s="12">
        <v>46167.781177997684</v>
      </c>
      <c r="B246" s="3" t="s">
        <v>1560</v>
      </c>
      <c r="C246" s="3" t="s">
        <v>1561</v>
      </c>
      <c r="D246" s="18" t="s">
        <v>1562</v>
      </c>
      <c r="E246" s="3" t="s">
        <v>1565</v>
      </c>
      <c r="F246" s="3" t="s">
        <v>62</v>
      </c>
      <c r="G246" s="3" t="s">
        <v>1566</v>
      </c>
      <c r="H246" s="3" t="s">
        <v>64</v>
      </c>
      <c r="I246" s="3">
        <v>5231.0</v>
      </c>
      <c r="J246" s="3" t="s">
        <v>65</v>
      </c>
      <c r="L246" s="3" t="s">
        <v>1567</v>
      </c>
    </row>
    <row r="247">
      <c r="A247" s="12">
        <v>46167.78192983796</v>
      </c>
      <c r="B247" s="3" t="s">
        <v>1560</v>
      </c>
      <c r="C247" s="3" t="s">
        <v>1561</v>
      </c>
      <c r="D247" s="18" t="s">
        <v>1568</v>
      </c>
      <c r="E247" s="3" t="s">
        <v>1565</v>
      </c>
      <c r="F247" s="3" t="s">
        <v>62</v>
      </c>
      <c r="G247" s="3" t="s">
        <v>1566</v>
      </c>
      <c r="H247" s="3" t="s">
        <v>64</v>
      </c>
      <c r="I247" s="3">
        <v>5190.0</v>
      </c>
      <c r="J247" s="3" t="s">
        <v>65</v>
      </c>
      <c r="L247" s="3" t="s">
        <v>1567</v>
      </c>
    </row>
    <row r="248">
      <c r="A248" s="12">
        <v>46167.782791018515</v>
      </c>
      <c r="B248" s="3" t="s">
        <v>1560</v>
      </c>
      <c r="C248" s="3" t="s">
        <v>1561</v>
      </c>
      <c r="D248" s="18" t="s">
        <v>1570</v>
      </c>
      <c r="E248" s="3" t="s">
        <v>1565</v>
      </c>
      <c r="F248" s="3" t="s">
        <v>62</v>
      </c>
      <c r="G248" s="3" t="s">
        <v>1566</v>
      </c>
      <c r="H248" s="3" t="s">
        <v>64</v>
      </c>
      <c r="I248" s="3">
        <v>5189.0</v>
      </c>
      <c r="J248" s="3" t="s">
        <v>65</v>
      </c>
      <c r="L248" s="3" t="s">
        <v>1567</v>
      </c>
    </row>
    <row r="249">
      <c r="A249" s="12">
        <v>46168.68008413195</v>
      </c>
      <c r="B249" s="3" t="s">
        <v>768</v>
      </c>
      <c r="C249" s="3" t="s">
        <v>769</v>
      </c>
      <c r="D249" s="18" t="s">
        <v>1572</v>
      </c>
      <c r="E249" s="3" t="s">
        <v>1575</v>
      </c>
      <c r="F249" s="3" t="s">
        <v>62</v>
      </c>
      <c r="G249" s="3" t="s">
        <v>1578</v>
      </c>
      <c r="H249" s="3" t="s">
        <v>64</v>
      </c>
      <c r="I249" s="3" t="s">
        <v>1088</v>
      </c>
      <c r="J249" s="3" t="s">
        <v>65</v>
      </c>
      <c r="L249" s="3" t="s">
        <v>520</v>
      </c>
    </row>
    <row r="250">
      <c r="A250" s="12">
        <v>46169.510110787036</v>
      </c>
      <c r="B250" s="3" t="s">
        <v>1579</v>
      </c>
      <c r="C250" s="3" t="s">
        <v>1580</v>
      </c>
      <c r="D250" s="18" t="s">
        <v>1581</v>
      </c>
      <c r="E250" s="3" t="s">
        <v>1584</v>
      </c>
      <c r="F250" s="3" t="s">
        <v>147</v>
      </c>
      <c r="G250" s="3" t="s">
        <v>1585</v>
      </c>
      <c r="H250" s="3" t="s">
        <v>64</v>
      </c>
      <c r="I250" s="3" t="s">
        <v>1091</v>
      </c>
      <c r="J250" s="3" t="s">
        <v>65</v>
      </c>
      <c r="L250" s="3" t="s">
        <v>1586</v>
      </c>
    </row>
    <row r="251">
      <c r="A251" s="12">
        <v>46169.65238561343</v>
      </c>
      <c r="B251" s="3" t="s">
        <v>662</v>
      </c>
      <c r="C251" s="3" t="s">
        <v>1587</v>
      </c>
      <c r="D251" s="18" t="s">
        <v>1588</v>
      </c>
      <c r="E251" s="3" t="s">
        <v>674</v>
      </c>
      <c r="F251" s="3" t="s">
        <v>62</v>
      </c>
      <c r="G251" s="3" t="s">
        <v>1591</v>
      </c>
      <c r="H251" s="3" t="s">
        <v>64</v>
      </c>
      <c r="I251" s="3" t="s">
        <v>318</v>
      </c>
      <c r="J251" s="3" t="s">
        <v>65</v>
      </c>
      <c r="L251" s="3" t="s">
        <v>646</v>
      </c>
    </row>
    <row r="252">
      <c r="A252" s="12">
        <v>46169.72956866898</v>
      </c>
      <c r="B252" s="3" t="s">
        <v>47</v>
      </c>
      <c r="C252" s="3" t="s">
        <v>49</v>
      </c>
      <c r="D252" s="18" t="s">
        <v>1592</v>
      </c>
      <c r="E252" s="3" t="s">
        <v>60</v>
      </c>
      <c r="F252" s="3" t="s">
        <v>62</v>
      </c>
      <c r="G252" s="3" t="s">
        <v>1595</v>
      </c>
      <c r="H252" s="3" t="s">
        <v>64</v>
      </c>
      <c r="I252" s="3" t="s">
        <v>1096</v>
      </c>
      <c r="J252" s="3" t="s">
        <v>65</v>
      </c>
      <c r="L252" s="3" t="s">
        <v>66</v>
      </c>
    </row>
    <row r="253">
      <c r="A253" s="12">
        <v>46169.73123204861</v>
      </c>
      <c r="B253" s="3" t="s">
        <v>47</v>
      </c>
      <c r="C253" s="3" t="s">
        <v>49</v>
      </c>
      <c r="D253" s="18" t="s">
        <v>1596</v>
      </c>
      <c r="E253" s="3" t="s">
        <v>378</v>
      </c>
      <c r="F253" s="3" t="s">
        <v>62</v>
      </c>
      <c r="G253" s="3" t="s">
        <v>1598</v>
      </c>
      <c r="H253" s="3" t="s">
        <v>64</v>
      </c>
      <c r="I253" s="3" t="s">
        <v>166</v>
      </c>
      <c r="J253" s="3" t="s">
        <v>65</v>
      </c>
      <c r="L253" s="3" t="s">
        <v>66</v>
      </c>
    </row>
    <row r="254">
      <c r="A254" s="12">
        <v>46170.53666405093</v>
      </c>
      <c r="B254" s="3" t="s">
        <v>141</v>
      </c>
      <c r="C254" s="3" t="s">
        <v>1601</v>
      </c>
      <c r="D254" s="18" t="s">
        <v>1602</v>
      </c>
      <c r="E254" s="3" t="s">
        <v>1605</v>
      </c>
      <c r="F254" s="3" t="s">
        <v>126</v>
      </c>
      <c r="G254" s="3" t="s">
        <v>1606</v>
      </c>
      <c r="H254" s="3" t="s">
        <v>324</v>
      </c>
      <c r="I254" s="3" t="s">
        <v>1102</v>
      </c>
      <c r="J254" s="3" t="s">
        <v>65</v>
      </c>
      <c r="L254" s="3" t="s">
        <v>149</v>
      </c>
    </row>
    <row r="255">
      <c r="A255" s="12">
        <v>46170.62025702547</v>
      </c>
      <c r="B255" s="3" t="s">
        <v>47</v>
      </c>
      <c r="C255" s="3" t="s">
        <v>49</v>
      </c>
      <c r="D255" s="18" t="s">
        <v>1607</v>
      </c>
      <c r="E255" s="3" t="s">
        <v>60</v>
      </c>
      <c r="F255" s="3" t="s">
        <v>62</v>
      </c>
      <c r="G255" s="3" t="s">
        <v>1610</v>
      </c>
      <c r="H255" s="3" t="s">
        <v>64</v>
      </c>
      <c r="I255" s="3" t="s">
        <v>1104</v>
      </c>
      <c r="J255" s="3" t="s">
        <v>65</v>
      </c>
      <c r="L255" s="3" t="s">
        <v>66</v>
      </c>
    </row>
    <row r="256">
      <c r="A256" s="12">
        <v>46170.621270069445</v>
      </c>
      <c r="B256" s="3" t="s">
        <v>47</v>
      </c>
      <c r="C256" s="3" t="s">
        <v>49</v>
      </c>
      <c r="D256" s="18" t="s">
        <v>1613</v>
      </c>
      <c r="E256" s="3" t="s">
        <v>60</v>
      </c>
      <c r="F256" s="3" t="s">
        <v>62</v>
      </c>
      <c r="G256" s="3" t="s">
        <v>1614</v>
      </c>
      <c r="H256" s="3" t="s">
        <v>64</v>
      </c>
      <c r="I256" s="3" t="s">
        <v>1107</v>
      </c>
      <c r="J256" s="3" t="s">
        <v>65</v>
      </c>
      <c r="L256" s="3" t="s">
        <v>66</v>
      </c>
    </row>
    <row r="257">
      <c r="A257" s="12">
        <v>46170.62205199074</v>
      </c>
      <c r="B257" s="3" t="s">
        <v>47</v>
      </c>
      <c r="C257" s="3" t="s">
        <v>610</v>
      </c>
      <c r="D257" s="18" t="s">
        <v>1617</v>
      </c>
      <c r="E257" s="3" t="s">
        <v>60</v>
      </c>
      <c r="F257" s="3" t="s">
        <v>62</v>
      </c>
      <c r="G257" s="3" t="s">
        <v>1619</v>
      </c>
      <c r="H257" s="3" t="s">
        <v>64</v>
      </c>
      <c r="I257" s="3" t="s">
        <v>1110</v>
      </c>
      <c r="J257" s="3" t="s">
        <v>65</v>
      </c>
      <c r="L257" s="3" t="s">
        <v>66</v>
      </c>
    </row>
    <row r="258">
      <c r="A258" s="12">
        <v>46170.652770127315</v>
      </c>
      <c r="B258" s="3" t="s">
        <v>141</v>
      </c>
      <c r="C258" s="3" t="s">
        <v>1601</v>
      </c>
      <c r="D258" s="18" t="s">
        <v>1620</v>
      </c>
      <c r="E258" s="3" t="s">
        <v>1605</v>
      </c>
      <c r="F258" s="3" t="s">
        <v>126</v>
      </c>
      <c r="G258" s="3" t="s">
        <v>1623</v>
      </c>
      <c r="H258" s="3" t="s">
        <v>324</v>
      </c>
      <c r="I258" s="3" t="s">
        <v>1115</v>
      </c>
      <c r="J258" s="3" t="s">
        <v>65</v>
      </c>
      <c r="L258" s="3" t="s">
        <v>149</v>
      </c>
    </row>
    <row r="259">
      <c r="A259" s="12">
        <v>46170.70538297454</v>
      </c>
      <c r="B259" s="3" t="s">
        <v>662</v>
      </c>
      <c r="C259" s="3" t="s">
        <v>1300</v>
      </c>
      <c r="D259" s="18" t="s">
        <v>1624</v>
      </c>
      <c r="E259" s="3" t="s">
        <v>674</v>
      </c>
      <c r="F259" s="3" t="s">
        <v>62</v>
      </c>
      <c r="G259" s="3" t="s">
        <v>1627</v>
      </c>
      <c r="H259" s="3" t="s">
        <v>64</v>
      </c>
      <c r="I259" s="3" t="s">
        <v>1118</v>
      </c>
      <c r="J259" s="3" t="s">
        <v>65</v>
      </c>
      <c r="L259" s="3" t="s">
        <v>646</v>
      </c>
    </row>
    <row r="260">
      <c r="A260" s="12">
        <v>46170.708115312504</v>
      </c>
      <c r="B260" s="3" t="s">
        <v>662</v>
      </c>
      <c r="C260" s="3" t="s">
        <v>1300</v>
      </c>
      <c r="D260" s="18" t="s">
        <v>1628</v>
      </c>
      <c r="E260" s="3" t="s">
        <v>648</v>
      </c>
      <c r="F260" s="3" t="s">
        <v>62</v>
      </c>
      <c r="G260" s="3" t="s">
        <v>1631</v>
      </c>
      <c r="H260" s="3" t="s">
        <v>64</v>
      </c>
      <c r="I260" s="3" t="s">
        <v>1120</v>
      </c>
      <c r="J260" s="3" t="s">
        <v>65</v>
      </c>
      <c r="L260" s="3" t="s">
        <v>646</v>
      </c>
    </row>
    <row r="261">
      <c r="A261" s="12">
        <v>46170.71023064815</v>
      </c>
      <c r="B261" s="3" t="s">
        <v>662</v>
      </c>
      <c r="C261" s="3" t="s">
        <v>1300</v>
      </c>
      <c r="D261" s="18" t="s">
        <v>1633</v>
      </c>
      <c r="E261" s="3" t="s">
        <v>674</v>
      </c>
      <c r="F261" s="3" t="s">
        <v>62</v>
      </c>
      <c r="G261" s="3" t="s">
        <v>1635</v>
      </c>
      <c r="H261" s="3" t="s">
        <v>64</v>
      </c>
      <c r="I261" s="3" t="s">
        <v>1124</v>
      </c>
      <c r="J261" s="3" t="s">
        <v>65</v>
      </c>
      <c r="L261" s="3" t="s">
        <v>646</v>
      </c>
    </row>
    <row r="262">
      <c r="A262" s="12">
        <v>46170.789301805555</v>
      </c>
      <c r="B262" s="3" t="s">
        <v>223</v>
      </c>
      <c r="C262" s="3" t="s">
        <v>225</v>
      </c>
      <c r="D262" s="18" t="s">
        <v>1637</v>
      </c>
      <c r="E262" s="3" t="s">
        <v>1639</v>
      </c>
      <c r="F262" s="3" t="s">
        <v>138</v>
      </c>
      <c r="G262" s="3" t="s">
        <v>1640</v>
      </c>
      <c r="H262" s="3" t="s">
        <v>64</v>
      </c>
      <c r="I262" s="3" t="s">
        <v>1128</v>
      </c>
      <c r="J262" s="3" t="s">
        <v>65</v>
      </c>
      <c r="L262" s="3" t="s">
        <v>228</v>
      </c>
    </row>
    <row r="263">
      <c r="A263" s="12">
        <v>46171.466751423606</v>
      </c>
      <c r="B263" s="3" t="s">
        <v>105</v>
      </c>
      <c r="C263" s="3" t="s">
        <v>106</v>
      </c>
      <c r="D263" s="18" t="s">
        <v>1641</v>
      </c>
      <c r="E263" s="3" t="s">
        <v>117</v>
      </c>
      <c r="F263" s="3" t="s">
        <v>62</v>
      </c>
      <c r="G263" s="3" t="s">
        <v>1644</v>
      </c>
      <c r="H263" s="3" t="s">
        <v>64</v>
      </c>
      <c r="I263" s="3" t="s">
        <v>790</v>
      </c>
      <c r="J263" s="3" t="s">
        <v>65</v>
      </c>
      <c r="K263" s="18" t="s">
        <v>1645</v>
      </c>
      <c r="L263" s="3" t="s">
        <v>113</v>
      </c>
    </row>
    <row r="264">
      <c r="A264" s="12">
        <v>46171.49364061342</v>
      </c>
      <c r="B264" s="3" t="s">
        <v>1648</v>
      </c>
      <c r="C264" s="3" t="s">
        <v>1580</v>
      </c>
      <c r="D264" s="18" t="s">
        <v>1649</v>
      </c>
      <c r="E264" s="3" t="s">
        <v>1651</v>
      </c>
      <c r="F264" s="3" t="s">
        <v>668</v>
      </c>
      <c r="G264" s="3" t="s">
        <v>1652</v>
      </c>
      <c r="H264" s="3" t="s">
        <v>64</v>
      </c>
      <c r="I264" s="3" t="s">
        <v>1136</v>
      </c>
      <c r="J264" s="3" t="s">
        <v>65</v>
      </c>
      <c r="L264" s="3" t="s">
        <v>1586</v>
      </c>
    </row>
    <row r="265">
      <c r="A265" s="12">
        <v>46171.644178194445</v>
      </c>
      <c r="B265" s="3" t="s">
        <v>1349</v>
      </c>
      <c r="C265" s="3" t="s">
        <v>215</v>
      </c>
      <c r="D265" s="18" t="s">
        <v>1654</v>
      </c>
      <c r="E265" s="3" t="s">
        <v>1353</v>
      </c>
      <c r="F265" s="3" t="s">
        <v>62</v>
      </c>
      <c r="G265" s="3" t="s">
        <v>1657</v>
      </c>
      <c r="H265" s="3" t="s">
        <v>64</v>
      </c>
      <c r="I265" s="3" t="s">
        <v>1138</v>
      </c>
      <c r="J265" s="3" t="s">
        <v>65</v>
      </c>
      <c r="L265" s="3" t="s">
        <v>1355</v>
      </c>
    </row>
    <row r="266">
      <c r="A266" s="12">
        <v>46171.684929780095</v>
      </c>
      <c r="B266" s="3" t="s">
        <v>223</v>
      </c>
      <c r="C266" s="3" t="s">
        <v>225</v>
      </c>
      <c r="D266" s="18" t="s">
        <v>1658</v>
      </c>
      <c r="E266" s="3" t="s">
        <v>1662</v>
      </c>
      <c r="F266" s="3" t="s">
        <v>138</v>
      </c>
      <c r="G266" s="3" t="s">
        <v>1663</v>
      </c>
      <c r="H266" s="3" t="s">
        <v>64</v>
      </c>
      <c r="I266" s="3" t="s">
        <v>1143</v>
      </c>
      <c r="J266" s="3" t="s">
        <v>65</v>
      </c>
      <c r="L266" s="3" t="s">
        <v>228</v>
      </c>
    </row>
    <row r="267">
      <c r="A267" s="12">
        <v>46174.48728064814</v>
      </c>
      <c r="B267" s="3" t="s">
        <v>303</v>
      </c>
      <c r="C267" s="3" t="s">
        <v>186</v>
      </c>
      <c r="D267" s="18" t="s">
        <v>1664</v>
      </c>
      <c r="E267" s="3" t="s">
        <v>1667</v>
      </c>
      <c r="F267" s="3" t="s">
        <v>126</v>
      </c>
      <c r="G267" s="3" t="s">
        <v>1668</v>
      </c>
      <c r="H267" s="3" t="s">
        <v>64</v>
      </c>
      <c r="I267" s="3" t="s">
        <v>1147</v>
      </c>
      <c r="J267" s="3" t="s">
        <v>65</v>
      </c>
      <c r="L267" s="3" t="s">
        <v>197</v>
      </c>
    </row>
    <row r="268">
      <c r="A268" s="12">
        <v>46174.51074362268</v>
      </c>
      <c r="B268" s="3" t="s">
        <v>214</v>
      </c>
      <c r="C268" s="3" t="s">
        <v>214</v>
      </c>
      <c r="D268" s="18" t="s">
        <v>1669</v>
      </c>
      <c r="E268" s="3" t="s">
        <v>1671</v>
      </c>
      <c r="F268" s="3" t="s">
        <v>62</v>
      </c>
      <c r="G268" s="3" t="s">
        <v>1672</v>
      </c>
      <c r="H268" s="3" t="s">
        <v>64</v>
      </c>
      <c r="I268" s="3" t="s">
        <v>136</v>
      </c>
      <c r="J268" s="3" t="s">
        <v>65</v>
      </c>
      <c r="L268" s="3" t="s">
        <v>222</v>
      </c>
    </row>
    <row r="269">
      <c r="A269" s="12">
        <v>46175.65674640046</v>
      </c>
      <c r="B269" s="3" t="s">
        <v>121</v>
      </c>
      <c r="C269" s="3" t="s">
        <v>122</v>
      </c>
      <c r="D269" s="18" t="s">
        <v>1673</v>
      </c>
      <c r="E269" s="3" t="s">
        <v>1152</v>
      </c>
      <c r="F269" s="3" t="s">
        <v>138</v>
      </c>
      <c r="G269" s="3" t="s">
        <v>175</v>
      </c>
      <c r="H269" s="3" t="s">
        <v>64</v>
      </c>
      <c r="I269" s="3" t="s">
        <v>1152</v>
      </c>
      <c r="J269" s="3" t="s">
        <v>65</v>
      </c>
      <c r="K269" s="18" t="s">
        <v>1675</v>
      </c>
      <c r="L269" s="3" t="s">
        <v>131</v>
      </c>
    </row>
    <row r="270">
      <c r="A270" s="12">
        <v>46175.670599641206</v>
      </c>
      <c r="B270" s="3" t="s">
        <v>1420</v>
      </c>
      <c r="C270" s="3" t="s">
        <v>1677</v>
      </c>
      <c r="D270" s="18" t="s">
        <v>1678</v>
      </c>
      <c r="E270" s="3" t="s">
        <v>1426</v>
      </c>
      <c r="F270" s="3" t="s">
        <v>138</v>
      </c>
      <c r="G270" s="3" t="s">
        <v>1156</v>
      </c>
      <c r="H270" s="3" t="s">
        <v>139</v>
      </c>
      <c r="I270" s="3" t="s">
        <v>1156</v>
      </c>
      <c r="J270" s="3" t="s">
        <v>65</v>
      </c>
      <c r="L270" s="3" t="s">
        <v>1427</v>
      </c>
    </row>
    <row r="271">
      <c r="A271" s="12">
        <v>46175.673073252314</v>
      </c>
      <c r="B271" s="3" t="s">
        <v>67</v>
      </c>
      <c r="C271" s="3" t="s">
        <v>277</v>
      </c>
      <c r="D271" s="18" t="s">
        <v>1680</v>
      </c>
      <c r="E271" s="3" t="s">
        <v>76</v>
      </c>
      <c r="F271" s="3" t="s">
        <v>62</v>
      </c>
      <c r="G271" s="3" t="s">
        <v>76</v>
      </c>
      <c r="H271" s="3" t="s">
        <v>64</v>
      </c>
      <c r="I271" s="3" t="s">
        <v>1158</v>
      </c>
      <c r="J271" s="3" t="s">
        <v>65</v>
      </c>
      <c r="L271" s="3" t="s">
        <v>77</v>
      </c>
    </row>
    <row r="272">
      <c r="A272" s="12">
        <v>46176.49607032408</v>
      </c>
      <c r="B272" s="3" t="s">
        <v>47</v>
      </c>
      <c r="C272" s="3" t="s">
        <v>49</v>
      </c>
      <c r="D272" s="18" t="s">
        <v>1682</v>
      </c>
      <c r="E272" s="3" t="s">
        <v>60</v>
      </c>
      <c r="F272" s="3" t="s">
        <v>62</v>
      </c>
      <c r="G272" s="3" t="s">
        <v>1684</v>
      </c>
      <c r="H272" s="3" t="s">
        <v>64</v>
      </c>
      <c r="I272" s="3" t="s">
        <v>166</v>
      </c>
      <c r="J272" s="3" t="s">
        <v>65</v>
      </c>
      <c r="L272" s="3" t="s">
        <v>66</v>
      </c>
    </row>
    <row r="273">
      <c r="A273" s="12">
        <v>46176.69433517361</v>
      </c>
      <c r="B273" s="3" t="s">
        <v>303</v>
      </c>
      <c r="C273" s="3" t="s">
        <v>186</v>
      </c>
      <c r="D273" s="18" t="s">
        <v>1685</v>
      </c>
      <c r="E273" s="3" t="s">
        <v>1687</v>
      </c>
      <c r="F273" s="3" t="s">
        <v>147</v>
      </c>
      <c r="G273" s="3" t="s">
        <v>1688</v>
      </c>
      <c r="H273" s="3" t="s">
        <v>64</v>
      </c>
      <c r="I273" s="3" t="s">
        <v>125</v>
      </c>
      <c r="J273" s="3" t="s">
        <v>65</v>
      </c>
      <c r="L273" s="3" t="s">
        <v>197</v>
      </c>
    </row>
    <row r="274">
      <c r="A274" s="12">
        <v>46176.69666822917</v>
      </c>
      <c r="B274" s="3" t="s">
        <v>303</v>
      </c>
      <c r="C274" s="3" t="s">
        <v>186</v>
      </c>
      <c r="D274" s="18" t="s">
        <v>1689</v>
      </c>
      <c r="E274" s="3" t="s">
        <v>1691</v>
      </c>
      <c r="F274" s="3" t="s">
        <v>138</v>
      </c>
      <c r="G274" s="3" t="s">
        <v>1692</v>
      </c>
      <c r="H274" s="3" t="s">
        <v>64</v>
      </c>
      <c r="I274" s="3" t="s">
        <v>660</v>
      </c>
      <c r="J274" s="3" t="s">
        <v>65</v>
      </c>
      <c r="L274" s="3" t="s">
        <v>197</v>
      </c>
    </row>
    <row r="275">
      <c r="A275" s="12">
        <v>46176.7041972338</v>
      </c>
      <c r="B275" s="3" t="s">
        <v>303</v>
      </c>
      <c r="C275" s="3" t="s">
        <v>186</v>
      </c>
      <c r="D275" s="18" t="s">
        <v>1693</v>
      </c>
      <c r="E275" s="3" t="s">
        <v>1695</v>
      </c>
      <c r="F275" s="3" t="s">
        <v>138</v>
      </c>
      <c r="G275" s="3" t="s">
        <v>1696</v>
      </c>
      <c r="H275" s="3" t="s">
        <v>64</v>
      </c>
      <c r="I275" s="3" t="s">
        <v>705</v>
      </c>
      <c r="J275" s="3" t="s">
        <v>65</v>
      </c>
      <c r="K275" s="18" t="s">
        <v>1697</v>
      </c>
      <c r="L275" s="3" t="s">
        <v>197</v>
      </c>
    </row>
    <row r="276">
      <c r="A276" s="12">
        <v>46177.646974675925</v>
      </c>
      <c r="B276" s="3" t="s">
        <v>768</v>
      </c>
      <c r="C276" s="3" t="s">
        <v>769</v>
      </c>
      <c r="D276" s="18" t="s">
        <v>1700</v>
      </c>
      <c r="E276" s="3" t="s">
        <v>1703</v>
      </c>
      <c r="F276" s="3" t="s">
        <v>147</v>
      </c>
      <c r="G276" s="3" t="s">
        <v>518</v>
      </c>
      <c r="H276" s="3" t="s">
        <v>64</v>
      </c>
      <c r="I276" s="3" t="s">
        <v>1175</v>
      </c>
      <c r="J276" s="3" t="s">
        <v>65</v>
      </c>
      <c r="L276" s="3" t="s">
        <v>520</v>
      </c>
    </row>
    <row r="277">
      <c r="A277" s="12">
        <v>46178.47439923611</v>
      </c>
      <c r="B277" s="3" t="s">
        <v>1269</v>
      </c>
      <c r="C277" s="3" t="s">
        <v>982</v>
      </c>
      <c r="D277" s="18" t="s">
        <v>1704</v>
      </c>
      <c r="E277" s="3" t="s">
        <v>1708</v>
      </c>
      <c r="F277" s="3" t="s">
        <v>62</v>
      </c>
      <c r="G277" s="3" t="s">
        <v>1709</v>
      </c>
      <c r="H277" s="3" t="s">
        <v>324</v>
      </c>
      <c r="I277" s="3" t="s">
        <v>986</v>
      </c>
      <c r="J277" s="3" t="s">
        <v>65</v>
      </c>
      <c r="K277" s="18" t="s">
        <v>1710</v>
      </c>
      <c r="L277" s="3" t="s">
        <v>706</v>
      </c>
    </row>
    <row r="278">
      <c r="A278" s="12">
        <v>46178.67497782408</v>
      </c>
      <c r="B278" s="3" t="s">
        <v>662</v>
      </c>
      <c r="C278" s="3" t="s">
        <v>1300</v>
      </c>
      <c r="D278" s="18" t="s">
        <v>1713</v>
      </c>
      <c r="E278" s="3" t="s">
        <v>941</v>
      </c>
      <c r="F278" s="3" t="s">
        <v>668</v>
      </c>
      <c r="G278" s="3" t="s">
        <v>1715</v>
      </c>
      <c r="H278" s="3" t="s">
        <v>64</v>
      </c>
      <c r="I278" s="3" t="s">
        <v>1185</v>
      </c>
      <c r="J278" s="3" t="s">
        <v>65</v>
      </c>
      <c r="L278" s="3" t="s">
        <v>646</v>
      </c>
    </row>
    <row r="279">
      <c r="A279" s="12">
        <v>46178.678047141206</v>
      </c>
      <c r="B279" s="3" t="s">
        <v>662</v>
      </c>
      <c r="C279" s="3" t="s">
        <v>1300</v>
      </c>
      <c r="D279" s="18" t="s">
        <v>1717</v>
      </c>
      <c r="E279" s="3" t="s">
        <v>674</v>
      </c>
      <c r="F279" s="3" t="s">
        <v>1144</v>
      </c>
      <c r="G279" s="3" t="s">
        <v>1718</v>
      </c>
      <c r="H279" s="3" t="s">
        <v>64</v>
      </c>
      <c r="I279" s="3" t="s">
        <v>1720</v>
      </c>
      <c r="J279" s="3" t="s">
        <v>65</v>
      </c>
      <c r="L279" s="3" t="s">
        <v>646</v>
      </c>
    </row>
    <row r="280">
      <c r="A280" s="12">
        <v>46179.676665266205</v>
      </c>
      <c r="B280" s="3" t="s">
        <v>513</v>
      </c>
      <c r="C280" s="3" t="s">
        <v>1721</v>
      </c>
      <c r="D280" s="18" t="s">
        <v>1722</v>
      </c>
      <c r="E280" s="3" t="s">
        <v>1723</v>
      </c>
      <c r="F280" s="3" t="s">
        <v>62</v>
      </c>
      <c r="G280" s="3" t="s">
        <v>518</v>
      </c>
      <c r="H280" s="3" t="s">
        <v>64</v>
      </c>
      <c r="I280" s="3" t="s">
        <v>166</v>
      </c>
      <c r="J280" s="3" t="s">
        <v>65</v>
      </c>
      <c r="L280" s="3" t="s">
        <v>520</v>
      </c>
    </row>
    <row r="281">
      <c r="A281" s="12">
        <v>46181.670400393516</v>
      </c>
      <c r="B281" s="3" t="s">
        <v>303</v>
      </c>
      <c r="C281" s="3" t="s">
        <v>186</v>
      </c>
      <c r="D281" s="18" t="s">
        <v>1724</v>
      </c>
      <c r="E281" s="3" t="s">
        <v>1726</v>
      </c>
      <c r="F281" s="3" t="s">
        <v>138</v>
      </c>
      <c r="G281" s="3" t="s">
        <v>1727</v>
      </c>
      <c r="H281" s="3" t="s">
        <v>64</v>
      </c>
      <c r="I281" s="3" t="s">
        <v>882</v>
      </c>
      <c r="J281" s="3" t="s">
        <v>65</v>
      </c>
      <c r="L281" s="3" t="s">
        <v>197</v>
      </c>
    </row>
    <row r="282">
      <c r="A282" s="12">
        <v>46181.69820428241</v>
      </c>
      <c r="B282" s="3" t="s">
        <v>356</v>
      </c>
      <c r="C282" s="3" t="s">
        <v>1728</v>
      </c>
      <c r="D282" s="18" t="s">
        <v>1729</v>
      </c>
      <c r="E282" s="3" t="s">
        <v>360</v>
      </c>
      <c r="F282" s="3" t="s">
        <v>668</v>
      </c>
      <c r="G282" s="3" t="s">
        <v>1732</v>
      </c>
      <c r="H282" s="3" t="s">
        <v>64</v>
      </c>
      <c r="I282" s="3" t="s">
        <v>74</v>
      </c>
      <c r="J282" s="3" t="s">
        <v>65</v>
      </c>
      <c r="L282" s="3" t="s">
        <v>362</v>
      </c>
    </row>
    <row r="283">
      <c r="A283" s="12">
        <v>46182.628929756946</v>
      </c>
      <c r="B283" s="3" t="s">
        <v>231</v>
      </c>
      <c r="C283" s="3" t="s">
        <v>232</v>
      </c>
      <c r="D283" s="18" t="s">
        <v>1734</v>
      </c>
      <c r="E283" s="3">
        <v>8.0</v>
      </c>
      <c r="F283" s="3" t="s">
        <v>147</v>
      </c>
      <c r="G283" s="3" t="s">
        <v>1735</v>
      </c>
      <c r="H283" s="3" t="s">
        <v>324</v>
      </c>
      <c r="I283" s="3" t="s">
        <v>1199</v>
      </c>
      <c r="J283" s="3" t="s">
        <v>65</v>
      </c>
      <c r="L283" s="3" t="s">
        <v>241</v>
      </c>
    </row>
    <row r="284">
      <c r="A284" s="12">
        <v>46182.67198328704</v>
      </c>
      <c r="B284" s="3" t="s">
        <v>356</v>
      </c>
      <c r="C284" s="3" t="s">
        <v>357</v>
      </c>
      <c r="D284" s="18" t="s">
        <v>1736</v>
      </c>
      <c r="E284" s="3" t="s">
        <v>1739</v>
      </c>
      <c r="F284" s="3" t="s">
        <v>62</v>
      </c>
      <c r="G284" s="3" t="s">
        <v>1740</v>
      </c>
      <c r="H284" s="3" t="s">
        <v>64</v>
      </c>
      <c r="I284" s="3" t="s">
        <v>1205</v>
      </c>
      <c r="J284" s="3" t="s">
        <v>65</v>
      </c>
      <c r="L284" s="3" t="s">
        <v>362</v>
      </c>
    </row>
    <row r="285">
      <c r="A285" s="12">
        <v>46183.45099982639</v>
      </c>
      <c r="B285" s="3" t="s">
        <v>1741</v>
      </c>
      <c r="C285" s="3" t="s">
        <v>232</v>
      </c>
      <c r="D285" s="18" t="s">
        <v>1742</v>
      </c>
      <c r="E285" s="3" t="s">
        <v>1745</v>
      </c>
      <c r="F285" s="3" t="s">
        <v>62</v>
      </c>
      <c r="G285" s="3" t="s">
        <v>1745</v>
      </c>
      <c r="H285" s="3" t="s">
        <v>324</v>
      </c>
      <c r="I285" s="3" t="s">
        <v>1210</v>
      </c>
      <c r="J285" s="3" t="s">
        <v>65</v>
      </c>
      <c r="L285" s="3" t="s">
        <v>241</v>
      </c>
    </row>
    <row r="286">
      <c r="A286" s="12">
        <v>46183.50661232639</v>
      </c>
      <c r="B286" s="3" t="s">
        <v>303</v>
      </c>
      <c r="C286" s="3" t="s">
        <v>186</v>
      </c>
      <c r="D286" s="18" t="s">
        <v>1746</v>
      </c>
      <c r="E286" s="3" t="s">
        <v>1749</v>
      </c>
      <c r="F286" s="3" t="s">
        <v>126</v>
      </c>
      <c r="G286" s="3" t="s">
        <v>1750</v>
      </c>
      <c r="H286" s="3" t="s">
        <v>64</v>
      </c>
      <c r="I286" s="3" t="s">
        <v>1751</v>
      </c>
      <c r="J286" s="3" t="s">
        <v>65</v>
      </c>
      <c r="K286" s="18" t="s">
        <v>1752</v>
      </c>
      <c r="L286" s="3" t="s">
        <v>197</v>
      </c>
    </row>
    <row r="287">
      <c r="A287" s="12">
        <v>46183.507657662034</v>
      </c>
      <c r="B287" s="3" t="s">
        <v>303</v>
      </c>
      <c r="C287" s="3" t="s">
        <v>186</v>
      </c>
      <c r="D287" s="18" t="s">
        <v>1754</v>
      </c>
      <c r="E287" s="3" t="s">
        <v>1755</v>
      </c>
      <c r="F287" s="3" t="s">
        <v>126</v>
      </c>
      <c r="G287" s="3" t="s">
        <v>1756</v>
      </c>
      <c r="H287" s="3" t="s">
        <v>64</v>
      </c>
      <c r="I287" s="3" t="s">
        <v>1220</v>
      </c>
      <c r="J287" s="3" t="s">
        <v>65</v>
      </c>
      <c r="K287" s="18" t="s">
        <v>1757</v>
      </c>
      <c r="L287" s="3" t="s">
        <v>197</v>
      </c>
    </row>
    <row r="288">
      <c r="A288" s="12">
        <v>46183.51961828704</v>
      </c>
      <c r="B288" s="3" t="s">
        <v>303</v>
      </c>
      <c r="C288" s="3" t="s">
        <v>186</v>
      </c>
      <c r="D288" s="18" t="s">
        <v>1760</v>
      </c>
      <c r="E288" s="3" t="s">
        <v>997</v>
      </c>
      <c r="F288" s="3" t="s">
        <v>138</v>
      </c>
      <c r="G288" s="3" t="s">
        <v>1763</v>
      </c>
      <c r="H288" s="3" t="s">
        <v>64</v>
      </c>
      <c r="I288" s="3" t="s">
        <v>694</v>
      </c>
      <c r="J288" s="3" t="s">
        <v>65</v>
      </c>
      <c r="K288" s="18" t="s">
        <v>1764</v>
      </c>
      <c r="L288" s="3" t="s">
        <v>197</v>
      </c>
    </row>
    <row r="289">
      <c r="A289" s="12">
        <v>46183.566877708334</v>
      </c>
      <c r="B289" s="3" t="s">
        <v>1766</v>
      </c>
      <c r="C289" s="3" t="s">
        <v>1767</v>
      </c>
      <c r="D289" s="18" t="s">
        <v>1768</v>
      </c>
      <c r="E289" s="3" t="s">
        <v>1771</v>
      </c>
      <c r="F289" s="3" t="s">
        <v>147</v>
      </c>
      <c r="G289" s="3" t="s">
        <v>1772</v>
      </c>
      <c r="H289" s="3" t="s">
        <v>64</v>
      </c>
      <c r="I289" s="3" t="s">
        <v>1773</v>
      </c>
      <c r="J289" s="3" t="s">
        <v>65</v>
      </c>
      <c r="L289" s="3" t="s">
        <v>1586</v>
      </c>
    </row>
    <row r="290">
      <c r="A290" s="12">
        <v>46183.60365256944</v>
      </c>
      <c r="B290" s="3" t="s">
        <v>1774</v>
      </c>
      <c r="C290" s="3" t="s">
        <v>1580</v>
      </c>
      <c r="D290" s="18" t="s">
        <v>1775</v>
      </c>
      <c r="E290" s="3" t="s">
        <v>1776</v>
      </c>
      <c r="F290" s="3" t="s">
        <v>138</v>
      </c>
      <c r="G290" s="3" t="s">
        <v>492</v>
      </c>
      <c r="H290" s="3" t="s">
        <v>64</v>
      </c>
      <c r="I290" s="3" t="s">
        <v>205</v>
      </c>
      <c r="J290" s="3" t="s">
        <v>65</v>
      </c>
      <c r="L290" s="3" t="s">
        <v>1586</v>
      </c>
    </row>
    <row r="291">
      <c r="A291" s="12">
        <v>46185.625347141206</v>
      </c>
      <c r="B291" s="3" t="s">
        <v>883</v>
      </c>
      <c r="C291" s="3" t="s">
        <v>264</v>
      </c>
      <c r="D291" s="18" t="s">
        <v>1778</v>
      </c>
      <c r="E291" s="3" t="s">
        <v>1779</v>
      </c>
      <c r="F291" s="3" t="s">
        <v>138</v>
      </c>
      <c r="G291" s="3" t="s">
        <v>1781</v>
      </c>
      <c r="H291" s="3" t="s">
        <v>64</v>
      </c>
      <c r="I291" s="3" t="s">
        <v>1237</v>
      </c>
      <c r="J291" s="3" t="s">
        <v>65</v>
      </c>
      <c r="L291" s="3" t="s">
        <v>890</v>
      </c>
    </row>
    <row r="292">
      <c r="A292" s="12">
        <v>46185.62613730324</v>
      </c>
      <c r="B292" s="3" t="s">
        <v>883</v>
      </c>
      <c r="C292" s="3" t="s">
        <v>264</v>
      </c>
      <c r="D292" s="18" t="s">
        <v>1782</v>
      </c>
      <c r="E292" s="3" t="s">
        <v>360</v>
      </c>
      <c r="F292" s="3" t="s">
        <v>138</v>
      </c>
      <c r="G292" s="3" t="s">
        <v>1781</v>
      </c>
      <c r="H292" s="3" t="s">
        <v>64</v>
      </c>
      <c r="I292" s="3" t="s">
        <v>1240</v>
      </c>
      <c r="J292" s="3" t="s">
        <v>65</v>
      </c>
      <c r="L292" s="3" t="s">
        <v>890</v>
      </c>
    </row>
    <row r="293">
      <c r="A293" s="12">
        <v>46185.70581454861</v>
      </c>
      <c r="B293" s="3" t="s">
        <v>303</v>
      </c>
      <c r="C293" s="3" t="s">
        <v>186</v>
      </c>
      <c r="D293" s="18" t="s">
        <v>1785</v>
      </c>
      <c r="E293" s="3" t="s">
        <v>1788</v>
      </c>
      <c r="F293" s="3" t="s">
        <v>1399</v>
      </c>
      <c r="G293" s="3" t="s">
        <v>1789</v>
      </c>
      <c r="H293" s="3" t="s">
        <v>64</v>
      </c>
      <c r="I293" s="3" t="s">
        <v>1245</v>
      </c>
      <c r="J293" s="3" t="s">
        <v>65</v>
      </c>
      <c r="L293" s="3" t="s">
        <v>197</v>
      </c>
    </row>
    <row r="294">
      <c r="A294" s="12">
        <v>46186.50226824074</v>
      </c>
      <c r="B294" s="3" t="s">
        <v>1790</v>
      </c>
      <c r="C294" s="3" t="s">
        <v>142</v>
      </c>
      <c r="D294" s="18" t="s">
        <v>1791</v>
      </c>
      <c r="E294" s="3" t="s">
        <v>1793</v>
      </c>
      <c r="F294" s="3" t="s">
        <v>62</v>
      </c>
      <c r="G294" s="3" t="s">
        <v>1793</v>
      </c>
      <c r="H294" s="3" t="s">
        <v>324</v>
      </c>
      <c r="I294" s="3" t="s">
        <v>1252</v>
      </c>
      <c r="J294" s="3" t="s">
        <v>65</v>
      </c>
      <c r="L294" s="3" t="s">
        <v>1228</v>
      </c>
    </row>
    <row r="295">
      <c r="A295" s="12">
        <v>46186.557599374995</v>
      </c>
      <c r="B295" s="3" t="s">
        <v>1269</v>
      </c>
      <c r="C295" s="3" t="s">
        <v>982</v>
      </c>
      <c r="D295" s="18" t="s">
        <v>1794</v>
      </c>
      <c r="E295" s="3" t="s">
        <v>1291</v>
      </c>
      <c r="F295" s="3" t="s">
        <v>62</v>
      </c>
      <c r="G295" s="3" t="s">
        <v>1797</v>
      </c>
      <c r="H295" s="3" t="s">
        <v>324</v>
      </c>
      <c r="I295" s="3" t="s">
        <v>986</v>
      </c>
      <c r="J295" s="3" t="s">
        <v>65</v>
      </c>
      <c r="K295" s="18" t="s">
        <v>1798</v>
      </c>
      <c r="L295" s="3" t="s">
        <v>706</v>
      </c>
    </row>
    <row r="296">
      <c r="A296" s="12">
        <v>46186.56091569444</v>
      </c>
      <c r="B296" s="3" t="s">
        <v>1269</v>
      </c>
      <c r="C296" s="3" t="s">
        <v>982</v>
      </c>
      <c r="D296" s="18" t="s">
        <v>1800</v>
      </c>
      <c r="E296" s="3" t="s">
        <v>1291</v>
      </c>
      <c r="F296" s="3" t="s">
        <v>62</v>
      </c>
      <c r="G296" s="3" t="s">
        <v>1797</v>
      </c>
      <c r="H296" s="3" t="s">
        <v>324</v>
      </c>
      <c r="I296" s="3" t="s">
        <v>986</v>
      </c>
      <c r="J296" s="3" t="s">
        <v>65</v>
      </c>
      <c r="K296" s="18" t="s">
        <v>1803</v>
      </c>
      <c r="L296" s="3" t="s">
        <v>706</v>
      </c>
    </row>
    <row r="297">
      <c r="A297" s="12">
        <v>46186.56321681713</v>
      </c>
      <c r="B297" s="3" t="s">
        <v>1269</v>
      </c>
      <c r="C297" s="3" t="s">
        <v>982</v>
      </c>
      <c r="D297" s="18" t="s">
        <v>1804</v>
      </c>
      <c r="E297" s="3" t="s">
        <v>1291</v>
      </c>
      <c r="F297" s="3" t="s">
        <v>62</v>
      </c>
      <c r="G297" s="3" t="s">
        <v>1797</v>
      </c>
      <c r="H297" s="3" t="s">
        <v>324</v>
      </c>
      <c r="I297" s="3" t="s">
        <v>986</v>
      </c>
      <c r="J297" s="3" t="s">
        <v>65</v>
      </c>
      <c r="K297" s="18" t="s">
        <v>1807</v>
      </c>
      <c r="L297" s="3" t="s">
        <v>706</v>
      </c>
    </row>
    <row r="298">
      <c r="A298" s="12">
        <v>46186.566350995374</v>
      </c>
      <c r="B298" s="3" t="s">
        <v>1269</v>
      </c>
      <c r="C298" s="3" t="s">
        <v>982</v>
      </c>
      <c r="D298" s="18" t="s">
        <v>1810</v>
      </c>
      <c r="E298" s="3" t="s">
        <v>1291</v>
      </c>
      <c r="F298" s="3" t="s">
        <v>62</v>
      </c>
      <c r="G298" s="3" t="s">
        <v>1797</v>
      </c>
      <c r="H298" s="3" t="s">
        <v>324</v>
      </c>
      <c r="I298" s="3" t="s">
        <v>986</v>
      </c>
      <c r="J298" s="3" t="s">
        <v>65</v>
      </c>
      <c r="K298" s="18" t="s">
        <v>1813</v>
      </c>
      <c r="L298" s="3" t="s">
        <v>706</v>
      </c>
    </row>
    <row r="299">
      <c r="A299" s="12">
        <v>46186.57034359954</v>
      </c>
      <c r="B299" s="3" t="s">
        <v>1269</v>
      </c>
      <c r="C299" s="3" t="s">
        <v>982</v>
      </c>
      <c r="D299" s="18" t="s">
        <v>1816</v>
      </c>
      <c r="E299" s="3" t="s">
        <v>1818</v>
      </c>
      <c r="F299" s="3" t="s">
        <v>62</v>
      </c>
      <c r="G299" s="3" t="s">
        <v>1819</v>
      </c>
      <c r="H299" s="3" t="s">
        <v>324</v>
      </c>
      <c r="I299" s="3" t="s">
        <v>986</v>
      </c>
      <c r="J299" s="3" t="s">
        <v>65</v>
      </c>
      <c r="K299" s="18" t="s">
        <v>1820</v>
      </c>
      <c r="L299" s="3" t="s">
        <v>706</v>
      </c>
    </row>
    <row r="300">
      <c r="A300" s="12">
        <v>46186.57363939815</v>
      </c>
      <c r="B300" s="3" t="s">
        <v>1269</v>
      </c>
      <c r="C300" s="3" t="s">
        <v>982</v>
      </c>
      <c r="D300" s="18" t="s">
        <v>1822</v>
      </c>
      <c r="E300" s="3" t="s">
        <v>1818</v>
      </c>
      <c r="F300" s="3" t="s">
        <v>62</v>
      </c>
      <c r="G300" s="3" t="s">
        <v>1797</v>
      </c>
      <c r="H300" s="3" t="s">
        <v>237</v>
      </c>
      <c r="I300" s="3" t="s">
        <v>986</v>
      </c>
      <c r="J300" s="3" t="s">
        <v>65</v>
      </c>
      <c r="K300" s="18" t="s">
        <v>1823</v>
      </c>
      <c r="L300" s="3" t="s">
        <v>706</v>
      </c>
    </row>
    <row r="301">
      <c r="A301" s="12">
        <v>46186.57663081019</v>
      </c>
      <c r="B301" s="3" t="s">
        <v>1269</v>
      </c>
      <c r="C301" s="3" t="s">
        <v>982</v>
      </c>
      <c r="D301" s="18" t="s">
        <v>1826</v>
      </c>
      <c r="E301" s="3" t="s">
        <v>1818</v>
      </c>
      <c r="F301" s="3" t="s">
        <v>62</v>
      </c>
      <c r="G301" s="3" t="s">
        <v>1797</v>
      </c>
      <c r="H301" s="3" t="s">
        <v>324</v>
      </c>
      <c r="I301" s="3" t="s">
        <v>1279</v>
      </c>
      <c r="J301" s="3" t="s">
        <v>65</v>
      </c>
      <c r="K301" s="18" t="s">
        <v>1828</v>
      </c>
      <c r="L301" s="3" t="s">
        <v>706</v>
      </c>
    </row>
    <row r="302">
      <c r="A302" s="12">
        <v>46188.392961562495</v>
      </c>
      <c r="B302" s="3" t="s">
        <v>198</v>
      </c>
      <c r="C302" s="3" t="s">
        <v>122</v>
      </c>
      <c r="D302" s="18" t="s">
        <v>1831</v>
      </c>
      <c r="E302" s="3" t="s">
        <v>1834</v>
      </c>
      <c r="F302" s="3" t="s">
        <v>126</v>
      </c>
      <c r="G302" s="3" t="s">
        <v>1834</v>
      </c>
      <c r="H302" s="3" t="s">
        <v>64</v>
      </c>
      <c r="I302" s="3" t="s">
        <v>1283</v>
      </c>
      <c r="J302" s="3" t="s">
        <v>65</v>
      </c>
      <c r="L302" s="3" t="s">
        <v>104</v>
      </c>
    </row>
    <row r="303">
      <c r="A303" s="12">
        <v>46188.458750624995</v>
      </c>
      <c r="B303" s="3" t="s">
        <v>303</v>
      </c>
      <c r="C303" s="3" t="s">
        <v>186</v>
      </c>
      <c r="D303" s="18" t="s">
        <v>1835</v>
      </c>
      <c r="E303" s="3" t="s">
        <v>1836</v>
      </c>
      <c r="F303" s="3" t="s">
        <v>138</v>
      </c>
      <c r="G303" s="3" t="s">
        <v>1837</v>
      </c>
      <c r="H303" s="3" t="s">
        <v>64</v>
      </c>
      <c r="I303" s="3" t="s">
        <v>1287</v>
      </c>
      <c r="J303" s="3" t="s">
        <v>65</v>
      </c>
      <c r="L303" s="3" t="s">
        <v>197</v>
      </c>
    </row>
    <row r="304">
      <c r="A304" s="12">
        <v>46189.45635796296</v>
      </c>
      <c r="B304" s="3" t="s">
        <v>67</v>
      </c>
      <c r="C304" s="3" t="s">
        <v>277</v>
      </c>
      <c r="D304" s="18" t="s">
        <v>1839</v>
      </c>
      <c r="E304" s="3" t="s">
        <v>75</v>
      </c>
      <c r="F304" s="3" t="s">
        <v>126</v>
      </c>
      <c r="G304" s="3" t="s">
        <v>1840</v>
      </c>
      <c r="H304" s="3" t="s">
        <v>324</v>
      </c>
      <c r="I304" s="3" t="s">
        <v>1290</v>
      </c>
      <c r="J304" s="3" t="s">
        <v>65</v>
      </c>
      <c r="L304" s="3" t="s">
        <v>77</v>
      </c>
    </row>
    <row r="305">
      <c r="A305" s="12">
        <v>46189.45714300926</v>
      </c>
      <c r="B305" s="3" t="s">
        <v>67</v>
      </c>
      <c r="C305" s="3" t="s">
        <v>277</v>
      </c>
      <c r="D305" s="18" t="s">
        <v>1843</v>
      </c>
      <c r="E305" s="3" t="s">
        <v>75</v>
      </c>
      <c r="F305" s="3" t="s">
        <v>138</v>
      </c>
      <c r="G305" s="3" t="s">
        <v>1844</v>
      </c>
      <c r="H305" s="3" t="s">
        <v>64</v>
      </c>
      <c r="I305" s="3" t="s">
        <v>1295</v>
      </c>
      <c r="J305" s="3" t="s">
        <v>65</v>
      </c>
      <c r="L305" s="3" t="s">
        <v>77</v>
      </c>
    </row>
    <row r="306">
      <c r="A306" s="12">
        <v>46189.459050011574</v>
      </c>
      <c r="B306" s="3" t="s">
        <v>67</v>
      </c>
      <c r="C306" s="3" t="s">
        <v>277</v>
      </c>
      <c r="D306" s="18" t="s">
        <v>1845</v>
      </c>
      <c r="E306" s="3" t="s">
        <v>75</v>
      </c>
      <c r="F306" s="3" t="s">
        <v>62</v>
      </c>
      <c r="G306" s="3" t="s">
        <v>1848</v>
      </c>
      <c r="H306" s="3" t="s">
        <v>64</v>
      </c>
      <c r="I306" s="3" t="s">
        <v>52</v>
      </c>
      <c r="J306" s="3" t="s">
        <v>65</v>
      </c>
      <c r="L306" s="3" t="s">
        <v>77</v>
      </c>
    </row>
    <row r="307">
      <c r="A307" s="12">
        <v>46189.46131168981</v>
      </c>
      <c r="B307" s="3" t="s">
        <v>67</v>
      </c>
      <c r="C307" s="3" t="s">
        <v>277</v>
      </c>
      <c r="D307" s="18" t="s">
        <v>1850</v>
      </c>
      <c r="E307" s="3" t="s">
        <v>88</v>
      </c>
      <c r="F307" s="3" t="s">
        <v>126</v>
      </c>
      <c r="G307" s="3" t="s">
        <v>1851</v>
      </c>
      <c r="H307" s="3" t="s">
        <v>64</v>
      </c>
      <c r="I307" s="3" t="s">
        <v>1303</v>
      </c>
      <c r="J307" s="3" t="s">
        <v>65</v>
      </c>
      <c r="L307" s="3" t="s">
        <v>77</v>
      </c>
    </row>
    <row r="308">
      <c r="A308" s="12">
        <v>46189.60130928241</v>
      </c>
      <c r="B308" s="3" t="s">
        <v>223</v>
      </c>
      <c r="C308" s="3" t="s">
        <v>225</v>
      </c>
      <c r="D308" s="18" t="s">
        <v>1854</v>
      </c>
      <c r="E308" s="3" t="s">
        <v>1855</v>
      </c>
      <c r="F308" s="3" t="s">
        <v>138</v>
      </c>
      <c r="G308" s="3" t="s">
        <v>1856</v>
      </c>
      <c r="H308" s="3" t="s">
        <v>64</v>
      </c>
      <c r="I308" s="3" t="s">
        <v>1308</v>
      </c>
      <c r="J308" s="3" t="s">
        <v>65</v>
      </c>
      <c r="L308" s="3" t="s">
        <v>228</v>
      </c>
    </row>
    <row r="309">
      <c r="A309" s="12">
        <v>46189.693341273145</v>
      </c>
      <c r="B309" s="3" t="s">
        <v>1178</v>
      </c>
      <c r="C309" s="3" t="s">
        <v>186</v>
      </c>
      <c r="D309" s="18" t="s">
        <v>1859</v>
      </c>
      <c r="E309" s="3" t="s">
        <v>1862</v>
      </c>
      <c r="F309" s="3" t="s">
        <v>147</v>
      </c>
      <c r="G309" s="3" t="s">
        <v>1863</v>
      </c>
      <c r="H309" s="3" t="s">
        <v>64</v>
      </c>
      <c r="I309" s="3" t="s">
        <v>1864</v>
      </c>
      <c r="J309" s="3" t="s">
        <v>65</v>
      </c>
      <c r="L309" s="3" t="s">
        <v>197</v>
      </c>
    </row>
    <row r="310">
      <c r="A310" s="12">
        <v>46190.4826596412</v>
      </c>
      <c r="B310" s="3" t="s">
        <v>1865</v>
      </c>
      <c r="C310" s="3" t="s">
        <v>186</v>
      </c>
      <c r="D310" s="18" t="s">
        <v>1866</v>
      </c>
      <c r="E310" s="3" t="s">
        <v>1867</v>
      </c>
      <c r="F310" s="3" t="s">
        <v>126</v>
      </c>
      <c r="G310" s="3" t="s">
        <v>1868</v>
      </c>
      <c r="H310" s="3" t="s">
        <v>64</v>
      </c>
      <c r="I310" s="3" t="s">
        <v>1287</v>
      </c>
      <c r="J310" s="3" t="s">
        <v>65</v>
      </c>
      <c r="L310" s="3" t="s">
        <v>197</v>
      </c>
    </row>
    <row r="311">
      <c r="A311" s="12">
        <v>46190.61820399306</v>
      </c>
      <c r="B311" s="3" t="s">
        <v>254</v>
      </c>
      <c r="C311" s="3" t="s">
        <v>255</v>
      </c>
      <c r="D311" s="18" t="s">
        <v>1871</v>
      </c>
      <c r="E311" s="3" t="s">
        <v>330</v>
      </c>
      <c r="F311" s="3" t="s">
        <v>138</v>
      </c>
      <c r="G311" s="3" t="s">
        <v>1874</v>
      </c>
      <c r="H311" s="3" t="s">
        <v>64</v>
      </c>
      <c r="I311" s="117">
        <v>3.0013382E7</v>
      </c>
      <c r="J311" s="3" t="s">
        <v>65</v>
      </c>
      <c r="L311" s="3" t="s">
        <v>262</v>
      </c>
    </row>
    <row r="312">
      <c r="A312" s="12">
        <v>46190.65294034722</v>
      </c>
      <c r="B312" s="3" t="s">
        <v>1790</v>
      </c>
      <c r="C312" s="3" t="s">
        <v>142</v>
      </c>
      <c r="D312" s="18" t="s">
        <v>1876</v>
      </c>
      <c r="E312" s="3" t="s">
        <v>1878</v>
      </c>
      <c r="F312" s="3" t="s">
        <v>62</v>
      </c>
      <c r="G312" s="3" t="s">
        <v>1879</v>
      </c>
      <c r="H312" s="3" t="s">
        <v>324</v>
      </c>
      <c r="I312" s="3" t="s">
        <v>1321</v>
      </c>
      <c r="J312" s="3" t="s">
        <v>65</v>
      </c>
      <c r="L312" s="3" t="s">
        <v>1228</v>
      </c>
    </row>
    <row r="313">
      <c r="A313" s="12">
        <v>46191.51223396991</v>
      </c>
      <c r="B313" s="3" t="s">
        <v>662</v>
      </c>
      <c r="C313" s="3" t="s">
        <v>1587</v>
      </c>
      <c r="D313" s="18" t="s">
        <v>1880</v>
      </c>
      <c r="E313" s="3" t="s">
        <v>648</v>
      </c>
      <c r="F313" s="3" t="s">
        <v>668</v>
      </c>
      <c r="G313" s="3" t="s">
        <v>1882</v>
      </c>
      <c r="H313" s="3" t="s">
        <v>64</v>
      </c>
      <c r="I313" s="3" t="s">
        <v>1883</v>
      </c>
      <c r="J313" s="3" t="s">
        <v>65</v>
      </c>
      <c r="L313" s="3" t="s">
        <v>646</v>
      </c>
    </row>
    <row r="314">
      <c r="A314" s="12">
        <v>46191.5182169676</v>
      </c>
      <c r="B314" s="3" t="s">
        <v>1211</v>
      </c>
      <c r="C314" s="3" t="s">
        <v>1212</v>
      </c>
      <c r="D314" s="18" t="s">
        <v>1884</v>
      </c>
      <c r="E314" s="3" t="s">
        <v>1886</v>
      </c>
      <c r="F314" s="3" t="s">
        <v>138</v>
      </c>
      <c r="G314" s="3" t="s">
        <v>452</v>
      </c>
      <c r="H314" s="3" t="s">
        <v>64</v>
      </c>
      <c r="I314" s="3" t="s">
        <v>1330</v>
      </c>
      <c r="J314" s="3" t="s">
        <v>65</v>
      </c>
      <c r="L314" s="3" t="s">
        <v>1217</v>
      </c>
    </row>
    <row r="315">
      <c r="A315" s="12">
        <v>46191.897326412036</v>
      </c>
      <c r="B315" s="3" t="s">
        <v>1538</v>
      </c>
      <c r="C315" s="3" t="s">
        <v>1887</v>
      </c>
      <c r="D315" s="18" t="s">
        <v>1888</v>
      </c>
      <c r="E315" s="3" t="s">
        <v>1890</v>
      </c>
      <c r="F315" s="3" t="s">
        <v>126</v>
      </c>
      <c r="G315" s="3" t="s">
        <v>1891</v>
      </c>
      <c r="H315" s="3" t="s">
        <v>64</v>
      </c>
      <c r="I315" s="3" t="s">
        <v>1334</v>
      </c>
      <c r="J315" s="3" t="s">
        <v>65</v>
      </c>
      <c r="L315" s="3" t="s">
        <v>1545</v>
      </c>
    </row>
    <row r="316">
      <c r="A316" s="12">
        <v>46192.61205408565</v>
      </c>
      <c r="B316" s="3" t="s">
        <v>1892</v>
      </c>
      <c r="C316" s="3" t="s">
        <v>1767</v>
      </c>
      <c r="D316" s="18" t="s">
        <v>1893</v>
      </c>
      <c r="E316" s="3" t="s">
        <v>1895</v>
      </c>
      <c r="F316" s="3" t="s">
        <v>138</v>
      </c>
      <c r="G316" s="3" t="s">
        <v>1896</v>
      </c>
      <c r="H316" s="3" t="s">
        <v>64</v>
      </c>
      <c r="I316" s="3" t="s">
        <v>1897</v>
      </c>
      <c r="J316" s="3" t="s">
        <v>65</v>
      </c>
      <c r="L316" s="3" t="s">
        <v>1586</v>
      </c>
    </row>
    <row r="317">
      <c r="A317" s="12">
        <v>46192.69972228009</v>
      </c>
      <c r="B317" s="3" t="s">
        <v>1790</v>
      </c>
      <c r="C317" s="3" t="s">
        <v>142</v>
      </c>
      <c r="D317" s="18" t="s">
        <v>1898</v>
      </c>
      <c r="E317" s="3" t="s">
        <v>1901</v>
      </c>
      <c r="F317" s="3" t="s">
        <v>62</v>
      </c>
      <c r="G317" s="3" t="s">
        <v>1902</v>
      </c>
      <c r="H317" s="3" t="s">
        <v>324</v>
      </c>
      <c r="I317" s="3" t="s">
        <v>1343</v>
      </c>
      <c r="J317" s="3" t="s">
        <v>65</v>
      </c>
      <c r="L317" s="3" t="s">
        <v>1228</v>
      </c>
    </row>
    <row r="318">
      <c r="A318" s="12">
        <v>46192.72597971065</v>
      </c>
      <c r="B318" s="3" t="s">
        <v>303</v>
      </c>
      <c r="C318" s="3" t="s">
        <v>186</v>
      </c>
      <c r="D318" s="18" t="s">
        <v>1903</v>
      </c>
      <c r="E318" s="3" t="s">
        <v>1905</v>
      </c>
      <c r="F318" s="3" t="s">
        <v>138</v>
      </c>
      <c r="G318" s="3" t="s">
        <v>1906</v>
      </c>
      <c r="H318" s="3" t="s">
        <v>64</v>
      </c>
      <c r="I318" s="3" t="s">
        <v>1907</v>
      </c>
      <c r="J318" s="3" t="s">
        <v>65</v>
      </c>
      <c r="L318" s="3" t="s">
        <v>197</v>
      </c>
    </row>
    <row r="319">
      <c r="A319" s="12">
        <v>46193.54532446759</v>
      </c>
      <c r="B319" s="3" t="s">
        <v>1908</v>
      </c>
      <c r="C319" s="3" t="s">
        <v>1909</v>
      </c>
      <c r="D319" s="18" t="s">
        <v>1910</v>
      </c>
      <c r="E319" s="3" t="s">
        <v>1912</v>
      </c>
      <c r="F319" s="3" t="s">
        <v>147</v>
      </c>
      <c r="G319" s="3" t="s">
        <v>1913</v>
      </c>
      <c r="H319" s="3" t="s">
        <v>139</v>
      </c>
      <c r="I319" s="3" t="s">
        <v>1352</v>
      </c>
      <c r="J319" s="3" t="s">
        <v>65</v>
      </c>
      <c r="L319" s="3" t="s">
        <v>1914</v>
      </c>
    </row>
    <row r="320">
      <c r="A320" s="12">
        <v>46193.560826562505</v>
      </c>
      <c r="B320" s="3" t="s">
        <v>1420</v>
      </c>
      <c r="C320" s="3" t="s">
        <v>1915</v>
      </c>
      <c r="D320" s="18" t="s">
        <v>1916</v>
      </c>
      <c r="E320" s="3" t="s">
        <v>1919</v>
      </c>
      <c r="F320" s="3" t="s">
        <v>147</v>
      </c>
      <c r="G320" s="3" t="s">
        <v>1920</v>
      </c>
      <c r="H320" s="3" t="s">
        <v>139</v>
      </c>
      <c r="I320" s="3" t="s">
        <v>1358</v>
      </c>
      <c r="J320" s="3" t="s">
        <v>65</v>
      </c>
      <c r="L320" s="3" t="s">
        <v>1427</v>
      </c>
    </row>
    <row r="321">
      <c r="A321" s="12">
        <v>46193.66078597222</v>
      </c>
      <c r="B321" s="3" t="s">
        <v>1922</v>
      </c>
      <c r="C321" s="3" t="s">
        <v>142</v>
      </c>
      <c r="D321" s="18" t="s">
        <v>1924</v>
      </c>
      <c r="E321" s="3" t="s">
        <v>1925</v>
      </c>
      <c r="F321" s="3" t="s">
        <v>62</v>
      </c>
      <c r="G321" s="3" t="s">
        <v>1925</v>
      </c>
      <c r="H321" s="3" t="s">
        <v>324</v>
      </c>
      <c r="I321" s="3" t="s">
        <v>142</v>
      </c>
      <c r="J321" s="3" t="s">
        <v>65</v>
      </c>
      <c r="L321" s="3" t="s">
        <v>1228</v>
      </c>
    </row>
    <row r="322">
      <c r="A322" s="12">
        <v>46193.66160288194</v>
      </c>
      <c r="B322" s="3" t="s">
        <v>1927</v>
      </c>
      <c r="C322" s="3" t="s">
        <v>142</v>
      </c>
      <c r="D322" s="18" t="s">
        <v>1928</v>
      </c>
      <c r="E322" s="3" t="s">
        <v>1929</v>
      </c>
      <c r="F322" s="3" t="s">
        <v>62</v>
      </c>
      <c r="G322" s="3" t="s">
        <v>1929</v>
      </c>
      <c r="H322" s="3" t="s">
        <v>324</v>
      </c>
      <c r="I322" s="3" t="s">
        <v>1932</v>
      </c>
      <c r="J322" s="3" t="s">
        <v>65</v>
      </c>
      <c r="L322" s="3" t="s">
        <v>1228</v>
      </c>
    </row>
    <row r="323">
      <c r="A323" s="12">
        <v>46193.662462395834</v>
      </c>
      <c r="B323" s="3" t="s">
        <v>1922</v>
      </c>
      <c r="C323" s="3" t="s">
        <v>1932</v>
      </c>
      <c r="D323" s="18" t="s">
        <v>1933</v>
      </c>
      <c r="E323" s="3" t="s">
        <v>1935</v>
      </c>
      <c r="F323" s="3" t="s">
        <v>62</v>
      </c>
      <c r="G323" s="3" t="s">
        <v>1935</v>
      </c>
      <c r="H323" s="3" t="s">
        <v>324</v>
      </c>
      <c r="I323" s="3" t="s">
        <v>142</v>
      </c>
      <c r="J323" s="3" t="s">
        <v>65</v>
      </c>
      <c r="L323" s="3" t="s">
        <v>1228</v>
      </c>
    </row>
    <row r="324">
      <c r="A324" s="12">
        <v>46195.52441708333</v>
      </c>
      <c r="B324" s="3" t="s">
        <v>1936</v>
      </c>
      <c r="C324" s="3" t="s">
        <v>1937</v>
      </c>
      <c r="D324" s="18" t="s">
        <v>1938</v>
      </c>
      <c r="E324" s="3" t="s">
        <v>1941</v>
      </c>
      <c r="F324" s="3" t="s">
        <v>147</v>
      </c>
      <c r="G324" s="3" t="s">
        <v>1942</v>
      </c>
      <c r="H324" s="3" t="s">
        <v>64</v>
      </c>
      <c r="I324" s="3" t="s">
        <v>1373</v>
      </c>
      <c r="J324" s="3" t="s">
        <v>65</v>
      </c>
      <c r="L324" s="3" t="s">
        <v>228</v>
      </c>
    </row>
    <row r="325">
      <c r="A325" s="12">
        <v>46195.52535038194</v>
      </c>
      <c r="B325" s="3" t="s">
        <v>1936</v>
      </c>
      <c r="C325" s="3" t="s">
        <v>1945</v>
      </c>
      <c r="D325" s="18" t="s">
        <v>1946</v>
      </c>
      <c r="E325" s="3" t="s">
        <v>1941</v>
      </c>
      <c r="F325" s="3" t="s">
        <v>147</v>
      </c>
      <c r="G325" s="3" t="s">
        <v>1949</v>
      </c>
      <c r="H325" s="3" t="s">
        <v>64</v>
      </c>
      <c r="I325" s="3" t="s">
        <v>1377</v>
      </c>
      <c r="J325" s="3" t="s">
        <v>65</v>
      </c>
      <c r="L325" s="3" t="s">
        <v>228</v>
      </c>
    </row>
    <row r="326">
      <c r="A326" s="12">
        <v>46195.65116278935</v>
      </c>
      <c r="B326" s="3" t="s">
        <v>1420</v>
      </c>
      <c r="C326" s="3" t="s">
        <v>1950</v>
      </c>
      <c r="D326" s="18" t="s">
        <v>1951</v>
      </c>
      <c r="E326" s="3" t="s">
        <v>1956</v>
      </c>
      <c r="F326" s="3" t="s">
        <v>138</v>
      </c>
      <c r="G326" s="3" t="s">
        <v>1381</v>
      </c>
      <c r="H326" s="3" t="s">
        <v>139</v>
      </c>
      <c r="I326" s="3" t="s">
        <v>1381</v>
      </c>
      <c r="J326" s="3" t="s">
        <v>65</v>
      </c>
      <c r="L326" s="3" t="s">
        <v>1427</v>
      </c>
    </row>
    <row r="327">
      <c r="A327" s="12">
        <v>46195.673588923615</v>
      </c>
      <c r="B327" s="3" t="s">
        <v>214</v>
      </c>
      <c r="C327" s="3" t="s">
        <v>215</v>
      </c>
      <c r="D327" s="18" t="s">
        <v>1957</v>
      </c>
      <c r="E327" s="3" t="s">
        <v>1959</v>
      </c>
      <c r="F327" s="3" t="s">
        <v>62</v>
      </c>
      <c r="G327" s="3" t="s">
        <v>1960</v>
      </c>
      <c r="H327" s="3" t="s">
        <v>64</v>
      </c>
      <c r="I327" s="3" t="s">
        <v>136</v>
      </c>
      <c r="J327" s="3" t="s">
        <v>65</v>
      </c>
      <c r="L327" s="3" t="s">
        <v>222</v>
      </c>
    </row>
    <row r="328">
      <c r="A328" s="12">
        <v>46196.589236064814</v>
      </c>
      <c r="B328" s="3" t="s">
        <v>254</v>
      </c>
      <c r="C328" s="3" t="s">
        <v>255</v>
      </c>
      <c r="D328" s="18" t="s">
        <v>1961</v>
      </c>
      <c r="E328" s="3" t="s">
        <v>330</v>
      </c>
      <c r="F328" s="3" t="s">
        <v>103</v>
      </c>
      <c r="G328" s="3" t="s">
        <v>261</v>
      </c>
      <c r="H328" s="3" t="s">
        <v>64</v>
      </c>
      <c r="I328" s="3">
        <v>2781.0</v>
      </c>
      <c r="J328" s="3" t="s">
        <v>65</v>
      </c>
      <c r="L328" s="3" t="s">
        <v>262</v>
      </c>
    </row>
    <row r="329">
      <c r="A329" s="12">
        <v>46197.486795289355</v>
      </c>
      <c r="B329" s="3" t="s">
        <v>1211</v>
      </c>
      <c r="C329" s="3" t="s">
        <v>1212</v>
      </c>
      <c r="D329" s="18" t="s">
        <v>1964</v>
      </c>
      <c r="E329" s="3" t="s">
        <v>1886</v>
      </c>
      <c r="F329" s="3" t="s">
        <v>138</v>
      </c>
      <c r="G329" s="3" t="s">
        <v>1967</v>
      </c>
      <c r="H329" s="3" t="s">
        <v>64</v>
      </c>
      <c r="I329" s="3" t="s">
        <v>74</v>
      </c>
      <c r="J329" s="3" t="s">
        <v>65</v>
      </c>
      <c r="L329" s="3" t="s">
        <v>1217</v>
      </c>
    </row>
    <row r="330">
      <c r="A330" s="12">
        <v>46197.51667282407</v>
      </c>
      <c r="B330" s="3" t="s">
        <v>1968</v>
      </c>
      <c r="C330" s="3" t="s">
        <v>1969</v>
      </c>
      <c r="D330" s="18" t="s">
        <v>1970</v>
      </c>
      <c r="E330" s="3" t="s">
        <v>1973</v>
      </c>
      <c r="F330" s="3" t="s">
        <v>147</v>
      </c>
      <c r="G330" s="3" t="s">
        <v>1974</v>
      </c>
      <c r="H330" s="3" t="s">
        <v>237</v>
      </c>
      <c r="I330" s="3" t="s">
        <v>1397</v>
      </c>
      <c r="J330" s="3" t="s">
        <v>65</v>
      </c>
      <c r="L330" s="3" t="s">
        <v>1975</v>
      </c>
    </row>
    <row r="331">
      <c r="A331" s="12">
        <v>46197.52567299768</v>
      </c>
      <c r="B331" s="3" t="s">
        <v>303</v>
      </c>
      <c r="C331" s="3" t="s">
        <v>186</v>
      </c>
      <c r="D331" s="18" t="s">
        <v>1977</v>
      </c>
      <c r="E331" s="3" t="s">
        <v>1980</v>
      </c>
      <c r="F331" s="3" t="s">
        <v>126</v>
      </c>
      <c r="G331" s="3" t="s">
        <v>1981</v>
      </c>
      <c r="H331" s="3" t="s">
        <v>64</v>
      </c>
      <c r="I331" s="3" t="s">
        <v>1403</v>
      </c>
      <c r="J331" s="3" t="s">
        <v>65</v>
      </c>
      <c r="L331" s="3" t="s">
        <v>197</v>
      </c>
    </row>
    <row r="332">
      <c r="A332" s="12">
        <v>46197.53994415509</v>
      </c>
      <c r="B332" s="3" t="s">
        <v>1982</v>
      </c>
      <c r="C332" s="3" t="s">
        <v>1983</v>
      </c>
      <c r="D332" s="18" t="s">
        <v>1984</v>
      </c>
      <c r="E332" s="3" t="s">
        <v>1986</v>
      </c>
      <c r="F332" s="3" t="s">
        <v>138</v>
      </c>
      <c r="G332" s="3" t="s">
        <v>1987</v>
      </c>
      <c r="H332" s="3" t="s">
        <v>237</v>
      </c>
      <c r="I332" s="3" t="s">
        <v>1406</v>
      </c>
      <c r="J332" s="3" t="s">
        <v>65</v>
      </c>
      <c r="L332" s="3" t="s">
        <v>1975</v>
      </c>
    </row>
    <row r="333">
      <c r="A333" s="12">
        <v>46197.55204361111</v>
      </c>
      <c r="B333" s="3" t="s">
        <v>67</v>
      </c>
      <c r="C333" s="3" t="s">
        <v>277</v>
      </c>
      <c r="D333" s="18" t="s">
        <v>1990</v>
      </c>
      <c r="E333" s="3" t="s">
        <v>281</v>
      </c>
      <c r="F333" s="3" t="s">
        <v>147</v>
      </c>
      <c r="G333" s="3" t="s">
        <v>1993</v>
      </c>
      <c r="H333" s="3" t="s">
        <v>64</v>
      </c>
      <c r="I333" s="3" t="s">
        <v>1410</v>
      </c>
      <c r="J333" s="3" t="s">
        <v>65</v>
      </c>
      <c r="L333" s="3" t="s">
        <v>77</v>
      </c>
    </row>
    <row r="334">
      <c r="A334" s="12">
        <v>46197.55941475694</v>
      </c>
      <c r="B334" s="3" t="s">
        <v>1253</v>
      </c>
      <c r="C334" s="3" t="s">
        <v>357</v>
      </c>
      <c r="D334" s="18" t="s">
        <v>1994</v>
      </c>
      <c r="E334" s="3" t="s">
        <v>1997</v>
      </c>
      <c r="F334" s="3" t="s">
        <v>62</v>
      </c>
      <c r="G334" s="3" t="s">
        <v>492</v>
      </c>
      <c r="H334" s="3" t="s">
        <v>64</v>
      </c>
      <c r="I334" s="3" t="s">
        <v>1298</v>
      </c>
      <c r="J334" s="3" t="s">
        <v>65</v>
      </c>
      <c r="L334" s="3" t="s">
        <v>493</v>
      </c>
    </row>
    <row r="335">
      <c r="A335" s="12">
        <v>46197.69484090278</v>
      </c>
      <c r="B335" s="3" t="s">
        <v>67</v>
      </c>
      <c r="C335" s="3" t="s">
        <v>277</v>
      </c>
      <c r="D335" s="18" t="s">
        <v>2000</v>
      </c>
      <c r="E335" s="3" t="s">
        <v>2002</v>
      </c>
      <c r="F335" s="3" t="s">
        <v>62</v>
      </c>
      <c r="G335" s="3" t="s">
        <v>2003</v>
      </c>
      <c r="H335" s="3" t="s">
        <v>64</v>
      </c>
      <c r="I335" s="3" t="s">
        <v>1417</v>
      </c>
      <c r="J335" s="3" t="s">
        <v>65</v>
      </c>
      <c r="L335" s="3" t="s">
        <v>77</v>
      </c>
    </row>
    <row r="336">
      <c r="A336" s="12">
        <v>46198.47586278935</v>
      </c>
      <c r="B336" s="3" t="s">
        <v>303</v>
      </c>
      <c r="C336" s="3" t="s">
        <v>186</v>
      </c>
      <c r="D336" s="18" t="s">
        <v>2004</v>
      </c>
      <c r="E336" s="3" t="s">
        <v>2006</v>
      </c>
      <c r="F336" s="3" t="s">
        <v>126</v>
      </c>
      <c r="G336" s="3" t="s">
        <v>2007</v>
      </c>
      <c r="H336" s="3" t="s">
        <v>64</v>
      </c>
      <c r="I336" s="3" t="s">
        <v>1423</v>
      </c>
      <c r="J336" s="3" t="s">
        <v>65</v>
      </c>
      <c r="L336" s="3" t="s">
        <v>197</v>
      </c>
    </row>
    <row r="337">
      <c r="A337" s="12">
        <v>46198.502678969904</v>
      </c>
      <c r="B337" s="3" t="s">
        <v>356</v>
      </c>
      <c r="C337" s="3" t="s">
        <v>357</v>
      </c>
      <c r="D337" s="18" t="s">
        <v>2008</v>
      </c>
      <c r="E337" s="3" t="s">
        <v>2010</v>
      </c>
      <c r="F337" s="3" t="s">
        <v>62</v>
      </c>
      <c r="G337" s="3" t="s">
        <v>2011</v>
      </c>
      <c r="H337" s="3" t="s">
        <v>64</v>
      </c>
      <c r="I337" s="3" t="s">
        <v>1425</v>
      </c>
      <c r="J337" s="3" t="s">
        <v>65</v>
      </c>
      <c r="L337" s="3" t="s">
        <v>362</v>
      </c>
    </row>
    <row r="338">
      <c r="A338" s="12">
        <v>46198.51557275463</v>
      </c>
      <c r="B338" s="3" t="s">
        <v>1194</v>
      </c>
      <c r="C338" s="3" t="s">
        <v>243</v>
      </c>
      <c r="D338" s="18" t="s">
        <v>2014</v>
      </c>
      <c r="E338" s="3" t="s">
        <v>2017</v>
      </c>
      <c r="F338" s="3" t="s">
        <v>62</v>
      </c>
      <c r="G338" s="3" t="s">
        <v>683</v>
      </c>
      <c r="H338" s="3" t="s">
        <v>324</v>
      </c>
      <c r="I338" s="3" t="s">
        <v>2018</v>
      </c>
      <c r="J338" s="3" t="s">
        <v>65</v>
      </c>
      <c r="L338" s="3" t="s">
        <v>1200</v>
      </c>
    </row>
    <row r="339">
      <c r="A339" s="12">
        <v>46198.75887439815</v>
      </c>
      <c r="B339" s="3" t="s">
        <v>662</v>
      </c>
      <c r="C339" s="3" t="s">
        <v>1587</v>
      </c>
      <c r="D339" s="18" t="s">
        <v>2019</v>
      </c>
      <c r="E339" s="3" t="s">
        <v>674</v>
      </c>
      <c r="F339" s="3" t="s">
        <v>668</v>
      </c>
      <c r="G339" s="3" t="s">
        <v>2021</v>
      </c>
      <c r="H339" s="3" t="s">
        <v>64</v>
      </c>
      <c r="I339" s="3" t="s">
        <v>2022</v>
      </c>
      <c r="J339" s="3" t="s">
        <v>65</v>
      </c>
      <c r="L339" s="3" t="s">
        <v>646</v>
      </c>
    </row>
    <row r="340">
      <c r="A340" s="12">
        <v>46198.800310879626</v>
      </c>
      <c r="B340" s="3" t="s">
        <v>2023</v>
      </c>
      <c r="C340" s="3" t="s">
        <v>2024</v>
      </c>
      <c r="D340" s="18" t="s">
        <v>2025</v>
      </c>
      <c r="E340" s="3" t="s">
        <v>2028</v>
      </c>
      <c r="F340" s="3" t="s">
        <v>138</v>
      </c>
      <c r="G340" s="3" t="s">
        <v>2029</v>
      </c>
      <c r="H340" s="3" t="s">
        <v>237</v>
      </c>
      <c r="I340" s="3" t="s">
        <v>1437</v>
      </c>
      <c r="J340" s="3" t="s">
        <v>65</v>
      </c>
      <c r="L340" s="3" t="s">
        <v>140</v>
      </c>
    </row>
    <row r="341">
      <c r="A341" s="12">
        <v>46198.80202047454</v>
      </c>
      <c r="B341" s="3" t="s">
        <v>2023</v>
      </c>
      <c r="C341" s="3" t="s">
        <v>2024</v>
      </c>
      <c r="D341" s="18" t="s">
        <v>2030</v>
      </c>
      <c r="E341" s="3" t="s">
        <v>1942</v>
      </c>
      <c r="F341" s="3" t="s">
        <v>138</v>
      </c>
      <c r="G341" s="3" t="s">
        <v>2032</v>
      </c>
      <c r="H341" s="3" t="s">
        <v>237</v>
      </c>
      <c r="I341" s="3" t="s">
        <v>1441</v>
      </c>
      <c r="J341" s="3" t="s">
        <v>65</v>
      </c>
      <c r="L341" s="3" t="s">
        <v>140</v>
      </c>
    </row>
    <row r="342">
      <c r="A342" s="12">
        <v>46198.80337702546</v>
      </c>
      <c r="B342" s="3" t="s">
        <v>2023</v>
      </c>
      <c r="C342" s="3" t="s">
        <v>2024</v>
      </c>
      <c r="D342" s="18" t="s">
        <v>2034</v>
      </c>
      <c r="E342" s="3" t="s">
        <v>1942</v>
      </c>
      <c r="F342" s="3" t="s">
        <v>138</v>
      </c>
      <c r="G342" s="3" t="s">
        <v>2037</v>
      </c>
      <c r="H342" s="3" t="s">
        <v>237</v>
      </c>
      <c r="I342" s="3" t="s">
        <v>1444</v>
      </c>
      <c r="J342" s="3" t="s">
        <v>65</v>
      </c>
      <c r="L342" s="3" t="s">
        <v>140</v>
      </c>
    </row>
    <row r="343">
      <c r="A343" s="12">
        <v>46198.809367037036</v>
      </c>
      <c r="B343" s="3" t="s">
        <v>67</v>
      </c>
      <c r="C343" s="3" t="s">
        <v>277</v>
      </c>
      <c r="D343" s="18" t="s">
        <v>2038</v>
      </c>
      <c r="E343" s="3" t="s">
        <v>281</v>
      </c>
      <c r="F343" s="3" t="s">
        <v>147</v>
      </c>
      <c r="G343" s="3" t="s">
        <v>2039</v>
      </c>
      <c r="H343" s="3" t="s">
        <v>64</v>
      </c>
      <c r="I343" s="3" t="s">
        <v>1449</v>
      </c>
      <c r="J343" s="3" t="s">
        <v>65</v>
      </c>
      <c r="L343" s="3" t="s">
        <v>77</v>
      </c>
    </row>
    <row r="344">
      <c r="A344" s="12">
        <v>46198.81032875</v>
      </c>
      <c r="B344" s="3" t="s">
        <v>67</v>
      </c>
      <c r="C344" s="3" t="s">
        <v>277</v>
      </c>
      <c r="D344" s="18" t="s">
        <v>2040</v>
      </c>
      <c r="E344" s="3" t="s">
        <v>281</v>
      </c>
      <c r="F344" s="3" t="s">
        <v>62</v>
      </c>
      <c r="G344" s="3" t="s">
        <v>2041</v>
      </c>
      <c r="H344" s="3" t="s">
        <v>64</v>
      </c>
      <c r="I344" s="3" t="s">
        <v>1452</v>
      </c>
      <c r="J344" s="3" t="s">
        <v>65</v>
      </c>
      <c r="L344" s="3" t="s">
        <v>77</v>
      </c>
    </row>
    <row r="345">
      <c r="A345" s="12">
        <v>46198.81094454861</v>
      </c>
      <c r="B345" s="3" t="s">
        <v>67</v>
      </c>
      <c r="C345" s="3" t="s">
        <v>277</v>
      </c>
      <c r="D345" s="18" t="s">
        <v>2042</v>
      </c>
      <c r="E345" s="3" t="s">
        <v>75</v>
      </c>
      <c r="F345" s="3" t="s">
        <v>62</v>
      </c>
      <c r="G345" s="3" t="s">
        <v>1130</v>
      </c>
      <c r="H345" s="3" t="s">
        <v>64</v>
      </c>
      <c r="I345" s="3" t="s">
        <v>1456</v>
      </c>
      <c r="J345" s="3" t="s">
        <v>65</v>
      </c>
      <c r="L345" s="3" t="s">
        <v>77</v>
      </c>
    </row>
    <row r="346">
      <c r="A346" s="12">
        <v>46198.812349618056</v>
      </c>
      <c r="B346" s="3" t="s">
        <v>67</v>
      </c>
      <c r="C346" s="3" t="s">
        <v>277</v>
      </c>
      <c r="D346" s="18" t="s">
        <v>2043</v>
      </c>
      <c r="E346" s="3" t="s">
        <v>2044</v>
      </c>
      <c r="F346" s="3" t="s">
        <v>62</v>
      </c>
      <c r="G346" s="3" t="s">
        <v>76</v>
      </c>
      <c r="H346" s="3" t="s">
        <v>64</v>
      </c>
      <c r="I346" s="3" t="s">
        <v>1456</v>
      </c>
      <c r="J346" s="3" t="s">
        <v>65</v>
      </c>
      <c r="L346" s="3" t="s">
        <v>77</v>
      </c>
    </row>
    <row r="347">
      <c r="A347" s="12">
        <v>46198.81325247685</v>
      </c>
      <c r="B347" s="3" t="s">
        <v>67</v>
      </c>
      <c r="C347" s="3" t="s">
        <v>277</v>
      </c>
      <c r="D347" s="18" t="s">
        <v>2045</v>
      </c>
      <c r="E347" s="3" t="s">
        <v>2046</v>
      </c>
      <c r="F347" s="3" t="s">
        <v>62</v>
      </c>
      <c r="G347" s="3" t="s">
        <v>1130</v>
      </c>
      <c r="H347" s="3" t="s">
        <v>64</v>
      </c>
      <c r="I347" s="3" t="s">
        <v>1462</v>
      </c>
      <c r="J347" s="3" t="s">
        <v>65</v>
      </c>
      <c r="L347" s="3" t="s">
        <v>77</v>
      </c>
    </row>
    <row r="348">
      <c r="A348" s="12">
        <v>46199.447584594905</v>
      </c>
      <c r="B348" s="3" t="s">
        <v>1538</v>
      </c>
      <c r="C348" s="3" t="s">
        <v>1539</v>
      </c>
      <c r="D348" s="18" t="s">
        <v>2048</v>
      </c>
      <c r="E348" s="3" t="s">
        <v>2050</v>
      </c>
      <c r="F348" s="3" t="s">
        <v>62</v>
      </c>
      <c r="G348" s="3" t="s">
        <v>2051</v>
      </c>
      <c r="H348" s="3" t="s">
        <v>64</v>
      </c>
      <c r="I348" s="3" t="s">
        <v>1467</v>
      </c>
      <c r="J348" s="3" t="s">
        <v>65</v>
      </c>
      <c r="K348" s="18" t="s">
        <v>2052</v>
      </c>
      <c r="L348" s="3" t="s">
        <v>1545</v>
      </c>
    </row>
    <row r="349">
      <c r="A349" s="12">
        <v>46199.73654304398</v>
      </c>
      <c r="B349" s="3" t="s">
        <v>1269</v>
      </c>
      <c r="C349" s="3" t="s">
        <v>982</v>
      </c>
      <c r="D349" s="18" t="s">
        <v>2054</v>
      </c>
      <c r="E349" s="3" t="s">
        <v>1291</v>
      </c>
      <c r="F349" s="3" t="s">
        <v>62</v>
      </c>
      <c r="G349" s="3" t="s">
        <v>2056</v>
      </c>
      <c r="H349" s="3" t="s">
        <v>324</v>
      </c>
      <c r="I349" s="3" t="s">
        <v>2057</v>
      </c>
      <c r="J349" s="3" t="s">
        <v>65</v>
      </c>
      <c r="K349" s="18" t="s">
        <v>2058</v>
      </c>
      <c r="L349" s="3" t="s">
        <v>706</v>
      </c>
    </row>
    <row r="350">
      <c r="A350" s="12">
        <v>46199.75506056713</v>
      </c>
      <c r="B350" s="3" t="s">
        <v>214</v>
      </c>
      <c r="C350" s="3" t="s">
        <v>215</v>
      </c>
      <c r="D350" s="18" t="s">
        <v>2059</v>
      </c>
      <c r="E350" s="3" t="s">
        <v>2060</v>
      </c>
      <c r="F350" s="3" t="s">
        <v>62</v>
      </c>
      <c r="G350" s="3" t="s">
        <v>2061</v>
      </c>
      <c r="H350" s="3" t="s">
        <v>64</v>
      </c>
      <c r="I350" s="3" t="s">
        <v>2062</v>
      </c>
      <c r="J350" s="3" t="s">
        <v>65</v>
      </c>
      <c r="L350" s="3" t="s">
        <v>222</v>
      </c>
    </row>
    <row r="351">
      <c r="A351" s="12">
        <v>46200.46474092593</v>
      </c>
      <c r="B351" s="3" t="s">
        <v>214</v>
      </c>
      <c r="C351" s="3" t="s">
        <v>215</v>
      </c>
      <c r="D351" s="18" t="s">
        <v>2063</v>
      </c>
      <c r="E351" s="3" t="s">
        <v>2064</v>
      </c>
      <c r="F351" s="3" t="s">
        <v>62</v>
      </c>
      <c r="G351" s="3" t="s">
        <v>2065</v>
      </c>
      <c r="H351" s="3" t="s">
        <v>64</v>
      </c>
      <c r="I351" s="3" t="s">
        <v>136</v>
      </c>
      <c r="J351" s="3" t="s">
        <v>65</v>
      </c>
      <c r="K351" s="18" t="s">
        <v>2066</v>
      </c>
      <c r="L351" s="3" t="s">
        <v>222</v>
      </c>
    </row>
    <row r="352">
      <c r="A352" s="12">
        <v>46200.48067682871</v>
      </c>
      <c r="B352" s="3" t="s">
        <v>2067</v>
      </c>
      <c r="C352" s="3" t="s">
        <v>2068</v>
      </c>
      <c r="D352" s="18" t="s">
        <v>2069</v>
      </c>
      <c r="E352" s="3" t="s">
        <v>2070</v>
      </c>
      <c r="F352" s="3" t="s">
        <v>62</v>
      </c>
      <c r="G352" s="3" t="s">
        <v>2071</v>
      </c>
      <c r="H352" s="3" t="s">
        <v>64</v>
      </c>
      <c r="I352" s="3" t="s">
        <v>2072</v>
      </c>
      <c r="J352" s="3" t="s">
        <v>65</v>
      </c>
      <c r="K352" s="18" t="s">
        <v>2073</v>
      </c>
      <c r="L352" s="3" t="s">
        <v>2074</v>
      </c>
    </row>
    <row r="353">
      <c r="A353" s="12">
        <v>46200.67503907408</v>
      </c>
      <c r="B353" s="3" t="s">
        <v>662</v>
      </c>
      <c r="C353" s="3" t="s">
        <v>1587</v>
      </c>
      <c r="D353" s="18" t="s">
        <v>2075</v>
      </c>
      <c r="E353" s="3" t="s">
        <v>674</v>
      </c>
      <c r="F353" s="3" t="s">
        <v>62</v>
      </c>
      <c r="G353" s="3" t="s">
        <v>2076</v>
      </c>
      <c r="H353" s="3" t="s">
        <v>64</v>
      </c>
      <c r="I353" s="3" t="s">
        <v>1484</v>
      </c>
      <c r="J353" s="3" t="s">
        <v>65</v>
      </c>
      <c r="L353" s="3" t="s">
        <v>646</v>
      </c>
    </row>
    <row r="354">
      <c r="A354" s="12">
        <v>46202.48759142361</v>
      </c>
      <c r="B354" s="3" t="s">
        <v>1211</v>
      </c>
      <c r="C354" s="3" t="s">
        <v>1212</v>
      </c>
      <c r="D354" s="18" t="s">
        <v>2077</v>
      </c>
      <c r="E354" s="3" t="s">
        <v>1886</v>
      </c>
      <c r="F354" s="3" t="s">
        <v>138</v>
      </c>
      <c r="G354" s="3" t="s">
        <v>391</v>
      </c>
      <c r="H354" s="3" t="s">
        <v>64</v>
      </c>
      <c r="I354" s="3" t="s">
        <v>1486</v>
      </c>
      <c r="J354" s="3" t="s">
        <v>65</v>
      </c>
      <c r="L354" s="3" t="s">
        <v>1217</v>
      </c>
    </row>
    <row r="355">
      <c r="A355" s="12">
        <v>46202.663656805555</v>
      </c>
      <c r="B355" s="3" t="s">
        <v>303</v>
      </c>
      <c r="C355" s="3" t="s">
        <v>186</v>
      </c>
      <c r="D355" s="18" t="s">
        <v>2078</v>
      </c>
      <c r="E355" s="3" t="s">
        <v>2079</v>
      </c>
      <c r="F355" s="3" t="s">
        <v>147</v>
      </c>
      <c r="G355" s="3" t="s">
        <v>2080</v>
      </c>
      <c r="H355" s="3" t="s">
        <v>64</v>
      </c>
      <c r="I355" s="3" t="s">
        <v>1490</v>
      </c>
      <c r="J355" s="3" t="s">
        <v>65</v>
      </c>
      <c r="L355" s="3" t="s">
        <v>197</v>
      </c>
    </row>
    <row r="356">
      <c r="A356" s="12">
        <v>46203.48917515046</v>
      </c>
      <c r="B356" s="3" t="s">
        <v>1211</v>
      </c>
      <c r="C356" s="3" t="s">
        <v>1212</v>
      </c>
      <c r="D356" s="18" t="s">
        <v>2081</v>
      </c>
      <c r="E356" s="3" t="s">
        <v>1886</v>
      </c>
      <c r="F356" s="3" t="s">
        <v>138</v>
      </c>
      <c r="G356" s="3" t="s">
        <v>391</v>
      </c>
      <c r="H356" s="3" t="s">
        <v>64</v>
      </c>
      <c r="I356" s="3" t="s">
        <v>1493</v>
      </c>
      <c r="J356" s="3" t="s">
        <v>65</v>
      </c>
      <c r="K356" s="18" t="s">
        <v>2082</v>
      </c>
      <c r="L356" s="3" t="s">
        <v>1217</v>
      </c>
    </row>
    <row r="357">
      <c r="A357" s="12">
        <v>46203.50711685185</v>
      </c>
      <c r="B357" s="3" t="s">
        <v>1538</v>
      </c>
      <c r="C357" s="3" t="s">
        <v>1539</v>
      </c>
      <c r="D357" s="18" t="s">
        <v>2083</v>
      </c>
      <c r="E357" s="3" t="s">
        <v>2084</v>
      </c>
      <c r="F357" s="3" t="s">
        <v>62</v>
      </c>
      <c r="G357" s="3" t="s">
        <v>2085</v>
      </c>
      <c r="H357" s="3" t="s">
        <v>64</v>
      </c>
      <c r="I357" s="3" t="s">
        <v>2086</v>
      </c>
      <c r="J357" s="3" t="s">
        <v>65</v>
      </c>
      <c r="L357" s="3" t="s">
        <v>1545</v>
      </c>
    </row>
    <row r="358">
      <c r="A358" s="12">
        <v>46203.604984363425</v>
      </c>
      <c r="B358" s="3" t="s">
        <v>1648</v>
      </c>
      <c r="C358" s="3" t="s">
        <v>1767</v>
      </c>
      <c r="D358" s="18" t="s">
        <v>2087</v>
      </c>
      <c r="E358" s="3" t="s">
        <v>2088</v>
      </c>
      <c r="F358" s="3" t="s">
        <v>62</v>
      </c>
      <c r="G358" s="3" t="s">
        <v>2089</v>
      </c>
      <c r="H358" s="3" t="s">
        <v>64</v>
      </c>
      <c r="I358" s="3" t="s">
        <v>1501</v>
      </c>
      <c r="J358" s="3" t="s">
        <v>65</v>
      </c>
      <c r="L358" s="3" t="s">
        <v>1586</v>
      </c>
    </row>
    <row r="359">
      <c r="A359" s="12">
        <v>46203.64639633102</v>
      </c>
      <c r="B359" s="3" t="s">
        <v>303</v>
      </c>
      <c r="C359" s="3" t="s">
        <v>186</v>
      </c>
      <c r="D359" s="18" t="s">
        <v>2090</v>
      </c>
      <c r="E359" s="3" t="s">
        <v>2091</v>
      </c>
      <c r="F359" s="3" t="s">
        <v>147</v>
      </c>
      <c r="G359" s="3" t="s">
        <v>2092</v>
      </c>
      <c r="H359" s="3" t="s">
        <v>64</v>
      </c>
      <c r="I359" s="3" t="s">
        <v>1504</v>
      </c>
      <c r="J359" s="3" t="s">
        <v>65</v>
      </c>
      <c r="L359" s="3" t="s">
        <v>197</v>
      </c>
    </row>
    <row r="360">
      <c r="A360" s="12">
        <v>46203.6843147801</v>
      </c>
      <c r="B360" s="3" t="s">
        <v>2093</v>
      </c>
      <c r="C360" s="3" t="s">
        <v>2094</v>
      </c>
      <c r="D360" s="18" t="s">
        <v>2095</v>
      </c>
      <c r="E360" s="3" t="s">
        <v>2096</v>
      </c>
      <c r="F360" s="3" t="s">
        <v>126</v>
      </c>
      <c r="G360" s="3" t="s">
        <v>1630</v>
      </c>
      <c r="H360" s="3" t="s">
        <v>324</v>
      </c>
      <c r="I360" s="3" t="s">
        <v>1506</v>
      </c>
      <c r="J360" s="3" t="s">
        <v>65</v>
      </c>
      <c r="L360" s="3" t="s">
        <v>2097</v>
      </c>
    </row>
    <row r="361">
      <c r="A361" s="12">
        <v>46203.853371840276</v>
      </c>
      <c r="B361" s="3" t="s">
        <v>254</v>
      </c>
      <c r="C361" s="3" t="s">
        <v>255</v>
      </c>
      <c r="D361" s="18" t="s">
        <v>2098</v>
      </c>
      <c r="E361" s="3" t="s">
        <v>330</v>
      </c>
      <c r="F361" s="3" t="s">
        <v>103</v>
      </c>
      <c r="G361" s="3" t="s">
        <v>261</v>
      </c>
      <c r="H361" s="3" t="s">
        <v>64</v>
      </c>
      <c r="I361" s="3">
        <v>2577.0</v>
      </c>
      <c r="J361" s="3" t="s">
        <v>65</v>
      </c>
      <c r="L361" s="3" t="s">
        <v>262</v>
      </c>
    </row>
    <row r="362">
      <c r="A362" s="12">
        <v>46204.6323058912</v>
      </c>
      <c r="B362" s="3" t="s">
        <v>2099</v>
      </c>
      <c r="C362" s="3" t="s">
        <v>2100</v>
      </c>
      <c r="D362" s="18" t="s">
        <v>2101</v>
      </c>
      <c r="E362" s="3" t="s">
        <v>2102</v>
      </c>
      <c r="F362" s="3" t="s">
        <v>62</v>
      </c>
      <c r="G362" s="3" t="s">
        <v>2102</v>
      </c>
      <c r="H362" s="3" t="s">
        <v>64</v>
      </c>
      <c r="I362" s="3" t="s">
        <v>1514</v>
      </c>
      <c r="J362" s="3" t="s">
        <v>65</v>
      </c>
      <c r="L362" s="3" t="s">
        <v>2103</v>
      </c>
    </row>
    <row r="363">
      <c r="A363" s="12">
        <v>46204.633618437496</v>
      </c>
      <c r="B363" s="3" t="s">
        <v>2104</v>
      </c>
      <c r="C363" s="3" t="s">
        <v>2105</v>
      </c>
      <c r="D363" s="18" t="s">
        <v>2106</v>
      </c>
      <c r="E363" s="3" t="s">
        <v>2107</v>
      </c>
      <c r="F363" s="3" t="s">
        <v>62</v>
      </c>
      <c r="G363" s="3" t="s">
        <v>2108</v>
      </c>
      <c r="H363" s="3" t="s">
        <v>64</v>
      </c>
      <c r="I363" s="3" t="s">
        <v>1514</v>
      </c>
      <c r="J363" s="3" t="s">
        <v>65</v>
      </c>
      <c r="L363" s="3" t="s">
        <v>2103</v>
      </c>
    </row>
    <row r="364">
      <c r="A364" s="12">
        <v>46204.63466449074</v>
      </c>
      <c r="B364" s="3" t="s">
        <v>2104</v>
      </c>
      <c r="C364" s="3" t="s">
        <v>2105</v>
      </c>
      <c r="D364" s="18" t="s">
        <v>2109</v>
      </c>
      <c r="E364" s="3" t="s">
        <v>2110</v>
      </c>
      <c r="F364" s="3" t="s">
        <v>62</v>
      </c>
      <c r="G364" s="3" t="s">
        <v>2110</v>
      </c>
      <c r="H364" s="3" t="s">
        <v>64</v>
      </c>
      <c r="I364" s="3" t="s">
        <v>1514</v>
      </c>
      <c r="J364" s="3" t="s">
        <v>65</v>
      </c>
      <c r="L364" s="3" t="s">
        <v>2103</v>
      </c>
    </row>
    <row r="365">
      <c r="A365" s="12">
        <v>46204.63762158564</v>
      </c>
      <c r="B365" s="3" t="s">
        <v>1178</v>
      </c>
      <c r="C365" s="3" t="s">
        <v>303</v>
      </c>
      <c r="D365" s="18" t="s">
        <v>2111</v>
      </c>
      <c r="E365" s="3" t="s">
        <v>2112</v>
      </c>
      <c r="F365" s="3" t="s">
        <v>147</v>
      </c>
      <c r="G365" s="3" t="s">
        <v>2113</v>
      </c>
      <c r="H365" s="3" t="s">
        <v>64</v>
      </c>
      <c r="I365" s="3" t="s">
        <v>1524</v>
      </c>
      <c r="J365" s="3" t="s">
        <v>65</v>
      </c>
      <c r="L365" s="3" t="s">
        <v>197</v>
      </c>
    </row>
    <row r="366">
      <c r="A366" s="12">
        <v>46204.67398</v>
      </c>
      <c r="B366" s="3" t="s">
        <v>1253</v>
      </c>
      <c r="C366" s="3" t="s">
        <v>357</v>
      </c>
      <c r="D366" s="18" t="s">
        <v>2114</v>
      </c>
      <c r="E366" s="3" t="s">
        <v>2115</v>
      </c>
      <c r="F366" s="3" t="s">
        <v>138</v>
      </c>
      <c r="G366" s="3" t="s">
        <v>492</v>
      </c>
      <c r="H366" s="3" t="s">
        <v>237</v>
      </c>
      <c r="I366" s="3" t="s">
        <v>1526</v>
      </c>
      <c r="J366" s="3" t="s">
        <v>65</v>
      </c>
      <c r="L366" s="3" t="s">
        <v>493</v>
      </c>
    </row>
    <row r="367">
      <c r="A367" s="12">
        <v>46205.751632141204</v>
      </c>
      <c r="B367" s="3" t="s">
        <v>67</v>
      </c>
      <c r="C367" s="3" t="s">
        <v>142</v>
      </c>
      <c r="D367" s="18" t="s">
        <v>2116</v>
      </c>
      <c r="E367" s="3" t="s">
        <v>2117</v>
      </c>
      <c r="F367" s="3" t="s">
        <v>62</v>
      </c>
      <c r="G367" s="3" t="s">
        <v>2118</v>
      </c>
      <c r="H367" s="3" t="s">
        <v>64</v>
      </c>
      <c r="I367" s="3" t="s">
        <v>1529</v>
      </c>
      <c r="J367" s="3" t="s">
        <v>65</v>
      </c>
      <c r="L367" s="3" t="s">
        <v>2103</v>
      </c>
    </row>
    <row r="368">
      <c r="A368" s="12">
        <v>46206.469315625</v>
      </c>
      <c r="B368" s="3" t="s">
        <v>198</v>
      </c>
      <c r="C368" s="3" t="s">
        <v>122</v>
      </c>
      <c r="D368" s="18" t="s">
        <v>2119</v>
      </c>
      <c r="E368" s="3" t="s">
        <v>1532</v>
      </c>
      <c r="F368" s="3" t="s">
        <v>126</v>
      </c>
      <c r="G368" s="3" t="s">
        <v>1532</v>
      </c>
      <c r="H368" s="3" t="s">
        <v>64</v>
      </c>
      <c r="I368" s="3" t="s">
        <v>1532</v>
      </c>
      <c r="J368" s="3" t="s">
        <v>65</v>
      </c>
      <c r="L368" s="3" t="s">
        <v>104</v>
      </c>
    </row>
    <row r="369">
      <c r="A369" s="12">
        <v>46206.470933668985</v>
      </c>
      <c r="B369" s="3" t="s">
        <v>198</v>
      </c>
      <c r="C369" s="3" t="s">
        <v>122</v>
      </c>
      <c r="D369" s="18" t="s">
        <v>2120</v>
      </c>
      <c r="E369" s="3" t="s">
        <v>2121</v>
      </c>
      <c r="F369" s="3" t="s">
        <v>126</v>
      </c>
      <c r="G369" s="3" t="s">
        <v>2122</v>
      </c>
      <c r="H369" s="3" t="s">
        <v>64</v>
      </c>
      <c r="I369" s="3" t="s">
        <v>1535</v>
      </c>
      <c r="J369" s="3" t="s">
        <v>65</v>
      </c>
      <c r="L369" s="3" t="s">
        <v>104</v>
      </c>
    </row>
    <row r="370">
      <c r="A370" s="12">
        <v>46206.49145443287</v>
      </c>
      <c r="B370" s="3" t="s">
        <v>198</v>
      </c>
      <c r="C370" s="3" t="s">
        <v>122</v>
      </c>
      <c r="D370" s="18" t="s">
        <v>2123</v>
      </c>
      <c r="E370" s="3" t="s">
        <v>2124</v>
      </c>
      <c r="F370" s="3" t="s">
        <v>103</v>
      </c>
      <c r="G370" s="3" t="s">
        <v>2125</v>
      </c>
      <c r="H370" s="3" t="s">
        <v>64</v>
      </c>
      <c r="I370" s="3" t="s">
        <v>1542</v>
      </c>
      <c r="J370" s="3" t="s">
        <v>65</v>
      </c>
      <c r="L370" s="3" t="s">
        <v>104</v>
      </c>
    </row>
    <row r="371">
      <c r="A371" s="12">
        <v>46206.55083146991</v>
      </c>
      <c r="B371" s="3" t="s">
        <v>303</v>
      </c>
      <c r="C371" s="3" t="s">
        <v>186</v>
      </c>
      <c r="D371" s="18" t="s">
        <v>2126</v>
      </c>
      <c r="E371" s="3" t="s">
        <v>2127</v>
      </c>
      <c r="F371" s="3" t="s">
        <v>147</v>
      </c>
      <c r="G371" s="3" t="s">
        <v>2128</v>
      </c>
      <c r="H371" s="3" t="s">
        <v>64</v>
      </c>
      <c r="I371" s="3" t="s">
        <v>882</v>
      </c>
      <c r="J371" s="3" t="s">
        <v>65</v>
      </c>
      <c r="L371" s="3" t="s">
        <v>197</v>
      </c>
    </row>
    <row r="372">
      <c r="A372" s="12">
        <v>46206.700600578704</v>
      </c>
      <c r="B372" s="3" t="s">
        <v>121</v>
      </c>
      <c r="C372" s="3" t="s">
        <v>122</v>
      </c>
      <c r="D372" s="18" t="s">
        <v>2129</v>
      </c>
      <c r="E372" s="3" t="s">
        <v>2130</v>
      </c>
      <c r="F372" s="3" t="s">
        <v>126</v>
      </c>
      <c r="G372" s="3" t="s">
        <v>175</v>
      </c>
      <c r="H372" s="3" t="s">
        <v>64</v>
      </c>
      <c r="I372" s="3" t="s">
        <v>2130</v>
      </c>
      <c r="J372" s="3" t="s">
        <v>65</v>
      </c>
      <c r="K372" s="18" t="s">
        <v>2131</v>
      </c>
      <c r="L372" s="3" t="s">
        <v>131</v>
      </c>
    </row>
    <row r="373">
      <c r="A373" s="12">
        <v>46206.75555693287</v>
      </c>
      <c r="B373" s="3" t="s">
        <v>67</v>
      </c>
      <c r="C373" s="3" t="s">
        <v>142</v>
      </c>
      <c r="D373" s="18" t="s">
        <v>2132</v>
      </c>
      <c r="E373" s="3" t="s">
        <v>2133</v>
      </c>
      <c r="F373" s="3" t="s">
        <v>147</v>
      </c>
      <c r="G373" s="3" t="s">
        <v>2134</v>
      </c>
      <c r="H373" s="3" t="s">
        <v>324</v>
      </c>
      <c r="I373" s="3" t="s">
        <v>1554</v>
      </c>
      <c r="J373" s="3" t="s">
        <v>65</v>
      </c>
      <c r="L373" s="3" t="s">
        <v>2103</v>
      </c>
    </row>
    <row r="374">
      <c r="A374" s="12">
        <v>46207.65345050926</v>
      </c>
      <c r="B374" s="3" t="s">
        <v>223</v>
      </c>
      <c r="C374" s="3" t="s">
        <v>225</v>
      </c>
      <c r="D374" s="18" t="s">
        <v>2135</v>
      </c>
      <c r="E374" s="3" t="s">
        <v>2136</v>
      </c>
      <c r="F374" s="3" t="s">
        <v>138</v>
      </c>
      <c r="G374" s="3" t="s">
        <v>2137</v>
      </c>
      <c r="H374" s="3" t="s">
        <v>64</v>
      </c>
      <c r="I374" s="3" t="s">
        <v>1558</v>
      </c>
      <c r="J374" s="3" t="s">
        <v>65</v>
      </c>
      <c r="L374" s="3" t="s">
        <v>228</v>
      </c>
    </row>
    <row r="375">
      <c r="A375" s="12">
        <v>46207.690647916665</v>
      </c>
      <c r="B375" s="3" t="s">
        <v>67</v>
      </c>
      <c r="C375" s="3" t="s">
        <v>2138</v>
      </c>
      <c r="D375" s="18" t="s">
        <v>2139</v>
      </c>
      <c r="E375" s="3" t="s">
        <v>2140</v>
      </c>
      <c r="F375" s="3" t="s">
        <v>62</v>
      </c>
      <c r="G375" s="3" t="s">
        <v>1130</v>
      </c>
      <c r="H375" s="3" t="s">
        <v>64</v>
      </c>
      <c r="I375" s="3" t="s">
        <v>1564</v>
      </c>
      <c r="J375" s="3" t="s">
        <v>65</v>
      </c>
      <c r="L375" s="3" t="s">
        <v>77</v>
      </c>
    </row>
    <row r="376">
      <c r="A376" s="12">
        <v>46209.445169108796</v>
      </c>
      <c r="B376" s="3" t="s">
        <v>303</v>
      </c>
      <c r="C376" s="3" t="s">
        <v>186</v>
      </c>
      <c r="D376" s="18" t="s">
        <v>2141</v>
      </c>
      <c r="E376" s="3" t="s">
        <v>2142</v>
      </c>
      <c r="F376" s="3" t="s">
        <v>147</v>
      </c>
      <c r="G376" s="3" t="s">
        <v>2143</v>
      </c>
      <c r="H376" s="3" t="s">
        <v>64</v>
      </c>
      <c r="I376" s="3" t="s">
        <v>754</v>
      </c>
      <c r="J376" s="3" t="s">
        <v>65</v>
      </c>
      <c r="L376" s="3" t="s">
        <v>197</v>
      </c>
    </row>
    <row r="377">
      <c r="A377" s="12">
        <v>46209.48612943287</v>
      </c>
      <c r="B377" s="3" t="s">
        <v>303</v>
      </c>
      <c r="C377" s="3" t="s">
        <v>186</v>
      </c>
      <c r="D377" s="18" t="s">
        <v>2144</v>
      </c>
      <c r="E377" s="3" t="s">
        <v>2145</v>
      </c>
      <c r="F377" s="3" t="s">
        <v>138</v>
      </c>
      <c r="G377" s="3" t="s">
        <v>2146</v>
      </c>
      <c r="H377" s="3" t="s">
        <v>64</v>
      </c>
      <c r="I377" s="3" t="s">
        <v>1504</v>
      </c>
      <c r="J377" s="3" t="s">
        <v>65</v>
      </c>
      <c r="L377" s="3" t="s">
        <v>197</v>
      </c>
    </row>
    <row r="378">
      <c r="A378" s="12">
        <v>46209.526501898144</v>
      </c>
      <c r="B378" s="3" t="s">
        <v>67</v>
      </c>
      <c r="C378" s="3" t="s">
        <v>2105</v>
      </c>
      <c r="D378" s="18" t="s">
        <v>2147</v>
      </c>
      <c r="E378" s="3" t="s">
        <v>1574</v>
      </c>
      <c r="F378" s="3" t="s">
        <v>62</v>
      </c>
      <c r="G378" s="3" t="s">
        <v>1574</v>
      </c>
      <c r="H378" s="3" t="s">
        <v>64</v>
      </c>
      <c r="I378" s="3" t="s">
        <v>1574</v>
      </c>
      <c r="J378" s="3" t="s">
        <v>65</v>
      </c>
      <c r="L378" s="3" t="s">
        <v>2103</v>
      </c>
    </row>
    <row r="379">
      <c r="A379" s="12">
        <v>46209.58618925926</v>
      </c>
      <c r="B379" s="3" t="s">
        <v>231</v>
      </c>
      <c r="C379" s="3" t="s">
        <v>2148</v>
      </c>
      <c r="D379" s="18" t="s">
        <v>2149</v>
      </c>
      <c r="E379" s="3" t="s">
        <v>2150</v>
      </c>
      <c r="F379" s="3" t="s">
        <v>62</v>
      </c>
      <c r="G379" s="3" t="s">
        <v>2151</v>
      </c>
      <c r="H379" s="3" t="s">
        <v>324</v>
      </c>
      <c r="I379" s="3" t="s">
        <v>1577</v>
      </c>
      <c r="J379" s="3" t="s">
        <v>65</v>
      </c>
      <c r="L379" s="3" t="s">
        <v>241</v>
      </c>
    </row>
    <row r="380">
      <c r="A380" s="12">
        <v>46209.666396643515</v>
      </c>
      <c r="B380" s="3" t="s">
        <v>67</v>
      </c>
      <c r="C380" s="3" t="s">
        <v>142</v>
      </c>
      <c r="D380" s="18" t="s">
        <v>2152</v>
      </c>
      <c r="E380" s="3" t="s">
        <v>2153</v>
      </c>
      <c r="F380" s="3" t="s">
        <v>62</v>
      </c>
      <c r="G380" s="3" t="s">
        <v>2153</v>
      </c>
      <c r="H380" s="3" t="s">
        <v>64</v>
      </c>
      <c r="I380" s="3" t="s">
        <v>1583</v>
      </c>
      <c r="J380" s="3" t="s">
        <v>65</v>
      </c>
      <c r="L380" s="3" t="s">
        <v>2103</v>
      </c>
    </row>
    <row r="381">
      <c r="A381" s="12">
        <v>46209.7007680324</v>
      </c>
      <c r="B381" s="3" t="s">
        <v>303</v>
      </c>
      <c r="C381" s="3" t="s">
        <v>186</v>
      </c>
      <c r="D381" s="18" t="s">
        <v>2154</v>
      </c>
      <c r="E381" s="3" t="s">
        <v>2155</v>
      </c>
      <c r="F381" s="3" t="s">
        <v>126</v>
      </c>
      <c r="G381" s="3" t="s">
        <v>2156</v>
      </c>
      <c r="H381" s="3" t="s">
        <v>64</v>
      </c>
      <c r="I381" s="3" t="s">
        <v>2157</v>
      </c>
      <c r="J381" s="3" t="s">
        <v>65</v>
      </c>
      <c r="L381" s="3" t="s">
        <v>197</v>
      </c>
    </row>
    <row r="382">
      <c r="A382" s="12">
        <v>46210.5289300463</v>
      </c>
      <c r="B382" s="3" t="s">
        <v>1211</v>
      </c>
      <c r="C382" s="3" t="s">
        <v>1212</v>
      </c>
      <c r="D382" s="18" t="s">
        <v>2158</v>
      </c>
      <c r="E382" s="3" t="s">
        <v>2159</v>
      </c>
      <c r="F382" s="3" t="s">
        <v>138</v>
      </c>
      <c r="G382" s="3" t="s">
        <v>2160</v>
      </c>
      <c r="H382" s="3" t="s">
        <v>64</v>
      </c>
      <c r="I382" s="3" t="s">
        <v>1594</v>
      </c>
      <c r="J382" s="3" t="s">
        <v>65</v>
      </c>
      <c r="K382" s="18" t="s">
        <v>2161</v>
      </c>
      <c r="L382" s="3" t="s">
        <v>1217</v>
      </c>
    </row>
    <row r="383">
      <c r="A383" s="12">
        <v>46211.4822802662</v>
      </c>
      <c r="B383" s="3" t="s">
        <v>206</v>
      </c>
      <c r="C383" s="3" t="s">
        <v>207</v>
      </c>
      <c r="D383" s="18" t="s">
        <v>2162</v>
      </c>
      <c r="E383" s="3" t="s">
        <v>354</v>
      </c>
      <c r="F383" s="3" t="s">
        <v>62</v>
      </c>
      <c r="G383" s="3" t="s">
        <v>2163</v>
      </c>
      <c r="H383" s="3" t="s">
        <v>64</v>
      </c>
      <c r="I383" s="3" t="s">
        <v>284</v>
      </c>
      <c r="J383" s="3" t="s">
        <v>65</v>
      </c>
      <c r="L383" s="3" t="s">
        <v>213</v>
      </c>
    </row>
    <row r="384">
      <c r="A384" s="12">
        <v>46211.55595047453</v>
      </c>
      <c r="B384" s="3" t="s">
        <v>356</v>
      </c>
      <c r="C384" s="3" t="s">
        <v>357</v>
      </c>
      <c r="D384" s="18" t="s">
        <v>2164</v>
      </c>
      <c r="E384" s="3" t="s">
        <v>2165</v>
      </c>
      <c r="F384" s="3" t="s">
        <v>62</v>
      </c>
      <c r="G384" s="3" t="s">
        <v>2166</v>
      </c>
      <c r="H384" s="3" t="s">
        <v>64</v>
      </c>
      <c r="I384" s="3" t="s">
        <v>1600</v>
      </c>
      <c r="J384" s="3" t="s">
        <v>65</v>
      </c>
      <c r="K384" s="18" t="s">
        <v>2167</v>
      </c>
      <c r="L384" s="3" t="s">
        <v>362</v>
      </c>
    </row>
    <row r="385">
      <c r="A385" s="12">
        <v>46211.595197048606</v>
      </c>
      <c r="B385" s="3" t="s">
        <v>1269</v>
      </c>
      <c r="C385" s="3" t="s">
        <v>982</v>
      </c>
      <c r="D385" s="18" t="s">
        <v>2168</v>
      </c>
      <c r="E385" s="3" t="s">
        <v>1291</v>
      </c>
      <c r="F385" s="3" t="s">
        <v>62</v>
      </c>
      <c r="G385" s="3" t="s">
        <v>2169</v>
      </c>
      <c r="H385" s="3" t="s">
        <v>324</v>
      </c>
      <c r="I385" s="3" t="s">
        <v>1604</v>
      </c>
      <c r="J385" s="3" t="s">
        <v>65</v>
      </c>
      <c r="K385" s="18" t="s">
        <v>2170</v>
      </c>
      <c r="L385" s="3" t="s">
        <v>706</v>
      </c>
    </row>
    <row r="386">
      <c r="A386" s="12">
        <v>46211.726355300925</v>
      </c>
      <c r="B386" s="3" t="s">
        <v>132</v>
      </c>
      <c r="C386" s="3" t="s">
        <v>133</v>
      </c>
      <c r="D386" s="18" t="s">
        <v>2171</v>
      </c>
      <c r="E386" s="3" t="s">
        <v>2172</v>
      </c>
      <c r="F386" s="3" t="s">
        <v>138</v>
      </c>
      <c r="G386" s="3" t="s">
        <v>2173</v>
      </c>
      <c r="H386" s="3" t="s">
        <v>237</v>
      </c>
      <c r="I386" s="3" t="s">
        <v>1609</v>
      </c>
      <c r="J386" s="3" t="s">
        <v>65</v>
      </c>
      <c r="L386" s="3" t="s">
        <v>140</v>
      </c>
    </row>
    <row r="387">
      <c r="A387" s="12">
        <v>46211.73540319444</v>
      </c>
      <c r="B387" s="3" t="s">
        <v>2023</v>
      </c>
      <c r="C387" s="3" t="s">
        <v>2024</v>
      </c>
      <c r="D387" s="18" t="s">
        <v>2174</v>
      </c>
      <c r="E387" s="3" t="s">
        <v>390</v>
      </c>
      <c r="F387" s="3" t="s">
        <v>138</v>
      </c>
      <c r="G387" s="3" t="s">
        <v>2175</v>
      </c>
      <c r="H387" s="3" t="s">
        <v>237</v>
      </c>
      <c r="I387" s="3" t="s">
        <v>1612</v>
      </c>
      <c r="J387" s="3" t="s">
        <v>65</v>
      </c>
      <c r="L387" s="3" t="s">
        <v>140</v>
      </c>
    </row>
    <row r="388">
      <c r="A388" s="12">
        <v>46211.737176689814</v>
      </c>
      <c r="B388" s="3" t="s">
        <v>2024</v>
      </c>
      <c r="C388" s="3" t="s">
        <v>2023</v>
      </c>
      <c r="D388" s="18" t="s">
        <v>2176</v>
      </c>
      <c r="E388" s="3" t="s">
        <v>2177</v>
      </c>
      <c r="F388" s="3" t="s">
        <v>138</v>
      </c>
      <c r="G388" s="3" t="s">
        <v>2178</v>
      </c>
      <c r="H388" s="3" t="s">
        <v>237</v>
      </c>
      <c r="I388" s="3" t="s">
        <v>1616</v>
      </c>
      <c r="J388" s="3" t="s">
        <v>65</v>
      </c>
      <c r="L388" s="3" t="s">
        <v>140</v>
      </c>
    </row>
    <row r="389">
      <c r="A389" s="12">
        <v>46211.73860408565</v>
      </c>
      <c r="B389" s="3" t="s">
        <v>2023</v>
      </c>
      <c r="C389" s="3" t="s">
        <v>2024</v>
      </c>
      <c r="D389" s="18" t="s">
        <v>2179</v>
      </c>
      <c r="E389" s="3" t="s">
        <v>2177</v>
      </c>
      <c r="F389" s="3" t="s">
        <v>138</v>
      </c>
      <c r="G389" s="3" t="s">
        <v>2178</v>
      </c>
      <c r="H389" s="3" t="s">
        <v>237</v>
      </c>
      <c r="I389" s="3" t="s">
        <v>1444</v>
      </c>
      <c r="J389" s="3" t="s">
        <v>65</v>
      </c>
      <c r="L389" s="3" t="s">
        <v>140</v>
      </c>
    </row>
    <row r="390">
      <c r="A390" s="12">
        <v>46212.43121219907</v>
      </c>
      <c r="B390" s="3" t="s">
        <v>67</v>
      </c>
      <c r="C390" s="3" t="s">
        <v>2105</v>
      </c>
      <c r="D390" s="18" t="s">
        <v>2180</v>
      </c>
      <c r="E390" s="3" t="s">
        <v>1622</v>
      </c>
      <c r="F390" s="3" t="s">
        <v>62</v>
      </c>
      <c r="G390" s="3" t="s">
        <v>1622</v>
      </c>
      <c r="H390" s="3" t="s">
        <v>64</v>
      </c>
      <c r="I390" s="3" t="s">
        <v>1622</v>
      </c>
      <c r="J390" s="3" t="s">
        <v>65</v>
      </c>
      <c r="L390" s="3" t="s">
        <v>2103</v>
      </c>
    </row>
    <row r="391">
      <c r="A391" s="12">
        <v>46212.434153888884</v>
      </c>
      <c r="B391" s="3" t="s">
        <v>67</v>
      </c>
      <c r="C391" s="3" t="s">
        <v>142</v>
      </c>
      <c r="D391" s="18" t="s">
        <v>2181</v>
      </c>
      <c r="E391" s="3" t="s">
        <v>1626</v>
      </c>
      <c r="F391" s="3" t="s">
        <v>62</v>
      </c>
      <c r="G391" s="3" t="s">
        <v>1626</v>
      </c>
      <c r="H391" s="3" t="s">
        <v>64</v>
      </c>
      <c r="I391" s="3" t="s">
        <v>1626</v>
      </c>
      <c r="J391" s="3" t="s">
        <v>65</v>
      </c>
      <c r="L391" s="3" t="s">
        <v>2103</v>
      </c>
    </row>
    <row r="392">
      <c r="A392" s="12">
        <v>46212.44502212963</v>
      </c>
      <c r="B392" s="3" t="s">
        <v>303</v>
      </c>
      <c r="C392" s="3" t="s">
        <v>186</v>
      </c>
      <c r="D392" s="18" t="s">
        <v>2182</v>
      </c>
      <c r="E392" s="3" t="s">
        <v>2183</v>
      </c>
      <c r="F392" s="3" t="s">
        <v>147</v>
      </c>
      <c r="G392" s="3" t="s">
        <v>2184</v>
      </c>
      <c r="H392" s="3" t="s">
        <v>64</v>
      </c>
      <c r="I392" s="3" t="s">
        <v>1630</v>
      </c>
      <c r="J392" s="3" t="s">
        <v>65</v>
      </c>
      <c r="L392" s="3" t="s">
        <v>197</v>
      </c>
    </row>
    <row r="393">
      <c r="A393" s="12">
        <v>46213.54063747685</v>
      </c>
      <c r="B393" s="3" t="s">
        <v>185</v>
      </c>
      <c r="C393" s="3" t="s">
        <v>186</v>
      </c>
      <c r="D393" s="18" t="s">
        <v>2185</v>
      </c>
      <c r="E393" s="3" t="s">
        <v>2186</v>
      </c>
      <c r="F393" s="3" t="s">
        <v>138</v>
      </c>
      <c r="G393" s="3" t="s">
        <v>2187</v>
      </c>
      <c r="H393" s="3" t="s">
        <v>64</v>
      </c>
      <c r="I393" s="3" t="s">
        <v>1634</v>
      </c>
      <c r="J393" s="3" t="s">
        <v>65</v>
      </c>
      <c r="L393" s="3" t="s">
        <v>197</v>
      </c>
    </row>
    <row r="394">
      <c r="A394" s="12">
        <v>46213.57230541667</v>
      </c>
      <c r="B394" s="3" t="s">
        <v>768</v>
      </c>
      <c r="C394" s="3" t="s">
        <v>769</v>
      </c>
      <c r="D394" s="18" t="s">
        <v>2188</v>
      </c>
      <c r="E394" s="3" t="s">
        <v>2189</v>
      </c>
      <c r="F394" s="3" t="s">
        <v>62</v>
      </c>
      <c r="G394" s="3" t="s">
        <v>518</v>
      </c>
      <c r="H394" s="3" t="s">
        <v>64</v>
      </c>
      <c r="I394" s="3" t="s">
        <v>410</v>
      </c>
      <c r="J394" s="3" t="s">
        <v>65</v>
      </c>
      <c r="L394" s="3" t="s">
        <v>520</v>
      </c>
    </row>
    <row r="395">
      <c r="A395" s="12">
        <v>46213.644564953705</v>
      </c>
      <c r="B395" s="3" t="s">
        <v>513</v>
      </c>
      <c r="C395" s="3" t="s">
        <v>255</v>
      </c>
      <c r="D395" s="18" t="s">
        <v>2190</v>
      </c>
      <c r="E395" s="3" t="s">
        <v>1149</v>
      </c>
      <c r="F395" s="3" t="s">
        <v>62</v>
      </c>
      <c r="G395" s="3" t="s">
        <v>518</v>
      </c>
      <c r="H395" s="3" t="s">
        <v>64</v>
      </c>
      <c r="I395" s="3" t="s">
        <v>407</v>
      </c>
      <c r="J395" s="3" t="s">
        <v>65</v>
      </c>
      <c r="L395" s="3" t="s">
        <v>520</v>
      </c>
    </row>
    <row r="396">
      <c r="A396" s="12">
        <v>46214.493354502316</v>
      </c>
      <c r="B396" s="3" t="s">
        <v>67</v>
      </c>
      <c r="C396" s="3" t="s">
        <v>142</v>
      </c>
      <c r="D396" s="18" t="s">
        <v>2191</v>
      </c>
      <c r="E396" s="3" t="s">
        <v>1643</v>
      </c>
      <c r="F396" s="3" t="s">
        <v>62</v>
      </c>
      <c r="G396" s="3" t="s">
        <v>1643</v>
      </c>
      <c r="H396" s="3" t="s">
        <v>64</v>
      </c>
      <c r="I396" s="3" t="s">
        <v>1643</v>
      </c>
      <c r="J396" s="3" t="s">
        <v>65</v>
      </c>
      <c r="L396" s="3" t="s">
        <v>2103</v>
      </c>
    </row>
    <row r="397">
      <c r="A397" s="12">
        <v>46214.51176149306</v>
      </c>
      <c r="B397" s="3" t="s">
        <v>1349</v>
      </c>
      <c r="C397" s="3" t="s">
        <v>215</v>
      </c>
      <c r="D397" s="18" t="s">
        <v>2192</v>
      </c>
      <c r="E397" s="3" t="s">
        <v>2193</v>
      </c>
      <c r="F397" s="3" t="s">
        <v>62</v>
      </c>
      <c r="G397" s="3" t="s">
        <v>2194</v>
      </c>
      <c r="H397" s="3" t="s">
        <v>64</v>
      </c>
      <c r="I397" s="3" t="s">
        <v>1647</v>
      </c>
      <c r="J397" s="3" t="s">
        <v>65</v>
      </c>
      <c r="L397" s="3" t="s">
        <v>1355</v>
      </c>
    </row>
    <row r="398">
      <c r="A398" s="12">
        <v>46214.67458377314</v>
      </c>
      <c r="B398" s="3" t="s">
        <v>1269</v>
      </c>
      <c r="C398" s="3" t="s">
        <v>982</v>
      </c>
      <c r="D398" s="18" t="s">
        <v>2195</v>
      </c>
      <c r="E398" s="3" t="s">
        <v>1291</v>
      </c>
      <c r="F398" s="3" t="s">
        <v>62</v>
      </c>
      <c r="G398" s="3" t="s">
        <v>2196</v>
      </c>
      <c r="H398" s="3" t="s">
        <v>324</v>
      </c>
      <c r="I398" s="3" t="s">
        <v>986</v>
      </c>
      <c r="J398" s="3" t="s">
        <v>65</v>
      </c>
      <c r="K398" s="18" t="s">
        <v>2197</v>
      </c>
      <c r="L398" s="3" t="s">
        <v>706</v>
      </c>
    </row>
    <row r="399">
      <c r="A399" s="12">
        <v>46216.484562997684</v>
      </c>
      <c r="B399" s="3" t="s">
        <v>1579</v>
      </c>
      <c r="C399" s="3" t="s">
        <v>1580</v>
      </c>
      <c r="D399" s="18" t="s">
        <v>2198</v>
      </c>
      <c r="E399" s="3" t="s">
        <v>2199</v>
      </c>
      <c r="F399" s="3" t="s">
        <v>147</v>
      </c>
      <c r="G399" s="3" t="s">
        <v>2200</v>
      </c>
      <c r="H399" s="3" t="s">
        <v>64</v>
      </c>
      <c r="I399" s="3" t="s">
        <v>166</v>
      </c>
      <c r="J399" s="3" t="s">
        <v>65</v>
      </c>
      <c r="L399" s="3" t="s">
        <v>1586</v>
      </c>
    </row>
    <row r="400">
      <c r="A400" s="12">
        <v>46216.53972439815</v>
      </c>
      <c r="B400" s="3" t="s">
        <v>1194</v>
      </c>
      <c r="C400" s="3" t="s">
        <v>243</v>
      </c>
      <c r="D400" s="18" t="s">
        <v>2201</v>
      </c>
      <c r="E400" s="3" t="s">
        <v>2202</v>
      </c>
      <c r="F400" s="3" t="s">
        <v>62</v>
      </c>
      <c r="G400" s="3" t="s">
        <v>2203</v>
      </c>
      <c r="H400" s="3" t="s">
        <v>64</v>
      </c>
      <c r="I400" s="3" t="s">
        <v>1656</v>
      </c>
      <c r="J400" s="3" t="s">
        <v>65</v>
      </c>
      <c r="K400" s="18" t="s">
        <v>2204</v>
      </c>
      <c r="L400" s="3" t="s">
        <v>1200</v>
      </c>
    </row>
    <row r="401">
      <c r="A401" s="12">
        <v>46216.57568515046</v>
      </c>
      <c r="B401" s="3" t="s">
        <v>303</v>
      </c>
      <c r="C401" s="3" t="s">
        <v>186</v>
      </c>
      <c r="D401" s="18" t="s">
        <v>2205</v>
      </c>
      <c r="E401" s="3" t="s">
        <v>2206</v>
      </c>
      <c r="F401" s="3" t="s">
        <v>138</v>
      </c>
      <c r="G401" s="3" t="s">
        <v>2207</v>
      </c>
      <c r="H401" s="3" t="s">
        <v>64</v>
      </c>
      <c r="I401" s="3" t="s">
        <v>1660</v>
      </c>
      <c r="J401" s="3" t="s">
        <v>65</v>
      </c>
      <c r="L401" s="3" t="s">
        <v>197</v>
      </c>
    </row>
    <row r="402">
      <c r="A402" s="12">
        <v>46216.705133553245</v>
      </c>
      <c r="B402" s="3" t="s">
        <v>1253</v>
      </c>
      <c r="C402" s="3" t="s">
        <v>357</v>
      </c>
      <c r="D402" s="18" t="s">
        <v>2208</v>
      </c>
      <c r="E402" s="3" t="s">
        <v>2209</v>
      </c>
      <c r="F402" s="3" t="s">
        <v>62</v>
      </c>
      <c r="G402" s="3" t="s">
        <v>492</v>
      </c>
      <c r="H402" s="3" t="s">
        <v>64</v>
      </c>
      <c r="I402" s="3" t="s">
        <v>2210</v>
      </c>
      <c r="J402" s="3" t="s">
        <v>65</v>
      </c>
      <c r="L402" s="3" t="s">
        <v>493</v>
      </c>
    </row>
    <row r="403">
      <c r="A403" s="12">
        <v>46216.93268309028</v>
      </c>
      <c r="B403" s="3" t="s">
        <v>641</v>
      </c>
      <c r="C403" s="3">
        <v>2781.0</v>
      </c>
      <c r="D403" s="18" t="s">
        <v>2211</v>
      </c>
      <c r="E403" s="3" t="s">
        <v>551</v>
      </c>
      <c r="F403" s="3" t="s">
        <v>103</v>
      </c>
      <c r="G403" s="3" t="s">
        <v>2212</v>
      </c>
      <c r="H403" s="3" t="s">
        <v>64</v>
      </c>
      <c r="I403" s="3" t="s">
        <v>1666</v>
      </c>
      <c r="J403" s="3" t="s">
        <v>65</v>
      </c>
      <c r="L403" s="3" t="s">
        <v>262</v>
      </c>
    </row>
    <row r="404">
      <c r="A404" s="12">
        <v>46216.93837521991</v>
      </c>
      <c r="B404" s="3" t="s">
        <v>641</v>
      </c>
      <c r="C404" s="3" t="s">
        <v>255</v>
      </c>
      <c r="D404" s="18" t="s">
        <v>2213</v>
      </c>
      <c r="E404" s="3" t="s">
        <v>2214</v>
      </c>
      <c r="F404" s="3" t="s">
        <v>62</v>
      </c>
      <c r="G404" s="3" t="s">
        <v>2215</v>
      </c>
      <c r="H404" s="3" t="s">
        <v>64</v>
      </c>
      <c r="I404" s="3">
        <v>3443.0</v>
      </c>
      <c r="J404" s="3" t="s">
        <v>65</v>
      </c>
      <c r="L404" s="3" t="s">
        <v>262</v>
      </c>
    </row>
    <row r="405">
      <c r="A405" s="12">
        <v>46216.94032571759</v>
      </c>
      <c r="B405" s="3" t="s">
        <v>641</v>
      </c>
      <c r="C405" s="3" t="s">
        <v>255</v>
      </c>
      <c r="D405" s="18" t="s">
        <v>2216</v>
      </c>
      <c r="E405" s="3" t="s">
        <v>2217</v>
      </c>
      <c r="F405" s="3" t="s">
        <v>103</v>
      </c>
      <c r="G405" s="3" t="s">
        <v>2215</v>
      </c>
      <c r="H405" s="3" t="s">
        <v>64</v>
      </c>
      <c r="I405" s="3">
        <v>3386.0</v>
      </c>
      <c r="J405" s="3" t="s">
        <v>65</v>
      </c>
      <c r="L405" s="3" t="s">
        <v>262</v>
      </c>
    </row>
    <row r="406">
      <c r="A406" s="12">
        <v>46216.94332173611</v>
      </c>
      <c r="B406" s="3" t="s">
        <v>641</v>
      </c>
      <c r="C406" s="3" t="s">
        <v>255</v>
      </c>
      <c r="D406" s="18" t="s">
        <v>2218</v>
      </c>
      <c r="E406" s="3" t="s">
        <v>551</v>
      </c>
      <c r="F406" s="3" t="s">
        <v>138</v>
      </c>
      <c r="G406" s="3" t="s">
        <v>2215</v>
      </c>
      <c r="H406" s="3" t="s">
        <v>64</v>
      </c>
      <c r="I406" s="3">
        <v>3285.0</v>
      </c>
      <c r="J406" s="3" t="s">
        <v>65</v>
      </c>
      <c r="L406" s="3" t="s">
        <v>262</v>
      </c>
    </row>
    <row r="407">
      <c r="A407" s="12">
        <v>46216.94450377315</v>
      </c>
      <c r="B407" s="3" t="s">
        <v>641</v>
      </c>
      <c r="C407" s="3" t="s">
        <v>255</v>
      </c>
      <c r="D407" s="18" t="s">
        <v>2219</v>
      </c>
      <c r="E407" s="3" t="s">
        <v>551</v>
      </c>
      <c r="F407" s="3" t="s">
        <v>138</v>
      </c>
      <c r="G407" s="3" t="s">
        <v>2215</v>
      </c>
      <c r="H407" s="3" t="s">
        <v>64</v>
      </c>
      <c r="I407" s="3">
        <v>3285.0</v>
      </c>
      <c r="J407" s="3" t="s">
        <v>65</v>
      </c>
      <c r="L407" s="3" t="s">
        <v>262</v>
      </c>
    </row>
    <row r="408">
      <c r="A408" s="12">
        <v>46216.94594608796</v>
      </c>
      <c r="B408" s="3" t="s">
        <v>641</v>
      </c>
      <c r="C408" s="3" t="s">
        <v>255</v>
      </c>
      <c r="D408" s="18" t="s">
        <v>2220</v>
      </c>
      <c r="E408" s="3" t="s">
        <v>2221</v>
      </c>
      <c r="F408" s="3" t="s">
        <v>103</v>
      </c>
      <c r="G408" s="3" t="s">
        <v>2215</v>
      </c>
      <c r="H408" s="3" t="s">
        <v>64</v>
      </c>
      <c r="I408" s="3">
        <v>2577.0</v>
      </c>
      <c r="J408" s="3" t="s">
        <v>65</v>
      </c>
      <c r="L408" s="3" t="s">
        <v>262</v>
      </c>
    </row>
    <row r="409">
      <c r="A409" s="12">
        <v>46216.94893850695</v>
      </c>
      <c r="B409" s="3" t="s">
        <v>641</v>
      </c>
      <c r="C409" s="3" t="s">
        <v>255</v>
      </c>
      <c r="D409" s="18" t="s">
        <v>2222</v>
      </c>
      <c r="E409" s="3" t="s">
        <v>551</v>
      </c>
      <c r="F409" s="3" t="s">
        <v>103</v>
      </c>
      <c r="G409" s="3" t="s">
        <v>2215</v>
      </c>
      <c r="H409" s="3" t="s">
        <v>64</v>
      </c>
      <c r="I409" s="3">
        <v>2781.0</v>
      </c>
      <c r="J409" s="3" t="s">
        <v>65</v>
      </c>
      <c r="L409" s="3" t="s">
        <v>262</v>
      </c>
    </row>
    <row r="410">
      <c r="A410" s="12">
        <v>46216.95057814815</v>
      </c>
      <c r="B410" s="3" t="s">
        <v>641</v>
      </c>
      <c r="C410" s="3" t="s">
        <v>255</v>
      </c>
      <c r="D410" s="18" t="s">
        <v>2223</v>
      </c>
      <c r="E410" s="3" t="s">
        <v>2221</v>
      </c>
      <c r="F410" s="3" t="s">
        <v>147</v>
      </c>
      <c r="G410" s="3" t="s">
        <v>2215</v>
      </c>
      <c r="H410" s="3" t="s">
        <v>64</v>
      </c>
      <c r="I410" s="3">
        <v>3361.0</v>
      </c>
      <c r="J410" s="3" t="s">
        <v>65</v>
      </c>
      <c r="L410" s="3" t="s">
        <v>262</v>
      </c>
    </row>
    <row r="411">
      <c r="A411" s="12">
        <v>46216.952517048616</v>
      </c>
      <c r="B411" s="3" t="s">
        <v>641</v>
      </c>
      <c r="C411" s="3" t="s">
        <v>255</v>
      </c>
      <c r="D411" s="18" t="s">
        <v>2224</v>
      </c>
      <c r="E411" s="3" t="s">
        <v>2221</v>
      </c>
      <c r="F411" s="3" t="s">
        <v>138</v>
      </c>
      <c r="G411" s="3" t="s">
        <v>2215</v>
      </c>
      <c r="H411" s="3" t="s">
        <v>64</v>
      </c>
      <c r="I411" s="117">
        <v>3.3083375E7</v>
      </c>
      <c r="J411" s="3" t="s">
        <v>65</v>
      </c>
      <c r="L411" s="3" t="s">
        <v>262</v>
      </c>
    </row>
    <row r="412">
      <c r="A412" s="12">
        <v>46216.95405111111</v>
      </c>
      <c r="B412" s="3" t="s">
        <v>641</v>
      </c>
      <c r="C412" s="3" t="s">
        <v>255</v>
      </c>
      <c r="D412" s="18" t="s">
        <v>2225</v>
      </c>
      <c r="E412" s="3" t="s">
        <v>2221</v>
      </c>
      <c r="F412" s="3" t="s">
        <v>103</v>
      </c>
      <c r="G412" s="3" t="s">
        <v>2215</v>
      </c>
      <c r="H412" s="3" t="s">
        <v>64</v>
      </c>
      <c r="I412" s="3">
        <v>2782.0</v>
      </c>
      <c r="J412" s="3" t="s">
        <v>65</v>
      </c>
      <c r="L412" s="3" t="s">
        <v>262</v>
      </c>
    </row>
    <row r="413">
      <c r="A413" s="12">
        <v>46217.55946069444</v>
      </c>
      <c r="B413" s="3" t="s">
        <v>662</v>
      </c>
      <c r="C413" s="3" t="s">
        <v>921</v>
      </c>
      <c r="D413" s="18" t="s">
        <v>2226</v>
      </c>
      <c r="E413" s="3" t="s">
        <v>674</v>
      </c>
      <c r="F413" s="3" t="s">
        <v>62</v>
      </c>
      <c r="G413" s="3" t="s">
        <v>2227</v>
      </c>
      <c r="H413" s="3" t="s">
        <v>64</v>
      </c>
      <c r="I413" s="3" t="s">
        <v>1699</v>
      </c>
      <c r="J413" s="3" t="s">
        <v>65</v>
      </c>
      <c r="L413" s="3" t="s">
        <v>646</v>
      </c>
    </row>
    <row r="414">
      <c r="A414" s="12">
        <v>46217.74988240741</v>
      </c>
      <c r="B414" s="3" t="s">
        <v>2067</v>
      </c>
      <c r="C414" s="3" t="s">
        <v>2228</v>
      </c>
      <c r="D414" s="18" t="s">
        <v>2229</v>
      </c>
      <c r="E414" s="3" t="s">
        <v>2193</v>
      </c>
      <c r="F414" s="3" t="s">
        <v>62</v>
      </c>
      <c r="G414" s="3" t="s">
        <v>2230</v>
      </c>
      <c r="H414" s="3" t="s">
        <v>64</v>
      </c>
      <c r="I414" s="3" t="s">
        <v>2231</v>
      </c>
      <c r="J414" s="3" t="s">
        <v>65</v>
      </c>
      <c r="K414" s="18" t="s">
        <v>2232</v>
      </c>
      <c r="L414" s="3" t="s">
        <v>2074</v>
      </c>
    </row>
    <row r="415">
      <c r="A415" s="12">
        <v>46218.495863460645</v>
      </c>
      <c r="B415" s="3" t="s">
        <v>1178</v>
      </c>
      <c r="C415" s="3" t="s">
        <v>186</v>
      </c>
      <c r="D415" s="18" t="s">
        <v>2233</v>
      </c>
      <c r="E415" s="3" t="s">
        <v>2234</v>
      </c>
      <c r="F415" s="3" t="s">
        <v>138</v>
      </c>
      <c r="G415" s="3" t="s">
        <v>2235</v>
      </c>
      <c r="H415" s="3" t="s">
        <v>64</v>
      </c>
      <c r="I415" s="3" t="s">
        <v>2236</v>
      </c>
      <c r="J415" s="3" t="s">
        <v>65</v>
      </c>
      <c r="L415" s="3" t="s">
        <v>197</v>
      </c>
    </row>
    <row r="416">
      <c r="A416" s="12">
        <v>46218.51386076389</v>
      </c>
      <c r="B416" s="3" t="s">
        <v>2067</v>
      </c>
      <c r="C416" s="3" t="s">
        <v>2237</v>
      </c>
      <c r="D416" s="18" t="s">
        <v>2238</v>
      </c>
      <c r="E416" s="3" t="s">
        <v>2239</v>
      </c>
      <c r="F416" s="3" t="s">
        <v>62</v>
      </c>
      <c r="G416" s="3" t="s">
        <v>2240</v>
      </c>
      <c r="H416" s="3" t="s">
        <v>64</v>
      </c>
      <c r="I416" s="3" t="s">
        <v>2241</v>
      </c>
      <c r="J416" s="3" t="s">
        <v>65</v>
      </c>
      <c r="L416" s="3" t="s">
        <v>2074</v>
      </c>
    </row>
    <row r="417">
      <c r="A417" s="12">
        <v>46218.57777695602</v>
      </c>
      <c r="B417" s="3" t="s">
        <v>198</v>
      </c>
      <c r="C417" s="3" t="s">
        <v>122</v>
      </c>
      <c r="D417" s="18" t="s">
        <v>2242</v>
      </c>
      <c r="E417" s="3" t="s">
        <v>2243</v>
      </c>
      <c r="F417" s="3" t="s">
        <v>126</v>
      </c>
      <c r="G417" s="3" t="s">
        <v>2244</v>
      </c>
      <c r="H417" s="3" t="s">
        <v>64</v>
      </c>
      <c r="I417" s="3" t="s">
        <v>1712</v>
      </c>
      <c r="J417" s="3" t="s">
        <v>65</v>
      </c>
      <c r="L417" s="3" t="s">
        <v>104</v>
      </c>
    </row>
    <row r="418">
      <c r="A418" s="12">
        <v>46218.59526587963</v>
      </c>
      <c r="B418" s="3" t="s">
        <v>206</v>
      </c>
      <c r="C418" s="3" t="s">
        <v>2245</v>
      </c>
      <c r="D418" s="18" t="s">
        <v>2246</v>
      </c>
      <c r="E418" s="3" t="s">
        <v>354</v>
      </c>
      <c r="F418" s="3" t="s">
        <v>126</v>
      </c>
      <c r="G418" s="3" t="s">
        <v>2247</v>
      </c>
      <c r="H418" s="3" t="s">
        <v>64</v>
      </c>
      <c r="I418" s="3" t="s">
        <v>1716</v>
      </c>
      <c r="J418" s="3" t="s">
        <v>65</v>
      </c>
      <c r="L418" s="3" t="s">
        <v>213</v>
      </c>
    </row>
    <row r="419">
      <c r="A419" s="12">
        <v>46218.648725879626</v>
      </c>
      <c r="B419" s="3" t="s">
        <v>206</v>
      </c>
      <c r="C419" s="3" t="s">
        <v>207</v>
      </c>
      <c r="D419" s="18" t="s">
        <v>2248</v>
      </c>
      <c r="E419" s="3" t="s">
        <v>354</v>
      </c>
      <c r="F419" s="3" t="s">
        <v>138</v>
      </c>
      <c r="G419" s="3" t="s">
        <v>2249</v>
      </c>
      <c r="H419" s="3" t="s">
        <v>64</v>
      </c>
      <c r="I419" s="3" t="s">
        <v>913</v>
      </c>
      <c r="J419" s="3" t="s">
        <v>65</v>
      </c>
      <c r="L419" s="3" t="s">
        <v>213</v>
      </c>
    </row>
    <row r="420">
      <c r="A420" s="12">
        <v>46218.672593055555</v>
      </c>
      <c r="B420" s="3" t="s">
        <v>1579</v>
      </c>
      <c r="C420" s="3" t="s">
        <v>1580</v>
      </c>
      <c r="D420" s="18" t="s">
        <v>2250</v>
      </c>
      <c r="E420" s="3" t="s">
        <v>166</v>
      </c>
      <c r="F420" s="3" t="s">
        <v>62</v>
      </c>
      <c r="G420" s="3" t="s">
        <v>2251</v>
      </c>
      <c r="H420" s="3" t="s">
        <v>64</v>
      </c>
      <c r="I420" s="3" t="s">
        <v>166</v>
      </c>
      <c r="J420" s="3" t="s">
        <v>65</v>
      </c>
      <c r="L420" s="3" t="s">
        <v>1586</v>
      </c>
    </row>
    <row r="421">
      <c r="A421" s="12">
        <v>46219.48169716435</v>
      </c>
      <c r="B421" s="3" t="s">
        <v>2252</v>
      </c>
      <c r="C421" s="3" t="s">
        <v>1969</v>
      </c>
      <c r="D421" s="18" t="s">
        <v>2253</v>
      </c>
      <c r="E421" s="3" t="s">
        <v>2254</v>
      </c>
      <c r="F421" s="3" t="s">
        <v>147</v>
      </c>
      <c r="G421" s="3" t="s">
        <v>2255</v>
      </c>
      <c r="H421" s="3" t="s">
        <v>324</v>
      </c>
      <c r="I421" s="3" t="s">
        <v>1731</v>
      </c>
      <c r="J421" s="3" t="s">
        <v>65</v>
      </c>
      <c r="L421" s="3" t="s">
        <v>1975</v>
      </c>
    </row>
    <row r="422">
      <c r="A422" s="12">
        <v>46219.55490025463</v>
      </c>
      <c r="B422" s="3" t="s">
        <v>303</v>
      </c>
      <c r="C422" s="3" t="s">
        <v>186</v>
      </c>
      <c r="D422" s="18" t="s">
        <v>2256</v>
      </c>
      <c r="E422" s="3" t="s">
        <v>2257</v>
      </c>
      <c r="F422" s="3" t="s">
        <v>147</v>
      </c>
      <c r="G422" s="3" t="s">
        <v>2258</v>
      </c>
      <c r="H422" s="3" t="s">
        <v>64</v>
      </c>
      <c r="I422" s="3" t="s">
        <v>660</v>
      </c>
      <c r="J422" s="3" t="s">
        <v>65</v>
      </c>
      <c r="L422" s="3" t="s">
        <v>197</v>
      </c>
    </row>
    <row r="423">
      <c r="A423" s="12">
        <v>46219.59809489583</v>
      </c>
      <c r="B423" s="3" t="s">
        <v>2259</v>
      </c>
      <c r="C423" s="3" t="s">
        <v>142</v>
      </c>
      <c r="D423" s="18" t="s">
        <v>2260</v>
      </c>
      <c r="E423" s="3" t="s">
        <v>1738</v>
      </c>
      <c r="F423" s="3" t="s">
        <v>62</v>
      </c>
      <c r="G423" s="3" t="s">
        <v>1738</v>
      </c>
      <c r="H423" s="3" t="s">
        <v>64</v>
      </c>
      <c r="I423" s="3" t="s">
        <v>1738</v>
      </c>
      <c r="J423" s="3" t="s">
        <v>65</v>
      </c>
      <c r="L423" s="3" t="s">
        <v>2103</v>
      </c>
    </row>
    <row r="424">
      <c r="A424" s="12">
        <v>46219.60925026621</v>
      </c>
      <c r="B424" s="3" t="s">
        <v>263</v>
      </c>
      <c r="C424" s="3" t="s">
        <v>264</v>
      </c>
      <c r="D424" s="18" t="s">
        <v>2261</v>
      </c>
      <c r="E424" s="3" t="s">
        <v>269</v>
      </c>
      <c r="F424" s="3" t="s">
        <v>62</v>
      </c>
      <c r="G424" s="3" t="s">
        <v>1744</v>
      </c>
      <c r="H424" s="3" t="s">
        <v>64</v>
      </c>
      <c r="I424" s="3" t="s">
        <v>1744</v>
      </c>
      <c r="J424" s="3" t="s">
        <v>65</v>
      </c>
      <c r="L424" s="3" t="s">
        <v>273</v>
      </c>
    </row>
    <row r="425">
      <c r="A425" s="12">
        <v>46219.61033888889</v>
      </c>
      <c r="B425" s="3" t="s">
        <v>263</v>
      </c>
      <c r="C425" s="3" t="s">
        <v>264</v>
      </c>
      <c r="D425" s="18" t="s">
        <v>2262</v>
      </c>
      <c r="E425" s="3" t="s">
        <v>2263</v>
      </c>
      <c r="F425" s="3" t="s">
        <v>62</v>
      </c>
      <c r="G425" s="3" t="s">
        <v>1748</v>
      </c>
      <c r="H425" s="3" t="s">
        <v>64</v>
      </c>
      <c r="I425" s="3" t="s">
        <v>1748</v>
      </c>
      <c r="J425" s="3" t="s">
        <v>65</v>
      </c>
      <c r="L425" s="3" t="s">
        <v>273</v>
      </c>
    </row>
    <row r="426">
      <c r="A426" s="12">
        <v>46219.669256030094</v>
      </c>
      <c r="B426" s="3" t="s">
        <v>303</v>
      </c>
      <c r="C426" s="3" t="s">
        <v>186</v>
      </c>
      <c r="D426" s="18" t="s">
        <v>2264</v>
      </c>
      <c r="E426" s="3" t="s">
        <v>2265</v>
      </c>
      <c r="F426" s="3" t="s">
        <v>126</v>
      </c>
      <c r="G426" s="3" t="s">
        <v>2266</v>
      </c>
      <c r="H426" s="3" t="s">
        <v>64</v>
      </c>
      <c r="I426" s="3" t="s">
        <v>694</v>
      </c>
      <c r="J426" s="3" t="s">
        <v>65</v>
      </c>
      <c r="L426" s="3" t="s">
        <v>197</v>
      </c>
    </row>
    <row r="427">
      <c r="A427" s="12">
        <v>46219.68596703703</v>
      </c>
      <c r="B427" s="3" t="s">
        <v>662</v>
      </c>
      <c r="C427" s="3" t="s">
        <v>1232</v>
      </c>
      <c r="D427" s="18" t="s">
        <v>2267</v>
      </c>
      <c r="E427" s="3" t="s">
        <v>674</v>
      </c>
      <c r="F427" s="3" t="s">
        <v>62</v>
      </c>
      <c r="G427" s="3" t="s">
        <v>2268</v>
      </c>
      <c r="H427" s="3" t="s">
        <v>64</v>
      </c>
      <c r="I427" s="3" t="s">
        <v>1759</v>
      </c>
      <c r="J427" s="3" t="s">
        <v>65</v>
      </c>
      <c r="L427" s="3" t="s">
        <v>646</v>
      </c>
    </row>
    <row r="428">
      <c r="A428" s="12">
        <v>46219.69026297454</v>
      </c>
      <c r="B428" s="3" t="s">
        <v>662</v>
      </c>
      <c r="C428" s="3" t="s">
        <v>1300</v>
      </c>
      <c r="D428" s="18" t="s">
        <v>2269</v>
      </c>
      <c r="E428" s="3" t="s">
        <v>648</v>
      </c>
      <c r="F428" s="3" t="s">
        <v>62</v>
      </c>
      <c r="G428" s="3" t="s">
        <v>2270</v>
      </c>
      <c r="H428" s="3" t="s">
        <v>64</v>
      </c>
      <c r="I428" s="3" t="s">
        <v>1762</v>
      </c>
      <c r="J428" s="3" t="s">
        <v>65</v>
      </c>
      <c r="L428" s="3" t="s">
        <v>646</v>
      </c>
    </row>
    <row r="429">
      <c r="A429" s="12">
        <v>46220.50156336806</v>
      </c>
      <c r="B429" s="3" t="s">
        <v>303</v>
      </c>
      <c r="C429" s="3" t="s">
        <v>186</v>
      </c>
      <c r="D429" s="18" t="s">
        <v>2271</v>
      </c>
      <c r="E429" s="3" t="s">
        <v>2272</v>
      </c>
      <c r="F429" s="3" t="s">
        <v>147</v>
      </c>
      <c r="G429" s="3" t="s">
        <v>2273</v>
      </c>
      <c r="H429" s="3" t="s">
        <v>64</v>
      </c>
      <c r="I429" s="3" t="s">
        <v>1447</v>
      </c>
      <c r="J429" s="3" t="s">
        <v>65</v>
      </c>
      <c r="L429" s="3" t="s">
        <v>197</v>
      </c>
    </row>
    <row r="430">
      <c r="A430" s="12">
        <v>46220.5625246412</v>
      </c>
      <c r="B430" s="3" t="s">
        <v>303</v>
      </c>
      <c r="C430" s="3" t="s">
        <v>186</v>
      </c>
      <c r="D430" s="18" t="s">
        <v>2274</v>
      </c>
      <c r="E430" s="3" t="s">
        <v>2275</v>
      </c>
      <c r="F430" s="3" t="s">
        <v>126</v>
      </c>
      <c r="G430" s="3" t="s">
        <v>2276</v>
      </c>
      <c r="H430" s="3" t="s">
        <v>64</v>
      </c>
      <c r="I430" s="3" t="s">
        <v>2277</v>
      </c>
      <c r="J430" s="3" t="s">
        <v>65</v>
      </c>
      <c r="L430" s="3" t="s">
        <v>197</v>
      </c>
    </row>
    <row r="431">
      <c r="A431" s="12">
        <v>46220.75625957176</v>
      </c>
      <c r="B431" s="3" t="s">
        <v>768</v>
      </c>
      <c r="C431" s="3" t="s">
        <v>769</v>
      </c>
      <c r="D431" s="18" t="s">
        <v>2278</v>
      </c>
      <c r="E431" s="3" t="s">
        <v>2279</v>
      </c>
      <c r="F431" s="3" t="s">
        <v>62</v>
      </c>
      <c r="G431" s="3" t="s">
        <v>518</v>
      </c>
      <c r="H431" s="3" t="s">
        <v>64</v>
      </c>
      <c r="I431" s="3" t="s">
        <v>519</v>
      </c>
      <c r="J431" s="3" t="s">
        <v>65</v>
      </c>
      <c r="L431" s="3" t="s">
        <v>520</v>
      </c>
    </row>
    <row r="432">
      <c r="A432" s="12">
        <v>46220.75804748843</v>
      </c>
      <c r="B432" s="3" t="s">
        <v>768</v>
      </c>
      <c r="C432" s="3" t="s">
        <v>769</v>
      </c>
      <c r="D432" s="18" t="s">
        <v>2280</v>
      </c>
      <c r="E432" s="3" t="s">
        <v>2281</v>
      </c>
      <c r="F432" s="3" t="s">
        <v>62</v>
      </c>
      <c r="G432" s="3" t="s">
        <v>2282</v>
      </c>
      <c r="H432" s="3" t="s">
        <v>64</v>
      </c>
      <c r="I432" s="3" t="s">
        <v>519</v>
      </c>
      <c r="J432" s="3" t="s">
        <v>65</v>
      </c>
      <c r="L432" s="3" t="s">
        <v>520</v>
      </c>
    </row>
    <row r="433">
      <c r="A433" s="12">
        <v>46220.76226318287</v>
      </c>
      <c r="B433" s="3" t="s">
        <v>768</v>
      </c>
      <c r="C433" s="3" t="s">
        <v>769</v>
      </c>
      <c r="D433" s="18" t="s">
        <v>2283</v>
      </c>
      <c r="E433" s="3" t="s">
        <v>2284</v>
      </c>
      <c r="F433" s="3" t="s">
        <v>62</v>
      </c>
      <c r="G433" s="3" t="s">
        <v>518</v>
      </c>
      <c r="H433" s="3" t="s">
        <v>64</v>
      </c>
      <c r="I433" s="3" t="s">
        <v>2285</v>
      </c>
      <c r="J433" s="3" t="s">
        <v>65</v>
      </c>
      <c r="L433" s="3" t="s">
        <v>520</v>
      </c>
    </row>
    <row r="434">
      <c r="A434" s="12">
        <v>46220.76461084491</v>
      </c>
      <c r="B434" s="3" t="s">
        <v>768</v>
      </c>
      <c r="C434" s="3" t="s">
        <v>769</v>
      </c>
      <c r="D434" s="18" t="s">
        <v>2286</v>
      </c>
      <c r="E434" s="3" t="s">
        <v>2287</v>
      </c>
      <c r="F434" s="3" t="s">
        <v>62</v>
      </c>
      <c r="G434" s="3" t="s">
        <v>518</v>
      </c>
      <c r="H434" s="3" t="s">
        <v>64</v>
      </c>
      <c r="I434" s="3" t="s">
        <v>1787</v>
      </c>
      <c r="J434" s="3" t="s">
        <v>65</v>
      </c>
      <c r="L434" s="3" t="s">
        <v>520</v>
      </c>
    </row>
    <row r="435">
      <c r="A435" s="12">
        <v>46221.452969687496</v>
      </c>
      <c r="B435" s="3" t="s">
        <v>206</v>
      </c>
      <c r="C435" s="3" t="s">
        <v>207</v>
      </c>
      <c r="D435" s="18" t="s">
        <v>2288</v>
      </c>
      <c r="E435" s="3" t="s">
        <v>211</v>
      </c>
      <c r="F435" s="3" t="s">
        <v>62</v>
      </c>
      <c r="G435" s="3" t="s">
        <v>2289</v>
      </c>
      <c r="H435" s="3" t="s">
        <v>64</v>
      </c>
      <c r="I435" s="3" t="s">
        <v>754</v>
      </c>
      <c r="J435" s="3" t="s">
        <v>65</v>
      </c>
      <c r="L435" s="3" t="s">
        <v>213</v>
      </c>
    </row>
    <row r="436">
      <c r="A436" s="12">
        <v>46221.60938085648</v>
      </c>
      <c r="B436" s="3" t="s">
        <v>67</v>
      </c>
      <c r="C436" s="3" t="s">
        <v>277</v>
      </c>
      <c r="D436" s="18" t="s">
        <v>2290</v>
      </c>
      <c r="E436" s="3" t="s">
        <v>75</v>
      </c>
      <c r="F436" s="3" t="s">
        <v>138</v>
      </c>
      <c r="G436" s="3" t="s">
        <v>76</v>
      </c>
      <c r="H436" s="3" t="s">
        <v>64</v>
      </c>
      <c r="I436" s="3" t="s">
        <v>1796</v>
      </c>
      <c r="J436" s="3" t="s">
        <v>65</v>
      </c>
      <c r="L436" s="3" t="s">
        <v>77</v>
      </c>
    </row>
    <row r="437">
      <c r="A437" s="12">
        <v>46221.610434780094</v>
      </c>
      <c r="B437" s="3" t="s">
        <v>206</v>
      </c>
      <c r="C437" s="3" t="s">
        <v>207</v>
      </c>
      <c r="D437" s="18" t="s">
        <v>2291</v>
      </c>
      <c r="E437" s="3" t="s">
        <v>354</v>
      </c>
      <c r="F437" s="3" t="s">
        <v>62</v>
      </c>
      <c r="G437" s="3" t="s">
        <v>2292</v>
      </c>
      <c r="H437" s="3" t="s">
        <v>64</v>
      </c>
      <c r="I437" s="3" t="s">
        <v>913</v>
      </c>
      <c r="J437" s="3" t="s">
        <v>65</v>
      </c>
      <c r="L437" s="3" t="s">
        <v>213</v>
      </c>
    </row>
    <row r="438">
      <c r="A438" s="12">
        <v>46221.6767652662</v>
      </c>
      <c r="B438" s="3" t="s">
        <v>263</v>
      </c>
      <c r="C438" s="3" t="s">
        <v>264</v>
      </c>
      <c r="D438" s="18" t="s">
        <v>2293</v>
      </c>
      <c r="E438" s="3" t="s">
        <v>1802</v>
      </c>
      <c r="F438" s="3" t="s">
        <v>62</v>
      </c>
      <c r="G438" s="3" t="s">
        <v>2294</v>
      </c>
      <c r="H438" s="3" t="s">
        <v>64</v>
      </c>
      <c r="I438" s="3" t="s">
        <v>1802</v>
      </c>
      <c r="J438" s="3" t="s">
        <v>65</v>
      </c>
      <c r="L438" s="3" t="s">
        <v>273</v>
      </c>
    </row>
    <row r="439">
      <c r="A439" s="12">
        <v>46223.47238622685</v>
      </c>
      <c r="B439" s="3" t="s">
        <v>1968</v>
      </c>
      <c r="C439" s="3" t="s">
        <v>2295</v>
      </c>
      <c r="D439" s="18" t="s">
        <v>2296</v>
      </c>
      <c r="E439" s="3" t="s">
        <v>2297</v>
      </c>
      <c r="F439" s="3" t="s">
        <v>126</v>
      </c>
      <c r="G439" s="3" t="s">
        <v>2298</v>
      </c>
      <c r="H439" s="3" t="s">
        <v>324</v>
      </c>
      <c r="I439" s="3" t="s">
        <v>1806</v>
      </c>
      <c r="J439" s="3" t="s">
        <v>65</v>
      </c>
      <c r="L439" s="3" t="s">
        <v>2299</v>
      </c>
    </row>
    <row r="440">
      <c r="A440" s="12">
        <v>46223.58005916666</v>
      </c>
      <c r="B440" s="3" t="s">
        <v>662</v>
      </c>
      <c r="C440" s="3" t="s">
        <v>921</v>
      </c>
      <c r="D440" s="18" t="s">
        <v>2300</v>
      </c>
      <c r="E440" s="3" t="s">
        <v>674</v>
      </c>
      <c r="F440" s="3" t="s">
        <v>138</v>
      </c>
      <c r="G440" s="3" t="s">
        <v>2301</v>
      </c>
      <c r="H440" s="3" t="s">
        <v>64</v>
      </c>
      <c r="I440" s="3" t="s">
        <v>1809</v>
      </c>
      <c r="J440" s="3" t="s">
        <v>65</v>
      </c>
      <c r="L440" s="3" t="s">
        <v>646</v>
      </c>
    </row>
    <row r="441">
      <c r="A441" s="12">
        <v>46224.624142037035</v>
      </c>
      <c r="B441" s="3" t="s">
        <v>47</v>
      </c>
      <c r="C441" s="3" t="s">
        <v>142</v>
      </c>
      <c r="D441" s="18" t="s">
        <v>2302</v>
      </c>
      <c r="E441" s="3" t="s">
        <v>1812</v>
      </c>
      <c r="F441" s="3" t="s">
        <v>62</v>
      </c>
      <c r="G441" s="3" t="s">
        <v>1812</v>
      </c>
      <c r="H441" s="3" t="s">
        <v>64</v>
      </c>
      <c r="I441" s="3" t="s">
        <v>1812</v>
      </c>
      <c r="J441" s="3" t="s">
        <v>65</v>
      </c>
      <c r="L441" s="3" t="s">
        <v>2103</v>
      </c>
    </row>
    <row r="442">
      <c r="A442" s="12">
        <v>46224.62504395834</v>
      </c>
      <c r="B442" s="3" t="s">
        <v>47</v>
      </c>
      <c r="C442" s="3" t="s">
        <v>142</v>
      </c>
      <c r="D442" s="18" t="s">
        <v>2303</v>
      </c>
      <c r="E442" s="3" t="s">
        <v>1815</v>
      </c>
      <c r="F442" s="3" t="s">
        <v>62</v>
      </c>
      <c r="G442" s="3" t="s">
        <v>1815</v>
      </c>
      <c r="H442" s="3" t="s">
        <v>64</v>
      </c>
      <c r="I442" s="3" t="s">
        <v>1815</v>
      </c>
      <c r="J442" s="3" t="s">
        <v>65</v>
      </c>
      <c r="L442" s="3" t="s">
        <v>2103</v>
      </c>
    </row>
    <row r="443">
      <c r="A443" s="12">
        <v>46225.426519664354</v>
      </c>
      <c r="B443" s="3" t="s">
        <v>206</v>
      </c>
      <c r="C443" s="3" t="s">
        <v>207</v>
      </c>
      <c r="D443" s="18" t="s">
        <v>2304</v>
      </c>
      <c r="E443" s="3" t="s">
        <v>354</v>
      </c>
      <c r="F443" s="3" t="s">
        <v>62</v>
      </c>
      <c r="G443" s="3" t="s">
        <v>2305</v>
      </c>
      <c r="H443" s="3" t="s">
        <v>64</v>
      </c>
      <c r="I443" s="3" t="s">
        <v>2306</v>
      </c>
      <c r="J443" s="3" t="s">
        <v>65</v>
      </c>
      <c r="K443" s="18" t="s">
        <v>2307</v>
      </c>
      <c r="L443" s="3" t="s">
        <v>213</v>
      </c>
    </row>
    <row r="444">
      <c r="A444" s="12">
        <v>46225.42953061343</v>
      </c>
      <c r="B444" s="3" t="s">
        <v>206</v>
      </c>
      <c r="C444" s="3" t="s">
        <v>207</v>
      </c>
      <c r="D444" s="18" t="s">
        <v>2308</v>
      </c>
      <c r="E444" s="3" t="s">
        <v>354</v>
      </c>
      <c r="F444" s="3" t="s">
        <v>62</v>
      </c>
      <c r="G444" s="3" t="s">
        <v>2309</v>
      </c>
      <c r="H444" s="3" t="s">
        <v>64</v>
      </c>
      <c r="I444" s="3" t="s">
        <v>1716</v>
      </c>
      <c r="J444" s="3" t="s">
        <v>65</v>
      </c>
      <c r="K444" s="18" t="s">
        <v>2310</v>
      </c>
      <c r="L444" s="3" t="s">
        <v>213</v>
      </c>
    </row>
    <row r="445">
      <c r="A445" s="12">
        <v>46225.46313862268</v>
      </c>
      <c r="B445" s="3" t="s">
        <v>206</v>
      </c>
      <c r="C445" s="3" t="s">
        <v>207</v>
      </c>
      <c r="D445" s="18" t="s">
        <v>2311</v>
      </c>
      <c r="E445" s="3" t="s">
        <v>2312</v>
      </c>
      <c r="F445" s="3" t="s">
        <v>62</v>
      </c>
      <c r="G445" s="3" t="s">
        <v>2313</v>
      </c>
      <c r="H445" s="3" t="s">
        <v>64</v>
      </c>
      <c r="I445" s="3" t="s">
        <v>1825</v>
      </c>
      <c r="J445" s="3" t="s">
        <v>65</v>
      </c>
      <c r="K445" s="18" t="s">
        <v>2314</v>
      </c>
      <c r="L445" s="3" t="s">
        <v>213</v>
      </c>
    </row>
    <row r="446">
      <c r="A446" s="12">
        <v>46225.60264377315</v>
      </c>
      <c r="B446" s="3" t="s">
        <v>303</v>
      </c>
      <c r="C446" s="3" t="s">
        <v>186</v>
      </c>
      <c r="D446" s="18" t="s">
        <v>2315</v>
      </c>
      <c r="E446" s="3" t="s">
        <v>2316</v>
      </c>
      <c r="F446" s="3" t="s">
        <v>138</v>
      </c>
      <c r="G446" s="3" t="s">
        <v>2317</v>
      </c>
      <c r="H446" s="3" t="s">
        <v>64</v>
      </c>
      <c r="I446" s="3" t="s">
        <v>882</v>
      </c>
      <c r="J446" s="3" t="s">
        <v>65</v>
      </c>
      <c r="L446" s="3" t="s">
        <v>197</v>
      </c>
    </row>
    <row r="447">
      <c r="A447" s="12">
        <v>46226.469709756944</v>
      </c>
      <c r="B447" s="3" t="s">
        <v>206</v>
      </c>
      <c r="C447" s="3" t="s">
        <v>207</v>
      </c>
      <c r="D447" s="18" t="s">
        <v>2318</v>
      </c>
      <c r="E447" s="3" t="s">
        <v>2319</v>
      </c>
      <c r="F447" s="3" t="s">
        <v>62</v>
      </c>
      <c r="G447" s="3" t="s">
        <v>2320</v>
      </c>
      <c r="H447" s="3" t="s">
        <v>64</v>
      </c>
      <c r="I447" s="3" t="s">
        <v>1830</v>
      </c>
      <c r="J447" s="3" t="s">
        <v>65</v>
      </c>
      <c r="K447" s="18" t="s">
        <v>2321</v>
      </c>
      <c r="L447" s="3" t="s">
        <v>213</v>
      </c>
    </row>
    <row r="448">
      <c r="A448" s="12">
        <v>46226.478272430555</v>
      </c>
      <c r="B448" s="3" t="s">
        <v>263</v>
      </c>
      <c r="C448" s="3" t="s">
        <v>264</v>
      </c>
      <c r="D448" s="18" t="s">
        <v>2322</v>
      </c>
      <c r="E448" s="3" t="s">
        <v>2323</v>
      </c>
      <c r="F448" s="3" t="s">
        <v>62</v>
      </c>
      <c r="G448" s="3" t="s">
        <v>1833</v>
      </c>
      <c r="H448" s="3" t="s">
        <v>64</v>
      </c>
      <c r="I448" s="3" t="s">
        <v>1833</v>
      </c>
      <c r="J448" s="3" t="s">
        <v>65</v>
      </c>
      <c r="L448" s="3" t="s">
        <v>273</v>
      </c>
    </row>
    <row r="449">
      <c r="A449" s="12">
        <v>46226.514405925926</v>
      </c>
      <c r="B449" s="3" t="s">
        <v>47</v>
      </c>
      <c r="C449" s="3" t="s">
        <v>49</v>
      </c>
      <c r="D449" s="18" t="s">
        <v>2324</v>
      </c>
      <c r="E449" s="3" t="s">
        <v>2325</v>
      </c>
      <c r="F449" s="3" t="s">
        <v>62</v>
      </c>
      <c r="G449" s="3" t="s">
        <v>2326</v>
      </c>
      <c r="H449" s="3" t="s">
        <v>64</v>
      </c>
      <c r="I449" s="3" t="s">
        <v>166</v>
      </c>
      <c r="J449" s="3" t="s">
        <v>65</v>
      </c>
      <c r="L449" s="3" t="s">
        <v>66</v>
      </c>
    </row>
    <row r="450">
      <c r="A450" s="12">
        <v>46226.59484712963</v>
      </c>
      <c r="B450" s="3" t="s">
        <v>1253</v>
      </c>
      <c r="C450" s="3" t="s">
        <v>357</v>
      </c>
      <c r="D450" s="18" t="s">
        <v>2327</v>
      </c>
      <c r="E450" s="3" t="s">
        <v>2328</v>
      </c>
      <c r="F450" s="3" t="s">
        <v>62</v>
      </c>
      <c r="G450" s="3" t="s">
        <v>492</v>
      </c>
      <c r="H450" s="3" t="s">
        <v>64</v>
      </c>
      <c r="I450" s="3" t="s">
        <v>2329</v>
      </c>
      <c r="J450" s="3" t="s">
        <v>65</v>
      </c>
      <c r="K450" s="18" t="s">
        <v>2330</v>
      </c>
      <c r="L450" s="3" t="s">
        <v>493</v>
      </c>
    </row>
    <row r="451">
      <c r="A451" s="12">
        <v>46226.596240370374</v>
      </c>
      <c r="B451" s="3" t="s">
        <v>1253</v>
      </c>
      <c r="C451" s="3" t="s">
        <v>357</v>
      </c>
      <c r="D451" s="18" t="s">
        <v>2331</v>
      </c>
      <c r="E451" s="3" t="s">
        <v>1842</v>
      </c>
      <c r="F451" s="3" t="s">
        <v>138</v>
      </c>
      <c r="G451" s="3" t="s">
        <v>492</v>
      </c>
      <c r="H451" s="3" t="s">
        <v>64</v>
      </c>
      <c r="I451" s="3" t="s">
        <v>1847</v>
      </c>
      <c r="J451" s="3" t="s">
        <v>65</v>
      </c>
      <c r="L451" s="3" t="s">
        <v>493</v>
      </c>
    </row>
    <row r="452">
      <c r="A452" s="12">
        <v>46226.66151012732</v>
      </c>
      <c r="B452" s="3" t="s">
        <v>214</v>
      </c>
      <c r="C452" s="3" t="s">
        <v>215</v>
      </c>
      <c r="D452" s="18" t="s">
        <v>2332</v>
      </c>
      <c r="E452" s="3" t="s">
        <v>2333</v>
      </c>
      <c r="F452" s="3" t="s">
        <v>62</v>
      </c>
      <c r="G452" s="3" t="s">
        <v>2334</v>
      </c>
      <c r="H452" s="3" t="s">
        <v>64</v>
      </c>
      <c r="I452" s="3" t="s">
        <v>136</v>
      </c>
      <c r="J452" s="3" t="s">
        <v>65</v>
      </c>
      <c r="L452" s="3" t="s">
        <v>222</v>
      </c>
    </row>
    <row r="453">
      <c r="A453" s="12">
        <v>46226.66671984954</v>
      </c>
      <c r="B453" s="3" t="s">
        <v>198</v>
      </c>
      <c r="C453" s="3" t="s">
        <v>122</v>
      </c>
      <c r="D453" s="18" t="s">
        <v>2335</v>
      </c>
      <c r="E453" s="3" t="s">
        <v>2336</v>
      </c>
      <c r="F453" s="3" t="s">
        <v>126</v>
      </c>
      <c r="G453" s="3" t="s">
        <v>2336</v>
      </c>
      <c r="H453" s="3" t="s">
        <v>64</v>
      </c>
      <c r="I453" s="3" t="s">
        <v>2336</v>
      </c>
      <c r="J453" s="3" t="s">
        <v>65</v>
      </c>
      <c r="L453" s="3" t="s">
        <v>104</v>
      </c>
    </row>
    <row r="454">
      <c r="A454" s="12">
        <v>46226.68844438657</v>
      </c>
      <c r="B454" s="3" t="s">
        <v>768</v>
      </c>
      <c r="C454" s="3" t="s">
        <v>769</v>
      </c>
      <c r="D454" s="18" t="s">
        <v>2337</v>
      </c>
      <c r="E454" s="3" t="s">
        <v>2338</v>
      </c>
      <c r="F454" s="3" t="s">
        <v>62</v>
      </c>
      <c r="G454" s="3" t="s">
        <v>518</v>
      </c>
      <c r="H454" s="3" t="s">
        <v>64</v>
      </c>
      <c r="I454" s="3" t="s">
        <v>1858</v>
      </c>
      <c r="J454" s="3" t="s">
        <v>65</v>
      </c>
      <c r="L454" s="3" t="s">
        <v>520</v>
      </c>
    </row>
    <row r="455">
      <c r="A455" s="12">
        <v>46226.71112228009</v>
      </c>
      <c r="B455" s="3" t="s">
        <v>206</v>
      </c>
      <c r="C455" s="3" t="s">
        <v>207</v>
      </c>
      <c r="D455" s="18" t="s">
        <v>2339</v>
      </c>
      <c r="E455" s="3" t="s">
        <v>354</v>
      </c>
      <c r="F455" s="3" t="s">
        <v>126</v>
      </c>
      <c r="G455" s="3" t="s">
        <v>2340</v>
      </c>
      <c r="H455" s="3" t="s">
        <v>64</v>
      </c>
      <c r="I455" s="3" t="s">
        <v>1861</v>
      </c>
      <c r="J455" s="3" t="s">
        <v>65</v>
      </c>
      <c r="L455" s="3" t="s">
        <v>213</v>
      </c>
    </row>
    <row r="456">
      <c r="A456" s="12">
        <v>46227.508027662036</v>
      </c>
      <c r="B456" s="3" t="s">
        <v>1253</v>
      </c>
      <c r="C456" s="3" t="s">
        <v>357</v>
      </c>
      <c r="D456" s="18" t="s">
        <v>2341</v>
      </c>
      <c r="E456" s="3" t="s">
        <v>74</v>
      </c>
      <c r="F456" s="3" t="s">
        <v>62</v>
      </c>
      <c r="G456" s="3" t="s">
        <v>492</v>
      </c>
      <c r="H456" s="3" t="s">
        <v>64</v>
      </c>
      <c r="I456" s="3" t="s">
        <v>1870</v>
      </c>
      <c r="J456" s="3" t="s">
        <v>65</v>
      </c>
      <c r="L456" s="3" t="s">
        <v>493</v>
      </c>
    </row>
    <row r="457">
      <c r="A457" s="12">
        <v>46227.662031203705</v>
      </c>
      <c r="B457" s="3" t="s">
        <v>141</v>
      </c>
      <c r="C457" s="3" t="s">
        <v>142</v>
      </c>
      <c r="D457" s="18" t="s">
        <v>2342</v>
      </c>
      <c r="E457" s="3" t="s">
        <v>168</v>
      </c>
      <c r="F457" s="3" t="s">
        <v>147</v>
      </c>
      <c r="G457" s="3" t="s">
        <v>2343</v>
      </c>
      <c r="H457" s="3" t="s">
        <v>64</v>
      </c>
      <c r="I457" s="3" t="s">
        <v>1873</v>
      </c>
      <c r="J457" s="3" t="s">
        <v>65</v>
      </c>
      <c r="L457" s="3" t="s">
        <v>149</v>
      </c>
    </row>
    <row r="458">
      <c r="A458" s="12">
        <v>46227.69601540509</v>
      </c>
      <c r="B458" s="3" t="s">
        <v>206</v>
      </c>
      <c r="C458" s="3" t="s">
        <v>207</v>
      </c>
      <c r="D458" s="18" t="s">
        <v>2344</v>
      </c>
      <c r="E458" s="3" t="s">
        <v>354</v>
      </c>
      <c r="F458" s="3" t="s">
        <v>126</v>
      </c>
      <c r="G458" s="3" t="s">
        <v>2345</v>
      </c>
      <c r="H458" s="3" t="s">
        <v>64</v>
      </c>
      <c r="I458" s="3" t="s">
        <v>1716</v>
      </c>
      <c r="J458" s="3" t="s">
        <v>65</v>
      </c>
      <c r="L458" s="3" t="s">
        <v>213</v>
      </c>
    </row>
    <row r="459">
      <c r="A459" s="12">
        <v>46227.70886747685</v>
      </c>
      <c r="B459" s="3" t="s">
        <v>513</v>
      </c>
      <c r="C459" s="3" t="s">
        <v>255</v>
      </c>
      <c r="D459" s="18" t="s">
        <v>2346</v>
      </c>
      <c r="E459" s="3" t="s">
        <v>2347</v>
      </c>
      <c r="F459" s="3" t="s">
        <v>62</v>
      </c>
      <c r="G459" s="3" t="s">
        <v>518</v>
      </c>
      <c r="H459" s="3" t="s">
        <v>64</v>
      </c>
      <c r="I459" s="3" t="s">
        <v>407</v>
      </c>
      <c r="J459" s="3" t="s">
        <v>65</v>
      </c>
      <c r="L459" s="3" t="s">
        <v>520</v>
      </c>
    </row>
    <row r="460">
      <c r="A460" s="12">
        <v>46227.71033376157</v>
      </c>
      <c r="B460" s="3" t="s">
        <v>513</v>
      </c>
      <c r="C460" s="3" t="s">
        <v>255</v>
      </c>
      <c r="D460" s="18" t="s">
        <v>2348</v>
      </c>
      <c r="E460" s="3" t="s">
        <v>2347</v>
      </c>
      <c r="F460" s="3" t="s">
        <v>62</v>
      </c>
      <c r="G460" s="3" t="s">
        <v>518</v>
      </c>
      <c r="H460" s="3" t="s">
        <v>64</v>
      </c>
      <c r="I460" s="3" t="s">
        <v>410</v>
      </c>
      <c r="J460" s="3" t="s">
        <v>65</v>
      </c>
      <c r="L460" s="3" t="s">
        <v>520</v>
      </c>
    </row>
    <row r="461">
      <c r="A461" s="12">
        <v>46228.43532579861</v>
      </c>
      <c r="B461" s="3" t="s">
        <v>303</v>
      </c>
      <c r="C461" s="3" t="s">
        <v>186</v>
      </c>
      <c r="D461" s="18" t="s">
        <v>2349</v>
      </c>
      <c r="E461" s="3" t="s">
        <v>2350</v>
      </c>
      <c r="F461" s="3" t="s">
        <v>126</v>
      </c>
      <c r="G461" s="3" t="s">
        <v>2351</v>
      </c>
      <c r="H461" s="3" t="s">
        <v>64</v>
      </c>
      <c r="I461" s="3" t="s">
        <v>660</v>
      </c>
      <c r="J461" s="3" t="s">
        <v>65</v>
      </c>
      <c r="L461" s="3" t="s">
        <v>197</v>
      </c>
    </row>
    <row r="462">
      <c r="A462" s="12">
        <v>46228.442210312496</v>
      </c>
      <c r="B462" s="3" t="s">
        <v>303</v>
      </c>
      <c r="C462" s="3" t="s">
        <v>186</v>
      </c>
      <c r="D462" s="18" t="s">
        <v>2352</v>
      </c>
      <c r="E462" s="3" t="s">
        <v>2353</v>
      </c>
      <c r="F462" s="3" t="s">
        <v>62</v>
      </c>
      <c r="G462" s="3" t="s">
        <v>2354</v>
      </c>
      <c r="H462" s="3" t="s">
        <v>64</v>
      </c>
      <c r="I462" s="3" t="s">
        <v>249</v>
      </c>
      <c r="J462" s="3" t="s">
        <v>65</v>
      </c>
      <c r="L462" s="3" t="s">
        <v>197</v>
      </c>
    </row>
    <row r="463">
      <c r="A463" s="12">
        <v>46228.44357984954</v>
      </c>
      <c r="B463" s="3" t="s">
        <v>303</v>
      </c>
      <c r="C463" s="3" t="s">
        <v>186</v>
      </c>
      <c r="D463" s="18" t="s">
        <v>2355</v>
      </c>
      <c r="E463" s="3" t="s">
        <v>2356</v>
      </c>
      <c r="F463" s="3" t="s">
        <v>62</v>
      </c>
      <c r="G463" s="3" t="s">
        <v>2357</v>
      </c>
      <c r="H463" s="3" t="s">
        <v>64</v>
      </c>
      <c r="I463" s="3" t="s">
        <v>1147</v>
      </c>
      <c r="J463" s="3" t="s">
        <v>65</v>
      </c>
      <c r="L463" s="3" t="s">
        <v>197</v>
      </c>
    </row>
    <row r="464">
      <c r="A464" s="12">
        <v>46228.631272569444</v>
      </c>
      <c r="B464" s="3" t="s">
        <v>141</v>
      </c>
      <c r="C464" s="3" t="s">
        <v>142</v>
      </c>
      <c r="D464" s="18" t="s">
        <v>2358</v>
      </c>
      <c r="E464" s="3" t="s">
        <v>146</v>
      </c>
      <c r="F464" s="3" t="s">
        <v>147</v>
      </c>
      <c r="G464" s="3" t="s">
        <v>2359</v>
      </c>
      <c r="H464" s="3" t="s">
        <v>64</v>
      </c>
      <c r="I464" s="3" t="s">
        <v>1900</v>
      </c>
      <c r="J464" s="3" t="s">
        <v>65</v>
      </c>
      <c r="L464" s="3" t="s">
        <v>149</v>
      </c>
    </row>
    <row r="465">
      <c r="A465" s="12">
        <v>46230.42657490741</v>
      </c>
      <c r="B465" s="3" t="s">
        <v>303</v>
      </c>
      <c r="C465" s="3" t="s">
        <v>186</v>
      </c>
      <c r="D465" s="18" t="s">
        <v>2360</v>
      </c>
      <c r="E465" s="3" t="s">
        <v>2361</v>
      </c>
      <c r="F465" s="3" t="s">
        <v>126</v>
      </c>
      <c r="G465" s="3" t="s">
        <v>2362</v>
      </c>
      <c r="H465" s="3" t="s">
        <v>64</v>
      </c>
      <c r="I465" s="3" t="s">
        <v>1590</v>
      </c>
      <c r="J465" s="3" t="s">
        <v>65</v>
      </c>
      <c r="L465" s="3" t="s">
        <v>197</v>
      </c>
    </row>
    <row r="466">
      <c r="A466" s="12">
        <v>46230.50820423611</v>
      </c>
      <c r="B466" s="3" t="s">
        <v>198</v>
      </c>
      <c r="C466" s="3" t="s">
        <v>122</v>
      </c>
      <c r="D466" s="18" t="s">
        <v>2363</v>
      </c>
      <c r="E466" s="3" t="s">
        <v>2364</v>
      </c>
      <c r="F466" s="3" t="s">
        <v>103</v>
      </c>
      <c r="G466" s="3" t="s">
        <v>2364</v>
      </c>
      <c r="H466" s="3" t="s">
        <v>64</v>
      </c>
      <c r="I466" s="3" t="s">
        <v>355</v>
      </c>
      <c r="J466" s="3" t="s">
        <v>65</v>
      </c>
      <c r="K466" s="18" t="s">
        <v>2365</v>
      </c>
      <c r="L466" s="3" t="s">
        <v>104</v>
      </c>
    </row>
    <row r="467">
      <c r="A467" s="12">
        <v>46230.6784659838</v>
      </c>
      <c r="B467" s="3" t="s">
        <v>1579</v>
      </c>
      <c r="C467" s="3" t="s">
        <v>1580</v>
      </c>
      <c r="D467" s="18" t="s">
        <v>2366</v>
      </c>
      <c r="E467" s="3" t="s">
        <v>166</v>
      </c>
      <c r="F467" s="3" t="s">
        <v>1144</v>
      </c>
      <c r="G467" s="3" t="s">
        <v>2367</v>
      </c>
      <c r="H467" s="3" t="s">
        <v>64</v>
      </c>
      <c r="I467" s="3" t="s">
        <v>1918</v>
      </c>
      <c r="J467" s="3" t="s">
        <v>65</v>
      </c>
      <c r="L467" s="3" t="s">
        <v>1586</v>
      </c>
    </row>
    <row r="468">
      <c r="A468" s="12">
        <v>46230.71698834491</v>
      </c>
      <c r="B468" s="3" t="s">
        <v>303</v>
      </c>
      <c r="C468" s="3" t="s">
        <v>186</v>
      </c>
      <c r="D468" s="18" t="s">
        <v>2368</v>
      </c>
      <c r="E468" s="3" t="s">
        <v>2369</v>
      </c>
      <c r="F468" s="3" t="s">
        <v>138</v>
      </c>
      <c r="G468" s="3" t="s">
        <v>2370</v>
      </c>
      <c r="H468" s="3" t="s">
        <v>64</v>
      </c>
      <c r="I468" s="3" t="s">
        <v>1923</v>
      </c>
      <c r="J468" s="3" t="s">
        <v>65</v>
      </c>
      <c r="L468" s="3" t="s">
        <v>197</v>
      </c>
    </row>
    <row r="469">
      <c r="A469" s="12">
        <v>46230.71809001158</v>
      </c>
      <c r="B469" s="3" t="s">
        <v>303</v>
      </c>
      <c r="C469" s="3" t="s">
        <v>186</v>
      </c>
      <c r="D469" s="18" t="s">
        <v>2371</v>
      </c>
      <c r="E469" s="3" t="s">
        <v>2372</v>
      </c>
      <c r="F469" s="3" t="s">
        <v>126</v>
      </c>
      <c r="G469" s="3" t="s">
        <v>2373</v>
      </c>
      <c r="H469" s="3" t="s">
        <v>64</v>
      </c>
      <c r="I469" s="3" t="s">
        <v>754</v>
      </c>
      <c r="J469" s="3" t="s">
        <v>65</v>
      </c>
      <c r="L469" s="3" t="s">
        <v>197</v>
      </c>
    </row>
    <row r="470">
      <c r="A470" s="12">
        <v>46230.71909918981</v>
      </c>
      <c r="B470" s="3" t="s">
        <v>303</v>
      </c>
      <c r="C470" s="3" t="s">
        <v>186</v>
      </c>
      <c r="D470" s="18" t="s">
        <v>2374</v>
      </c>
      <c r="E470" s="3" t="s">
        <v>2375</v>
      </c>
      <c r="F470" s="3" t="s">
        <v>103</v>
      </c>
      <c r="G470" s="3" t="s">
        <v>2376</v>
      </c>
      <c r="H470" s="3" t="s">
        <v>64</v>
      </c>
      <c r="I470" s="3" t="s">
        <v>1931</v>
      </c>
      <c r="J470" s="3" t="s">
        <v>65</v>
      </c>
      <c r="L470" s="3" t="s">
        <v>197</v>
      </c>
    </row>
    <row r="471">
      <c r="A471" s="12">
        <v>46231.39877525463</v>
      </c>
      <c r="B471" s="3" t="s">
        <v>303</v>
      </c>
      <c r="C471" s="3" t="s">
        <v>186</v>
      </c>
      <c r="D471" s="18" t="s">
        <v>2377</v>
      </c>
      <c r="E471" s="3" t="s">
        <v>2378</v>
      </c>
      <c r="F471" s="3" t="s">
        <v>62</v>
      </c>
      <c r="G471" s="3" t="s">
        <v>2379</v>
      </c>
      <c r="H471" s="3" t="s">
        <v>64</v>
      </c>
      <c r="I471" s="3" t="s">
        <v>1147</v>
      </c>
      <c r="J471" s="3" t="s">
        <v>65</v>
      </c>
      <c r="K471" s="18" t="s">
        <v>2380</v>
      </c>
      <c r="L471" s="3" t="s">
        <v>197</v>
      </c>
    </row>
    <row r="472">
      <c r="A472" s="12">
        <v>46231.44063655093</v>
      </c>
      <c r="B472" s="3" t="s">
        <v>2381</v>
      </c>
      <c r="C472" s="3" t="s">
        <v>264</v>
      </c>
      <c r="D472" s="18" t="s">
        <v>2382</v>
      </c>
      <c r="E472" s="3" t="s">
        <v>354</v>
      </c>
      <c r="F472" s="3" t="s">
        <v>62</v>
      </c>
      <c r="G472" s="3" t="s">
        <v>2383</v>
      </c>
      <c r="H472" s="3" t="s">
        <v>64</v>
      </c>
      <c r="I472" s="3" t="s">
        <v>1940</v>
      </c>
      <c r="J472" s="3" t="s">
        <v>65</v>
      </c>
      <c r="L472" s="3" t="s">
        <v>890</v>
      </c>
    </row>
    <row r="473">
      <c r="A473" s="12">
        <v>46231.44938651621</v>
      </c>
      <c r="B473" s="3" t="s">
        <v>2384</v>
      </c>
      <c r="C473" s="3" t="s">
        <v>264</v>
      </c>
      <c r="D473" s="18" t="s">
        <v>2385</v>
      </c>
      <c r="E473" s="3" t="s">
        <v>360</v>
      </c>
      <c r="F473" s="3" t="s">
        <v>62</v>
      </c>
      <c r="G473" s="3" t="s">
        <v>2386</v>
      </c>
      <c r="H473" s="3" t="s">
        <v>64</v>
      </c>
      <c r="I473" s="3" t="s">
        <v>1944</v>
      </c>
      <c r="J473" s="3" t="s">
        <v>65</v>
      </c>
      <c r="K473" s="18" t="s">
        <v>2387</v>
      </c>
      <c r="L473" s="3" t="s">
        <v>890</v>
      </c>
    </row>
    <row r="474">
      <c r="A474" s="12">
        <v>46231.48809409722</v>
      </c>
      <c r="B474" s="3" t="s">
        <v>504</v>
      </c>
      <c r="C474" s="3" t="s">
        <v>505</v>
      </c>
      <c r="D474" s="18" t="s">
        <v>2388</v>
      </c>
      <c r="E474" s="3" t="s">
        <v>2389</v>
      </c>
      <c r="F474" s="3" t="s">
        <v>62</v>
      </c>
      <c r="G474" s="3" t="s">
        <v>2390</v>
      </c>
      <c r="H474" s="3" t="s">
        <v>64</v>
      </c>
      <c r="I474" s="3" t="s">
        <v>2390</v>
      </c>
      <c r="J474" s="3" t="s">
        <v>65</v>
      </c>
      <c r="K474" s="18" t="s">
        <v>2391</v>
      </c>
      <c r="L474" s="3" t="s">
        <v>512</v>
      </c>
    </row>
    <row r="475">
      <c r="A475" s="12">
        <v>46232.41648895833</v>
      </c>
      <c r="B475" s="3" t="s">
        <v>1253</v>
      </c>
      <c r="C475" s="3" t="s">
        <v>357</v>
      </c>
      <c r="D475" s="18" t="s">
        <v>2392</v>
      </c>
      <c r="E475" s="3" t="s">
        <v>1842</v>
      </c>
      <c r="F475" s="3" t="s">
        <v>62</v>
      </c>
      <c r="G475" s="3" t="s">
        <v>492</v>
      </c>
      <c r="H475" s="3" t="s">
        <v>64</v>
      </c>
      <c r="I475" s="3" t="s">
        <v>1953</v>
      </c>
      <c r="J475" s="3" t="s">
        <v>65</v>
      </c>
      <c r="L475" s="3" t="s">
        <v>493</v>
      </c>
    </row>
    <row r="476">
      <c r="A476" s="12">
        <v>46232.422057083335</v>
      </c>
      <c r="B476" s="3" t="s">
        <v>303</v>
      </c>
      <c r="C476" s="3" t="s">
        <v>186</v>
      </c>
      <c r="D476" s="18" t="s">
        <v>2393</v>
      </c>
      <c r="E476" s="3" t="s">
        <v>2394</v>
      </c>
      <c r="F476" s="3" t="s">
        <v>147</v>
      </c>
      <c r="G476" s="3" t="s">
        <v>2395</v>
      </c>
      <c r="H476" s="3" t="s">
        <v>64</v>
      </c>
      <c r="I476" s="3" t="s">
        <v>1955</v>
      </c>
      <c r="J476" s="3" t="s">
        <v>65</v>
      </c>
      <c r="L476" s="3" t="s">
        <v>197</v>
      </c>
    </row>
    <row r="477">
      <c r="A477" s="12">
        <v>46232.50577290509</v>
      </c>
      <c r="B477" s="3" t="s">
        <v>206</v>
      </c>
      <c r="C477" s="3" t="s">
        <v>207</v>
      </c>
      <c r="D477" s="18" t="s">
        <v>2396</v>
      </c>
      <c r="E477" s="3" t="s">
        <v>354</v>
      </c>
      <c r="F477" s="3" t="s">
        <v>62</v>
      </c>
      <c r="G477" s="3" t="s">
        <v>2397</v>
      </c>
      <c r="H477" s="3" t="s">
        <v>64</v>
      </c>
      <c r="I477" s="3" t="s">
        <v>1716</v>
      </c>
      <c r="J477" s="3" t="s">
        <v>65</v>
      </c>
      <c r="L477" s="3" t="s">
        <v>213</v>
      </c>
    </row>
    <row r="478">
      <c r="A478" s="12">
        <v>46232.51223476852</v>
      </c>
      <c r="B478" s="3" t="s">
        <v>141</v>
      </c>
      <c r="C478" s="3" t="s">
        <v>142</v>
      </c>
      <c r="D478" s="18" t="s">
        <v>2398</v>
      </c>
      <c r="E478" s="3" t="s">
        <v>146</v>
      </c>
      <c r="F478" s="3" t="s">
        <v>126</v>
      </c>
      <c r="G478" s="3" t="s">
        <v>2399</v>
      </c>
      <c r="H478" s="3" t="s">
        <v>64</v>
      </c>
      <c r="I478" s="3" t="s">
        <v>955</v>
      </c>
      <c r="J478" s="3" t="s">
        <v>65</v>
      </c>
      <c r="L478" s="3" t="s">
        <v>149</v>
      </c>
    </row>
    <row r="479">
      <c r="A479" s="12">
        <v>46232.51336386574</v>
      </c>
      <c r="B479" s="3" t="s">
        <v>141</v>
      </c>
      <c r="C479" s="3" t="s">
        <v>142</v>
      </c>
      <c r="D479" s="18" t="s">
        <v>2400</v>
      </c>
      <c r="E479" s="3" t="s">
        <v>168</v>
      </c>
      <c r="F479" s="3" t="s">
        <v>147</v>
      </c>
      <c r="G479" s="3" t="s">
        <v>2401</v>
      </c>
      <c r="H479" s="3" t="s">
        <v>64</v>
      </c>
      <c r="I479" s="3" t="s">
        <v>955</v>
      </c>
      <c r="J479" s="3" t="s">
        <v>65</v>
      </c>
      <c r="L479" s="3" t="s">
        <v>149</v>
      </c>
    </row>
    <row r="480">
      <c r="A480" s="12">
        <v>46232.51430083333</v>
      </c>
      <c r="B480" s="3" t="s">
        <v>141</v>
      </c>
      <c r="C480" s="3" t="s">
        <v>141</v>
      </c>
      <c r="D480" s="18" t="s">
        <v>2402</v>
      </c>
      <c r="E480" s="3" t="s">
        <v>211</v>
      </c>
      <c r="F480" s="3" t="s">
        <v>126</v>
      </c>
      <c r="G480" s="3" t="s">
        <v>2403</v>
      </c>
      <c r="H480" s="3" t="s">
        <v>64</v>
      </c>
      <c r="I480" s="3" t="s">
        <v>1966</v>
      </c>
      <c r="J480" s="3" t="s">
        <v>65</v>
      </c>
      <c r="L480" s="3" t="s">
        <v>149</v>
      </c>
    </row>
    <row r="481">
      <c r="A481" s="12">
        <v>46232.517431354165</v>
      </c>
      <c r="B481" s="3" t="s">
        <v>1178</v>
      </c>
      <c r="C481" s="3" t="s">
        <v>186</v>
      </c>
      <c r="D481" s="18" t="s">
        <v>2404</v>
      </c>
      <c r="E481" s="3" t="s">
        <v>2405</v>
      </c>
      <c r="F481" s="3" t="s">
        <v>147</v>
      </c>
      <c r="G481" s="3" t="s">
        <v>2406</v>
      </c>
      <c r="H481" s="3" t="s">
        <v>64</v>
      </c>
      <c r="I481" s="3" t="s">
        <v>1972</v>
      </c>
      <c r="J481" s="3" t="s">
        <v>65</v>
      </c>
      <c r="L481" s="3" t="s">
        <v>197</v>
      </c>
    </row>
    <row r="482">
      <c r="A482" s="12">
        <v>46233.54333313658</v>
      </c>
      <c r="B482" s="3" t="s">
        <v>198</v>
      </c>
      <c r="C482" s="3" t="s">
        <v>122</v>
      </c>
      <c r="D482" s="18" t="s">
        <v>2407</v>
      </c>
      <c r="E482" s="3" t="s">
        <v>2408</v>
      </c>
      <c r="F482" s="3" t="s">
        <v>103</v>
      </c>
      <c r="G482" s="3" t="s">
        <v>2409</v>
      </c>
      <c r="H482" s="3" t="s">
        <v>64</v>
      </c>
      <c r="I482" s="3" t="s">
        <v>355</v>
      </c>
      <c r="J482" s="3" t="s">
        <v>65</v>
      </c>
      <c r="K482" s="18" t="s">
        <v>2410</v>
      </c>
      <c r="L482" s="3" t="s">
        <v>104</v>
      </c>
    </row>
    <row r="483">
      <c r="A483" s="12">
        <v>46233.624517233795</v>
      </c>
      <c r="B483" s="3" t="s">
        <v>2411</v>
      </c>
      <c r="C483" s="3" t="s">
        <v>334</v>
      </c>
      <c r="D483" s="18" t="s">
        <v>2412</v>
      </c>
      <c r="E483" s="3" t="s">
        <v>2413</v>
      </c>
      <c r="F483" s="3" t="s">
        <v>62</v>
      </c>
      <c r="G483" s="3" t="s">
        <v>2414</v>
      </c>
      <c r="H483" s="3" t="s">
        <v>64</v>
      </c>
      <c r="I483" s="3" t="s">
        <v>1979</v>
      </c>
      <c r="J483" s="3" t="s">
        <v>65</v>
      </c>
      <c r="K483" s="18" t="s">
        <v>2415</v>
      </c>
      <c r="L483" s="3" t="s">
        <v>1200</v>
      </c>
    </row>
    <row r="484">
      <c r="A484" s="12">
        <v>46234.50277872685</v>
      </c>
      <c r="B484" s="3" t="s">
        <v>303</v>
      </c>
      <c r="C484" s="3" t="s">
        <v>186</v>
      </c>
      <c r="D484" s="18" t="s">
        <v>2416</v>
      </c>
      <c r="E484" s="3" t="s">
        <v>2417</v>
      </c>
      <c r="F484" s="3" t="s">
        <v>138</v>
      </c>
      <c r="G484" s="3" t="s">
        <v>2418</v>
      </c>
      <c r="H484" s="3" t="s">
        <v>64</v>
      </c>
      <c r="I484" s="3" t="s">
        <v>1014</v>
      </c>
      <c r="J484" s="3" t="s">
        <v>65</v>
      </c>
      <c r="L484" s="3" t="s">
        <v>197</v>
      </c>
    </row>
    <row r="485">
      <c r="A485" s="12">
        <v>46234.503897222225</v>
      </c>
      <c r="B485" s="3" t="s">
        <v>1178</v>
      </c>
      <c r="C485" s="3" t="s">
        <v>186</v>
      </c>
      <c r="D485" s="18" t="s">
        <v>2419</v>
      </c>
      <c r="E485" s="3" t="s">
        <v>2420</v>
      </c>
      <c r="F485" s="3" t="s">
        <v>126</v>
      </c>
      <c r="G485" s="3" t="s">
        <v>2421</v>
      </c>
      <c r="H485" s="3" t="s">
        <v>64</v>
      </c>
      <c r="I485" s="3" t="s">
        <v>1989</v>
      </c>
      <c r="J485" s="3" t="s">
        <v>65</v>
      </c>
      <c r="L485" s="3" t="s">
        <v>197</v>
      </c>
    </row>
    <row r="486">
      <c r="A486" s="12">
        <v>46234.617532187505</v>
      </c>
      <c r="B486" s="3" t="s">
        <v>67</v>
      </c>
      <c r="C486" s="3" t="s">
        <v>277</v>
      </c>
      <c r="D486" s="18" t="s">
        <v>2422</v>
      </c>
      <c r="E486" s="3" t="s">
        <v>2423</v>
      </c>
      <c r="F486" s="3" t="s">
        <v>62</v>
      </c>
      <c r="G486" s="3" t="s">
        <v>76</v>
      </c>
      <c r="H486" s="3" t="s">
        <v>64</v>
      </c>
      <c r="I486" s="3" t="s">
        <v>1992</v>
      </c>
      <c r="J486" s="3" t="s">
        <v>65</v>
      </c>
      <c r="L486" s="3" t="s">
        <v>77</v>
      </c>
    </row>
    <row r="487">
      <c r="A487" s="12">
        <v>46234.65238240741</v>
      </c>
      <c r="B487" s="3" t="s">
        <v>303</v>
      </c>
      <c r="C487" s="3" t="s">
        <v>186</v>
      </c>
      <c r="D487" s="18" t="s">
        <v>2424</v>
      </c>
      <c r="E487" s="3" t="s">
        <v>1996</v>
      </c>
      <c r="F487" s="3" t="s">
        <v>138</v>
      </c>
      <c r="G487" s="3" t="s">
        <v>2425</v>
      </c>
      <c r="H487" s="3" t="s">
        <v>64</v>
      </c>
      <c r="I487" s="3" t="s">
        <v>1996</v>
      </c>
      <c r="J487" s="3" t="s">
        <v>65</v>
      </c>
      <c r="K487" s="18" t="s">
        <v>2426</v>
      </c>
      <c r="L487" s="3" t="s">
        <v>197</v>
      </c>
    </row>
    <row r="488">
      <c r="A488" s="12">
        <v>46235.548439398146</v>
      </c>
      <c r="B488" s="3" t="s">
        <v>303</v>
      </c>
      <c r="C488" s="3" t="s">
        <v>186</v>
      </c>
      <c r="D488" s="18" t="s">
        <v>2427</v>
      </c>
      <c r="E488" s="3" t="s">
        <v>2428</v>
      </c>
      <c r="F488" s="3" t="s">
        <v>62</v>
      </c>
      <c r="G488" s="3" t="s">
        <v>2429</v>
      </c>
      <c r="H488" s="3" t="s">
        <v>64</v>
      </c>
      <c r="I488" s="3" t="s">
        <v>1999</v>
      </c>
      <c r="J488" s="3" t="s">
        <v>65</v>
      </c>
      <c r="K488" s="18" t="s">
        <v>2430</v>
      </c>
      <c r="L488" s="3" t="s">
        <v>197</v>
      </c>
    </row>
    <row r="489">
      <c r="A489" s="12">
        <v>46238.44047857639</v>
      </c>
      <c r="B489" s="3" t="s">
        <v>141</v>
      </c>
      <c r="C489" s="3" t="s">
        <v>142</v>
      </c>
      <c r="D489" s="18" t="s">
        <v>2431</v>
      </c>
      <c r="E489" s="3" t="s">
        <v>146</v>
      </c>
      <c r="F489" s="3" t="s">
        <v>147</v>
      </c>
      <c r="G489" s="3" t="s">
        <v>2432</v>
      </c>
      <c r="H489" s="3" t="s">
        <v>64</v>
      </c>
      <c r="I489" s="3" t="s">
        <v>166</v>
      </c>
      <c r="J489" s="3" t="s">
        <v>65</v>
      </c>
      <c r="L489" s="3" t="s">
        <v>149</v>
      </c>
    </row>
    <row r="490">
      <c r="A490" s="12">
        <v>46239.42162140046</v>
      </c>
      <c r="B490" s="3" t="s">
        <v>198</v>
      </c>
      <c r="C490" s="3" t="s">
        <v>122</v>
      </c>
      <c r="D490" s="18" t="s">
        <v>2433</v>
      </c>
      <c r="E490" s="3" t="s">
        <v>2434</v>
      </c>
      <c r="F490" s="3" t="s">
        <v>103</v>
      </c>
      <c r="G490" s="3" t="s">
        <v>2435</v>
      </c>
      <c r="H490" s="3" t="s">
        <v>64</v>
      </c>
      <c r="I490" s="3" t="s">
        <v>166</v>
      </c>
      <c r="J490" s="3" t="s">
        <v>65</v>
      </c>
      <c r="L490" s="3" t="s">
        <v>104</v>
      </c>
    </row>
    <row r="491">
      <c r="A491" s="12">
        <v>46239.50024336806</v>
      </c>
      <c r="B491" s="3" t="s">
        <v>1648</v>
      </c>
      <c r="C491" s="3" t="s">
        <v>1767</v>
      </c>
      <c r="D491" s="18" t="s">
        <v>2436</v>
      </c>
      <c r="E491" s="3" t="s">
        <v>355</v>
      </c>
      <c r="F491" s="3" t="s">
        <v>62</v>
      </c>
      <c r="G491" s="3" t="s">
        <v>2437</v>
      </c>
      <c r="H491" s="3" t="s">
        <v>64</v>
      </c>
      <c r="I491" s="3" t="s">
        <v>166</v>
      </c>
      <c r="J491" s="3" t="s">
        <v>65</v>
      </c>
      <c r="L491" s="3" t="s">
        <v>1586</v>
      </c>
    </row>
    <row r="492">
      <c r="A492" s="12">
        <v>46239.502143125</v>
      </c>
      <c r="B492" s="3" t="s">
        <v>1579</v>
      </c>
      <c r="C492" s="3" t="s">
        <v>2438</v>
      </c>
      <c r="D492" s="18" t="s">
        <v>2439</v>
      </c>
      <c r="E492" s="3" t="s">
        <v>166</v>
      </c>
      <c r="F492" s="3" t="s">
        <v>62</v>
      </c>
      <c r="G492" s="3" t="s">
        <v>2440</v>
      </c>
      <c r="H492" s="3" t="s">
        <v>64</v>
      </c>
      <c r="I492" s="3" t="s">
        <v>2441</v>
      </c>
      <c r="J492" s="3" t="s">
        <v>65</v>
      </c>
      <c r="L492" s="3" t="s">
        <v>1586</v>
      </c>
    </row>
    <row r="493">
      <c r="A493" s="12">
        <v>46239.50742545139</v>
      </c>
      <c r="B493" s="3" t="s">
        <v>1579</v>
      </c>
      <c r="C493" s="3" t="s">
        <v>1580</v>
      </c>
      <c r="D493" s="18" t="s">
        <v>2442</v>
      </c>
      <c r="E493" s="3" t="s">
        <v>2443</v>
      </c>
      <c r="F493" s="3" t="s">
        <v>62</v>
      </c>
      <c r="G493" s="3" t="s">
        <v>2444</v>
      </c>
      <c r="H493" s="3" t="s">
        <v>64</v>
      </c>
      <c r="I493" s="3" t="s">
        <v>2016</v>
      </c>
      <c r="J493" s="3" t="s">
        <v>65</v>
      </c>
      <c r="L493" s="3" t="s">
        <v>1586</v>
      </c>
    </row>
    <row r="494">
      <c r="A494" s="12">
        <v>46239.652294178246</v>
      </c>
      <c r="B494" s="3" t="s">
        <v>141</v>
      </c>
      <c r="C494" s="3" t="s">
        <v>142</v>
      </c>
      <c r="D494" s="18" t="s">
        <v>2445</v>
      </c>
      <c r="E494" s="3" t="s">
        <v>2446</v>
      </c>
      <c r="F494" s="3" t="s">
        <v>126</v>
      </c>
      <c r="G494" s="3" t="s">
        <v>2447</v>
      </c>
      <c r="H494" s="3" t="s">
        <v>64</v>
      </c>
      <c r="I494" s="3" t="s">
        <v>955</v>
      </c>
      <c r="J494" s="3" t="s">
        <v>65</v>
      </c>
      <c r="L494" s="3" t="s">
        <v>149</v>
      </c>
    </row>
    <row r="495">
      <c r="A495" s="12">
        <v>46240.425679189815</v>
      </c>
      <c r="B495" s="3" t="s">
        <v>198</v>
      </c>
      <c r="C495" s="3" t="s">
        <v>122</v>
      </c>
      <c r="D495" s="18" t="s">
        <v>2448</v>
      </c>
      <c r="E495" s="3" t="s">
        <v>2449</v>
      </c>
      <c r="F495" s="3" t="s">
        <v>103</v>
      </c>
      <c r="G495" s="3" t="s">
        <v>2450</v>
      </c>
      <c r="H495" s="3" t="s">
        <v>64</v>
      </c>
      <c r="I495" s="3" t="s">
        <v>355</v>
      </c>
      <c r="J495" s="3" t="s">
        <v>65</v>
      </c>
      <c r="K495" s="18" t="s">
        <v>2451</v>
      </c>
      <c r="L495" s="3" t="s">
        <v>104</v>
      </c>
    </row>
    <row r="496">
      <c r="A496" s="12">
        <v>46240.42718716435</v>
      </c>
      <c r="B496" s="3" t="s">
        <v>198</v>
      </c>
      <c r="C496" s="3" t="s">
        <v>122</v>
      </c>
      <c r="D496" s="18" t="s">
        <v>2452</v>
      </c>
      <c r="E496" s="3" t="s">
        <v>2453</v>
      </c>
      <c r="F496" s="3" t="s">
        <v>103</v>
      </c>
      <c r="G496" s="3" t="s">
        <v>2454</v>
      </c>
      <c r="H496" s="3" t="s">
        <v>64</v>
      </c>
      <c r="I496" s="3" t="s">
        <v>166</v>
      </c>
      <c r="J496" s="3" t="s">
        <v>65</v>
      </c>
      <c r="L496" s="3" t="s">
        <v>104</v>
      </c>
    </row>
    <row r="497">
      <c r="A497" s="12">
        <v>46240.545563287036</v>
      </c>
      <c r="B497" s="3" t="s">
        <v>2455</v>
      </c>
      <c r="C497" s="3" t="s">
        <v>2456</v>
      </c>
      <c r="D497" s="18" t="s">
        <v>2457</v>
      </c>
      <c r="E497" s="3" t="s">
        <v>2458</v>
      </c>
      <c r="F497" s="3" t="s">
        <v>2459</v>
      </c>
      <c r="G497" s="3" t="s">
        <v>2460</v>
      </c>
      <c r="H497" s="3" t="s">
        <v>64</v>
      </c>
      <c r="I497" s="3" t="s">
        <v>2210</v>
      </c>
      <c r="J497" s="3" t="s">
        <v>65</v>
      </c>
      <c r="L497" s="3" t="s">
        <v>1586</v>
      </c>
    </row>
    <row r="498">
      <c r="A498" s="12">
        <v>46240.55714831018</v>
      </c>
      <c r="B498" s="3" t="s">
        <v>1579</v>
      </c>
      <c r="C498" s="3" t="s">
        <v>1580</v>
      </c>
      <c r="D498" s="18" t="s">
        <v>2461</v>
      </c>
      <c r="E498" s="3" t="s">
        <v>2462</v>
      </c>
      <c r="F498" s="3" t="s">
        <v>126</v>
      </c>
      <c r="G498" s="3" t="s">
        <v>2463</v>
      </c>
      <c r="H498" s="3" t="s">
        <v>64</v>
      </c>
      <c r="I498" s="3" t="s">
        <v>355</v>
      </c>
      <c r="J498" s="3" t="s">
        <v>65</v>
      </c>
      <c r="L498" s="3" t="s">
        <v>1586</v>
      </c>
    </row>
    <row r="499">
      <c r="A499" s="12">
        <v>46240.60990202546</v>
      </c>
      <c r="B499" s="3" t="s">
        <v>1579</v>
      </c>
      <c r="C499" s="3" t="s">
        <v>1580</v>
      </c>
      <c r="D499" s="18" t="s">
        <v>2464</v>
      </c>
      <c r="E499" s="3" t="s">
        <v>166</v>
      </c>
      <c r="F499" s="3" t="s">
        <v>62</v>
      </c>
      <c r="G499" s="3" t="s">
        <v>2465</v>
      </c>
      <c r="H499" s="3" t="s">
        <v>64</v>
      </c>
      <c r="I499" s="3" t="s">
        <v>2036</v>
      </c>
      <c r="J499" s="3" t="s">
        <v>65</v>
      </c>
      <c r="L499" s="3" t="s">
        <v>1586</v>
      </c>
    </row>
  </sheetData>
  <hyperlinks>
    <hyperlink r:id="rId1" ref="D2"/>
    <hyperlink r:id="rId2" ref="D3"/>
    <hyperlink r:id="rId3" ref="D4"/>
    <hyperlink r:id="rId4" ref="D5"/>
    <hyperlink r:id="rId5" ref="D6"/>
    <hyperlink r:id="rId6" ref="D7"/>
    <hyperlink r:id="rId7" ref="D8"/>
    <hyperlink r:id="rId8" ref="D9"/>
    <hyperlink r:id="rId9" ref="D10"/>
    <hyperlink r:id="rId10" ref="K10"/>
    <hyperlink r:id="rId11" ref="D11"/>
    <hyperlink r:id="rId12" ref="D12"/>
    <hyperlink r:id="rId13" ref="D13"/>
    <hyperlink r:id="rId14" ref="D14"/>
    <hyperlink r:id="rId15" ref="D15"/>
    <hyperlink r:id="rId16" ref="D16"/>
    <hyperlink r:id="rId17" ref="K16"/>
    <hyperlink r:id="rId18" ref="D17"/>
    <hyperlink r:id="rId19" ref="D18"/>
    <hyperlink r:id="rId20" ref="D19"/>
    <hyperlink r:id="rId21" ref="D20"/>
    <hyperlink r:id="rId22" ref="D21"/>
    <hyperlink r:id="rId23" ref="D22"/>
    <hyperlink r:id="rId24" ref="K22"/>
    <hyperlink r:id="rId25" ref="D23"/>
    <hyperlink r:id="rId26" ref="D24"/>
    <hyperlink r:id="rId27" ref="D25"/>
    <hyperlink r:id="rId28" ref="D26"/>
    <hyperlink r:id="rId29" ref="D27"/>
    <hyperlink r:id="rId30" ref="D28"/>
    <hyperlink r:id="rId31" ref="D29"/>
    <hyperlink r:id="rId32" ref="D30"/>
    <hyperlink r:id="rId33" ref="D31"/>
    <hyperlink r:id="rId34" ref="D32"/>
    <hyperlink r:id="rId35" ref="D33"/>
    <hyperlink r:id="rId36" ref="K33"/>
    <hyperlink r:id="rId37" ref="D34"/>
    <hyperlink r:id="rId38" ref="K34"/>
    <hyperlink r:id="rId39" ref="D35"/>
    <hyperlink r:id="rId40" ref="D36"/>
    <hyperlink r:id="rId41" ref="K36"/>
    <hyperlink r:id="rId42" ref="D37"/>
    <hyperlink r:id="rId43" ref="D38"/>
    <hyperlink r:id="rId44" ref="D39"/>
    <hyperlink r:id="rId45" ref="K39"/>
    <hyperlink r:id="rId46" ref="D40"/>
    <hyperlink r:id="rId47" ref="K40"/>
    <hyperlink r:id="rId48" ref="D41"/>
    <hyperlink r:id="rId49" ref="D42"/>
    <hyperlink r:id="rId50" ref="D43"/>
    <hyperlink r:id="rId51" ref="D44"/>
    <hyperlink r:id="rId52" ref="D45"/>
    <hyperlink r:id="rId53" ref="D46"/>
    <hyperlink r:id="rId54" ref="D47"/>
    <hyperlink r:id="rId55" ref="K47"/>
    <hyperlink r:id="rId56" ref="D48"/>
    <hyperlink r:id="rId57" ref="K48"/>
    <hyperlink r:id="rId58" ref="D49"/>
    <hyperlink r:id="rId59" ref="D50"/>
    <hyperlink r:id="rId60" ref="K50"/>
    <hyperlink r:id="rId61" ref="D51"/>
    <hyperlink r:id="rId62" ref="K51"/>
    <hyperlink r:id="rId63" ref="D52"/>
    <hyperlink r:id="rId64" ref="K52"/>
    <hyperlink r:id="rId65" ref="D53"/>
    <hyperlink r:id="rId66" ref="D54"/>
    <hyperlink r:id="rId67" ref="D55"/>
    <hyperlink r:id="rId68" ref="D56"/>
    <hyperlink r:id="rId69" ref="D57"/>
    <hyperlink r:id="rId70" ref="K57"/>
    <hyperlink r:id="rId71" ref="D58"/>
    <hyperlink r:id="rId72" ref="K58"/>
    <hyperlink r:id="rId73" ref="D59"/>
    <hyperlink r:id="rId74" ref="D60"/>
    <hyperlink r:id="rId75" ref="D61"/>
    <hyperlink r:id="rId76" ref="D62"/>
    <hyperlink r:id="rId77" ref="D63"/>
    <hyperlink r:id="rId78" ref="D64"/>
    <hyperlink r:id="rId79" ref="D65"/>
    <hyperlink r:id="rId80" ref="D66"/>
    <hyperlink r:id="rId81" ref="D67"/>
    <hyperlink r:id="rId82" ref="D68"/>
    <hyperlink r:id="rId83" ref="D69"/>
    <hyperlink r:id="rId84" ref="D70"/>
    <hyperlink r:id="rId85" ref="K70"/>
    <hyperlink r:id="rId86" ref="D71"/>
    <hyperlink r:id="rId87" ref="K71"/>
    <hyperlink r:id="rId88" ref="D72"/>
    <hyperlink r:id="rId89" ref="D73"/>
    <hyperlink r:id="rId90" ref="D74"/>
    <hyperlink r:id="rId91" ref="D75"/>
    <hyperlink r:id="rId92" ref="K75"/>
    <hyperlink r:id="rId93" ref="D76"/>
    <hyperlink r:id="rId94" ref="K76"/>
    <hyperlink r:id="rId95" ref="D77"/>
    <hyperlink r:id="rId96" ref="K77"/>
    <hyperlink r:id="rId97" ref="D78"/>
    <hyperlink r:id="rId98" ref="D79"/>
    <hyperlink r:id="rId99" ref="K79"/>
    <hyperlink r:id="rId100" ref="D80"/>
    <hyperlink r:id="rId101" ref="K80"/>
    <hyperlink r:id="rId102" ref="D81"/>
    <hyperlink r:id="rId103" ref="K81"/>
    <hyperlink r:id="rId104" ref="D82"/>
    <hyperlink r:id="rId105" ref="D83"/>
    <hyperlink r:id="rId106" ref="D84"/>
    <hyperlink r:id="rId107" ref="D85"/>
    <hyperlink r:id="rId108" ref="K85"/>
    <hyperlink r:id="rId109" ref="D86"/>
    <hyperlink r:id="rId110" ref="D87"/>
    <hyperlink r:id="rId111" ref="K87"/>
    <hyperlink r:id="rId112" ref="D88"/>
    <hyperlink r:id="rId113" ref="D89"/>
    <hyperlink r:id="rId114" ref="D90"/>
    <hyperlink r:id="rId115" ref="D91"/>
    <hyperlink r:id="rId116" ref="D92"/>
    <hyperlink r:id="rId117" ref="D93"/>
    <hyperlink r:id="rId118" ref="D94"/>
    <hyperlink r:id="rId119" ref="D95"/>
    <hyperlink r:id="rId120" ref="D96"/>
    <hyperlink r:id="rId121" ref="K96"/>
    <hyperlink r:id="rId122" ref="D97"/>
    <hyperlink r:id="rId123" ref="K97"/>
    <hyperlink r:id="rId124" ref="D98"/>
    <hyperlink r:id="rId125" ref="K98"/>
    <hyperlink r:id="rId126" ref="D99"/>
    <hyperlink r:id="rId127" ref="D100"/>
    <hyperlink r:id="rId128" ref="D101"/>
    <hyperlink r:id="rId129" ref="D102"/>
    <hyperlink r:id="rId130" ref="D103"/>
    <hyperlink r:id="rId131" ref="D104"/>
    <hyperlink r:id="rId132" ref="D105"/>
    <hyperlink r:id="rId133" ref="D106"/>
    <hyperlink r:id="rId134" ref="D107"/>
    <hyperlink r:id="rId135" ref="D108"/>
    <hyperlink r:id="rId136" ref="D109"/>
    <hyperlink r:id="rId137" ref="D110"/>
    <hyperlink r:id="rId138" ref="D111"/>
    <hyperlink r:id="rId139" ref="D112"/>
    <hyperlink r:id="rId140" ref="D113"/>
    <hyperlink r:id="rId141" ref="D114"/>
    <hyperlink r:id="rId142" ref="D115"/>
    <hyperlink r:id="rId143" ref="K115"/>
    <hyperlink r:id="rId144" ref="D116"/>
    <hyperlink r:id="rId145" ref="D117"/>
    <hyperlink r:id="rId146" ref="D118"/>
    <hyperlink r:id="rId147" ref="K118"/>
    <hyperlink r:id="rId148" ref="D119"/>
    <hyperlink r:id="rId149" ref="D120"/>
    <hyperlink r:id="rId150" ref="K120"/>
    <hyperlink r:id="rId151" ref="D121"/>
    <hyperlink r:id="rId152" ref="D122"/>
    <hyperlink r:id="rId153" ref="D123"/>
    <hyperlink r:id="rId154" ref="D124"/>
    <hyperlink r:id="rId155" ref="D125"/>
    <hyperlink r:id="rId156" ref="D126"/>
    <hyperlink r:id="rId157" ref="D127"/>
    <hyperlink r:id="rId158" ref="D128"/>
    <hyperlink r:id="rId159" ref="D129"/>
    <hyperlink r:id="rId160" ref="D130"/>
    <hyperlink r:id="rId161" ref="K130"/>
    <hyperlink r:id="rId162" ref="D131"/>
    <hyperlink r:id="rId163" ref="K131"/>
    <hyperlink r:id="rId164" ref="D132"/>
    <hyperlink r:id="rId165" ref="D133"/>
    <hyperlink r:id="rId166" ref="K133"/>
    <hyperlink r:id="rId167" ref="D134"/>
    <hyperlink r:id="rId168" ref="K134"/>
    <hyperlink r:id="rId169" ref="D135"/>
    <hyperlink r:id="rId170" ref="D136"/>
    <hyperlink r:id="rId171" ref="D137"/>
    <hyperlink r:id="rId172" ref="K137"/>
    <hyperlink r:id="rId173" ref="D138"/>
    <hyperlink r:id="rId174" ref="D139"/>
    <hyperlink r:id="rId175" ref="K139"/>
    <hyperlink r:id="rId176" ref="D140"/>
    <hyperlink r:id="rId177" ref="D141"/>
    <hyperlink r:id="rId178" ref="D142"/>
    <hyperlink r:id="rId179" ref="D143"/>
    <hyperlink r:id="rId180" ref="D144"/>
    <hyperlink r:id="rId181" ref="D145"/>
    <hyperlink r:id="rId182" ref="K145"/>
    <hyperlink r:id="rId183" ref="D146"/>
    <hyperlink r:id="rId184" ref="D147"/>
    <hyperlink r:id="rId185" ref="D148"/>
    <hyperlink r:id="rId186" ref="D149"/>
    <hyperlink r:id="rId187" ref="D150"/>
    <hyperlink r:id="rId188" ref="K150"/>
    <hyperlink r:id="rId189" ref="D151"/>
    <hyperlink r:id="rId190" ref="K151"/>
    <hyperlink r:id="rId191" ref="D152"/>
    <hyperlink r:id="rId192" ref="D153"/>
    <hyperlink r:id="rId193" ref="D154"/>
    <hyperlink r:id="rId194" ref="D155"/>
    <hyperlink r:id="rId195" ref="D156"/>
    <hyperlink r:id="rId196" ref="D157"/>
    <hyperlink r:id="rId197" ref="D158"/>
    <hyperlink r:id="rId198" ref="D159"/>
    <hyperlink r:id="rId199" ref="K159"/>
    <hyperlink r:id="rId200" ref="D160"/>
    <hyperlink r:id="rId201" ref="K160"/>
    <hyperlink r:id="rId202" ref="D161"/>
    <hyperlink r:id="rId203" ref="D162"/>
    <hyperlink r:id="rId204" ref="K162"/>
    <hyperlink r:id="rId205" ref="D163"/>
    <hyperlink r:id="rId206" ref="D164"/>
    <hyperlink r:id="rId207" ref="D165"/>
    <hyperlink r:id="rId208" ref="D166"/>
    <hyperlink r:id="rId209" ref="K166"/>
    <hyperlink r:id="rId210" ref="D167"/>
    <hyperlink r:id="rId211" ref="D168"/>
    <hyperlink r:id="rId212" ref="D169"/>
    <hyperlink r:id="rId213" ref="D170"/>
    <hyperlink r:id="rId214" ref="D171"/>
    <hyperlink r:id="rId215" ref="D172"/>
    <hyperlink r:id="rId216" ref="D173"/>
    <hyperlink r:id="rId217" ref="D174"/>
    <hyperlink r:id="rId218" ref="D175"/>
    <hyperlink r:id="rId219" ref="D176"/>
    <hyperlink r:id="rId220" ref="D177"/>
    <hyperlink r:id="rId221" ref="D178"/>
    <hyperlink r:id="rId222" ref="D179"/>
    <hyperlink r:id="rId223" ref="K179"/>
    <hyperlink r:id="rId224" ref="D180"/>
    <hyperlink r:id="rId225" ref="K180"/>
    <hyperlink r:id="rId226" ref="D181"/>
    <hyperlink r:id="rId227" ref="K181"/>
    <hyperlink r:id="rId228" ref="D182"/>
    <hyperlink r:id="rId229" ref="K182"/>
    <hyperlink r:id="rId230" ref="D183"/>
    <hyperlink r:id="rId231" ref="D184"/>
    <hyperlink r:id="rId232" ref="D185"/>
    <hyperlink r:id="rId233" ref="D186"/>
    <hyperlink r:id="rId234" ref="D187"/>
    <hyperlink r:id="rId235" ref="D188"/>
    <hyperlink r:id="rId236" ref="D189"/>
    <hyperlink r:id="rId237" ref="K189"/>
    <hyperlink r:id="rId238" ref="D190"/>
    <hyperlink r:id="rId239" ref="D191"/>
    <hyperlink r:id="rId240" ref="K191"/>
    <hyperlink r:id="rId241" ref="D192"/>
    <hyperlink r:id="rId242" ref="D193"/>
    <hyperlink r:id="rId243" ref="K193"/>
    <hyperlink r:id="rId244" ref="D194"/>
    <hyperlink r:id="rId245" ref="D195"/>
    <hyperlink r:id="rId246" ref="D196"/>
    <hyperlink r:id="rId247" ref="D197"/>
    <hyperlink r:id="rId248" ref="K197"/>
    <hyperlink r:id="rId249" ref="D198"/>
    <hyperlink r:id="rId250" ref="D199"/>
    <hyperlink r:id="rId251" ref="D200"/>
    <hyperlink r:id="rId252" ref="D201"/>
    <hyperlink r:id="rId253" ref="D202"/>
    <hyperlink r:id="rId254" ref="D203"/>
    <hyperlink r:id="rId255" ref="D204"/>
    <hyperlink r:id="rId256" ref="D205"/>
    <hyperlink r:id="rId257" ref="K205"/>
    <hyperlink r:id="rId258" ref="D206"/>
    <hyperlink r:id="rId259" ref="D207"/>
    <hyperlink r:id="rId260" ref="D208"/>
    <hyperlink r:id="rId261" ref="D209"/>
    <hyperlink r:id="rId262" ref="D210"/>
    <hyperlink r:id="rId263" ref="D211"/>
    <hyperlink r:id="rId264" ref="D212"/>
    <hyperlink r:id="rId265" ref="K212"/>
    <hyperlink r:id="rId266" ref="D213"/>
    <hyperlink r:id="rId267" ref="D214"/>
    <hyperlink r:id="rId268" ref="D215"/>
    <hyperlink r:id="rId269" ref="D216"/>
    <hyperlink r:id="rId270" ref="D217"/>
    <hyperlink r:id="rId271" ref="D218"/>
    <hyperlink r:id="rId272" ref="D219"/>
    <hyperlink r:id="rId273" ref="K219"/>
    <hyperlink r:id="rId274" ref="D220"/>
    <hyperlink r:id="rId275" ref="K220"/>
    <hyperlink r:id="rId276" ref="D221"/>
    <hyperlink r:id="rId277" ref="D222"/>
    <hyperlink r:id="rId278" ref="D223"/>
    <hyperlink r:id="rId279" ref="K223"/>
    <hyperlink r:id="rId280" ref="D224"/>
    <hyperlink r:id="rId281" ref="K224"/>
    <hyperlink r:id="rId282" ref="D225"/>
    <hyperlink r:id="rId283" ref="D226"/>
    <hyperlink r:id="rId284" ref="D227"/>
    <hyperlink r:id="rId285" ref="K227"/>
    <hyperlink r:id="rId286" ref="D228"/>
    <hyperlink r:id="rId287" ref="D229"/>
    <hyperlink r:id="rId288" ref="D230"/>
    <hyperlink r:id="rId289" ref="D231"/>
    <hyperlink r:id="rId290" ref="D232"/>
    <hyperlink r:id="rId291" ref="D233"/>
    <hyperlink r:id="rId292" ref="D234"/>
    <hyperlink r:id="rId293" ref="D235"/>
    <hyperlink r:id="rId294" ref="K235"/>
    <hyperlink r:id="rId295" ref="D236"/>
    <hyperlink r:id="rId296" ref="D237"/>
    <hyperlink r:id="rId297" ref="D238"/>
    <hyperlink r:id="rId298" ref="D239"/>
    <hyperlink r:id="rId299" ref="K239"/>
    <hyperlink r:id="rId300" ref="D240"/>
    <hyperlink r:id="rId301" ref="D241"/>
    <hyperlink r:id="rId302" ref="D242"/>
    <hyperlink r:id="rId303" ref="D243"/>
    <hyperlink r:id="rId304" ref="D244"/>
    <hyperlink r:id="rId305" ref="D245"/>
    <hyperlink r:id="rId306" ref="D246"/>
    <hyperlink r:id="rId307" ref="D247"/>
    <hyperlink r:id="rId308" ref="D248"/>
    <hyperlink r:id="rId309" ref="D249"/>
    <hyperlink r:id="rId310" ref="D250"/>
    <hyperlink r:id="rId311" ref="D251"/>
    <hyperlink r:id="rId312" ref="D252"/>
    <hyperlink r:id="rId313" ref="D253"/>
    <hyperlink r:id="rId314" ref="D254"/>
    <hyperlink r:id="rId315" ref="D255"/>
    <hyperlink r:id="rId316" ref="D256"/>
    <hyperlink r:id="rId317" ref="D257"/>
    <hyperlink r:id="rId318" ref="D258"/>
    <hyperlink r:id="rId319" ref="D259"/>
    <hyperlink r:id="rId320" ref="D260"/>
    <hyperlink r:id="rId321" ref="D261"/>
    <hyperlink r:id="rId322" ref="D262"/>
    <hyperlink r:id="rId323" ref="D263"/>
    <hyperlink r:id="rId324" ref="K263"/>
    <hyperlink r:id="rId325" ref="D264"/>
    <hyperlink r:id="rId326" ref="D265"/>
    <hyperlink r:id="rId327" ref="D266"/>
    <hyperlink r:id="rId328" ref="D267"/>
    <hyperlink r:id="rId329" ref="D268"/>
    <hyperlink r:id="rId330" ref="D269"/>
    <hyperlink r:id="rId331" ref="K269"/>
    <hyperlink r:id="rId332" ref="D270"/>
    <hyperlink r:id="rId333" ref="D271"/>
    <hyperlink r:id="rId334" ref="D272"/>
    <hyperlink r:id="rId335" ref="D273"/>
    <hyperlink r:id="rId336" ref="D274"/>
    <hyperlink r:id="rId337" ref="D275"/>
    <hyperlink r:id="rId338" ref="K275"/>
    <hyperlink r:id="rId339" ref="D276"/>
    <hyperlink r:id="rId340" ref="D277"/>
    <hyperlink r:id="rId341" ref="K277"/>
    <hyperlink r:id="rId342" ref="D278"/>
    <hyperlink r:id="rId343" ref="D279"/>
    <hyperlink r:id="rId344" ref="D280"/>
    <hyperlink r:id="rId345" ref="D281"/>
    <hyperlink r:id="rId346" ref="D282"/>
    <hyperlink r:id="rId347" ref="D283"/>
    <hyperlink r:id="rId348" ref="D284"/>
    <hyperlink r:id="rId349" ref="D285"/>
    <hyperlink r:id="rId350" ref="D286"/>
    <hyperlink r:id="rId351" ref="K286"/>
    <hyperlink r:id="rId352" ref="D287"/>
    <hyperlink r:id="rId353" ref="K287"/>
    <hyperlink r:id="rId354" ref="D288"/>
    <hyperlink r:id="rId355" ref="K288"/>
    <hyperlink r:id="rId356" ref="D289"/>
    <hyperlink r:id="rId357" ref="D290"/>
    <hyperlink r:id="rId358" ref="D291"/>
    <hyperlink r:id="rId359" ref="D292"/>
    <hyperlink r:id="rId360" ref="D293"/>
    <hyperlink r:id="rId361" ref="D294"/>
    <hyperlink r:id="rId362" ref="D295"/>
    <hyperlink r:id="rId363" ref="K295"/>
    <hyperlink r:id="rId364" ref="D296"/>
    <hyperlink r:id="rId365" ref="K296"/>
    <hyperlink r:id="rId366" ref="D297"/>
    <hyperlink r:id="rId367" ref="K297"/>
    <hyperlink r:id="rId368" ref="D298"/>
    <hyperlink r:id="rId369" ref="K298"/>
    <hyperlink r:id="rId370" ref="D299"/>
    <hyperlink r:id="rId371" ref="K299"/>
    <hyperlink r:id="rId372" ref="D300"/>
    <hyperlink r:id="rId373" ref="K300"/>
    <hyperlink r:id="rId374" ref="D301"/>
    <hyperlink r:id="rId375" ref="K301"/>
    <hyperlink r:id="rId376" ref="D302"/>
    <hyperlink r:id="rId377" ref="D303"/>
    <hyperlink r:id="rId378" ref="D304"/>
    <hyperlink r:id="rId379" ref="D305"/>
    <hyperlink r:id="rId380" ref="D306"/>
    <hyperlink r:id="rId381" ref="D307"/>
    <hyperlink r:id="rId382" ref="D308"/>
    <hyperlink r:id="rId383" ref="D309"/>
    <hyperlink r:id="rId384" ref="D310"/>
    <hyperlink r:id="rId385" ref="D311"/>
    <hyperlink r:id="rId386" ref="D312"/>
    <hyperlink r:id="rId387" ref="D313"/>
    <hyperlink r:id="rId388" ref="D314"/>
    <hyperlink r:id="rId389" ref="D315"/>
    <hyperlink r:id="rId390" ref="D316"/>
    <hyperlink r:id="rId391" ref="D317"/>
    <hyperlink r:id="rId392" ref="D318"/>
    <hyperlink r:id="rId393" ref="D319"/>
    <hyperlink r:id="rId394" ref="D320"/>
    <hyperlink r:id="rId395" ref="D321"/>
    <hyperlink r:id="rId396" ref="D322"/>
    <hyperlink r:id="rId397" ref="D323"/>
    <hyperlink r:id="rId398" ref="D324"/>
    <hyperlink r:id="rId399" ref="D325"/>
    <hyperlink r:id="rId400" ref="D326"/>
    <hyperlink r:id="rId401" ref="D327"/>
    <hyperlink r:id="rId402" ref="D328"/>
    <hyperlink r:id="rId403" ref="D329"/>
    <hyperlink r:id="rId404" ref="D330"/>
    <hyperlink r:id="rId405" ref="D331"/>
    <hyperlink r:id="rId406" ref="D332"/>
    <hyperlink r:id="rId407" ref="D333"/>
    <hyperlink r:id="rId408" ref="D334"/>
    <hyperlink r:id="rId409" ref="D335"/>
    <hyperlink r:id="rId410" ref="D336"/>
    <hyperlink r:id="rId411" ref="D337"/>
    <hyperlink r:id="rId412" ref="D338"/>
    <hyperlink r:id="rId413" ref="D339"/>
    <hyperlink r:id="rId414" ref="D340"/>
    <hyperlink r:id="rId415" ref="D341"/>
    <hyperlink r:id="rId416" ref="D342"/>
    <hyperlink r:id="rId417" ref="D343"/>
    <hyperlink r:id="rId418" ref="D344"/>
    <hyperlink r:id="rId419" ref="D345"/>
    <hyperlink r:id="rId420" ref="D346"/>
    <hyperlink r:id="rId421" ref="D347"/>
    <hyperlink r:id="rId422" ref="D348"/>
    <hyperlink r:id="rId423" ref="K348"/>
    <hyperlink r:id="rId424" ref="D349"/>
    <hyperlink r:id="rId425" ref="K349"/>
    <hyperlink r:id="rId426" ref="D350"/>
    <hyperlink r:id="rId427" ref="D351"/>
    <hyperlink r:id="rId428" ref="K351"/>
    <hyperlink r:id="rId429" ref="D352"/>
    <hyperlink r:id="rId430" ref="K352"/>
    <hyperlink r:id="rId431" ref="D353"/>
    <hyperlink r:id="rId432" ref="D354"/>
    <hyperlink r:id="rId433" ref="D355"/>
    <hyperlink r:id="rId434" ref="D356"/>
    <hyperlink r:id="rId435" ref="K356"/>
    <hyperlink r:id="rId436" ref="D357"/>
    <hyperlink r:id="rId437" ref="D358"/>
    <hyperlink r:id="rId438" ref="D359"/>
    <hyperlink r:id="rId439" ref="D360"/>
    <hyperlink r:id="rId440" ref="D361"/>
    <hyperlink r:id="rId441" ref="D362"/>
    <hyperlink r:id="rId442" ref="D363"/>
    <hyperlink r:id="rId443" ref="D364"/>
    <hyperlink r:id="rId444" ref="D365"/>
    <hyperlink r:id="rId445" ref="D366"/>
    <hyperlink r:id="rId446" ref="D367"/>
    <hyperlink r:id="rId447" ref="D368"/>
    <hyperlink r:id="rId448" ref="D369"/>
    <hyperlink r:id="rId449" ref="D370"/>
    <hyperlink r:id="rId450" ref="D371"/>
    <hyperlink r:id="rId451" ref="D372"/>
    <hyperlink r:id="rId452" ref="K372"/>
    <hyperlink r:id="rId453" ref="D373"/>
    <hyperlink r:id="rId454" ref="D374"/>
    <hyperlink r:id="rId455" ref="D375"/>
    <hyperlink r:id="rId456" ref="D376"/>
    <hyperlink r:id="rId457" ref="D377"/>
    <hyperlink r:id="rId458" ref="D378"/>
    <hyperlink r:id="rId459" ref="D379"/>
    <hyperlink r:id="rId460" ref="D380"/>
    <hyperlink r:id="rId461" ref="D381"/>
    <hyperlink r:id="rId462" ref="D382"/>
    <hyperlink r:id="rId463" ref="K382"/>
    <hyperlink r:id="rId464" ref="D383"/>
    <hyperlink r:id="rId465" ref="D384"/>
    <hyperlink r:id="rId466" ref="K384"/>
    <hyperlink r:id="rId467" ref="D385"/>
    <hyperlink r:id="rId468" ref="K385"/>
    <hyperlink r:id="rId469" ref="D386"/>
    <hyperlink r:id="rId470" ref="D387"/>
    <hyperlink r:id="rId471" ref="D388"/>
    <hyperlink r:id="rId472" ref="D389"/>
    <hyperlink r:id="rId473" ref="D390"/>
    <hyperlink r:id="rId474" ref="D391"/>
    <hyperlink r:id="rId475" ref="D392"/>
    <hyperlink r:id="rId476" ref="D393"/>
    <hyperlink r:id="rId477" ref="D394"/>
    <hyperlink r:id="rId478" ref="D395"/>
    <hyperlink r:id="rId479" ref="D396"/>
    <hyperlink r:id="rId480" ref="D397"/>
    <hyperlink r:id="rId481" ref="D398"/>
    <hyperlink r:id="rId482" ref="K398"/>
    <hyperlink r:id="rId483" ref="D399"/>
    <hyperlink r:id="rId484" ref="D400"/>
    <hyperlink r:id="rId485" ref="K400"/>
    <hyperlink r:id="rId486" ref="D401"/>
    <hyperlink r:id="rId487" ref="D402"/>
    <hyperlink r:id="rId488" ref="D403"/>
    <hyperlink r:id="rId489" ref="D404"/>
    <hyperlink r:id="rId490" ref="D405"/>
    <hyperlink r:id="rId491" ref="D406"/>
    <hyperlink r:id="rId492" ref="D407"/>
    <hyperlink r:id="rId493" ref="D408"/>
    <hyperlink r:id="rId494" ref="D409"/>
    <hyperlink r:id="rId495" ref="D410"/>
    <hyperlink r:id="rId496" ref="D411"/>
    <hyperlink r:id="rId497" ref="D412"/>
    <hyperlink r:id="rId498" ref="D413"/>
    <hyperlink r:id="rId499" ref="D414"/>
    <hyperlink r:id="rId500" ref="K414"/>
    <hyperlink r:id="rId501" ref="D415"/>
    <hyperlink r:id="rId502" ref="D416"/>
    <hyperlink r:id="rId503" ref="D417"/>
    <hyperlink r:id="rId504" ref="D418"/>
    <hyperlink r:id="rId505" ref="D419"/>
    <hyperlink r:id="rId506" ref="D420"/>
    <hyperlink r:id="rId507" ref="D421"/>
    <hyperlink r:id="rId508" ref="D422"/>
    <hyperlink r:id="rId509" ref="D423"/>
    <hyperlink r:id="rId510" ref="D424"/>
    <hyperlink r:id="rId511" ref="D425"/>
    <hyperlink r:id="rId512" ref="D426"/>
    <hyperlink r:id="rId513" ref="D427"/>
    <hyperlink r:id="rId514" ref="D428"/>
    <hyperlink r:id="rId515" ref="D429"/>
    <hyperlink r:id="rId516" ref="D430"/>
    <hyperlink r:id="rId517" ref="D431"/>
    <hyperlink r:id="rId518" ref="D432"/>
    <hyperlink r:id="rId519" ref="D433"/>
    <hyperlink r:id="rId520" ref="D434"/>
    <hyperlink r:id="rId521" ref="D435"/>
    <hyperlink r:id="rId522" ref="D436"/>
    <hyperlink r:id="rId523" ref="D437"/>
    <hyperlink r:id="rId524" ref="D438"/>
    <hyperlink r:id="rId525" ref="D439"/>
    <hyperlink r:id="rId526" ref="D440"/>
    <hyperlink r:id="rId527" ref="D441"/>
    <hyperlink r:id="rId528" ref="D442"/>
    <hyperlink r:id="rId529" ref="D443"/>
    <hyperlink r:id="rId530" ref="K443"/>
    <hyperlink r:id="rId531" ref="D444"/>
    <hyperlink r:id="rId532" ref="K444"/>
    <hyperlink r:id="rId533" ref="D445"/>
    <hyperlink r:id="rId534" ref="K445"/>
    <hyperlink r:id="rId535" ref="D446"/>
    <hyperlink r:id="rId536" ref="D447"/>
    <hyperlink r:id="rId537" ref="K447"/>
    <hyperlink r:id="rId538" ref="D448"/>
    <hyperlink r:id="rId539" ref="D449"/>
    <hyperlink r:id="rId540" ref="D450"/>
    <hyperlink r:id="rId541" ref="K450"/>
    <hyperlink r:id="rId542" ref="D451"/>
    <hyperlink r:id="rId543" ref="D452"/>
    <hyperlink r:id="rId544" ref="D453"/>
    <hyperlink r:id="rId545" ref="D454"/>
    <hyperlink r:id="rId546" ref="D455"/>
    <hyperlink r:id="rId547" ref="D456"/>
    <hyperlink r:id="rId548" ref="D457"/>
    <hyperlink r:id="rId549" ref="D458"/>
    <hyperlink r:id="rId550" ref="D459"/>
    <hyperlink r:id="rId551" ref="D460"/>
    <hyperlink r:id="rId552" ref="D461"/>
    <hyperlink r:id="rId553" ref="D462"/>
    <hyperlink r:id="rId554" ref="D463"/>
    <hyperlink r:id="rId555" ref="D464"/>
    <hyperlink r:id="rId556" ref="D465"/>
    <hyperlink r:id="rId557" ref="D466"/>
    <hyperlink r:id="rId558" ref="K466"/>
    <hyperlink r:id="rId559" ref="D467"/>
    <hyperlink r:id="rId560" ref="D468"/>
    <hyperlink r:id="rId561" ref="D469"/>
    <hyperlink r:id="rId562" ref="D470"/>
    <hyperlink r:id="rId563" ref="D471"/>
    <hyperlink r:id="rId564" ref="K471"/>
    <hyperlink r:id="rId565" ref="D472"/>
    <hyperlink r:id="rId566" ref="D473"/>
    <hyperlink r:id="rId567" ref="K473"/>
    <hyperlink r:id="rId568" ref="D474"/>
    <hyperlink r:id="rId569" ref="K474"/>
    <hyperlink r:id="rId570" ref="D475"/>
    <hyperlink r:id="rId571" ref="D476"/>
    <hyperlink r:id="rId572" ref="D477"/>
    <hyperlink r:id="rId573" ref="D478"/>
    <hyperlink r:id="rId574" ref="D479"/>
    <hyperlink r:id="rId575" ref="D480"/>
    <hyperlink r:id="rId576" ref="D481"/>
    <hyperlink r:id="rId577" ref="D482"/>
    <hyperlink r:id="rId578" ref="K482"/>
    <hyperlink r:id="rId579" ref="D483"/>
    <hyperlink r:id="rId580" ref="K483"/>
    <hyperlink r:id="rId581" ref="D484"/>
    <hyperlink r:id="rId582" ref="D485"/>
    <hyperlink r:id="rId583" ref="D486"/>
    <hyperlink r:id="rId584" ref="D487"/>
    <hyperlink r:id="rId585" ref="K487"/>
    <hyperlink r:id="rId586" ref="D488"/>
    <hyperlink r:id="rId587" ref="K488"/>
    <hyperlink r:id="rId588" ref="D489"/>
    <hyperlink r:id="rId589" ref="D490"/>
    <hyperlink r:id="rId590" ref="D491"/>
    <hyperlink r:id="rId591" ref="D492"/>
    <hyperlink r:id="rId592" ref="D493"/>
    <hyperlink r:id="rId593" ref="D494"/>
    <hyperlink r:id="rId594" ref="D495"/>
    <hyperlink r:id="rId595" ref="K495"/>
    <hyperlink r:id="rId596" ref="D496"/>
    <hyperlink r:id="rId597" ref="D497"/>
    <hyperlink r:id="rId598" ref="D498"/>
    <hyperlink r:id="rId599" ref="D499"/>
  </hyperlinks>
  <drawing r:id="rId60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8.0" topLeftCell="E9" activePane="bottomRight" state="frozen"/>
      <selection activeCell="E1" sqref="E1" pane="topRight"/>
      <selection activeCell="A9" sqref="A9" pane="bottomLeft"/>
      <selection activeCell="E9" sqref="E9" pane="bottomRight"/>
    </sheetView>
  </sheetViews>
  <sheetFormatPr customHeight="1" defaultColWidth="12.63" defaultRowHeight="15.75" outlineLevelCol="1"/>
  <cols>
    <col customWidth="1" min="1" max="1" width="15.38"/>
    <col customWidth="1" min="2" max="2" width="15.13"/>
    <col customWidth="1" min="3" max="3" width="16.0"/>
    <col customWidth="1" min="4" max="4" width="9.38"/>
    <col customWidth="1" min="5" max="5" width="21.63"/>
    <col customWidth="1" min="6" max="6" width="11.63"/>
    <col customWidth="1" min="7" max="7" width="23.5"/>
    <col customWidth="1" min="8" max="8" width="18.5"/>
    <col customWidth="1" min="9" max="9" width="12.88"/>
    <col customWidth="1" min="10" max="10" width="10.88"/>
    <col customWidth="1" min="11" max="11" width="8.5"/>
    <col customWidth="1" min="12" max="12" width="22.0"/>
    <col customWidth="1" min="13" max="13" width="7.25"/>
    <col customWidth="1" min="14" max="15" width="5.0"/>
    <col customWidth="1" min="16" max="16" width="5.75"/>
    <col customWidth="1" min="17" max="17" width="9.5"/>
    <col customWidth="1" min="18" max="18" width="7.25"/>
    <col customWidth="1" min="19" max="19" width="7.63"/>
    <col customWidth="1" min="20" max="20" width="6.38"/>
    <col customWidth="1" min="21" max="21" width="6.0"/>
    <col customWidth="1" min="22" max="22" width="6.88"/>
    <col customWidth="1" min="23" max="23" width="8.25"/>
    <col customWidth="1" min="24" max="24" width="17.5"/>
    <col customWidth="1" min="25" max="25" width="16.5"/>
    <col customWidth="1" min="26" max="26" width="11.88"/>
    <col customWidth="1" min="27" max="27" width="9.63"/>
    <col customWidth="1" min="28" max="28" width="17.5"/>
    <col customWidth="1" min="29" max="29" width="16.75"/>
    <col customWidth="1" min="30" max="30" width="16.0"/>
    <col customWidth="1" min="31" max="31" width="9.25"/>
    <col customWidth="1" min="32" max="32" width="10.0"/>
    <col customWidth="1" min="33" max="33" width="15.75"/>
    <col customWidth="1" min="34" max="34" width="17.75"/>
    <col customWidth="1" min="35" max="35" width="16.38"/>
    <col customWidth="1" min="36" max="36" width="9.75"/>
    <col customWidth="1" min="37" max="37" width="8.63"/>
    <col customWidth="1" min="38" max="38" width="19.38"/>
    <col customWidth="1" min="39" max="39" width="23.13"/>
    <col customWidth="1" min="40" max="40" width="14.88"/>
    <col customWidth="1" min="41" max="41" width="15.25"/>
    <col customWidth="1" min="42" max="43" width="15.25" outlineLevel="1"/>
    <col customWidth="1" min="44" max="45" width="16.5" outlineLevel="1"/>
    <col customWidth="1" min="46" max="47" width="15.25" outlineLevel="1"/>
    <col customWidth="1" min="48" max="51" width="15.25"/>
  </cols>
  <sheetData>
    <row r="1" hidden="1">
      <c r="A1" s="10">
        <f>now()</f>
        <v>46276.444</v>
      </c>
      <c r="B1" s="14">
        <f>19.5/24-9.5/24</f>
        <v>0.4166666667</v>
      </c>
      <c r="C1" s="15">
        <v>9.5</v>
      </c>
      <c r="D1" s="14">
        <v>19.5</v>
      </c>
      <c r="E1" s="16"/>
      <c r="F1" s="14"/>
      <c r="G1" s="16" t="s">
        <v>53</v>
      </c>
      <c r="H1" s="14" t="s">
        <v>54</v>
      </c>
      <c r="I1" s="14"/>
      <c r="J1" s="14"/>
      <c r="K1" s="14"/>
      <c r="L1" s="16"/>
      <c r="M1" s="19" t="s">
        <v>57</v>
      </c>
      <c r="N1" s="20"/>
      <c r="O1" s="20"/>
      <c r="P1" s="20"/>
      <c r="Q1" s="20"/>
      <c r="R1" s="21"/>
      <c r="S1" s="22"/>
      <c r="T1" s="23"/>
      <c r="U1" s="22"/>
      <c r="V1" s="24"/>
      <c r="W1" s="22"/>
      <c r="X1" s="22"/>
      <c r="Y1" s="24"/>
      <c r="Z1" s="22"/>
      <c r="AA1" s="22"/>
      <c r="AB1" s="14"/>
      <c r="AC1" s="25"/>
      <c r="AD1" s="20"/>
      <c r="AE1" s="20"/>
      <c r="AF1" s="20"/>
      <c r="AG1" s="20"/>
      <c r="AH1" s="20"/>
      <c r="AI1" s="20"/>
      <c r="AJ1" s="20"/>
      <c r="AK1" s="20"/>
      <c r="AL1" s="21"/>
      <c r="AM1" s="26"/>
      <c r="AN1" s="26"/>
      <c r="AO1" s="27"/>
      <c r="AP1" s="27"/>
      <c r="AQ1" s="27"/>
      <c r="AR1" s="27"/>
      <c r="AS1" s="27"/>
      <c r="AT1" s="27"/>
      <c r="AU1" s="27"/>
      <c r="AV1" s="27"/>
      <c r="AW1" s="27"/>
      <c r="AX1" s="27"/>
      <c r="AY1" s="27"/>
    </row>
    <row r="2">
      <c r="A2" s="28">
        <f>TODAY()</f>
        <v>46276</v>
      </c>
      <c r="B2" s="29" t="s">
        <v>95</v>
      </c>
      <c r="C2" s="30"/>
      <c r="D2" s="29"/>
      <c r="E2" s="31"/>
      <c r="F2" s="20"/>
      <c r="G2" s="20"/>
      <c r="H2" s="20"/>
      <c r="I2" s="20"/>
      <c r="J2" s="20"/>
      <c r="K2" s="20"/>
      <c r="L2" s="21"/>
      <c r="M2" s="32" t="s">
        <v>102</v>
      </c>
      <c r="N2" s="20"/>
      <c r="O2" s="20"/>
      <c r="P2" s="20"/>
      <c r="Q2" s="20"/>
      <c r="R2" s="21"/>
      <c r="S2" s="32"/>
      <c r="T2" s="20"/>
      <c r="U2" s="20"/>
      <c r="V2" s="20"/>
      <c r="W2" s="21"/>
      <c r="X2" s="32" t="s">
        <v>110</v>
      </c>
      <c r="Y2" s="20"/>
      <c r="Z2" s="20"/>
      <c r="AA2" s="20"/>
      <c r="AB2" s="21"/>
      <c r="AC2" s="33"/>
      <c r="AD2" s="20"/>
      <c r="AE2" s="20"/>
      <c r="AF2" s="20"/>
      <c r="AG2" s="21"/>
      <c r="AH2" s="33"/>
      <c r="AI2" s="20"/>
      <c r="AJ2" s="20"/>
      <c r="AK2" s="20"/>
      <c r="AL2" s="21"/>
      <c r="AM2" s="34"/>
      <c r="AN2" s="34"/>
      <c r="AO2" s="35"/>
      <c r="AP2" s="35"/>
      <c r="AQ2" s="35"/>
      <c r="AR2" s="35"/>
      <c r="AS2" s="35"/>
      <c r="AT2" s="35"/>
      <c r="AU2" s="35"/>
      <c r="AV2" s="35"/>
      <c r="AW2" s="35"/>
      <c r="AX2" s="35"/>
      <c r="AY2" s="35"/>
    </row>
    <row r="3" ht="22.5" customHeight="1">
      <c r="A3" s="36"/>
      <c r="B3" s="37"/>
      <c r="C3" s="38"/>
      <c r="D3" s="37"/>
      <c r="E3" s="39"/>
      <c r="F3" s="37"/>
      <c r="G3" s="40"/>
      <c r="H3" s="37"/>
      <c r="I3" s="20"/>
      <c r="J3" s="20"/>
      <c r="K3" s="20"/>
      <c r="L3" s="21"/>
      <c r="M3" s="41" t="s">
        <v>9</v>
      </c>
      <c r="N3" s="20"/>
      <c r="O3" s="20"/>
      <c r="P3" s="20"/>
      <c r="Q3" s="20"/>
      <c r="R3" s="21"/>
      <c r="S3" s="42" t="s">
        <v>16</v>
      </c>
      <c r="T3" s="43"/>
      <c r="U3" s="43"/>
      <c r="V3" s="43"/>
      <c r="W3" s="44"/>
      <c r="X3" s="45" t="s">
        <v>20</v>
      </c>
      <c r="Y3" s="43"/>
      <c r="Z3" s="43"/>
      <c r="AA3" s="43"/>
      <c r="AB3" s="44"/>
      <c r="AC3" s="45" t="s">
        <v>23</v>
      </c>
      <c r="AD3" s="43"/>
      <c r="AE3" s="43"/>
      <c r="AF3" s="43"/>
      <c r="AG3" s="44"/>
      <c r="AH3" s="45" t="s">
        <v>25</v>
      </c>
      <c r="AI3" s="43"/>
      <c r="AJ3" s="43"/>
      <c r="AK3" s="43"/>
      <c r="AL3" s="44"/>
      <c r="AM3" s="46"/>
      <c r="AN3" s="46"/>
      <c r="AO3" s="48"/>
      <c r="AP3" s="48"/>
      <c r="AQ3" s="48"/>
      <c r="AR3" s="48"/>
      <c r="AS3" s="48"/>
      <c r="AT3" s="48"/>
      <c r="AU3" s="48"/>
      <c r="AV3" s="48"/>
      <c r="AW3" s="48"/>
      <c r="AX3" s="48"/>
      <c r="AY3" s="48"/>
    </row>
    <row r="4">
      <c r="A4" s="49" t="s">
        <v>159</v>
      </c>
      <c r="B4" s="50" t="s">
        <v>162</v>
      </c>
      <c r="C4" s="38"/>
      <c r="D4" s="37"/>
      <c r="E4" s="39"/>
      <c r="F4" s="37"/>
      <c r="G4" s="39" t="s">
        <v>164</v>
      </c>
      <c r="H4" s="37"/>
      <c r="I4" s="37"/>
      <c r="J4" s="20"/>
      <c r="K4" s="20"/>
      <c r="L4" s="21"/>
      <c r="M4" s="50" t="s">
        <v>167</v>
      </c>
      <c r="N4" s="20"/>
      <c r="O4" s="20"/>
      <c r="P4" s="20"/>
      <c r="Q4" s="20"/>
      <c r="R4" s="21"/>
      <c r="S4" s="19" t="s">
        <v>173</v>
      </c>
      <c r="T4" s="20"/>
      <c r="U4" s="20"/>
      <c r="V4" s="20"/>
      <c r="W4" s="21"/>
      <c r="X4" s="50" t="s">
        <v>174</v>
      </c>
      <c r="Y4" s="20"/>
      <c r="Z4" s="20"/>
      <c r="AA4" s="20"/>
      <c r="AB4" s="21"/>
      <c r="AC4" s="50" t="s">
        <v>179</v>
      </c>
      <c r="AD4" s="20"/>
      <c r="AE4" s="20"/>
      <c r="AF4" s="20"/>
      <c r="AG4" s="21"/>
      <c r="AH4" s="50" t="s">
        <v>183</v>
      </c>
      <c r="AI4" s="20"/>
      <c r="AJ4" s="20"/>
      <c r="AK4" s="20"/>
      <c r="AL4" s="21"/>
      <c r="AM4" s="46"/>
      <c r="AN4" s="46"/>
      <c r="AO4" s="48"/>
      <c r="AP4" s="48"/>
      <c r="AQ4" s="48"/>
      <c r="AR4" s="48"/>
      <c r="AS4" s="48"/>
      <c r="AT4" s="48"/>
      <c r="AU4" s="48"/>
      <c r="AV4" s="48"/>
      <c r="AW4" s="48"/>
      <c r="AX4" s="48"/>
      <c r="AY4" s="48"/>
    </row>
    <row r="5" ht="23.25" customHeight="1">
      <c r="A5" s="52" t="s">
        <v>194</v>
      </c>
      <c r="B5" s="54" t="s">
        <v>189</v>
      </c>
      <c r="C5" s="57"/>
      <c r="D5" s="58"/>
      <c r="E5" s="58"/>
      <c r="F5" s="58"/>
      <c r="G5" s="59"/>
      <c r="H5" s="58"/>
      <c r="I5" s="58"/>
      <c r="J5" s="20"/>
      <c r="K5" s="20"/>
      <c r="L5" s="21"/>
      <c r="M5" s="60" t="s">
        <v>217</v>
      </c>
      <c r="N5" s="20"/>
      <c r="O5" s="20"/>
      <c r="P5" s="20"/>
      <c r="Q5" s="20"/>
      <c r="R5" s="21"/>
      <c r="S5" s="60" t="s">
        <v>224</v>
      </c>
      <c r="T5" s="20"/>
      <c r="U5" s="20"/>
      <c r="V5" s="20"/>
      <c r="W5" s="21"/>
      <c r="X5" s="60" t="s">
        <v>224</v>
      </c>
      <c r="Y5" s="20"/>
      <c r="Z5" s="20"/>
      <c r="AA5" s="20"/>
      <c r="AB5" s="21"/>
      <c r="AC5" s="60" t="s">
        <v>224</v>
      </c>
      <c r="AD5" s="20"/>
      <c r="AE5" s="20"/>
      <c r="AF5" s="20"/>
      <c r="AG5" s="21"/>
      <c r="AH5" s="60" t="s">
        <v>224</v>
      </c>
      <c r="AI5" s="20"/>
      <c r="AJ5" s="20"/>
      <c r="AK5" s="20"/>
      <c r="AL5" s="21"/>
      <c r="AM5" s="61"/>
      <c r="AN5" s="61"/>
      <c r="AO5" s="62"/>
      <c r="AP5" s="62"/>
      <c r="AQ5" s="62"/>
      <c r="AR5" s="62"/>
      <c r="AS5" s="62"/>
      <c r="AT5" s="62"/>
      <c r="AU5" s="62"/>
      <c r="AV5" s="62"/>
      <c r="AW5" s="62"/>
      <c r="AX5" s="62"/>
      <c r="AY5" s="62"/>
    </row>
    <row r="6" ht="16.5" customHeight="1">
      <c r="A6" s="49" t="s">
        <v>238</v>
      </c>
      <c r="B6" s="63" t="s">
        <v>240</v>
      </c>
      <c r="C6" s="64"/>
      <c r="D6" s="65"/>
      <c r="E6" s="66"/>
      <c r="F6" s="65"/>
      <c r="G6" s="66"/>
      <c r="H6" s="65"/>
      <c r="I6" s="65"/>
      <c r="J6" s="20"/>
      <c r="K6" s="20"/>
      <c r="L6" s="21"/>
      <c r="M6" s="67" t="s">
        <v>252</v>
      </c>
      <c r="N6" s="20"/>
      <c r="O6" s="20"/>
      <c r="P6" s="20"/>
      <c r="Q6" s="20"/>
      <c r="R6" s="21"/>
      <c r="S6" s="67" t="s">
        <v>257</v>
      </c>
      <c r="T6" s="20"/>
      <c r="U6" s="20"/>
      <c r="V6" s="20"/>
      <c r="W6" s="21"/>
      <c r="X6" s="67" t="s">
        <v>259</v>
      </c>
      <c r="Y6" s="20"/>
      <c r="Z6" s="20"/>
      <c r="AA6" s="20"/>
      <c r="AB6" s="21"/>
      <c r="AC6" s="67" t="s">
        <v>266</v>
      </c>
      <c r="AD6" s="20"/>
      <c r="AE6" s="20"/>
      <c r="AF6" s="20"/>
      <c r="AG6" s="21"/>
      <c r="AH6" s="67" t="s">
        <v>268</v>
      </c>
      <c r="AI6" s="20"/>
      <c r="AJ6" s="20"/>
      <c r="AK6" s="20"/>
      <c r="AL6" s="21"/>
      <c r="AM6" s="46"/>
      <c r="AN6" s="46" t="s">
        <v>271</v>
      </c>
      <c r="AO6" s="68"/>
      <c r="AP6" s="68"/>
      <c r="AQ6" s="68"/>
      <c r="AR6" s="68"/>
      <c r="AS6" s="68"/>
      <c r="AT6" s="68"/>
      <c r="AU6" s="68"/>
      <c r="AV6" s="68"/>
      <c r="AW6" s="68"/>
      <c r="AX6" s="68"/>
      <c r="AY6" s="68"/>
    </row>
    <row r="7">
      <c r="A7" s="49" t="s">
        <v>276</v>
      </c>
      <c r="B7" s="67" t="s">
        <v>192</v>
      </c>
      <c r="C7" s="69"/>
      <c r="D7" s="70"/>
      <c r="E7" s="59"/>
      <c r="F7" s="70"/>
      <c r="G7" s="59"/>
      <c r="H7" s="70"/>
      <c r="I7" s="70"/>
      <c r="J7" s="20"/>
      <c r="K7" s="20"/>
      <c r="L7" s="21"/>
      <c r="M7" s="67">
        <f>4/24</f>
        <v>0.1666666667</v>
      </c>
      <c r="N7" s="20"/>
      <c r="O7" s="20"/>
      <c r="P7" s="20"/>
      <c r="Q7" s="20"/>
      <c r="R7" s="20"/>
      <c r="S7" s="67">
        <f>0.1666666667/24</f>
        <v>0.006944444446</v>
      </c>
      <c r="T7" s="20"/>
      <c r="U7" s="20"/>
      <c r="V7" s="20"/>
      <c r="W7" s="21"/>
      <c r="X7" s="67">
        <f>2.5/24</f>
        <v>0.1041666667</v>
      </c>
      <c r="Y7" s="20"/>
      <c r="Z7" s="20"/>
      <c r="AA7" s="20"/>
      <c r="AB7" s="21"/>
      <c r="AC7" s="67">
        <v>1.0</v>
      </c>
      <c r="AD7" s="20"/>
      <c r="AE7" s="20"/>
      <c r="AF7" s="20"/>
      <c r="AG7" s="21"/>
      <c r="AH7" s="67">
        <f>1/24</f>
        <v>0.04166666667</v>
      </c>
      <c r="AI7" s="20"/>
      <c r="AJ7" s="20"/>
      <c r="AK7" s="20"/>
      <c r="AL7" s="21"/>
      <c r="AM7" s="46"/>
      <c r="AN7" s="46"/>
      <c r="AO7" s="68"/>
      <c r="AP7" s="68"/>
      <c r="AQ7" s="68"/>
      <c r="AR7" s="68"/>
      <c r="AS7" s="68"/>
      <c r="AT7" s="68"/>
      <c r="AU7" s="68"/>
      <c r="AV7" s="68"/>
      <c r="AW7" s="68"/>
      <c r="AX7" s="68"/>
      <c r="AY7" s="68"/>
    </row>
    <row r="8" ht="29.25" customHeight="1">
      <c r="A8" s="77" t="s">
        <v>305</v>
      </c>
      <c r="B8" s="78" t="s">
        <v>13</v>
      </c>
      <c r="C8" s="79" t="s">
        <v>3</v>
      </c>
      <c r="D8" s="79" t="s">
        <v>19</v>
      </c>
      <c r="E8" s="79" t="s">
        <v>22</v>
      </c>
      <c r="F8" s="79" t="s">
        <v>42</v>
      </c>
      <c r="G8" s="79" t="s">
        <v>312</v>
      </c>
      <c r="H8" s="77" t="s">
        <v>34</v>
      </c>
      <c r="I8" s="77" t="s">
        <v>38</v>
      </c>
      <c r="J8" s="77" t="s">
        <v>314</v>
      </c>
      <c r="K8" s="77" t="s">
        <v>44</v>
      </c>
      <c r="L8" s="79" t="s">
        <v>315</v>
      </c>
      <c r="M8" s="80" t="s">
        <v>4</v>
      </c>
      <c r="N8" s="81" t="s">
        <v>5</v>
      </c>
      <c r="O8" s="80" t="s">
        <v>6</v>
      </c>
      <c r="P8" s="83" t="s">
        <v>319</v>
      </c>
      <c r="Q8" s="80" t="s">
        <v>8</v>
      </c>
      <c r="R8" s="85" t="s">
        <v>320</v>
      </c>
      <c r="S8" s="77" t="s">
        <v>4</v>
      </c>
      <c r="T8" s="87" t="s">
        <v>5</v>
      </c>
      <c r="U8" s="77" t="s">
        <v>6</v>
      </c>
      <c r="V8" s="89" t="s">
        <v>319</v>
      </c>
      <c r="W8" s="77" t="s">
        <v>8</v>
      </c>
      <c r="X8" s="77" t="s">
        <v>4</v>
      </c>
      <c r="Y8" s="89" t="s">
        <v>5</v>
      </c>
      <c r="Z8" s="77" t="s">
        <v>6</v>
      </c>
      <c r="AA8" s="77" t="s">
        <v>319</v>
      </c>
      <c r="AB8" s="77" t="s">
        <v>8</v>
      </c>
      <c r="AC8" s="77" t="s">
        <v>4</v>
      </c>
      <c r="AD8" s="89" t="s">
        <v>5</v>
      </c>
      <c r="AE8" s="77" t="s">
        <v>6</v>
      </c>
      <c r="AF8" s="92" t="s">
        <v>319</v>
      </c>
      <c r="AG8" s="77" t="s">
        <v>8</v>
      </c>
      <c r="AH8" s="77" t="s">
        <v>4</v>
      </c>
      <c r="AI8" s="89" t="s">
        <v>5</v>
      </c>
      <c r="AJ8" s="77" t="s">
        <v>6</v>
      </c>
      <c r="AK8" s="92" t="s">
        <v>319</v>
      </c>
      <c r="AL8" s="79" t="s">
        <v>8</v>
      </c>
      <c r="AM8" s="93" t="s">
        <v>36</v>
      </c>
      <c r="AN8" s="94" t="s">
        <v>337</v>
      </c>
      <c r="AO8" s="93" t="s">
        <v>27</v>
      </c>
      <c r="AP8" s="93"/>
      <c r="AQ8" s="93" t="s">
        <v>338</v>
      </c>
      <c r="AR8" s="93" t="s">
        <v>340</v>
      </c>
      <c r="AS8" s="93" t="s">
        <v>342</v>
      </c>
      <c r="AT8" s="93" t="s">
        <v>343</v>
      </c>
      <c r="AU8" s="93" t="s">
        <v>344</v>
      </c>
      <c r="AV8" s="93">
        <v>1.0</v>
      </c>
      <c r="AW8" s="93"/>
      <c r="AX8" s="93"/>
      <c r="AY8" s="93"/>
    </row>
    <row r="9">
      <c r="A9" s="95">
        <v>4960.0</v>
      </c>
      <c r="B9" s="96">
        <f t="array" ref="B9:L1505">{CB!A2:A913,CB!I2:I913,CB!C2:C913,CB!D2:D913,CB!K2:K913,CB!E2:E913,CB!F2:F913,CB!H2:H913,CB!B2:B913,CB!M2:M913,CB!G2:G913}</f>
        <v>46083.57869</v>
      </c>
      <c r="C9" s="97" t="s">
        <v>12</v>
      </c>
      <c r="D9" s="97" t="s">
        <v>49</v>
      </c>
      <c r="E9" s="98" t="s">
        <v>50</v>
      </c>
      <c r="F9" s="97"/>
      <c r="G9" s="97" t="s">
        <v>60</v>
      </c>
      <c r="H9" s="99" t="s">
        <v>62</v>
      </c>
      <c r="I9" s="100" t="s">
        <v>64</v>
      </c>
      <c r="J9" s="101" t="s">
        <v>47</v>
      </c>
      <c r="K9" s="100"/>
      <c r="L9" s="102" t="s">
        <v>63</v>
      </c>
      <c r="M9" s="103">
        <f>if(B9,if(and(hour(B9+M$7)&gt;9.5,(hour(B9+M$7)&lt;19.5)),B9+M$7,_xlfn.workday.intl(int(B9),1,"0000001",Holidays!A:A)+hour(B9+M$7-$B$1)/24+minute(B9)/1440),"")</f>
        <v>46083.74535</v>
      </c>
      <c r="N9" s="104">
        <v>46083.63197777778</v>
      </c>
      <c r="O9" s="105" t="s">
        <v>14</v>
      </c>
      <c r="P9" s="106">
        <f t="shared" ref="P9:P913" si="1">IF(B9&lt;&gt;0,(if(O9="Pending",if($A$2&gt;M9,$A$2-M9,0),if(N9&gt;M9,N9-M9,0))),"")</f>
        <v>0</v>
      </c>
      <c r="Q9" s="107" t="s">
        <v>15</v>
      </c>
      <c r="R9" s="108" t="s">
        <v>434</v>
      </c>
      <c r="S9" s="103">
        <f>if(M9,if(and(hour(M9+S$7)&gt;9.5,(hour(M9+S$7)&lt;19.5)),M9+S$7,_xlfn.workday.intl(int(M9),1,"0000001",Holidays!A:A)+hour(M9+S$7-$B$1)/24+minute(M9)/1440),"")</f>
        <v>46083.7523</v>
      </c>
      <c r="T9" s="104">
        <v>46083.6325278588</v>
      </c>
      <c r="U9" s="105" t="s">
        <v>14</v>
      </c>
      <c r="V9" s="109">
        <f t="shared" ref="V9:V913" si="2">IF(B9&lt;&gt;0,(if(U9="Pending",if($A$2&gt;S9,$A$2-S9,0),if(T9&gt;S9,T9-S9,0))),"")</f>
        <v>0</v>
      </c>
      <c r="W9" s="110" t="str">
        <f t="shared" ref="W9:W913" si="3">IF(B9&lt;&gt;"",Q9,"")</f>
        <v>EMP0042 HULESHWAR KUMAR SAHU</v>
      </c>
      <c r="X9" s="103">
        <f>if(S9,if(and(hour(S9+X$7)&gt;9.5,(hour(S9+X$7)&lt;19.5)),S9+X$7,_xlfn.workday.intl(int(S9),1,"0000001",Holidays!A:A)+hour(S9+X$7-$B$1)/24+minute(S9)/1440),"")</f>
        <v>46084.41875</v>
      </c>
      <c r="Y9" s="104">
        <v>46083.63263956019</v>
      </c>
      <c r="Z9" s="105" t="s">
        <v>14</v>
      </c>
      <c r="AA9" s="111">
        <f t="shared" ref="AA9:AA913" si="4">IF(B9&lt;&gt;0,(if(Z9="Pending",if($AD$1&gt;X9,$AD$1-X9,0),if(Y9&gt;X9,Y9-X9,0))),"")</f>
        <v>0</v>
      </c>
      <c r="AB9" s="110" t="str">
        <f t="shared" ref="AB9:AB913" si="5">IF(B9&lt;&gt;"",W9,"")</f>
        <v>EMP0042 HULESHWAR KUMAR SAHU</v>
      </c>
      <c r="AC9" s="103">
        <f>if(X9,_xlfn.WORKDAY.INTL(X9,AC$7,"0000001",Holidays!A:A)+hour(X9)/24+MINUTE(X9)/1440,"")</f>
        <v>46086.41875</v>
      </c>
      <c r="AD9" s="104">
        <v>46083.69432047453</v>
      </c>
      <c r="AE9" s="105" t="s">
        <v>14</v>
      </c>
      <c r="AF9" s="111">
        <f t="shared" ref="AF9:AF913" si="6">IF(B9&lt;&gt;0,(if(AD9="Pending",if($A$2&gt;AC9,$A$2-AC9,0),if(AD9&gt;AC9,AD9-AC9,0))),"")</f>
        <v>0</v>
      </c>
      <c r="AG9" s="110" t="str">
        <f t="shared" ref="AG9:AG913" si="7">IF(B9&lt;&gt;"",AB9,"")</f>
        <v>EMP0042 HULESHWAR KUMAR SAHU</v>
      </c>
      <c r="AH9" s="103">
        <f>if(AC9,if(and(hour(AC9+AH$7)&gt;9.5,(hour(AC9+AH$7)&lt;19.5)),AC9+AH$7,_xlfn.workday.intl(int(AC9),1,"0000001",Holidays!A:A)+hour(AC9+AH$7-$B$1)/24+minute(AC9)/1440),"")</f>
        <v>46086.46042</v>
      </c>
      <c r="AI9" s="104">
        <v>46083.69438371528</v>
      </c>
      <c r="AJ9" s="105" t="s">
        <v>14</v>
      </c>
      <c r="AK9" s="111">
        <f t="shared" ref="AK9:AK913" si="8">IF(B9&lt;&gt;0,(if(AJ9="Pending",if($A$2&gt;AH9,$A$2-AH9,0),if(AI9&gt;AH9,AI9-AH9,0))),"")</f>
        <v>0</v>
      </c>
      <c r="AL9" s="112" t="str">
        <f t="shared" ref="AL9:AL913" si="9">IF(B9&lt;&gt;"",AG9,"")</f>
        <v>EMP0042 HULESHWAR KUMAR SAHU</v>
      </c>
      <c r="AM9" s="113"/>
      <c r="AN9" s="114" t="str">
        <f t="array" ref="AN9:AN913">if($A$9:$A913&lt;&gt;"",HYPERLINK("https://docs.google.com/forms/d/e/1FAIpQLScU7DKr6HbmoID_UwKfI13gEe3bspqg0MBmrgEwXFMuax8Tnw/viewform?usp=pp_url&amp;entry.64613668="&amp;$G$1&amp;"&amp;entry.947283785="&amp;$H$1&amp;"&amp;entry.492682368="&amp;$J$9:$J913&amp;"&amp;entry.2053410063="&amp;TEXT($B$9:$B913,"yyyy-mm-dd")&amp;"&amp;entry.954149285="&amp;$L$9:$L913&amp;"","Click Here"),"")</f>
        <v>Click Here</v>
      </c>
      <c r="AO9" s="115"/>
      <c r="AP9" s="115"/>
      <c r="AQ9" s="115"/>
      <c r="AR9" s="115"/>
      <c r="AS9" s="115"/>
      <c r="AT9" s="115"/>
      <c r="AU9" s="115"/>
      <c r="AV9" s="115"/>
      <c r="AW9" s="115"/>
      <c r="AX9" s="115"/>
      <c r="AY9" s="115"/>
    </row>
    <row r="10">
      <c r="A10" s="95">
        <f t="shared" ref="A10:A81" si="10">if($B10&lt;&gt;"",A9+1,"")</f>
        <v>4961</v>
      </c>
      <c r="B10" s="96">
        <v>46083.61367006945</v>
      </c>
      <c r="C10" s="97" t="s">
        <v>30</v>
      </c>
      <c r="D10" s="97" t="s">
        <v>68</v>
      </c>
      <c r="E10" s="98" t="s">
        <v>69</v>
      </c>
      <c r="F10" s="97"/>
      <c r="G10" s="97" t="s">
        <v>75</v>
      </c>
      <c r="H10" s="99" t="s">
        <v>62</v>
      </c>
      <c r="I10" s="100" t="s">
        <v>64</v>
      </c>
      <c r="J10" s="101" t="s">
        <v>67</v>
      </c>
      <c r="K10" s="100"/>
      <c r="L10" s="102" t="s">
        <v>76</v>
      </c>
      <c r="M10" s="103">
        <f>if(B10,if(and(hour(B10+M$7)&gt;9.5,(hour(B10+M$7)&lt;19.5)),B10+M$7,_xlfn.workday.intl(int(B10),1,"0000001",Holidays!A:A)+hour(B10+M$7-$B$1)/24+minute(B10)/1440),"")</f>
        <v>46083.78034</v>
      </c>
      <c r="N10" s="104">
        <v>46083.63197716435</v>
      </c>
      <c r="O10" s="105">
        <v>490.0</v>
      </c>
      <c r="P10" s="106">
        <f t="shared" si="1"/>
        <v>0</v>
      </c>
      <c r="Q10" s="107" t="s">
        <v>15</v>
      </c>
      <c r="R10" s="108" t="s">
        <v>434</v>
      </c>
      <c r="S10" s="103">
        <f>if(M10,if(and(hour(M10+S$7)&gt;9.5,(hour(M10+S$7)&lt;19.5)),M10+S$7,_xlfn.workday.intl(int(M10),1,"0000001",Holidays!A:A)+hour(M10+S$7-$B$1)/24+minute(M10)/1440),"")</f>
        <v>46083.78728</v>
      </c>
      <c r="T10" s="104">
        <v>46083.63254344907</v>
      </c>
      <c r="U10" s="105">
        <v>490.0</v>
      </c>
      <c r="V10" s="109">
        <f t="shared" si="2"/>
        <v>0</v>
      </c>
      <c r="W10" s="110" t="str">
        <f t="shared" si="3"/>
        <v>EMP0042 HULESHWAR KUMAR SAHU</v>
      </c>
      <c r="X10" s="103">
        <f>if(S10,if(and(hour(S10+X$7)&gt;9.5,(hour(S10+X$7)&lt;19.5)),S10+X$7,_xlfn.workday.intl(int(S10),1,"0000001",Holidays!A:A)+hour(S10+X$7-$B$1)/24+minute(S10)/1440),"")</f>
        <v>46084.49514</v>
      </c>
      <c r="Y10" s="104">
        <v>46083.63268997685</v>
      </c>
      <c r="Z10" s="105">
        <v>495.0</v>
      </c>
      <c r="AA10" s="111">
        <f t="shared" si="4"/>
        <v>0</v>
      </c>
      <c r="AB10" s="110" t="str">
        <f t="shared" si="5"/>
        <v>EMP0042 HULESHWAR KUMAR SAHU</v>
      </c>
      <c r="AC10" s="103">
        <f>if(X10,_xlfn.WORKDAY.INTL(X10,AC$7,"0000001",Holidays!A:A)+hour(X10)/24+MINUTE(X10)/1440,"")</f>
        <v>46086.49514</v>
      </c>
      <c r="AD10" s="104">
        <v>46084.744429687504</v>
      </c>
      <c r="AE10" s="105" t="s">
        <v>14</v>
      </c>
      <c r="AF10" s="111">
        <f t="shared" si="6"/>
        <v>0</v>
      </c>
      <c r="AG10" s="110" t="str">
        <f t="shared" si="7"/>
        <v>EMP0042 HULESHWAR KUMAR SAHU</v>
      </c>
      <c r="AH10" s="103">
        <f>if(AC10,if(and(hour(AC10+AH$7)&gt;9.5,(hour(AC10+AH$7)&lt;19.5)),AC10+AH$7,_xlfn.workday.intl(int(AC10),1,"0000001",Holidays!A:A)+hour(AC10+AH$7-$B$1)/24+minute(AC10)/1440),"")</f>
        <v>46086.53681</v>
      </c>
      <c r="AI10" s="104">
        <v>46084.744491631944</v>
      </c>
      <c r="AJ10" s="105">
        <v>491.0</v>
      </c>
      <c r="AK10" s="111">
        <f t="shared" si="8"/>
        <v>0</v>
      </c>
      <c r="AL10" s="112" t="str">
        <f t="shared" si="9"/>
        <v>EMP0042 HULESHWAR KUMAR SAHU</v>
      </c>
      <c r="AM10" s="113"/>
      <c r="AN10" s="114" t="s">
        <v>672</v>
      </c>
      <c r="AO10" s="115"/>
      <c r="AP10" s="115"/>
      <c r="AQ10" s="115"/>
      <c r="AR10" s="115"/>
      <c r="AS10" s="115"/>
      <c r="AT10" s="115"/>
      <c r="AU10" s="115"/>
      <c r="AV10" s="115"/>
      <c r="AW10" s="115"/>
      <c r="AX10" s="115"/>
      <c r="AY10" s="115"/>
    </row>
    <row r="11">
      <c r="A11" s="95">
        <f t="shared" si="10"/>
        <v>4962</v>
      </c>
      <c r="B11" s="96">
        <v>46083.6147493287</v>
      </c>
      <c r="C11" s="97" t="s">
        <v>46</v>
      </c>
      <c r="D11" s="97" t="s">
        <v>79</v>
      </c>
      <c r="E11" s="98" t="s">
        <v>80</v>
      </c>
      <c r="F11" s="97"/>
      <c r="G11" s="97" t="s">
        <v>75</v>
      </c>
      <c r="H11" s="99" t="s">
        <v>62</v>
      </c>
      <c r="I11" s="100" t="s">
        <v>64</v>
      </c>
      <c r="J11" s="101" t="s">
        <v>78</v>
      </c>
      <c r="K11" s="100"/>
      <c r="L11" s="102" t="s">
        <v>76</v>
      </c>
      <c r="M11" s="103">
        <f>if(B11,if(and(hour(B11+M$7)&gt;9.5,(hour(B11+M$7)&lt;19.5)),B11+M$7,_xlfn.workday.intl(int(B11),1,"0000001",Holidays!A:A)+hour(B11+M$7-$B$1)/24+minute(B11)/1440),"")</f>
        <v>46083.78142</v>
      </c>
      <c r="N11" s="104">
        <v>46083.632000115744</v>
      </c>
      <c r="O11" s="105">
        <v>490.0</v>
      </c>
      <c r="P11" s="106">
        <f t="shared" si="1"/>
        <v>0</v>
      </c>
      <c r="Q11" s="107" t="s">
        <v>48</v>
      </c>
      <c r="R11" s="108" t="s">
        <v>434</v>
      </c>
      <c r="S11" s="103">
        <f>if(M11,if(and(hour(M11+S$7)&gt;9.5,(hour(M11+S$7)&lt;19.5)),M11+S$7,_xlfn.workday.intl(int(M11),1,"0000001",Holidays!A:A)+hour(M11+S$7-$B$1)/24+minute(M11)/1440),"")</f>
        <v>46083.78836</v>
      </c>
      <c r="T11" s="104">
        <v>46083.632087060185</v>
      </c>
      <c r="U11" s="105">
        <v>482.0</v>
      </c>
      <c r="V11" s="109">
        <f t="shared" si="2"/>
        <v>0</v>
      </c>
      <c r="W11" s="110" t="str">
        <f t="shared" si="3"/>
        <v>EMP0237 Swarnendu Chakraborty</v>
      </c>
      <c r="X11" s="103">
        <f>if(S11,if(and(hour(S11+X$7)&gt;9.5,(hour(S11+X$7)&lt;19.5)),S11+X$7,_xlfn.workday.intl(int(S11),1,"0000001",Holidays!A:A)+hour(S11+X$7-$B$1)/24+minute(S11)/1440),"")</f>
        <v>46084.49653</v>
      </c>
      <c r="Y11" s="104">
        <v>46083.632689895836</v>
      </c>
      <c r="Z11" s="105">
        <v>493.0</v>
      </c>
      <c r="AA11" s="111">
        <f t="shared" si="4"/>
        <v>0</v>
      </c>
      <c r="AB11" s="110" t="str">
        <f t="shared" si="5"/>
        <v>EMP0237 Swarnendu Chakraborty</v>
      </c>
      <c r="AC11" s="103">
        <f>if(X11,_xlfn.WORKDAY.INTL(X11,AC$7,"0000001",Holidays!A:A)+hour(X11)/24+MINUTE(X11)/1440,"")</f>
        <v>46086.49653</v>
      </c>
      <c r="AD11" s="104">
        <v>46084.638024699074</v>
      </c>
      <c r="AE11" s="105" t="s">
        <v>14</v>
      </c>
      <c r="AF11" s="111">
        <f t="shared" si="6"/>
        <v>0</v>
      </c>
      <c r="AG11" s="110" t="str">
        <f t="shared" si="7"/>
        <v>EMP0237 Swarnendu Chakraborty</v>
      </c>
      <c r="AH11" s="103">
        <f>if(AC11,if(and(hour(AC11+AH$7)&gt;9.5,(hour(AC11+AH$7)&lt;19.5)),AC11+AH$7,_xlfn.workday.intl(int(AC11),1,"0000001",Holidays!A:A)+hour(AC11+AH$7-$B$1)/24+minute(AC11)/1440),"")</f>
        <v>46086.53819</v>
      </c>
      <c r="AI11" s="104">
        <v>46084.63841924768</v>
      </c>
      <c r="AJ11" s="105">
        <v>491.0</v>
      </c>
      <c r="AK11" s="111">
        <f t="shared" si="8"/>
        <v>0</v>
      </c>
      <c r="AL11" s="112" t="str">
        <f t="shared" si="9"/>
        <v>EMP0237 Swarnendu Chakraborty</v>
      </c>
      <c r="AM11" s="113"/>
      <c r="AN11" s="114" t="s">
        <v>672</v>
      </c>
      <c r="AO11" s="115"/>
      <c r="AP11" s="115"/>
      <c r="AQ11" s="115"/>
      <c r="AR11" s="115"/>
      <c r="AS11" s="115"/>
      <c r="AT11" s="115"/>
      <c r="AU11" s="115"/>
      <c r="AV11" s="115"/>
      <c r="AW11" s="115"/>
      <c r="AX11" s="115"/>
      <c r="AY11" s="115"/>
    </row>
    <row r="12">
      <c r="A12" s="95">
        <f t="shared" si="10"/>
        <v>4963</v>
      </c>
      <c r="B12" s="96">
        <v>46084.63439167824</v>
      </c>
      <c r="C12" s="97" t="s">
        <v>52</v>
      </c>
      <c r="D12" s="97" t="s">
        <v>86</v>
      </c>
      <c r="E12" s="98" t="s">
        <v>87</v>
      </c>
      <c r="F12" s="97"/>
      <c r="G12" s="97" t="s">
        <v>88</v>
      </c>
      <c r="H12" s="99" t="s">
        <v>62</v>
      </c>
      <c r="I12" s="100" t="s">
        <v>64</v>
      </c>
      <c r="J12" s="101" t="s">
        <v>85</v>
      </c>
      <c r="K12" s="100"/>
      <c r="L12" s="102" t="s">
        <v>91</v>
      </c>
      <c r="M12" s="103">
        <f>if(B12,if(and(hour(B12+M$7)&gt;9.5,(hour(B12+M$7)&lt;19.5)),B12+M$7,_xlfn.workday.intl(int(B12),1,"0000001",Holidays!A:A)+hour(B12+M$7-$B$1)/24+minute(B12)/1440),"")</f>
        <v>46084.80106</v>
      </c>
      <c r="N12" s="104">
        <v>46084.638515011575</v>
      </c>
      <c r="O12" s="105">
        <v>0.0</v>
      </c>
      <c r="P12" s="106">
        <f t="shared" si="1"/>
        <v>0</v>
      </c>
      <c r="Q12" s="107" t="s">
        <v>48</v>
      </c>
      <c r="R12" s="108" t="s">
        <v>434</v>
      </c>
      <c r="S12" s="103">
        <f>if(M12,if(and(hour(M12+S$7)&gt;9.5,(hour(M12+S$7)&lt;19.5)),M12+S$7,_xlfn.workday.intl(int(M12),1,"0000001",Holidays!A:A)+hour(M12+S$7-$B$1)/24+minute(M12)/1440),"")</f>
        <v>46084.808</v>
      </c>
      <c r="T12" s="104">
        <v>46084.63863109954</v>
      </c>
      <c r="U12" s="105">
        <v>8.0</v>
      </c>
      <c r="V12" s="109">
        <f t="shared" si="2"/>
        <v>0</v>
      </c>
      <c r="W12" s="110" t="str">
        <f t="shared" si="3"/>
        <v>EMP0237 Swarnendu Chakraborty</v>
      </c>
      <c r="X12" s="103">
        <f>if(S12,if(and(hour(S12+X$7)&gt;9.5,(hour(S12+X$7)&lt;19.5)),S12+X$7,_xlfn.workday.intl(int(S12),1,"0000001",Holidays!A:A)+hour(S12+X$7-$B$1)/24+minute(S12)/1440),"")</f>
        <v>46086.47431</v>
      </c>
      <c r="Y12" s="104">
        <v>46084.638670949076</v>
      </c>
      <c r="Z12" s="105">
        <v>2.0</v>
      </c>
      <c r="AA12" s="111">
        <f t="shared" si="4"/>
        <v>0</v>
      </c>
      <c r="AB12" s="110" t="str">
        <f t="shared" si="5"/>
        <v>EMP0237 Swarnendu Chakraborty</v>
      </c>
      <c r="AC12" s="103">
        <f>if(X12,_xlfn.WORKDAY.INTL(X12,AC$7,"0000001",Holidays!A:A)+hour(X12)/24+MINUTE(X12)/1440,"")</f>
        <v>46087.47431</v>
      </c>
      <c r="AD12" s="104">
        <v>46084.638705254634</v>
      </c>
      <c r="AE12" s="105" t="s">
        <v>14</v>
      </c>
      <c r="AF12" s="111">
        <f t="shared" si="6"/>
        <v>0</v>
      </c>
      <c r="AG12" s="110" t="str">
        <f t="shared" si="7"/>
        <v>EMP0237 Swarnendu Chakraborty</v>
      </c>
      <c r="AH12" s="103">
        <f>if(AC12,if(and(hour(AC12+AH$7)&gt;9.5,(hour(AC12+AH$7)&lt;19.5)),AC12+AH$7,_xlfn.workday.intl(int(AC12),1,"0000001",Holidays!A:A)+hour(AC12+AH$7-$B$1)/24+minute(AC12)/1440),"")</f>
        <v>46087.51597</v>
      </c>
      <c r="AI12" s="104">
        <v>46084.638757824076</v>
      </c>
      <c r="AJ12" s="105">
        <v>0.0</v>
      </c>
      <c r="AK12" s="111">
        <f t="shared" si="8"/>
        <v>0</v>
      </c>
      <c r="AL12" s="112" t="str">
        <f t="shared" si="9"/>
        <v>EMP0237 Swarnendu Chakraborty</v>
      </c>
      <c r="AM12" s="113"/>
      <c r="AN12" s="114" t="s">
        <v>672</v>
      </c>
      <c r="AO12" s="115"/>
      <c r="AP12" s="115"/>
      <c r="AQ12" s="115"/>
      <c r="AR12" s="115"/>
      <c r="AS12" s="115"/>
      <c r="AT12" s="115"/>
      <c r="AU12" s="115"/>
      <c r="AV12" s="115"/>
      <c r="AW12" s="115"/>
      <c r="AX12" s="115"/>
      <c r="AY12" s="115"/>
    </row>
    <row r="13">
      <c r="A13" s="95">
        <f t="shared" si="10"/>
        <v>4964</v>
      </c>
      <c r="B13" s="96">
        <v>46084.65936579861</v>
      </c>
      <c r="C13" s="97" t="s">
        <v>56</v>
      </c>
      <c r="D13" s="97" t="s">
        <v>68</v>
      </c>
      <c r="E13" s="98" t="s">
        <v>92</v>
      </c>
      <c r="F13" s="97"/>
      <c r="G13" s="97" t="s">
        <v>96</v>
      </c>
      <c r="H13" s="99" t="s">
        <v>62</v>
      </c>
      <c r="I13" s="100" t="s">
        <v>64</v>
      </c>
      <c r="J13" s="101" t="s">
        <v>67</v>
      </c>
      <c r="K13" s="100"/>
      <c r="L13" s="102" t="s">
        <v>76</v>
      </c>
      <c r="M13" s="103">
        <f>if(B13,if(and(hour(B13+M$7)&gt;9.5,(hour(B13+M$7)&lt;19.5)),B13+M$7,_xlfn.workday.intl(int(B13),1,"0000001",Holidays!A:A)+hour(B13+M$7-$B$1)/24+minute(B13)/1440),"")</f>
        <v>46084.82603</v>
      </c>
      <c r="N13" s="104">
        <v>46084.74418166667</v>
      </c>
      <c r="O13" s="116">
        <v>46167.16196719908</v>
      </c>
      <c r="P13" s="106">
        <f t="shared" si="1"/>
        <v>0</v>
      </c>
      <c r="Q13" s="107" t="s">
        <v>15</v>
      </c>
      <c r="R13" s="108" t="s">
        <v>434</v>
      </c>
      <c r="S13" s="103">
        <f>if(M13,if(and(hour(M13+S$7)&gt;9.5,(hour(M13+S$7)&lt;19.5)),M13+S$7,_xlfn.workday.intl(int(M13),1,"0000001",Holidays!A:A)+hour(M13+S$7-$B$1)/24+minute(M13)/1440),"")</f>
        <v>46084.83298</v>
      </c>
      <c r="T13" s="104">
        <v>46084.74432832176</v>
      </c>
      <c r="U13" s="116">
        <v>46167.190514444446</v>
      </c>
      <c r="V13" s="109">
        <f t="shared" si="2"/>
        <v>0</v>
      </c>
      <c r="W13" s="110" t="str">
        <f t="shared" si="3"/>
        <v>EMP0042 HULESHWAR KUMAR SAHU</v>
      </c>
      <c r="X13" s="103">
        <f>if(S13,if(and(hour(S13+X$7)&gt;9.5,(hour(S13+X$7)&lt;19.5)),S13+X$7,_xlfn.workday.intl(int(S13),1,"0000001",Holidays!A:A)+hour(S13+X$7-$B$1)/24+minute(S13)/1440),"")</f>
        <v>46086.54097</v>
      </c>
      <c r="Y13" s="104">
        <v>46084.744387824074</v>
      </c>
      <c r="Z13" s="116">
        <v>46166.647012800924</v>
      </c>
      <c r="AA13" s="111">
        <f t="shared" si="4"/>
        <v>0</v>
      </c>
      <c r="AB13" s="110" t="str">
        <f t="shared" si="5"/>
        <v>EMP0042 HULESHWAR KUMAR SAHU</v>
      </c>
      <c r="AC13" s="103">
        <f>if(X13,_xlfn.WORKDAY.INTL(X13,AC$7,"0000001",Holidays!A:A)+hour(X13)/24+MINUTE(X13)/1440,"")</f>
        <v>46087.54097</v>
      </c>
      <c r="AD13" s="104">
        <v>46084.74452335648</v>
      </c>
      <c r="AE13" s="105" t="s">
        <v>14</v>
      </c>
      <c r="AF13" s="111">
        <f t="shared" si="6"/>
        <v>0</v>
      </c>
      <c r="AG13" s="110" t="str">
        <f t="shared" si="7"/>
        <v>EMP0042 HULESHWAR KUMAR SAHU</v>
      </c>
      <c r="AH13" s="103">
        <f>if(AC13,if(and(hour(AC13+AH$7)&gt;9.5,(hour(AC13+AH$7)&lt;19.5)),AC13+AH$7,_xlfn.workday.intl(int(AC13),1,"0000001",Holidays!A:A)+hour(AC13+AH$7-$B$1)/24+minute(AC13)/1440),"")</f>
        <v>46087.58264</v>
      </c>
      <c r="AI13" s="104">
        <v>46084.74452900463</v>
      </c>
      <c r="AJ13" s="116">
        <v>46167.418662303244</v>
      </c>
      <c r="AK13" s="111">
        <f t="shared" si="8"/>
        <v>0</v>
      </c>
      <c r="AL13" s="112" t="str">
        <f t="shared" si="9"/>
        <v>EMP0042 HULESHWAR KUMAR SAHU</v>
      </c>
      <c r="AM13" s="113"/>
      <c r="AN13" s="114" t="s">
        <v>672</v>
      </c>
      <c r="AO13" s="115"/>
      <c r="AP13" s="115"/>
      <c r="AQ13" s="115"/>
      <c r="AR13" s="115"/>
      <c r="AS13" s="115"/>
      <c r="AT13" s="115"/>
      <c r="AU13" s="115"/>
      <c r="AV13" s="115"/>
      <c r="AW13" s="115"/>
      <c r="AX13" s="115"/>
      <c r="AY13" s="115"/>
    </row>
    <row r="14">
      <c r="A14" s="95">
        <f t="shared" si="10"/>
        <v>4965</v>
      </c>
      <c r="B14" s="96">
        <v>46086.441568229166</v>
      </c>
      <c r="C14" s="97" t="s">
        <v>59</v>
      </c>
      <c r="D14" s="97" t="s">
        <v>98</v>
      </c>
      <c r="E14" s="98" t="s">
        <v>99</v>
      </c>
      <c r="F14" s="97"/>
      <c r="G14" s="97" t="s">
        <v>59</v>
      </c>
      <c r="H14" s="99" t="s">
        <v>103</v>
      </c>
      <c r="I14" s="100" t="s">
        <v>64</v>
      </c>
      <c r="J14" s="101" t="s">
        <v>97</v>
      </c>
      <c r="K14" s="100"/>
      <c r="L14" s="102" t="s">
        <v>59</v>
      </c>
      <c r="M14" s="103">
        <f>if(B14,if(and(hour(B14+M$7)&gt;9.5,(hour(B14+M$7)&lt;19.5)),B14+M$7,_xlfn.workday.intl(int(B14),1,"0000001",Holidays!A:A)+hour(B14+M$7-$B$1)/24+minute(B14)/1440),"")</f>
        <v>46086.60823</v>
      </c>
      <c r="N14" s="104">
        <v>46086.493039050925</v>
      </c>
      <c r="O14" s="116">
        <v>46166.82106605324</v>
      </c>
      <c r="P14" s="106">
        <f t="shared" si="1"/>
        <v>0</v>
      </c>
      <c r="Q14" s="107" t="s">
        <v>61</v>
      </c>
      <c r="R14" s="108" t="s">
        <v>434</v>
      </c>
      <c r="S14" s="103">
        <f>if(M14,if(and(hour(M14+S$7)&gt;9.5,(hour(M14+S$7)&lt;19.5)),M14+S$7,_xlfn.workday.intl(int(M14),1,"0000001",Holidays!A:A)+hour(M14+S$7-$B$1)/24+minute(M14)/1440),"")</f>
        <v>46086.61518</v>
      </c>
      <c r="T14" s="104">
        <v>46086.49309625</v>
      </c>
      <c r="U14" s="116">
        <v>46166.82860010417</v>
      </c>
      <c r="V14" s="109">
        <f t="shared" si="2"/>
        <v>0</v>
      </c>
      <c r="W14" s="110" t="str">
        <f t="shared" si="3"/>
        <v>EMP0021 Tamanna Dewangan</v>
      </c>
      <c r="X14" s="103">
        <f>if(S14,if(and(hour(S14+X$7)&gt;9.5,(hour(S14+X$7)&lt;19.5)),S14+X$7,_xlfn.workday.intl(int(S14),1,"0000001",Holidays!A:A)+hour(S14+X$7-$B$1)/24+minute(S14)/1440),"")</f>
        <v>46086.71935</v>
      </c>
      <c r="Y14" s="104">
        <v>46086.49313696759</v>
      </c>
      <c r="Z14" s="116">
        <v>46166.075750937496</v>
      </c>
      <c r="AA14" s="111">
        <f t="shared" si="4"/>
        <v>0</v>
      </c>
      <c r="AB14" s="110" t="str">
        <f t="shared" si="5"/>
        <v>EMP0021 Tamanna Dewangan</v>
      </c>
      <c r="AC14" s="103">
        <f>if(X14,_xlfn.WORKDAY.INTL(X14,AC$7,"0000001",Holidays!A:A)+hour(X14)/24+MINUTE(X14)/1440,"")</f>
        <v>46087.71875</v>
      </c>
      <c r="AD14" s="104">
        <v>46086.62915126157</v>
      </c>
      <c r="AE14" s="105" t="s">
        <v>14</v>
      </c>
      <c r="AF14" s="111">
        <f t="shared" si="6"/>
        <v>0</v>
      </c>
      <c r="AG14" s="110" t="str">
        <f t="shared" si="7"/>
        <v>EMP0021 Tamanna Dewangan</v>
      </c>
      <c r="AH14" s="103">
        <f>if(AC14,if(and(hour(AC14+AH$7)&gt;9.5,(hour(AC14+AH$7)&lt;19.5)),AC14+AH$7,_xlfn.workday.intl(int(AC14),1,"0000001",Holidays!A:A)+hour(AC14+AH$7-$B$1)/24+minute(AC14)/1440),"")</f>
        <v>46087.76042</v>
      </c>
      <c r="AI14" s="104">
        <v>46087.40926153935</v>
      </c>
      <c r="AJ14" s="116">
        <v>46166.28455542824</v>
      </c>
      <c r="AK14" s="111">
        <f t="shared" si="8"/>
        <v>0</v>
      </c>
      <c r="AL14" s="112" t="str">
        <f t="shared" si="9"/>
        <v>EMP0021 Tamanna Dewangan</v>
      </c>
      <c r="AM14" s="113"/>
      <c r="AN14" s="114" t="s">
        <v>672</v>
      </c>
      <c r="AO14" s="115"/>
      <c r="AP14" s="115"/>
      <c r="AQ14" s="115"/>
      <c r="AR14" s="115"/>
      <c r="AS14" s="115"/>
      <c r="AT14" s="115"/>
      <c r="AU14" s="115"/>
      <c r="AV14" s="115"/>
      <c r="AW14" s="115"/>
      <c r="AX14" s="115"/>
      <c r="AY14" s="115"/>
    </row>
    <row r="15">
      <c r="A15" s="95">
        <f t="shared" si="10"/>
        <v>4966</v>
      </c>
      <c r="B15" s="96">
        <v>46086.688379907406</v>
      </c>
      <c r="C15" s="97" t="s">
        <v>71</v>
      </c>
      <c r="D15" s="97" t="s">
        <v>106</v>
      </c>
      <c r="E15" s="98" t="s">
        <v>107</v>
      </c>
      <c r="F15" s="97"/>
      <c r="G15" s="97" t="s">
        <v>111</v>
      </c>
      <c r="H15" s="99" t="s">
        <v>62</v>
      </c>
      <c r="I15" s="100" t="s">
        <v>64</v>
      </c>
      <c r="J15" s="101" t="s">
        <v>105</v>
      </c>
      <c r="K15" s="100"/>
      <c r="L15" s="102" t="s">
        <v>112</v>
      </c>
      <c r="M15" s="103">
        <f>if(B15,if(and(hour(B15+M$7)&gt;9.5,(hour(B15+M$7)&lt;19.5)),B15+M$7,_xlfn.workday.intl(int(B15),1,"0000001",Holidays!A:A)+hour(B15+M$7-$B$1)/24+minute(B15)/1440),"")</f>
        <v>46087.43819</v>
      </c>
      <c r="N15" s="104">
        <v>46086.70101788195</v>
      </c>
      <c r="O15" s="105" t="s">
        <v>14</v>
      </c>
      <c r="P15" s="106">
        <f t="shared" si="1"/>
        <v>0</v>
      </c>
      <c r="Q15" s="107" t="s">
        <v>72</v>
      </c>
      <c r="R15" s="108" t="s">
        <v>434</v>
      </c>
      <c r="S15" s="103">
        <f>if(M15,if(and(hour(M15+S$7)&gt;9.5,(hour(M15+S$7)&lt;19.5)),M15+S$7,_xlfn.workday.intl(int(M15),1,"0000001",Holidays!A:A)+hour(M15+S$7-$B$1)/24+minute(M15)/1440),"")</f>
        <v>46087.44514</v>
      </c>
      <c r="T15" s="104">
        <v>46086.70118991898</v>
      </c>
      <c r="U15" s="105" t="s">
        <v>14</v>
      </c>
      <c r="V15" s="109">
        <f t="shared" si="2"/>
        <v>0</v>
      </c>
      <c r="W15" s="110" t="str">
        <f t="shared" si="3"/>
        <v>EMP5009 Rup Kumar Mandal</v>
      </c>
      <c r="X15" s="103">
        <f>if(S15,if(and(hour(S15+X$7)&gt;9.5,(hour(S15+X$7)&lt;19.5)),S15+X$7,_xlfn.workday.intl(int(S15),1,"0000001",Holidays!A:A)+hour(S15+X$7-$B$1)/24+minute(S15)/1440),"")</f>
        <v>46087.54931</v>
      </c>
      <c r="Y15" s="104">
        <v>46086.71181302083</v>
      </c>
      <c r="Z15" s="105" t="s">
        <v>14</v>
      </c>
      <c r="AA15" s="111">
        <f t="shared" si="4"/>
        <v>0</v>
      </c>
      <c r="AB15" s="110" t="str">
        <f t="shared" si="5"/>
        <v>EMP5009 Rup Kumar Mandal</v>
      </c>
      <c r="AC15" s="103">
        <f>if(X15,_xlfn.WORKDAY.INTL(X15,AC$7,"0000001",Holidays!A:A)+hour(X15)/24+MINUTE(X15)/1440,"")</f>
        <v>46088.54931</v>
      </c>
      <c r="AD15" s="104">
        <v>46087.66334209491</v>
      </c>
      <c r="AE15" s="105" t="s">
        <v>14</v>
      </c>
      <c r="AF15" s="111">
        <f t="shared" si="6"/>
        <v>0</v>
      </c>
      <c r="AG15" s="110" t="str">
        <f t="shared" si="7"/>
        <v>EMP5009 Rup Kumar Mandal</v>
      </c>
      <c r="AH15" s="103">
        <f>if(AC15,if(and(hour(AC15+AH$7)&gt;9.5,(hour(AC15+AH$7)&lt;19.5)),AC15+AH$7,_xlfn.workday.intl(int(AC15),1,"0000001",Holidays!A:A)+hour(AC15+AH$7-$B$1)/24+minute(AC15)/1440),"")</f>
        <v>46088.59097</v>
      </c>
      <c r="AI15" s="104">
        <v>46087.66344559028</v>
      </c>
      <c r="AJ15" s="105" t="s">
        <v>14</v>
      </c>
      <c r="AK15" s="111">
        <f t="shared" si="8"/>
        <v>0</v>
      </c>
      <c r="AL15" s="112" t="str">
        <f t="shared" si="9"/>
        <v>EMP5009 Rup Kumar Mandal</v>
      </c>
      <c r="AM15" s="113"/>
      <c r="AN15" s="114" t="s">
        <v>672</v>
      </c>
      <c r="AO15" s="115"/>
      <c r="AP15" s="115"/>
      <c r="AQ15" s="115"/>
      <c r="AR15" s="115"/>
      <c r="AS15" s="115"/>
      <c r="AT15" s="115"/>
      <c r="AU15" s="115"/>
      <c r="AV15" s="115"/>
      <c r="AW15" s="115"/>
      <c r="AX15" s="115"/>
      <c r="AY15" s="115"/>
    </row>
    <row r="16">
      <c r="A16" s="95">
        <f t="shared" si="10"/>
        <v>4967</v>
      </c>
      <c r="B16" s="96">
        <v>46086.69032638889</v>
      </c>
      <c r="C16" s="97" t="s">
        <v>74</v>
      </c>
      <c r="D16" s="97" t="s">
        <v>106</v>
      </c>
      <c r="E16" s="98" t="s">
        <v>114</v>
      </c>
      <c r="F16" s="97"/>
      <c r="G16" s="97" t="s">
        <v>117</v>
      </c>
      <c r="H16" s="99" t="s">
        <v>62</v>
      </c>
      <c r="I16" s="100" t="s">
        <v>64</v>
      </c>
      <c r="J16" s="101" t="s">
        <v>105</v>
      </c>
      <c r="K16" s="100"/>
      <c r="L16" s="102" t="s">
        <v>119</v>
      </c>
      <c r="M16" s="103">
        <f>if(B16,if(and(hour(B16+M$7)&gt;9.5,(hour(B16+M$7)&lt;19.5)),B16+M$7,_xlfn.workday.intl(int(B16),1,"0000001",Holidays!A:A)+hour(B16+M$7-$B$1)/24+minute(B16)/1440),"")</f>
        <v>46087.44028</v>
      </c>
      <c r="N16" s="104">
        <v>46086.70103997685</v>
      </c>
      <c r="O16" s="105" t="s">
        <v>14</v>
      </c>
      <c r="P16" s="106">
        <f t="shared" si="1"/>
        <v>0</v>
      </c>
      <c r="Q16" s="107" t="s">
        <v>72</v>
      </c>
      <c r="R16" s="108" t="s">
        <v>434</v>
      </c>
      <c r="S16" s="103">
        <f>if(M16,if(and(hour(M16+S$7)&gt;9.5,(hour(M16+S$7)&lt;19.5)),M16+S$7,_xlfn.workday.intl(int(M16),1,"0000001",Holidays!A:A)+hour(M16+S$7-$B$1)/24+minute(M16)/1440),"")</f>
        <v>46087.44722</v>
      </c>
      <c r="T16" s="104">
        <v>46086.701212314816</v>
      </c>
      <c r="U16" s="105" t="s">
        <v>14</v>
      </c>
      <c r="V16" s="109">
        <f t="shared" si="2"/>
        <v>0</v>
      </c>
      <c r="W16" s="110" t="str">
        <f t="shared" si="3"/>
        <v>EMP5009 Rup Kumar Mandal</v>
      </c>
      <c r="X16" s="103">
        <f>if(S16,if(and(hour(S16+X$7)&gt;9.5,(hour(S16+X$7)&lt;19.5)),S16+X$7,_xlfn.workday.intl(int(S16),1,"0000001",Holidays!A:A)+hour(S16+X$7-$B$1)/24+minute(S16)/1440),"")</f>
        <v>46087.55139</v>
      </c>
      <c r="Y16" s="104">
        <v>46086.71181302083</v>
      </c>
      <c r="Z16" s="105" t="s">
        <v>14</v>
      </c>
      <c r="AA16" s="111">
        <f t="shared" si="4"/>
        <v>0</v>
      </c>
      <c r="AB16" s="110" t="str">
        <f t="shared" si="5"/>
        <v>EMP5009 Rup Kumar Mandal</v>
      </c>
      <c r="AC16" s="103">
        <f>if(X16,_xlfn.WORKDAY.INTL(X16,AC$7,"0000001",Holidays!A:A)+hour(X16)/24+MINUTE(X16)/1440,"")</f>
        <v>46088.55139</v>
      </c>
      <c r="AD16" s="104">
        <v>46087.66336288194</v>
      </c>
      <c r="AE16" s="105" t="s">
        <v>14</v>
      </c>
      <c r="AF16" s="111">
        <f t="shared" si="6"/>
        <v>0</v>
      </c>
      <c r="AG16" s="110" t="str">
        <f t="shared" si="7"/>
        <v>EMP5009 Rup Kumar Mandal</v>
      </c>
      <c r="AH16" s="103">
        <f>if(AC16,if(and(hour(AC16+AH$7)&gt;9.5,(hour(AC16+AH$7)&lt;19.5)),AC16+AH$7,_xlfn.workday.intl(int(AC16),1,"0000001",Holidays!A:A)+hour(AC16+AH$7-$B$1)/24+minute(AC16)/1440),"")</f>
        <v>46088.59306</v>
      </c>
      <c r="AI16" s="104">
        <v>46087.66342466435</v>
      </c>
      <c r="AJ16" s="105" t="s">
        <v>14</v>
      </c>
      <c r="AK16" s="111">
        <f t="shared" si="8"/>
        <v>0</v>
      </c>
      <c r="AL16" s="112" t="str">
        <f t="shared" si="9"/>
        <v>EMP5009 Rup Kumar Mandal</v>
      </c>
      <c r="AM16" s="113"/>
      <c r="AN16" s="114" t="s">
        <v>672</v>
      </c>
      <c r="AO16" s="115"/>
      <c r="AP16" s="115"/>
      <c r="AQ16" s="115"/>
      <c r="AR16" s="115"/>
      <c r="AS16" s="115"/>
      <c r="AT16" s="115"/>
      <c r="AU16" s="115"/>
      <c r="AV16" s="115"/>
      <c r="AW16" s="115"/>
      <c r="AX16" s="115"/>
      <c r="AY16" s="115"/>
    </row>
    <row r="17">
      <c r="A17" s="95">
        <f t="shared" si="10"/>
        <v>4968</v>
      </c>
      <c r="B17" s="96">
        <v>46087.45705804398</v>
      </c>
      <c r="C17" s="97" t="s">
        <v>82</v>
      </c>
      <c r="D17" s="97" t="s">
        <v>122</v>
      </c>
      <c r="E17" s="98" t="s">
        <v>123</v>
      </c>
      <c r="F17" s="98" t="s">
        <v>128</v>
      </c>
      <c r="G17" s="97" t="s">
        <v>82</v>
      </c>
      <c r="H17" s="99" t="s">
        <v>126</v>
      </c>
      <c r="I17" s="100" t="s">
        <v>64</v>
      </c>
      <c r="J17" s="101" t="s">
        <v>121</v>
      </c>
      <c r="K17" s="100"/>
      <c r="L17" s="102" t="s">
        <v>127</v>
      </c>
      <c r="M17" s="103">
        <f>if(B17,if(and(hour(B17+M$7)&gt;9.5,(hour(B17+M$7)&lt;19.5)),B17+M$7,_xlfn.workday.intl(int(B17),1,"0000001",Holidays!A:A)+hour(B17+M$7-$B$1)/24+minute(B17)/1440),"")</f>
        <v>46087.62372</v>
      </c>
      <c r="N17" s="104">
        <v>46087.47363854166</v>
      </c>
      <c r="O17" s="105" t="s">
        <v>14</v>
      </c>
      <c r="P17" s="106">
        <f t="shared" si="1"/>
        <v>0</v>
      </c>
      <c r="Q17" s="107" t="s">
        <v>15</v>
      </c>
      <c r="R17" s="108" t="s">
        <v>434</v>
      </c>
      <c r="S17" s="103">
        <f>if(M17,if(and(hour(M17+S$7)&gt;9.5,(hour(M17+S$7)&lt;19.5)),M17+S$7,_xlfn.workday.intl(int(M17),1,"0000001",Holidays!A:A)+hour(M17+S$7-$B$1)/24+minute(M17)/1440),"")</f>
        <v>46087.63067</v>
      </c>
      <c r="T17" s="104">
        <v>46087.47372902778</v>
      </c>
      <c r="U17" s="105" t="s">
        <v>14</v>
      </c>
      <c r="V17" s="109">
        <f t="shared" si="2"/>
        <v>0</v>
      </c>
      <c r="W17" s="110" t="str">
        <f t="shared" si="3"/>
        <v>EMP0042 HULESHWAR KUMAR SAHU</v>
      </c>
      <c r="X17" s="103">
        <f>if(S17,if(and(hour(S17+X$7)&gt;9.5,(hour(S17+X$7)&lt;19.5)),S17+X$7,_xlfn.workday.intl(int(S17),1,"0000001",Holidays!A:A)+hour(S17+X$7-$B$1)/24+minute(S17)/1440),"")</f>
        <v>46087.73484</v>
      </c>
      <c r="Y17" s="104">
        <v>46087.47382075232</v>
      </c>
      <c r="Z17" s="105" t="s">
        <v>14</v>
      </c>
      <c r="AA17" s="111">
        <f t="shared" si="4"/>
        <v>0</v>
      </c>
      <c r="AB17" s="110" t="str">
        <f t="shared" si="5"/>
        <v>EMP0042 HULESHWAR KUMAR SAHU</v>
      </c>
      <c r="AC17" s="103">
        <f>if(X17,_xlfn.WORKDAY.INTL(X17,AC$7,"0000001",Holidays!A:A)+hour(X17)/24+MINUTE(X17)/1440,"")</f>
        <v>46088.73472</v>
      </c>
      <c r="AD17" s="104">
        <v>46087.495814699076</v>
      </c>
      <c r="AE17" s="105" t="s">
        <v>14</v>
      </c>
      <c r="AF17" s="111">
        <f t="shared" si="6"/>
        <v>0</v>
      </c>
      <c r="AG17" s="110" t="str">
        <f t="shared" si="7"/>
        <v>EMP0042 HULESHWAR KUMAR SAHU</v>
      </c>
      <c r="AH17" s="103">
        <f>if(AC17,if(and(hour(AC17+AH$7)&gt;9.5,(hour(AC17+AH$7)&lt;19.5)),AC17+AH$7,_xlfn.workday.intl(int(AC17),1,"0000001",Holidays!A:A)+hour(AC17+AH$7-$B$1)/24+minute(AC17)/1440),"")</f>
        <v>46088.77639</v>
      </c>
      <c r="AI17" s="104">
        <v>46087.49585709491</v>
      </c>
      <c r="AJ17" s="105" t="s">
        <v>14</v>
      </c>
      <c r="AK17" s="111">
        <f t="shared" si="8"/>
        <v>0</v>
      </c>
      <c r="AL17" s="112" t="str">
        <f t="shared" si="9"/>
        <v>EMP0042 HULESHWAR KUMAR SAHU</v>
      </c>
      <c r="AM17" s="113"/>
      <c r="AN17" s="114" t="s">
        <v>672</v>
      </c>
      <c r="AO17" s="115"/>
      <c r="AP17" s="115"/>
      <c r="AQ17" s="115"/>
      <c r="AR17" s="115"/>
      <c r="AS17" s="115"/>
      <c r="AT17" s="115"/>
      <c r="AU17" s="115"/>
      <c r="AV17" s="115"/>
      <c r="AW17" s="115"/>
      <c r="AX17" s="115"/>
      <c r="AY17" s="115"/>
    </row>
    <row r="18">
      <c r="A18" s="95">
        <f t="shared" si="10"/>
        <v>4969</v>
      </c>
      <c r="B18" s="96">
        <v>46087.63912599537</v>
      </c>
      <c r="C18" s="97" t="s">
        <v>84</v>
      </c>
      <c r="D18" s="97" t="s">
        <v>133</v>
      </c>
      <c r="E18" s="98" t="s">
        <v>134</v>
      </c>
      <c r="F18" s="97"/>
      <c r="G18" s="97" t="s">
        <v>137</v>
      </c>
      <c r="H18" s="99" t="s">
        <v>138</v>
      </c>
      <c r="I18" s="100" t="s">
        <v>139</v>
      </c>
      <c r="J18" s="101" t="s">
        <v>132</v>
      </c>
      <c r="K18" s="100"/>
      <c r="L18" s="102" t="s">
        <v>84</v>
      </c>
      <c r="M18" s="103">
        <f>if(B18,if(and(hour(B18+M$7)&gt;9.5,(hour(B18+M$7)&lt;19.5)),B18+M$7,_xlfn.workday.intl(int(B18),1,"0000001",Holidays!A:A)+hour(B18+M$7-$B$1)/24+minute(B18)/1440),"")</f>
        <v>46087.80579</v>
      </c>
      <c r="N18" s="104">
        <v>46087.64044146991</v>
      </c>
      <c r="O18" s="105" t="s">
        <v>14</v>
      </c>
      <c r="P18" s="106">
        <f t="shared" si="1"/>
        <v>0</v>
      </c>
      <c r="Q18" s="107" t="s">
        <v>61</v>
      </c>
      <c r="R18" s="108" t="s">
        <v>434</v>
      </c>
      <c r="S18" s="103">
        <f>if(M18,if(and(hour(M18+S$7)&gt;9.5,(hour(M18+S$7)&lt;19.5)),M18+S$7,_xlfn.workday.intl(int(M18),1,"0000001",Holidays!A:A)+hour(M18+S$7-$B$1)/24+minute(M18)/1440),"")</f>
        <v>46087.81274</v>
      </c>
      <c r="T18" s="104">
        <v>46087.640584699075</v>
      </c>
      <c r="U18" s="105" t="s">
        <v>14</v>
      </c>
      <c r="V18" s="109">
        <f t="shared" si="2"/>
        <v>0</v>
      </c>
      <c r="W18" s="110" t="str">
        <f t="shared" si="3"/>
        <v>EMP0021 Tamanna Dewangan</v>
      </c>
      <c r="X18" s="103">
        <f>if(S18,if(and(hour(S18+X$7)&gt;9.5,(hour(S18+X$7)&lt;19.5)),S18+X$7,_xlfn.workday.intl(int(S18),1,"0000001",Holidays!A:A)+hour(S18+X$7-$B$1)/24+minute(S18)/1440),"")</f>
        <v>46088.52083</v>
      </c>
      <c r="Y18" s="104">
        <v>46088.41774597223</v>
      </c>
      <c r="Z18" s="105" t="s">
        <v>14</v>
      </c>
      <c r="AA18" s="111">
        <f t="shared" si="4"/>
        <v>0</v>
      </c>
      <c r="AB18" s="110" t="str">
        <f t="shared" si="5"/>
        <v>EMP0021 Tamanna Dewangan</v>
      </c>
      <c r="AC18" s="103">
        <f>if(X18,_xlfn.WORKDAY.INTL(X18,AC$7,"0000001",Holidays!A:A)+hour(X18)/24+MINUTE(X18)/1440,"")</f>
        <v>46090.52083</v>
      </c>
      <c r="AD18" s="104">
        <v>46088.417819016206</v>
      </c>
      <c r="AE18" s="105" t="s">
        <v>14</v>
      </c>
      <c r="AF18" s="111">
        <f t="shared" si="6"/>
        <v>0</v>
      </c>
      <c r="AG18" s="110" t="str">
        <f t="shared" si="7"/>
        <v>EMP0021 Tamanna Dewangan</v>
      </c>
      <c r="AH18" s="103">
        <f>if(AC18,if(and(hour(AC18+AH$7)&gt;9.5,(hour(AC18+AH$7)&lt;19.5)),AC18+AH$7,_xlfn.workday.intl(int(AC18),1,"0000001",Holidays!A:A)+hour(AC18+AH$7-$B$1)/24+minute(AC18)/1440),"")</f>
        <v>46090.5625</v>
      </c>
      <c r="AI18" s="104">
        <v>46088.417878125</v>
      </c>
      <c r="AJ18" s="105" t="s">
        <v>14</v>
      </c>
      <c r="AK18" s="111">
        <f t="shared" si="8"/>
        <v>0</v>
      </c>
      <c r="AL18" s="112" t="str">
        <f t="shared" si="9"/>
        <v>EMP0021 Tamanna Dewangan</v>
      </c>
      <c r="AM18" s="113"/>
      <c r="AN18" s="114" t="s">
        <v>672</v>
      </c>
      <c r="AO18" s="115"/>
      <c r="AP18" s="115"/>
      <c r="AQ18" s="115"/>
      <c r="AR18" s="115"/>
      <c r="AS18" s="115"/>
      <c r="AT18" s="115"/>
      <c r="AU18" s="115"/>
      <c r="AV18" s="115"/>
      <c r="AW18" s="115"/>
      <c r="AX18" s="115"/>
      <c r="AY18" s="115"/>
    </row>
    <row r="19">
      <c r="A19" s="95">
        <f t="shared" si="10"/>
        <v>4970</v>
      </c>
      <c r="B19" s="96">
        <v>46087.73306724537</v>
      </c>
      <c r="C19" s="97" t="s">
        <v>90</v>
      </c>
      <c r="D19" s="97" t="s">
        <v>142</v>
      </c>
      <c r="E19" s="98" t="s">
        <v>143</v>
      </c>
      <c r="F19" s="97"/>
      <c r="G19" s="97" t="s">
        <v>146</v>
      </c>
      <c r="H19" s="99" t="s">
        <v>147</v>
      </c>
      <c r="I19" s="100" t="s">
        <v>64</v>
      </c>
      <c r="J19" s="101" t="s">
        <v>141</v>
      </c>
      <c r="K19" s="100"/>
      <c r="L19" s="102" t="s">
        <v>148</v>
      </c>
      <c r="M19" s="103">
        <f>if(B19,if(and(hour(B19+M$7)&gt;9.5,(hour(B19+M$7)&lt;19.5)),B19+M$7,_xlfn.workday.intl(int(B19),1,"0000001",Holidays!A:A)+hour(B19+M$7-$B$1)/24+minute(B19)/1440),"")</f>
        <v>46088.48264</v>
      </c>
      <c r="N19" s="104">
        <v>46087.73551267361</v>
      </c>
      <c r="O19" s="105" t="s">
        <v>14</v>
      </c>
      <c r="P19" s="106">
        <f t="shared" si="1"/>
        <v>0</v>
      </c>
      <c r="Q19" s="107" t="s">
        <v>15</v>
      </c>
      <c r="R19" s="108" t="s">
        <v>434</v>
      </c>
      <c r="S19" s="103">
        <f>if(M19,if(and(hour(M19+S$7)&gt;9.5,(hour(M19+S$7)&lt;19.5)),M19+S$7,_xlfn.workday.intl(int(M19),1,"0000001",Holidays!A:A)+hour(M19+S$7-$B$1)/24+minute(M19)/1440),"")</f>
        <v>46088.48958</v>
      </c>
      <c r="T19" s="104">
        <v>46087.73570435186</v>
      </c>
      <c r="U19" s="105" t="s">
        <v>14</v>
      </c>
      <c r="V19" s="109">
        <f t="shared" si="2"/>
        <v>0</v>
      </c>
      <c r="W19" s="110" t="str">
        <f t="shared" si="3"/>
        <v>EMP0042 HULESHWAR KUMAR SAHU</v>
      </c>
      <c r="X19" s="103">
        <f>if(S19,if(and(hour(S19+X$7)&gt;9.5,(hour(S19+X$7)&lt;19.5)),S19+X$7,_xlfn.workday.intl(int(S19),1,"0000001",Holidays!A:A)+hour(S19+X$7-$B$1)/24+minute(S19)/1440),"")</f>
        <v>46088.59375</v>
      </c>
      <c r="Y19" s="104">
        <v>46087.735998425924</v>
      </c>
      <c r="Z19" s="105" t="s">
        <v>14</v>
      </c>
      <c r="AA19" s="111">
        <f t="shared" si="4"/>
        <v>0</v>
      </c>
      <c r="AB19" s="110" t="str">
        <f t="shared" si="5"/>
        <v>EMP0042 HULESHWAR KUMAR SAHU</v>
      </c>
      <c r="AC19" s="103">
        <f>if(X19,_xlfn.WORKDAY.INTL(X19,AC$7,"0000001",Holidays!A:A)+hour(X19)/24+MINUTE(X19)/1440,"")</f>
        <v>46090.59375</v>
      </c>
      <c r="AD19" s="104">
        <v>46088.448983009264</v>
      </c>
      <c r="AE19" s="105" t="s">
        <v>14</v>
      </c>
      <c r="AF19" s="111">
        <f t="shared" si="6"/>
        <v>0</v>
      </c>
      <c r="AG19" s="110" t="str">
        <f t="shared" si="7"/>
        <v>EMP0042 HULESHWAR KUMAR SAHU</v>
      </c>
      <c r="AH19" s="103">
        <f>if(AC19,if(and(hour(AC19+AH$7)&gt;9.5,(hour(AC19+AH$7)&lt;19.5)),AC19+AH$7,_xlfn.workday.intl(int(AC19),1,"0000001",Holidays!A:A)+hour(AC19+AH$7-$B$1)/24+minute(AC19)/1440),"")</f>
        <v>46090.63542</v>
      </c>
      <c r="AI19" s="104">
        <v>46088.44906888889</v>
      </c>
      <c r="AJ19" s="105" t="s">
        <v>14</v>
      </c>
      <c r="AK19" s="111">
        <f t="shared" si="8"/>
        <v>0</v>
      </c>
      <c r="AL19" s="112" t="str">
        <f t="shared" si="9"/>
        <v>EMP0042 HULESHWAR KUMAR SAHU</v>
      </c>
      <c r="AM19" s="113"/>
      <c r="AN19" s="114" t="s">
        <v>672</v>
      </c>
      <c r="AO19" s="115"/>
      <c r="AP19" s="115"/>
      <c r="AQ19" s="115"/>
      <c r="AR19" s="115"/>
      <c r="AS19" s="115"/>
      <c r="AT19" s="115"/>
      <c r="AU19" s="115"/>
      <c r="AV19" s="115"/>
      <c r="AW19" s="115"/>
      <c r="AX19" s="115"/>
      <c r="AY19" s="115"/>
    </row>
    <row r="20">
      <c r="A20" s="95">
        <f t="shared" si="10"/>
        <v>4971</v>
      </c>
      <c r="B20" s="96">
        <v>46087.776164097224</v>
      </c>
      <c r="C20" s="97" t="s">
        <v>94</v>
      </c>
      <c r="D20" s="97" t="s">
        <v>151</v>
      </c>
      <c r="E20" s="98" t="s">
        <v>152</v>
      </c>
      <c r="F20" s="97"/>
      <c r="G20" s="97" t="s">
        <v>60</v>
      </c>
      <c r="H20" s="99" t="s">
        <v>62</v>
      </c>
      <c r="I20" s="100" t="s">
        <v>64</v>
      </c>
      <c r="J20" s="101" t="s">
        <v>150</v>
      </c>
      <c r="K20" s="100"/>
      <c r="L20" s="102" t="s">
        <v>155</v>
      </c>
      <c r="M20" s="103">
        <f>if(B20,if(and(hour(B20+M$7)&gt;9.5,(hour(B20+M$7)&lt;19.5)),B20+M$7,_xlfn.workday.intl(int(B20),1,"0000001",Holidays!A:A)+hour(B20+M$7-$B$1)/24+minute(B20)/1440),"")</f>
        <v>46088.52569</v>
      </c>
      <c r="N20" s="104">
        <v>46088.417496435184</v>
      </c>
      <c r="O20" s="105" t="s">
        <v>14</v>
      </c>
      <c r="P20" s="106">
        <f t="shared" si="1"/>
        <v>0</v>
      </c>
      <c r="Q20" s="107" t="s">
        <v>15</v>
      </c>
      <c r="R20" s="108" t="s">
        <v>434</v>
      </c>
      <c r="S20" s="103">
        <f>if(M20,if(and(hour(M20+S$7)&gt;9.5,(hour(M20+S$7)&lt;19.5)),M20+S$7,_xlfn.workday.intl(int(M20),1,"0000001",Holidays!A:A)+hour(M20+S$7-$B$1)/24+minute(M20)/1440),"")</f>
        <v>46088.53264</v>
      </c>
      <c r="T20" s="104">
        <v>46088.41757754629</v>
      </c>
      <c r="U20" s="105" t="s">
        <v>14</v>
      </c>
      <c r="V20" s="109">
        <f t="shared" si="2"/>
        <v>0</v>
      </c>
      <c r="W20" s="110" t="str">
        <f t="shared" si="3"/>
        <v>EMP0042 HULESHWAR KUMAR SAHU</v>
      </c>
      <c r="X20" s="103">
        <f>if(S20,if(and(hour(S20+X$7)&gt;9.5,(hour(S20+X$7)&lt;19.5)),S20+X$7,_xlfn.workday.intl(int(S20),1,"0000001",Holidays!A:A)+hour(S20+X$7-$B$1)/24+minute(S20)/1440),"")</f>
        <v>46088.63681</v>
      </c>
      <c r="Y20" s="104">
        <v>46088.418142083334</v>
      </c>
      <c r="Z20" s="105" t="s">
        <v>14</v>
      </c>
      <c r="AA20" s="111">
        <f t="shared" si="4"/>
        <v>0</v>
      </c>
      <c r="AB20" s="110" t="str">
        <f t="shared" si="5"/>
        <v>EMP0042 HULESHWAR KUMAR SAHU</v>
      </c>
      <c r="AC20" s="103">
        <f>if(X20,_xlfn.WORKDAY.INTL(X20,AC$7,"0000001",Holidays!A:A)+hour(X20)/24+MINUTE(X20)/1440,"")</f>
        <v>46090.63681</v>
      </c>
      <c r="AD20" s="104">
        <v>46088.449121875004</v>
      </c>
      <c r="AE20" s="105" t="s">
        <v>14</v>
      </c>
      <c r="AF20" s="111">
        <f t="shared" si="6"/>
        <v>0</v>
      </c>
      <c r="AG20" s="110" t="str">
        <f t="shared" si="7"/>
        <v>EMP0042 HULESHWAR KUMAR SAHU</v>
      </c>
      <c r="AH20" s="103">
        <f>if(AC20,if(and(hour(AC20+AH$7)&gt;9.5,(hour(AC20+AH$7)&lt;19.5)),AC20+AH$7,_xlfn.workday.intl(int(AC20),1,"0000001",Holidays!A:A)+hour(AC20+AH$7-$B$1)/24+minute(AC20)/1440),"")</f>
        <v>46090.67847</v>
      </c>
      <c r="AI20" s="104">
        <v>46088.500586932874</v>
      </c>
      <c r="AJ20" s="105" t="s">
        <v>14</v>
      </c>
      <c r="AK20" s="111">
        <f t="shared" si="8"/>
        <v>0</v>
      </c>
      <c r="AL20" s="112" t="str">
        <f t="shared" si="9"/>
        <v>EMP0042 HULESHWAR KUMAR SAHU</v>
      </c>
      <c r="AM20" s="113"/>
      <c r="AN20" s="114" t="s">
        <v>672</v>
      </c>
      <c r="AO20" s="115"/>
      <c r="AP20" s="115"/>
      <c r="AQ20" s="115"/>
      <c r="AR20" s="115"/>
      <c r="AS20" s="115"/>
      <c r="AT20" s="115"/>
      <c r="AU20" s="115"/>
      <c r="AV20" s="115"/>
      <c r="AW20" s="115"/>
      <c r="AX20" s="115"/>
      <c r="AY20" s="115"/>
    </row>
    <row r="21">
      <c r="A21" s="95">
        <f t="shared" si="10"/>
        <v>4972</v>
      </c>
      <c r="B21" s="96">
        <v>46088.417013541664</v>
      </c>
      <c r="C21" s="97" t="s">
        <v>101</v>
      </c>
      <c r="D21" s="97" t="s">
        <v>133</v>
      </c>
      <c r="E21" s="98" t="s">
        <v>156</v>
      </c>
      <c r="F21" s="97"/>
      <c r="G21" s="97" t="s">
        <v>160</v>
      </c>
      <c r="H21" s="99" t="s">
        <v>138</v>
      </c>
      <c r="I21" s="100" t="s">
        <v>139</v>
      </c>
      <c r="J21" s="101" t="s">
        <v>132</v>
      </c>
      <c r="K21" s="100"/>
      <c r="L21" s="102" t="s">
        <v>161</v>
      </c>
      <c r="M21" s="103">
        <f>if(B21,if(and(hour(B21+M$7)&gt;9.5,(hour(B21+M$7)&lt;19.5)),B21+M$7,_xlfn.workday.intl(int(B21),1,"0000001",Holidays!A:A)+hour(B21+M$7-$B$1)/24+minute(B21)/1440),"")</f>
        <v>46088.58368</v>
      </c>
      <c r="N21" s="104">
        <v>46088.41740287037</v>
      </c>
      <c r="O21" s="105" t="s">
        <v>14</v>
      </c>
      <c r="P21" s="106">
        <f t="shared" si="1"/>
        <v>0</v>
      </c>
      <c r="Q21" s="107" t="s">
        <v>61</v>
      </c>
      <c r="R21" s="108" t="s">
        <v>434</v>
      </c>
      <c r="S21" s="103">
        <f>if(M21,if(and(hour(M21+S$7)&gt;9.5,(hour(M21+S$7)&lt;19.5)),M21+S$7,_xlfn.workday.intl(int(M21),1,"0000001",Holidays!A:A)+hour(M21+S$7-$B$1)/24+minute(M21)/1440),"")</f>
        <v>46088.59062</v>
      </c>
      <c r="T21" s="104">
        <v>46088.4175850926</v>
      </c>
      <c r="U21" s="105" t="s">
        <v>14</v>
      </c>
      <c r="V21" s="109">
        <f t="shared" si="2"/>
        <v>0</v>
      </c>
      <c r="W21" s="110" t="str">
        <f t="shared" si="3"/>
        <v>EMP0021 Tamanna Dewangan</v>
      </c>
      <c r="X21" s="103">
        <f>if(S21,if(and(hour(S21+X$7)&gt;9.5,(hour(S21+X$7)&lt;19.5)),S21+X$7,_xlfn.workday.intl(int(S21),1,"0000001",Holidays!A:A)+hour(S21+X$7-$B$1)/24+minute(S21)/1440),"")</f>
        <v>46088.69479</v>
      </c>
      <c r="Y21" s="104">
        <v>46088.41816032407</v>
      </c>
      <c r="Z21" s="105" t="s">
        <v>14</v>
      </c>
      <c r="AA21" s="111">
        <f t="shared" si="4"/>
        <v>0</v>
      </c>
      <c r="AB21" s="110" t="str">
        <f t="shared" si="5"/>
        <v>EMP0021 Tamanna Dewangan</v>
      </c>
      <c r="AC21" s="103">
        <f>if(X21,_xlfn.WORKDAY.INTL(X21,AC$7,"0000001",Holidays!A:A)+hour(X21)/24+MINUTE(X21)/1440,"")</f>
        <v>46090.69444</v>
      </c>
      <c r="AD21" s="104">
        <v>46088.481645266205</v>
      </c>
      <c r="AE21" s="105" t="s">
        <v>14</v>
      </c>
      <c r="AF21" s="111">
        <f t="shared" si="6"/>
        <v>0</v>
      </c>
      <c r="AG21" s="110" t="str">
        <f t="shared" si="7"/>
        <v>EMP0021 Tamanna Dewangan</v>
      </c>
      <c r="AH21" s="103">
        <f>if(AC21,if(and(hour(AC21+AH$7)&gt;9.5,(hour(AC21+AH$7)&lt;19.5)),AC21+AH$7,_xlfn.workday.intl(int(AC21),1,"0000001",Holidays!A:A)+hour(AC21+AH$7-$B$1)/24+minute(AC21)/1440),"")</f>
        <v>46090.73611</v>
      </c>
      <c r="AI21" s="104">
        <v>46088.48170363426</v>
      </c>
      <c r="AJ21" s="105" t="s">
        <v>14</v>
      </c>
      <c r="AK21" s="111">
        <f t="shared" si="8"/>
        <v>0</v>
      </c>
      <c r="AL21" s="112" t="str">
        <f t="shared" si="9"/>
        <v>EMP0021 Tamanna Dewangan</v>
      </c>
      <c r="AM21" s="113"/>
      <c r="AN21" s="114" t="s">
        <v>672</v>
      </c>
      <c r="AO21" s="115"/>
      <c r="AP21" s="115"/>
      <c r="AQ21" s="115"/>
      <c r="AR21" s="115"/>
      <c r="AS21" s="115"/>
      <c r="AT21" s="115"/>
      <c r="AU21" s="115"/>
      <c r="AV21" s="115"/>
      <c r="AW21" s="115"/>
      <c r="AX21" s="115"/>
      <c r="AY21" s="115"/>
    </row>
    <row r="22">
      <c r="A22" s="95">
        <f t="shared" si="10"/>
        <v>4973</v>
      </c>
      <c r="B22" s="96">
        <v>46088.442918182875</v>
      </c>
      <c r="C22" s="97" t="s">
        <v>109</v>
      </c>
      <c r="D22" s="97" t="s">
        <v>142</v>
      </c>
      <c r="E22" s="98" t="s">
        <v>163</v>
      </c>
      <c r="F22" s="97"/>
      <c r="G22" s="97" t="s">
        <v>168</v>
      </c>
      <c r="H22" s="99" t="s">
        <v>147</v>
      </c>
      <c r="I22" s="100" t="s">
        <v>64</v>
      </c>
      <c r="J22" s="101" t="s">
        <v>141</v>
      </c>
      <c r="K22" s="100"/>
      <c r="L22" s="102" t="s">
        <v>169</v>
      </c>
      <c r="M22" s="103">
        <f>if(B22,if(and(hour(B22+M$7)&gt;9.5,(hour(B22+M$7)&lt;19.5)),B22+M$7,_xlfn.workday.intl(int(B22),1,"0000001",Holidays!A:A)+hour(B22+M$7-$B$1)/24+minute(B22)/1440),"")</f>
        <v>46088.60958</v>
      </c>
      <c r="N22" s="104">
        <v>46088.448532291666</v>
      </c>
      <c r="O22" s="105" t="s">
        <v>14</v>
      </c>
      <c r="P22" s="106">
        <f t="shared" si="1"/>
        <v>0</v>
      </c>
      <c r="Q22" s="107" t="s">
        <v>15</v>
      </c>
      <c r="R22" s="108" t="s">
        <v>434</v>
      </c>
      <c r="S22" s="103">
        <f>if(M22,if(and(hour(M22+S$7)&gt;9.5,(hour(M22+S$7)&lt;19.5)),M22+S$7,_xlfn.workday.intl(int(M22),1,"0000001",Holidays!A:A)+hour(M22+S$7-$B$1)/24+minute(M22)/1440),"")</f>
        <v>46088.61653</v>
      </c>
      <c r="T22" s="104">
        <v>46088.44869953704</v>
      </c>
      <c r="U22" s="105" t="s">
        <v>14</v>
      </c>
      <c r="V22" s="109">
        <f t="shared" si="2"/>
        <v>0</v>
      </c>
      <c r="W22" s="110" t="str">
        <f t="shared" si="3"/>
        <v>EMP0042 HULESHWAR KUMAR SAHU</v>
      </c>
      <c r="X22" s="103">
        <f>if(S22,if(and(hour(S22+X$7)&gt;9.5,(hour(S22+X$7)&lt;19.5)),S22+X$7,_xlfn.workday.intl(int(S22),1,"0000001",Holidays!A:A)+hour(S22+X$7-$B$1)/24+minute(S22)/1440),"")</f>
        <v>46088.7207</v>
      </c>
      <c r="Y22" s="104">
        <v>46088.44883821759</v>
      </c>
      <c r="Z22" s="105" t="s">
        <v>14</v>
      </c>
      <c r="AA22" s="111">
        <f t="shared" si="4"/>
        <v>0</v>
      </c>
      <c r="AB22" s="110" t="str">
        <f t="shared" si="5"/>
        <v>EMP0042 HULESHWAR KUMAR SAHU</v>
      </c>
      <c r="AC22" s="103">
        <f>if(X22,_xlfn.WORKDAY.INTL(X22,AC$7,"0000001",Holidays!A:A)+hour(X22)/24+MINUTE(X22)/1440,"")</f>
        <v>46090.72014</v>
      </c>
      <c r="AD22" s="104">
        <v>46090.62253605324</v>
      </c>
      <c r="AE22" s="105" t="s">
        <v>14</v>
      </c>
      <c r="AF22" s="111">
        <f t="shared" si="6"/>
        <v>0</v>
      </c>
      <c r="AG22" s="110" t="str">
        <f t="shared" si="7"/>
        <v>EMP0042 HULESHWAR KUMAR SAHU</v>
      </c>
      <c r="AH22" s="103">
        <f>if(AC22,if(and(hour(AC22+AH$7)&gt;9.5,(hour(AC22+AH$7)&lt;19.5)),AC22+AH$7,_xlfn.workday.intl(int(AC22),1,"0000001",Holidays!A:A)+hour(AC22+AH$7-$B$1)/24+minute(AC22)/1440),"")</f>
        <v>46090.76181</v>
      </c>
      <c r="AI22" s="104">
        <v>46090.67188197917</v>
      </c>
      <c r="AJ22" s="105" t="s">
        <v>14</v>
      </c>
      <c r="AK22" s="111">
        <f t="shared" si="8"/>
        <v>0</v>
      </c>
      <c r="AL22" s="112" t="str">
        <f t="shared" si="9"/>
        <v>EMP0042 HULESHWAR KUMAR SAHU</v>
      </c>
      <c r="AM22" s="113"/>
      <c r="AN22" s="114" t="s">
        <v>672</v>
      </c>
      <c r="AO22" s="115"/>
      <c r="AP22" s="115"/>
      <c r="AQ22" s="115"/>
      <c r="AR22" s="115"/>
      <c r="AS22" s="115"/>
      <c r="AT22" s="115"/>
      <c r="AU22" s="115"/>
      <c r="AV22" s="115"/>
      <c r="AW22" s="115"/>
      <c r="AX22" s="115"/>
      <c r="AY22" s="115"/>
    </row>
    <row r="23">
      <c r="A23" s="95">
        <f t="shared" si="10"/>
        <v>4974</v>
      </c>
      <c r="B23" s="96">
        <v>46090.49635947916</v>
      </c>
      <c r="C23" s="97" t="s">
        <v>116</v>
      </c>
      <c r="D23" s="97" t="s">
        <v>170</v>
      </c>
      <c r="E23" s="98" t="s">
        <v>171</v>
      </c>
      <c r="F23" s="98" t="s">
        <v>176</v>
      </c>
      <c r="G23" s="97" t="s">
        <v>116</v>
      </c>
      <c r="H23" s="99" t="s">
        <v>138</v>
      </c>
      <c r="I23" s="100" t="s">
        <v>64</v>
      </c>
      <c r="J23" s="101" t="s">
        <v>121</v>
      </c>
      <c r="K23" s="100"/>
      <c r="L23" s="102" t="s">
        <v>175</v>
      </c>
      <c r="M23" s="103">
        <f>if(B23,if(and(hour(B23+M$7)&gt;9.5,(hour(B23+M$7)&lt;19.5)),B23+M$7,_xlfn.workday.intl(int(B23),1,"0000001",Holidays!A:A)+hour(B23+M$7-$B$1)/24+minute(B23)/1440),"")</f>
        <v>46090.66303</v>
      </c>
      <c r="N23" s="104">
        <v>46090.519292094905</v>
      </c>
      <c r="O23" s="105" t="s">
        <v>14</v>
      </c>
      <c r="P23" s="106">
        <f t="shared" si="1"/>
        <v>0</v>
      </c>
      <c r="Q23" s="107" t="s">
        <v>15</v>
      </c>
      <c r="R23" s="108" t="s">
        <v>434</v>
      </c>
      <c r="S23" s="103">
        <f>if(M23,if(and(hour(M23+S$7)&gt;9.5,(hour(M23+S$7)&lt;19.5)),M23+S$7,_xlfn.workday.intl(int(M23),1,"0000001",Holidays!A:A)+hour(M23+S$7-$B$1)/24+minute(M23)/1440),"")</f>
        <v>46090.66997</v>
      </c>
      <c r="T23" s="104">
        <v>46090.51947291667</v>
      </c>
      <c r="U23" s="105" t="s">
        <v>14</v>
      </c>
      <c r="V23" s="109">
        <f t="shared" si="2"/>
        <v>0</v>
      </c>
      <c r="W23" s="110" t="str">
        <f t="shared" si="3"/>
        <v>EMP0042 HULESHWAR KUMAR SAHU</v>
      </c>
      <c r="X23" s="103">
        <f>if(S23,if(and(hour(S23+X$7)&gt;9.5,(hour(S23+X$7)&lt;19.5)),S23+X$7,_xlfn.workday.intl(int(S23),1,"0000001",Holidays!A:A)+hour(S23+X$7-$B$1)/24+minute(S23)/1440),"")</f>
        <v>46090.77414</v>
      </c>
      <c r="Y23" s="104">
        <v>46090.67171430556</v>
      </c>
      <c r="Z23" s="105" t="s">
        <v>14</v>
      </c>
      <c r="AA23" s="111">
        <f t="shared" si="4"/>
        <v>0</v>
      </c>
      <c r="AB23" s="110" t="str">
        <f t="shared" si="5"/>
        <v>EMP0042 HULESHWAR KUMAR SAHU</v>
      </c>
      <c r="AC23" s="103">
        <f>if(X23,_xlfn.WORKDAY.INTL(X23,AC$7,"0000001",Holidays!A:A)+hour(X23)/24+MINUTE(X23)/1440,"")</f>
        <v>46091.77361</v>
      </c>
      <c r="AD23" s="104">
        <v>46091.772465277776</v>
      </c>
      <c r="AE23" s="105" t="s">
        <v>14</v>
      </c>
      <c r="AF23" s="111">
        <f t="shared" si="6"/>
        <v>0</v>
      </c>
      <c r="AG23" s="110" t="str">
        <f t="shared" si="7"/>
        <v>EMP0042 HULESHWAR KUMAR SAHU</v>
      </c>
      <c r="AH23" s="103">
        <f>if(AC23,if(and(hour(AC23+AH$7)&gt;9.5,(hour(AC23+AH$7)&lt;19.5)),AC23+AH$7,_xlfn.workday.intl(int(AC23),1,"0000001",Holidays!A:A)+hour(AC23+AH$7-$B$1)/24+minute(AC23)/1440),"")</f>
        <v>46091.81528</v>
      </c>
      <c r="AI23" s="104">
        <v>46091.775305613424</v>
      </c>
      <c r="AJ23" s="105" t="s">
        <v>14</v>
      </c>
      <c r="AK23" s="111">
        <f t="shared" si="8"/>
        <v>0</v>
      </c>
      <c r="AL23" s="112" t="str">
        <f t="shared" si="9"/>
        <v>EMP0042 HULESHWAR KUMAR SAHU</v>
      </c>
      <c r="AM23" s="113"/>
      <c r="AN23" s="114" t="s">
        <v>672</v>
      </c>
      <c r="AO23" s="115"/>
      <c r="AP23" s="115"/>
      <c r="AQ23" s="115"/>
      <c r="AR23" s="115"/>
      <c r="AS23" s="115"/>
      <c r="AT23" s="115"/>
      <c r="AU23" s="115"/>
      <c r="AV23" s="115"/>
      <c r="AW23" s="115"/>
      <c r="AX23" s="115"/>
      <c r="AY23" s="115"/>
    </row>
    <row r="24">
      <c r="A24" s="95">
        <f t="shared" si="10"/>
        <v>4975</v>
      </c>
      <c r="B24" s="96">
        <v>46090.53482151621</v>
      </c>
      <c r="C24" s="97" t="s">
        <v>120</v>
      </c>
      <c r="D24" s="97" t="s">
        <v>186</v>
      </c>
      <c r="E24" s="98" t="s">
        <v>187</v>
      </c>
      <c r="F24" s="97"/>
      <c r="G24" s="97" t="s">
        <v>195</v>
      </c>
      <c r="H24" s="99" t="s">
        <v>126</v>
      </c>
      <c r="I24" s="100" t="s">
        <v>64</v>
      </c>
      <c r="J24" s="101" t="s">
        <v>185</v>
      </c>
      <c r="K24" s="100"/>
      <c r="L24" s="102" t="s">
        <v>196</v>
      </c>
      <c r="M24" s="103">
        <f>if(B24,if(and(hour(B24+M$7)&gt;9.5,(hour(B24+M$7)&lt;19.5)),B24+M$7,_xlfn.workday.intl(int(B24),1,"0000001",Holidays!A:A)+hour(B24+M$7-$B$1)/24+minute(B24)/1440),"")</f>
        <v>46090.70149</v>
      </c>
      <c r="N24" s="104">
        <v>46090.620326435186</v>
      </c>
      <c r="O24" s="105" t="s">
        <v>14</v>
      </c>
      <c r="P24" s="106">
        <f t="shared" si="1"/>
        <v>0</v>
      </c>
      <c r="Q24" s="107" t="s">
        <v>15</v>
      </c>
      <c r="R24" s="108" t="s">
        <v>434</v>
      </c>
      <c r="S24" s="103">
        <f>if(M24,if(and(hour(M24+S$7)&gt;9.5,(hour(M24+S$7)&lt;19.5)),M24+S$7,_xlfn.workday.intl(int(M24),1,"0000001",Holidays!A:A)+hour(M24+S$7-$B$1)/24+minute(M24)/1440),"")</f>
        <v>46090.70843</v>
      </c>
      <c r="T24" s="104">
        <v>46090.62068275463</v>
      </c>
      <c r="U24" s="105" t="s">
        <v>14</v>
      </c>
      <c r="V24" s="109">
        <f t="shared" si="2"/>
        <v>0</v>
      </c>
      <c r="W24" s="110" t="str">
        <f t="shared" si="3"/>
        <v>EMP0042 HULESHWAR KUMAR SAHU</v>
      </c>
      <c r="X24" s="103">
        <f>if(S24,if(and(hour(S24+X$7)&gt;9.5,(hour(S24+X$7)&lt;19.5)),S24+X$7,_xlfn.workday.intl(int(S24),1,"0000001",Holidays!A:A)+hour(S24+X$7-$B$1)/24+minute(S24)/1440),"")</f>
        <v>46090.8126</v>
      </c>
      <c r="Y24" s="104">
        <v>46090.6717959838</v>
      </c>
      <c r="Z24" s="105" t="s">
        <v>14</v>
      </c>
      <c r="AA24" s="111">
        <f t="shared" si="4"/>
        <v>0</v>
      </c>
      <c r="AB24" s="110" t="str">
        <f t="shared" si="5"/>
        <v>EMP0042 HULESHWAR KUMAR SAHU</v>
      </c>
      <c r="AC24" s="103">
        <f>if(X24,_xlfn.WORKDAY.INTL(X24,AC$7,"0000001",Holidays!A:A)+hour(X24)/24+MINUTE(X24)/1440,"")</f>
        <v>46091.8125</v>
      </c>
      <c r="AD24" s="104">
        <v>46091.54028539352</v>
      </c>
      <c r="AE24" s="105" t="s">
        <v>14</v>
      </c>
      <c r="AF24" s="111">
        <f t="shared" si="6"/>
        <v>0</v>
      </c>
      <c r="AG24" s="110" t="str">
        <f t="shared" si="7"/>
        <v>EMP0042 HULESHWAR KUMAR SAHU</v>
      </c>
      <c r="AH24" s="103">
        <f>if(AC24,if(and(hour(AC24+AH$7)&gt;9.5,(hour(AC24+AH$7)&lt;19.5)),AC24+AH$7,_xlfn.workday.intl(int(AC24),1,"0000001",Holidays!A:A)+hour(AC24+AH$7-$B$1)/24+minute(AC24)/1440),"")</f>
        <v>46092.4375</v>
      </c>
      <c r="AI24" s="104">
        <v>46091.54032148149</v>
      </c>
      <c r="AJ24" s="105" t="s">
        <v>14</v>
      </c>
      <c r="AK24" s="111">
        <f t="shared" si="8"/>
        <v>0</v>
      </c>
      <c r="AL24" s="112" t="str">
        <f t="shared" si="9"/>
        <v>EMP0042 HULESHWAR KUMAR SAHU</v>
      </c>
      <c r="AM24" s="113"/>
      <c r="AN24" s="114" t="s">
        <v>672</v>
      </c>
      <c r="AO24" s="115"/>
      <c r="AP24" s="115"/>
      <c r="AQ24" s="115"/>
      <c r="AR24" s="115"/>
      <c r="AS24" s="115"/>
      <c r="AT24" s="115"/>
      <c r="AU24" s="115"/>
      <c r="AV24" s="115"/>
      <c r="AW24" s="115"/>
      <c r="AX24" s="115"/>
      <c r="AY24" s="115"/>
    </row>
    <row r="25">
      <c r="A25" s="95">
        <f t="shared" si="10"/>
        <v>4976</v>
      </c>
      <c r="B25" s="96">
        <v>46090.537900219904</v>
      </c>
      <c r="C25" s="97" t="s">
        <v>205</v>
      </c>
      <c r="D25" s="97" t="s">
        <v>122</v>
      </c>
      <c r="E25" s="98" t="s">
        <v>200</v>
      </c>
      <c r="F25" s="97"/>
      <c r="G25" s="97" t="s">
        <v>203</v>
      </c>
      <c r="H25" s="99" t="s">
        <v>204</v>
      </c>
      <c r="I25" s="100" t="s">
        <v>64</v>
      </c>
      <c r="J25" s="101" t="s">
        <v>198</v>
      </c>
      <c r="K25" s="100"/>
      <c r="L25" s="102" t="s">
        <v>203</v>
      </c>
      <c r="M25" s="103">
        <f>if(B25,if(and(hour(B25+M$7)&gt;9.5,(hour(B25+M$7)&lt;19.5)),B25+M$7,_xlfn.workday.intl(int(B25),1,"0000001",Holidays!A:A)+hour(B25+M$7-$B$1)/24+minute(B25)/1440),"")</f>
        <v>46090.70457</v>
      </c>
      <c r="N25" s="104">
        <v>46090.62026956018</v>
      </c>
      <c r="O25" s="105" t="s">
        <v>14</v>
      </c>
      <c r="P25" s="106">
        <f t="shared" si="1"/>
        <v>0</v>
      </c>
      <c r="Q25" s="107" t="s">
        <v>61</v>
      </c>
      <c r="R25" s="108" t="s">
        <v>434</v>
      </c>
      <c r="S25" s="103">
        <f>if(M25,if(and(hour(M25+S$7)&gt;9.5,(hour(M25+S$7)&lt;19.5)),M25+S$7,_xlfn.workday.intl(int(M25),1,"0000001",Holidays!A:A)+hour(M25+S$7-$B$1)/24+minute(M25)/1440),"")</f>
        <v>46090.71151</v>
      </c>
      <c r="T25" s="104">
        <v>46090.620627233795</v>
      </c>
      <c r="U25" s="105" t="s">
        <v>14</v>
      </c>
      <c r="V25" s="109">
        <f t="shared" si="2"/>
        <v>0</v>
      </c>
      <c r="W25" s="110" t="str">
        <f t="shared" si="3"/>
        <v>EMP0021 Tamanna Dewangan</v>
      </c>
      <c r="X25" s="103">
        <f>if(S25,if(and(hour(S25+X$7)&gt;9.5,(hour(S25+X$7)&lt;19.5)),S25+X$7,_xlfn.workday.intl(int(S25),1,"0000001",Holidays!A:A)+hour(S25+X$7-$B$1)/24+minute(S25)/1440),"")</f>
        <v>46090.81568</v>
      </c>
      <c r="Y25" s="104">
        <v>46090.62469237269</v>
      </c>
      <c r="Z25" s="105" t="s">
        <v>14</v>
      </c>
      <c r="AA25" s="111">
        <f t="shared" si="4"/>
        <v>0</v>
      </c>
      <c r="AB25" s="110" t="str">
        <f t="shared" si="5"/>
        <v>EMP0021 Tamanna Dewangan</v>
      </c>
      <c r="AC25" s="103">
        <f>if(X25,_xlfn.WORKDAY.INTL(X25,AC$7,"0000001",Holidays!A:A)+hour(X25)/24+MINUTE(X25)/1440,"")</f>
        <v>46091.81528</v>
      </c>
      <c r="AD25" s="104">
        <v>46090.62471791667</v>
      </c>
      <c r="AE25" s="105" t="s">
        <v>14</v>
      </c>
      <c r="AF25" s="111">
        <f t="shared" si="6"/>
        <v>0</v>
      </c>
      <c r="AG25" s="110" t="str">
        <f t="shared" si="7"/>
        <v>EMP0021 Tamanna Dewangan</v>
      </c>
      <c r="AH25" s="103">
        <f>if(AC25,if(and(hour(AC25+AH$7)&gt;9.5,(hour(AC25+AH$7)&lt;19.5)),AC25+AH$7,_xlfn.workday.intl(int(AC25),1,"0000001",Holidays!A:A)+hour(AC25+AH$7-$B$1)/24+minute(AC25)/1440),"")</f>
        <v>46092.44028</v>
      </c>
      <c r="AI25" s="104">
        <v>46090.62478932871</v>
      </c>
      <c r="AJ25" s="105" t="s">
        <v>14</v>
      </c>
      <c r="AK25" s="111">
        <f t="shared" si="8"/>
        <v>0</v>
      </c>
      <c r="AL25" s="112" t="str">
        <f t="shared" si="9"/>
        <v>EMP0021 Tamanna Dewangan</v>
      </c>
      <c r="AM25" s="113"/>
      <c r="AN25" s="114" t="s">
        <v>672</v>
      </c>
      <c r="AO25" s="115"/>
      <c r="AP25" s="115"/>
      <c r="AQ25" s="115"/>
      <c r="AR25" s="115"/>
      <c r="AS25" s="115"/>
      <c r="AT25" s="115"/>
      <c r="AU25" s="115"/>
      <c r="AV25" s="115"/>
      <c r="AW25" s="115"/>
      <c r="AX25" s="115"/>
      <c r="AY25" s="115"/>
    </row>
    <row r="26">
      <c r="A26" s="95">
        <f t="shared" si="10"/>
        <v>4977</v>
      </c>
      <c r="B26" s="96">
        <v>46090.54034806713</v>
      </c>
      <c r="C26" s="97" t="s">
        <v>130</v>
      </c>
      <c r="D26" s="97" t="s">
        <v>207</v>
      </c>
      <c r="E26" s="98" t="s">
        <v>208</v>
      </c>
      <c r="F26" s="97"/>
      <c r="G26" s="97" t="s">
        <v>211</v>
      </c>
      <c r="H26" s="99" t="s">
        <v>62</v>
      </c>
      <c r="I26" s="100" t="s">
        <v>64</v>
      </c>
      <c r="J26" s="101" t="s">
        <v>206</v>
      </c>
      <c r="K26" s="100"/>
      <c r="L26" s="102" t="s">
        <v>212</v>
      </c>
      <c r="M26" s="103">
        <f>if(B26,if(and(hour(B26+M$7)&gt;9.5,(hour(B26+M$7)&lt;19.5)),B26+M$7,_xlfn.workday.intl(int(B26),1,"0000001",Holidays!A:A)+hour(B26+M$7-$B$1)/24+minute(B26)/1440),"")</f>
        <v>46090.70701</v>
      </c>
      <c r="N26" s="104">
        <v>46090.549729583334</v>
      </c>
      <c r="O26" s="105" t="s">
        <v>14</v>
      </c>
      <c r="P26" s="106">
        <f t="shared" si="1"/>
        <v>0</v>
      </c>
      <c r="Q26" s="107" t="s">
        <v>48</v>
      </c>
      <c r="R26" s="108" t="s">
        <v>434</v>
      </c>
      <c r="S26" s="103">
        <f>if(M26,if(and(hour(M26+S$7)&gt;9.5,(hour(M26+S$7)&lt;19.5)),M26+S$7,_xlfn.workday.intl(int(M26),1,"0000001",Holidays!A:A)+hour(M26+S$7-$B$1)/24+minute(M26)/1440),"")</f>
        <v>46090.71396</v>
      </c>
      <c r="T26" s="104">
        <v>46090.54988741898</v>
      </c>
      <c r="U26" s="105" t="s">
        <v>14</v>
      </c>
      <c r="V26" s="109">
        <f t="shared" si="2"/>
        <v>0</v>
      </c>
      <c r="W26" s="110" t="str">
        <f t="shared" si="3"/>
        <v>EMP0237 Swarnendu Chakraborty</v>
      </c>
      <c r="X26" s="103">
        <f>if(S26,if(and(hour(S26+X$7)&gt;9.5,(hour(S26+X$7)&lt;19.5)),S26+X$7,_xlfn.workday.intl(int(S26),1,"0000001",Holidays!A:A)+hour(S26+X$7-$B$1)/24+minute(S26)/1440),"")</f>
        <v>46090.81813</v>
      </c>
      <c r="Y26" s="104">
        <v>46090.549937812495</v>
      </c>
      <c r="Z26" s="105" t="s">
        <v>14</v>
      </c>
      <c r="AA26" s="111">
        <f t="shared" si="4"/>
        <v>0</v>
      </c>
      <c r="AB26" s="110" t="str">
        <f t="shared" si="5"/>
        <v>EMP0237 Swarnendu Chakraborty</v>
      </c>
      <c r="AC26" s="103">
        <f>if(X26,_xlfn.WORKDAY.INTL(X26,AC$7,"0000001",Holidays!A:A)+hour(X26)/24+MINUTE(X26)/1440,"")</f>
        <v>46091.81806</v>
      </c>
      <c r="AD26" s="104">
        <v>46091.46881042824</v>
      </c>
      <c r="AE26" s="105" t="s">
        <v>14</v>
      </c>
      <c r="AF26" s="111">
        <f t="shared" si="6"/>
        <v>0</v>
      </c>
      <c r="AG26" s="110" t="str">
        <f t="shared" si="7"/>
        <v>EMP0237 Swarnendu Chakraborty</v>
      </c>
      <c r="AH26" s="103">
        <f>if(AC26,if(and(hour(AC26+AH$7)&gt;9.5,(hour(AC26+AH$7)&lt;19.5)),AC26+AH$7,_xlfn.workday.intl(int(AC26),1,"0000001",Holidays!A:A)+hour(AC26+AH$7-$B$1)/24+minute(AC26)/1440),"")</f>
        <v>46092.44306</v>
      </c>
      <c r="AI26" s="104">
        <v>46091.46887069444</v>
      </c>
      <c r="AJ26" s="105" t="s">
        <v>14</v>
      </c>
      <c r="AK26" s="111">
        <f t="shared" si="8"/>
        <v>0</v>
      </c>
      <c r="AL26" s="112" t="str">
        <f t="shared" si="9"/>
        <v>EMP0237 Swarnendu Chakraborty</v>
      </c>
      <c r="AM26" s="113"/>
      <c r="AN26" s="114" t="s">
        <v>672</v>
      </c>
      <c r="AO26" s="115"/>
      <c r="AP26" s="115"/>
      <c r="AQ26" s="115"/>
      <c r="AR26" s="115"/>
      <c r="AS26" s="115"/>
      <c r="AT26" s="115"/>
      <c r="AU26" s="115"/>
      <c r="AV26" s="115"/>
      <c r="AW26" s="115"/>
      <c r="AX26" s="115"/>
      <c r="AY26" s="115"/>
    </row>
    <row r="27">
      <c r="A27" s="95">
        <f t="shared" si="10"/>
        <v>4978</v>
      </c>
      <c r="B27" s="96">
        <v>46090.57604853009</v>
      </c>
      <c r="C27" s="97" t="s">
        <v>136</v>
      </c>
      <c r="D27" s="97" t="s">
        <v>215</v>
      </c>
      <c r="E27" s="98" t="s">
        <v>216</v>
      </c>
      <c r="F27" s="97"/>
      <c r="G27" s="97" t="s">
        <v>220</v>
      </c>
      <c r="H27" s="99" t="s">
        <v>62</v>
      </c>
      <c r="I27" s="100" t="s">
        <v>64</v>
      </c>
      <c r="J27" s="101" t="s">
        <v>214</v>
      </c>
      <c r="K27" s="100"/>
      <c r="L27" s="102" t="s">
        <v>221</v>
      </c>
      <c r="M27" s="103">
        <f>if(B27,if(and(hour(B27+M$7)&gt;9.5,(hour(B27+M$7)&lt;19.5)),B27+M$7,_xlfn.workday.intl(int(B27),1,"0000001",Holidays!A:A)+hour(B27+M$7-$B$1)/24+minute(B27)/1440),"")</f>
        <v>46090.74272</v>
      </c>
      <c r="N27" s="104">
        <v>46090.620428124996</v>
      </c>
      <c r="O27" s="105" t="s">
        <v>14</v>
      </c>
      <c r="P27" s="106">
        <f t="shared" si="1"/>
        <v>0</v>
      </c>
      <c r="Q27" s="107" t="s">
        <v>15</v>
      </c>
      <c r="R27" s="108" t="s">
        <v>434</v>
      </c>
      <c r="S27" s="103">
        <f>if(M27,if(and(hour(M27+S$7)&gt;9.5,(hour(M27+S$7)&lt;19.5)),M27+S$7,_xlfn.workday.intl(int(M27),1,"0000001",Holidays!A:A)+hour(M27+S$7-$B$1)/24+minute(M27)/1440),"")</f>
        <v>46090.74966</v>
      </c>
      <c r="T27" s="104">
        <v>46090.773011666664</v>
      </c>
      <c r="U27" s="105" t="s">
        <v>14</v>
      </c>
      <c r="V27" s="109">
        <f t="shared" si="2"/>
        <v>0.02335202546</v>
      </c>
      <c r="W27" s="110" t="str">
        <f t="shared" si="3"/>
        <v>EMP0042 HULESHWAR KUMAR SAHU</v>
      </c>
      <c r="X27" s="103">
        <f>if(S27,if(and(hour(S27+X$7)&gt;9.5,(hour(S27+X$7)&lt;19.5)),S27+X$7,_xlfn.workday.intl(int(S27),1,"0000001",Holidays!A:A)+hour(S27+X$7-$B$1)/24+minute(S27)/1440),"")</f>
        <v>46091.45764</v>
      </c>
      <c r="Y27" s="104">
        <v>46090.77306460648</v>
      </c>
      <c r="Z27" s="105" t="s">
        <v>14</v>
      </c>
      <c r="AA27" s="111">
        <f t="shared" si="4"/>
        <v>0</v>
      </c>
      <c r="AB27" s="110" t="str">
        <f t="shared" si="5"/>
        <v>EMP0042 HULESHWAR KUMAR SAHU</v>
      </c>
      <c r="AC27" s="103">
        <f>if(X27,_xlfn.WORKDAY.INTL(X27,AC$7,"0000001",Holidays!A:A)+hour(X27)/24+MINUTE(X27)/1440,"")</f>
        <v>46092.45764</v>
      </c>
      <c r="AD27" s="104">
        <v>46091.540423715276</v>
      </c>
      <c r="AE27" s="105" t="s">
        <v>14</v>
      </c>
      <c r="AF27" s="111">
        <f t="shared" si="6"/>
        <v>0</v>
      </c>
      <c r="AG27" s="110" t="str">
        <f t="shared" si="7"/>
        <v>EMP0042 HULESHWAR KUMAR SAHU</v>
      </c>
      <c r="AH27" s="103">
        <f>if(AC27,if(and(hour(AC27+AH$7)&gt;9.5,(hour(AC27+AH$7)&lt;19.5)),AC27+AH$7,_xlfn.workday.intl(int(AC27),1,"0000001",Holidays!A:A)+hour(AC27+AH$7-$B$1)/24+minute(AC27)/1440),"")</f>
        <v>46092.49931</v>
      </c>
      <c r="AI27" s="104">
        <v>46091.54045894676</v>
      </c>
      <c r="AJ27" s="105" t="s">
        <v>14</v>
      </c>
      <c r="AK27" s="111">
        <f t="shared" si="8"/>
        <v>0</v>
      </c>
      <c r="AL27" s="112" t="str">
        <f t="shared" si="9"/>
        <v>EMP0042 HULESHWAR KUMAR SAHU</v>
      </c>
      <c r="AM27" s="113"/>
      <c r="AN27" s="114" t="s">
        <v>672</v>
      </c>
      <c r="AO27" s="115"/>
      <c r="AP27" s="115"/>
      <c r="AQ27" s="115"/>
      <c r="AR27" s="115"/>
      <c r="AS27" s="115"/>
      <c r="AT27" s="115"/>
      <c r="AU27" s="115"/>
      <c r="AV27" s="115"/>
      <c r="AW27" s="115"/>
      <c r="AX27" s="115"/>
      <c r="AY27" s="115"/>
    </row>
    <row r="28">
      <c r="A28" s="95">
        <f t="shared" si="10"/>
        <v>4979</v>
      </c>
      <c r="B28" s="96">
        <v>46090.59483484954</v>
      </c>
      <c r="C28" s="97" t="s">
        <v>145</v>
      </c>
      <c r="D28" s="97" t="s">
        <v>225</v>
      </c>
      <c r="E28" s="98" t="s">
        <v>226</v>
      </c>
      <c r="F28" s="97"/>
      <c r="G28" s="97" t="s">
        <v>227</v>
      </c>
      <c r="H28" s="99" t="s">
        <v>138</v>
      </c>
      <c r="I28" s="100" t="s">
        <v>64</v>
      </c>
      <c r="J28" s="101" t="s">
        <v>223</v>
      </c>
      <c r="K28" s="100"/>
      <c r="L28" s="102" t="s">
        <v>145</v>
      </c>
      <c r="M28" s="103">
        <f>if(B28,if(and(hour(B28+M$7)&gt;9.5,(hour(B28+M$7)&lt;19.5)),B28+M$7,_xlfn.workday.intl(int(B28),1,"0000001",Holidays!A:A)+hour(B28+M$7-$B$1)/24+minute(B28)/1440),"")+1</f>
        <v>46091.7615</v>
      </c>
      <c r="N28" s="104">
        <v>46091.46802141204</v>
      </c>
      <c r="O28" s="105" t="s">
        <v>14</v>
      </c>
      <c r="P28" s="106">
        <f t="shared" si="1"/>
        <v>0</v>
      </c>
      <c r="Q28" s="107" t="s">
        <v>15</v>
      </c>
      <c r="R28" s="108" t="s">
        <v>434</v>
      </c>
      <c r="S28" s="103">
        <f>if(M28,if(and(hour(M28+S$7)&gt;9.5,(hour(M28+S$7)&lt;19.5)),M28+S$7,_xlfn.workday.intl(int(M28),1,"0000001",Holidays!A:A)+hour(M28+S$7-$B$1)/24+minute(M28)/1440),"")</f>
        <v>46091.76845</v>
      </c>
      <c r="T28" s="104">
        <v>46091.4683472801</v>
      </c>
      <c r="U28" s="105" t="s">
        <v>14</v>
      </c>
      <c r="V28" s="109">
        <f t="shared" si="2"/>
        <v>0</v>
      </c>
      <c r="W28" s="110" t="str">
        <f t="shared" si="3"/>
        <v>EMP0042 HULESHWAR KUMAR SAHU</v>
      </c>
      <c r="X28" s="118">
        <v>46091.47638888889</v>
      </c>
      <c r="Y28" s="104">
        <v>46091.46856538195</v>
      </c>
      <c r="Z28" s="105" t="s">
        <v>14</v>
      </c>
      <c r="AA28" s="111">
        <f t="shared" si="4"/>
        <v>0</v>
      </c>
      <c r="AB28" s="110" t="str">
        <f t="shared" si="5"/>
        <v>EMP0042 HULESHWAR KUMAR SAHU</v>
      </c>
      <c r="AC28" s="103">
        <f>if(X28,_xlfn.WORKDAY.INTL(X28,AC$7,"0000001",Holidays!A:A)+hour(X28)/24+MINUTE(X28)/1440,"")</f>
        <v>46092.47639</v>
      </c>
      <c r="AD28" s="104">
        <v>46091.46864715278</v>
      </c>
      <c r="AE28" s="105" t="s">
        <v>14</v>
      </c>
      <c r="AF28" s="111">
        <f t="shared" si="6"/>
        <v>0</v>
      </c>
      <c r="AG28" s="110" t="str">
        <f t="shared" si="7"/>
        <v>EMP0042 HULESHWAR KUMAR SAHU</v>
      </c>
      <c r="AH28" s="103">
        <f>if(AC28,if(and(hour(AC28+AH$7)&gt;9.5,(hour(AC28+AH$7)&lt;19.5)),AC28+AH$7,_xlfn.workday.intl(int(AC28),1,"0000001",Holidays!A:A)+hour(AC28+AH$7-$B$1)/24+minute(AC28)/1440),"")</f>
        <v>46092.51806</v>
      </c>
      <c r="AI28" s="104">
        <v>46091.46869702546</v>
      </c>
      <c r="AJ28" s="105" t="s">
        <v>14</v>
      </c>
      <c r="AK28" s="111">
        <f t="shared" si="8"/>
        <v>0</v>
      </c>
      <c r="AL28" s="112" t="str">
        <f t="shared" si="9"/>
        <v>EMP0042 HULESHWAR KUMAR SAHU</v>
      </c>
      <c r="AM28" s="113"/>
      <c r="AN28" s="114" t="s">
        <v>672</v>
      </c>
      <c r="AO28" s="115"/>
      <c r="AP28" s="115"/>
      <c r="AQ28" s="115"/>
      <c r="AR28" s="115"/>
      <c r="AS28" s="115"/>
      <c r="AT28" s="115"/>
      <c r="AU28" s="115"/>
      <c r="AV28" s="115"/>
      <c r="AW28" s="115"/>
      <c r="AX28" s="115"/>
      <c r="AY28" s="115"/>
    </row>
    <row r="29">
      <c r="A29" s="95">
        <f t="shared" si="10"/>
        <v>4980</v>
      </c>
      <c r="B29" s="96">
        <v>46091.61868193287</v>
      </c>
      <c r="C29" s="97" t="s">
        <v>154</v>
      </c>
      <c r="D29" s="97" t="s">
        <v>232</v>
      </c>
      <c r="E29" s="98" t="s">
        <v>233</v>
      </c>
      <c r="F29" s="98" t="s">
        <v>239</v>
      </c>
      <c r="G29" s="97" t="s">
        <v>154</v>
      </c>
      <c r="H29" s="99" t="s">
        <v>126</v>
      </c>
      <c r="I29" s="100" t="s">
        <v>237</v>
      </c>
      <c r="J29" s="101" t="s">
        <v>231</v>
      </c>
      <c r="K29" s="100"/>
      <c r="L29" s="102" t="s">
        <v>235</v>
      </c>
      <c r="M29" s="103">
        <f>if(B29,if(and(hour(B29+M$7)&gt;9.5,(hour(B29+M$7)&lt;19.5)),B29+M$7,_xlfn.workday.intl(int(B29),1,"0000001",Holidays!A:A)+hour(B29+M$7-$B$1)/24+minute(B29)/1440),"")</f>
        <v>46091.78535</v>
      </c>
      <c r="N29" s="104">
        <v>46091.625770231476</v>
      </c>
      <c r="O29" s="105" t="s">
        <v>14</v>
      </c>
      <c r="P29" s="106">
        <f t="shared" si="1"/>
        <v>0</v>
      </c>
      <c r="Q29" s="107" t="s">
        <v>61</v>
      </c>
      <c r="R29" s="108" t="s">
        <v>434</v>
      </c>
      <c r="S29" s="103">
        <f>if(M29,if(and(hour(M29+S$7)&gt;9.5,(hour(M29+S$7)&lt;19.5)),M29+S$7,_xlfn.workday.intl(int(M29),1,"0000001",Holidays!A:A)+hour(M29+S$7-$B$1)/24+minute(M29)/1440),"")</f>
        <v>46091.79229</v>
      </c>
      <c r="T29" s="104">
        <v>46091.62589028935</v>
      </c>
      <c r="U29" s="105" t="s">
        <v>14</v>
      </c>
      <c r="V29" s="109">
        <f t="shared" si="2"/>
        <v>0</v>
      </c>
      <c r="W29" s="110" t="str">
        <f t="shared" si="3"/>
        <v>EMP0021 Tamanna Dewangan</v>
      </c>
      <c r="X29" s="103">
        <f>if(S29,if(and(hour(S29+X$7)&gt;9.5,(hour(S29+X$7)&lt;19.5)),S29+X$7,_xlfn.workday.intl(int(S29),1,"0000001",Holidays!A:A)+hour(S29+X$7-$B$1)/24+minute(S29)/1440),"")</f>
        <v>46092.45833</v>
      </c>
      <c r="Y29" s="104">
        <v>46091.77643290509</v>
      </c>
      <c r="Z29" s="105" t="s">
        <v>14</v>
      </c>
      <c r="AA29" s="111">
        <f t="shared" si="4"/>
        <v>0</v>
      </c>
      <c r="AB29" s="110" t="str">
        <f t="shared" si="5"/>
        <v>EMP0021 Tamanna Dewangan</v>
      </c>
      <c r="AC29" s="103">
        <f>if(X29,_xlfn.WORKDAY.INTL(X29,AC$7,"0000001",Holidays!A:A)+hour(X29)/24+MINUTE(X29)/1440,"")</f>
        <v>46093.45833</v>
      </c>
      <c r="AD29" s="104">
        <v>46092.4162845949</v>
      </c>
      <c r="AE29" s="105" t="s">
        <v>14</v>
      </c>
      <c r="AF29" s="111">
        <f t="shared" si="6"/>
        <v>0</v>
      </c>
      <c r="AG29" s="110" t="str">
        <f t="shared" si="7"/>
        <v>EMP0021 Tamanna Dewangan</v>
      </c>
      <c r="AH29" s="103">
        <f>if(AC29,if(and(hour(AC29+AH$7)&gt;9.5,(hour(AC29+AH$7)&lt;19.5)),AC29+AH$7,_xlfn.workday.intl(int(AC29),1,"0000001",Holidays!A:A)+hour(AC29+AH$7-$B$1)/24+minute(AC29)/1440),"")</f>
        <v>46093.5</v>
      </c>
      <c r="AI29" s="104">
        <v>46092.41633600694</v>
      </c>
      <c r="AJ29" s="105" t="s">
        <v>14</v>
      </c>
      <c r="AK29" s="111">
        <f t="shared" si="8"/>
        <v>0</v>
      </c>
      <c r="AL29" s="112" t="str">
        <f t="shared" si="9"/>
        <v>EMP0021 Tamanna Dewangan</v>
      </c>
      <c r="AM29" s="113"/>
      <c r="AN29" s="114" t="s">
        <v>672</v>
      </c>
      <c r="AO29" s="115"/>
      <c r="AP29" s="115"/>
      <c r="AQ29" s="115"/>
      <c r="AR29" s="115"/>
      <c r="AS29" s="115"/>
      <c r="AT29" s="115"/>
      <c r="AU29" s="115"/>
      <c r="AV29" s="115"/>
      <c r="AW29" s="115"/>
      <c r="AX29" s="115"/>
      <c r="AY29" s="115"/>
    </row>
    <row r="30">
      <c r="A30" s="95">
        <f t="shared" si="10"/>
        <v>4981</v>
      </c>
      <c r="B30" s="96">
        <v>46091.62279633102</v>
      </c>
      <c r="C30" s="97" t="s">
        <v>158</v>
      </c>
      <c r="D30" s="97" t="s">
        <v>243</v>
      </c>
      <c r="E30" s="98" t="s">
        <v>245</v>
      </c>
      <c r="F30" s="97"/>
      <c r="G30" s="97" t="s">
        <v>246</v>
      </c>
      <c r="H30" s="99" t="s">
        <v>62</v>
      </c>
      <c r="I30" s="100" t="s">
        <v>64</v>
      </c>
      <c r="J30" s="101" t="s">
        <v>47</v>
      </c>
      <c r="K30" s="100"/>
      <c r="L30" s="102" t="s">
        <v>247</v>
      </c>
      <c r="M30" s="103">
        <f>if(B30,if(and(hour(B30+M$7)&gt;9.5,(hour(B30+M$7)&lt;19.5)),B30+M$7,_xlfn.workday.intl(int(B30),1,"0000001",Holidays!A:A)+hour(B30+M$7-$B$1)/24+minute(B30)/1440),"")</f>
        <v>46091.78946</v>
      </c>
      <c r="N30" s="104">
        <v>46091.62574988426</v>
      </c>
      <c r="O30" s="105" t="s">
        <v>14</v>
      </c>
      <c r="P30" s="106">
        <f t="shared" si="1"/>
        <v>0</v>
      </c>
      <c r="Q30" s="107" t="s">
        <v>15</v>
      </c>
      <c r="R30" s="108" t="s">
        <v>434</v>
      </c>
      <c r="S30" s="103">
        <f>if(M30,if(and(hour(M30+S$7)&gt;9.5,(hour(M30+S$7)&lt;19.5)),M30+S$7,_xlfn.workday.intl(int(M30),1,"0000001",Holidays!A:A)+hour(M30+S$7-$B$1)/24+minute(M30)/1440),"")</f>
        <v>46091.79641</v>
      </c>
      <c r="T30" s="104">
        <v>46091.62593553241</v>
      </c>
      <c r="U30" s="105" t="s">
        <v>14</v>
      </c>
      <c r="V30" s="109">
        <f t="shared" si="2"/>
        <v>0</v>
      </c>
      <c r="W30" s="110" t="str">
        <f t="shared" si="3"/>
        <v>EMP0042 HULESHWAR KUMAR SAHU</v>
      </c>
      <c r="X30" s="103">
        <f>if(S30,if(and(hour(S30+X$7)&gt;9.5,(hour(S30+X$7)&lt;19.5)),S30+X$7,_xlfn.workday.intl(int(S30),1,"0000001",Holidays!A:A)+hour(S30+X$7-$B$1)/24+minute(S30)/1440),"")</f>
        <v>46092.4625</v>
      </c>
      <c r="Y30" s="104">
        <v>46091.77626208334</v>
      </c>
      <c r="Z30" s="105" t="s">
        <v>14</v>
      </c>
      <c r="AA30" s="111">
        <f t="shared" si="4"/>
        <v>0</v>
      </c>
      <c r="AB30" s="110" t="str">
        <f t="shared" si="5"/>
        <v>EMP0042 HULESHWAR KUMAR SAHU</v>
      </c>
      <c r="AC30" s="103">
        <f>if(X30,_xlfn.WORKDAY.INTL(X30,AC$7,"0000001",Holidays!A:A)+hour(X30)/24+MINUTE(X30)/1440,"")</f>
        <v>46093.4625</v>
      </c>
      <c r="AD30" s="104">
        <v>46091.776313993054</v>
      </c>
      <c r="AE30" s="105" t="s">
        <v>14</v>
      </c>
      <c r="AF30" s="111">
        <f t="shared" si="6"/>
        <v>0</v>
      </c>
      <c r="AG30" s="110" t="str">
        <f t="shared" si="7"/>
        <v>EMP0042 HULESHWAR KUMAR SAHU</v>
      </c>
      <c r="AH30" s="103">
        <f>if(AC30,if(and(hour(AC30+AH$7)&gt;9.5,(hour(AC30+AH$7)&lt;19.5)),AC30+AH$7,_xlfn.workday.intl(int(AC30),1,"0000001",Holidays!A:A)+hour(AC30+AH$7-$B$1)/24+minute(AC30)/1440),"")</f>
        <v>46093.50417</v>
      </c>
      <c r="AI30" s="104">
        <v>46091.776347499996</v>
      </c>
      <c r="AJ30" s="105" t="s">
        <v>14</v>
      </c>
      <c r="AK30" s="111">
        <f t="shared" si="8"/>
        <v>0</v>
      </c>
      <c r="AL30" s="112" t="str">
        <f t="shared" si="9"/>
        <v>EMP0042 HULESHWAR KUMAR SAHU</v>
      </c>
      <c r="AM30" s="113"/>
      <c r="AN30" s="114" t="s">
        <v>672</v>
      </c>
      <c r="AO30" s="115"/>
      <c r="AP30" s="115"/>
      <c r="AQ30" s="115"/>
      <c r="AR30" s="115"/>
      <c r="AS30" s="115"/>
      <c r="AT30" s="115"/>
      <c r="AU30" s="115"/>
      <c r="AV30" s="115"/>
      <c r="AW30" s="115"/>
      <c r="AX30" s="115"/>
      <c r="AY30" s="115"/>
    </row>
    <row r="31">
      <c r="A31" s="95">
        <f t="shared" si="10"/>
        <v>4982</v>
      </c>
      <c r="B31" s="96">
        <v>46091.73888290509</v>
      </c>
      <c r="C31" s="97" t="s">
        <v>166</v>
      </c>
      <c r="D31" s="97" t="s">
        <v>142</v>
      </c>
      <c r="E31" s="98" t="s">
        <v>250</v>
      </c>
      <c r="F31" s="97"/>
      <c r="G31" s="97" t="s">
        <v>146</v>
      </c>
      <c r="H31" s="99" t="s">
        <v>147</v>
      </c>
      <c r="I31" s="100" t="s">
        <v>64</v>
      </c>
      <c r="J31" s="101" t="s">
        <v>141</v>
      </c>
      <c r="K31" s="100"/>
      <c r="L31" s="102" t="s">
        <v>253</v>
      </c>
      <c r="M31" s="103">
        <f>if(B31,if(and(hour(B31+M$7)&gt;9.5,(hour(B31+M$7)&lt;19.5)),B31+M$7,_xlfn.workday.intl(int(B31),1,"0000001",Holidays!A:A)+hour(B31+M$7-$B$1)/24+minute(B31)/1440),"")</f>
        <v>46092.48819</v>
      </c>
      <c r="N31" s="104">
        <v>46091.776057627314</v>
      </c>
      <c r="O31" s="105" t="s">
        <v>14</v>
      </c>
      <c r="P31" s="106">
        <f t="shared" si="1"/>
        <v>0</v>
      </c>
      <c r="Q31" s="107" t="s">
        <v>15</v>
      </c>
      <c r="R31" s="108" t="s">
        <v>434</v>
      </c>
      <c r="S31" s="103">
        <f>if(M31,if(and(hour(M31+S$7)&gt;9.5,(hour(M31+S$7)&lt;19.5)),M31+S$7,_xlfn.workday.intl(int(M31),1,"0000001",Holidays!A:A)+hour(M31+S$7-$B$1)/24+minute(M31)/1440),"")</f>
        <v>46092.49514</v>
      </c>
      <c r="T31" s="104">
        <v>46091.77615987269</v>
      </c>
      <c r="U31" s="105" t="s">
        <v>14</v>
      </c>
      <c r="V31" s="109">
        <f t="shared" si="2"/>
        <v>0</v>
      </c>
      <c r="W31" s="110" t="str">
        <f t="shared" si="3"/>
        <v>EMP0042 HULESHWAR KUMAR SAHU</v>
      </c>
      <c r="X31" s="103">
        <f>if(S31,if(and(hour(S31+X$7)&gt;9.5,(hour(S31+X$7)&lt;19.5)),S31+X$7,_xlfn.workday.intl(int(S31),1,"0000001",Holidays!A:A)+hour(S31+X$7-$B$1)/24+minute(S31)/1440),"")</f>
        <v>46092.59931</v>
      </c>
      <c r="Y31" s="104">
        <v>46092.43224246528</v>
      </c>
      <c r="Z31" s="105" t="s">
        <v>14</v>
      </c>
      <c r="AA31" s="111">
        <f t="shared" si="4"/>
        <v>0</v>
      </c>
      <c r="AB31" s="110" t="str">
        <f t="shared" si="5"/>
        <v>EMP0042 HULESHWAR KUMAR SAHU</v>
      </c>
      <c r="AC31" s="103">
        <f>if(X31,_xlfn.WORKDAY.INTL(X31,AC$7,"0000001",Holidays!A:A)+hour(X31)/24+MINUTE(X31)/1440,"")</f>
        <v>46093.59931</v>
      </c>
      <c r="AD31" s="104">
        <v>46092.59758395833</v>
      </c>
      <c r="AE31" s="105" t="s">
        <v>14</v>
      </c>
      <c r="AF31" s="111">
        <f t="shared" si="6"/>
        <v>0</v>
      </c>
      <c r="AG31" s="110" t="str">
        <f t="shared" si="7"/>
        <v>EMP0042 HULESHWAR KUMAR SAHU</v>
      </c>
      <c r="AH31" s="103">
        <f>if(AC31,if(and(hour(AC31+AH$7)&gt;9.5,(hour(AC31+AH$7)&lt;19.5)),AC31+AH$7,_xlfn.workday.intl(int(AC31),1,"0000001",Holidays!A:A)+hour(AC31+AH$7-$B$1)/24+minute(AC31)/1440),"")</f>
        <v>46093.64097</v>
      </c>
      <c r="AI31" s="104">
        <v>46092.59765255787</v>
      </c>
      <c r="AJ31" s="105" t="s">
        <v>14</v>
      </c>
      <c r="AK31" s="111">
        <f t="shared" si="8"/>
        <v>0</v>
      </c>
      <c r="AL31" s="112" t="str">
        <f t="shared" si="9"/>
        <v>EMP0042 HULESHWAR KUMAR SAHU</v>
      </c>
      <c r="AM31" s="113"/>
      <c r="AN31" s="114" t="s">
        <v>672</v>
      </c>
      <c r="AO31" s="115"/>
      <c r="AP31" s="115"/>
      <c r="AQ31" s="115"/>
      <c r="AR31" s="115"/>
      <c r="AS31" s="115"/>
      <c r="AT31" s="115"/>
      <c r="AU31" s="115"/>
      <c r="AV31" s="115"/>
      <c r="AW31" s="115"/>
      <c r="AX31" s="115"/>
      <c r="AY31" s="115"/>
    </row>
    <row r="32">
      <c r="A32" s="95">
        <f t="shared" si="10"/>
        <v>4983</v>
      </c>
      <c r="B32" s="96">
        <v>46091.8128606713</v>
      </c>
      <c r="C32" s="97">
        <v>3152.0</v>
      </c>
      <c r="D32" s="97" t="s">
        <v>255</v>
      </c>
      <c r="E32" s="98" t="s">
        <v>256</v>
      </c>
      <c r="F32" s="97"/>
      <c r="G32" s="97" t="s">
        <v>260</v>
      </c>
      <c r="H32" s="99" t="s">
        <v>147</v>
      </c>
      <c r="I32" s="100" t="s">
        <v>64</v>
      </c>
      <c r="J32" s="101" t="s">
        <v>254</v>
      </c>
      <c r="K32" s="100"/>
      <c r="L32" s="102" t="s">
        <v>261</v>
      </c>
      <c r="M32" s="103">
        <f>if(B32,if(and(hour(B32+M$7)&gt;9.5,(hour(B32+M$7)&lt;19.5)),B32+M$7,_xlfn.workday.intl(int(B32),1,"0000001",Holidays!A:A)+hour(B32+M$7-$B$1)/24+minute(B32)/1440),"")</f>
        <v>46092.5625</v>
      </c>
      <c r="N32" s="104">
        <v>46092.43210052083</v>
      </c>
      <c r="O32" s="105" t="s">
        <v>14</v>
      </c>
      <c r="P32" s="106">
        <f t="shared" si="1"/>
        <v>0</v>
      </c>
      <c r="Q32" s="107" t="s">
        <v>72</v>
      </c>
      <c r="R32" s="108" t="s">
        <v>434</v>
      </c>
      <c r="S32" s="103">
        <f>if(M32,if(and(hour(M32+S$7)&gt;9.5,(hour(M32+S$7)&lt;19.5)),M32+S$7,_xlfn.workday.intl(int(M32),1,"0000001",Holidays!A:A)+hour(M32+S$7-$B$1)/24+minute(M32)/1440),"")</f>
        <v>46092.56944</v>
      </c>
      <c r="T32" s="104">
        <v>46092.43216292824</v>
      </c>
      <c r="U32" s="105" t="s">
        <v>14</v>
      </c>
      <c r="V32" s="109">
        <f t="shared" si="2"/>
        <v>0</v>
      </c>
      <c r="W32" s="110" t="str">
        <f t="shared" si="3"/>
        <v>EMP5009 Rup Kumar Mandal</v>
      </c>
      <c r="X32" s="103">
        <f>if(S32,if(and(hour(S32+X$7)&gt;9.5,(hour(S32+X$7)&lt;19.5)),S32+X$7,_xlfn.workday.intl(int(S32),1,"0000001",Holidays!A:A)+hour(S32+X$7-$B$1)/24+minute(S32)/1440),"")</f>
        <v>46092.67361</v>
      </c>
      <c r="Y32" s="104">
        <v>46092.4322053125</v>
      </c>
      <c r="Z32" s="105" t="s">
        <v>14</v>
      </c>
      <c r="AA32" s="111">
        <f t="shared" si="4"/>
        <v>0</v>
      </c>
      <c r="AB32" s="110" t="str">
        <f t="shared" si="5"/>
        <v>EMP5009 Rup Kumar Mandal</v>
      </c>
      <c r="AC32" s="103">
        <f>if(X32,_xlfn.WORKDAY.INTL(X32,AC$7,"0000001",Holidays!A:A)+hour(X32)/24+MINUTE(X32)/1440,"")</f>
        <v>46093.67361</v>
      </c>
      <c r="AD32" s="104">
        <v>46092.43227201389</v>
      </c>
      <c r="AE32" s="105" t="s">
        <v>14</v>
      </c>
      <c r="AF32" s="111">
        <f t="shared" si="6"/>
        <v>0</v>
      </c>
      <c r="AG32" s="110" t="str">
        <f t="shared" si="7"/>
        <v>EMP5009 Rup Kumar Mandal</v>
      </c>
      <c r="AH32" s="103">
        <f>if(AC32,if(and(hour(AC32+AH$7)&gt;9.5,(hour(AC32+AH$7)&lt;19.5)),AC32+AH$7,_xlfn.workday.intl(int(AC32),1,"0000001",Holidays!A:A)+hour(AC32+AH$7-$B$1)/24+minute(AC32)/1440),"")</f>
        <v>46093.71528</v>
      </c>
      <c r="AI32" s="104">
        <v>46093.424233240745</v>
      </c>
      <c r="AJ32" s="105" t="s">
        <v>14</v>
      </c>
      <c r="AK32" s="111">
        <f t="shared" si="8"/>
        <v>0</v>
      </c>
      <c r="AL32" s="112" t="str">
        <f t="shared" si="9"/>
        <v>EMP5009 Rup Kumar Mandal</v>
      </c>
      <c r="AM32" s="113"/>
      <c r="AN32" s="114" t="s">
        <v>672</v>
      </c>
      <c r="AO32" s="115"/>
      <c r="AP32" s="115"/>
      <c r="AQ32" s="115"/>
      <c r="AR32" s="115"/>
      <c r="AS32" s="115"/>
      <c r="AT32" s="115"/>
      <c r="AU32" s="115"/>
      <c r="AV32" s="115"/>
      <c r="AW32" s="115"/>
      <c r="AX32" s="115"/>
      <c r="AY32" s="115"/>
    </row>
    <row r="33">
      <c r="A33" s="95">
        <f t="shared" si="10"/>
        <v>4984</v>
      </c>
      <c r="B33" s="96">
        <v>46092.633829976854</v>
      </c>
      <c r="C33" s="97" t="s">
        <v>272</v>
      </c>
      <c r="D33" s="97" t="s">
        <v>264</v>
      </c>
      <c r="E33" s="98" t="s">
        <v>265</v>
      </c>
      <c r="F33" s="97"/>
      <c r="G33" s="97" t="s">
        <v>269</v>
      </c>
      <c r="H33" s="99" t="s">
        <v>126</v>
      </c>
      <c r="I33" s="100" t="s">
        <v>64</v>
      </c>
      <c r="J33" s="101" t="s">
        <v>263</v>
      </c>
      <c r="K33" s="100"/>
      <c r="L33" s="102" t="s">
        <v>270</v>
      </c>
      <c r="M33" s="103">
        <f>if(B33,if(and(hour(B33+M$7)&gt;9.5,(hour(B33+M$7)&lt;19.5)),B33+M$7,_xlfn.workday.intl(int(B33),1,"0000001",Holidays!A:A)+hour(B33+M$7-$B$1)/24+minute(B33)/1440),"")</f>
        <v>46092.8005</v>
      </c>
      <c r="N33" s="104">
        <v>46092.74087212963</v>
      </c>
      <c r="O33" s="105" t="s">
        <v>14</v>
      </c>
      <c r="P33" s="106">
        <f t="shared" si="1"/>
        <v>0</v>
      </c>
      <c r="Q33" s="107" t="s">
        <v>15</v>
      </c>
      <c r="R33" s="108" t="s">
        <v>434</v>
      </c>
      <c r="S33" s="103">
        <f>if(M33,if(and(hour(M33+S$7)&gt;9.5,(hour(M33+S$7)&lt;19.5)),M33+S$7,_xlfn.workday.intl(int(M33),1,"0000001",Holidays!A:A)+hour(M33+S$7-$B$1)/24+minute(M33)/1440),"")</f>
        <v>46092.80744</v>
      </c>
      <c r="T33" s="104">
        <v>46092.74097922454</v>
      </c>
      <c r="U33" s="105" t="s">
        <v>14</v>
      </c>
      <c r="V33" s="109">
        <f t="shared" si="2"/>
        <v>0</v>
      </c>
      <c r="W33" s="110" t="str">
        <f t="shared" si="3"/>
        <v>EMP0042 HULESHWAR KUMAR SAHU</v>
      </c>
      <c r="X33" s="103">
        <f>if(S33,if(and(hour(S33+X$7)&gt;9.5,(hour(S33+X$7)&lt;19.5)),S33+X$7,_xlfn.workday.intl(int(S33),1,"0000001",Holidays!A:A)+hour(S33+X$7-$B$1)/24+minute(S33)/1440),"")</f>
        <v>46093.47361</v>
      </c>
      <c r="Y33" s="104">
        <v>46092.74106677083</v>
      </c>
      <c r="Z33" s="105" t="s">
        <v>14</v>
      </c>
      <c r="AA33" s="111">
        <f t="shared" si="4"/>
        <v>0</v>
      </c>
      <c r="AB33" s="110" t="str">
        <f t="shared" si="5"/>
        <v>EMP0042 HULESHWAR KUMAR SAHU</v>
      </c>
      <c r="AC33" s="103">
        <f>if(X33,_xlfn.WORKDAY.INTL(X33,AC$7,"0000001",Holidays!A:A)+hour(X33)/24+MINUTE(X33)/1440,"")</f>
        <v>46094.47361</v>
      </c>
      <c r="AD33" s="104">
        <v>46092.768404525465</v>
      </c>
      <c r="AE33" s="105" t="s">
        <v>14</v>
      </c>
      <c r="AF33" s="111">
        <f t="shared" si="6"/>
        <v>0</v>
      </c>
      <c r="AG33" s="110" t="str">
        <f t="shared" si="7"/>
        <v>EMP0042 HULESHWAR KUMAR SAHU</v>
      </c>
      <c r="AH33" s="103">
        <f>if(AC33,if(and(hour(AC33+AH$7)&gt;9.5,(hour(AC33+AH$7)&lt;19.5)),AC33+AH$7,_xlfn.workday.intl(int(AC33),1,"0000001",Holidays!A:A)+hour(AC33+AH$7-$B$1)/24+minute(AC33)/1440),"")</f>
        <v>46094.51528</v>
      </c>
      <c r="AI33" s="104">
        <v>46092.76843978009</v>
      </c>
      <c r="AJ33" s="105" t="s">
        <v>14</v>
      </c>
      <c r="AK33" s="111">
        <f t="shared" si="8"/>
        <v>0</v>
      </c>
      <c r="AL33" s="112" t="str">
        <f t="shared" si="9"/>
        <v>EMP0042 HULESHWAR KUMAR SAHU</v>
      </c>
      <c r="AM33" s="113"/>
      <c r="AN33" s="114" t="s">
        <v>672</v>
      </c>
      <c r="AO33" s="115"/>
      <c r="AP33" s="115"/>
      <c r="AQ33" s="115"/>
      <c r="AR33" s="115"/>
      <c r="AS33" s="115"/>
      <c r="AT33" s="115"/>
      <c r="AU33" s="115"/>
      <c r="AV33" s="115"/>
      <c r="AW33" s="115"/>
      <c r="AX33" s="115"/>
      <c r="AY33" s="115"/>
    </row>
    <row r="34">
      <c r="A34" s="95">
        <f t="shared" si="10"/>
        <v>4985</v>
      </c>
      <c r="B34" s="96">
        <v>46093.44972599537</v>
      </c>
      <c r="C34" s="97" t="s">
        <v>193</v>
      </c>
      <c r="D34" s="97" t="s">
        <v>277</v>
      </c>
      <c r="E34" s="98" t="s">
        <v>278</v>
      </c>
      <c r="F34" s="97"/>
      <c r="G34" s="97" t="s">
        <v>281</v>
      </c>
      <c r="H34" s="99" t="s">
        <v>62</v>
      </c>
      <c r="I34" s="100" t="s">
        <v>64</v>
      </c>
      <c r="J34" s="101" t="s">
        <v>67</v>
      </c>
      <c r="K34" s="100"/>
      <c r="L34" s="102" t="s">
        <v>193</v>
      </c>
      <c r="M34" s="103">
        <f>if(B34,if(and(hour(B34+M$7)&gt;9.5,(hour(B34+M$7)&lt;19.5)),B34+M$7,_xlfn.workday.intl(int(B34),1,"0000001",Holidays!A:A)+hour(B34+M$7-$B$1)/24+minute(B34)/1440),"")</f>
        <v>46093.61639</v>
      </c>
      <c r="N34" s="104">
        <v>46093.52088109954</v>
      </c>
      <c r="O34" s="105" t="s">
        <v>14</v>
      </c>
      <c r="P34" s="106">
        <f t="shared" si="1"/>
        <v>0</v>
      </c>
      <c r="Q34" s="107" t="s">
        <v>61</v>
      </c>
      <c r="R34" s="108" t="s">
        <v>434</v>
      </c>
      <c r="S34" s="103">
        <f>if(M34,if(and(hour(M34+S$7)&gt;9.5,(hour(M34+S$7)&lt;19.5)),M34+S$7,_xlfn.workday.intl(int(M34),1,"0000001",Holidays!A:A)+hour(M34+S$7-$B$1)/24+minute(M34)/1440),"")</f>
        <v>46093.62334</v>
      </c>
      <c r="T34" s="104">
        <v>46093.5449965625</v>
      </c>
      <c r="U34" s="105" t="s">
        <v>14</v>
      </c>
      <c r="V34" s="109">
        <f t="shared" si="2"/>
        <v>0</v>
      </c>
      <c r="W34" s="110" t="str">
        <f t="shared" si="3"/>
        <v>EMP0021 Tamanna Dewangan</v>
      </c>
      <c r="X34" s="103">
        <f>if(S34,if(and(hour(S34+X$7)&gt;9.5,(hour(S34+X$7)&lt;19.5)),S34+X$7,_xlfn.workday.intl(int(S34),1,"0000001",Holidays!A:A)+hour(S34+X$7-$B$1)/24+minute(S34)/1440),"")</f>
        <v>46093.7275</v>
      </c>
      <c r="Y34" s="104">
        <v>46093.545114374996</v>
      </c>
      <c r="Z34" s="105" t="s">
        <v>14</v>
      </c>
      <c r="AA34" s="111">
        <f t="shared" si="4"/>
        <v>0</v>
      </c>
      <c r="AB34" s="110" t="str">
        <f t="shared" si="5"/>
        <v>EMP0021 Tamanna Dewangan</v>
      </c>
      <c r="AC34" s="103">
        <f>if(X34,_xlfn.WORKDAY.INTL(X34,AC$7,"0000001",Holidays!A:A)+hour(X34)/24+MINUTE(X34)/1440,"")</f>
        <v>46094.72708</v>
      </c>
      <c r="AD34" s="104">
        <v>46094.43350142361</v>
      </c>
      <c r="AE34" s="105" t="s">
        <v>14</v>
      </c>
      <c r="AF34" s="111">
        <f t="shared" si="6"/>
        <v>0</v>
      </c>
      <c r="AG34" s="110" t="str">
        <f t="shared" si="7"/>
        <v>EMP0021 Tamanna Dewangan</v>
      </c>
      <c r="AH34" s="103">
        <f>if(AC34,if(and(hour(AC34+AH$7)&gt;9.5,(hour(AC34+AH$7)&lt;19.5)),AC34+AH$7,_xlfn.workday.intl(int(AC34),1,"0000001",Holidays!A:A)+hour(AC34+AH$7-$B$1)/24+minute(AC34)/1440),"")</f>
        <v>46094.76875</v>
      </c>
      <c r="AI34" s="104">
        <v>46094.50880098379</v>
      </c>
      <c r="AJ34" s="105" t="s">
        <v>14</v>
      </c>
      <c r="AK34" s="111">
        <f t="shared" si="8"/>
        <v>0</v>
      </c>
      <c r="AL34" s="112" t="str">
        <f t="shared" si="9"/>
        <v>EMP0021 Tamanna Dewangan</v>
      </c>
      <c r="AM34" s="113"/>
      <c r="AN34" s="114" t="s">
        <v>672</v>
      </c>
      <c r="AO34" s="115"/>
      <c r="AP34" s="115"/>
      <c r="AQ34" s="115"/>
      <c r="AR34" s="115"/>
      <c r="AS34" s="115"/>
      <c r="AT34" s="115"/>
      <c r="AU34" s="115"/>
      <c r="AV34" s="115"/>
      <c r="AW34" s="115"/>
      <c r="AX34" s="115"/>
      <c r="AY34" s="115"/>
    </row>
    <row r="35">
      <c r="A35" s="95">
        <f t="shared" si="10"/>
        <v>4986</v>
      </c>
      <c r="B35" s="96">
        <v>46093.450537199074</v>
      </c>
      <c r="C35" s="97" t="s">
        <v>202</v>
      </c>
      <c r="D35" s="97" t="s">
        <v>277</v>
      </c>
      <c r="E35" s="98" t="s">
        <v>282</v>
      </c>
      <c r="F35" s="97"/>
      <c r="G35" s="97" t="s">
        <v>75</v>
      </c>
      <c r="H35" s="99" t="s">
        <v>62</v>
      </c>
      <c r="I35" s="100" t="s">
        <v>64</v>
      </c>
      <c r="J35" s="101" t="s">
        <v>67</v>
      </c>
      <c r="K35" s="100"/>
      <c r="L35" s="102" t="s">
        <v>285</v>
      </c>
      <c r="M35" s="103">
        <f>if(B35,if(and(hour(B35+M$7)&gt;9.5,(hour(B35+M$7)&lt;19.5)),B35+M$7,_xlfn.workday.intl(int(B35),1,"0000001",Holidays!A:A)+hour(B35+M$7-$B$1)/24+minute(B35)/1440),"")</f>
        <v>46093.6172</v>
      </c>
      <c r="N35" s="104">
        <v>46093.520914548615</v>
      </c>
      <c r="O35" s="105" t="s">
        <v>14</v>
      </c>
      <c r="P35" s="106">
        <f t="shared" si="1"/>
        <v>0</v>
      </c>
      <c r="Q35" s="107" t="s">
        <v>72</v>
      </c>
      <c r="R35" s="108" t="s">
        <v>434</v>
      </c>
      <c r="S35" s="103">
        <f>if(M35,if(and(hour(M35+S$7)&gt;9.5,(hour(M35+S$7)&lt;19.5)),M35+S$7,_xlfn.workday.intl(int(M35),1,"0000001",Holidays!A:A)+hour(M35+S$7-$B$1)/24+minute(M35)/1440),"")</f>
        <v>46093.62415</v>
      </c>
      <c r="T35" s="104">
        <v>46093.5449965625</v>
      </c>
      <c r="U35" s="105" t="s">
        <v>14</v>
      </c>
      <c r="V35" s="109">
        <f t="shared" si="2"/>
        <v>0</v>
      </c>
      <c r="W35" s="110" t="str">
        <f t="shared" si="3"/>
        <v>EMP5009 Rup Kumar Mandal</v>
      </c>
      <c r="X35" s="103">
        <f>if(S35,if(and(hour(S35+X$7)&gt;9.5,(hour(S35+X$7)&lt;19.5)),S35+X$7,_xlfn.workday.intl(int(S35),1,"0000001",Holidays!A:A)+hour(S35+X$7-$B$1)/24+minute(S35)/1440),"")</f>
        <v>46093.72831</v>
      </c>
      <c r="Y35" s="104">
        <v>46093.545114374996</v>
      </c>
      <c r="Z35" s="105" t="s">
        <v>14</v>
      </c>
      <c r="AA35" s="111">
        <f t="shared" si="4"/>
        <v>0</v>
      </c>
      <c r="AB35" s="110" t="str">
        <f t="shared" si="5"/>
        <v>EMP5009 Rup Kumar Mandal</v>
      </c>
      <c r="AC35" s="103">
        <f>if(X35,_xlfn.WORKDAY.INTL(X35,AC$7,"0000001",Holidays!A:A)+hour(X35)/24+MINUTE(X35)/1440,"")</f>
        <v>46094.72778</v>
      </c>
      <c r="AD35" s="104">
        <v>46094.43352126157</v>
      </c>
      <c r="AE35" s="105" t="s">
        <v>14</v>
      </c>
      <c r="AF35" s="111">
        <f t="shared" si="6"/>
        <v>0</v>
      </c>
      <c r="AG35" s="110" t="str">
        <f t="shared" si="7"/>
        <v>EMP5009 Rup Kumar Mandal</v>
      </c>
      <c r="AH35" s="103">
        <f>if(AC35,if(and(hour(AC35+AH$7)&gt;9.5,(hour(AC35+AH$7)&lt;19.5)),AC35+AH$7,_xlfn.workday.intl(int(AC35),1,"0000001",Holidays!A:A)+hour(AC35+AH$7-$B$1)/24+minute(AC35)/1440),"")</f>
        <v>46094.76944</v>
      </c>
      <c r="AI35" s="104">
        <v>46094.508808495375</v>
      </c>
      <c r="AJ35" s="105" t="s">
        <v>14</v>
      </c>
      <c r="AK35" s="111">
        <f t="shared" si="8"/>
        <v>0</v>
      </c>
      <c r="AL35" s="112" t="str">
        <f t="shared" si="9"/>
        <v>EMP5009 Rup Kumar Mandal</v>
      </c>
      <c r="AM35" s="113"/>
      <c r="AN35" s="114" t="s">
        <v>672</v>
      </c>
      <c r="AO35" s="115"/>
      <c r="AP35" s="115"/>
      <c r="AQ35" s="115"/>
      <c r="AR35" s="115"/>
      <c r="AS35" s="115"/>
      <c r="AT35" s="115"/>
      <c r="AU35" s="115"/>
      <c r="AV35" s="115"/>
      <c r="AW35" s="115"/>
      <c r="AX35" s="115"/>
      <c r="AY35" s="115"/>
    </row>
    <row r="36">
      <c r="A36" s="95">
        <f t="shared" si="10"/>
        <v>4987</v>
      </c>
      <c r="B36" s="96">
        <v>46093.4511978125</v>
      </c>
      <c r="C36" s="97" t="s">
        <v>210</v>
      </c>
      <c r="D36" s="97" t="s">
        <v>277</v>
      </c>
      <c r="E36" s="98" t="s">
        <v>286</v>
      </c>
      <c r="F36" s="97"/>
      <c r="G36" s="97" t="s">
        <v>289</v>
      </c>
      <c r="H36" s="99" t="s">
        <v>62</v>
      </c>
      <c r="I36" s="100" t="s">
        <v>64</v>
      </c>
      <c r="J36" s="101" t="s">
        <v>67</v>
      </c>
      <c r="K36" s="100"/>
      <c r="L36" s="102" t="s">
        <v>285</v>
      </c>
      <c r="M36" s="103">
        <f>if(B36,if(and(hour(B36+M$7)&gt;9.5,(hour(B36+M$7)&lt;19.5)),B36+M$7,_xlfn.workday.intl(int(B36),1,"0000001",Holidays!A:A)+hour(B36+M$7-$B$1)/24+minute(B36)/1440),"")</f>
        <v>46093.61786</v>
      </c>
      <c r="N36" s="104">
        <v>46093.52092725695</v>
      </c>
      <c r="O36" s="105" t="s">
        <v>14</v>
      </c>
      <c r="P36" s="106">
        <f t="shared" si="1"/>
        <v>0</v>
      </c>
      <c r="Q36" s="107" t="s">
        <v>72</v>
      </c>
      <c r="R36" s="108" t="s">
        <v>434</v>
      </c>
      <c r="S36" s="103">
        <f>if(M36,if(and(hour(M36+S$7)&gt;9.5,(hour(M36+S$7)&lt;19.5)),M36+S$7,_xlfn.workday.intl(int(M36),1,"0000001",Holidays!A:A)+hour(M36+S$7-$B$1)/24+minute(M36)/1440),"")</f>
        <v>46093.62481</v>
      </c>
      <c r="T36" s="104">
        <v>46093.54500190972</v>
      </c>
      <c r="U36" s="105" t="s">
        <v>14</v>
      </c>
      <c r="V36" s="109">
        <f t="shared" si="2"/>
        <v>0</v>
      </c>
      <c r="W36" s="110" t="str">
        <f t="shared" si="3"/>
        <v>EMP5009 Rup Kumar Mandal</v>
      </c>
      <c r="X36" s="103">
        <f>if(S36,if(and(hour(S36+X$7)&gt;9.5,(hour(S36+X$7)&lt;19.5)),S36+X$7,_xlfn.workday.intl(int(S36),1,"0000001",Holidays!A:A)+hour(S36+X$7-$B$1)/24+minute(S36)/1440),"")</f>
        <v>46093.72898</v>
      </c>
      <c r="Y36" s="104">
        <v>46093.545114374996</v>
      </c>
      <c r="Z36" s="105" t="s">
        <v>14</v>
      </c>
      <c r="AA36" s="111">
        <f t="shared" si="4"/>
        <v>0</v>
      </c>
      <c r="AB36" s="110" t="str">
        <f t="shared" si="5"/>
        <v>EMP5009 Rup Kumar Mandal</v>
      </c>
      <c r="AC36" s="103">
        <f>if(X36,_xlfn.WORKDAY.INTL(X36,AC$7,"0000001",Holidays!A:A)+hour(X36)/24+MINUTE(X36)/1440,"")</f>
        <v>46094.72847</v>
      </c>
      <c r="AD36" s="104">
        <v>46094.43352704861</v>
      </c>
      <c r="AE36" s="105" t="s">
        <v>14</v>
      </c>
      <c r="AF36" s="111">
        <f t="shared" si="6"/>
        <v>0</v>
      </c>
      <c r="AG36" s="110" t="str">
        <f t="shared" si="7"/>
        <v>EMP5009 Rup Kumar Mandal</v>
      </c>
      <c r="AH36" s="103">
        <f>if(AC36,if(and(hour(AC36+AH$7)&gt;9.5,(hour(AC36+AH$7)&lt;19.5)),AC36+AH$7,_xlfn.workday.intl(int(AC36),1,"0000001",Holidays!A:A)+hour(AC36+AH$7-$B$1)/24+minute(AC36)/1440),"")</f>
        <v>46094.77014</v>
      </c>
      <c r="AI36" s="104">
        <v>46094.50881363426</v>
      </c>
      <c r="AJ36" s="105" t="s">
        <v>14</v>
      </c>
      <c r="AK36" s="111">
        <f t="shared" si="8"/>
        <v>0</v>
      </c>
      <c r="AL36" s="112" t="str">
        <f t="shared" si="9"/>
        <v>EMP5009 Rup Kumar Mandal</v>
      </c>
      <c r="AM36" s="113"/>
      <c r="AN36" s="114" t="s">
        <v>672</v>
      </c>
      <c r="AO36" s="115"/>
      <c r="AP36" s="115"/>
      <c r="AQ36" s="115"/>
      <c r="AR36" s="115"/>
      <c r="AS36" s="115"/>
      <c r="AT36" s="115"/>
      <c r="AU36" s="115"/>
      <c r="AV36" s="115"/>
      <c r="AW36" s="115"/>
      <c r="AX36" s="115"/>
      <c r="AY36" s="115"/>
    </row>
    <row r="37">
      <c r="A37" s="95">
        <f t="shared" si="10"/>
        <v>4988</v>
      </c>
      <c r="B37" s="96">
        <v>46093.451858541666</v>
      </c>
      <c r="C37" s="97" t="s">
        <v>219</v>
      </c>
      <c r="D37" s="97" t="s">
        <v>277</v>
      </c>
      <c r="E37" s="98" t="s">
        <v>290</v>
      </c>
      <c r="F37" s="97"/>
      <c r="G37" s="97" t="s">
        <v>75</v>
      </c>
      <c r="H37" s="99" t="s">
        <v>62</v>
      </c>
      <c r="I37" s="100" t="s">
        <v>64</v>
      </c>
      <c r="J37" s="101" t="s">
        <v>67</v>
      </c>
      <c r="K37" s="100"/>
      <c r="L37" s="102" t="s">
        <v>292</v>
      </c>
      <c r="M37" s="103">
        <f>if(B37,if(and(hour(B37+M$7)&gt;9.5,(hour(B37+M$7)&lt;19.5)),B37+M$7,_xlfn.workday.intl(int(B37),1,"0000001",Holidays!A:A)+hour(B37+M$7-$B$1)/24+minute(B37)/1440),"")</f>
        <v>46093.61853</v>
      </c>
      <c r="N37" s="104">
        <v>46093.52094479167</v>
      </c>
      <c r="O37" s="105" t="s">
        <v>14</v>
      </c>
      <c r="P37" s="106">
        <f t="shared" si="1"/>
        <v>0</v>
      </c>
      <c r="Q37" s="107" t="s">
        <v>72</v>
      </c>
      <c r="R37" s="108" t="s">
        <v>434</v>
      </c>
      <c r="S37" s="103">
        <f>if(M37,if(and(hour(M37+S$7)&gt;9.5,(hour(M37+S$7)&lt;19.5)),M37+S$7,_xlfn.workday.intl(int(M37),1,"0000001",Holidays!A:A)+hour(M37+S$7-$B$1)/24+minute(M37)/1440),"")</f>
        <v>46093.62547</v>
      </c>
      <c r="T37" s="104">
        <v>46093.54500190972</v>
      </c>
      <c r="U37" s="105" t="s">
        <v>14</v>
      </c>
      <c r="V37" s="109">
        <f t="shared" si="2"/>
        <v>0</v>
      </c>
      <c r="W37" s="110" t="str">
        <f t="shared" si="3"/>
        <v>EMP5009 Rup Kumar Mandal</v>
      </c>
      <c r="X37" s="103">
        <f>if(S37,if(and(hour(S37+X$7)&gt;9.5,(hour(S37+X$7)&lt;19.5)),S37+X$7,_xlfn.workday.intl(int(S37),1,"0000001",Holidays!A:A)+hour(S37+X$7-$B$1)/24+minute(S37)/1440),"")</f>
        <v>46093.72964</v>
      </c>
      <c r="Y37" s="104">
        <v>46093.54517429398</v>
      </c>
      <c r="Z37" s="105" t="s">
        <v>14</v>
      </c>
      <c r="AA37" s="111">
        <f t="shared" si="4"/>
        <v>0</v>
      </c>
      <c r="AB37" s="110" t="str">
        <f t="shared" si="5"/>
        <v>EMP5009 Rup Kumar Mandal</v>
      </c>
      <c r="AC37" s="103">
        <f>if(X37,_xlfn.WORKDAY.INTL(X37,AC$7,"0000001",Holidays!A:A)+hour(X37)/24+MINUTE(X37)/1440,"")</f>
        <v>46094.72917</v>
      </c>
      <c r="AD37" s="104">
        <v>46094.43355295139</v>
      </c>
      <c r="AE37" s="105" t="s">
        <v>14</v>
      </c>
      <c r="AF37" s="111">
        <f t="shared" si="6"/>
        <v>0</v>
      </c>
      <c r="AG37" s="110" t="str">
        <f t="shared" si="7"/>
        <v>EMP5009 Rup Kumar Mandal</v>
      </c>
      <c r="AH37" s="103">
        <f>if(AC37,if(and(hour(AC37+AH$7)&gt;9.5,(hour(AC37+AH$7)&lt;19.5)),AC37+AH$7,_xlfn.workday.intl(int(AC37),1,"0000001",Holidays!A:A)+hour(AC37+AH$7-$B$1)/24+minute(AC37)/1440),"")</f>
        <v>46094.77083</v>
      </c>
      <c r="AI37" s="104">
        <v>46094.50881782407</v>
      </c>
      <c r="AJ37" s="105" t="s">
        <v>14</v>
      </c>
      <c r="AK37" s="111">
        <f t="shared" si="8"/>
        <v>0</v>
      </c>
      <c r="AL37" s="112" t="str">
        <f t="shared" si="9"/>
        <v>EMP5009 Rup Kumar Mandal</v>
      </c>
      <c r="AM37" s="113"/>
      <c r="AN37" s="114" t="s">
        <v>672</v>
      </c>
      <c r="AO37" s="115"/>
      <c r="AP37" s="115"/>
      <c r="AQ37" s="115"/>
      <c r="AR37" s="115"/>
      <c r="AS37" s="115"/>
      <c r="AT37" s="115"/>
      <c r="AU37" s="115"/>
      <c r="AV37" s="115"/>
      <c r="AW37" s="115"/>
      <c r="AX37" s="115"/>
      <c r="AY37" s="115"/>
    </row>
    <row r="38">
      <c r="A38" s="95">
        <f t="shared" si="10"/>
        <v>4989</v>
      </c>
      <c r="B38" s="96">
        <v>46093.5202490625</v>
      </c>
      <c r="C38" s="97" t="s">
        <v>230</v>
      </c>
      <c r="D38" s="97" t="s">
        <v>277</v>
      </c>
      <c r="E38" s="98" t="s">
        <v>293</v>
      </c>
      <c r="F38" s="97"/>
      <c r="G38" s="97" t="s">
        <v>75</v>
      </c>
      <c r="H38" s="99" t="s">
        <v>62</v>
      </c>
      <c r="I38" s="100" t="s">
        <v>237</v>
      </c>
      <c r="J38" s="101" t="s">
        <v>67</v>
      </c>
      <c r="K38" s="100"/>
      <c r="L38" s="102" t="s">
        <v>297</v>
      </c>
      <c r="M38" s="103">
        <f>if(B38,if(and(hour(B38+M$7)&gt;9.5,(hour(B38+M$7)&lt;19.5)),B38+M$7,_xlfn.workday.intl(int(B38),1,"0000001",Holidays!A:A)+hour(B38+M$7-$B$1)/24+minute(B38)/1440),"")</f>
        <v>46093.68692</v>
      </c>
      <c r="N38" s="104">
        <v>46093.52108796296</v>
      </c>
      <c r="O38" s="105" t="s">
        <v>14</v>
      </c>
      <c r="P38" s="106">
        <f t="shared" si="1"/>
        <v>0</v>
      </c>
      <c r="Q38" s="107" t="s">
        <v>72</v>
      </c>
      <c r="R38" s="108" t="s">
        <v>434</v>
      </c>
      <c r="S38" s="103">
        <f>if(M38,if(and(hour(M38+S$7)&gt;9.5,(hour(M38+S$7)&lt;19.5)),M38+S$7,_xlfn.workday.intl(int(M38),1,"0000001",Holidays!A:A)+hour(M38+S$7-$B$1)/24+minute(M38)/1440),"")</f>
        <v>46093.69386</v>
      </c>
      <c r="T38" s="104">
        <v>46093.5450115625</v>
      </c>
      <c r="U38" s="105" t="s">
        <v>14</v>
      </c>
      <c r="V38" s="109">
        <f t="shared" si="2"/>
        <v>0</v>
      </c>
      <c r="W38" s="110" t="str">
        <f t="shared" si="3"/>
        <v>EMP5009 Rup Kumar Mandal</v>
      </c>
      <c r="X38" s="103">
        <f>if(S38,if(and(hour(S38+X$7)&gt;9.5,(hour(S38+X$7)&lt;19.5)),S38+X$7,_xlfn.workday.intl(int(S38),1,"0000001",Holidays!A:A)+hour(S38+X$7-$B$1)/24+minute(S38)/1440),"")</f>
        <v>46093.79803</v>
      </c>
      <c r="Y38" s="104">
        <v>46093.54515101852</v>
      </c>
      <c r="Z38" s="105" t="s">
        <v>14</v>
      </c>
      <c r="AA38" s="111">
        <f t="shared" si="4"/>
        <v>0</v>
      </c>
      <c r="AB38" s="110" t="str">
        <f t="shared" si="5"/>
        <v>EMP5009 Rup Kumar Mandal</v>
      </c>
      <c r="AC38" s="103">
        <f>if(X38,_xlfn.WORKDAY.INTL(X38,AC$7,"0000001",Holidays!A:A)+hour(X38)/24+MINUTE(X38)/1440,"")</f>
        <v>46094.79792</v>
      </c>
      <c r="AD38" s="104">
        <v>46094.43355751157</v>
      </c>
      <c r="AE38" s="105" t="s">
        <v>14</v>
      </c>
      <c r="AF38" s="111">
        <f t="shared" si="6"/>
        <v>0</v>
      </c>
      <c r="AG38" s="110" t="str">
        <f t="shared" si="7"/>
        <v>EMP5009 Rup Kumar Mandal</v>
      </c>
      <c r="AH38" s="103">
        <f>if(AC38,if(and(hour(AC38+AH$7)&gt;9.5,(hour(AC38+AH$7)&lt;19.5)),AC38+AH$7,_xlfn.workday.intl(int(AC38),1,"0000001",Holidays!A:A)+hour(AC38+AH$7-$B$1)/24+minute(AC38)/1440),"")</f>
        <v>46095.42292</v>
      </c>
      <c r="AI38" s="104">
        <v>46094.63561009259</v>
      </c>
      <c r="AJ38" s="105" t="s">
        <v>14</v>
      </c>
      <c r="AK38" s="111">
        <f t="shared" si="8"/>
        <v>0</v>
      </c>
      <c r="AL38" s="112" t="str">
        <f t="shared" si="9"/>
        <v>EMP5009 Rup Kumar Mandal</v>
      </c>
      <c r="AM38" s="113"/>
      <c r="AN38" s="114" t="s">
        <v>672</v>
      </c>
      <c r="AO38" s="115"/>
      <c r="AP38" s="115"/>
      <c r="AQ38" s="115"/>
      <c r="AR38" s="115"/>
      <c r="AS38" s="115"/>
      <c r="AT38" s="115"/>
      <c r="AU38" s="115"/>
      <c r="AV38" s="115"/>
      <c r="AW38" s="115"/>
      <c r="AX38" s="115"/>
      <c r="AY38" s="115"/>
    </row>
    <row r="39" ht="90.75" customHeight="1">
      <c r="A39" s="95">
        <f t="shared" si="10"/>
        <v>4990</v>
      </c>
      <c r="B39" s="96">
        <v>46093.55431407408</v>
      </c>
      <c r="C39" s="97" t="s">
        <v>236</v>
      </c>
      <c r="D39" s="97" t="s">
        <v>98</v>
      </c>
      <c r="E39" s="98" t="s">
        <v>299</v>
      </c>
      <c r="F39" s="97"/>
      <c r="G39" s="97" t="s">
        <v>302</v>
      </c>
      <c r="H39" s="99" t="s">
        <v>126</v>
      </c>
      <c r="I39" s="100" t="s">
        <v>64</v>
      </c>
      <c r="J39" s="101" t="s">
        <v>97</v>
      </c>
      <c r="K39" s="100"/>
      <c r="L39" s="102" t="s">
        <v>302</v>
      </c>
      <c r="M39" s="103">
        <f>if(B39,if(and(hour(B39+M$7)&gt;9.5,(hour(B39+M$7)&lt;19.5)),B39+M$7,_xlfn.workday.intl(int(B39),1,"0000001",Holidays!A:A)+hour(B39+M$7-$B$1)/24+minute(B39)/1440),"")</f>
        <v>46093.72098</v>
      </c>
      <c r="N39" s="104">
        <v>46093.58230553241</v>
      </c>
      <c r="O39" s="105" t="s">
        <v>14</v>
      </c>
      <c r="P39" s="106">
        <f t="shared" si="1"/>
        <v>0</v>
      </c>
      <c r="Q39" s="107" t="s">
        <v>61</v>
      </c>
      <c r="R39" s="108" t="s">
        <v>434</v>
      </c>
      <c r="S39" s="103">
        <f>if(M39,if(and(hour(M39+S$7)&gt;9.5,(hour(M39+S$7)&lt;19.5)),M39+S$7,_xlfn.workday.intl(int(M39),1,"0000001",Holidays!A:A)+hour(M39+S$7-$B$1)/24+minute(M39)/1440),"")</f>
        <v>46093.72793</v>
      </c>
      <c r="T39" s="104">
        <v>46093.58239414352</v>
      </c>
      <c r="U39" s="105" t="s">
        <v>14</v>
      </c>
      <c r="V39" s="109">
        <f t="shared" si="2"/>
        <v>0</v>
      </c>
      <c r="W39" s="110" t="str">
        <f t="shared" si="3"/>
        <v>EMP0021 Tamanna Dewangan</v>
      </c>
      <c r="X39" s="103">
        <f>if(S39,if(and(hour(S39+X$7)&gt;9.5,(hour(S39+X$7)&lt;19.5)),S39+X$7,_xlfn.workday.intl(int(S39),1,"0000001",Holidays!A:A)+hour(S39+X$7-$B$1)/24+minute(S39)/1440),"")</f>
        <v>46093.83209</v>
      </c>
      <c r="Y39" s="104">
        <v>46093.689394016204</v>
      </c>
      <c r="Z39" s="105" t="s">
        <v>14</v>
      </c>
      <c r="AA39" s="111">
        <f t="shared" si="4"/>
        <v>0</v>
      </c>
      <c r="AB39" s="110" t="str">
        <f t="shared" si="5"/>
        <v>EMP0021 Tamanna Dewangan</v>
      </c>
      <c r="AC39" s="103">
        <f>if(X39,_xlfn.WORKDAY.INTL(X39,AC$7,"0000001",Holidays!A:A)+hour(X39)/24+MINUTE(X39)/1440,"")</f>
        <v>46094.83194</v>
      </c>
      <c r="AD39" s="104">
        <v>46093.68943236111</v>
      </c>
      <c r="AE39" s="105" t="s">
        <v>14</v>
      </c>
      <c r="AF39" s="111">
        <f t="shared" si="6"/>
        <v>0</v>
      </c>
      <c r="AG39" s="110" t="str">
        <f t="shared" si="7"/>
        <v>EMP0021 Tamanna Dewangan</v>
      </c>
      <c r="AH39" s="103">
        <f>if(AC39,if(and(hour(AC39+AH$7)&gt;9.5,(hour(AC39+AH$7)&lt;19.5)),AC39+AH$7,_xlfn.workday.intl(int(AC39),1,"0000001",Holidays!A:A)+hour(AC39+AH$7-$B$1)/24+minute(AC39)/1440),"")</f>
        <v>46095.45694</v>
      </c>
      <c r="AI39" s="104">
        <v>46093.76228369213</v>
      </c>
      <c r="AJ39" s="105" t="s">
        <v>14</v>
      </c>
      <c r="AK39" s="111">
        <f t="shared" si="8"/>
        <v>0</v>
      </c>
      <c r="AL39" s="112" t="str">
        <f t="shared" si="9"/>
        <v>EMP0021 Tamanna Dewangan</v>
      </c>
      <c r="AM39" s="113"/>
      <c r="AN39" s="114" t="s">
        <v>672</v>
      </c>
      <c r="AO39" s="115"/>
      <c r="AP39" s="115"/>
      <c r="AQ39" s="115"/>
      <c r="AR39" s="115"/>
      <c r="AS39" s="115"/>
      <c r="AT39" s="115"/>
      <c r="AU39" s="115"/>
      <c r="AV39" s="115"/>
      <c r="AW39" s="115"/>
      <c r="AX39" s="115"/>
      <c r="AY39" s="115"/>
    </row>
    <row r="40">
      <c r="A40" s="95">
        <f t="shared" si="10"/>
        <v>4991</v>
      </c>
      <c r="B40" s="96">
        <v>46093.5691315625</v>
      </c>
      <c r="C40" s="97" t="s">
        <v>244</v>
      </c>
      <c r="D40" s="97" t="s">
        <v>186</v>
      </c>
      <c r="E40" s="98" t="s">
        <v>304</v>
      </c>
      <c r="F40" s="98" t="s">
        <v>310</v>
      </c>
      <c r="G40" s="97" t="s">
        <v>308</v>
      </c>
      <c r="H40" s="99" t="s">
        <v>126</v>
      </c>
      <c r="I40" s="100" t="s">
        <v>64</v>
      </c>
      <c r="J40" s="101" t="s">
        <v>303</v>
      </c>
      <c r="K40" s="100"/>
      <c r="L40" s="102" t="s">
        <v>309</v>
      </c>
      <c r="M40" s="103">
        <f>if(B40,if(and(hour(B40+M$7)&gt;9.5,(hour(B40+M$7)&lt;19.5)),B40+M$7,_xlfn.workday.intl(int(B40),1,"0000001",Holidays!A:A)+hour(B40+M$7-$B$1)/24+minute(B40)/1440),"")</f>
        <v>46093.7358</v>
      </c>
      <c r="N40" s="104">
        <v>46093.582329467594</v>
      </c>
      <c r="O40" s="105" t="s">
        <v>14</v>
      </c>
      <c r="P40" s="106">
        <f t="shared" si="1"/>
        <v>0</v>
      </c>
      <c r="Q40" s="107" t="s">
        <v>15</v>
      </c>
      <c r="R40" s="108" t="s">
        <v>434</v>
      </c>
      <c r="S40" s="103">
        <f>if(M40,if(and(hour(M40+S$7)&gt;9.5,(hour(M40+S$7)&lt;19.5)),M40+S$7,_xlfn.workday.intl(int(M40),1,"0000001",Holidays!A:A)+hour(M40+S$7-$B$1)/24+minute(M40)/1440),"")</f>
        <v>46093.74274</v>
      </c>
      <c r="T40" s="104">
        <v>46093.58239414352</v>
      </c>
      <c r="U40" s="105" t="s">
        <v>14</v>
      </c>
      <c r="V40" s="109">
        <f t="shared" si="2"/>
        <v>0</v>
      </c>
      <c r="W40" s="110" t="str">
        <f t="shared" si="3"/>
        <v>EMP0042 HULESHWAR KUMAR SAHU</v>
      </c>
      <c r="X40" s="103">
        <f>if(S40,if(and(hour(S40+X$7)&gt;9.5,(hour(S40+X$7)&lt;19.5)),S40+X$7,_xlfn.workday.intl(int(S40),1,"0000001",Holidays!A:A)+hour(S40+X$7-$B$1)/24+minute(S40)/1440),"")</f>
        <v>46094.45069</v>
      </c>
      <c r="Y40" s="104">
        <v>46093.67697355324</v>
      </c>
      <c r="Z40" s="105" t="s">
        <v>14</v>
      </c>
      <c r="AA40" s="111">
        <f t="shared" si="4"/>
        <v>0</v>
      </c>
      <c r="AB40" s="110" t="str">
        <f t="shared" si="5"/>
        <v>EMP0042 HULESHWAR KUMAR SAHU</v>
      </c>
      <c r="AC40" s="103">
        <f>if(X40,_xlfn.WORKDAY.INTL(X40,AC$7,"0000001",Holidays!A:A)+hour(X40)/24+MINUTE(X40)/1440,"")</f>
        <v>46095.45069</v>
      </c>
      <c r="AD40" s="104">
        <v>46093.76215170139</v>
      </c>
      <c r="AE40" s="105" t="s">
        <v>14</v>
      </c>
      <c r="AF40" s="111">
        <f t="shared" si="6"/>
        <v>0</v>
      </c>
      <c r="AG40" s="110" t="str">
        <f t="shared" si="7"/>
        <v>EMP0042 HULESHWAR KUMAR SAHU</v>
      </c>
      <c r="AH40" s="103">
        <f>if(AC40,if(and(hour(AC40+AH$7)&gt;9.5,(hour(AC40+AH$7)&lt;19.5)),AC40+AH$7,_xlfn.workday.intl(int(AC40),1,"0000001",Holidays!A:A)+hour(AC40+AH$7-$B$1)/24+minute(AC40)/1440),"")</f>
        <v>46095.49236</v>
      </c>
      <c r="AI40" s="104">
        <v>46093.76222739583</v>
      </c>
      <c r="AJ40" s="105" t="s">
        <v>14</v>
      </c>
      <c r="AK40" s="111">
        <f t="shared" si="8"/>
        <v>0</v>
      </c>
      <c r="AL40" s="112" t="str">
        <f t="shared" si="9"/>
        <v>EMP0042 HULESHWAR KUMAR SAHU</v>
      </c>
      <c r="AM40" s="113"/>
      <c r="AN40" s="114" t="s">
        <v>672</v>
      </c>
      <c r="AO40" s="115"/>
      <c r="AP40" s="115"/>
      <c r="AQ40" s="115"/>
      <c r="AR40" s="115"/>
      <c r="AS40" s="115"/>
      <c r="AT40" s="115"/>
      <c r="AU40" s="115"/>
      <c r="AV40" s="115"/>
      <c r="AW40" s="115"/>
      <c r="AX40" s="115"/>
      <c r="AY40" s="115"/>
    </row>
    <row r="41">
      <c r="A41" s="95">
        <f t="shared" si="10"/>
        <v>4992</v>
      </c>
      <c r="B41" s="96">
        <v>46093.64534299768</v>
      </c>
      <c r="C41" s="97" t="s">
        <v>249</v>
      </c>
      <c r="D41" s="97" t="s">
        <v>232</v>
      </c>
      <c r="E41" s="98" t="s">
        <v>316</v>
      </c>
      <c r="F41" s="98" t="s">
        <v>325</v>
      </c>
      <c r="G41" s="97" t="s">
        <v>321</v>
      </c>
      <c r="H41" s="99" t="s">
        <v>62</v>
      </c>
      <c r="I41" s="100" t="s">
        <v>324</v>
      </c>
      <c r="J41" s="101" t="s">
        <v>231</v>
      </c>
      <c r="K41" s="100"/>
      <c r="L41" s="102" t="s">
        <v>321</v>
      </c>
      <c r="M41" s="103">
        <f>if(B41,if(and(hour(B41+M$7)&gt;9.5,(hour(B41+M$7)&lt;19.5)),B41+M$7,_xlfn.workday.intl(int(B41),1,"0000001",Holidays!A:A)+hour(B41+M$7-$B$1)/24+minute(B41)/1440),"")</f>
        <v>46093.81201</v>
      </c>
      <c r="N41" s="104">
        <v>46093.6687269213</v>
      </c>
      <c r="O41" s="105" t="s">
        <v>14</v>
      </c>
      <c r="P41" s="106">
        <f t="shared" si="1"/>
        <v>0</v>
      </c>
      <c r="Q41" s="107" t="s">
        <v>48</v>
      </c>
      <c r="R41" s="108" t="s">
        <v>434</v>
      </c>
      <c r="S41" s="103">
        <f>if(M41,if(and(hour(M41+S$7)&gt;9.5,(hour(M41+S$7)&lt;19.5)),M41+S$7,_xlfn.workday.intl(int(M41),1,"0000001",Holidays!A:A)+hour(M41+S$7-$B$1)/24+minute(M41)/1440),"")</f>
        <v>46093.81895</v>
      </c>
      <c r="T41" s="104">
        <v>46093.67688138889</v>
      </c>
      <c r="U41" s="105" t="s">
        <v>14</v>
      </c>
      <c r="V41" s="109">
        <f t="shared" si="2"/>
        <v>0</v>
      </c>
      <c r="W41" s="110" t="str">
        <f t="shared" si="3"/>
        <v>EMP0237 Swarnendu Chakraborty</v>
      </c>
      <c r="X41" s="103">
        <f>if(S41,if(and(hour(S41+X$7)&gt;9.5,(hour(S41+X$7)&lt;19.5)),S41+X$7,_xlfn.workday.intl(int(S41),1,"0000001",Holidays!A:A)+hour(S41+X$7-$B$1)/24+minute(S41)/1440),"")</f>
        <v>46094.52708</v>
      </c>
      <c r="Y41" s="104">
        <v>46094.45245928241</v>
      </c>
      <c r="Z41" s="105" t="s">
        <v>14</v>
      </c>
      <c r="AA41" s="111">
        <f t="shared" si="4"/>
        <v>0</v>
      </c>
      <c r="AB41" s="110" t="str">
        <f t="shared" si="5"/>
        <v>EMP0237 Swarnendu Chakraborty</v>
      </c>
      <c r="AC41" s="103">
        <f>if(X41,_xlfn.WORKDAY.INTL(X41,AC$7,"0000001",Holidays!A:A)+hour(X41)/24+MINUTE(X41)/1440,"")</f>
        <v>46095.52708</v>
      </c>
      <c r="AD41" s="104">
        <v>46094.454308472225</v>
      </c>
      <c r="AE41" s="105" t="s">
        <v>14</v>
      </c>
      <c r="AF41" s="111">
        <f t="shared" si="6"/>
        <v>0</v>
      </c>
      <c r="AG41" s="110" t="str">
        <f t="shared" si="7"/>
        <v>EMP0237 Swarnendu Chakraborty</v>
      </c>
      <c r="AH41" s="103">
        <f>if(AC41,if(and(hour(AC41+AH$7)&gt;9.5,(hour(AC41+AH$7)&lt;19.5)),AC41+AH$7,_xlfn.workday.intl(int(AC41),1,"0000001",Holidays!A:A)+hour(AC41+AH$7-$B$1)/24+minute(AC41)/1440),"")</f>
        <v>46095.56875</v>
      </c>
      <c r="AI41" s="104">
        <v>46094.454335104165</v>
      </c>
      <c r="AJ41" s="105" t="s">
        <v>14</v>
      </c>
      <c r="AK41" s="111">
        <f t="shared" si="8"/>
        <v>0</v>
      </c>
      <c r="AL41" s="112" t="str">
        <f t="shared" si="9"/>
        <v>EMP0237 Swarnendu Chakraborty</v>
      </c>
      <c r="AM41" s="113"/>
      <c r="AN41" s="114" t="s">
        <v>672</v>
      </c>
      <c r="AO41" s="115"/>
      <c r="AP41" s="115"/>
      <c r="AQ41" s="115"/>
      <c r="AR41" s="115"/>
      <c r="AS41" s="115"/>
      <c r="AT41" s="115"/>
      <c r="AU41" s="115"/>
      <c r="AV41" s="115"/>
      <c r="AW41" s="115"/>
      <c r="AX41" s="115"/>
      <c r="AY41" s="115"/>
    </row>
    <row r="42">
      <c r="A42" s="95">
        <f t="shared" si="10"/>
        <v>4993</v>
      </c>
      <c r="B42" s="96">
        <v>46093.72645004629</v>
      </c>
      <c r="C42" s="97">
        <v>3152.0</v>
      </c>
      <c r="D42" s="97" t="s">
        <v>255</v>
      </c>
      <c r="E42" s="98" t="s">
        <v>328</v>
      </c>
      <c r="F42" s="97"/>
      <c r="G42" s="97" t="s">
        <v>330</v>
      </c>
      <c r="H42" s="99" t="s">
        <v>103</v>
      </c>
      <c r="I42" s="100" t="s">
        <v>64</v>
      </c>
      <c r="J42" s="101" t="s">
        <v>254</v>
      </c>
      <c r="K42" s="100"/>
      <c r="L42" s="102" t="s">
        <v>331</v>
      </c>
      <c r="M42" s="103">
        <f>if(B42,if(and(hour(B42+M$7)&gt;9.5,(hour(B42+M$7)&lt;19.5)),B42+M$7,_xlfn.workday.intl(int(B42),1,"0000001",Holidays!A:A)+hour(B42+M$7-$B$1)/24+minute(B42)/1440),"")</f>
        <v>46094.47639</v>
      </c>
      <c r="N42" s="104">
        <v>46093.74950506944</v>
      </c>
      <c r="O42" s="105" t="s">
        <v>14</v>
      </c>
      <c r="P42" s="106">
        <f t="shared" si="1"/>
        <v>0</v>
      </c>
      <c r="Q42" s="107" t="s">
        <v>72</v>
      </c>
      <c r="R42" s="108" t="s">
        <v>434</v>
      </c>
      <c r="S42" s="103">
        <f>if(M42,if(and(hour(M42+S$7)&gt;9.5,(hour(M42+S$7)&lt;19.5)),M42+S$7,_xlfn.workday.intl(int(M42),1,"0000001",Holidays!A:A)+hour(M42+S$7-$B$1)/24+minute(M42)/1440),"")</f>
        <v>46094.48333</v>
      </c>
      <c r="T42" s="104">
        <v>46093.74957756944</v>
      </c>
      <c r="U42" s="105" t="s">
        <v>14</v>
      </c>
      <c r="V42" s="109">
        <f t="shared" si="2"/>
        <v>0</v>
      </c>
      <c r="W42" s="110" t="str">
        <f t="shared" si="3"/>
        <v>EMP5009 Rup Kumar Mandal</v>
      </c>
      <c r="X42" s="103">
        <f>if(S42,if(and(hour(S42+X$7)&gt;9.5,(hour(S42+X$7)&lt;19.5)),S42+X$7,_xlfn.workday.intl(int(S42),1,"0000001",Holidays!A:A)+hour(S42+X$7-$B$1)/24+minute(S42)/1440),"")</f>
        <v>46094.5875</v>
      </c>
      <c r="Y42" s="104">
        <v>46093.74961827546</v>
      </c>
      <c r="Z42" s="105" t="s">
        <v>14</v>
      </c>
      <c r="AA42" s="111">
        <f t="shared" si="4"/>
        <v>0</v>
      </c>
      <c r="AB42" s="110" t="str">
        <f t="shared" si="5"/>
        <v>EMP5009 Rup Kumar Mandal</v>
      </c>
      <c r="AC42" s="103">
        <f>if(X42,_xlfn.WORKDAY.INTL(X42,AC$7,"0000001",Holidays!A:A)+hour(X42)/24+MINUTE(X42)/1440,"")</f>
        <v>46095.5875</v>
      </c>
      <c r="AD42" s="104">
        <v>46093.74965359954</v>
      </c>
      <c r="AE42" s="105" t="s">
        <v>14</v>
      </c>
      <c r="AF42" s="111">
        <f t="shared" si="6"/>
        <v>0</v>
      </c>
      <c r="AG42" s="110" t="str">
        <f t="shared" si="7"/>
        <v>EMP5009 Rup Kumar Mandal</v>
      </c>
      <c r="AH42" s="103">
        <f>if(AC42,if(and(hour(AC42+AH$7)&gt;9.5,(hour(AC42+AH$7)&lt;19.5)),AC42+AH$7,_xlfn.workday.intl(int(AC42),1,"0000001",Holidays!A:A)+hour(AC42+AH$7-$B$1)/24+minute(AC42)/1440),"")</f>
        <v>46095.62917</v>
      </c>
      <c r="AI42" s="104">
        <v>46094.455440983795</v>
      </c>
      <c r="AJ42" s="105" t="s">
        <v>14</v>
      </c>
      <c r="AK42" s="111">
        <f t="shared" si="8"/>
        <v>0</v>
      </c>
      <c r="AL42" s="112" t="str">
        <f t="shared" si="9"/>
        <v>EMP5009 Rup Kumar Mandal</v>
      </c>
      <c r="AM42" s="113"/>
      <c r="AN42" s="114" t="s">
        <v>672</v>
      </c>
      <c r="AO42" s="115"/>
      <c r="AP42" s="115"/>
      <c r="AQ42" s="115"/>
      <c r="AR42" s="115"/>
      <c r="AS42" s="115"/>
      <c r="AT42" s="115"/>
      <c r="AU42" s="115"/>
      <c r="AV42" s="115"/>
      <c r="AW42" s="115"/>
      <c r="AX42" s="115"/>
      <c r="AY42" s="115"/>
    </row>
    <row r="43">
      <c r="A43" s="95">
        <f t="shared" si="10"/>
        <v>4994</v>
      </c>
      <c r="B43" s="96">
        <v>46093.73453775463</v>
      </c>
      <c r="C43" s="97" t="s">
        <v>74</v>
      </c>
      <c r="D43" s="97" t="s">
        <v>334</v>
      </c>
      <c r="E43" s="98" t="s">
        <v>336</v>
      </c>
      <c r="F43" s="98" t="s">
        <v>347</v>
      </c>
      <c r="G43" s="97" t="s">
        <v>345</v>
      </c>
      <c r="H43" s="99" t="s">
        <v>62</v>
      </c>
      <c r="I43" s="100" t="s">
        <v>64</v>
      </c>
      <c r="J43" s="101" t="s">
        <v>332</v>
      </c>
      <c r="K43" s="100"/>
      <c r="L43" s="102" t="s">
        <v>346</v>
      </c>
      <c r="M43" s="103">
        <f>if(B43,if(and(hour(B43+M$7)&gt;9.5,(hour(B43+M$7)&lt;19.5)),B43+M$7,_xlfn.workday.intl(int(B43),1,"0000001",Holidays!A:A)+hour(B43+M$7-$B$1)/24+minute(B43)/1440),"")</f>
        <v>46094.48403</v>
      </c>
      <c r="N43" s="104">
        <v>46093.74953148148</v>
      </c>
      <c r="O43" s="105" t="s">
        <v>14</v>
      </c>
      <c r="P43" s="106">
        <f t="shared" si="1"/>
        <v>0</v>
      </c>
      <c r="Q43" s="107" t="s">
        <v>72</v>
      </c>
      <c r="R43" s="108" t="s">
        <v>434</v>
      </c>
      <c r="S43" s="103">
        <f>if(M43,if(and(hour(M43+S$7)&gt;9.5,(hour(M43+S$7)&lt;19.5)),M43+S$7,_xlfn.workday.intl(int(M43),1,"0000001",Holidays!A:A)+hour(M43+S$7-$B$1)/24+minute(M43)/1440),"")</f>
        <v>46094.49097</v>
      </c>
      <c r="T43" s="104">
        <v>46093.74958417824</v>
      </c>
      <c r="U43" s="105" t="s">
        <v>14</v>
      </c>
      <c r="V43" s="109">
        <f t="shared" si="2"/>
        <v>0</v>
      </c>
      <c r="W43" s="110" t="str">
        <f t="shared" si="3"/>
        <v>EMP5009 Rup Kumar Mandal</v>
      </c>
      <c r="X43" s="103">
        <f>if(S43,if(and(hour(S43+X$7)&gt;9.5,(hour(S43+X$7)&lt;19.5)),S43+X$7,_xlfn.workday.intl(int(S43),1,"0000001",Holidays!A:A)+hour(S43+X$7-$B$1)/24+minute(S43)/1440),"")</f>
        <v>46094.59514</v>
      </c>
      <c r="Y43" s="104">
        <v>46093.74961827546</v>
      </c>
      <c r="Z43" s="105" t="s">
        <v>14</v>
      </c>
      <c r="AA43" s="111">
        <f t="shared" si="4"/>
        <v>0</v>
      </c>
      <c r="AB43" s="110" t="str">
        <f t="shared" si="5"/>
        <v>EMP5009 Rup Kumar Mandal</v>
      </c>
      <c r="AC43" s="103">
        <f>if(X43,_xlfn.WORKDAY.INTL(X43,AC$7,"0000001",Holidays!A:A)+hour(X43)/24+MINUTE(X43)/1440,"")</f>
        <v>46095.59514</v>
      </c>
      <c r="AD43" s="104">
        <v>46093.74965359954</v>
      </c>
      <c r="AE43" s="105" t="s">
        <v>14</v>
      </c>
      <c r="AF43" s="111">
        <f t="shared" si="6"/>
        <v>0</v>
      </c>
      <c r="AG43" s="110" t="str">
        <f t="shared" si="7"/>
        <v>EMP5009 Rup Kumar Mandal</v>
      </c>
      <c r="AH43" s="103">
        <f>if(AC43,if(and(hour(AC43+AH$7)&gt;9.5,(hour(AC43+AH$7)&lt;19.5)),AC43+AH$7,_xlfn.workday.intl(int(AC43),1,"0000001",Holidays!A:A)+hour(AC43+AH$7-$B$1)/24+minute(AC43)/1440),"")</f>
        <v>46095.63681</v>
      </c>
      <c r="AI43" s="104">
        <v>46094.455443009254</v>
      </c>
      <c r="AJ43" s="105" t="s">
        <v>14</v>
      </c>
      <c r="AK43" s="111">
        <f t="shared" si="8"/>
        <v>0</v>
      </c>
      <c r="AL43" s="112" t="str">
        <f t="shared" si="9"/>
        <v>EMP5009 Rup Kumar Mandal</v>
      </c>
      <c r="AM43" s="113"/>
      <c r="AN43" s="114" t="s">
        <v>672</v>
      </c>
      <c r="AO43" s="115"/>
      <c r="AP43" s="115"/>
      <c r="AQ43" s="115"/>
      <c r="AR43" s="115"/>
      <c r="AS43" s="115"/>
      <c r="AT43" s="115"/>
      <c r="AU43" s="115"/>
      <c r="AV43" s="115"/>
      <c r="AW43" s="115"/>
      <c r="AX43" s="115"/>
      <c r="AY43" s="115"/>
    </row>
    <row r="44">
      <c r="A44" s="95">
        <f t="shared" si="10"/>
        <v>4995</v>
      </c>
      <c r="B44" s="96">
        <v>46094.44553679398</v>
      </c>
      <c r="C44" s="97" t="s">
        <v>355</v>
      </c>
      <c r="D44" s="97" t="s">
        <v>142</v>
      </c>
      <c r="E44" s="98" t="s">
        <v>351</v>
      </c>
      <c r="F44" s="97"/>
      <c r="G44" s="97" t="s">
        <v>354</v>
      </c>
      <c r="H44" s="99" t="s">
        <v>138</v>
      </c>
      <c r="I44" s="100" t="s">
        <v>64</v>
      </c>
      <c r="J44" s="101" t="s">
        <v>141</v>
      </c>
      <c r="K44" s="100"/>
      <c r="L44" s="102" t="s">
        <v>253</v>
      </c>
      <c r="M44" s="103">
        <f>if(B44,if(and(hour(B44+M$7)&gt;9.5,(hour(B44+M$7)&lt;19.5)),B44+M$7,_xlfn.workday.intl(int(B44),1,"0000001",Holidays!A:A)+hour(B44+M$7-$B$1)/24+minute(B44)/1440),"")</f>
        <v>46094.6122</v>
      </c>
      <c r="N44" s="104">
        <v>46094.47668115741</v>
      </c>
      <c r="O44" s="105" t="s">
        <v>14</v>
      </c>
      <c r="P44" s="106">
        <f t="shared" si="1"/>
        <v>0</v>
      </c>
      <c r="Q44" s="107" t="s">
        <v>15</v>
      </c>
      <c r="R44" s="108" t="s">
        <v>434</v>
      </c>
      <c r="S44" s="103">
        <f>if(M44,if(and(hour(M44+S$7)&gt;9.5,(hour(M44+S$7)&lt;19.5)),M44+S$7,_xlfn.workday.intl(int(M44),1,"0000001",Holidays!A:A)+hour(M44+S$7-$B$1)/24+minute(M44)/1440),"")</f>
        <v>46094.61915</v>
      </c>
      <c r="T44" s="104">
        <v>46094.47675644676</v>
      </c>
      <c r="U44" s="105" t="s">
        <v>14</v>
      </c>
      <c r="V44" s="109">
        <f t="shared" si="2"/>
        <v>0</v>
      </c>
      <c r="W44" s="110" t="str">
        <f t="shared" si="3"/>
        <v>EMP0042 HULESHWAR KUMAR SAHU</v>
      </c>
      <c r="X44" s="103">
        <f>if(S44,if(and(hour(S44+X$7)&gt;9.5,(hour(S44+X$7)&lt;19.5)),S44+X$7,_xlfn.workday.intl(int(S44),1,"0000001",Holidays!A:A)+hour(S44+X$7-$B$1)/24+minute(S44)/1440),"")</f>
        <v>46094.72331</v>
      </c>
      <c r="Y44" s="104">
        <v>46094.47681716435</v>
      </c>
      <c r="Z44" s="105" t="s">
        <v>14</v>
      </c>
      <c r="AA44" s="111">
        <f t="shared" si="4"/>
        <v>0</v>
      </c>
      <c r="AB44" s="110" t="str">
        <f t="shared" si="5"/>
        <v>EMP0042 HULESHWAR KUMAR SAHU</v>
      </c>
      <c r="AC44" s="103">
        <f>if(X44,_xlfn.WORKDAY.INTL(X44,AC$7,"0000001",Holidays!A:A)+hour(X44)/24+MINUTE(X44)/1440,"")</f>
        <v>46095.72292</v>
      </c>
      <c r="AD44" s="104">
        <v>46094.50836638889</v>
      </c>
      <c r="AE44" s="105" t="s">
        <v>14</v>
      </c>
      <c r="AF44" s="111">
        <f t="shared" si="6"/>
        <v>0</v>
      </c>
      <c r="AG44" s="110" t="str">
        <f t="shared" si="7"/>
        <v>EMP0042 HULESHWAR KUMAR SAHU</v>
      </c>
      <c r="AH44" s="103">
        <f>if(AC44,if(and(hour(AC44+AH$7)&gt;9.5,(hour(AC44+AH$7)&lt;19.5)),AC44+AH$7,_xlfn.workday.intl(int(AC44),1,"0000001",Holidays!A:A)+hour(AC44+AH$7-$B$1)/24+minute(AC44)/1440),"")</f>
        <v>46095.76458</v>
      </c>
      <c r="AI44" s="104">
        <v>46094.508551875</v>
      </c>
      <c r="AJ44" s="105" t="s">
        <v>14</v>
      </c>
      <c r="AK44" s="111">
        <f t="shared" si="8"/>
        <v>0</v>
      </c>
      <c r="AL44" s="112" t="str">
        <f t="shared" si="9"/>
        <v>EMP0042 HULESHWAR KUMAR SAHU</v>
      </c>
      <c r="AM44" s="113"/>
      <c r="AN44" s="114" t="s">
        <v>672</v>
      </c>
      <c r="AO44" s="115"/>
      <c r="AP44" s="115"/>
      <c r="AQ44" s="115"/>
      <c r="AR44" s="115"/>
      <c r="AS44" s="115"/>
      <c r="AT44" s="115"/>
      <c r="AU44" s="115"/>
      <c r="AV44" s="115"/>
      <c r="AW44" s="115"/>
      <c r="AX44" s="115"/>
      <c r="AY44" s="115"/>
    </row>
    <row r="45">
      <c r="A45" s="95">
        <f t="shared" si="10"/>
        <v>4996</v>
      </c>
      <c r="B45" s="96">
        <v>46094.4890605324</v>
      </c>
      <c r="C45" s="97" t="s">
        <v>275</v>
      </c>
      <c r="D45" s="97" t="s">
        <v>357</v>
      </c>
      <c r="E45" s="98" t="s">
        <v>358</v>
      </c>
      <c r="F45" s="97"/>
      <c r="G45" s="97" t="s">
        <v>360</v>
      </c>
      <c r="H45" s="99" t="s">
        <v>138</v>
      </c>
      <c r="I45" s="100" t="s">
        <v>64</v>
      </c>
      <c r="J45" s="101" t="s">
        <v>356</v>
      </c>
      <c r="K45" s="100"/>
      <c r="L45" s="102" t="s">
        <v>361</v>
      </c>
      <c r="M45" s="103">
        <f>if(B45,if(and(hour(B45+M$7)&gt;9.5,(hour(B45+M$7)&lt;19.5)),B45+M$7,_xlfn.workday.intl(int(B45),1,"0000001",Holidays!A:A)+hour(B45+M$7-$B$1)/24+minute(B45)/1440),"")</f>
        <v>46094.65573</v>
      </c>
      <c r="N45" s="104">
        <v>46094.50844622686</v>
      </c>
      <c r="O45" s="105" t="s">
        <v>14</v>
      </c>
      <c r="P45" s="106">
        <f t="shared" si="1"/>
        <v>0</v>
      </c>
      <c r="Q45" s="107" t="s">
        <v>72</v>
      </c>
      <c r="R45" s="108" t="s">
        <v>434</v>
      </c>
      <c r="S45" s="103">
        <f>if(M45,if(and(hour(M45+S$7)&gt;9.5,(hour(M45+S$7)&lt;19.5)),M45+S$7,_xlfn.workday.intl(int(M45),1,"0000001",Holidays!A:A)+hour(M45+S$7-$B$1)/24+minute(M45)/1440),"")</f>
        <v>46094.66267</v>
      </c>
      <c r="T45" s="104">
        <v>46094.50855626157</v>
      </c>
      <c r="U45" s="105" t="s">
        <v>14</v>
      </c>
      <c r="V45" s="109">
        <f t="shared" si="2"/>
        <v>0</v>
      </c>
      <c r="W45" s="110" t="str">
        <f t="shared" si="3"/>
        <v>EMP5009 Rup Kumar Mandal</v>
      </c>
      <c r="X45" s="103">
        <f>if(S45,if(and(hour(S45+X$7)&gt;9.5,(hour(S45+X$7)&lt;19.5)),S45+X$7,_xlfn.workday.intl(int(S45),1,"0000001",Holidays!A:A)+hour(S45+X$7-$B$1)/24+minute(S45)/1440),"")</f>
        <v>46094.76684</v>
      </c>
      <c r="Y45" s="104">
        <v>46094.50860085648</v>
      </c>
      <c r="Z45" s="105" t="s">
        <v>14</v>
      </c>
      <c r="AA45" s="111">
        <f t="shared" si="4"/>
        <v>0</v>
      </c>
      <c r="AB45" s="110" t="str">
        <f t="shared" si="5"/>
        <v>EMP5009 Rup Kumar Mandal</v>
      </c>
      <c r="AC45" s="103">
        <f>if(X45,_xlfn.WORKDAY.INTL(X45,AC$7,"0000001",Holidays!A:A)+hour(X45)/24+MINUTE(X45)/1440,"")</f>
        <v>46095.76667</v>
      </c>
      <c r="AD45" s="104">
        <v>46094.63553408565</v>
      </c>
      <c r="AE45" s="105" t="s">
        <v>14</v>
      </c>
      <c r="AF45" s="111">
        <f t="shared" si="6"/>
        <v>0</v>
      </c>
      <c r="AG45" s="110" t="str">
        <f t="shared" si="7"/>
        <v>EMP5009 Rup Kumar Mandal</v>
      </c>
      <c r="AH45" s="118">
        <v>46097.475</v>
      </c>
      <c r="AI45" s="104">
        <v>46095.4449265625</v>
      </c>
      <c r="AJ45" s="105" t="s">
        <v>14</v>
      </c>
      <c r="AK45" s="111">
        <f t="shared" si="8"/>
        <v>0</v>
      </c>
      <c r="AL45" s="112" t="str">
        <f t="shared" si="9"/>
        <v>EMP5009 Rup Kumar Mandal</v>
      </c>
      <c r="AM45" s="113"/>
      <c r="AN45" s="114" t="s">
        <v>672</v>
      </c>
      <c r="AO45" s="115"/>
      <c r="AP45" s="115"/>
      <c r="AQ45" s="115"/>
      <c r="AR45" s="115"/>
      <c r="AS45" s="115"/>
      <c r="AT45" s="115"/>
      <c r="AU45" s="115"/>
      <c r="AV45" s="115"/>
      <c r="AW45" s="115"/>
      <c r="AX45" s="115"/>
      <c r="AY45" s="115"/>
    </row>
    <row r="46">
      <c r="A46" s="95">
        <f t="shared" si="10"/>
        <v>4997</v>
      </c>
      <c r="B46" s="96">
        <v>46094.52206167824</v>
      </c>
      <c r="C46" s="97" t="s">
        <v>280</v>
      </c>
      <c r="D46" s="97" t="s">
        <v>207</v>
      </c>
      <c r="E46" s="98" t="s">
        <v>363</v>
      </c>
      <c r="F46" s="98" t="s">
        <v>367</v>
      </c>
      <c r="G46" s="97" t="s">
        <v>211</v>
      </c>
      <c r="H46" s="99" t="s">
        <v>62</v>
      </c>
      <c r="I46" s="100" t="s">
        <v>64</v>
      </c>
      <c r="J46" s="101" t="s">
        <v>206</v>
      </c>
      <c r="K46" s="100"/>
      <c r="L46" s="102" t="s">
        <v>366</v>
      </c>
      <c r="M46" s="103">
        <f>if(B46,if(and(hour(B46+M$7)&gt;9.5,(hour(B46+M$7)&lt;19.5)),B46+M$7,_xlfn.workday.intl(int(B46),1,"0000001",Holidays!A:A)+hour(B46+M$7-$B$1)/24+minute(B46)/1440),"")</f>
        <v>46094.68873</v>
      </c>
      <c r="N46" s="104">
        <v>46094.56219699074</v>
      </c>
      <c r="O46" s="105" t="s">
        <v>14</v>
      </c>
      <c r="P46" s="106">
        <f t="shared" si="1"/>
        <v>0</v>
      </c>
      <c r="Q46" s="107" t="s">
        <v>72</v>
      </c>
      <c r="R46" s="108" t="s">
        <v>434</v>
      </c>
      <c r="S46" s="103">
        <f>if(M46,if(and(hour(M46+S$7)&gt;9.5,(hour(M46+S$7)&lt;19.5)),M46+S$7,_xlfn.workday.intl(int(M46),1,"0000001",Holidays!A:A)+hour(M46+S$7-$B$1)/24+minute(M46)/1440),"")</f>
        <v>46094.69567</v>
      </c>
      <c r="T46" s="104">
        <v>46094.56230341435</v>
      </c>
      <c r="U46" s="105" t="s">
        <v>14</v>
      </c>
      <c r="V46" s="109">
        <f t="shared" si="2"/>
        <v>0</v>
      </c>
      <c r="W46" s="110" t="str">
        <f t="shared" si="3"/>
        <v>EMP5009 Rup Kumar Mandal</v>
      </c>
      <c r="X46" s="103">
        <f>if(S46,if(and(hour(S46+X$7)&gt;9.5,(hour(S46+X$7)&lt;19.5)),S46+X$7,_xlfn.workday.intl(int(S46),1,"0000001",Holidays!A:A)+hour(S46+X$7-$B$1)/24+minute(S46)/1440),"")</f>
        <v>46094.79984</v>
      </c>
      <c r="Y46" s="104">
        <v>46094.56233538194</v>
      </c>
      <c r="Z46" s="105" t="s">
        <v>14</v>
      </c>
      <c r="AA46" s="111">
        <f t="shared" si="4"/>
        <v>0</v>
      </c>
      <c r="AB46" s="110" t="str">
        <f t="shared" si="5"/>
        <v>EMP5009 Rup Kumar Mandal</v>
      </c>
      <c r="AC46" s="103">
        <f>if(X46,_xlfn.WORKDAY.INTL(X46,AC$7,"0000001",Holidays!A:A)+hour(X46)/24+MINUTE(X46)/1440,"")</f>
        <v>46095.79931</v>
      </c>
      <c r="AD46" s="104">
        <v>46094.63549165509</v>
      </c>
      <c r="AE46" s="105" t="s">
        <v>14</v>
      </c>
      <c r="AF46" s="111">
        <f t="shared" si="6"/>
        <v>0</v>
      </c>
      <c r="AG46" s="110" t="str">
        <f t="shared" si="7"/>
        <v>EMP5009 Rup Kumar Mandal</v>
      </c>
      <c r="AH46" s="103">
        <f>if(AC46,if(and(hour(AC46+AH$7)&gt;9.5,(hour(AC46+AH$7)&lt;19.5)),AC46+AH$7,_xlfn.workday.intl(int(AC46),1,"0000001",Holidays!A:A)+hour(AC46+AH$7-$B$1)/24+minute(AC46)/1440),"")</f>
        <v>46097.42431</v>
      </c>
      <c r="AI46" s="104">
        <v>46094.635513472225</v>
      </c>
      <c r="AJ46" s="105" t="s">
        <v>14</v>
      </c>
      <c r="AK46" s="111">
        <f t="shared" si="8"/>
        <v>0</v>
      </c>
      <c r="AL46" s="112" t="str">
        <f t="shared" si="9"/>
        <v>EMP5009 Rup Kumar Mandal</v>
      </c>
      <c r="AM46" s="113"/>
      <c r="AN46" s="114" t="s">
        <v>672</v>
      </c>
      <c r="AO46" s="115"/>
      <c r="AP46" s="115"/>
      <c r="AQ46" s="115"/>
      <c r="AR46" s="115"/>
      <c r="AS46" s="115"/>
      <c r="AT46" s="115"/>
      <c r="AU46" s="115"/>
      <c r="AV46" s="115"/>
      <c r="AW46" s="115"/>
      <c r="AX46" s="115"/>
      <c r="AY46" s="115"/>
    </row>
    <row r="47">
      <c r="A47" s="95">
        <f t="shared" si="10"/>
        <v>4998</v>
      </c>
      <c r="B47" s="96">
        <v>46094.52405418982</v>
      </c>
      <c r="C47" s="97" t="s">
        <v>284</v>
      </c>
      <c r="D47" s="97" t="s">
        <v>207</v>
      </c>
      <c r="E47" s="98" t="s">
        <v>369</v>
      </c>
      <c r="F47" s="98" t="s">
        <v>373</v>
      </c>
      <c r="G47" s="97" t="s">
        <v>211</v>
      </c>
      <c r="H47" s="99" t="s">
        <v>62</v>
      </c>
      <c r="I47" s="100" t="s">
        <v>64</v>
      </c>
      <c r="J47" s="101" t="s">
        <v>206</v>
      </c>
      <c r="K47" s="100"/>
      <c r="L47" s="102" t="s">
        <v>372</v>
      </c>
      <c r="M47" s="103">
        <f>if(B47,if(and(hour(B47+M$7)&gt;9.5,(hour(B47+M$7)&lt;19.5)),B47+M$7,_xlfn.workday.intl(int(B47),1,"0000001",Holidays!A:A)+hour(B47+M$7-$B$1)/24+minute(B47)/1440),"")</f>
        <v>46094.69072</v>
      </c>
      <c r="N47" s="104">
        <v>46094.562477569445</v>
      </c>
      <c r="O47" s="105" t="s">
        <v>14</v>
      </c>
      <c r="P47" s="106">
        <f t="shared" si="1"/>
        <v>0</v>
      </c>
      <c r="Q47" s="107" t="s">
        <v>48</v>
      </c>
      <c r="R47" s="108" t="s">
        <v>434</v>
      </c>
      <c r="S47" s="103">
        <f>if(M47,if(and(hour(M47+S$7)&gt;9.5,(hour(M47+S$7)&lt;19.5)),M47+S$7,_xlfn.workday.intl(int(M47),1,"0000001",Holidays!A:A)+hour(M47+S$7-$B$1)/24+minute(M47)/1440),"")</f>
        <v>46094.69767</v>
      </c>
      <c r="T47" s="104">
        <v>46094.5626146875</v>
      </c>
      <c r="U47" s="105" t="s">
        <v>14</v>
      </c>
      <c r="V47" s="109">
        <f t="shared" si="2"/>
        <v>0</v>
      </c>
      <c r="W47" s="110" t="str">
        <f t="shared" si="3"/>
        <v>EMP0237 Swarnendu Chakraborty</v>
      </c>
      <c r="X47" s="103">
        <f>if(S47,if(and(hour(S47+X$7)&gt;9.5,(hour(S47+X$7)&lt;19.5)),S47+X$7,_xlfn.workday.intl(int(S47),1,"0000001",Holidays!A:A)+hour(S47+X$7-$B$1)/24+minute(S47)/1440),"")</f>
        <v>46094.80183</v>
      </c>
      <c r="Y47" s="104">
        <v>46094.56265921296</v>
      </c>
      <c r="Z47" s="105" t="s">
        <v>14</v>
      </c>
      <c r="AA47" s="111">
        <f t="shared" si="4"/>
        <v>0</v>
      </c>
      <c r="AB47" s="110" t="str">
        <f t="shared" si="5"/>
        <v>EMP0237 Swarnendu Chakraborty</v>
      </c>
      <c r="AC47" s="118">
        <v>46097.46805555555</v>
      </c>
      <c r="AD47" s="104">
        <v>46095.4448109375</v>
      </c>
      <c r="AE47" s="105" t="s">
        <v>14</v>
      </c>
      <c r="AF47" s="111">
        <f t="shared" si="6"/>
        <v>0</v>
      </c>
      <c r="AG47" s="110" t="str">
        <f t="shared" si="7"/>
        <v>EMP0237 Swarnendu Chakraborty</v>
      </c>
      <c r="AH47" s="103">
        <f>if(AC47,if(and(hour(AC47+AH$7)&gt;9.5,(hour(AC47+AH$7)&lt;19.5)),AC47+AH$7,_xlfn.workday.intl(int(AC47),1,"0000001",Holidays!A:A)+hour(AC47+AH$7-$B$1)/24+minute(AC47)/1440),"")</f>
        <v>46097.50972</v>
      </c>
      <c r="AI47" s="104">
        <v>46095.44500706019</v>
      </c>
      <c r="AJ47" s="105" t="s">
        <v>14</v>
      </c>
      <c r="AK47" s="111">
        <f t="shared" si="8"/>
        <v>0</v>
      </c>
      <c r="AL47" s="112" t="str">
        <f t="shared" si="9"/>
        <v>EMP0237 Swarnendu Chakraborty</v>
      </c>
      <c r="AM47" s="113"/>
      <c r="AN47" s="114" t="s">
        <v>672</v>
      </c>
      <c r="AO47" s="115"/>
      <c r="AP47" s="115"/>
      <c r="AQ47" s="115"/>
      <c r="AR47" s="115"/>
      <c r="AS47" s="115"/>
      <c r="AT47" s="115"/>
      <c r="AU47" s="115"/>
      <c r="AV47" s="115"/>
      <c r="AW47" s="115"/>
      <c r="AX47" s="115"/>
      <c r="AY47" s="115"/>
    </row>
    <row r="48">
      <c r="A48" s="95">
        <f t="shared" si="10"/>
        <v>4999</v>
      </c>
      <c r="B48" s="96">
        <v>46094.668152928236</v>
      </c>
      <c r="C48" s="97" t="s">
        <v>288</v>
      </c>
      <c r="D48" s="97" t="s">
        <v>49</v>
      </c>
      <c r="E48" s="98" t="s">
        <v>376</v>
      </c>
      <c r="F48" s="97"/>
      <c r="G48" s="97" t="s">
        <v>378</v>
      </c>
      <c r="H48" s="99" t="s">
        <v>62</v>
      </c>
      <c r="I48" s="100" t="s">
        <v>64</v>
      </c>
      <c r="J48" s="101" t="s">
        <v>47</v>
      </c>
      <c r="K48" s="100"/>
      <c r="L48" s="102" t="s">
        <v>379</v>
      </c>
      <c r="M48" s="103">
        <f>if(B48,if(and(hour(B48+M$7)&gt;9.5,(hour(B48+M$7)&lt;19.5)),B48+M$7,_xlfn.workday.intl(int(B48),1,"0000001",Holidays!A:A)+hour(B48+M$7-$B$1)/24+minute(B48)/1440),"")</f>
        <v>46095.41806</v>
      </c>
      <c r="N48" s="104">
        <v>46094.69931614584</v>
      </c>
      <c r="O48" s="105" t="s">
        <v>14</v>
      </c>
      <c r="P48" s="106">
        <f t="shared" si="1"/>
        <v>0</v>
      </c>
      <c r="Q48" s="107" t="s">
        <v>15</v>
      </c>
      <c r="R48" s="108" t="s">
        <v>434</v>
      </c>
      <c r="S48" s="103">
        <f>if(M48,if(and(hour(M48+S$7)&gt;9.5,(hour(M48+S$7)&lt;19.5)),M48+S$7,_xlfn.workday.intl(int(M48),1,"0000001",Holidays!A:A)+hour(M48+S$7-$B$1)/24+minute(M48)/1440),"")</f>
        <v>46095.425</v>
      </c>
      <c r="T48" s="104">
        <v>46094.5626146875</v>
      </c>
      <c r="U48" s="105" t="s">
        <v>14</v>
      </c>
      <c r="V48" s="109">
        <f t="shared" si="2"/>
        <v>0</v>
      </c>
      <c r="W48" s="110" t="str">
        <f t="shared" si="3"/>
        <v>EMP0042 HULESHWAR KUMAR SAHU</v>
      </c>
      <c r="X48" s="103">
        <f>if(S48,if(and(hour(S48+X$7)&gt;9.5,(hour(S48+X$7)&lt;19.5)),S48+X$7,_xlfn.workday.intl(int(S48),1,"0000001",Holidays!A:A)+hour(S48+X$7-$B$1)/24+minute(S48)/1440),"")</f>
        <v>46095.52917</v>
      </c>
      <c r="Y48" s="104">
        <v>46094.90819125</v>
      </c>
      <c r="Z48" s="105" t="s">
        <v>14</v>
      </c>
      <c r="AA48" s="111">
        <f t="shared" si="4"/>
        <v>0</v>
      </c>
      <c r="AB48" s="110" t="str">
        <f t="shared" si="5"/>
        <v>EMP0042 HULESHWAR KUMAR SAHU</v>
      </c>
      <c r="AC48" s="103">
        <f>if(X48,_xlfn.WORKDAY.INTL(X48,AC$7,"0000001",Holidays!A:A)+hour(X48)/24+MINUTE(X48)/1440,"")</f>
        <v>46097.52917</v>
      </c>
      <c r="AD48" s="104">
        <v>46097.453925752314</v>
      </c>
      <c r="AE48" s="105" t="s">
        <v>14</v>
      </c>
      <c r="AF48" s="111">
        <f t="shared" si="6"/>
        <v>0</v>
      </c>
      <c r="AG48" s="110" t="str">
        <f t="shared" si="7"/>
        <v>EMP0042 HULESHWAR KUMAR SAHU</v>
      </c>
      <c r="AH48" s="103">
        <f>if(AC48,if(and(hour(AC48+AH$7)&gt;9.5,(hour(AC48+AH$7)&lt;19.5)),AC48+AH$7,_xlfn.workday.intl(int(AC48),1,"0000001",Holidays!A:A)+hour(AC48+AH$7-$B$1)/24+minute(AC48)/1440),"")</f>
        <v>46097.57083</v>
      </c>
      <c r="AI48" s="104">
        <v>46097.454452997685</v>
      </c>
      <c r="AJ48" s="105" t="s">
        <v>14</v>
      </c>
      <c r="AK48" s="111">
        <f t="shared" si="8"/>
        <v>0</v>
      </c>
      <c r="AL48" s="112" t="str">
        <f t="shared" si="9"/>
        <v>EMP0042 HULESHWAR KUMAR SAHU</v>
      </c>
      <c r="AM48" s="113"/>
      <c r="AN48" s="114" t="s">
        <v>672</v>
      </c>
      <c r="AO48" s="115"/>
      <c r="AP48" s="115"/>
      <c r="AQ48" s="115"/>
      <c r="AR48" s="115"/>
      <c r="AS48" s="115"/>
      <c r="AT48" s="115"/>
      <c r="AU48" s="115"/>
      <c r="AV48" s="115"/>
      <c r="AW48" s="115"/>
      <c r="AX48" s="115"/>
      <c r="AY48" s="115"/>
    </row>
    <row r="49">
      <c r="A49" s="95">
        <f t="shared" si="10"/>
        <v>5000</v>
      </c>
      <c r="B49" s="96">
        <v>46094.735009421296</v>
      </c>
      <c r="C49" s="97" t="s">
        <v>355</v>
      </c>
      <c r="D49" s="97" t="s">
        <v>142</v>
      </c>
      <c r="E49" s="98" t="s">
        <v>381</v>
      </c>
      <c r="F49" s="97"/>
      <c r="G49" s="97" t="s">
        <v>146</v>
      </c>
      <c r="H49" s="99" t="s">
        <v>147</v>
      </c>
      <c r="I49" s="100" t="s">
        <v>64</v>
      </c>
      <c r="J49" s="101" t="s">
        <v>141</v>
      </c>
      <c r="K49" s="100"/>
      <c r="L49" s="102" t="s">
        <v>253</v>
      </c>
      <c r="M49" s="103">
        <f>if(B49,if(and(hour(B49+M$7)&gt;9.5,(hour(B49+M$7)&lt;19.5)),B49+M$7,_xlfn.workday.intl(int(B49),1,"0000001",Holidays!A:A)+hour(B49+M$7-$B$1)/24+minute(B49)/1440),"")</f>
        <v>46095.48472</v>
      </c>
      <c r="N49" s="104">
        <v>46094.75612211805</v>
      </c>
      <c r="O49" s="105" t="s">
        <v>14</v>
      </c>
      <c r="P49" s="106">
        <f t="shared" si="1"/>
        <v>0</v>
      </c>
      <c r="Q49" s="107" t="s">
        <v>15</v>
      </c>
      <c r="R49" s="108" t="s">
        <v>434</v>
      </c>
      <c r="S49" s="103">
        <f>if(M49,if(and(hour(M49+S$7)&gt;9.5,(hour(M49+S$7)&lt;19.5)),M49+S$7,_xlfn.workday.intl(int(M49),1,"0000001",Holidays!A:A)+hour(M49+S$7-$B$1)/24+minute(M49)/1440),"")</f>
        <v>46095.49167</v>
      </c>
      <c r="T49" s="104">
        <v>46094.756205428246</v>
      </c>
      <c r="U49" s="105" t="s">
        <v>14</v>
      </c>
      <c r="V49" s="109">
        <f t="shared" si="2"/>
        <v>0</v>
      </c>
      <c r="W49" s="110" t="str">
        <f t="shared" si="3"/>
        <v>EMP0042 HULESHWAR KUMAR SAHU</v>
      </c>
      <c r="X49" s="103">
        <f>if(S49,if(and(hour(S49+X$7)&gt;9.5,(hour(S49+X$7)&lt;19.5)),S49+X$7,_xlfn.workday.intl(int(S49),1,"0000001",Holidays!A:A)+hour(S49+X$7-$B$1)/24+minute(S49)/1440),"")</f>
        <v>46095.59583</v>
      </c>
      <c r="Y49" s="104">
        <v>46094.78348439815</v>
      </c>
      <c r="Z49" s="105" t="s">
        <v>14</v>
      </c>
      <c r="AA49" s="111">
        <f t="shared" si="4"/>
        <v>0</v>
      </c>
      <c r="AB49" s="110" t="str">
        <f t="shared" si="5"/>
        <v>EMP0042 HULESHWAR KUMAR SAHU</v>
      </c>
      <c r="AC49" s="103">
        <f>if(X49,_xlfn.WORKDAY.INTL(X49,AC$7,"0000001",Holidays!A:A)+hour(X49)/24+MINUTE(X49)/1440,"")</f>
        <v>46097.59583</v>
      </c>
      <c r="AD49" s="104">
        <v>46097.45395271991</v>
      </c>
      <c r="AE49" s="105" t="s">
        <v>14</v>
      </c>
      <c r="AF49" s="111">
        <f t="shared" si="6"/>
        <v>0</v>
      </c>
      <c r="AG49" s="110" t="str">
        <f t="shared" si="7"/>
        <v>EMP0042 HULESHWAR KUMAR SAHU</v>
      </c>
      <c r="AH49" s="103">
        <f>if(AC49,if(and(hour(AC49+AH$7)&gt;9.5,(hour(AC49+AH$7)&lt;19.5)),AC49+AH$7,_xlfn.workday.intl(int(AC49),1,"0000001",Holidays!A:A)+hour(AC49+AH$7-$B$1)/24+minute(AC49)/1440),"")</f>
        <v>46097.6375</v>
      </c>
      <c r="AI49" s="104">
        <v>46097.45447790509</v>
      </c>
      <c r="AJ49" s="105" t="s">
        <v>14</v>
      </c>
      <c r="AK49" s="111">
        <f t="shared" si="8"/>
        <v>0</v>
      </c>
      <c r="AL49" s="112" t="str">
        <f t="shared" si="9"/>
        <v>EMP0042 HULESHWAR KUMAR SAHU</v>
      </c>
      <c r="AM49" s="113"/>
      <c r="AN49" s="114" t="s">
        <v>672</v>
      </c>
      <c r="AO49" s="115"/>
      <c r="AP49" s="115"/>
      <c r="AQ49" s="115"/>
      <c r="AR49" s="115"/>
      <c r="AS49" s="115"/>
      <c r="AT49" s="115"/>
      <c r="AU49" s="115"/>
      <c r="AV49" s="115"/>
      <c r="AW49" s="115"/>
      <c r="AX49" s="115"/>
      <c r="AY49" s="115"/>
    </row>
    <row r="50" ht="59.25" customHeight="1">
      <c r="A50" s="95">
        <f t="shared" si="10"/>
        <v>5001</v>
      </c>
      <c r="B50" s="96">
        <v>46095.459754270836</v>
      </c>
      <c r="C50" s="97" t="s">
        <v>296</v>
      </c>
      <c r="D50" s="97" t="s">
        <v>98</v>
      </c>
      <c r="E50" s="98" t="s">
        <v>384</v>
      </c>
      <c r="F50" s="97"/>
      <c r="G50" s="97" t="s">
        <v>296</v>
      </c>
      <c r="H50" s="99" t="s">
        <v>126</v>
      </c>
      <c r="I50" s="100" t="s">
        <v>64</v>
      </c>
      <c r="J50" s="101" t="s">
        <v>97</v>
      </c>
      <c r="K50" s="100"/>
      <c r="L50" s="102" t="s">
        <v>296</v>
      </c>
      <c r="M50" s="103">
        <f>if(B50,if(and(hour(B50+M$7)&gt;9.5,(hour(B50+M$7)&lt;19.5)),B50+M$7,_xlfn.workday.intl(int(B50),1,"0000001",Holidays!A:A)+hour(B50+M$7-$B$1)/24+minute(B50)/1440),"")</f>
        <v>46095.62642</v>
      </c>
      <c r="N50" s="104">
        <v>46095.52237733796</v>
      </c>
      <c r="O50" s="105" t="s">
        <v>14</v>
      </c>
      <c r="P50" s="106">
        <f t="shared" si="1"/>
        <v>0</v>
      </c>
      <c r="Q50" s="107" t="s">
        <v>15</v>
      </c>
      <c r="R50" s="108" t="s">
        <v>434</v>
      </c>
      <c r="S50" s="103">
        <f>if(M50,if(and(hour(M50+S$7)&gt;9.5,(hour(M50+S$7)&lt;19.5)),M50+S$7,_xlfn.workday.intl(int(M50),1,"0000001",Holidays!A:A)+hour(M50+S$7-$B$1)/24+minute(M50)/1440),"")</f>
        <v>46095.63337</v>
      </c>
      <c r="T50" s="104">
        <v>46095.52245181713</v>
      </c>
      <c r="U50" s="105" t="s">
        <v>14</v>
      </c>
      <c r="V50" s="109">
        <f t="shared" si="2"/>
        <v>0</v>
      </c>
      <c r="W50" s="110" t="str">
        <f t="shared" si="3"/>
        <v>EMP0042 HULESHWAR KUMAR SAHU</v>
      </c>
      <c r="X50" s="103">
        <f>if(S50,if(and(hour(S50+X$7)&gt;9.5,(hour(S50+X$7)&lt;19.5)),S50+X$7,_xlfn.workday.intl(int(S50),1,"0000001",Holidays!A:A)+hour(S50+X$7-$B$1)/24+minute(S50)/1440),"")</f>
        <v>46095.73753</v>
      </c>
      <c r="Y50" s="104">
        <v>46095.52257568287</v>
      </c>
      <c r="Z50" s="105" t="s">
        <v>14</v>
      </c>
      <c r="AA50" s="111">
        <f t="shared" si="4"/>
        <v>0</v>
      </c>
      <c r="AB50" s="110" t="str">
        <f t="shared" si="5"/>
        <v>EMP0042 HULESHWAR KUMAR SAHU</v>
      </c>
      <c r="AC50" s="103">
        <f>if(X50,_xlfn.WORKDAY.INTL(X50,AC$7,"0000001",Holidays!A:A)+hour(X50)/24+MINUTE(X50)/1440,"")</f>
        <v>46097.7375</v>
      </c>
      <c r="AD50" s="104">
        <v>46095.537885868056</v>
      </c>
      <c r="AE50" s="105" t="s">
        <v>14</v>
      </c>
      <c r="AF50" s="111">
        <f t="shared" si="6"/>
        <v>0</v>
      </c>
      <c r="AG50" s="110" t="str">
        <f t="shared" si="7"/>
        <v>EMP0042 HULESHWAR KUMAR SAHU</v>
      </c>
      <c r="AH50" s="103">
        <f>if(AC50,if(and(hour(AC50+AH$7)&gt;9.5,(hour(AC50+AH$7)&lt;19.5)),AC50+AH$7,_xlfn.workday.intl(int(AC50),1,"0000001",Holidays!A:A)+hour(AC50+AH$7-$B$1)/24+minute(AC50)/1440),"")</f>
        <v>46097.77917</v>
      </c>
      <c r="AI50" s="104">
        <v>46095.537898078706</v>
      </c>
      <c r="AJ50" s="105" t="s">
        <v>14</v>
      </c>
      <c r="AK50" s="111">
        <f t="shared" si="8"/>
        <v>0</v>
      </c>
      <c r="AL50" s="112" t="str">
        <f t="shared" si="9"/>
        <v>EMP0042 HULESHWAR KUMAR SAHU</v>
      </c>
      <c r="AM50" s="113"/>
      <c r="AN50" s="114" t="s">
        <v>672</v>
      </c>
      <c r="AO50" s="115"/>
      <c r="AP50" s="115"/>
      <c r="AQ50" s="115"/>
      <c r="AR50" s="115"/>
      <c r="AS50" s="115"/>
      <c r="AT50" s="115"/>
      <c r="AU50" s="115"/>
      <c r="AV50" s="115"/>
      <c r="AW50" s="115"/>
      <c r="AX50" s="115"/>
      <c r="AY50" s="115"/>
    </row>
    <row r="51">
      <c r="A51" s="95">
        <f t="shared" si="10"/>
        <v>5002</v>
      </c>
      <c r="B51" s="96">
        <v>46095.614419328704</v>
      </c>
      <c r="C51" s="97" t="s">
        <v>301</v>
      </c>
      <c r="D51" s="97" t="s">
        <v>277</v>
      </c>
      <c r="E51" s="98" t="s">
        <v>387</v>
      </c>
      <c r="F51" s="97"/>
      <c r="G51" s="97" t="s">
        <v>390</v>
      </c>
      <c r="H51" s="99" t="s">
        <v>62</v>
      </c>
      <c r="I51" s="100" t="s">
        <v>64</v>
      </c>
      <c r="J51" s="101" t="s">
        <v>67</v>
      </c>
      <c r="K51" s="100"/>
      <c r="L51" s="102" t="s">
        <v>391</v>
      </c>
      <c r="M51" s="118">
        <v>46097.44775462963</v>
      </c>
      <c r="N51" s="104">
        <v>46097.431970833335</v>
      </c>
      <c r="O51" s="105" t="s">
        <v>14</v>
      </c>
      <c r="P51" s="106">
        <f t="shared" si="1"/>
        <v>0</v>
      </c>
      <c r="Q51" s="107" t="s">
        <v>48</v>
      </c>
      <c r="R51" s="108" t="s">
        <v>434</v>
      </c>
      <c r="S51" s="103">
        <f>if(M51,if(and(hour(M51+S$7)&gt;9.5,(hour(M51+S$7)&lt;19.5)),M51+S$7,_xlfn.workday.intl(int(M51),1,"0000001",Holidays!A:A)+hour(M51+S$7-$B$1)/24+minute(M51)/1440),"")</f>
        <v>46097.4547</v>
      </c>
      <c r="T51" s="104">
        <v>46097.43215983796</v>
      </c>
      <c r="U51" s="105" t="s">
        <v>14</v>
      </c>
      <c r="V51" s="109">
        <f t="shared" si="2"/>
        <v>0</v>
      </c>
      <c r="W51" s="110" t="str">
        <f t="shared" si="3"/>
        <v>EMP0237 Swarnendu Chakraborty</v>
      </c>
      <c r="X51" s="103">
        <f>if(S51,if(and(hour(S51+X$7)&gt;9.5,(hour(S51+X$7)&lt;19.5)),S51+X$7,_xlfn.workday.intl(int(S51),1,"0000001",Holidays!A:A)+hour(S51+X$7-$B$1)/24+minute(S51)/1440),"")</f>
        <v>46097.55887</v>
      </c>
      <c r="Y51" s="104">
        <v>46097.53200424768</v>
      </c>
      <c r="Z51" s="105" t="s">
        <v>14</v>
      </c>
      <c r="AA51" s="111">
        <f t="shared" si="4"/>
        <v>0</v>
      </c>
      <c r="AB51" s="110" t="str">
        <f t="shared" si="5"/>
        <v>EMP0237 Swarnendu Chakraborty</v>
      </c>
      <c r="AC51" s="103">
        <f>if(X51,_xlfn.WORKDAY.INTL(X51,AC$7,"0000001",Holidays!A:A)+hour(X51)/24+MINUTE(X51)/1440,"")</f>
        <v>46098.55833</v>
      </c>
      <c r="AD51" s="104">
        <v>46098.544120370374</v>
      </c>
      <c r="AE51" s="105" t="s">
        <v>14</v>
      </c>
      <c r="AF51" s="111">
        <f t="shared" si="6"/>
        <v>0</v>
      </c>
      <c r="AG51" s="110" t="str">
        <f t="shared" si="7"/>
        <v>EMP0237 Swarnendu Chakraborty</v>
      </c>
      <c r="AH51" s="103">
        <f>if(AC51,if(and(hour(AC51+AH$7)&gt;9.5,(hour(AC51+AH$7)&lt;19.5)),AC51+AH$7,_xlfn.workday.intl(int(AC51),1,"0000001",Holidays!A:A)+hour(AC51+AH$7-$B$1)/24+minute(AC51)/1440),"")</f>
        <v>46098.6</v>
      </c>
      <c r="AI51" s="104">
        <v>46098.54452546296</v>
      </c>
      <c r="AJ51" s="105" t="s">
        <v>14</v>
      </c>
      <c r="AK51" s="111">
        <f t="shared" si="8"/>
        <v>0</v>
      </c>
      <c r="AL51" s="112" t="str">
        <f t="shared" si="9"/>
        <v>EMP0237 Swarnendu Chakraborty</v>
      </c>
      <c r="AM51" s="113"/>
      <c r="AN51" s="114" t="s">
        <v>672</v>
      </c>
      <c r="AO51" s="115"/>
      <c r="AP51" s="115"/>
      <c r="AQ51" s="115"/>
      <c r="AR51" s="115"/>
      <c r="AS51" s="115"/>
      <c r="AT51" s="115"/>
      <c r="AU51" s="115"/>
      <c r="AV51" s="115"/>
      <c r="AW51" s="115"/>
      <c r="AX51" s="115"/>
      <c r="AY51" s="115"/>
    </row>
    <row r="52">
      <c r="A52" s="95">
        <f t="shared" si="10"/>
        <v>5003</v>
      </c>
      <c r="B52" s="96">
        <v>46095.61498640046</v>
      </c>
      <c r="C52" s="97" t="s">
        <v>307</v>
      </c>
      <c r="D52" s="97" t="s">
        <v>277</v>
      </c>
      <c r="E52" s="98" t="s">
        <v>392</v>
      </c>
      <c r="F52" s="97"/>
      <c r="G52" s="97" t="s">
        <v>281</v>
      </c>
      <c r="H52" s="99" t="s">
        <v>62</v>
      </c>
      <c r="I52" s="100" t="s">
        <v>64</v>
      </c>
      <c r="J52" s="101" t="s">
        <v>67</v>
      </c>
      <c r="K52" s="100"/>
      <c r="L52" s="102" t="s">
        <v>391</v>
      </c>
      <c r="M52" s="118">
        <v>46097.44775462963</v>
      </c>
      <c r="N52" s="104">
        <v>46097.4319934375</v>
      </c>
      <c r="O52" s="105" t="s">
        <v>14</v>
      </c>
      <c r="P52" s="106">
        <f t="shared" si="1"/>
        <v>0</v>
      </c>
      <c r="Q52" s="107" t="s">
        <v>48</v>
      </c>
      <c r="R52" s="108" t="s">
        <v>434</v>
      </c>
      <c r="S52" s="103">
        <f>if(M52,if(and(hour(M52+S$7)&gt;9.5,(hour(M52+S$7)&lt;19.5)),M52+S$7,_xlfn.workday.intl(int(M52),1,"0000001",Holidays!A:A)+hour(M52+S$7-$B$1)/24+minute(M52)/1440),"")</f>
        <v>46097.4547</v>
      </c>
      <c r="T52" s="104">
        <v>46097.4321990625</v>
      </c>
      <c r="U52" s="105" t="s">
        <v>14</v>
      </c>
      <c r="V52" s="109">
        <f t="shared" si="2"/>
        <v>0</v>
      </c>
      <c r="W52" s="110" t="str">
        <f t="shared" si="3"/>
        <v>EMP0237 Swarnendu Chakraborty</v>
      </c>
      <c r="X52" s="103">
        <f>if(S52,if(and(hour(S52+X$7)&gt;9.5,(hour(S52+X$7)&lt;19.5)),S52+X$7,_xlfn.workday.intl(int(S52),1,"0000001",Holidays!A:A)+hour(S52+X$7-$B$1)/24+minute(S52)/1440),"")</f>
        <v>46097.55887</v>
      </c>
      <c r="Y52" s="104">
        <v>46097.53202831019</v>
      </c>
      <c r="Z52" s="105" t="s">
        <v>14</v>
      </c>
      <c r="AA52" s="111">
        <f t="shared" si="4"/>
        <v>0</v>
      </c>
      <c r="AB52" s="110" t="str">
        <f t="shared" si="5"/>
        <v>EMP0237 Swarnendu Chakraborty</v>
      </c>
      <c r="AC52" s="103">
        <f>if(X52,_xlfn.WORKDAY.INTL(X52,AC$7,"0000001",Holidays!A:A)+hour(X52)/24+MINUTE(X52)/1440,"")</f>
        <v>46098.55833</v>
      </c>
      <c r="AD52" s="104">
        <v>46098.54417824074</v>
      </c>
      <c r="AE52" s="105" t="s">
        <v>14</v>
      </c>
      <c r="AF52" s="111">
        <f t="shared" si="6"/>
        <v>0</v>
      </c>
      <c r="AG52" s="110" t="str">
        <f t="shared" si="7"/>
        <v>EMP0237 Swarnendu Chakraborty</v>
      </c>
      <c r="AH52" s="103">
        <f>if(AC52,if(and(hour(AC52+AH$7)&gt;9.5,(hour(AC52+AH$7)&lt;19.5)),AC52+AH$7,_xlfn.workday.intl(int(AC52),1,"0000001",Holidays!A:A)+hour(AC52+AH$7-$B$1)/24+minute(AC52)/1440),"")</f>
        <v>46098.6</v>
      </c>
      <c r="AI52" s="104">
        <v>46098.54454861111</v>
      </c>
      <c r="AJ52" s="105" t="s">
        <v>14</v>
      </c>
      <c r="AK52" s="111">
        <f t="shared" si="8"/>
        <v>0</v>
      </c>
      <c r="AL52" s="112" t="str">
        <f t="shared" si="9"/>
        <v>EMP0237 Swarnendu Chakraborty</v>
      </c>
      <c r="AM52" s="113"/>
      <c r="AN52" s="114" t="s">
        <v>672</v>
      </c>
      <c r="AO52" s="115"/>
      <c r="AP52" s="115"/>
      <c r="AQ52" s="115"/>
      <c r="AR52" s="115"/>
      <c r="AS52" s="115"/>
      <c r="AT52" s="115"/>
      <c r="AU52" s="115"/>
      <c r="AV52" s="115"/>
      <c r="AW52" s="115"/>
      <c r="AX52" s="115"/>
      <c r="AY52" s="115"/>
    </row>
    <row r="53">
      <c r="A53" s="95">
        <f t="shared" si="10"/>
        <v>5004</v>
      </c>
      <c r="B53" s="96">
        <v>46097.517408750005</v>
      </c>
      <c r="C53" s="97" t="s">
        <v>313</v>
      </c>
      <c r="D53" s="97" t="s">
        <v>186</v>
      </c>
      <c r="E53" s="98" t="s">
        <v>395</v>
      </c>
      <c r="F53" s="97"/>
      <c r="G53" s="97" t="s">
        <v>398</v>
      </c>
      <c r="H53" s="99" t="s">
        <v>138</v>
      </c>
      <c r="I53" s="100" t="s">
        <v>64</v>
      </c>
      <c r="J53" s="101" t="s">
        <v>394</v>
      </c>
      <c r="K53" s="100"/>
      <c r="L53" s="102" t="s">
        <v>399</v>
      </c>
      <c r="M53" s="103">
        <f>if(B53,if(and(hour(B53+M$7)&gt;9.5,(hour(B53+M$7)&lt;19.5)),B53+M$7,_xlfn.workday.intl(int(B53),1,"0000001",Holidays!A:A)+hour(B53+M$7-$B$1)/24+minute(B53)/1440),"")</f>
        <v>46097.68408</v>
      </c>
      <c r="N53" s="104">
        <v>46097.53585714121</v>
      </c>
      <c r="O53" s="105" t="s">
        <v>14</v>
      </c>
      <c r="P53" s="106">
        <f t="shared" si="1"/>
        <v>0</v>
      </c>
      <c r="Q53" s="107" t="s">
        <v>72</v>
      </c>
      <c r="R53" s="108" t="s">
        <v>434</v>
      </c>
      <c r="S53" s="103">
        <f>if(M53,if(and(hour(M53+S$7)&gt;9.5,(hour(M53+S$7)&lt;19.5)),M53+S$7,_xlfn.workday.intl(int(M53),1,"0000001",Holidays!A:A)+hour(M53+S$7-$B$1)/24+minute(M53)/1440),"")</f>
        <v>46097.69102</v>
      </c>
      <c r="T53" s="104">
        <v>46097.53592241898</v>
      </c>
      <c r="U53" s="105" t="s">
        <v>14</v>
      </c>
      <c r="V53" s="109">
        <f t="shared" si="2"/>
        <v>0</v>
      </c>
      <c r="W53" s="110" t="str">
        <f t="shared" si="3"/>
        <v>EMP5009 Rup Kumar Mandal</v>
      </c>
      <c r="X53" s="103">
        <f>if(S53,if(and(hour(S53+X$7)&gt;9.5,(hour(S53+X$7)&lt;19.5)),S53+X$7,_xlfn.workday.intl(int(S53),1,"0000001",Holidays!A:A)+hour(S53+X$7-$B$1)/24+minute(S53)/1440),"")</f>
        <v>46097.79519</v>
      </c>
      <c r="Y53" s="104">
        <v>46097.53596641203</v>
      </c>
      <c r="Z53" s="105" t="s">
        <v>14</v>
      </c>
      <c r="AA53" s="111">
        <f t="shared" si="4"/>
        <v>0</v>
      </c>
      <c r="AB53" s="110" t="str">
        <f t="shared" si="5"/>
        <v>EMP5009 Rup Kumar Mandal</v>
      </c>
      <c r="AC53" s="103">
        <f>if(X53,_xlfn.WORKDAY.INTL(X53,AC$7,"0000001",Holidays!A:A)+hour(X53)/24+MINUTE(X53)/1440,"")</f>
        <v>46098.79514</v>
      </c>
      <c r="AD53" s="104">
        <v>46097.7616754051</v>
      </c>
      <c r="AE53" s="105" t="s">
        <v>14</v>
      </c>
      <c r="AF53" s="111">
        <f t="shared" si="6"/>
        <v>0</v>
      </c>
      <c r="AG53" s="110" t="str">
        <f t="shared" si="7"/>
        <v>EMP5009 Rup Kumar Mandal</v>
      </c>
      <c r="AH53" s="118">
        <v>46099.461805555555</v>
      </c>
      <c r="AI53" s="104">
        <v>46099.454997719906</v>
      </c>
      <c r="AJ53" s="105" t="s">
        <v>14</v>
      </c>
      <c r="AK53" s="111">
        <f t="shared" si="8"/>
        <v>0</v>
      </c>
      <c r="AL53" s="112" t="str">
        <f t="shared" si="9"/>
        <v>EMP5009 Rup Kumar Mandal</v>
      </c>
      <c r="AM53" s="113"/>
      <c r="AN53" s="114" t="s">
        <v>672</v>
      </c>
      <c r="AO53" s="115"/>
      <c r="AP53" s="115"/>
      <c r="AQ53" s="115"/>
      <c r="AR53" s="115"/>
      <c r="AS53" s="115"/>
      <c r="AT53" s="115"/>
      <c r="AU53" s="115"/>
      <c r="AV53" s="115"/>
      <c r="AW53" s="115"/>
      <c r="AX53" s="115"/>
      <c r="AY53" s="115"/>
    </row>
    <row r="54">
      <c r="A54" s="95">
        <f t="shared" si="10"/>
        <v>5005</v>
      </c>
      <c r="B54" s="96">
        <v>46097.61655346065</v>
      </c>
      <c r="C54" s="97" t="s">
        <v>318</v>
      </c>
      <c r="D54" s="97" t="s">
        <v>400</v>
      </c>
      <c r="E54" s="98" t="s">
        <v>401</v>
      </c>
      <c r="F54" s="98" t="s">
        <v>405</v>
      </c>
      <c r="G54" s="97" t="s">
        <v>211</v>
      </c>
      <c r="H54" s="99" t="s">
        <v>126</v>
      </c>
      <c r="I54" s="100" t="s">
        <v>64</v>
      </c>
      <c r="J54" s="101" t="s">
        <v>206</v>
      </c>
      <c r="K54" s="100"/>
      <c r="L54" s="102" t="s">
        <v>404</v>
      </c>
      <c r="M54" s="103">
        <f>if(B54,if(and(hour(B54+M$7)&gt;9.5,(hour(B54+M$7)&lt;19.5)),B54+M$7,_xlfn.workday.intl(int(B54),1,"0000001",Holidays!A:A)+hour(B54+M$7-$B$1)/24+minute(B54)/1440),"")</f>
        <v>46097.78322</v>
      </c>
      <c r="N54" s="104">
        <v>46097.67546165509</v>
      </c>
      <c r="O54" s="105" t="s">
        <v>14</v>
      </c>
      <c r="P54" s="106">
        <f t="shared" si="1"/>
        <v>0</v>
      </c>
      <c r="Q54" s="107" t="s">
        <v>61</v>
      </c>
      <c r="R54" s="108" t="s">
        <v>434</v>
      </c>
      <c r="S54" s="103">
        <f>if(M54,if(and(hour(M54+S$7)&gt;9.5,(hour(M54+S$7)&lt;19.5)),M54+S$7,_xlfn.workday.intl(int(M54),1,"0000001",Holidays!A:A)+hour(M54+S$7-$B$1)/24+minute(M54)/1440),"")</f>
        <v>46097.79016</v>
      </c>
      <c r="T54" s="104">
        <v>46097.67564994213</v>
      </c>
      <c r="U54" s="105" t="s">
        <v>14</v>
      </c>
      <c r="V54" s="109">
        <f t="shared" si="2"/>
        <v>0</v>
      </c>
      <c r="W54" s="110" t="str">
        <f t="shared" si="3"/>
        <v>EMP0021 Tamanna Dewangan</v>
      </c>
      <c r="X54" s="103">
        <f>if(S54,if(and(hour(S54+X$7)&gt;9.5,(hour(S54+X$7)&lt;19.5)),S54+X$7,_xlfn.workday.intl(int(S54),1,"0000001",Holidays!A:A)+hour(S54+X$7-$B$1)/24+minute(S54)/1440),"")</f>
        <v>46098.49792</v>
      </c>
      <c r="Y54" s="104">
        <v>46097.67577421296</v>
      </c>
      <c r="Z54" s="105" t="s">
        <v>14</v>
      </c>
      <c r="AA54" s="111">
        <f t="shared" si="4"/>
        <v>0</v>
      </c>
      <c r="AB54" s="110" t="str">
        <f t="shared" si="5"/>
        <v>EMP0021 Tamanna Dewangan</v>
      </c>
      <c r="AC54" s="103">
        <f>if(X54,_xlfn.WORKDAY.INTL(X54,AC$7,"0000001",Holidays!A:A)+hour(X54)/24+MINUTE(X54)/1440,"")</f>
        <v>46099.49792</v>
      </c>
      <c r="AD54" s="104">
        <v>46097.761622418984</v>
      </c>
      <c r="AE54" s="105" t="s">
        <v>14</v>
      </c>
      <c r="AF54" s="111">
        <f t="shared" si="6"/>
        <v>0</v>
      </c>
      <c r="AG54" s="110" t="str">
        <f t="shared" si="7"/>
        <v>EMP0021 Tamanna Dewangan</v>
      </c>
      <c r="AH54" s="103">
        <f>if(AC54,if(and(hour(AC54+AH$7)&gt;9.5,(hour(AC54+AH$7)&lt;19.5)),AC54+AH$7,_xlfn.workday.intl(int(AC54),1,"0000001",Holidays!A:A)+hour(AC54+AH$7-$B$1)/24+minute(AC54)/1440),"")</f>
        <v>46099.53958</v>
      </c>
      <c r="AI54" s="104">
        <v>46097.76164246528</v>
      </c>
      <c r="AJ54" s="105" t="s">
        <v>14</v>
      </c>
      <c r="AK54" s="111">
        <f t="shared" si="8"/>
        <v>0</v>
      </c>
      <c r="AL54" s="112" t="str">
        <f t="shared" si="9"/>
        <v>EMP0021 Tamanna Dewangan</v>
      </c>
      <c r="AM54" s="113"/>
      <c r="AN54" s="114" t="s">
        <v>672</v>
      </c>
      <c r="AO54" s="115"/>
      <c r="AP54" s="115"/>
      <c r="AQ54" s="115"/>
      <c r="AR54" s="115"/>
      <c r="AS54" s="115"/>
      <c r="AT54" s="115"/>
      <c r="AU54" s="115"/>
      <c r="AV54" s="115"/>
      <c r="AW54" s="115"/>
      <c r="AX54" s="115"/>
      <c r="AY54" s="115"/>
    </row>
    <row r="55">
      <c r="A55" s="95">
        <f t="shared" si="10"/>
        <v>5006</v>
      </c>
      <c r="B55" s="96">
        <v>46098.72754019676</v>
      </c>
      <c r="C55" s="97" t="s">
        <v>323</v>
      </c>
      <c r="D55" s="97" t="s">
        <v>122</v>
      </c>
      <c r="E55" s="98" t="s">
        <v>408</v>
      </c>
      <c r="F55" s="98" t="s">
        <v>411</v>
      </c>
      <c r="G55" s="97" t="s">
        <v>323</v>
      </c>
      <c r="H55" s="99" t="s">
        <v>147</v>
      </c>
      <c r="I55" s="100" t="s">
        <v>64</v>
      </c>
      <c r="J55" s="101" t="s">
        <v>121</v>
      </c>
      <c r="K55" s="100"/>
      <c r="L55" s="102" t="s">
        <v>175</v>
      </c>
      <c r="M55" s="103">
        <f>if(B55,if(and(hour(B55+M$7)&gt;9.5,(hour(B55+M$7)&lt;19.5)),B55+M$7,_xlfn.workday.intl(int(B55),1,"0000001",Holidays!A:A)+hour(B55+M$7-$B$1)/24+minute(B55)/1440),"")</f>
        <v>46099.47708</v>
      </c>
      <c r="N55" s="104">
        <v>46098.78930740741</v>
      </c>
      <c r="O55" s="105" t="s">
        <v>14</v>
      </c>
      <c r="P55" s="106">
        <f t="shared" si="1"/>
        <v>0</v>
      </c>
      <c r="Q55" s="107" t="s">
        <v>15</v>
      </c>
      <c r="R55" s="108" t="s">
        <v>434</v>
      </c>
      <c r="S55" s="103">
        <f>if(M55,if(and(hour(M55+S$7)&gt;9.5,(hour(M55+S$7)&lt;19.5)),M55+S$7,_xlfn.workday.intl(int(M55),1,"0000001",Holidays!A:A)+hour(M55+S$7-$B$1)/24+minute(M55)/1440),"")</f>
        <v>46099.48403</v>
      </c>
      <c r="T55" s="104">
        <v>46098.78969723379</v>
      </c>
      <c r="U55" s="105" t="s">
        <v>14</v>
      </c>
      <c r="V55" s="109">
        <f t="shared" si="2"/>
        <v>0</v>
      </c>
      <c r="W55" s="110" t="str">
        <f t="shared" si="3"/>
        <v>EMP0042 HULESHWAR KUMAR SAHU</v>
      </c>
      <c r="X55" s="103">
        <f>if(S55,if(and(hour(S55+X$7)&gt;9.5,(hour(S55+X$7)&lt;19.5)),S55+X$7,_xlfn.workday.intl(int(S55),1,"0000001",Holidays!A:A)+hour(S55+X$7-$B$1)/24+minute(S55)/1440),"")</f>
        <v>46099.58819</v>
      </c>
      <c r="Y55" s="104">
        <v>46099.50877028935</v>
      </c>
      <c r="Z55" s="105" t="s">
        <v>14</v>
      </c>
      <c r="AA55" s="111">
        <f t="shared" si="4"/>
        <v>0</v>
      </c>
      <c r="AB55" s="110" t="str">
        <f t="shared" si="5"/>
        <v>EMP0042 HULESHWAR KUMAR SAHU</v>
      </c>
      <c r="AC55" s="103">
        <f>if(X55,_xlfn.WORKDAY.INTL(X55,AC$7,"0000001",Holidays!A:A)+hour(X55)/24+MINUTE(X55)/1440,"")</f>
        <v>46100.58819</v>
      </c>
      <c r="AD55" s="104">
        <v>46099.50878576389</v>
      </c>
      <c r="AE55" s="105" t="s">
        <v>14</v>
      </c>
      <c r="AF55" s="111">
        <f t="shared" si="6"/>
        <v>0</v>
      </c>
      <c r="AG55" s="110" t="str">
        <f t="shared" si="7"/>
        <v>EMP0042 HULESHWAR KUMAR SAHU</v>
      </c>
      <c r="AH55" s="103">
        <f>if(AC55,if(and(hour(AC55+AH$7)&gt;9.5,(hour(AC55+AH$7)&lt;19.5)),AC55+AH$7,_xlfn.workday.intl(int(AC55),1,"0000001",Holidays!A:A)+hour(AC55+AH$7-$B$1)/24+minute(AC55)/1440),"")</f>
        <v>46100.62986</v>
      </c>
      <c r="AI55" s="104">
        <v>46099.508828564816</v>
      </c>
      <c r="AJ55" s="105" t="s">
        <v>14</v>
      </c>
      <c r="AK55" s="111">
        <f t="shared" si="8"/>
        <v>0</v>
      </c>
      <c r="AL55" s="112" t="str">
        <f t="shared" si="9"/>
        <v>EMP0042 HULESHWAR KUMAR SAHU</v>
      </c>
      <c r="AM55" s="113"/>
      <c r="AN55" s="114" t="s">
        <v>672</v>
      </c>
      <c r="AO55" s="115"/>
      <c r="AP55" s="115"/>
      <c r="AQ55" s="115"/>
      <c r="AR55" s="115"/>
      <c r="AS55" s="115"/>
      <c r="AT55" s="115"/>
      <c r="AU55" s="115"/>
      <c r="AV55" s="115"/>
      <c r="AW55" s="115"/>
      <c r="AX55" s="115"/>
      <c r="AY55" s="115"/>
    </row>
    <row r="56">
      <c r="A56" s="95">
        <f t="shared" si="10"/>
        <v>5007</v>
      </c>
      <c r="B56" s="96">
        <v>46098.729061307866</v>
      </c>
      <c r="C56" s="97" t="s">
        <v>327</v>
      </c>
      <c r="D56" s="97" t="s">
        <v>186</v>
      </c>
      <c r="E56" s="98" t="s">
        <v>414</v>
      </c>
      <c r="F56" s="97"/>
      <c r="G56" s="97" t="s">
        <v>416</v>
      </c>
      <c r="H56" s="99" t="s">
        <v>147</v>
      </c>
      <c r="I56" s="100" t="s">
        <v>64</v>
      </c>
      <c r="J56" s="101" t="s">
        <v>185</v>
      </c>
      <c r="K56" s="100"/>
      <c r="L56" s="102" t="s">
        <v>417</v>
      </c>
      <c r="M56" s="103">
        <f>if(B56,if(and(hour(B56+M$7)&gt;9.5,(hour(B56+M$7)&lt;19.5)),B56+M$7,_xlfn.workday.intl(int(B56),1,"0000001",Holidays!A:A)+hour(B56+M$7-$B$1)/24+minute(B56)/1440),"")</f>
        <v>46099.47847</v>
      </c>
      <c r="N56" s="104">
        <v>46098.78933353009</v>
      </c>
      <c r="O56" s="105" t="s">
        <v>14</v>
      </c>
      <c r="P56" s="106">
        <f t="shared" si="1"/>
        <v>0</v>
      </c>
      <c r="Q56" s="107" t="s">
        <v>15</v>
      </c>
      <c r="R56" s="108" t="s">
        <v>434</v>
      </c>
      <c r="S56" s="103">
        <f>if(M56,if(and(hour(M56+S$7)&gt;9.5,(hour(M56+S$7)&lt;19.5)),M56+S$7,_xlfn.workday.intl(int(M56),1,"0000001",Holidays!A:A)+hour(M56+S$7-$B$1)/24+minute(M56)/1440),"")</f>
        <v>46099.48542</v>
      </c>
      <c r="T56" s="104">
        <v>46098.78972939815</v>
      </c>
      <c r="U56" s="105" t="s">
        <v>14</v>
      </c>
      <c r="V56" s="109">
        <f t="shared" si="2"/>
        <v>0</v>
      </c>
      <c r="W56" s="110" t="str">
        <f t="shared" si="3"/>
        <v>EMP0042 HULESHWAR KUMAR SAHU</v>
      </c>
      <c r="X56" s="103">
        <f>if(S56,if(and(hour(S56+X$7)&gt;9.5,(hour(S56+X$7)&lt;19.5)),S56+X$7,_xlfn.workday.intl(int(S56),1,"0000001",Holidays!A:A)+hour(S56+X$7-$B$1)/24+minute(S56)/1440),"")</f>
        <v>46099.58958</v>
      </c>
      <c r="Y56" s="104">
        <v>46099.570752314816</v>
      </c>
      <c r="Z56" s="105" t="s">
        <v>14</v>
      </c>
      <c r="AA56" s="111">
        <f t="shared" si="4"/>
        <v>0</v>
      </c>
      <c r="AB56" s="110" t="str">
        <f t="shared" si="5"/>
        <v>EMP0042 HULESHWAR KUMAR SAHU</v>
      </c>
      <c r="AC56" s="103">
        <f>if(X56,_xlfn.WORKDAY.INTL(X56,AC$7,"0000001",Holidays!A:A)+hour(X56)/24+MINUTE(X56)/1440,"")</f>
        <v>46100.58958</v>
      </c>
      <c r="AD56" s="104">
        <v>46099.61364273148</v>
      </c>
      <c r="AE56" s="105" t="s">
        <v>14</v>
      </c>
      <c r="AF56" s="111">
        <f t="shared" si="6"/>
        <v>0</v>
      </c>
      <c r="AG56" s="110" t="str">
        <f t="shared" si="7"/>
        <v>EMP0042 HULESHWAR KUMAR SAHU</v>
      </c>
      <c r="AH56" s="103">
        <f>if(AC56,if(and(hour(AC56+AH$7)&gt;9.5,(hour(AC56+AH$7)&lt;19.5)),AC56+AH$7,_xlfn.workday.intl(int(AC56),1,"0000001",Holidays!A:A)+hour(AC56+AH$7-$B$1)/24+minute(AC56)/1440),"")</f>
        <v>46100.63125</v>
      </c>
      <c r="AI56" s="104">
        <v>46099.81590119213</v>
      </c>
      <c r="AJ56" s="105" t="s">
        <v>14</v>
      </c>
      <c r="AK56" s="111">
        <f t="shared" si="8"/>
        <v>0</v>
      </c>
      <c r="AL56" s="112" t="str">
        <f t="shared" si="9"/>
        <v>EMP0042 HULESHWAR KUMAR SAHU</v>
      </c>
      <c r="AM56" s="113"/>
      <c r="AN56" s="114" t="s">
        <v>672</v>
      </c>
      <c r="AO56" s="115"/>
      <c r="AP56" s="115"/>
      <c r="AQ56" s="115"/>
      <c r="AR56" s="115"/>
      <c r="AS56" s="115"/>
      <c r="AT56" s="115"/>
      <c r="AU56" s="115"/>
      <c r="AV56" s="115"/>
      <c r="AW56" s="115"/>
      <c r="AX56" s="115"/>
      <c r="AY56" s="115"/>
    </row>
    <row r="57">
      <c r="A57" s="95">
        <f t="shared" si="10"/>
        <v>5008</v>
      </c>
      <c r="B57" s="96">
        <v>46098.73102717593</v>
      </c>
      <c r="C57" s="97" t="s">
        <v>335</v>
      </c>
      <c r="D57" s="97" t="s">
        <v>122</v>
      </c>
      <c r="E57" s="98" t="s">
        <v>418</v>
      </c>
      <c r="F57" s="98" t="s">
        <v>422</v>
      </c>
      <c r="G57" s="97" t="s">
        <v>335</v>
      </c>
      <c r="H57" s="99" t="s">
        <v>147</v>
      </c>
      <c r="I57" s="100" t="s">
        <v>64</v>
      </c>
      <c r="J57" s="101" t="s">
        <v>121</v>
      </c>
      <c r="K57" s="100"/>
      <c r="L57" s="102" t="s">
        <v>175</v>
      </c>
      <c r="M57" s="103">
        <f>if(B57,if(and(hour(B57+M$7)&gt;9.5,(hour(B57+M$7)&lt;19.5)),B57+M$7,_xlfn.workday.intl(int(B57),1,"0000001",Holidays!A:A)+hour(B57+M$7-$B$1)/24+minute(B57)/1440),"")</f>
        <v>46099.48056</v>
      </c>
      <c r="N57" s="104">
        <v>46098.789339131945</v>
      </c>
      <c r="O57" s="105" t="s">
        <v>14</v>
      </c>
      <c r="P57" s="106">
        <f t="shared" si="1"/>
        <v>0</v>
      </c>
      <c r="Q57" s="107" t="s">
        <v>15</v>
      </c>
      <c r="R57" s="108" t="s">
        <v>434</v>
      </c>
      <c r="S57" s="103">
        <f>if(M57,if(and(hour(M57+S$7)&gt;9.5,(hour(M57+S$7)&lt;19.5)),M57+S$7,_xlfn.workday.intl(int(M57),1,"0000001",Holidays!A:A)+hour(M57+S$7-$B$1)/24+minute(M57)/1440),"")</f>
        <v>46099.4875</v>
      </c>
      <c r="T57" s="104">
        <v>46098.7897272338</v>
      </c>
      <c r="U57" s="105" t="s">
        <v>14</v>
      </c>
      <c r="V57" s="109">
        <f t="shared" si="2"/>
        <v>0</v>
      </c>
      <c r="W57" s="110" t="str">
        <f t="shared" si="3"/>
        <v>EMP0042 HULESHWAR KUMAR SAHU</v>
      </c>
      <c r="X57" s="103">
        <f>if(S57,if(and(hour(S57+X$7)&gt;9.5,(hour(S57+X$7)&lt;19.5)),S57+X$7,_xlfn.workday.intl(int(S57),1,"0000001",Holidays!A:A)+hour(S57+X$7-$B$1)/24+minute(S57)/1440),"")</f>
        <v>46099.59167</v>
      </c>
      <c r="Y57" s="104">
        <v>46099.57078703704</v>
      </c>
      <c r="Z57" s="105" t="s">
        <v>14</v>
      </c>
      <c r="AA57" s="111">
        <f t="shared" si="4"/>
        <v>0</v>
      </c>
      <c r="AB57" s="110" t="str">
        <f t="shared" si="5"/>
        <v>EMP0042 HULESHWAR KUMAR SAHU</v>
      </c>
      <c r="AC57" s="103">
        <f>if(X57,_xlfn.WORKDAY.INTL(X57,AC$7,"0000001",Holidays!A:A)+hour(X57)/24+MINUTE(X57)/1440,"")</f>
        <v>46100.59167</v>
      </c>
      <c r="AD57" s="104">
        <v>46100.46376179398</v>
      </c>
      <c r="AE57" s="105" t="s">
        <v>14</v>
      </c>
      <c r="AF57" s="111">
        <f t="shared" si="6"/>
        <v>0</v>
      </c>
      <c r="AG57" s="110" t="str">
        <f t="shared" si="7"/>
        <v>EMP0042 HULESHWAR KUMAR SAHU</v>
      </c>
      <c r="AH57" s="103">
        <f>if(AC57,if(and(hour(AC57+AH$7)&gt;9.5,(hour(AC57+AH$7)&lt;19.5)),AC57+AH$7,_xlfn.workday.intl(int(AC57),1,"0000001",Holidays!A:A)+hour(AC57+AH$7-$B$1)/24+minute(AC57)/1440),"")</f>
        <v>46100.63333</v>
      </c>
      <c r="AI57" s="104">
        <v>46100.62058927084</v>
      </c>
      <c r="AJ57" s="105" t="s">
        <v>14</v>
      </c>
      <c r="AK57" s="111">
        <f t="shared" si="8"/>
        <v>0</v>
      </c>
      <c r="AL57" s="112" t="str">
        <f t="shared" si="9"/>
        <v>EMP0042 HULESHWAR KUMAR SAHU</v>
      </c>
      <c r="AM57" s="113"/>
      <c r="AN57" s="114" t="s">
        <v>672</v>
      </c>
      <c r="AO57" s="115"/>
      <c r="AP57" s="115"/>
      <c r="AQ57" s="115"/>
      <c r="AR57" s="115"/>
      <c r="AS57" s="115"/>
      <c r="AT57" s="115"/>
      <c r="AU57" s="115"/>
      <c r="AV57" s="115"/>
      <c r="AW57" s="115"/>
      <c r="AX57" s="115"/>
      <c r="AY57" s="115"/>
    </row>
    <row r="58">
      <c r="A58" s="95">
        <f t="shared" si="10"/>
        <v>5009</v>
      </c>
      <c r="B58" s="96">
        <v>46098.73467518519</v>
      </c>
      <c r="C58" s="97" t="s">
        <v>341</v>
      </c>
      <c r="D58" s="97" t="s">
        <v>170</v>
      </c>
      <c r="E58" s="98" t="s">
        <v>425</v>
      </c>
      <c r="F58" s="98" t="s">
        <v>428</v>
      </c>
      <c r="G58" s="97" t="s">
        <v>341</v>
      </c>
      <c r="H58" s="99" t="s">
        <v>147</v>
      </c>
      <c r="I58" s="100" t="s">
        <v>64</v>
      </c>
      <c r="J58" s="101" t="s">
        <v>121</v>
      </c>
      <c r="K58" s="100"/>
      <c r="L58" s="102" t="s">
        <v>427</v>
      </c>
      <c r="M58" s="103">
        <f>if(B58,if(and(hour(B58+M$7)&gt;9.5,(hour(B58+M$7)&lt;19.5)),B58+M$7,_xlfn.workday.intl(int(B58),1,"0000001",Holidays!A:A)+hour(B58+M$7-$B$1)/24+minute(B58)/1440),"")</f>
        <v>46099.48403</v>
      </c>
      <c r="N58" s="104">
        <v>46098.78936082176</v>
      </c>
      <c r="O58" s="105" t="s">
        <v>14</v>
      </c>
      <c r="P58" s="106">
        <f t="shared" si="1"/>
        <v>0</v>
      </c>
      <c r="Q58" s="107" t="s">
        <v>15</v>
      </c>
      <c r="R58" s="108" t="s">
        <v>434</v>
      </c>
      <c r="S58" s="103">
        <f>if(M58,if(and(hour(M58+S$7)&gt;9.5,(hour(M58+S$7)&lt;19.5)),M58+S$7,_xlfn.workday.intl(int(M58),1,"0000001",Holidays!A:A)+hour(M58+S$7-$B$1)/24+minute(M58)/1440),"")</f>
        <v>46099.49097</v>
      </c>
      <c r="T58" s="104">
        <v>46098.78975244213</v>
      </c>
      <c r="U58" s="105" t="s">
        <v>14</v>
      </c>
      <c r="V58" s="109">
        <f t="shared" si="2"/>
        <v>0</v>
      </c>
      <c r="W58" s="110" t="str">
        <f t="shared" si="3"/>
        <v>EMP0042 HULESHWAR KUMAR SAHU</v>
      </c>
      <c r="X58" s="103">
        <f>if(S58,if(and(hour(S58+X$7)&gt;9.5,(hour(S58+X$7)&lt;19.5)),S58+X$7,_xlfn.workday.intl(int(S58),1,"0000001",Holidays!A:A)+hour(S58+X$7-$B$1)/24+minute(S58)/1440),"")</f>
        <v>46099.59514</v>
      </c>
      <c r="Y58" s="104">
        <v>46099.57079861111</v>
      </c>
      <c r="Z58" s="105" t="s">
        <v>14</v>
      </c>
      <c r="AA58" s="111">
        <f t="shared" si="4"/>
        <v>0</v>
      </c>
      <c r="AB58" s="110" t="str">
        <f t="shared" si="5"/>
        <v>EMP0042 HULESHWAR KUMAR SAHU</v>
      </c>
      <c r="AC58" s="103">
        <f>if(X58,_xlfn.WORKDAY.INTL(X58,AC$7,"0000001",Holidays!A:A)+hour(X58)/24+MINUTE(X58)/1440,"")</f>
        <v>46100.59514</v>
      </c>
      <c r="AD58" s="104">
        <v>46100.46360798611</v>
      </c>
      <c r="AE58" s="105" t="s">
        <v>14</v>
      </c>
      <c r="AF58" s="111">
        <f t="shared" si="6"/>
        <v>0</v>
      </c>
      <c r="AG58" s="110" t="str">
        <f t="shared" si="7"/>
        <v>EMP0042 HULESHWAR KUMAR SAHU</v>
      </c>
      <c r="AH58" s="103">
        <f>if(AC58,if(and(hour(AC58+AH$7)&gt;9.5,(hour(AC58+AH$7)&lt;19.5)),AC58+AH$7,_xlfn.workday.intl(int(AC58),1,"0000001",Holidays!A:A)+hour(AC58+AH$7-$B$1)/24+minute(AC58)/1440),"")</f>
        <v>46100.63681</v>
      </c>
      <c r="AI58" s="104">
        <v>46100.46363236111</v>
      </c>
      <c r="AJ58" s="105" t="s">
        <v>14</v>
      </c>
      <c r="AK58" s="111">
        <f t="shared" si="8"/>
        <v>0</v>
      </c>
      <c r="AL58" s="112" t="str">
        <f t="shared" si="9"/>
        <v>EMP0042 HULESHWAR KUMAR SAHU</v>
      </c>
      <c r="AM58" s="113"/>
      <c r="AN58" s="114" t="s">
        <v>672</v>
      </c>
      <c r="AO58" s="115"/>
      <c r="AP58" s="115"/>
      <c r="AQ58" s="115"/>
      <c r="AR58" s="115"/>
      <c r="AS58" s="115"/>
      <c r="AT58" s="115"/>
      <c r="AU58" s="115"/>
      <c r="AV58" s="115"/>
      <c r="AW58" s="115"/>
      <c r="AX58" s="115"/>
      <c r="AY58" s="115"/>
    </row>
    <row r="59">
      <c r="A59" s="95">
        <f t="shared" si="10"/>
        <v>5010</v>
      </c>
      <c r="B59" s="96">
        <v>46098.73678253472</v>
      </c>
      <c r="C59" s="97" t="s">
        <v>432</v>
      </c>
      <c r="D59" s="97" t="s">
        <v>122</v>
      </c>
      <c r="E59" s="98" t="s">
        <v>431</v>
      </c>
      <c r="F59" s="98" t="s">
        <v>433</v>
      </c>
      <c r="G59" s="97" t="s">
        <v>432</v>
      </c>
      <c r="H59" s="99" t="s">
        <v>147</v>
      </c>
      <c r="I59" s="100" t="s">
        <v>64</v>
      </c>
      <c r="J59" s="101" t="s">
        <v>121</v>
      </c>
      <c r="K59" s="100"/>
      <c r="L59" s="102" t="s">
        <v>175</v>
      </c>
      <c r="M59" s="103">
        <f>if(B59,if(and(hour(B59+M$7)&gt;9.5,(hour(B59+M$7)&lt;19.5)),B59+M$7,_xlfn.workday.intl(int(B59),1,"0000001",Holidays!A:A)+hour(B59+M$7-$B$1)/24+minute(B59)/1440),"")</f>
        <v>46099.48611</v>
      </c>
      <c r="N59" s="104">
        <v>46098.789397546294</v>
      </c>
      <c r="O59" s="105" t="s">
        <v>14</v>
      </c>
      <c r="P59" s="106">
        <f t="shared" si="1"/>
        <v>0</v>
      </c>
      <c r="Q59" s="107" t="s">
        <v>61</v>
      </c>
      <c r="R59" s="108" t="s">
        <v>434</v>
      </c>
      <c r="S59" s="103">
        <f>if(M59,if(and(hour(M59+S$7)&gt;9.5,(hour(M59+S$7)&lt;19.5)),M59+S$7,_xlfn.workday.intl(int(M59),1,"0000001",Holidays!A:A)+hour(M59+S$7-$B$1)/24+minute(M59)/1440),"")</f>
        <v>46099.49306</v>
      </c>
      <c r="T59" s="104">
        <v>46098.789777557875</v>
      </c>
      <c r="U59" s="105" t="s">
        <v>14</v>
      </c>
      <c r="V59" s="109">
        <f t="shared" si="2"/>
        <v>0</v>
      </c>
      <c r="W59" s="110" t="str">
        <f t="shared" si="3"/>
        <v>EMP0021 Tamanna Dewangan</v>
      </c>
      <c r="X59" s="103">
        <f>if(S59,if(and(hour(S59+X$7)&gt;9.5,(hour(S59+X$7)&lt;19.5)),S59+X$7,_xlfn.workday.intl(int(S59),1,"0000001",Holidays!A:A)+hour(S59+X$7-$B$1)/24+minute(S59)/1440),"")</f>
        <v>46099.59722</v>
      </c>
      <c r="Y59" s="104">
        <v>46099.57082175926</v>
      </c>
      <c r="Z59" s="105" t="s">
        <v>14</v>
      </c>
      <c r="AA59" s="111">
        <f t="shared" si="4"/>
        <v>0</v>
      </c>
      <c r="AB59" s="110" t="str">
        <f t="shared" si="5"/>
        <v>EMP0021 Tamanna Dewangan</v>
      </c>
      <c r="AC59" s="103">
        <f>if(X59,_xlfn.WORKDAY.INTL(X59,AC$7,"0000001",Holidays!A:A)+hour(X59)/24+MINUTE(X59)/1440,"")</f>
        <v>46100.59722</v>
      </c>
      <c r="AD59" s="104">
        <v>46099.81146902777</v>
      </c>
      <c r="AE59" s="105" t="s">
        <v>14</v>
      </c>
      <c r="AF59" s="111">
        <f t="shared" si="6"/>
        <v>0</v>
      </c>
      <c r="AG59" s="110" t="str">
        <f t="shared" si="7"/>
        <v>EMP0021 Tamanna Dewangan</v>
      </c>
      <c r="AH59" s="103">
        <f>if(AC59,if(and(hour(AC59+AH$7)&gt;9.5,(hour(AC59+AH$7)&lt;19.5)),AC59+AH$7,_xlfn.workday.intl(int(AC59),1,"0000001",Holidays!A:A)+hour(AC59+AH$7-$B$1)/24+minute(AC59)/1440),"")</f>
        <v>46100.63889</v>
      </c>
      <c r="AI59" s="104">
        <v>46099.81148747685</v>
      </c>
      <c r="AJ59" s="105" t="s">
        <v>14</v>
      </c>
      <c r="AK59" s="111">
        <f t="shared" si="8"/>
        <v>0</v>
      </c>
      <c r="AL59" s="112" t="str">
        <f t="shared" si="9"/>
        <v>EMP0021 Tamanna Dewangan</v>
      </c>
      <c r="AM59" s="113"/>
      <c r="AN59" s="114" t="s">
        <v>672</v>
      </c>
      <c r="AO59" s="115"/>
      <c r="AP59" s="115"/>
      <c r="AQ59" s="115"/>
      <c r="AR59" s="115"/>
      <c r="AS59" s="115"/>
      <c r="AT59" s="115"/>
      <c r="AU59" s="115"/>
      <c r="AV59" s="115"/>
      <c r="AW59" s="115"/>
      <c r="AX59" s="115"/>
      <c r="AY59" s="115"/>
    </row>
    <row r="60">
      <c r="A60" s="95">
        <f t="shared" si="10"/>
        <v>5011</v>
      </c>
      <c r="B60" s="96">
        <v>46099.46320467592</v>
      </c>
      <c r="C60" s="97" t="s">
        <v>353</v>
      </c>
      <c r="D60" s="97" t="s">
        <v>438</v>
      </c>
      <c r="E60" s="98" t="s">
        <v>439</v>
      </c>
      <c r="F60" s="97"/>
      <c r="G60" s="97" t="s">
        <v>354</v>
      </c>
      <c r="H60" s="99" t="s">
        <v>126</v>
      </c>
      <c r="I60" s="100" t="s">
        <v>64</v>
      </c>
      <c r="J60" s="101" t="s">
        <v>437</v>
      </c>
      <c r="K60" s="100"/>
      <c r="L60" s="102" t="s">
        <v>442</v>
      </c>
      <c r="M60" s="103">
        <f>if(B60,if(and(hour(B60+M$7)&gt;9.5,(hour(B60+M$7)&lt;19.5)),B60+M$7,_xlfn.workday.intl(int(B60),1,"0000001",Holidays!A:A)+hour(B60+M$7-$B$1)/24+minute(B60)/1440),"")</f>
        <v>46099.62987</v>
      </c>
      <c r="N60" s="104">
        <v>46099.487293680555</v>
      </c>
      <c r="O60" s="105" t="s">
        <v>14</v>
      </c>
      <c r="P60" s="106">
        <f t="shared" si="1"/>
        <v>0</v>
      </c>
      <c r="Q60" s="107" t="s">
        <v>72</v>
      </c>
      <c r="R60" s="108" t="s">
        <v>434</v>
      </c>
      <c r="S60" s="103">
        <f>if(M60,if(and(hour(M60+S$7)&gt;9.5,(hour(M60+S$7)&lt;19.5)),M60+S$7,_xlfn.workday.intl(int(M60),1,"0000001",Holidays!A:A)+hour(M60+S$7-$B$1)/24+minute(M60)/1440),"")</f>
        <v>46099.63682</v>
      </c>
      <c r="T60" s="104">
        <v>46099.487348449074</v>
      </c>
      <c r="U60" s="105" t="s">
        <v>14</v>
      </c>
      <c r="V60" s="109">
        <f t="shared" si="2"/>
        <v>0</v>
      </c>
      <c r="W60" s="110" t="str">
        <f t="shared" si="3"/>
        <v>EMP5009 Rup Kumar Mandal</v>
      </c>
      <c r="X60" s="103">
        <f>if(S60,if(and(hour(S60+X$7)&gt;9.5,(hour(S60+X$7)&lt;19.5)),S60+X$7,_xlfn.workday.intl(int(S60),1,"0000001",Holidays!A:A)+hour(S60+X$7-$B$1)/24+minute(S60)/1440),"")</f>
        <v>46099.74098</v>
      </c>
      <c r="Y60" s="104">
        <v>46099.487370243056</v>
      </c>
      <c r="Z60" s="105" t="s">
        <v>14</v>
      </c>
      <c r="AA60" s="111">
        <f t="shared" si="4"/>
        <v>0</v>
      </c>
      <c r="AB60" s="110" t="str">
        <f t="shared" si="5"/>
        <v>EMP5009 Rup Kumar Mandal</v>
      </c>
      <c r="AC60" s="103">
        <f>if(X60,_xlfn.WORKDAY.INTL(X60,AC$7,"0000001",Holidays!A:A)+hour(X60)/24+MINUTE(X60)/1440,"")</f>
        <v>46100.74097</v>
      </c>
      <c r="AD60" s="104">
        <v>46099.48740524305</v>
      </c>
      <c r="AE60" s="105" t="s">
        <v>14</v>
      </c>
      <c r="AF60" s="111">
        <f t="shared" si="6"/>
        <v>0</v>
      </c>
      <c r="AG60" s="110" t="str">
        <f t="shared" si="7"/>
        <v>EMP5009 Rup Kumar Mandal</v>
      </c>
      <c r="AH60" s="103">
        <f>if(AC60,if(and(hour(AC60+AH$7)&gt;9.5,(hour(AC60+AH$7)&lt;19.5)),AC60+AH$7,_xlfn.workday.intl(int(AC60),1,"0000001",Holidays!A:A)+hour(AC60+AH$7-$B$1)/24+minute(AC60)/1440),"")</f>
        <v>46100.78264</v>
      </c>
      <c r="AI60" s="104">
        <v>46099.77006976852</v>
      </c>
      <c r="AJ60" s="105" t="s">
        <v>14</v>
      </c>
      <c r="AK60" s="111">
        <f t="shared" si="8"/>
        <v>0</v>
      </c>
      <c r="AL60" s="112" t="str">
        <f t="shared" si="9"/>
        <v>EMP5009 Rup Kumar Mandal</v>
      </c>
      <c r="AM60" s="113"/>
      <c r="AN60" s="114" t="s">
        <v>672</v>
      </c>
      <c r="AO60" s="115"/>
      <c r="AP60" s="115"/>
      <c r="AQ60" s="115"/>
      <c r="AR60" s="115"/>
      <c r="AS60" s="115"/>
      <c r="AT60" s="115"/>
      <c r="AU60" s="115"/>
      <c r="AV60" s="115"/>
      <c r="AW60" s="115"/>
      <c r="AX60" s="115"/>
      <c r="AY60" s="115"/>
    </row>
    <row r="61">
      <c r="A61" s="95">
        <f t="shared" si="10"/>
        <v>5012</v>
      </c>
      <c r="B61" s="96">
        <v>46100.474261828705</v>
      </c>
      <c r="C61" s="97" t="s">
        <v>166</v>
      </c>
      <c r="D61" s="97" t="s">
        <v>142</v>
      </c>
      <c r="E61" s="98" t="s">
        <v>445</v>
      </c>
      <c r="F61" s="97"/>
      <c r="G61" s="97" t="s">
        <v>168</v>
      </c>
      <c r="H61" s="99" t="s">
        <v>62</v>
      </c>
      <c r="I61" s="100" t="s">
        <v>64</v>
      </c>
      <c r="J61" s="101" t="s">
        <v>444</v>
      </c>
      <c r="K61" s="100"/>
      <c r="L61" s="102" t="s">
        <v>448</v>
      </c>
      <c r="M61" s="103">
        <f>if(B61,if(and(hour(B61+M$7)&gt;9.5,(hour(B61+M$7)&lt;19.5)),B61+M$7,_xlfn.workday.intl(int(B61),1,"0000001",Holidays!A:A)+hour(B61+M$7-$B$1)/24+minute(B61)/1440),"")</f>
        <v>46100.64093</v>
      </c>
      <c r="N61" s="104">
        <v>46100.61334966435</v>
      </c>
      <c r="O61" s="105" t="s">
        <v>14</v>
      </c>
      <c r="P61" s="106">
        <f t="shared" si="1"/>
        <v>0</v>
      </c>
      <c r="Q61" s="107" t="s">
        <v>15</v>
      </c>
      <c r="R61" s="108" t="s">
        <v>434</v>
      </c>
      <c r="S61" s="103">
        <f>if(M61,if(and(hour(M61+S$7)&gt;9.5,(hour(M61+S$7)&lt;19.5)),M61+S$7,_xlfn.workday.intl(int(M61),1,"0000001",Holidays!A:A)+hour(M61+S$7-$B$1)/24+minute(M61)/1440),"")</f>
        <v>46100.64787</v>
      </c>
      <c r="T61" s="104">
        <v>46100.61345309028</v>
      </c>
      <c r="U61" s="105" t="s">
        <v>14</v>
      </c>
      <c r="V61" s="109">
        <f t="shared" si="2"/>
        <v>0</v>
      </c>
      <c r="W61" s="110" t="str">
        <f t="shared" si="3"/>
        <v>EMP0042 HULESHWAR KUMAR SAHU</v>
      </c>
      <c r="X61" s="103">
        <f>if(S61,if(and(hour(S61+X$7)&gt;9.5,(hour(S61+X$7)&lt;19.5)),S61+X$7,_xlfn.workday.intl(int(S61),1,"0000001",Holidays!A:A)+hour(S61+X$7-$B$1)/24+minute(S61)/1440),"")</f>
        <v>46100.75204</v>
      </c>
      <c r="Y61" s="104">
        <v>46100.61351962963</v>
      </c>
      <c r="Z61" s="105" t="s">
        <v>14</v>
      </c>
      <c r="AA61" s="111">
        <f t="shared" si="4"/>
        <v>0</v>
      </c>
      <c r="AB61" s="110" t="str">
        <f t="shared" si="5"/>
        <v>EMP0042 HULESHWAR KUMAR SAHU</v>
      </c>
      <c r="AC61" s="103">
        <f>if(X61,_xlfn.WORKDAY.INTL(X61,AC$7,"0000001",Holidays!A:A)+hour(X61)/24+MINUTE(X61)/1440,"")</f>
        <v>46101.75139</v>
      </c>
      <c r="AD61" s="104">
        <v>46100.7723921412</v>
      </c>
      <c r="AE61" s="105" t="s">
        <v>14</v>
      </c>
      <c r="AF61" s="111">
        <f t="shared" si="6"/>
        <v>0</v>
      </c>
      <c r="AG61" s="110" t="str">
        <f t="shared" si="7"/>
        <v>EMP0042 HULESHWAR KUMAR SAHU</v>
      </c>
      <c r="AH61" s="103">
        <f>if(AC61,if(and(hour(AC61+AH$7)&gt;9.5,(hour(AC61+AH$7)&lt;19.5)),AC61+AH$7,_xlfn.workday.intl(int(AC61),1,"0000001",Holidays!A:A)+hour(AC61+AH$7-$B$1)/24+minute(AC61)/1440),"")</f>
        <v>46101.79306</v>
      </c>
      <c r="AI61" s="104">
        <v>46100.77246871528</v>
      </c>
      <c r="AJ61" s="105" t="s">
        <v>14</v>
      </c>
      <c r="AK61" s="111">
        <f t="shared" si="8"/>
        <v>0</v>
      </c>
      <c r="AL61" s="112" t="str">
        <f t="shared" si="9"/>
        <v>EMP0042 HULESHWAR KUMAR SAHU</v>
      </c>
      <c r="AM61" s="113"/>
      <c r="AN61" s="114" t="s">
        <v>672</v>
      </c>
      <c r="AO61" s="115"/>
      <c r="AP61" s="115"/>
      <c r="AQ61" s="115"/>
      <c r="AR61" s="115"/>
      <c r="AS61" s="115"/>
      <c r="AT61" s="115"/>
      <c r="AU61" s="115"/>
      <c r="AV61" s="115"/>
      <c r="AW61" s="115"/>
      <c r="AX61" s="115"/>
      <c r="AY61" s="115"/>
    </row>
    <row r="62">
      <c r="A62" s="95">
        <f t="shared" si="10"/>
        <v>5013</v>
      </c>
      <c r="B62" s="96">
        <v>46100.63334033565</v>
      </c>
      <c r="C62" s="97" t="s">
        <v>365</v>
      </c>
      <c r="D62" s="97" t="s">
        <v>277</v>
      </c>
      <c r="E62" s="98" t="s">
        <v>449</v>
      </c>
      <c r="F62" s="97"/>
      <c r="G62" s="97" t="s">
        <v>75</v>
      </c>
      <c r="H62" s="99" t="s">
        <v>62</v>
      </c>
      <c r="I62" s="100" t="s">
        <v>64</v>
      </c>
      <c r="J62" s="101" t="s">
        <v>67</v>
      </c>
      <c r="K62" s="100"/>
      <c r="L62" s="102" t="s">
        <v>452</v>
      </c>
      <c r="M62" s="103">
        <f>if(B62,if(and(hour(B62+M$7)&gt;9.5,(hour(B62+M$7)&lt;19.5)),B62+M$7,_xlfn.workday.intl(int(B62),1,"0000001",Holidays!A:A)+hour(B62+M$7-$B$1)/24+minute(B62)/1440),"")</f>
        <v>46100.80001</v>
      </c>
      <c r="N62" s="104">
        <v>46100.64535309028</v>
      </c>
      <c r="O62" s="105" t="s">
        <v>14</v>
      </c>
      <c r="P62" s="106">
        <f t="shared" si="1"/>
        <v>0</v>
      </c>
      <c r="Q62" s="107" t="s">
        <v>72</v>
      </c>
      <c r="R62" s="108" t="s">
        <v>434</v>
      </c>
      <c r="S62" s="103">
        <f>if(M62,if(and(hour(M62+S$7)&gt;9.5,(hour(M62+S$7)&lt;19.5)),M62+S$7,_xlfn.workday.intl(int(M62),1,"0000001",Holidays!A:A)+hour(M62+S$7-$B$1)/24+minute(M62)/1440),"")</f>
        <v>46100.80695</v>
      </c>
      <c r="T62" s="104">
        <v>46100.6455369676</v>
      </c>
      <c r="U62" s="105" t="s">
        <v>14</v>
      </c>
      <c r="V62" s="109">
        <f t="shared" si="2"/>
        <v>0</v>
      </c>
      <c r="W62" s="110" t="str">
        <f t="shared" si="3"/>
        <v>EMP5009 Rup Kumar Mandal</v>
      </c>
      <c r="X62" s="103">
        <f>if(S62,if(and(hour(S62+X$7)&gt;9.5,(hour(S62+X$7)&lt;19.5)),S62+X$7,_xlfn.workday.intl(int(S62),1,"0000001",Holidays!A:A)+hour(S62+X$7-$B$1)/24+minute(S62)/1440),"")</f>
        <v>46101.47361</v>
      </c>
      <c r="Y62" s="104">
        <v>46100.64561894676</v>
      </c>
      <c r="Z62" s="105" t="s">
        <v>14</v>
      </c>
      <c r="AA62" s="111">
        <f t="shared" si="4"/>
        <v>0</v>
      </c>
      <c r="AB62" s="110" t="str">
        <f t="shared" si="5"/>
        <v>EMP5009 Rup Kumar Mandal</v>
      </c>
      <c r="AC62" s="103">
        <f>if(X62,_xlfn.WORKDAY.INTL(X62,AC$7,"0000001",Holidays!A:A)+hour(X62)/24+MINUTE(X62)/1440,"")</f>
        <v>46104.47361</v>
      </c>
      <c r="AD62" s="104">
        <v>46100.71864533565</v>
      </c>
      <c r="AE62" s="105" t="s">
        <v>14</v>
      </c>
      <c r="AF62" s="111">
        <f t="shared" si="6"/>
        <v>0</v>
      </c>
      <c r="AG62" s="110" t="str">
        <f t="shared" si="7"/>
        <v>EMP5009 Rup Kumar Mandal</v>
      </c>
      <c r="AH62" s="103">
        <f>if(AC62,if(and(hour(AC62+AH$7)&gt;9.5,(hour(AC62+AH$7)&lt;19.5)),AC62+AH$7,_xlfn.workday.intl(int(AC62),1,"0000001",Holidays!A:A)+hour(AC62+AH$7-$B$1)/24+minute(AC62)/1440),"")</f>
        <v>46104.51528</v>
      </c>
      <c r="AI62" s="104">
        <v>46100.718668229165</v>
      </c>
      <c r="AJ62" s="105" t="s">
        <v>14</v>
      </c>
      <c r="AK62" s="111">
        <f t="shared" si="8"/>
        <v>0</v>
      </c>
      <c r="AL62" s="112" t="str">
        <f t="shared" si="9"/>
        <v>EMP5009 Rup Kumar Mandal</v>
      </c>
      <c r="AM62" s="113"/>
      <c r="AN62" s="114" t="s">
        <v>672</v>
      </c>
      <c r="AO62" s="115"/>
      <c r="AP62" s="115"/>
      <c r="AQ62" s="115"/>
      <c r="AR62" s="115"/>
      <c r="AS62" s="115"/>
      <c r="AT62" s="115"/>
      <c r="AU62" s="115"/>
      <c r="AV62" s="115"/>
      <c r="AW62" s="115"/>
      <c r="AX62" s="115"/>
      <c r="AY62" s="115"/>
    </row>
    <row r="63">
      <c r="A63" s="95">
        <f t="shared" si="10"/>
        <v>5014</v>
      </c>
      <c r="B63" s="96">
        <v>46100.715419687505</v>
      </c>
      <c r="C63" s="97" t="s">
        <v>136</v>
      </c>
      <c r="D63" s="97" t="s">
        <v>215</v>
      </c>
      <c r="E63" s="98" t="s">
        <v>453</v>
      </c>
      <c r="F63" s="97"/>
      <c r="G63" s="97" t="s">
        <v>456</v>
      </c>
      <c r="H63" s="99" t="s">
        <v>62</v>
      </c>
      <c r="I63" s="100" t="s">
        <v>64</v>
      </c>
      <c r="J63" s="101" t="s">
        <v>214</v>
      </c>
      <c r="K63" s="100"/>
      <c r="L63" s="102" t="s">
        <v>457</v>
      </c>
      <c r="M63" s="103">
        <f>if(B63,if(and(hour(B63+M$7)&gt;9.5,(hour(B63+M$7)&lt;19.5)),B63+M$7,_xlfn.workday.intl(int(B63),1,"0000001",Holidays!A:A)+hour(B63+M$7-$B$1)/24+minute(B63)/1440),"")-1</f>
        <v>46100.46528</v>
      </c>
      <c r="N63" s="104">
        <v>46100.459386574075</v>
      </c>
      <c r="O63" s="105" t="s">
        <v>14</v>
      </c>
      <c r="P63" s="106">
        <f t="shared" si="1"/>
        <v>0</v>
      </c>
      <c r="Q63" s="107" t="s">
        <v>15</v>
      </c>
      <c r="R63" s="108" t="s">
        <v>434</v>
      </c>
      <c r="S63" s="103">
        <f>if(M63,if(and(hour(M63+S$7)&gt;9.5,(hour(M63+S$7)&lt;19.5)),M63+S$7,_xlfn.workday.intl(int(M63),1,"0000001",Holidays!A:A)+hour(M63+S$7-$B$1)/24+minute(M63)/1440),"")</f>
        <v>46100.47222</v>
      </c>
      <c r="T63" s="104">
        <v>46100.77139840278</v>
      </c>
      <c r="U63" s="105" t="s">
        <v>14</v>
      </c>
      <c r="V63" s="109">
        <f t="shared" si="2"/>
        <v>0.2991761806</v>
      </c>
      <c r="W63" s="110" t="str">
        <f t="shared" si="3"/>
        <v>EMP0042 HULESHWAR KUMAR SAHU</v>
      </c>
      <c r="X63" s="103">
        <f>if(S63,if(and(hour(S63+X$7)&gt;9.5,(hour(S63+X$7)&lt;19.5)),S63+X$7,_xlfn.workday.intl(int(S63),1,"0000001",Holidays!A:A)+hour(S63+X$7-$B$1)/24+minute(S63)/1440),"")</f>
        <v>46100.57639</v>
      </c>
      <c r="Y63" s="104">
        <v>46100.77142640046</v>
      </c>
      <c r="Z63" s="105" t="s">
        <v>14</v>
      </c>
      <c r="AA63" s="111">
        <f t="shared" si="4"/>
        <v>0.1950375116</v>
      </c>
      <c r="AB63" s="110" t="str">
        <f t="shared" si="5"/>
        <v>EMP0042 HULESHWAR KUMAR SAHU</v>
      </c>
      <c r="AC63" s="103">
        <f>if(X63,_xlfn.WORKDAY.INTL(X63,AC$7,"0000001",Holidays!A:A)+hour(X63)/24+MINUTE(X63)/1440,"")+2</f>
        <v>46103.57639</v>
      </c>
      <c r="AD63" s="104">
        <v>46100.772418900466</v>
      </c>
      <c r="AE63" s="105" t="s">
        <v>14</v>
      </c>
      <c r="AF63" s="111">
        <f t="shared" si="6"/>
        <v>0</v>
      </c>
      <c r="AG63" s="110" t="str">
        <f t="shared" si="7"/>
        <v>EMP0042 HULESHWAR KUMAR SAHU</v>
      </c>
      <c r="AH63" s="103">
        <f>if(AC63,if(and(hour(AC63+AH$7)&gt;9.5,(hour(AC63+AH$7)&lt;19.5)),AC63+AH$7,_xlfn.workday.intl(int(AC63),1,"0000001",Holidays!A:A)+hour(AC63+AH$7-$B$1)/24+minute(AC63)/1440),"")+1</f>
        <v>46104.61806</v>
      </c>
      <c r="AI63" s="104">
        <v>46104.650015266205</v>
      </c>
      <c r="AJ63" s="105" t="s">
        <v>14</v>
      </c>
      <c r="AK63" s="111">
        <f t="shared" si="8"/>
        <v>0.03195971066</v>
      </c>
      <c r="AL63" s="112" t="str">
        <f t="shared" si="9"/>
        <v>EMP0042 HULESHWAR KUMAR SAHU</v>
      </c>
      <c r="AM63" s="113"/>
      <c r="AN63" s="114" t="s">
        <v>672</v>
      </c>
      <c r="AO63" s="115"/>
      <c r="AP63" s="115"/>
      <c r="AQ63" s="115"/>
      <c r="AR63" s="115"/>
      <c r="AS63" s="115"/>
      <c r="AT63" s="115"/>
      <c r="AU63" s="115"/>
      <c r="AV63" s="115"/>
      <c r="AW63" s="115"/>
      <c r="AX63" s="115"/>
      <c r="AY63" s="115"/>
    </row>
    <row r="64">
      <c r="A64" s="95">
        <f t="shared" si="10"/>
        <v>5015</v>
      </c>
      <c r="B64" s="96">
        <v>46101.63194039352</v>
      </c>
      <c r="C64" s="97" t="s">
        <v>371</v>
      </c>
      <c r="D64" s="97" t="s">
        <v>106</v>
      </c>
      <c r="E64" s="98" t="s">
        <v>458</v>
      </c>
      <c r="F64" s="98" t="s">
        <v>462</v>
      </c>
      <c r="G64" s="97" t="s">
        <v>345</v>
      </c>
      <c r="H64" s="99" t="s">
        <v>62</v>
      </c>
      <c r="I64" s="100" t="s">
        <v>64</v>
      </c>
      <c r="J64" s="101" t="s">
        <v>105</v>
      </c>
      <c r="K64" s="100"/>
      <c r="L64" s="102" t="s">
        <v>461</v>
      </c>
      <c r="M64" s="103">
        <f>if(B64,if(and(hour(B64+M$7)&gt;9.5,(hour(B64+M$7)&lt;19.5)),B64+M$7,_xlfn.workday.intl(int(B64),1,"0000001",Holidays!A:A)+hour(B64+M$7-$B$1)/24+minute(B64)/1440),"")</f>
        <v>46101.79861</v>
      </c>
      <c r="N64" s="104">
        <v>46101.63759349537</v>
      </c>
      <c r="O64" s="105" t="s">
        <v>14</v>
      </c>
      <c r="P64" s="106">
        <f t="shared" si="1"/>
        <v>0</v>
      </c>
      <c r="Q64" s="107" t="s">
        <v>61</v>
      </c>
      <c r="R64" s="108" t="s">
        <v>434</v>
      </c>
      <c r="S64" s="103">
        <f>if(M64,if(and(hour(M64+S$7)&gt;9.5,(hour(M64+S$7)&lt;19.5)),M64+S$7,_xlfn.workday.intl(int(M64),1,"0000001",Holidays!A:A)+hour(M64+S$7-$B$1)/24+minute(M64)/1440),"")+1-6/24</f>
        <v>46102.55555</v>
      </c>
      <c r="T64" s="118">
        <v>46101.72222222222</v>
      </c>
      <c r="U64" s="105" t="s">
        <v>14</v>
      </c>
      <c r="V64" s="109">
        <f t="shared" si="2"/>
        <v>0</v>
      </c>
      <c r="W64" s="110" t="str">
        <f t="shared" si="3"/>
        <v>EMP0021 Tamanna Dewangan</v>
      </c>
      <c r="X64" s="103">
        <f>if(S64,if(and(hour(S64+X$7)&gt;9.5,(hour(S64+X$7)&lt;19.5)),S64+X$7,_xlfn.workday.intl(int(S64),1,"0000001",Holidays!A:A)+hour(S64+X$7-$B$1)/24+minute(S64)/1440),"")+2</f>
        <v>46104.65972</v>
      </c>
      <c r="Y64" s="104">
        <v>46104.51040648148</v>
      </c>
      <c r="Z64" s="105" t="s">
        <v>14</v>
      </c>
      <c r="AA64" s="111">
        <f t="shared" si="4"/>
        <v>0</v>
      </c>
      <c r="AB64" s="110" t="str">
        <f t="shared" si="5"/>
        <v>EMP0021 Tamanna Dewangan</v>
      </c>
      <c r="AC64" s="103">
        <f>if(X64,_xlfn.WORKDAY.INTL(X64,AC$7,"0000001",Holidays!A:A)+hour(X64)/24+MINUTE(X64)/1440,"")</f>
        <v>46105.65972</v>
      </c>
      <c r="AD64" s="104">
        <v>46104.65036753472</v>
      </c>
      <c r="AE64" s="105" t="s">
        <v>14</v>
      </c>
      <c r="AF64" s="111">
        <f t="shared" si="6"/>
        <v>0</v>
      </c>
      <c r="AG64" s="110" t="str">
        <f t="shared" si="7"/>
        <v>EMP0021 Tamanna Dewangan</v>
      </c>
      <c r="AH64" s="103">
        <f>if(AC64,if(and(hour(AC64+AH$7)&gt;9.5,(hour(AC64+AH$7)&lt;19.5)),AC64+AH$7,_xlfn.workday.intl(int(AC64),1,"0000001",Holidays!A:A)+hour(AC64+AH$7-$B$1)/24+minute(AC64)/1440),"")</f>
        <v>46105.70139</v>
      </c>
      <c r="AI64" s="104">
        <v>46104.650393055555</v>
      </c>
      <c r="AJ64" s="105" t="s">
        <v>14</v>
      </c>
      <c r="AK64" s="111">
        <f t="shared" si="8"/>
        <v>0</v>
      </c>
      <c r="AL64" s="112" t="str">
        <f t="shared" si="9"/>
        <v>EMP0021 Tamanna Dewangan</v>
      </c>
      <c r="AM64" s="113"/>
      <c r="AN64" s="114" t="s">
        <v>672</v>
      </c>
      <c r="AO64" s="115"/>
      <c r="AP64" s="115"/>
      <c r="AQ64" s="115"/>
      <c r="AR64" s="115"/>
      <c r="AS64" s="115"/>
      <c r="AT64" s="115"/>
      <c r="AU64" s="115"/>
      <c r="AV64" s="115"/>
      <c r="AW64" s="115"/>
      <c r="AX64" s="115"/>
      <c r="AY64" s="115"/>
    </row>
    <row r="65">
      <c r="A65" s="95">
        <f t="shared" si="10"/>
        <v>5016</v>
      </c>
      <c r="B65" s="96">
        <v>46101.73445738426</v>
      </c>
      <c r="C65" s="97" t="s">
        <v>375</v>
      </c>
      <c r="D65" s="97" t="s">
        <v>466</v>
      </c>
      <c r="E65" s="98" t="s">
        <v>467</v>
      </c>
      <c r="F65" s="98" t="s">
        <v>472</v>
      </c>
      <c r="G65" s="97" t="s">
        <v>470</v>
      </c>
      <c r="H65" s="99" t="s">
        <v>126</v>
      </c>
      <c r="I65" s="100" t="s">
        <v>64</v>
      </c>
      <c r="J65" s="101" t="s">
        <v>465</v>
      </c>
      <c r="K65" s="100"/>
      <c r="L65" s="102" t="s">
        <v>471</v>
      </c>
      <c r="M65" s="103">
        <f>if(B65,if(and(hour(B65+M$7)&gt;9.5,(hour(B65+M$7)&lt;19.5)),B65+M$7,_xlfn.workday.intl(int(B65),1,"0000001",Holidays!A:A)+hour(B65+M$7-$B$1)/24+minute(B65)/1440),"")</f>
        <v>46104.48403</v>
      </c>
      <c r="N65" s="104">
        <v>46101.73600091435</v>
      </c>
      <c r="O65" s="105" t="s">
        <v>14</v>
      </c>
      <c r="P65" s="106">
        <f t="shared" si="1"/>
        <v>0</v>
      </c>
      <c r="Q65" s="107" t="s">
        <v>48</v>
      </c>
      <c r="R65" s="108" t="s">
        <v>434</v>
      </c>
      <c r="S65" s="103">
        <f>if(M65,if(and(hour(M65+S$7)&gt;9.5,(hour(M65+S$7)&lt;19.5)),M65+S$7,_xlfn.workday.intl(int(M65),1,"0000001",Holidays!A:A)+hour(M65+S$7-$B$1)/24+minute(M65)/1440),"")</f>
        <v>46104.49097</v>
      </c>
      <c r="T65" s="104">
        <v>46101.7361828588</v>
      </c>
      <c r="U65" s="105" t="s">
        <v>14</v>
      </c>
      <c r="V65" s="109">
        <f t="shared" si="2"/>
        <v>0</v>
      </c>
      <c r="W65" s="110" t="str">
        <f t="shared" si="3"/>
        <v>EMP0237 Swarnendu Chakraborty</v>
      </c>
      <c r="X65" s="103">
        <f>if(S65,if(and(hour(S65+X$7)&gt;9.5,(hour(S65+X$7)&lt;19.5)),S65+X$7,_xlfn.workday.intl(int(S65),1,"0000001",Holidays!A:A)+hour(S65+X$7-$B$1)/24+minute(S65)/1440),"")</f>
        <v>46104.59514</v>
      </c>
      <c r="Y65" s="104">
        <v>46101.73623275463</v>
      </c>
      <c r="Z65" s="105" t="s">
        <v>14</v>
      </c>
      <c r="AA65" s="111">
        <f t="shared" si="4"/>
        <v>0</v>
      </c>
      <c r="AB65" s="110" t="str">
        <f t="shared" si="5"/>
        <v>EMP0237 Swarnendu Chakraborty</v>
      </c>
      <c r="AC65" s="103">
        <f>if(X65,_xlfn.WORKDAY.INTL(X65,AC$7,"0000001",Holidays!A:A)+hour(X65)/24+MINUTE(X65)/1440,"")</f>
        <v>46105.59514</v>
      </c>
      <c r="AD65" s="104">
        <v>46105.4502649537</v>
      </c>
      <c r="AE65" s="105" t="s">
        <v>14</v>
      </c>
      <c r="AF65" s="111">
        <f t="shared" si="6"/>
        <v>0</v>
      </c>
      <c r="AG65" s="110" t="str">
        <f t="shared" si="7"/>
        <v>EMP0237 Swarnendu Chakraborty</v>
      </c>
      <c r="AH65" s="103">
        <f>if(AC65,if(and(hour(AC65+AH$7)&gt;9.5,(hour(AC65+AH$7)&lt;19.5)),AC65+AH$7,_xlfn.workday.intl(int(AC65),1,"0000001",Holidays!A:A)+hour(AC65+AH$7-$B$1)/24+minute(AC65)/1440),"")</f>
        <v>46105.63681</v>
      </c>
      <c r="AI65" s="104">
        <v>46105.45033396991</v>
      </c>
      <c r="AJ65" s="105" t="s">
        <v>14</v>
      </c>
      <c r="AK65" s="111">
        <f t="shared" si="8"/>
        <v>0</v>
      </c>
      <c r="AL65" s="112" t="str">
        <f t="shared" si="9"/>
        <v>EMP0237 Swarnendu Chakraborty</v>
      </c>
      <c r="AM65" s="113"/>
      <c r="AN65" s="114" t="s">
        <v>672</v>
      </c>
      <c r="AO65" s="115"/>
      <c r="AP65" s="115"/>
      <c r="AQ65" s="115"/>
      <c r="AR65" s="115"/>
      <c r="AS65" s="115"/>
      <c r="AT65" s="115"/>
      <c r="AU65" s="115"/>
      <c r="AV65" s="115"/>
      <c r="AW65" s="115"/>
      <c r="AX65" s="115"/>
      <c r="AY65" s="115"/>
    </row>
    <row r="66">
      <c r="A66" s="95">
        <f t="shared" si="10"/>
        <v>5017</v>
      </c>
      <c r="B66" s="96">
        <v>46101.76735212963</v>
      </c>
      <c r="C66" s="97" t="s">
        <v>480</v>
      </c>
      <c r="D66" s="97" t="s">
        <v>186</v>
      </c>
      <c r="E66" s="98" t="s">
        <v>476</v>
      </c>
      <c r="F66" s="97"/>
      <c r="G66" s="97" t="s">
        <v>478</v>
      </c>
      <c r="H66" s="99" t="s">
        <v>103</v>
      </c>
      <c r="I66" s="100" t="s">
        <v>64</v>
      </c>
      <c r="J66" s="101" t="s">
        <v>303</v>
      </c>
      <c r="K66" s="100"/>
      <c r="L66" s="102" t="s">
        <v>479</v>
      </c>
      <c r="M66" s="103">
        <f>if(B66,if(and(hour(B66+M$7)&gt;9.5,(hour(B66+M$7)&lt;19.5)),B66+M$7,_xlfn.workday.intl(int(B66),1,"0000001",Holidays!A:A)+hour(B66+M$7-$B$1)/24+minute(B66)/1440),"")</f>
        <v>46104.51667</v>
      </c>
      <c r="N66" s="104">
        <v>46101.77480398148</v>
      </c>
      <c r="O66" s="105" t="s">
        <v>14</v>
      </c>
      <c r="P66" s="106">
        <f t="shared" si="1"/>
        <v>0</v>
      </c>
      <c r="Q66" s="107" t="s">
        <v>48</v>
      </c>
      <c r="R66" s="108" t="s">
        <v>434</v>
      </c>
      <c r="S66" s="103">
        <f>if(M66,if(and(hour(M66+S$7)&gt;9.5,(hour(M66+S$7)&lt;19.5)),M66+S$7,_xlfn.workday.intl(int(M66),1,"0000001",Holidays!A:A)+hour(M66+S$7-$B$1)/24+minute(M66)/1440),"")</f>
        <v>46104.52361</v>
      </c>
      <c r="T66" s="104">
        <v>46101.77494158565</v>
      </c>
      <c r="U66" s="105" t="s">
        <v>14</v>
      </c>
      <c r="V66" s="109">
        <f t="shared" si="2"/>
        <v>0</v>
      </c>
      <c r="W66" s="110" t="str">
        <f t="shared" si="3"/>
        <v>EMP0237 Swarnendu Chakraborty</v>
      </c>
      <c r="X66" s="103">
        <f>if(S66,if(and(hour(S66+X$7)&gt;9.5,(hour(S66+X$7)&lt;19.5)),S66+X$7,_xlfn.workday.intl(int(S66),1,"0000001",Holidays!A:A)+hour(S66+X$7-$B$1)/24+minute(S66)/1440),"")</f>
        <v>46104.62778</v>
      </c>
      <c r="Y66" s="104">
        <v>46101.77499133102</v>
      </c>
      <c r="Z66" s="105" t="s">
        <v>14</v>
      </c>
      <c r="AA66" s="111">
        <f t="shared" si="4"/>
        <v>0</v>
      </c>
      <c r="AB66" s="110" t="str">
        <f t="shared" si="5"/>
        <v>EMP0237 Swarnendu Chakraborty</v>
      </c>
      <c r="AC66" s="103">
        <f>if(X66,_xlfn.WORKDAY.INTL(X66,AC$7,"0000001",Holidays!A:A)+hour(X66)/24+MINUTE(X66)/1440,"")</f>
        <v>46105.62778</v>
      </c>
      <c r="AD66" s="104">
        <v>46104.68761165509</v>
      </c>
      <c r="AE66" s="105" t="s">
        <v>14</v>
      </c>
      <c r="AF66" s="111">
        <f t="shared" si="6"/>
        <v>0</v>
      </c>
      <c r="AG66" s="110" t="str">
        <f t="shared" si="7"/>
        <v>EMP0237 Swarnendu Chakraborty</v>
      </c>
      <c r="AH66" s="103">
        <f>if(AC66,if(and(hour(AC66+AH$7)&gt;9.5,(hour(AC66+AH$7)&lt;19.5)),AC66+AH$7,_xlfn.workday.intl(int(AC66),1,"0000001",Holidays!A:A)+hour(AC66+AH$7-$B$1)/24+minute(AC66)/1440),"")</f>
        <v>46105.66944</v>
      </c>
      <c r="AI66" s="104">
        <v>46105.450345300924</v>
      </c>
      <c r="AJ66" s="105" t="s">
        <v>14</v>
      </c>
      <c r="AK66" s="111">
        <f t="shared" si="8"/>
        <v>0</v>
      </c>
      <c r="AL66" s="112" t="str">
        <f t="shared" si="9"/>
        <v>EMP0237 Swarnendu Chakraborty</v>
      </c>
      <c r="AM66" s="113"/>
      <c r="AN66" s="114" t="s">
        <v>672</v>
      </c>
      <c r="AO66" s="115"/>
      <c r="AP66" s="115"/>
      <c r="AQ66" s="115"/>
      <c r="AR66" s="115"/>
      <c r="AS66" s="115"/>
      <c r="AT66" s="115"/>
      <c r="AU66" s="115"/>
      <c r="AV66" s="115"/>
      <c r="AW66" s="115"/>
      <c r="AX66" s="115"/>
      <c r="AY66" s="115"/>
    </row>
    <row r="67">
      <c r="A67" s="95">
        <f t="shared" si="10"/>
        <v>5018</v>
      </c>
      <c r="B67" s="96">
        <v>46104.64123443287</v>
      </c>
      <c r="C67" s="97" t="s">
        <v>244</v>
      </c>
      <c r="D67" s="97" t="s">
        <v>186</v>
      </c>
      <c r="E67" s="98" t="s">
        <v>484</v>
      </c>
      <c r="F67" s="97"/>
      <c r="G67" s="97" t="s">
        <v>486</v>
      </c>
      <c r="H67" s="99" t="s">
        <v>147</v>
      </c>
      <c r="I67" s="100" t="s">
        <v>64</v>
      </c>
      <c r="J67" s="101" t="s">
        <v>483</v>
      </c>
      <c r="K67" s="100"/>
      <c r="L67" s="102" t="s">
        <v>487</v>
      </c>
      <c r="M67" s="103">
        <f>if(B67,if(and(hour(B67+M$7)&gt;9.5,(hour(B67+M$7)&lt;19.5)),B67+M$7,_xlfn.workday.intl(int(B67),1,"0000001",Holidays!A:A)+hour(B67+M$7-$B$1)/24+minute(B67)/1440),"")</f>
        <v>46104.8079</v>
      </c>
      <c r="N67" s="104">
        <v>46104.65289509259</v>
      </c>
      <c r="O67" s="105" t="s">
        <v>14</v>
      </c>
      <c r="P67" s="106">
        <f t="shared" si="1"/>
        <v>0</v>
      </c>
      <c r="Q67" s="107" t="s">
        <v>15</v>
      </c>
      <c r="R67" s="108" t="s">
        <v>434</v>
      </c>
      <c r="S67" s="103">
        <f>if(M67,if(and(hour(M67+S$7)&gt;9.5,(hour(M67+S$7)&lt;19.5)),M67+S$7,_xlfn.workday.intl(int(M67),1,"0000001",Holidays!A:A)+hour(M67+S$7-$B$1)/24+minute(M67)/1440),"")</f>
        <v>46104.81485</v>
      </c>
      <c r="T67" s="104">
        <v>46104.65303994213</v>
      </c>
      <c r="U67" s="105" t="s">
        <v>14</v>
      </c>
      <c r="V67" s="109">
        <f t="shared" si="2"/>
        <v>0</v>
      </c>
      <c r="W67" s="110" t="str">
        <f t="shared" si="3"/>
        <v>EMP0042 HULESHWAR KUMAR SAHU</v>
      </c>
      <c r="X67" s="103">
        <f>if(S67,if(and(hour(S67+X$7)&gt;9.5,(hour(S67+X$7)&lt;19.5)),S67+X$7,_xlfn.workday.intl(int(S67),1,"0000001",Holidays!A:A)+hour(S67+X$7-$B$1)/24+minute(S67)/1440),"")</f>
        <v>46105.52292</v>
      </c>
      <c r="Y67" s="104">
        <v>46104.68752009259</v>
      </c>
      <c r="Z67" s="105" t="s">
        <v>14</v>
      </c>
      <c r="AA67" s="111">
        <f t="shared" si="4"/>
        <v>0</v>
      </c>
      <c r="AB67" s="110" t="str">
        <f t="shared" si="5"/>
        <v>EMP0042 HULESHWAR KUMAR SAHU</v>
      </c>
      <c r="AC67" s="103">
        <f>if(X67,_xlfn.WORKDAY.INTL(X67,AC$7,"0000001",Holidays!A:A)+hour(X67)/24+MINUTE(X67)/1440,"")</f>
        <v>46106.52292</v>
      </c>
      <c r="AD67" s="104">
        <v>46104.68758532408</v>
      </c>
      <c r="AE67" s="105" t="s">
        <v>14</v>
      </c>
      <c r="AF67" s="111">
        <f t="shared" si="6"/>
        <v>0</v>
      </c>
      <c r="AG67" s="110" t="str">
        <f t="shared" si="7"/>
        <v>EMP0042 HULESHWAR KUMAR SAHU</v>
      </c>
      <c r="AH67" s="103">
        <f>if(AC67,if(and(hour(AC67+AH$7)&gt;9.5,(hour(AC67+AH$7)&lt;19.5)),AC67+AH$7,_xlfn.workday.intl(int(AC67),1,"0000001",Holidays!A:A)+hour(AC67+AH$7-$B$1)/24+minute(AC67)/1440),"")</f>
        <v>46106.56458</v>
      </c>
      <c r="AI67" s="104">
        <v>46104.73629197916</v>
      </c>
      <c r="AJ67" s="105" t="s">
        <v>14</v>
      </c>
      <c r="AK67" s="111">
        <f t="shared" si="8"/>
        <v>0</v>
      </c>
      <c r="AL67" s="112" t="str">
        <f t="shared" si="9"/>
        <v>EMP0042 HULESHWAR KUMAR SAHU</v>
      </c>
      <c r="AM67" s="113"/>
      <c r="AN67" s="114" t="s">
        <v>672</v>
      </c>
      <c r="AO67" s="115"/>
      <c r="AP67" s="115"/>
      <c r="AQ67" s="115"/>
      <c r="AR67" s="115"/>
      <c r="AS67" s="115"/>
      <c r="AT67" s="115"/>
      <c r="AU67" s="115"/>
      <c r="AV67" s="115"/>
      <c r="AW67" s="115"/>
      <c r="AX67" s="115"/>
      <c r="AY67" s="115"/>
    </row>
    <row r="68">
      <c r="A68" s="95">
        <f t="shared" si="10"/>
        <v>5019</v>
      </c>
      <c r="B68" s="96">
        <v>46104.66277429398</v>
      </c>
      <c r="C68" s="97" t="s">
        <v>383</v>
      </c>
      <c r="D68" s="97" t="s">
        <v>357</v>
      </c>
      <c r="E68" s="98" t="s">
        <v>489</v>
      </c>
      <c r="F68" s="97"/>
      <c r="G68" s="97" t="s">
        <v>491</v>
      </c>
      <c r="H68" s="99" t="s">
        <v>147</v>
      </c>
      <c r="I68" s="100" t="s">
        <v>64</v>
      </c>
      <c r="J68" s="101" t="s">
        <v>488</v>
      </c>
      <c r="K68" s="100"/>
      <c r="L68" s="102" t="s">
        <v>492</v>
      </c>
      <c r="M68" s="103">
        <f>if(B68,if(and(hour(B68+M$7)&gt;9.5,(hour(B68+M$7)&lt;19.5)),B68+M$7,_xlfn.workday.intl(int(B68),1,"0000001",Holidays!A:A)+hour(B68+M$7-$B$1)/24+minute(B68)/1440),"")</f>
        <v>46104.82944</v>
      </c>
      <c r="N68" s="104">
        <v>46104.73405170139</v>
      </c>
      <c r="O68" s="105" t="s">
        <v>14</v>
      </c>
      <c r="P68" s="106">
        <f t="shared" si="1"/>
        <v>0</v>
      </c>
      <c r="Q68" s="107" t="s">
        <v>48</v>
      </c>
      <c r="R68" s="108" t="s">
        <v>434</v>
      </c>
      <c r="S68" s="103">
        <f>if(M68,if(and(hour(M68+S$7)&gt;9.5,(hour(M68+S$7)&lt;19.5)),M68+S$7,_xlfn.workday.intl(int(M68),1,"0000001",Holidays!A:A)+hour(M68+S$7-$B$1)/24+minute(M68)/1440),"")</f>
        <v>46105.45417</v>
      </c>
      <c r="T68" s="104">
        <v>46104.734779618055</v>
      </c>
      <c r="U68" s="105" t="s">
        <v>14</v>
      </c>
      <c r="V68" s="109">
        <f t="shared" si="2"/>
        <v>0</v>
      </c>
      <c r="W68" s="110" t="str">
        <f t="shared" si="3"/>
        <v>EMP0237 Swarnendu Chakraborty</v>
      </c>
      <c r="X68" s="103">
        <f>if(S68,if(and(hour(S68+X$7)&gt;9.5,(hour(S68+X$7)&lt;19.5)),S68+X$7,_xlfn.workday.intl(int(S68),1,"0000001",Holidays!A:A)+hour(S68+X$7-$B$1)/24+minute(S68)/1440),"")</f>
        <v>46105.55833</v>
      </c>
      <c r="Y68" s="104">
        <v>46104.734985358795</v>
      </c>
      <c r="Z68" s="105" t="s">
        <v>14</v>
      </c>
      <c r="AA68" s="111">
        <f t="shared" si="4"/>
        <v>0</v>
      </c>
      <c r="AB68" s="110" t="str">
        <f t="shared" si="5"/>
        <v>EMP0237 Swarnendu Chakraborty</v>
      </c>
      <c r="AC68" s="103">
        <f>if(X68,_xlfn.WORKDAY.INTL(X68,AC$7,"0000001",Holidays!A:A)+hour(X68)/24+MINUTE(X68)/1440,"")</f>
        <v>46106.55833</v>
      </c>
      <c r="AD68" s="104">
        <v>46104.736065150464</v>
      </c>
      <c r="AE68" s="105" t="s">
        <v>14</v>
      </c>
      <c r="AF68" s="111">
        <f t="shared" si="6"/>
        <v>0</v>
      </c>
      <c r="AG68" s="110" t="str">
        <f t="shared" si="7"/>
        <v>EMP0237 Swarnendu Chakraborty</v>
      </c>
      <c r="AH68" s="103">
        <f>if(AC68,if(and(hour(AC68+AH$7)&gt;9.5,(hour(AC68+AH$7)&lt;19.5)),AC68+AH$7,_xlfn.workday.intl(int(AC68),1,"0000001",Holidays!A:A)+hour(AC68+AH$7-$B$1)/24+minute(AC68)/1440),"")</f>
        <v>46106.6</v>
      </c>
      <c r="AI68" s="104">
        <v>46105.69602743056</v>
      </c>
      <c r="AJ68" s="105" t="s">
        <v>14</v>
      </c>
      <c r="AK68" s="111">
        <f t="shared" si="8"/>
        <v>0</v>
      </c>
      <c r="AL68" s="112" t="str">
        <f t="shared" si="9"/>
        <v>EMP0237 Swarnendu Chakraborty</v>
      </c>
      <c r="AM68" s="113"/>
      <c r="AN68" s="114" t="s">
        <v>672</v>
      </c>
      <c r="AO68" s="115"/>
      <c r="AP68" s="115"/>
      <c r="AQ68" s="115"/>
      <c r="AR68" s="115"/>
      <c r="AS68" s="115"/>
      <c r="AT68" s="115"/>
      <c r="AU68" s="115"/>
      <c r="AV68" s="115"/>
      <c r="AW68" s="115"/>
      <c r="AX68" s="115"/>
      <c r="AY68" s="115"/>
    </row>
    <row r="69">
      <c r="A69" s="95">
        <f t="shared" si="10"/>
        <v>5020</v>
      </c>
      <c r="B69" s="96">
        <v>46104.71830611111</v>
      </c>
      <c r="C69" s="97" t="s">
        <v>386</v>
      </c>
      <c r="D69" s="97" t="s">
        <v>277</v>
      </c>
      <c r="E69" s="98" t="s">
        <v>494</v>
      </c>
      <c r="F69" s="97"/>
      <c r="G69" s="97" t="s">
        <v>75</v>
      </c>
      <c r="H69" s="99" t="s">
        <v>62</v>
      </c>
      <c r="I69" s="100" t="s">
        <v>64</v>
      </c>
      <c r="J69" s="101" t="s">
        <v>67</v>
      </c>
      <c r="K69" s="100"/>
      <c r="L69" s="102" t="s">
        <v>496</v>
      </c>
      <c r="M69" s="103">
        <f>if(B69,if(and(hour(B69+M$7)&gt;9.5,(hour(B69+M$7)&lt;19.5)),B69+M$7,_xlfn.workday.intl(int(B69),1,"0000001",Holidays!A:A)+hour(B69+M$7-$B$1)/24+minute(B69)/1440),"")</f>
        <v>46105.46806</v>
      </c>
      <c r="N69" s="104">
        <v>46104.73405434028</v>
      </c>
      <c r="O69" s="105" t="s">
        <v>14</v>
      </c>
      <c r="P69" s="106">
        <f t="shared" si="1"/>
        <v>0</v>
      </c>
      <c r="Q69" s="107" t="s">
        <v>72</v>
      </c>
      <c r="R69" s="108" t="s">
        <v>434</v>
      </c>
      <c r="S69" s="103">
        <f>if(M69,if(and(hour(M69+S$7)&gt;9.5,(hour(M69+S$7)&lt;19.5)),M69+S$7,_xlfn.workday.intl(int(M69),1,"0000001",Holidays!A:A)+hour(M69+S$7-$B$1)/24+minute(M69)/1440),"")</f>
        <v>46105.475</v>
      </c>
      <c r="T69" s="104">
        <v>46104.734886412036</v>
      </c>
      <c r="U69" s="105" t="s">
        <v>14</v>
      </c>
      <c r="V69" s="109">
        <f t="shared" si="2"/>
        <v>0</v>
      </c>
      <c r="W69" s="110" t="str">
        <f t="shared" si="3"/>
        <v>EMP5009 Rup Kumar Mandal</v>
      </c>
      <c r="X69" s="103">
        <f>if(S69,if(and(hour(S69+X$7)&gt;9.5,(hour(S69+X$7)&lt;19.5)),S69+X$7,_xlfn.workday.intl(int(S69),1,"0000001",Holidays!A:A)+hour(S69+X$7-$B$1)/24+minute(S69)/1440),"")</f>
        <v>46105.57917</v>
      </c>
      <c r="Y69" s="104">
        <v>46104.735006539355</v>
      </c>
      <c r="Z69" s="105" t="s">
        <v>14</v>
      </c>
      <c r="AA69" s="111">
        <f t="shared" si="4"/>
        <v>0</v>
      </c>
      <c r="AB69" s="110" t="str">
        <f t="shared" si="5"/>
        <v>EMP5009 Rup Kumar Mandal</v>
      </c>
      <c r="AC69" s="103">
        <f>if(X69,_xlfn.WORKDAY.INTL(X69,AC$7,"0000001",Holidays!A:A)+hour(X69)/24+MINUTE(X69)/1440,"")</f>
        <v>46106.57917</v>
      </c>
      <c r="AD69" s="104">
        <v>46104.73607811343</v>
      </c>
      <c r="AE69" s="105" t="s">
        <v>14</v>
      </c>
      <c r="AF69" s="111">
        <f t="shared" si="6"/>
        <v>0</v>
      </c>
      <c r="AG69" s="110" t="str">
        <f t="shared" si="7"/>
        <v>EMP5009 Rup Kumar Mandal</v>
      </c>
      <c r="AH69" s="103">
        <f>if(AC69,if(and(hour(AC69+AH$7)&gt;9.5,(hour(AC69+AH$7)&lt;19.5)),AC69+AH$7,_xlfn.workday.intl(int(AC69),1,"0000001",Holidays!A:A)+hour(AC69+AH$7-$B$1)/24+minute(AC69)/1440),"")</f>
        <v>46106.62083</v>
      </c>
      <c r="AI69" s="104">
        <v>46106.48459988426</v>
      </c>
      <c r="AJ69" s="105" t="s">
        <v>14</v>
      </c>
      <c r="AK69" s="111">
        <f t="shared" si="8"/>
        <v>0</v>
      </c>
      <c r="AL69" s="112" t="str">
        <f t="shared" si="9"/>
        <v>EMP5009 Rup Kumar Mandal</v>
      </c>
      <c r="AM69" s="113"/>
      <c r="AN69" s="114" t="s">
        <v>672</v>
      </c>
      <c r="AO69" s="115"/>
      <c r="AP69" s="115"/>
      <c r="AQ69" s="115"/>
      <c r="AR69" s="115"/>
      <c r="AS69" s="115"/>
      <c r="AT69" s="115"/>
      <c r="AU69" s="115"/>
      <c r="AV69" s="115"/>
      <c r="AW69" s="115"/>
      <c r="AX69" s="115"/>
      <c r="AY69" s="115"/>
    </row>
    <row r="70">
      <c r="A70" s="95">
        <f t="shared" si="10"/>
        <v>5021</v>
      </c>
      <c r="B70" s="96">
        <v>46105.693644583334</v>
      </c>
      <c r="C70" s="97" t="s">
        <v>389</v>
      </c>
      <c r="D70" s="97" t="s">
        <v>277</v>
      </c>
      <c r="E70" s="98" t="s">
        <v>497</v>
      </c>
      <c r="F70" s="97"/>
      <c r="G70" s="97" t="s">
        <v>75</v>
      </c>
      <c r="H70" s="99" t="s">
        <v>62</v>
      </c>
      <c r="I70" s="100" t="s">
        <v>64</v>
      </c>
      <c r="J70" s="101" t="s">
        <v>67</v>
      </c>
      <c r="K70" s="100"/>
      <c r="L70" s="102" t="s">
        <v>76</v>
      </c>
      <c r="M70" s="103">
        <f>if(B70,if(and(hour(B70+M$7)&gt;9.5,(hour(B70+M$7)&lt;19.5)),B70+M$7,_xlfn.workday.intl(int(B70),1,"0000001",Holidays!A:A)+hour(B70+M$7-$B$1)/24+minute(B70)/1440),"")</f>
        <v>46106.44306</v>
      </c>
      <c r="N70" s="104">
        <v>46105.69577037037</v>
      </c>
      <c r="O70" s="105" t="s">
        <v>14</v>
      </c>
      <c r="P70" s="106">
        <f t="shared" si="1"/>
        <v>0</v>
      </c>
      <c r="Q70" s="107" t="s">
        <v>48</v>
      </c>
      <c r="R70" s="108" t="s">
        <v>434</v>
      </c>
      <c r="S70" s="103">
        <f>if(M70,if(and(hour(M70+S$7)&gt;9.5,(hour(M70+S$7)&lt;19.5)),M70+S$7,_xlfn.workday.intl(int(M70),1,"0000001",Holidays!A:A)+hour(M70+S$7-$B$1)/24+minute(M70)/1440),"")</f>
        <v>46106.45</v>
      </c>
      <c r="T70" s="104">
        <v>46105.695837499996</v>
      </c>
      <c r="U70" s="105" t="s">
        <v>14</v>
      </c>
      <c r="V70" s="109">
        <f t="shared" si="2"/>
        <v>0</v>
      </c>
      <c r="W70" s="110" t="str">
        <f t="shared" si="3"/>
        <v>EMP0237 Swarnendu Chakraborty</v>
      </c>
      <c r="X70" s="103">
        <f>if(S70,if(and(hour(S70+X$7)&gt;9.5,(hour(S70+X$7)&lt;19.5)),S70+X$7,_xlfn.workday.intl(int(S70),1,"0000001",Holidays!A:A)+hour(S70+X$7-$B$1)/24+minute(S70)/1440),"")</f>
        <v>46106.55417</v>
      </c>
      <c r="Y70" s="104">
        <v>46105.77848018518</v>
      </c>
      <c r="Z70" s="105" t="s">
        <v>14</v>
      </c>
      <c r="AA70" s="111">
        <f t="shared" si="4"/>
        <v>0</v>
      </c>
      <c r="AB70" s="110" t="str">
        <f t="shared" si="5"/>
        <v>EMP0237 Swarnendu Chakraborty</v>
      </c>
      <c r="AC70" s="103">
        <f>if(X70,_xlfn.WORKDAY.INTL(X70,AC$7,"0000001",Holidays!A:A)+hour(X70)/24+MINUTE(X70)/1440,"")</f>
        <v>46107.55417</v>
      </c>
      <c r="AD70" s="104">
        <v>46106.52580461805</v>
      </c>
      <c r="AE70" s="105" t="s">
        <v>14</v>
      </c>
      <c r="AF70" s="111">
        <f t="shared" si="6"/>
        <v>0</v>
      </c>
      <c r="AG70" s="110" t="str">
        <f t="shared" si="7"/>
        <v>EMP0237 Swarnendu Chakraborty</v>
      </c>
      <c r="AH70" s="103">
        <f>if(AC70,if(and(hour(AC70+AH$7)&gt;9.5,(hour(AC70+AH$7)&lt;19.5)),AC70+AH$7,_xlfn.workday.intl(int(AC70),1,"0000001",Holidays!A:A)+hour(AC70+AH$7-$B$1)/24+minute(AC70)/1440),"")</f>
        <v>46107.59583</v>
      </c>
      <c r="AI70" s="104">
        <v>46106.662378090274</v>
      </c>
      <c r="AJ70" s="105" t="s">
        <v>14</v>
      </c>
      <c r="AK70" s="111">
        <f t="shared" si="8"/>
        <v>0</v>
      </c>
      <c r="AL70" s="112" t="str">
        <f t="shared" si="9"/>
        <v>EMP0237 Swarnendu Chakraborty</v>
      </c>
      <c r="AM70" s="113"/>
      <c r="AN70" s="114" t="s">
        <v>672</v>
      </c>
      <c r="AO70" s="115"/>
      <c r="AP70" s="115"/>
      <c r="AQ70" s="115"/>
      <c r="AR70" s="115"/>
      <c r="AS70" s="115"/>
      <c r="AT70" s="115"/>
      <c r="AU70" s="115"/>
      <c r="AV70" s="115"/>
      <c r="AW70" s="115"/>
      <c r="AX70" s="115"/>
      <c r="AY70" s="115"/>
    </row>
    <row r="71">
      <c r="A71" s="95">
        <f t="shared" si="10"/>
        <v>5022</v>
      </c>
      <c r="B71" s="96">
        <v>46106.46225028935</v>
      </c>
      <c r="C71" s="97" t="s">
        <v>166</v>
      </c>
      <c r="D71" s="97" t="s">
        <v>142</v>
      </c>
      <c r="E71" s="98" t="s">
        <v>499</v>
      </c>
      <c r="F71" s="97"/>
      <c r="G71" s="97" t="s">
        <v>211</v>
      </c>
      <c r="H71" s="99" t="s">
        <v>138</v>
      </c>
      <c r="I71" s="100" t="s">
        <v>64</v>
      </c>
      <c r="J71" s="101" t="s">
        <v>141</v>
      </c>
      <c r="K71" s="100"/>
      <c r="L71" s="102" t="s">
        <v>501</v>
      </c>
      <c r="M71" s="103">
        <f>if(B71,if(and(hour(B71+M$7)&gt;9.5,(hour(B71+M$7)&lt;19.5)),B71+M$7,_xlfn.workday.intl(int(B71),1,"0000001",Holidays!A:A)+hour(B71+M$7-$B$1)/24+minute(B71)/1440),"")</f>
        <v>46106.62892</v>
      </c>
      <c r="N71" s="104">
        <v>46106.48441631944</v>
      </c>
      <c r="O71" s="105" t="s">
        <v>14</v>
      </c>
      <c r="P71" s="106">
        <f t="shared" si="1"/>
        <v>0</v>
      </c>
      <c r="Q71" s="107" t="s">
        <v>15</v>
      </c>
      <c r="R71" s="108" t="s">
        <v>434</v>
      </c>
      <c r="S71" s="103">
        <f>if(M71,if(and(hour(M71+S$7)&gt;9.5,(hour(M71+S$7)&lt;19.5)),M71+S$7,_xlfn.workday.intl(int(M71),1,"0000001",Holidays!A:A)+hour(M71+S$7-$B$1)/24+minute(M71)/1440),"")</f>
        <v>46106.63586</v>
      </c>
      <c r="T71" s="104">
        <v>46106.484578206015</v>
      </c>
      <c r="U71" s="105" t="s">
        <v>14</v>
      </c>
      <c r="V71" s="109">
        <f t="shared" si="2"/>
        <v>0</v>
      </c>
      <c r="W71" s="110" t="str">
        <f t="shared" si="3"/>
        <v>EMP0042 HULESHWAR KUMAR SAHU</v>
      </c>
      <c r="X71" s="103">
        <f>if(S71,if(and(hour(S71+X$7)&gt;9.5,(hour(S71+X$7)&lt;19.5)),S71+X$7,_xlfn.workday.intl(int(S71),1,"0000001",Holidays!A:A)+hour(S71+X$7-$B$1)/24+minute(S71)/1440),"")</f>
        <v>46106.74003</v>
      </c>
      <c r="Y71" s="104">
        <v>46106.63626108796</v>
      </c>
      <c r="Z71" s="105" t="s">
        <v>14</v>
      </c>
      <c r="AA71" s="111">
        <f t="shared" si="4"/>
        <v>0</v>
      </c>
      <c r="AB71" s="110" t="str">
        <f t="shared" si="5"/>
        <v>EMP0042 HULESHWAR KUMAR SAHU</v>
      </c>
      <c r="AC71" s="103">
        <f>if(X71,_xlfn.WORKDAY.INTL(X71,AC$7,"0000001",Holidays!A:A)+hour(X71)/24+MINUTE(X71)/1440,"")</f>
        <v>46107.73958</v>
      </c>
      <c r="AD71" s="104">
        <v>46106.59655422454</v>
      </c>
      <c r="AE71" s="105" t="s">
        <v>14</v>
      </c>
      <c r="AF71" s="111">
        <f t="shared" si="6"/>
        <v>0</v>
      </c>
      <c r="AG71" s="110" t="str">
        <f t="shared" si="7"/>
        <v>EMP0042 HULESHWAR KUMAR SAHU</v>
      </c>
      <c r="AH71" s="103">
        <f>if(AC71,if(and(hour(AC71+AH$7)&gt;9.5,(hour(AC71+AH$7)&lt;19.5)),AC71+AH$7,_xlfn.workday.intl(int(AC71),1,"0000001",Holidays!A:A)+hour(AC71+AH$7-$B$1)/24+minute(AC71)/1440),"")</f>
        <v>46107.78125</v>
      </c>
      <c r="AI71" s="104">
        <v>46106.59659706018</v>
      </c>
      <c r="AJ71" s="105" t="s">
        <v>14</v>
      </c>
      <c r="AK71" s="111">
        <f t="shared" si="8"/>
        <v>0</v>
      </c>
      <c r="AL71" s="112" t="str">
        <f t="shared" si="9"/>
        <v>EMP0042 HULESHWAR KUMAR SAHU</v>
      </c>
      <c r="AM71" s="113"/>
      <c r="AN71" s="114" t="s">
        <v>672</v>
      </c>
      <c r="AO71" s="115"/>
      <c r="AP71" s="115"/>
      <c r="AQ71" s="115"/>
      <c r="AR71" s="115"/>
      <c r="AS71" s="115"/>
      <c r="AT71" s="115"/>
      <c r="AU71" s="115"/>
      <c r="AV71" s="115"/>
      <c r="AW71" s="115"/>
      <c r="AX71" s="115"/>
      <c r="AY71" s="115"/>
    </row>
    <row r="72">
      <c r="A72" s="95">
        <f t="shared" si="10"/>
        <v>5023</v>
      </c>
      <c r="B72" s="96">
        <v>46106.6323257176</v>
      </c>
      <c r="C72" s="97" t="s">
        <v>397</v>
      </c>
      <c r="D72" s="97" t="s">
        <v>98</v>
      </c>
      <c r="E72" s="98" t="s">
        <v>502</v>
      </c>
      <c r="F72" s="97"/>
      <c r="G72" s="97" t="s">
        <v>397</v>
      </c>
      <c r="H72" s="99" t="s">
        <v>126</v>
      </c>
      <c r="I72" s="100" t="s">
        <v>64</v>
      </c>
      <c r="J72" s="101" t="s">
        <v>97</v>
      </c>
      <c r="K72" s="100"/>
      <c r="L72" s="102" t="s">
        <v>397</v>
      </c>
      <c r="M72" s="103">
        <f>if(B72,if(and(hour(B72+M$7)&gt;9.5,(hour(B72+M$7)&lt;19.5)),B72+M$7,_xlfn.workday.intl(int(B72),1,"0000001",Holidays!A:A)+hour(B72+M$7-$B$1)/24+minute(B72)/1440),"")</f>
        <v>46106.79899</v>
      </c>
      <c r="N72" s="104">
        <v>46106.636062418984</v>
      </c>
      <c r="O72" s="105" t="s">
        <v>14</v>
      </c>
      <c r="P72" s="106">
        <f t="shared" si="1"/>
        <v>0</v>
      </c>
      <c r="Q72" s="107" t="s">
        <v>48</v>
      </c>
      <c r="R72" s="108" t="s">
        <v>434</v>
      </c>
      <c r="S72" s="103">
        <f>if(M72,if(and(hour(M72+S$7)&gt;9.5,(hour(M72+S$7)&lt;19.5)),M72+S$7,_xlfn.workday.intl(int(M72),1,"0000001",Holidays!A:A)+hour(M72+S$7-$B$1)/24+minute(M72)/1440),"")</f>
        <v>46106.80594</v>
      </c>
      <c r="T72" s="104">
        <v>46106.63613226852</v>
      </c>
      <c r="U72" s="105" t="s">
        <v>14</v>
      </c>
      <c r="V72" s="109">
        <f t="shared" si="2"/>
        <v>0</v>
      </c>
      <c r="W72" s="110" t="str">
        <f t="shared" si="3"/>
        <v>EMP0237 Swarnendu Chakraborty</v>
      </c>
      <c r="X72" s="103">
        <f>if(S72,if(and(hour(S72+X$7)&gt;9.5,(hour(S72+X$7)&lt;19.5)),S72+X$7,_xlfn.workday.intl(int(S72),1,"0000001",Holidays!A:A)+hour(S72+X$7-$B$1)/24+minute(S72)/1440),"")</f>
        <v>46107.47222</v>
      </c>
      <c r="Y72" s="104">
        <v>46106.63626108796</v>
      </c>
      <c r="Z72" s="105" t="s">
        <v>14</v>
      </c>
      <c r="AA72" s="111">
        <f t="shared" si="4"/>
        <v>0</v>
      </c>
      <c r="AB72" s="110" t="str">
        <f t="shared" si="5"/>
        <v>EMP0237 Swarnendu Chakraborty</v>
      </c>
      <c r="AC72" s="103">
        <f>if(X72,_xlfn.WORKDAY.INTL(X72,AC$7,"0000001",Holidays!A:A)+hour(X72)/24+MINUTE(X72)/1440,"")</f>
        <v>46108.47222</v>
      </c>
      <c r="AD72" s="104">
        <v>46106.662439884254</v>
      </c>
      <c r="AE72" s="105" t="s">
        <v>14</v>
      </c>
      <c r="AF72" s="111">
        <f t="shared" si="6"/>
        <v>0</v>
      </c>
      <c r="AG72" s="110" t="str">
        <f t="shared" si="7"/>
        <v>EMP0237 Swarnendu Chakraborty</v>
      </c>
      <c r="AH72" s="103">
        <f>if(AC72,if(and(hour(AC72+AH$7)&gt;9.5,(hour(AC72+AH$7)&lt;19.5)),AC72+AH$7,_xlfn.workday.intl(int(AC72),1,"0000001",Holidays!A:A)+hour(AC72+AH$7-$B$1)/24+minute(AC72)/1440),"")</f>
        <v>46108.51389</v>
      </c>
      <c r="AI72" s="104">
        <v>46106.662492986114</v>
      </c>
      <c r="AJ72" s="105" t="s">
        <v>14</v>
      </c>
      <c r="AK72" s="111">
        <f t="shared" si="8"/>
        <v>0</v>
      </c>
      <c r="AL72" s="112" t="str">
        <f t="shared" si="9"/>
        <v>EMP0237 Swarnendu Chakraborty</v>
      </c>
      <c r="AM72" s="113"/>
      <c r="AN72" s="114" t="s">
        <v>672</v>
      </c>
      <c r="AO72" s="115"/>
      <c r="AP72" s="115"/>
      <c r="AQ72" s="115"/>
      <c r="AR72" s="115"/>
      <c r="AS72" s="115"/>
      <c r="AT72" s="115"/>
      <c r="AU72" s="115"/>
      <c r="AV72" s="115"/>
      <c r="AW72" s="115"/>
      <c r="AX72" s="115"/>
      <c r="AY72" s="115"/>
    </row>
    <row r="73">
      <c r="A73" s="95">
        <f t="shared" si="10"/>
        <v>5024</v>
      </c>
      <c r="B73" s="96">
        <v>46106.63661938657</v>
      </c>
      <c r="C73" s="97" t="s">
        <v>511</v>
      </c>
      <c r="D73" s="97" t="s">
        <v>505</v>
      </c>
      <c r="E73" s="98" t="s">
        <v>506</v>
      </c>
      <c r="F73" s="97"/>
      <c r="G73" s="97" t="s">
        <v>509</v>
      </c>
      <c r="H73" s="99" t="s">
        <v>62</v>
      </c>
      <c r="I73" s="100" t="s">
        <v>64</v>
      </c>
      <c r="J73" s="101" t="s">
        <v>504</v>
      </c>
      <c r="K73" s="100"/>
      <c r="L73" s="102" t="s">
        <v>510</v>
      </c>
      <c r="M73" s="103">
        <f>if(B73,if(and(hour(B73+M$7)&gt;9.5,(hour(B73+M$7)&lt;19.5)),B73+M$7,_xlfn.workday.intl(int(B73),1,"0000001",Holidays!A:A)+hour(B73+M$7-$B$1)/24+minute(B73)/1440),"")</f>
        <v>46106.80329</v>
      </c>
      <c r="N73" s="104">
        <v>46106.683892291665</v>
      </c>
      <c r="O73" s="105" t="s">
        <v>14</v>
      </c>
      <c r="P73" s="106">
        <f t="shared" si="1"/>
        <v>0</v>
      </c>
      <c r="Q73" s="107" t="s">
        <v>15</v>
      </c>
      <c r="R73" s="108" t="s">
        <v>434</v>
      </c>
      <c r="S73" s="103">
        <f>if(M73,if(and(hour(M73+S$7)&gt;9.5,(hour(M73+S$7)&lt;19.5)),M73+S$7,_xlfn.workday.intl(int(M73),1,"0000001",Holidays!A:A)+hour(M73+S$7-$B$1)/24+minute(M73)/1440),"")</f>
        <v>46106.81023</v>
      </c>
      <c r="T73" s="104">
        <v>46106.683739050924</v>
      </c>
      <c r="U73" s="105" t="s">
        <v>14</v>
      </c>
      <c r="V73" s="109">
        <f t="shared" si="2"/>
        <v>0</v>
      </c>
      <c r="W73" s="110" t="str">
        <f t="shared" si="3"/>
        <v>EMP0042 HULESHWAR KUMAR SAHU</v>
      </c>
      <c r="X73" s="103">
        <f>if(S73,if(and(hour(S73+X$7)&gt;9.5,(hour(S73+X$7)&lt;19.5)),S73+X$7,_xlfn.workday.intl(int(S73),1,"0000001",Holidays!A:A)+hour(S73+X$7-$B$1)/24+minute(S73)/1440),"")</f>
        <v>46107.47639</v>
      </c>
      <c r="Y73" s="104">
        <v>46106.68379711805</v>
      </c>
      <c r="Z73" s="105" t="s">
        <v>14</v>
      </c>
      <c r="AA73" s="111">
        <f t="shared" si="4"/>
        <v>0</v>
      </c>
      <c r="AB73" s="110" t="str">
        <f t="shared" si="5"/>
        <v>EMP0042 HULESHWAR KUMAR SAHU</v>
      </c>
      <c r="AC73" s="103">
        <f>if(X73,_xlfn.WORKDAY.INTL(X73,AC$7,"0000001",Holidays!A:A)+hour(X73)/24+MINUTE(X73)/1440,"")</f>
        <v>46108.47639</v>
      </c>
      <c r="AD73" s="104">
        <v>46106.75593737268</v>
      </c>
      <c r="AE73" s="105" t="s">
        <v>14</v>
      </c>
      <c r="AF73" s="111">
        <f t="shared" si="6"/>
        <v>0</v>
      </c>
      <c r="AG73" s="110" t="str">
        <f t="shared" si="7"/>
        <v>EMP0042 HULESHWAR KUMAR SAHU</v>
      </c>
      <c r="AH73" s="103">
        <f>if(AC73,if(and(hour(AC73+AH$7)&gt;9.5,(hour(AC73+AH$7)&lt;19.5)),AC73+AH$7,_xlfn.workday.intl(int(AC73),1,"0000001",Holidays!A:A)+hour(AC73+AH$7-$B$1)/24+minute(AC73)/1440),"")</f>
        <v>46108.51806</v>
      </c>
      <c r="AI73" s="104">
        <v>46106.75597939815</v>
      </c>
      <c r="AJ73" s="105" t="s">
        <v>14</v>
      </c>
      <c r="AK73" s="111">
        <f t="shared" si="8"/>
        <v>0</v>
      </c>
      <c r="AL73" s="112" t="str">
        <f t="shared" si="9"/>
        <v>EMP0042 HULESHWAR KUMAR SAHU</v>
      </c>
      <c r="AM73" s="113"/>
      <c r="AN73" s="114" t="s">
        <v>672</v>
      </c>
      <c r="AO73" s="115"/>
      <c r="AP73" s="115"/>
      <c r="AQ73" s="115"/>
      <c r="AR73" s="115"/>
      <c r="AS73" s="115"/>
      <c r="AT73" s="115"/>
      <c r="AU73" s="115"/>
      <c r="AV73" s="115"/>
      <c r="AW73" s="115"/>
      <c r="AX73" s="115"/>
      <c r="AY73" s="115"/>
    </row>
    <row r="74">
      <c r="A74" s="95">
        <f t="shared" si="10"/>
        <v>5025</v>
      </c>
      <c r="B74" s="96">
        <v>46106.71041579861</v>
      </c>
      <c r="C74" s="97" t="s">
        <v>519</v>
      </c>
      <c r="D74" s="97" t="s">
        <v>255</v>
      </c>
      <c r="E74" s="98" t="s">
        <v>514</v>
      </c>
      <c r="F74" s="97"/>
      <c r="G74" s="97" t="s">
        <v>517</v>
      </c>
      <c r="H74" s="99" t="s">
        <v>138</v>
      </c>
      <c r="I74" s="100" t="s">
        <v>64</v>
      </c>
      <c r="J74" s="101" t="s">
        <v>513</v>
      </c>
      <c r="K74" s="100"/>
      <c r="L74" s="102" t="s">
        <v>518</v>
      </c>
      <c r="M74" s="103">
        <f>if(B74,if(and(hour(B74+M$7)&gt;9.5,(hour(B74+M$7)&lt;19.5)),B74+M$7,_xlfn.workday.intl(int(B74),1,"0000001",Holidays!A:A)+hour(B74+M$7-$B$1)/24+minute(B74)/1440),"")</f>
        <v>46107.46042</v>
      </c>
      <c r="N74" s="104">
        <v>46106.75603193287</v>
      </c>
      <c r="O74" s="105" t="s">
        <v>14</v>
      </c>
      <c r="P74" s="106">
        <f t="shared" si="1"/>
        <v>0</v>
      </c>
      <c r="Q74" s="107" t="s">
        <v>72</v>
      </c>
      <c r="R74" s="108" t="s">
        <v>434</v>
      </c>
      <c r="S74" s="103">
        <f>if(M74,if(and(hour(M74+S$7)&gt;9.5,(hour(M74+S$7)&lt;19.5)),M74+S$7,_xlfn.workday.intl(int(M74),1,"0000001",Holidays!A:A)+hour(M74+S$7-$B$1)/24+minute(M74)/1440),"")</f>
        <v>46107.46736</v>
      </c>
      <c r="T74" s="104">
        <v>46106.756232789354</v>
      </c>
      <c r="U74" s="105" t="s">
        <v>14</v>
      </c>
      <c r="V74" s="109">
        <f t="shared" si="2"/>
        <v>0</v>
      </c>
      <c r="W74" s="110" t="str">
        <f t="shared" si="3"/>
        <v>EMP5009 Rup Kumar Mandal</v>
      </c>
      <c r="X74" s="103">
        <f>if(S74,if(and(hour(S74+X$7)&gt;9.5,(hour(S74+X$7)&lt;19.5)),S74+X$7,_xlfn.workday.intl(int(S74),1,"0000001",Holidays!A:A)+hour(S74+X$7-$B$1)/24+minute(S74)/1440),"")</f>
        <v>46107.57153</v>
      </c>
      <c r="Y74" s="104">
        <v>46106.75637378472</v>
      </c>
      <c r="Z74" s="105" t="s">
        <v>14</v>
      </c>
      <c r="AA74" s="111">
        <f t="shared" si="4"/>
        <v>0</v>
      </c>
      <c r="AB74" s="110" t="str">
        <f t="shared" si="5"/>
        <v>EMP5009 Rup Kumar Mandal</v>
      </c>
      <c r="AC74" s="103">
        <f>if(X74,_xlfn.WORKDAY.INTL(X74,AC$7,"0000001",Holidays!A:A)+hour(X74)/24+MINUTE(X74)/1440,"")</f>
        <v>46108.57153</v>
      </c>
      <c r="AD74" s="104">
        <v>46107.47628122685</v>
      </c>
      <c r="AE74" s="105" t="s">
        <v>14</v>
      </c>
      <c r="AF74" s="111">
        <f t="shared" si="6"/>
        <v>0</v>
      </c>
      <c r="AG74" s="110" t="str">
        <f t="shared" si="7"/>
        <v>EMP5009 Rup Kumar Mandal</v>
      </c>
      <c r="AH74" s="103">
        <f>if(AC74,if(and(hour(AC74+AH$7)&gt;9.5,(hour(AC74+AH$7)&lt;19.5)),AC74+AH$7,_xlfn.workday.intl(int(AC74),1,"0000001",Holidays!A:A)+hour(AC74+AH$7-$B$1)/24+minute(AC74)/1440),"")</f>
        <v>46108.61319</v>
      </c>
      <c r="AI74" s="104">
        <v>46107.476345358795</v>
      </c>
      <c r="AJ74" s="105" t="s">
        <v>14</v>
      </c>
      <c r="AK74" s="111">
        <f t="shared" si="8"/>
        <v>0</v>
      </c>
      <c r="AL74" s="112" t="str">
        <f t="shared" si="9"/>
        <v>EMP5009 Rup Kumar Mandal</v>
      </c>
      <c r="AM74" s="113"/>
      <c r="AN74" s="114" t="s">
        <v>672</v>
      </c>
      <c r="AO74" s="115"/>
      <c r="AP74" s="115"/>
      <c r="AQ74" s="115"/>
      <c r="AR74" s="115"/>
      <c r="AS74" s="115"/>
      <c r="AT74" s="115"/>
      <c r="AU74" s="115"/>
      <c r="AV74" s="115"/>
      <c r="AW74" s="115"/>
      <c r="AX74" s="115"/>
      <c r="AY74" s="115"/>
    </row>
    <row r="75">
      <c r="A75" s="95">
        <f t="shared" si="10"/>
        <v>5026</v>
      </c>
      <c r="B75" s="96">
        <v>46106.71808373842</v>
      </c>
      <c r="C75" s="97" t="s">
        <v>525</v>
      </c>
      <c r="D75" s="97" t="s">
        <v>255</v>
      </c>
      <c r="E75" s="98" t="s">
        <v>522</v>
      </c>
      <c r="F75" s="97"/>
      <c r="G75" s="97" t="s">
        <v>524</v>
      </c>
      <c r="H75" s="99" t="s">
        <v>138</v>
      </c>
      <c r="I75" s="100" t="s">
        <v>64</v>
      </c>
      <c r="J75" s="101" t="s">
        <v>513</v>
      </c>
      <c r="K75" s="100"/>
      <c r="L75" s="102" t="s">
        <v>518</v>
      </c>
      <c r="M75" s="103">
        <f>if(B75,if(and(hour(B75+M$7)&gt;9.5,(hour(B75+M$7)&lt;19.5)),B75+M$7,_xlfn.workday.intl(int(B75),1,"0000001",Holidays!A:A)+hour(B75+M$7-$B$1)/24+minute(B75)/1440),"")</f>
        <v>46107.46806</v>
      </c>
      <c r="N75" s="104">
        <v>46106.75605064815</v>
      </c>
      <c r="O75" s="105" t="s">
        <v>14</v>
      </c>
      <c r="P75" s="106">
        <f t="shared" si="1"/>
        <v>0</v>
      </c>
      <c r="Q75" s="107" t="s">
        <v>72</v>
      </c>
      <c r="R75" s="108" t="s">
        <v>434</v>
      </c>
      <c r="S75" s="103">
        <f>if(M75,if(and(hour(M75+S$7)&gt;9.5,(hour(M75+S$7)&lt;19.5)),M75+S$7,_xlfn.workday.intl(int(M75),1,"0000001",Holidays!A:A)+hour(M75+S$7-$B$1)/24+minute(M75)/1440),"")</f>
        <v>46107.475</v>
      </c>
      <c r="T75" s="104">
        <v>46106.75625150463</v>
      </c>
      <c r="U75" s="105" t="s">
        <v>14</v>
      </c>
      <c r="V75" s="109">
        <f t="shared" si="2"/>
        <v>0</v>
      </c>
      <c r="W75" s="110" t="str">
        <f t="shared" si="3"/>
        <v>EMP5009 Rup Kumar Mandal</v>
      </c>
      <c r="X75" s="103">
        <f>if(S75,if(and(hour(S75+X$7)&gt;9.5,(hour(S75+X$7)&lt;19.5)),S75+X$7,_xlfn.workday.intl(int(S75),1,"0000001",Holidays!A:A)+hour(S75+X$7-$B$1)/24+minute(S75)/1440),"")</f>
        <v>46107.57917</v>
      </c>
      <c r="Y75" s="104">
        <v>46106.75638695602</v>
      </c>
      <c r="Z75" s="105" t="s">
        <v>14</v>
      </c>
      <c r="AA75" s="111">
        <f t="shared" si="4"/>
        <v>0</v>
      </c>
      <c r="AB75" s="110" t="str">
        <f t="shared" si="5"/>
        <v>EMP5009 Rup Kumar Mandal</v>
      </c>
      <c r="AC75" s="103">
        <f>if(X75,_xlfn.WORKDAY.INTL(X75,AC$7,"0000001",Holidays!A:A)+hour(X75)/24+MINUTE(X75)/1440,"")</f>
        <v>46108.57917</v>
      </c>
      <c r="AD75" s="104">
        <v>46107.476297245375</v>
      </c>
      <c r="AE75" s="105" t="s">
        <v>14</v>
      </c>
      <c r="AF75" s="111">
        <f t="shared" si="6"/>
        <v>0</v>
      </c>
      <c r="AG75" s="110" t="str">
        <f t="shared" si="7"/>
        <v>EMP5009 Rup Kumar Mandal</v>
      </c>
      <c r="AH75" s="103">
        <f>if(AC75,if(and(hour(AC75+AH$7)&gt;9.5,(hour(AC75+AH$7)&lt;19.5)),AC75+AH$7,_xlfn.workday.intl(int(AC75),1,"0000001",Holidays!A:A)+hour(AC75+AH$7-$B$1)/24+minute(AC75)/1440),"")</f>
        <v>46108.62083</v>
      </c>
      <c r="AI75" s="104">
        <v>46107.476359479166</v>
      </c>
      <c r="AJ75" s="105" t="s">
        <v>14</v>
      </c>
      <c r="AK75" s="111">
        <f t="shared" si="8"/>
        <v>0</v>
      </c>
      <c r="AL75" s="112" t="str">
        <f t="shared" si="9"/>
        <v>EMP5009 Rup Kumar Mandal</v>
      </c>
      <c r="AM75" s="113"/>
      <c r="AN75" s="114" t="s">
        <v>672</v>
      </c>
      <c r="AO75" s="115"/>
      <c r="AP75" s="115"/>
      <c r="AQ75" s="115"/>
      <c r="AR75" s="115"/>
      <c r="AS75" s="115"/>
      <c r="AT75" s="115"/>
      <c r="AU75" s="115"/>
      <c r="AV75" s="115"/>
      <c r="AW75" s="115"/>
      <c r="AX75" s="115"/>
      <c r="AY75" s="115"/>
    </row>
    <row r="76">
      <c r="A76" s="95">
        <f t="shared" si="10"/>
        <v>5027</v>
      </c>
      <c r="B76" s="96">
        <v>46107.48119082176</v>
      </c>
      <c r="C76" s="97" t="s">
        <v>413</v>
      </c>
      <c r="D76" s="97" t="s">
        <v>49</v>
      </c>
      <c r="E76" s="98" t="s">
        <v>527</v>
      </c>
      <c r="F76" s="97"/>
      <c r="G76" s="97" t="s">
        <v>528</v>
      </c>
      <c r="H76" s="99" t="s">
        <v>62</v>
      </c>
      <c r="I76" s="100" t="s">
        <v>324</v>
      </c>
      <c r="J76" s="101" t="s">
        <v>47</v>
      </c>
      <c r="K76" s="100"/>
      <c r="L76" s="102" t="s">
        <v>529</v>
      </c>
      <c r="M76" s="103">
        <f>if(B76,if(and(hour(B76+M$7)&gt;9.5,(hour(B76+M$7)&lt;19.5)),B76+M$7,_xlfn.workday.intl(int(B76),1,"0000001",Holidays!A:A)+hour(B76+M$7-$B$1)/24+minute(B76)/1440),"")</f>
        <v>46107.64786</v>
      </c>
      <c r="N76" s="104">
        <v>46107.4878206713</v>
      </c>
      <c r="O76" s="105" t="s">
        <v>14</v>
      </c>
      <c r="P76" s="106">
        <f t="shared" si="1"/>
        <v>0</v>
      </c>
      <c r="Q76" s="107" t="s">
        <v>15</v>
      </c>
      <c r="R76" s="108" t="s">
        <v>434</v>
      </c>
      <c r="S76" s="103">
        <f>if(M76,if(and(hour(M76+S$7)&gt;9.5,(hour(M76+S$7)&lt;19.5)),M76+S$7,_xlfn.workday.intl(int(M76),1,"0000001",Holidays!A:A)+hour(M76+S$7-$B$1)/24+minute(M76)/1440),"")</f>
        <v>46107.6548</v>
      </c>
      <c r="T76" s="104">
        <v>46107.488156921296</v>
      </c>
      <c r="U76" s="105" t="s">
        <v>14</v>
      </c>
      <c r="V76" s="109">
        <f t="shared" si="2"/>
        <v>0</v>
      </c>
      <c r="W76" s="110" t="str">
        <f t="shared" si="3"/>
        <v>EMP0042 HULESHWAR KUMAR SAHU</v>
      </c>
      <c r="X76" s="103">
        <f>if(S76,if(and(hour(S76+X$7)&gt;9.5,(hour(S76+X$7)&lt;19.5)),S76+X$7,_xlfn.workday.intl(int(S76),1,"0000001",Holidays!A:A)+hour(S76+X$7-$B$1)/24+minute(S76)/1440),"")</f>
        <v>46107.75897</v>
      </c>
      <c r="Y76" s="104">
        <v>46107.584436122685</v>
      </c>
      <c r="Z76" s="105" t="s">
        <v>14</v>
      </c>
      <c r="AA76" s="111">
        <f t="shared" si="4"/>
        <v>0</v>
      </c>
      <c r="AB76" s="110" t="str">
        <f t="shared" si="5"/>
        <v>EMP0042 HULESHWAR KUMAR SAHU</v>
      </c>
      <c r="AC76" s="103">
        <f>if(X76,_xlfn.WORKDAY.INTL(X76,AC$7,"0000001",Holidays!A:A)+hour(X76)/24+MINUTE(X76)/1440,"")</f>
        <v>46108.75833</v>
      </c>
      <c r="AD76" s="104">
        <v>46108.61542238426</v>
      </c>
      <c r="AE76" s="105" t="s">
        <v>14</v>
      </c>
      <c r="AF76" s="111">
        <f t="shared" si="6"/>
        <v>0</v>
      </c>
      <c r="AG76" s="110" t="str">
        <f t="shared" si="7"/>
        <v>EMP0042 HULESHWAR KUMAR SAHU</v>
      </c>
      <c r="AH76" s="103">
        <f>if(AC76,if(and(hour(AC76+AH$7)&gt;9.5,(hour(AC76+AH$7)&lt;19.5)),AC76+AH$7,_xlfn.workday.intl(int(AC76),1,"0000001",Holidays!A:A)+hour(AC76+AH$7-$B$1)/24+minute(AC76)/1440),"")</f>
        <v>46108.8</v>
      </c>
      <c r="AI76" s="104">
        <v>46108.584386574075</v>
      </c>
      <c r="AJ76" s="105" t="s">
        <v>14</v>
      </c>
      <c r="AK76" s="111">
        <f t="shared" si="8"/>
        <v>0</v>
      </c>
      <c r="AL76" s="112" t="str">
        <f t="shared" si="9"/>
        <v>EMP0042 HULESHWAR KUMAR SAHU</v>
      </c>
      <c r="AM76" s="113"/>
      <c r="AN76" s="114" t="s">
        <v>672</v>
      </c>
      <c r="AO76" s="115"/>
      <c r="AP76" s="115"/>
      <c r="AQ76" s="115"/>
      <c r="AR76" s="115"/>
      <c r="AS76" s="115"/>
      <c r="AT76" s="115"/>
      <c r="AU76" s="115"/>
      <c r="AV76" s="115"/>
      <c r="AW76" s="115"/>
      <c r="AX76" s="115"/>
      <c r="AY76" s="115"/>
    </row>
    <row r="77">
      <c r="A77" s="95">
        <f t="shared" si="10"/>
        <v>5028</v>
      </c>
      <c r="B77" s="96">
        <v>46107.50451267361</v>
      </c>
      <c r="C77" s="97" t="s">
        <v>371</v>
      </c>
      <c r="D77" s="97" t="s">
        <v>106</v>
      </c>
      <c r="E77" s="98" t="s">
        <v>531</v>
      </c>
      <c r="F77" s="98" t="s">
        <v>536</v>
      </c>
      <c r="G77" s="97" t="s">
        <v>533</v>
      </c>
      <c r="H77" s="99" t="s">
        <v>62</v>
      </c>
      <c r="I77" s="100" t="s">
        <v>64</v>
      </c>
      <c r="J77" s="101" t="s">
        <v>105</v>
      </c>
      <c r="K77" s="100"/>
      <c r="L77" s="102" t="s">
        <v>535</v>
      </c>
      <c r="M77" s="103">
        <f>if(B77,if(and(hour(B77+M$7)&gt;9.5,(hour(B77+M$7)&lt;19.5)),B77+M$7,_xlfn.workday.intl(int(B77),1,"0000001",Holidays!A:A)+hour(B77+M$7-$B$1)/24+minute(B77)/1440),"")</f>
        <v>46107.67118</v>
      </c>
      <c r="N77" s="104">
        <v>46107.584030555554</v>
      </c>
      <c r="O77" s="105" t="s">
        <v>14</v>
      </c>
      <c r="P77" s="106">
        <f t="shared" si="1"/>
        <v>0</v>
      </c>
      <c r="Q77" s="107" t="s">
        <v>72</v>
      </c>
      <c r="R77" s="108" t="s">
        <v>434</v>
      </c>
      <c r="S77" s="103">
        <f>if(M77,if(and(hour(M77+S$7)&gt;9.5,(hour(M77+S$7)&lt;19.5)),M77+S$7,_xlfn.workday.intl(int(M77),1,"0000001",Holidays!A:A)+hour(M77+S$7-$B$1)/24+minute(M77)/1440),"")</f>
        <v>46107.67812</v>
      </c>
      <c r="T77" s="104">
        <v>46107.5843462037</v>
      </c>
      <c r="U77" s="105" t="s">
        <v>14</v>
      </c>
      <c r="V77" s="109">
        <f t="shared" si="2"/>
        <v>0</v>
      </c>
      <c r="W77" s="110" t="str">
        <f t="shared" si="3"/>
        <v>EMP5009 Rup Kumar Mandal</v>
      </c>
      <c r="X77" s="103">
        <f>if(S77,if(and(hour(S77+X$7)&gt;9.5,(hour(S77+X$7)&lt;19.5)),S77+X$7,_xlfn.workday.intl(int(S77),1,"0000001",Holidays!A:A)+hour(S77+X$7-$B$1)/24+minute(S77)/1440),"")</f>
        <v>46107.78229</v>
      </c>
      <c r="Y77" s="104">
        <v>46107.58445167824</v>
      </c>
      <c r="Z77" s="105" t="s">
        <v>14</v>
      </c>
      <c r="AA77" s="111">
        <f t="shared" si="4"/>
        <v>0</v>
      </c>
      <c r="AB77" s="110" t="str">
        <f t="shared" si="5"/>
        <v>EMP5009 Rup Kumar Mandal</v>
      </c>
      <c r="AC77" s="103">
        <f>if(X77,_xlfn.WORKDAY.INTL(X77,AC$7,"0000001",Holidays!A:A)+hour(X77)/24+MINUTE(X77)/1440,"")</f>
        <v>46108.78194</v>
      </c>
      <c r="AD77" s="104">
        <v>46108.61506373843</v>
      </c>
      <c r="AE77" s="105" t="s">
        <v>14</v>
      </c>
      <c r="AF77" s="111">
        <f t="shared" si="6"/>
        <v>0</v>
      </c>
      <c r="AG77" s="110" t="str">
        <f t="shared" si="7"/>
        <v>EMP5009 Rup Kumar Mandal</v>
      </c>
      <c r="AH77" s="103">
        <f>if(AC77,if(and(hour(AC77+AH$7)&gt;9.5,(hour(AC77+AH$7)&lt;19.5)),AC77+AH$7,_xlfn.workday.intl(int(AC77),1,"0000001",Holidays!A:A)+hour(AC77+AH$7-$B$1)/24+minute(AC77)/1440),"")</f>
        <v>46108.82361</v>
      </c>
      <c r="AI77" s="104">
        <v>46108.584386574075</v>
      </c>
      <c r="AJ77" s="105" t="s">
        <v>14</v>
      </c>
      <c r="AK77" s="111">
        <f t="shared" si="8"/>
        <v>0</v>
      </c>
      <c r="AL77" s="112" t="str">
        <f t="shared" si="9"/>
        <v>EMP5009 Rup Kumar Mandal</v>
      </c>
      <c r="AM77" s="113"/>
      <c r="AN77" s="114" t="s">
        <v>672</v>
      </c>
      <c r="AO77" s="115"/>
      <c r="AP77" s="115"/>
      <c r="AQ77" s="115"/>
      <c r="AR77" s="115"/>
      <c r="AS77" s="115"/>
      <c r="AT77" s="115"/>
      <c r="AU77" s="115"/>
      <c r="AV77" s="115"/>
      <c r="AW77" s="115"/>
      <c r="AX77" s="115"/>
      <c r="AY77" s="115"/>
    </row>
    <row r="78">
      <c r="A78" s="95">
        <f t="shared" si="10"/>
        <v>5029</v>
      </c>
      <c r="B78" s="96">
        <v>46107.509258819446</v>
      </c>
      <c r="C78" s="97" t="s">
        <v>371</v>
      </c>
      <c r="D78" s="97" t="s">
        <v>106</v>
      </c>
      <c r="E78" s="98" t="s">
        <v>540</v>
      </c>
      <c r="F78" s="98" t="s">
        <v>543</v>
      </c>
      <c r="G78" s="97" t="s">
        <v>533</v>
      </c>
      <c r="H78" s="99" t="s">
        <v>62</v>
      </c>
      <c r="I78" s="100" t="s">
        <v>64</v>
      </c>
      <c r="J78" s="101" t="s">
        <v>539</v>
      </c>
      <c r="K78" s="100"/>
      <c r="L78" s="102" t="s">
        <v>542</v>
      </c>
      <c r="M78" s="103">
        <f>if(B78,if(and(hour(B78+M$7)&gt;9.5,(hour(B78+M$7)&lt;19.5)),B78+M$7,_xlfn.workday.intl(int(B78),1,"0000001",Holidays!A:A)+hour(B78+M$7-$B$1)/24+minute(B78)/1440),"")</f>
        <v>46107.67593</v>
      </c>
      <c r="N78" s="104">
        <v>46107.584069606484</v>
      </c>
      <c r="O78" s="105" t="s">
        <v>14</v>
      </c>
      <c r="P78" s="106">
        <f t="shared" si="1"/>
        <v>0</v>
      </c>
      <c r="Q78" s="107" t="s">
        <v>72</v>
      </c>
      <c r="R78" s="108" t="s">
        <v>434</v>
      </c>
      <c r="S78" s="103">
        <f>if(M78,if(and(hour(M78+S$7)&gt;9.5,(hour(M78+S$7)&lt;19.5)),M78+S$7,_xlfn.workday.intl(int(M78),1,"0000001",Holidays!A:A)+hour(M78+S$7-$B$1)/24+minute(M78)/1440),"")</f>
        <v>46107.68287</v>
      </c>
      <c r="T78" s="104">
        <v>46107.58435939815</v>
      </c>
      <c r="U78" s="105" t="s">
        <v>14</v>
      </c>
      <c r="V78" s="109">
        <f t="shared" si="2"/>
        <v>0</v>
      </c>
      <c r="W78" s="110" t="str">
        <f t="shared" si="3"/>
        <v>EMP5009 Rup Kumar Mandal</v>
      </c>
      <c r="X78" s="103">
        <f>if(S78,if(and(hour(S78+X$7)&gt;9.5,(hour(S78+X$7)&lt;19.5)),S78+X$7,_xlfn.workday.intl(int(S78),1,"0000001",Holidays!A:A)+hour(S78+X$7-$B$1)/24+minute(S78)/1440),"")</f>
        <v>46107.78704</v>
      </c>
      <c r="Y78" s="104">
        <v>46107.58446777778</v>
      </c>
      <c r="Z78" s="105" t="s">
        <v>14</v>
      </c>
      <c r="AA78" s="111">
        <f t="shared" si="4"/>
        <v>0</v>
      </c>
      <c r="AB78" s="110" t="str">
        <f t="shared" si="5"/>
        <v>EMP5009 Rup Kumar Mandal</v>
      </c>
      <c r="AC78" s="103">
        <f>if(X78,_xlfn.WORKDAY.INTL(X78,AC$7,"0000001",Holidays!A:A)+hour(X78)/24+MINUTE(X78)/1440,"")</f>
        <v>46108.78681</v>
      </c>
      <c r="AD78" s="104">
        <v>46108.584386574075</v>
      </c>
      <c r="AE78" s="105" t="s">
        <v>14</v>
      </c>
      <c r="AF78" s="111">
        <f t="shared" si="6"/>
        <v>0</v>
      </c>
      <c r="AG78" s="110" t="str">
        <f t="shared" si="7"/>
        <v>EMP5009 Rup Kumar Mandal</v>
      </c>
      <c r="AH78" s="103">
        <f>if(AC78,if(and(hour(AC78+AH$7)&gt;9.5,(hour(AC78+AH$7)&lt;19.5)),AC78+AH$7,_xlfn.workday.intl(int(AC78),1,"0000001",Holidays!A:A)+hour(AC78+AH$7-$B$1)/24+minute(AC78)/1440),"")</f>
        <v>46108.82847</v>
      </c>
      <c r="AI78" s="104">
        <v>46108.584386574075</v>
      </c>
      <c r="AJ78" s="105" t="s">
        <v>14</v>
      </c>
      <c r="AK78" s="111">
        <f t="shared" si="8"/>
        <v>0</v>
      </c>
      <c r="AL78" s="112" t="str">
        <f t="shared" si="9"/>
        <v>EMP5009 Rup Kumar Mandal</v>
      </c>
      <c r="AM78" s="113"/>
      <c r="AN78" s="114" t="s">
        <v>672</v>
      </c>
      <c r="AO78" s="115"/>
      <c r="AP78" s="115"/>
      <c r="AQ78" s="115"/>
      <c r="AR78" s="115"/>
      <c r="AS78" s="115"/>
      <c r="AT78" s="115"/>
      <c r="AU78" s="115"/>
      <c r="AV78" s="115"/>
      <c r="AW78" s="115"/>
      <c r="AX78" s="115"/>
      <c r="AY78" s="115"/>
    </row>
    <row r="79">
      <c r="A79" s="95">
        <f t="shared" si="10"/>
        <v>5030</v>
      </c>
      <c r="B79" s="96">
        <v>46107.532502256945</v>
      </c>
      <c r="C79" s="97" t="s">
        <v>421</v>
      </c>
      <c r="D79" s="97" t="s">
        <v>277</v>
      </c>
      <c r="E79" s="98" t="s">
        <v>545</v>
      </c>
      <c r="F79" s="97"/>
      <c r="G79" s="97" t="s">
        <v>75</v>
      </c>
      <c r="H79" s="99" t="s">
        <v>62</v>
      </c>
      <c r="I79" s="100" t="s">
        <v>64</v>
      </c>
      <c r="J79" s="101" t="s">
        <v>67</v>
      </c>
      <c r="K79" s="100"/>
      <c r="L79" s="102" t="s">
        <v>76</v>
      </c>
      <c r="M79" s="103">
        <f>if(B79,if(and(hour(B79+M$7)&gt;9.5,(hour(B79+M$7)&lt;19.5)),B79+M$7,_xlfn.workday.intl(int(B79),1,"0000001",Holidays!A:A)+hour(B79+M$7-$B$1)/24+minute(B79)/1440),"")</f>
        <v>46107.69917</v>
      </c>
      <c r="N79" s="104">
        <v>46107.58409004629</v>
      </c>
      <c r="O79" s="105" t="s">
        <v>14</v>
      </c>
      <c r="P79" s="106">
        <f t="shared" si="1"/>
        <v>0</v>
      </c>
      <c r="Q79" s="107" t="s">
        <v>48</v>
      </c>
      <c r="R79" s="108" t="s">
        <v>434</v>
      </c>
      <c r="S79" s="103">
        <f>if(M79,if(and(hour(M79+S$7)&gt;9.5,(hour(M79+S$7)&lt;19.5)),M79+S$7,_xlfn.workday.intl(int(M79),1,"0000001",Holidays!A:A)+hour(M79+S$7-$B$1)/24+minute(M79)/1440),"")</f>
        <v>46107.70611</v>
      </c>
      <c r="T79" s="104">
        <v>46107.58437466435</v>
      </c>
      <c r="U79" s="105" t="s">
        <v>14</v>
      </c>
      <c r="V79" s="109">
        <f t="shared" si="2"/>
        <v>0</v>
      </c>
      <c r="W79" s="110" t="str">
        <f t="shared" si="3"/>
        <v>EMP0237 Swarnendu Chakraborty</v>
      </c>
      <c r="X79" s="103">
        <f>if(S79,if(and(hour(S79+X$7)&gt;9.5,(hour(S79+X$7)&lt;19.5)),S79+X$7,_xlfn.workday.intl(int(S79),1,"0000001",Holidays!A:A)+hour(S79+X$7-$B$1)/24+minute(S79)/1440),"")</f>
        <v>46107.81028</v>
      </c>
      <c r="Y79" s="104">
        <v>46107.58448310185</v>
      </c>
      <c r="Z79" s="105" t="s">
        <v>14</v>
      </c>
      <c r="AA79" s="111">
        <f t="shared" si="4"/>
        <v>0</v>
      </c>
      <c r="AB79" s="110" t="str">
        <f t="shared" si="5"/>
        <v>EMP0237 Swarnendu Chakraborty</v>
      </c>
      <c r="AC79" s="103">
        <f>if(X79,_xlfn.WORKDAY.INTL(X79,AC$7,"0000001",Holidays!A:A)+hour(X79)/24+MINUTE(X79)/1440,"")</f>
        <v>46108.80972</v>
      </c>
      <c r="AD79" s="104">
        <v>46108.71578295139</v>
      </c>
      <c r="AE79" s="105" t="s">
        <v>14</v>
      </c>
      <c r="AF79" s="111">
        <f t="shared" si="6"/>
        <v>0</v>
      </c>
      <c r="AG79" s="110" t="str">
        <f t="shared" si="7"/>
        <v>EMP0237 Swarnendu Chakraborty</v>
      </c>
      <c r="AH79" s="103">
        <f>if(AC79,if(and(hour(AC79+AH$7)&gt;9.5,(hour(AC79+AH$7)&lt;19.5)),AC79+AH$7,_xlfn.workday.intl(int(AC79),1,"0000001",Holidays!A:A)+hour(AC79+AH$7-$B$1)/24+minute(AC79)/1440),"")</f>
        <v>46109.43472</v>
      </c>
      <c r="AI79" s="104">
        <v>46108.584386574075</v>
      </c>
      <c r="AJ79" s="105" t="s">
        <v>14</v>
      </c>
      <c r="AK79" s="111">
        <f t="shared" si="8"/>
        <v>0</v>
      </c>
      <c r="AL79" s="112" t="str">
        <f t="shared" si="9"/>
        <v>EMP0237 Swarnendu Chakraborty</v>
      </c>
      <c r="AM79" s="113"/>
      <c r="AN79" s="114" t="s">
        <v>672</v>
      </c>
      <c r="AO79" s="115"/>
      <c r="AP79" s="115"/>
      <c r="AQ79" s="115"/>
      <c r="AR79" s="115"/>
      <c r="AS79" s="115"/>
      <c r="AT79" s="115"/>
      <c r="AU79" s="115"/>
      <c r="AV79" s="115"/>
      <c r="AW79" s="115"/>
      <c r="AX79" s="115"/>
      <c r="AY79" s="115"/>
    </row>
    <row r="80">
      <c r="A80" s="95">
        <f t="shared" si="10"/>
        <v>5031</v>
      </c>
      <c r="B80" s="96">
        <v>46107.56980696759</v>
      </c>
      <c r="C80" s="97" t="s">
        <v>424</v>
      </c>
      <c r="D80" s="97" t="s">
        <v>357</v>
      </c>
      <c r="E80" s="98" t="s">
        <v>548</v>
      </c>
      <c r="F80" s="97"/>
      <c r="G80" s="97" t="s">
        <v>551</v>
      </c>
      <c r="H80" s="99" t="s">
        <v>138</v>
      </c>
      <c r="I80" s="100" t="s">
        <v>64</v>
      </c>
      <c r="J80" s="101" t="s">
        <v>356</v>
      </c>
      <c r="K80" s="100"/>
      <c r="L80" s="102" t="s">
        <v>552</v>
      </c>
      <c r="M80" s="103">
        <f>if(B80,if(and(hour(B80+M$7)&gt;9.5,(hour(B80+M$7)&lt;19.5)),B80+M$7,_xlfn.workday.intl(int(B80),1,"0000001",Holidays!A:A)+hour(B80+M$7-$B$1)/24+minute(B80)/1440),"")</f>
        <v>46107.73647</v>
      </c>
      <c r="N80" s="104">
        <v>46107.58409418981</v>
      </c>
      <c r="O80" s="105" t="s">
        <v>14</v>
      </c>
      <c r="P80" s="106">
        <f t="shared" si="1"/>
        <v>0</v>
      </c>
      <c r="Q80" s="107" t="s">
        <v>48</v>
      </c>
      <c r="R80" s="108" t="s">
        <v>434</v>
      </c>
      <c r="S80" s="103">
        <f>if(M80,if(and(hour(M80+S$7)&gt;9.5,(hour(M80+S$7)&lt;19.5)),M80+S$7,_xlfn.workday.intl(int(M80),1,"0000001",Holidays!A:A)+hour(M80+S$7-$B$1)/24+minute(M80)/1440),"")</f>
        <v>46107.74342</v>
      </c>
      <c r="T80" s="104">
        <v>46107.584389317126</v>
      </c>
      <c r="U80" s="105" t="s">
        <v>14</v>
      </c>
      <c r="V80" s="109">
        <f t="shared" si="2"/>
        <v>0</v>
      </c>
      <c r="W80" s="110" t="str">
        <f t="shared" si="3"/>
        <v>EMP0237 Swarnendu Chakraborty</v>
      </c>
      <c r="X80" s="103">
        <f>if(S80,if(and(hour(S80+X$7)&gt;9.5,(hour(S80+X$7)&lt;19.5)),S80+X$7,_xlfn.workday.intl(int(S80),1,"0000001",Holidays!A:A)+hour(S80+X$7-$B$1)/24+minute(S80)/1440),"")</f>
        <v>46108.45139</v>
      </c>
      <c r="Y80" s="104">
        <v>46107.58450309028</v>
      </c>
      <c r="Z80" s="105" t="s">
        <v>14</v>
      </c>
      <c r="AA80" s="111">
        <f t="shared" si="4"/>
        <v>0</v>
      </c>
      <c r="AB80" s="110" t="str">
        <f t="shared" si="5"/>
        <v>EMP0237 Swarnendu Chakraborty</v>
      </c>
      <c r="AC80" s="103">
        <f>if(X80,_xlfn.WORKDAY.INTL(X80,AC$7,"0000001",Holidays!A:A)+hour(X80)/24+MINUTE(X80)/1440,"")</f>
        <v>46109.45139</v>
      </c>
      <c r="AD80" s="104">
        <v>46108.71616328704</v>
      </c>
      <c r="AE80" s="105" t="s">
        <v>14</v>
      </c>
      <c r="AF80" s="111">
        <f t="shared" si="6"/>
        <v>0</v>
      </c>
      <c r="AG80" s="110" t="str">
        <f t="shared" si="7"/>
        <v>EMP0237 Swarnendu Chakraborty</v>
      </c>
      <c r="AH80" s="103">
        <f>if(AC80,if(and(hour(AC80+AH$7)&gt;9.5,(hour(AC80+AH$7)&lt;19.5)),AC80+AH$7,_xlfn.workday.intl(int(AC80),1,"0000001",Holidays!A:A)+hour(AC80+AH$7-$B$1)/24+minute(AC80)/1440),"")</f>
        <v>46109.49306</v>
      </c>
      <c r="AI80" s="104">
        <v>46108.584386574075</v>
      </c>
      <c r="AJ80" s="105" t="s">
        <v>14</v>
      </c>
      <c r="AK80" s="111">
        <f t="shared" si="8"/>
        <v>0</v>
      </c>
      <c r="AL80" s="112" t="str">
        <f t="shared" si="9"/>
        <v>EMP0237 Swarnendu Chakraborty</v>
      </c>
      <c r="AM80" s="113"/>
      <c r="AN80" s="114" t="s">
        <v>672</v>
      </c>
      <c r="AO80" s="115"/>
      <c r="AP80" s="115"/>
      <c r="AQ80" s="115"/>
      <c r="AR80" s="115"/>
      <c r="AS80" s="115"/>
      <c r="AT80" s="115"/>
      <c r="AU80" s="115"/>
      <c r="AV80" s="115"/>
      <c r="AW80" s="115"/>
      <c r="AX80" s="115"/>
      <c r="AY80" s="115"/>
    </row>
    <row r="81">
      <c r="A81" s="95">
        <f t="shared" si="10"/>
        <v>5032</v>
      </c>
      <c r="B81" s="96">
        <v>46108.53454853009</v>
      </c>
      <c r="C81" s="97" t="s">
        <v>166</v>
      </c>
      <c r="D81" s="97" t="s">
        <v>142</v>
      </c>
      <c r="E81" s="98" t="s">
        <v>553</v>
      </c>
      <c r="F81" s="97"/>
      <c r="G81" s="97" t="s">
        <v>146</v>
      </c>
      <c r="H81" s="99" t="s">
        <v>62</v>
      </c>
      <c r="I81" s="100" t="s">
        <v>64</v>
      </c>
      <c r="J81" s="101" t="s">
        <v>141</v>
      </c>
      <c r="K81" s="100"/>
      <c r="L81" s="102" t="s">
        <v>557</v>
      </c>
      <c r="M81" s="103">
        <f>if(B81,if(and(hour(B81+M$7)&gt;9.5,(hour(B81+M$7)&lt;19.5)),B81+M$7,_xlfn.workday.intl(int(B81),1,"0000001",Holidays!A:A)+hour(B81+M$7-$B$1)/24+minute(B81)/1440),"")</f>
        <v>46108.70122</v>
      </c>
      <c r="N81" s="104">
        <v>46108.61588518519</v>
      </c>
      <c r="O81" s="105" t="s">
        <v>14</v>
      </c>
      <c r="P81" s="106">
        <f t="shared" si="1"/>
        <v>0</v>
      </c>
      <c r="Q81" s="107" t="s">
        <v>15</v>
      </c>
      <c r="R81" s="108" t="s">
        <v>434</v>
      </c>
      <c r="S81" s="103">
        <f>if(M81,if(and(hour(M81+S$7)&gt;9.5,(hour(M81+S$7)&lt;19.5)),M81+S$7,_xlfn.workday.intl(int(M81),1,"0000001",Holidays!A:A)+hour(M81+S$7-$B$1)/24+minute(M81)/1440),"")</f>
        <v>46108.70816</v>
      </c>
      <c r="T81" s="104">
        <v>46108.584386574075</v>
      </c>
      <c r="U81" s="105" t="s">
        <v>14</v>
      </c>
      <c r="V81" s="109">
        <f t="shared" si="2"/>
        <v>0</v>
      </c>
      <c r="W81" s="110" t="str">
        <f t="shared" si="3"/>
        <v>EMP0042 HULESHWAR KUMAR SAHU</v>
      </c>
      <c r="X81" s="103">
        <f>if(S81,if(and(hour(S81+X$7)&gt;9.5,(hour(S81+X$7)&lt;19.5)),S81+X$7,_xlfn.workday.intl(int(S81),1,"0000001",Holidays!A:A)+hour(S81+X$7-$B$1)/24+minute(S81)/1440),"")</f>
        <v>46108.81233</v>
      </c>
      <c r="Y81" s="104">
        <v>46108.584386574075</v>
      </c>
      <c r="Z81" s="105" t="s">
        <v>14</v>
      </c>
      <c r="AA81" s="111">
        <f t="shared" si="4"/>
        <v>0</v>
      </c>
      <c r="AB81" s="110" t="str">
        <f t="shared" si="5"/>
        <v>EMP0042 HULESHWAR KUMAR SAHU</v>
      </c>
      <c r="AC81" s="103">
        <f>if(X81,_xlfn.WORKDAY.INTL(X81,AC$7,"0000001",Holidays!A:A)+hour(X81)/24+MINUTE(X81)/1440,"")</f>
        <v>46109.81181</v>
      </c>
      <c r="AD81" s="104">
        <v>46108.67318769676</v>
      </c>
      <c r="AE81" s="105" t="s">
        <v>14</v>
      </c>
      <c r="AF81" s="111">
        <f t="shared" si="6"/>
        <v>0</v>
      </c>
      <c r="AG81" s="110" t="str">
        <f t="shared" si="7"/>
        <v>EMP0042 HULESHWAR KUMAR SAHU</v>
      </c>
      <c r="AH81" s="103">
        <f>if(AC81,if(and(hour(AC81+AH$7)&gt;9.5,(hour(AC81+AH$7)&lt;19.5)),AC81+AH$7,_xlfn.workday.intl(int(AC81),1,"0000001",Holidays!A:A)+hour(AC81+AH$7-$B$1)/24+minute(AC81)/1440),"")</f>
        <v>46111.43681</v>
      </c>
      <c r="AI81" s="104">
        <v>46108.67320237268</v>
      </c>
      <c r="AJ81" s="105" t="s">
        <v>14</v>
      </c>
      <c r="AK81" s="111">
        <f t="shared" si="8"/>
        <v>0</v>
      </c>
      <c r="AL81" s="112" t="str">
        <f t="shared" si="9"/>
        <v>EMP0042 HULESHWAR KUMAR SAHU</v>
      </c>
      <c r="AM81" s="113"/>
      <c r="AN81" s="114" t="s">
        <v>672</v>
      </c>
      <c r="AO81" s="115"/>
      <c r="AP81" s="115"/>
      <c r="AQ81" s="115"/>
      <c r="AR81" s="115"/>
      <c r="AS81" s="115"/>
      <c r="AT81" s="115"/>
      <c r="AU81" s="115"/>
      <c r="AV81" s="115"/>
      <c r="AW81" s="115"/>
      <c r="AX81" s="115"/>
      <c r="AY81" s="115"/>
    </row>
    <row r="82">
      <c r="A82" s="95">
        <v>5033.0</v>
      </c>
      <c r="B82" s="96">
        <v>46108.674200127316</v>
      </c>
      <c r="C82" s="97" t="s">
        <v>563</v>
      </c>
      <c r="D82" s="97" t="s">
        <v>122</v>
      </c>
      <c r="E82" s="98" t="s">
        <v>558</v>
      </c>
      <c r="F82" s="98" t="s">
        <v>564</v>
      </c>
      <c r="G82" s="97" t="s">
        <v>561</v>
      </c>
      <c r="H82" s="99" t="s">
        <v>62</v>
      </c>
      <c r="I82" s="100" t="s">
        <v>64</v>
      </c>
      <c r="J82" s="101" t="s">
        <v>465</v>
      </c>
      <c r="K82" s="100"/>
      <c r="L82" s="102" t="s">
        <v>562</v>
      </c>
      <c r="M82" s="103">
        <f>if(B82,if(and(hour(B82+M$7)&gt;9.5,(hour(B82+M$7)&lt;19.5)),B82+M$7,_xlfn.workday.intl(int(B82),1,"0000001",Holidays!A:A)+hour(B82+M$7-$B$1)/24+minute(B82)/1440),"")</f>
        <v>46109.42361</v>
      </c>
      <c r="N82" s="104">
        <v>46108.78315993056</v>
      </c>
      <c r="O82" s="105" t="s">
        <v>14</v>
      </c>
      <c r="P82" s="106">
        <f t="shared" si="1"/>
        <v>0</v>
      </c>
      <c r="Q82" s="107" t="s">
        <v>15</v>
      </c>
      <c r="R82" s="108" t="s">
        <v>434</v>
      </c>
      <c r="S82" s="103">
        <f>if(M82,if(and(hour(M82+S$7)&gt;9.5,(hour(M82+S$7)&lt;19.5)),M82+S$7,_xlfn.workday.intl(int(M82),1,"0000001",Holidays!A:A)+hour(M82+S$7-$B$1)/24+minute(M82)/1440),"")</f>
        <v>46109.43056</v>
      </c>
      <c r="T82" s="104">
        <v>46108.78998958333</v>
      </c>
      <c r="U82" s="105" t="s">
        <v>14</v>
      </c>
      <c r="V82" s="109">
        <f t="shared" si="2"/>
        <v>0</v>
      </c>
      <c r="W82" s="110" t="str">
        <f t="shared" si="3"/>
        <v>EMP0042 HULESHWAR KUMAR SAHU</v>
      </c>
      <c r="X82" s="103">
        <f>if(S82,if(and(hour(S82+X$7)&gt;9.5,(hour(S82+X$7)&lt;19.5)),S82+X$7,_xlfn.workday.intl(int(S82),1,"0000001",Holidays!A:A)+hour(S82+X$7-$B$1)/24+minute(S82)/1440),"")</f>
        <v>46109.53472</v>
      </c>
      <c r="Y82" s="104">
        <v>46108.78992048611</v>
      </c>
      <c r="Z82" s="105" t="s">
        <v>14</v>
      </c>
      <c r="AA82" s="111">
        <f t="shared" si="4"/>
        <v>0</v>
      </c>
      <c r="AB82" s="110" t="str">
        <f t="shared" si="5"/>
        <v>EMP0042 HULESHWAR KUMAR SAHU</v>
      </c>
      <c r="AC82" s="103">
        <f>if(X82,_xlfn.WORKDAY.INTL(X82,AC$7,"0000001",Holidays!A:A)+hour(X82)/24+MINUTE(X82)/1440,"")</f>
        <v>46111.53472</v>
      </c>
      <c r="AD82" s="104">
        <v>46110.70962523148</v>
      </c>
      <c r="AE82" s="105" t="s">
        <v>14</v>
      </c>
      <c r="AF82" s="111">
        <f t="shared" si="6"/>
        <v>0</v>
      </c>
      <c r="AG82" s="110" t="str">
        <f t="shared" si="7"/>
        <v>EMP0042 HULESHWAR KUMAR SAHU</v>
      </c>
      <c r="AH82" s="103">
        <f>if(AC82,if(and(hour(AC82+AH$7)&gt;9.5,(hour(AC82+AH$7)&lt;19.5)),AC82+AH$7,_xlfn.workday.intl(int(AC82),1,"0000001",Holidays!A:A)+hour(AC82+AH$7-$B$1)/24+minute(AC82)/1440),"")</f>
        <v>46111.57639</v>
      </c>
      <c r="AI82" s="104">
        <v>46110.70969351852</v>
      </c>
      <c r="AJ82" s="105" t="s">
        <v>14</v>
      </c>
      <c r="AK82" s="111">
        <f t="shared" si="8"/>
        <v>0</v>
      </c>
      <c r="AL82" s="112" t="str">
        <f t="shared" si="9"/>
        <v>EMP0042 HULESHWAR KUMAR SAHU</v>
      </c>
      <c r="AM82" s="113"/>
      <c r="AN82" s="114" t="s">
        <v>672</v>
      </c>
      <c r="AO82" s="115"/>
      <c r="AP82" s="115"/>
      <c r="AQ82" s="115"/>
      <c r="AR82" s="115"/>
      <c r="AS82" s="115"/>
      <c r="AT82" s="115"/>
      <c r="AU82" s="115"/>
      <c r="AV82" s="115"/>
      <c r="AW82" s="115"/>
      <c r="AX82" s="115"/>
      <c r="AY82" s="115"/>
    </row>
    <row r="83">
      <c r="A83" s="95">
        <f t="shared" ref="A83:A913" si="11">if($B83&lt;&gt;"",A82+1,"")</f>
        <v>5034</v>
      </c>
      <c r="B83" s="96">
        <v>46108.70513040509</v>
      </c>
      <c r="C83" s="97" t="s">
        <v>436</v>
      </c>
      <c r="D83" s="97" t="s">
        <v>122</v>
      </c>
      <c r="E83" s="98" t="s">
        <v>567</v>
      </c>
      <c r="F83" s="98" t="s">
        <v>571</v>
      </c>
      <c r="G83" s="97" t="s">
        <v>569</v>
      </c>
      <c r="H83" s="99" t="s">
        <v>62</v>
      </c>
      <c r="I83" s="100" t="s">
        <v>64</v>
      </c>
      <c r="J83" s="101" t="s">
        <v>465</v>
      </c>
      <c r="K83" s="100"/>
      <c r="L83" s="102" t="s">
        <v>570</v>
      </c>
      <c r="M83" s="103">
        <f>if(B83,if(and(hour(B83+M$7)&gt;9.5,(hour(B83+M$7)&lt;19.5)),B83+M$7,_xlfn.workday.intl(int(B83),1,"0000001",Holidays!A:A)+hour(B83+M$7-$B$1)/24+minute(B83)/1440),"")</f>
        <v>46109.45486</v>
      </c>
      <c r="N83" s="104">
        <v>46108.78315993056</v>
      </c>
      <c r="O83" s="105" t="s">
        <v>14</v>
      </c>
      <c r="P83" s="106">
        <f t="shared" si="1"/>
        <v>0</v>
      </c>
      <c r="Q83" s="107" t="s">
        <v>48</v>
      </c>
      <c r="R83" s="108" t="s">
        <v>434</v>
      </c>
      <c r="S83" s="103">
        <f>if(M83,if(and(hour(M83+S$7)&gt;9.5,(hour(M83+S$7)&lt;19.5)),M83+S$7,_xlfn.workday.intl(int(M83),1,"0000001",Holidays!A:A)+hour(M83+S$7-$B$1)/24+minute(M83)/1440),"")</f>
        <v>46109.46181</v>
      </c>
      <c r="T83" s="104">
        <v>46108.79001833333</v>
      </c>
      <c r="U83" s="105" t="s">
        <v>14</v>
      </c>
      <c r="V83" s="109">
        <f t="shared" si="2"/>
        <v>0</v>
      </c>
      <c r="W83" s="110" t="str">
        <f t="shared" si="3"/>
        <v>EMP0237 Swarnendu Chakraborty</v>
      </c>
      <c r="X83" s="103">
        <f>if(S83,if(and(hour(S83+X$7)&gt;9.5,(hour(S83+X$7)&lt;19.5)),S83+X$7,_xlfn.workday.intl(int(S83),1,"0000001",Holidays!A:A)+hour(S83+X$7-$B$1)/24+minute(S83)/1440),"")</f>
        <v>46109.56597</v>
      </c>
      <c r="Y83" s="104">
        <v>46108.790072812495</v>
      </c>
      <c r="Z83" s="105" t="s">
        <v>14</v>
      </c>
      <c r="AA83" s="111">
        <f t="shared" si="4"/>
        <v>0</v>
      </c>
      <c r="AB83" s="110" t="str">
        <f t="shared" si="5"/>
        <v>EMP0237 Swarnendu Chakraborty</v>
      </c>
      <c r="AC83" s="103">
        <f>if(X83,_xlfn.WORKDAY.INTL(X83,AC$7,"0000001",Holidays!A:A)+hour(X83)/24+MINUTE(X83)/1440,"")</f>
        <v>46111.56597</v>
      </c>
      <c r="AD83" s="104">
        <v>46109.681007824074</v>
      </c>
      <c r="AE83" s="105" t="s">
        <v>14</v>
      </c>
      <c r="AF83" s="111">
        <f t="shared" si="6"/>
        <v>0</v>
      </c>
      <c r="AG83" s="110" t="str">
        <f t="shared" si="7"/>
        <v>EMP0237 Swarnendu Chakraborty</v>
      </c>
      <c r="AH83" s="103">
        <f>if(AC83,if(and(hour(AC83+AH$7)&gt;9.5,(hour(AC83+AH$7)&lt;19.5)),AC83+AH$7,_xlfn.workday.intl(int(AC83),1,"0000001",Holidays!A:A)+hour(AC83+AH$7-$B$1)/24+minute(AC83)/1440),"")</f>
        <v>46111.60764</v>
      </c>
      <c r="AI83" s="104">
        <v>46109.681022372686</v>
      </c>
      <c r="AJ83" s="105" t="s">
        <v>14</v>
      </c>
      <c r="AK83" s="111">
        <f t="shared" si="8"/>
        <v>0</v>
      </c>
      <c r="AL83" s="112" t="str">
        <f t="shared" si="9"/>
        <v>EMP0237 Swarnendu Chakraborty</v>
      </c>
      <c r="AM83" s="113"/>
      <c r="AN83" s="114" t="s">
        <v>672</v>
      </c>
      <c r="AO83" s="115"/>
      <c r="AP83" s="115"/>
      <c r="AQ83" s="115"/>
      <c r="AR83" s="115"/>
      <c r="AS83" s="115"/>
      <c r="AT83" s="115"/>
      <c r="AU83" s="115"/>
      <c r="AV83" s="115"/>
      <c r="AW83" s="115"/>
      <c r="AX83" s="115"/>
      <c r="AY83" s="115"/>
    </row>
    <row r="84">
      <c r="A84" s="95">
        <f t="shared" si="11"/>
        <v>5035</v>
      </c>
      <c r="B84" s="96">
        <v>46109.47600181713</v>
      </c>
      <c r="C84" s="97" t="s">
        <v>441</v>
      </c>
      <c r="D84" s="97" t="s">
        <v>106</v>
      </c>
      <c r="E84" s="98" t="s">
        <v>574</v>
      </c>
      <c r="F84" s="98" t="s">
        <v>578</v>
      </c>
      <c r="G84" s="97" t="s">
        <v>576</v>
      </c>
      <c r="H84" s="99" t="s">
        <v>62</v>
      </c>
      <c r="I84" s="100" t="s">
        <v>64</v>
      </c>
      <c r="J84" s="101" t="s">
        <v>105</v>
      </c>
      <c r="K84" s="100"/>
      <c r="L84" s="102" t="s">
        <v>577</v>
      </c>
      <c r="M84" s="103">
        <f>if(B84,if(and(hour(B84+M$7)&gt;9.5,(hour(B84+M$7)&lt;19.5)),B84+M$7,_xlfn.workday.intl(int(B84),1,"0000001",Holidays!A:A)+hour(B84+M$7-$B$1)/24+minute(B84)/1440),"")</f>
        <v>46109.64267</v>
      </c>
      <c r="N84" s="104">
        <v>46109.47861413195</v>
      </c>
      <c r="O84" s="105" t="s">
        <v>14</v>
      </c>
      <c r="P84" s="106">
        <f t="shared" si="1"/>
        <v>0</v>
      </c>
      <c r="Q84" s="107" t="s">
        <v>15</v>
      </c>
      <c r="R84" s="108" t="s">
        <v>434</v>
      </c>
      <c r="S84" s="103">
        <f>if(M84,if(and(hour(M84+S$7)&gt;9.5,(hour(M84+S$7)&lt;19.5)),M84+S$7,_xlfn.workday.intl(int(M84),1,"0000001",Holidays!A:A)+hour(M84+S$7-$B$1)/24+minute(M84)/1440),"")</f>
        <v>46109.64961</v>
      </c>
      <c r="T84" s="104">
        <v>46109.478689791664</v>
      </c>
      <c r="U84" s="105" t="s">
        <v>14</v>
      </c>
      <c r="V84" s="109">
        <f t="shared" si="2"/>
        <v>0</v>
      </c>
      <c r="W84" s="110" t="str">
        <f t="shared" si="3"/>
        <v>EMP0042 HULESHWAR KUMAR SAHU</v>
      </c>
      <c r="X84" s="103">
        <f>if(S84,if(and(hour(S84+X$7)&gt;9.5,(hour(S84+X$7)&lt;19.5)),S84+X$7,_xlfn.workday.intl(int(S84),1,"0000001",Holidays!A:A)+hour(S84+X$7-$B$1)/24+minute(S84)/1440),"")</f>
        <v>46109.75378</v>
      </c>
      <c r="Y84" s="104">
        <v>46109.62214047454</v>
      </c>
      <c r="Z84" s="105" t="s">
        <v>14</v>
      </c>
      <c r="AA84" s="111">
        <f t="shared" si="4"/>
        <v>0</v>
      </c>
      <c r="AB84" s="110" t="str">
        <f t="shared" si="5"/>
        <v>EMP0042 HULESHWAR KUMAR SAHU</v>
      </c>
      <c r="AC84" s="103">
        <f>if(X84,_xlfn.WORKDAY.INTL(X84,AC$7,"0000001",Holidays!A:A)+hour(X84)/24+MINUTE(X84)/1440,"")</f>
        <v>46111.75347</v>
      </c>
      <c r="AD84" s="104">
        <v>46109.681093611114</v>
      </c>
      <c r="AE84" s="105" t="s">
        <v>14</v>
      </c>
      <c r="AF84" s="111">
        <f t="shared" si="6"/>
        <v>0</v>
      </c>
      <c r="AG84" s="110" t="str">
        <f t="shared" si="7"/>
        <v>EMP0042 HULESHWAR KUMAR SAHU</v>
      </c>
      <c r="AH84" s="103">
        <f>if(AC84,if(and(hour(AC84+AH$7)&gt;9.5,(hour(AC84+AH$7)&lt;19.5)),AC84+AH$7,_xlfn.workday.intl(int(AC84),1,"0000001",Holidays!A:A)+hour(AC84+AH$7-$B$1)/24+minute(AC84)/1440),"")</f>
        <v>46111.79514</v>
      </c>
      <c r="AI84" s="104">
        <v>46109.68111575232</v>
      </c>
      <c r="AJ84" s="105" t="s">
        <v>14</v>
      </c>
      <c r="AK84" s="111">
        <f t="shared" si="8"/>
        <v>0</v>
      </c>
      <c r="AL84" s="112" t="str">
        <f t="shared" si="9"/>
        <v>EMP0042 HULESHWAR KUMAR SAHU</v>
      </c>
      <c r="AM84" s="113"/>
      <c r="AN84" s="114" t="s">
        <v>672</v>
      </c>
      <c r="AO84" s="115"/>
      <c r="AP84" s="115"/>
      <c r="AQ84" s="115"/>
      <c r="AR84" s="115"/>
      <c r="AS84" s="115"/>
      <c r="AT84" s="115"/>
      <c r="AU84" s="115"/>
      <c r="AV84" s="115"/>
      <c r="AW84" s="115"/>
      <c r="AX84" s="115"/>
      <c r="AY84" s="115"/>
    </row>
    <row r="85">
      <c r="A85" s="95">
        <f t="shared" si="11"/>
        <v>5036</v>
      </c>
      <c r="B85" s="96">
        <v>46109.50093337963</v>
      </c>
      <c r="C85" s="97" t="s">
        <v>447</v>
      </c>
      <c r="D85" s="97" t="s">
        <v>215</v>
      </c>
      <c r="E85" s="98" t="s">
        <v>581</v>
      </c>
      <c r="F85" s="97"/>
      <c r="G85" s="97" t="s">
        <v>584</v>
      </c>
      <c r="H85" s="99" t="s">
        <v>62</v>
      </c>
      <c r="I85" s="100" t="s">
        <v>64</v>
      </c>
      <c r="J85" s="101" t="s">
        <v>214</v>
      </c>
      <c r="K85" s="100"/>
      <c r="L85" s="102" t="s">
        <v>585</v>
      </c>
      <c r="M85" s="103">
        <f>if(B85,if(and(hour(B85+M$7)&gt;9.5,(hour(B85+M$7)&lt;19.5)),B85+M$7,_xlfn.workday.intl(int(B85),1,"0000001",Holidays!A:A)+hour(B85+M$7-$B$1)/24+minute(B85)/1440),"")</f>
        <v>46109.6676</v>
      </c>
      <c r="N85" s="104">
        <v>46109.53091915509</v>
      </c>
      <c r="O85" s="105" t="s">
        <v>14</v>
      </c>
      <c r="P85" s="106">
        <f t="shared" si="1"/>
        <v>0</v>
      </c>
      <c r="Q85" s="107" t="s">
        <v>15</v>
      </c>
      <c r="R85" s="108" t="s">
        <v>434</v>
      </c>
      <c r="S85" s="103">
        <f>if(M85,if(and(hour(M85+S$7)&gt;9.5,(hour(M85+S$7)&lt;19.5)),M85+S$7,_xlfn.workday.intl(int(M85),1,"0000001",Holidays!A:A)+hour(M85+S$7-$B$1)/24+minute(M85)/1440),"")</f>
        <v>46109.67454</v>
      </c>
      <c r="T85" s="104">
        <v>46109.530965196755</v>
      </c>
      <c r="U85" s="105" t="s">
        <v>14</v>
      </c>
      <c r="V85" s="109">
        <f t="shared" si="2"/>
        <v>0</v>
      </c>
      <c r="W85" s="110" t="str">
        <f t="shared" si="3"/>
        <v>EMP0042 HULESHWAR KUMAR SAHU</v>
      </c>
      <c r="X85" s="103">
        <f>if(S85,if(and(hour(S85+X$7)&gt;9.5,(hour(S85+X$7)&lt;19.5)),S85+X$7,_xlfn.workday.intl(int(S85),1,"0000001",Holidays!A:A)+hour(S85+X$7-$B$1)/24+minute(S85)/1440),"")</f>
        <v>46109.77871</v>
      </c>
      <c r="Y85" s="104">
        <v>46109.62215575231</v>
      </c>
      <c r="Z85" s="105" t="s">
        <v>14</v>
      </c>
      <c r="AA85" s="111">
        <f t="shared" si="4"/>
        <v>0</v>
      </c>
      <c r="AB85" s="110" t="str">
        <f t="shared" si="5"/>
        <v>EMP0042 HULESHWAR KUMAR SAHU</v>
      </c>
      <c r="AC85" s="103">
        <f>if(X85,_xlfn.WORKDAY.INTL(X85,AC$7,"0000001",Holidays!A:A)+hour(X85)/24+MINUTE(X85)/1440,"")</f>
        <v>46111.77847</v>
      </c>
      <c r="AD85" s="104">
        <v>46110.710251076394</v>
      </c>
      <c r="AE85" s="105" t="s">
        <v>14</v>
      </c>
      <c r="AF85" s="111">
        <f t="shared" si="6"/>
        <v>0</v>
      </c>
      <c r="AG85" s="110" t="str">
        <f t="shared" si="7"/>
        <v>EMP0042 HULESHWAR KUMAR SAHU</v>
      </c>
      <c r="AH85" s="103">
        <f>if(AC85,if(and(hour(AC85+AH$7)&gt;9.5,(hour(AC85+AH$7)&lt;19.5)),AC85+AH$7,_xlfn.workday.intl(int(AC85),1,"0000001",Holidays!A:A)+hour(AC85+AH$7-$B$1)/24+minute(AC85)/1440),"")</f>
        <v>46111.82014</v>
      </c>
      <c r="AI85" s="104">
        <v>46110.71030201389</v>
      </c>
      <c r="AJ85" s="105" t="s">
        <v>14</v>
      </c>
      <c r="AK85" s="111">
        <f t="shared" si="8"/>
        <v>0</v>
      </c>
      <c r="AL85" s="112" t="str">
        <f t="shared" si="9"/>
        <v>EMP0042 HULESHWAR KUMAR SAHU</v>
      </c>
      <c r="AM85" s="113"/>
      <c r="AN85" s="114" t="s">
        <v>672</v>
      </c>
      <c r="AO85" s="115"/>
      <c r="AP85" s="115"/>
      <c r="AQ85" s="115"/>
      <c r="AR85" s="115"/>
      <c r="AS85" s="115"/>
      <c r="AT85" s="115"/>
      <c r="AU85" s="115"/>
      <c r="AV85" s="115"/>
      <c r="AW85" s="115"/>
      <c r="AX85" s="115"/>
      <c r="AY85" s="115"/>
    </row>
    <row r="86">
      <c r="A86" s="95">
        <f t="shared" si="11"/>
        <v>5037</v>
      </c>
      <c r="B86" s="96">
        <v>46109.52022850694</v>
      </c>
      <c r="C86" s="97" t="s">
        <v>590</v>
      </c>
      <c r="D86" s="97" t="s">
        <v>122</v>
      </c>
      <c r="E86" s="98" t="s">
        <v>586</v>
      </c>
      <c r="F86" s="98" t="s">
        <v>591</v>
      </c>
      <c r="G86" s="97" t="s">
        <v>588</v>
      </c>
      <c r="H86" s="99" t="s">
        <v>62</v>
      </c>
      <c r="I86" s="100" t="s">
        <v>64</v>
      </c>
      <c r="J86" s="101" t="s">
        <v>465</v>
      </c>
      <c r="K86" s="100"/>
      <c r="L86" s="102" t="s">
        <v>589</v>
      </c>
      <c r="M86" s="103">
        <f>if(B86,if(and(hour(B86+M$7)&gt;9.5,(hour(B86+M$7)&lt;19.5)),B86+M$7,_xlfn.workday.intl(int(B86),1,"0000001",Holidays!A:A)+hour(B86+M$7-$B$1)/24+minute(B86)/1440),"")</f>
        <v>46109.6869</v>
      </c>
      <c r="N86" s="104">
        <v>46109.53101314815</v>
      </c>
      <c r="O86" s="105" t="s">
        <v>14</v>
      </c>
      <c r="P86" s="106">
        <f t="shared" si="1"/>
        <v>0</v>
      </c>
      <c r="Q86" s="107" t="s">
        <v>15</v>
      </c>
      <c r="R86" s="108" t="s">
        <v>434</v>
      </c>
      <c r="S86" s="103">
        <f>if(M86,if(and(hour(M86+S$7)&gt;9.5,(hour(M86+S$7)&lt;19.5)),M86+S$7,_xlfn.workday.intl(int(M86),1,"0000001",Holidays!A:A)+hour(M86+S$7-$B$1)/24+minute(M86)/1440),"")</f>
        <v>46109.69384</v>
      </c>
      <c r="T86" s="104">
        <v>46109.53106009259</v>
      </c>
      <c r="U86" s="105" t="s">
        <v>14</v>
      </c>
      <c r="V86" s="109">
        <f t="shared" si="2"/>
        <v>0</v>
      </c>
      <c r="W86" s="110" t="str">
        <f t="shared" si="3"/>
        <v>EMP0042 HULESHWAR KUMAR SAHU</v>
      </c>
      <c r="X86" s="103">
        <f>if(S86,if(and(hour(S86+X$7)&gt;9.5,(hour(S86+X$7)&lt;19.5)),S86+X$7,_xlfn.workday.intl(int(S86),1,"0000001",Holidays!A:A)+hour(S86+X$7-$B$1)/24+minute(S86)/1440),"")</f>
        <v>46109.79801</v>
      </c>
      <c r="Y86" s="104">
        <v>46109.62217554398</v>
      </c>
      <c r="Z86" s="105" t="s">
        <v>14</v>
      </c>
      <c r="AA86" s="111">
        <f t="shared" si="4"/>
        <v>0</v>
      </c>
      <c r="AB86" s="110" t="str">
        <f t="shared" si="5"/>
        <v>EMP0042 HULESHWAR KUMAR SAHU</v>
      </c>
      <c r="AC86" s="103">
        <f>if(X86,_xlfn.WORKDAY.INTL(X86,AC$7,"0000001",Holidays!A:A)+hour(X86)/24+MINUTE(X86)/1440,"")</f>
        <v>46111.79792</v>
      </c>
      <c r="AD86" s="104">
        <v>46109.68327795139</v>
      </c>
      <c r="AE86" s="105" t="s">
        <v>14</v>
      </c>
      <c r="AF86" s="111">
        <f t="shared" si="6"/>
        <v>0</v>
      </c>
      <c r="AG86" s="110" t="str">
        <f t="shared" si="7"/>
        <v>EMP0042 HULESHWAR KUMAR SAHU</v>
      </c>
      <c r="AH86" s="103">
        <f>if(AC86,if(and(hour(AC86+AH$7)&gt;9.5,(hour(AC86+AH$7)&lt;19.5)),AC86+AH$7,_xlfn.workday.intl(int(AC86),1,"0000001",Holidays!A:A)+hour(AC86+AH$7-$B$1)/24+minute(AC86)/1440),"")</f>
        <v>46112.42292</v>
      </c>
      <c r="AI86" s="104">
        <v>46109.68329596065</v>
      </c>
      <c r="AJ86" s="105" t="s">
        <v>14</v>
      </c>
      <c r="AK86" s="111">
        <f t="shared" si="8"/>
        <v>0</v>
      </c>
      <c r="AL86" s="112" t="str">
        <f t="shared" si="9"/>
        <v>EMP0042 HULESHWAR KUMAR SAHU</v>
      </c>
      <c r="AM86" s="113"/>
      <c r="AN86" s="114" t="s">
        <v>672</v>
      </c>
      <c r="AO86" s="115"/>
      <c r="AP86" s="115"/>
      <c r="AQ86" s="115"/>
      <c r="AR86" s="115"/>
      <c r="AS86" s="115"/>
      <c r="AT86" s="115"/>
      <c r="AU86" s="115"/>
      <c r="AV86" s="115"/>
      <c r="AW86" s="115"/>
      <c r="AX86" s="115"/>
      <c r="AY86" s="115"/>
    </row>
    <row r="87">
      <c r="A87" s="95">
        <f t="shared" si="11"/>
        <v>5038</v>
      </c>
      <c r="B87" s="96">
        <v>46109.53720652778</v>
      </c>
      <c r="C87" s="97" t="s">
        <v>455</v>
      </c>
      <c r="D87" s="97" t="s">
        <v>334</v>
      </c>
      <c r="E87" s="98" t="s">
        <v>594</v>
      </c>
      <c r="F87" s="98" t="s">
        <v>597</v>
      </c>
      <c r="G87" s="97" t="s">
        <v>117</v>
      </c>
      <c r="H87" s="99" t="s">
        <v>62</v>
      </c>
      <c r="I87" s="100" t="s">
        <v>64</v>
      </c>
      <c r="J87" s="101" t="s">
        <v>105</v>
      </c>
      <c r="K87" s="100"/>
      <c r="L87" s="102" t="s">
        <v>596</v>
      </c>
      <c r="M87" s="103">
        <f>if(B87,if(and(hour(B87+M$7)&gt;9.5,(hour(B87+M$7)&lt;19.5)),B87+M$7,_xlfn.workday.intl(int(B87),1,"0000001",Holidays!A:A)+hour(B87+M$7-$B$1)/24+minute(B87)/1440),"")</f>
        <v>46109.70387</v>
      </c>
      <c r="N87" s="104">
        <v>46109.540836307875</v>
      </c>
      <c r="O87" s="105" t="s">
        <v>14</v>
      </c>
      <c r="P87" s="106">
        <f t="shared" si="1"/>
        <v>0</v>
      </c>
      <c r="Q87" s="107" t="s">
        <v>15</v>
      </c>
      <c r="R87" s="108" t="s">
        <v>434</v>
      </c>
      <c r="S87" s="103">
        <f>if(M87,if(and(hour(M87+S$7)&gt;9.5,(hour(M87+S$7)&lt;19.5)),M87+S$7,_xlfn.workday.intl(int(M87),1,"0000001",Holidays!A:A)+hour(M87+S$7-$B$1)/24+minute(M87)/1440),"")</f>
        <v>46109.71082</v>
      </c>
      <c r="T87" s="104">
        <v>46109.540900011576</v>
      </c>
      <c r="U87" s="105" t="s">
        <v>14</v>
      </c>
      <c r="V87" s="109">
        <f t="shared" si="2"/>
        <v>0</v>
      </c>
      <c r="W87" s="110" t="str">
        <f t="shared" si="3"/>
        <v>EMP0042 HULESHWAR KUMAR SAHU</v>
      </c>
      <c r="X87" s="103">
        <f>if(S87,if(and(hour(S87+X$7)&gt;9.5,(hour(S87+X$7)&lt;19.5)),S87+X$7,_xlfn.workday.intl(int(S87),1,"0000001",Holidays!A:A)+hour(S87+X$7-$B$1)/24+minute(S87)/1440),"")</f>
        <v>46109.81498</v>
      </c>
      <c r="Y87" s="104">
        <v>46109.622199074074</v>
      </c>
      <c r="Z87" s="105" t="s">
        <v>14</v>
      </c>
      <c r="AA87" s="111">
        <f t="shared" si="4"/>
        <v>0</v>
      </c>
      <c r="AB87" s="110" t="str">
        <f t="shared" si="5"/>
        <v>EMP0042 HULESHWAR KUMAR SAHU</v>
      </c>
      <c r="AC87" s="103">
        <f>if(X87,_xlfn.WORKDAY.INTL(X87,AC$7,"0000001",Holidays!A:A)+hour(X87)/24+MINUTE(X87)/1440,"")</f>
        <v>46111.81458</v>
      </c>
      <c r="AD87" s="104">
        <v>46109.683429467594</v>
      </c>
      <c r="AE87" s="105" t="s">
        <v>14</v>
      </c>
      <c r="AF87" s="111">
        <f t="shared" si="6"/>
        <v>0</v>
      </c>
      <c r="AG87" s="110" t="str">
        <f t="shared" si="7"/>
        <v>EMP0042 HULESHWAR KUMAR SAHU</v>
      </c>
      <c r="AH87" s="103">
        <f>if(AC87,if(and(hour(AC87+AH$7)&gt;9.5,(hour(AC87+AH$7)&lt;19.5)),AC87+AH$7,_xlfn.workday.intl(int(AC87),1,"0000001",Holidays!A:A)+hour(AC87+AH$7-$B$1)/24+minute(AC87)/1440),"")</f>
        <v>46112.43958</v>
      </c>
      <c r="AI87" s="104">
        <v>46109.68345413194</v>
      </c>
      <c r="AJ87" s="105" t="s">
        <v>14</v>
      </c>
      <c r="AK87" s="111">
        <f t="shared" si="8"/>
        <v>0</v>
      </c>
      <c r="AL87" s="112" t="str">
        <f t="shared" si="9"/>
        <v>EMP0042 HULESHWAR KUMAR SAHU</v>
      </c>
      <c r="AM87" s="113"/>
      <c r="AN87" s="114" t="s">
        <v>672</v>
      </c>
      <c r="AO87" s="115"/>
      <c r="AP87" s="115"/>
      <c r="AQ87" s="115"/>
      <c r="AR87" s="115"/>
      <c r="AS87" s="115"/>
      <c r="AT87" s="115"/>
      <c r="AU87" s="115"/>
      <c r="AV87" s="115"/>
      <c r="AW87" s="115"/>
      <c r="AX87" s="115"/>
      <c r="AY87" s="115"/>
    </row>
    <row r="88">
      <c r="A88" s="95">
        <f t="shared" si="11"/>
        <v>5039</v>
      </c>
      <c r="B88" s="96">
        <v>46109.54214327547</v>
      </c>
      <c r="C88" s="97" t="s">
        <v>460</v>
      </c>
      <c r="D88" s="97" t="s">
        <v>334</v>
      </c>
      <c r="E88" s="98" t="s">
        <v>599</v>
      </c>
      <c r="F88" s="98" t="s">
        <v>603</v>
      </c>
      <c r="G88" s="97" t="s">
        <v>117</v>
      </c>
      <c r="H88" s="99" t="s">
        <v>62</v>
      </c>
      <c r="I88" s="100" t="s">
        <v>64</v>
      </c>
      <c r="J88" s="101" t="s">
        <v>105</v>
      </c>
      <c r="K88" s="100"/>
      <c r="L88" s="102" t="s">
        <v>602</v>
      </c>
      <c r="M88" s="103">
        <f>if(B88,if(and(hour(B88+M$7)&gt;9.5,(hour(B88+M$7)&lt;19.5)),B88+M$7,_xlfn.workday.intl(int(B88),1,"0000001",Holidays!A:A)+hour(B88+M$7-$B$1)/24+minute(B88)/1440),"")</f>
        <v>46109.70881</v>
      </c>
      <c r="N88" s="104">
        <v>46109.621856550926</v>
      </c>
      <c r="O88" s="105" t="s">
        <v>14</v>
      </c>
      <c r="P88" s="106">
        <f t="shared" si="1"/>
        <v>0</v>
      </c>
      <c r="Q88" s="107" t="s">
        <v>15</v>
      </c>
      <c r="R88" s="108" t="s">
        <v>434</v>
      </c>
      <c r="S88" s="103">
        <f>if(M88,if(and(hour(M88+S$7)&gt;9.5,(hour(M88+S$7)&lt;19.5)),M88+S$7,_xlfn.workday.intl(int(M88),1,"0000001",Holidays!A:A)+hour(M88+S$7-$B$1)/24+minute(M88)/1440),"")</f>
        <v>46109.71575</v>
      </c>
      <c r="T88" s="104">
        <v>46109.621988495375</v>
      </c>
      <c r="U88" s="105" t="s">
        <v>14</v>
      </c>
      <c r="V88" s="109">
        <f t="shared" si="2"/>
        <v>0</v>
      </c>
      <c r="W88" s="110" t="str">
        <f t="shared" si="3"/>
        <v>EMP0042 HULESHWAR KUMAR SAHU</v>
      </c>
      <c r="X88" s="103">
        <f>if(S88,if(and(hour(S88+X$7)&gt;9.5,(hour(S88+X$7)&lt;19.5)),S88+X$7,_xlfn.workday.intl(int(S88),1,"0000001",Holidays!A:A)+hour(S88+X$7-$B$1)/24+minute(S88)/1440),"")</f>
        <v>46109.81992</v>
      </c>
      <c r="Y88" s="104">
        <v>46109.622221944446</v>
      </c>
      <c r="Z88" s="105" t="s">
        <v>14</v>
      </c>
      <c r="AA88" s="111">
        <f t="shared" si="4"/>
        <v>0</v>
      </c>
      <c r="AB88" s="110" t="str">
        <f t="shared" si="5"/>
        <v>EMP0042 HULESHWAR KUMAR SAHU</v>
      </c>
      <c r="AC88" s="103">
        <f>if(X88,_xlfn.WORKDAY.INTL(X88,AC$7,"0000001",Holidays!A:A)+hour(X88)/24+MINUTE(X88)/1440,"")</f>
        <v>46111.81944</v>
      </c>
      <c r="AD88" s="104">
        <v>46109.68357902778</v>
      </c>
      <c r="AE88" s="105" t="s">
        <v>14</v>
      </c>
      <c r="AF88" s="111">
        <f t="shared" si="6"/>
        <v>0</v>
      </c>
      <c r="AG88" s="110" t="str">
        <f t="shared" si="7"/>
        <v>EMP0042 HULESHWAR KUMAR SAHU</v>
      </c>
      <c r="AH88" s="103">
        <f>if(AC88,if(and(hour(AC88+AH$7)&gt;9.5,(hour(AC88+AH$7)&lt;19.5)),AC88+AH$7,_xlfn.workday.intl(int(AC88),1,"0000001",Holidays!A:A)+hour(AC88+AH$7-$B$1)/24+minute(AC88)/1440),"")</f>
        <v>46112.44444</v>
      </c>
      <c r="AI88" s="104">
        <v>46109.68362148148</v>
      </c>
      <c r="AJ88" s="105" t="s">
        <v>14</v>
      </c>
      <c r="AK88" s="111">
        <f t="shared" si="8"/>
        <v>0</v>
      </c>
      <c r="AL88" s="112" t="str">
        <f t="shared" si="9"/>
        <v>EMP0042 HULESHWAR KUMAR SAHU</v>
      </c>
      <c r="AM88" s="113"/>
      <c r="AN88" s="114" t="s">
        <v>672</v>
      </c>
      <c r="AO88" s="115"/>
      <c r="AP88" s="115"/>
      <c r="AQ88" s="115"/>
      <c r="AR88" s="115"/>
      <c r="AS88" s="115"/>
      <c r="AT88" s="115"/>
      <c r="AU88" s="115"/>
      <c r="AV88" s="115"/>
      <c r="AW88" s="115"/>
      <c r="AX88" s="115"/>
      <c r="AY88" s="115"/>
    </row>
    <row r="89">
      <c r="A89" s="95">
        <f t="shared" si="11"/>
        <v>5040</v>
      </c>
      <c r="B89" s="96">
        <v>46109.62613456018</v>
      </c>
      <c r="C89" s="97" t="s">
        <v>464</v>
      </c>
      <c r="D89" s="97" t="s">
        <v>225</v>
      </c>
      <c r="E89" s="98" t="s">
        <v>605</v>
      </c>
      <c r="F89" s="97"/>
      <c r="G89" s="97" t="s">
        <v>608</v>
      </c>
      <c r="H89" s="99" t="s">
        <v>138</v>
      </c>
      <c r="I89" s="100" t="s">
        <v>64</v>
      </c>
      <c r="J89" s="101" t="s">
        <v>223</v>
      </c>
      <c r="K89" s="100"/>
      <c r="L89" s="102" t="s">
        <v>609</v>
      </c>
      <c r="M89" s="103">
        <f>if(B89,if(and(hour(B89+M$7)&gt;9.5,(hour(B89+M$7)&lt;19.5)),B89+M$7,_xlfn.workday.intl(int(B89),1,"0000001",Holidays!A:A)+hour(B89+M$7-$B$1)/24+minute(B89)/1440),"")+2-7/24</f>
        <v>46111.50113</v>
      </c>
      <c r="N89" s="104">
        <v>46109.67627130787</v>
      </c>
      <c r="O89" s="105" t="s">
        <v>14</v>
      </c>
      <c r="P89" s="106">
        <f t="shared" si="1"/>
        <v>0</v>
      </c>
      <c r="Q89" s="107" t="s">
        <v>15</v>
      </c>
      <c r="R89" s="108" t="s">
        <v>434</v>
      </c>
      <c r="S89" s="103">
        <f>if(M89,if(and(hour(M89+S$7)&gt;9.5,(hour(M89+S$7)&lt;19.5)),M89+S$7,_xlfn.workday.intl(int(M89),1,"0000001",Holidays!A:A)+hour(M89+S$7-$B$1)/24+minute(M89)/1440),"")</f>
        <v>46111.50808</v>
      </c>
      <c r="T89" s="104">
        <v>46109.67642063658</v>
      </c>
      <c r="U89" s="105" t="s">
        <v>14</v>
      </c>
      <c r="V89" s="109">
        <f t="shared" si="2"/>
        <v>0</v>
      </c>
      <c r="W89" s="110" t="str">
        <f t="shared" si="3"/>
        <v>EMP0042 HULESHWAR KUMAR SAHU</v>
      </c>
      <c r="X89" s="103">
        <f>if(S89,if(and(hour(S89+X$7)&gt;9.5,(hour(S89+X$7)&lt;19.5)),S89+X$7,_xlfn.workday.intl(int(S89),1,"0000001",Holidays!A:A)+hour(S89+X$7-$B$1)/24+minute(S89)/1440),"")</f>
        <v>46111.61225</v>
      </c>
      <c r="Y89" s="104">
        <v>46109.67676289352</v>
      </c>
      <c r="Z89" s="105" t="s">
        <v>14</v>
      </c>
      <c r="AA89" s="111">
        <f t="shared" si="4"/>
        <v>0</v>
      </c>
      <c r="AB89" s="110" t="str">
        <f t="shared" si="5"/>
        <v>EMP0042 HULESHWAR KUMAR SAHU</v>
      </c>
      <c r="AC89" s="103">
        <f>if(X89,_xlfn.WORKDAY.INTL(X89,AC$7,"0000001",Holidays!A:A)+hour(X89)/24+MINUTE(X89)/1440,"")</f>
        <v>46112.61181</v>
      </c>
      <c r="AD89" s="104">
        <v>46110.51058166666</v>
      </c>
      <c r="AE89" s="105" t="s">
        <v>14</v>
      </c>
      <c r="AF89" s="111">
        <f t="shared" si="6"/>
        <v>0</v>
      </c>
      <c r="AG89" s="110" t="str">
        <f t="shared" si="7"/>
        <v>EMP0042 HULESHWAR KUMAR SAHU</v>
      </c>
      <c r="AH89" s="103">
        <f>if(AC89,if(and(hour(AC89+AH$7)&gt;9.5,(hour(AC89+AH$7)&lt;19.5)),AC89+AH$7,_xlfn.workday.intl(int(AC89),1,"0000001",Holidays!A:A)+hour(AC89+AH$7-$B$1)/24+minute(AC89)/1440),"")</f>
        <v>46112.65347</v>
      </c>
      <c r="AI89" s="104">
        <v>46110.51077305556</v>
      </c>
      <c r="AJ89" s="105" t="s">
        <v>14</v>
      </c>
      <c r="AK89" s="111">
        <f t="shared" si="8"/>
        <v>0</v>
      </c>
      <c r="AL89" s="112" t="str">
        <f t="shared" si="9"/>
        <v>EMP0042 HULESHWAR KUMAR SAHU</v>
      </c>
      <c r="AM89" s="113"/>
      <c r="AN89" s="114" t="s">
        <v>672</v>
      </c>
      <c r="AO89" s="115"/>
      <c r="AP89" s="115"/>
      <c r="AQ89" s="115"/>
      <c r="AR89" s="115"/>
      <c r="AS89" s="115"/>
      <c r="AT89" s="115"/>
      <c r="AU89" s="115"/>
      <c r="AV89" s="115"/>
      <c r="AW89" s="115"/>
      <c r="AX89" s="115"/>
      <c r="AY89" s="115"/>
    </row>
    <row r="90">
      <c r="A90" s="95">
        <f t="shared" si="11"/>
        <v>5041</v>
      </c>
      <c r="B90" s="96">
        <v>46109.62683728009</v>
      </c>
      <c r="C90" s="97" t="s">
        <v>469</v>
      </c>
      <c r="D90" s="97" t="s">
        <v>610</v>
      </c>
      <c r="E90" s="98" t="s">
        <v>611</v>
      </c>
      <c r="F90" s="97"/>
      <c r="G90" s="97" t="s">
        <v>614</v>
      </c>
      <c r="H90" s="99" t="s">
        <v>62</v>
      </c>
      <c r="I90" s="100" t="s">
        <v>64</v>
      </c>
      <c r="J90" s="101" t="s">
        <v>47</v>
      </c>
      <c r="K90" s="100"/>
      <c r="L90" s="102" t="s">
        <v>615</v>
      </c>
      <c r="M90" s="103">
        <f>if(B90,if(and(hour(B90+M$7)&gt;9.5,(hour(B90+M$7)&lt;19.5)),B90+M$7,_xlfn.workday.intl(int(B90),1,"0000001",Holidays!A:A)+hour(B90+M$7-$B$1)/24+minute(B90)/1440),"")+2-7/24</f>
        <v>46111.50184</v>
      </c>
      <c r="N90" s="104">
        <v>46109.676335509255</v>
      </c>
      <c r="O90" s="105" t="s">
        <v>14</v>
      </c>
      <c r="P90" s="106">
        <f t="shared" si="1"/>
        <v>0</v>
      </c>
      <c r="Q90" s="107" t="s">
        <v>15</v>
      </c>
      <c r="R90" s="108" t="s">
        <v>434</v>
      </c>
      <c r="S90" s="103">
        <f>if(M90,if(and(hour(M90+S$7)&gt;9.5,(hour(M90+S$7)&lt;19.5)),M90+S$7,_xlfn.workday.intl(int(M90),1,"0000001",Holidays!A:A)+hour(M90+S$7-$B$1)/24+minute(M90)/1440),"")</f>
        <v>46111.50878</v>
      </c>
      <c r="T90" s="104">
        <v>46109.67643415509</v>
      </c>
      <c r="U90" s="105" t="s">
        <v>14</v>
      </c>
      <c r="V90" s="109">
        <f t="shared" si="2"/>
        <v>0</v>
      </c>
      <c r="W90" s="110" t="str">
        <f t="shared" si="3"/>
        <v>EMP0042 HULESHWAR KUMAR SAHU</v>
      </c>
      <c r="X90" s="103">
        <f>if(S90,if(and(hour(S90+X$7)&gt;9.5,(hour(S90+X$7)&lt;19.5)),S90+X$7,_xlfn.workday.intl(int(S90),1,"0000001",Holidays!A:A)+hour(S90+X$7-$B$1)/24+minute(S90)/1440),"")</f>
        <v>46111.61295</v>
      </c>
      <c r="Y90" s="104">
        <v>46109.676777789355</v>
      </c>
      <c r="Z90" s="105" t="s">
        <v>14</v>
      </c>
      <c r="AA90" s="111">
        <f t="shared" si="4"/>
        <v>0</v>
      </c>
      <c r="AB90" s="110" t="str">
        <f t="shared" si="5"/>
        <v>EMP0042 HULESHWAR KUMAR SAHU</v>
      </c>
      <c r="AC90" s="103">
        <f>if(X90,_xlfn.WORKDAY.INTL(X90,AC$7,"0000001",Holidays!A:A)+hour(X90)/24+MINUTE(X90)/1440,"")</f>
        <v>46112.6125</v>
      </c>
      <c r="AD90" s="104">
        <v>46110.59368672453</v>
      </c>
      <c r="AE90" s="105" t="s">
        <v>14</v>
      </c>
      <c r="AF90" s="111">
        <f t="shared" si="6"/>
        <v>0</v>
      </c>
      <c r="AG90" s="110" t="str">
        <f t="shared" si="7"/>
        <v>EMP0042 HULESHWAR KUMAR SAHU</v>
      </c>
      <c r="AH90" s="103">
        <f>if(AC90,if(and(hour(AC90+AH$7)&gt;9.5,(hour(AC90+AH$7)&lt;19.5)),AC90+AH$7,_xlfn.workday.intl(int(AC90),1,"0000001",Holidays!A:A)+hour(AC90+AH$7-$B$1)/24+minute(AC90)/1440),"")</f>
        <v>46112.65417</v>
      </c>
      <c r="AI90" s="104">
        <v>46110.593721805555</v>
      </c>
      <c r="AJ90" s="105" t="s">
        <v>14</v>
      </c>
      <c r="AK90" s="111">
        <f t="shared" si="8"/>
        <v>0</v>
      </c>
      <c r="AL90" s="112" t="str">
        <f t="shared" si="9"/>
        <v>EMP0042 HULESHWAR KUMAR SAHU</v>
      </c>
      <c r="AM90" s="113"/>
      <c r="AN90" s="114" t="s">
        <v>672</v>
      </c>
      <c r="AO90" s="115"/>
      <c r="AP90" s="115"/>
      <c r="AQ90" s="115"/>
      <c r="AR90" s="115"/>
      <c r="AS90" s="115"/>
      <c r="AT90" s="115"/>
      <c r="AU90" s="115"/>
      <c r="AV90" s="115"/>
      <c r="AW90" s="115"/>
      <c r="AX90" s="115"/>
      <c r="AY90" s="115"/>
    </row>
    <row r="91">
      <c r="A91" s="95">
        <f t="shared" si="11"/>
        <v>5042</v>
      </c>
      <c r="B91" s="96">
        <v>46109.62792107639</v>
      </c>
      <c r="C91" s="97" t="s">
        <v>474</v>
      </c>
      <c r="D91" s="97" t="s">
        <v>225</v>
      </c>
      <c r="E91" s="98" t="s">
        <v>616</v>
      </c>
      <c r="F91" s="97"/>
      <c r="G91" s="97" t="s">
        <v>619</v>
      </c>
      <c r="H91" s="99" t="s">
        <v>138</v>
      </c>
      <c r="I91" s="100" t="s">
        <v>64</v>
      </c>
      <c r="J91" s="101" t="s">
        <v>223</v>
      </c>
      <c r="K91" s="100"/>
      <c r="L91" s="102" t="s">
        <v>620</v>
      </c>
      <c r="M91" s="103">
        <f>if(B91,if(and(hour(B91+M$7)&gt;9.5,(hour(B91+M$7)&lt;19.5)),B91+M$7,_xlfn.workday.intl(int(B91),1,"0000001",Holidays!A:A)+hour(B91+M$7-$B$1)/24+minute(B91)/1440),"")+2-7/24</f>
        <v>46111.50292</v>
      </c>
      <c r="N91" s="104">
        <v>46109.67652465278</v>
      </c>
      <c r="O91" s="105" t="s">
        <v>14</v>
      </c>
      <c r="P91" s="106">
        <f t="shared" si="1"/>
        <v>0</v>
      </c>
      <c r="Q91" s="107" t="s">
        <v>15</v>
      </c>
      <c r="R91" s="108" t="s">
        <v>434</v>
      </c>
      <c r="S91" s="103">
        <f>if(M91,if(and(hour(M91+S$7)&gt;9.5,(hour(M91+S$7)&lt;19.5)),M91+S$7,_xlfn.workday.intl(int(M91),1,"0000001",Holidays!A:A)+hour(M91+S$7-$B$1)/24+minute(M91)/1440),"")</f>
        <v>46111.50987</v>
      </c>
      <c r="T91" s="104">
        <v>46109.67658171296</v>
      </c>
      <c r="U91" s="105" t="s">
        <v>14</v>
      </c>
      <c r="V91" s="109">
        <f t="shared" si="2"/>
        <v>0</v>
      </c>
      <c r="W91" s="110" t="str">
        <f t="shared" si="3"/>
        <v>EMP0042 HULESHWAR KUMAR SAHU</v>
      </c>
      <c r="X91" s="103">
        <f>if(S91,if(and(hour(S91+X$7)&gt;9.5,(hour(S91+X$7)&lt;19.5)),S91+X$7,_xlfn.workday.intl(int(S91),1,"0000001",Holidays!A:A)+hour(S91+X$7-$B$1)/24+minute(S91)/1440),"")</f>
        <v>46111.61403</v>
      </c>
      <c r="Y91" s="104">
        <v>46109.67679510417</v>
      </c>
      <c r="Z91" s="105" t="s">
        <v>14</v>
      </c>
      <c r="AA91" s="111">
        <f t="shared" si="4"/>
        <v>0</v>
      </c>
      <c r="AB91" s="110" t="str">
        <f t="shared" si="5"/>
        <v>EMP0042 HULESHWAR KUMAR SAHU</v>
      </c>
      <c r="AC91" s="103">
        <f>if(X91,_xlfn.WORKDAY.INTL(X91,AC$7,"0000001",Holidays!A:A)+hour(X91)/24+MINUTE(X91)/1440,"")</f>
        <v>46112.61389</v>
      </c>
      <c r="AD91" s="104">
        <v>46110.594001875</v>
      </c>
      <c r="AE91" s="105" t="s">
        <v>14</v>
      </c>
      <c r="AF91" s="111">
        <f t="shared" si="6"/>
        <v>0</v>
      </c>
      <c r="AG91" s="110" t="str">
        <f t="shared" si="7"/>
        <v>EMP0042 HULESHWAR KUMAR SAHU</v>
      </c>
      <c r="AH91" s="103">
        <f>if(AC91,if(and(hour(AC91+AH$7)&gt;9.5,(hour(AC91+AH$7)&lt;19.5)),AC91+AH$7,_xlfn.workday.intl(int(AC91),1,"0000001",Holidays!A:A)+hour(AC91+AH$7-$B$1)/24+minute(AC91)/1440),"")</f>
        <v>46112.65556</v>
      </c>
      <c r="AI91" s="104">
        <v>46110.59404266204</v>
      </c>
      <c r="AJ91" s="105" t="s">
        <v>14</v>
      </c>
      <c r="AK91" s="111">
        <f t="shared" si="8"/>
        <v>0</v>
      </c>
      <c r="AL91" s="112" t="str">
        <f t="shared" si="9"/>
        <v>EMP0042 HULESHWAR KUMAR SAHU</v>
      </c>
      <c r="AM91" s="113"/>
      <c r="AN91" s="114" t="s">
        <v>672</v>
      </c>
      <c r="AO91" s="115"/>
      <c r="AP91" s="115"/>
      <c r="AQ91" s="115"/>
      <c r="AR91" s="115"/>
      <c r="AS91" s="115"/>
      <c r="AT91" s="115"/>
      <c r="AU91" s="115"/>
      <c r="AV91" s="115"/>
      <c r="AW91" s="115"/>
      <c r="AX91" s="115"/>
      <c r="AY91" s="115"/>
    </row>
    <row r="92">
      <c r="A92" s="95">
        <f t="shared" si="11"/>
        <v>5043</v>
      </c>
      <c r="B92" s="96">
        <v>46109.631411064816</v>
      </c>
      <c r="C92" s="97" t="s">
        <v>355</v>
      </c>
      <c r="D92" s="97" t="s">
        <v>122</v>
      </c>
      <c r="E92" s="98" t="s">
        <v>621</v>
      </c>
      <c r="F92" s="98" t="s">
        <v>626</v>
      </c>
      <c r="G92" s="97" t="s">
        <v>624</v>
      </c>
      <c r="H92" s="99" t="s">
        <v>62</v>
      </c>
      <c r="I92" s="100" t="s">
        <v>64</v>
      </c>
      <c r="J92" s="101" t="s">
        <v>465</v>
      </c>
      <c r="K92" s="100"/>
      <c r="L92" s="102" t="s">
        <v>625</v>
      </c>
      <c r="M92" s="103">
        <f>if(B92,if(and(hour(B92+M$7)&gt;9.5,(hour(B92+M$7)&lt;19.5)),B92+M$7,_xlfn.workday.intl(int(B92),1,"0000001",Holidays!A:A)+hour(B92+M$7-$B$1)/24+minute(B92)/1440),"")+2-7/24</f>
        <v>46111.50641</v>
      </c>
      <c r="N92" s="104">
        <v>46109.676617986115</v>
      </c>
      <c r="O92" s="105" t="s">
        <v>14</v>
      </c>
      <c r="P92" s="106">
        <f t="shared" si="1"/>
        <v>0</v>
      </c>
      <c r="Q92" s="107" t="s">
        <v>15</v>
      </c>
      <c r="R92" s="108" t="s">
        <v>434</v>
      </c>
      <c r="S92" s="103">
        <f>if(M92,if(and(hour(M92+S$7)&gt;9.5,(hour(M92+S$7)&lt;19.5)),M92+S$7,_xlfn.workday.intl(int(M92),1,"0000001",Holidays!A:A)+hour(M92+S$7-$B$1)/24+minute(M92)/1440),"")</f>
        <v>46111.51336</v>
      </c>
      <c r="T92" s="104">
        <v>46109.67671506944</v>
      </c>
      <c r="U92" s="105" t="s">
        <v>14</v>
      </c>
      <c r="V92" s="109">
        <f t="shared" si="2"/>
        <v>0</v>
      </c>
      <c r="W92" s="110" t="str">
        <f t="shared" si="3"/>
        <v>EMP0042 HULESHWAR KUMAR SAHU</v>
      </c>
      <c r="X92" s="103">
        <f>if(S92,if(and(hour(S92+X$7)&gt;9.5,(hour(S92+X$7)&lt;19.5)),S92+X$7,_xlfn.workday.intl(int(S92),1,"0000001",Holidays!A:A)+hour(S92+X$7-$B$1)/24+minute(S92)/1440),"")</f>
        <v>46111.61752</v>
      </c>
      <c r="Y92" s="104">
        <v>46109.67681326389</v>
      </c>
      <c r="Z92" s="105" t="s">
        <v>14</v>
      </c>
      <c r="AA92" s="111">
        <f t="shared" si="4"/>
        <v>0</v>
      </c>
      <c r="AB92" s="110" t="str">
        <f t="shared" si="5"/>
        <v>EMP0042 HULESHWAR KUMAR SAHU</v>
      </c>
      <c r="AC92" s="103">
        <f>if(X92,_xlfn.WORKDAY.INTL(X92,AC$7,"0000001",Holidays!A:A)+hour(X92)/24+MINUTE(X92)/1440,"")</f>
        <v>46112.61736</v>
      </c>
      <c r="AD92" s="104">
        <v>46109.68442622686</v>
      </c>
      <c r="AE92" s="105" t="s">
        <v>14</v>
      </c>
      <c r="AF92" s="111">
        <f t="shared" si="6"/>
        <v>0</v>
      </c>
      <c r="AG92" s="110" t="str">
        <f t="shared" si="7"/>
        <v>EMP0042 HULESHWAR KUMAR SAHU</v>
      </c>
      <c r="AH92" s="103">
        <f>if(AC92,if(and(hour(AC92+AH$7)&gt;9.5,(hour(AC92+AH$7)&lt;19.5)),AC92+AH$7,_xlfn.workday.intl(int(AC92),1,"0000001",Holidays!A:A)+hour(AC92+AH$7-$B$1)/24+minute(AC92)/1440),"")</f>
        <v>46112.65903</v>
      </c>
      <c r="AI92" s="104">
        <v>46109.68443366898</v>
      </c>
      <c r="AJ92" s="105" t="s">
        <v>14</v>
      </c>
      <c r="AK92" s="111">
        <f t="shared" si="8"/>
        <v>0</v>
      </c>
      <c r="AL92" s="112" t="str">
        <f t="shared" si="9"/>
        <v>EMP0042 HULESHWAR KUMAR SAHU</v>
      </c>
      <c r="AM92" s="113"/>
      <c r="AN92" s="114" t="s">
        <v>672</v>
      </c>
      <c r="AO92" s="115"/>
      <c r="AP92" s="115"/>
      <c r="AQ92" s="115"/>
      <c r="AR92" s="115"/>
      <c r="AS92" s="115"/>
      <c r="AT92" s="115"/>
      <c r="AU92" s="115"/>
      <c r="AV92" s="115"/>
      <c r="AW92" s="115"/>
      <c r="AX92" s="115"/>
      <c r="AY92" s="115"/>
    </row>
    <row r="93">
      <c r="A93" s="95">
        <f t="shared" si="11"/>
        <v>5044</v>
      </c>
      <c r="B93" s="96">
        <v>46111.52355054398</v>
      </c>
      <c r="C93" s="97" t="s">
        <v>482</v>
      </c>
      <c r="D93" s="97" t="s">
        <v>357</v>
      </c>
      <c r="E93" s="98" t="s">
        <v>629</v>
      </c>
      <c r="F93" s="97"/>
      <c r="G93" s="97" t="s">
        <v>632</v>
      </c>
      <c r="H93" s="99" t="s">
        <v>138</v>
      </c>
      <c r="I93" s="100" t="s">
        <v>64</v>
      </c>
      <c r="J93" s="101" t="s">
        <v>356</v>
      </c>
      <c r="K93" s="100"/>
      <c r="L93" s="102" t="s">
        <v>633</v>
      </c>
      <c r="M93" s="103">
        <f>if(B93,if(and(hour(B93+M$7)&gt;9.5,(hour(B93+M$7)&lt;19.5)),B93+M$7,_xlfn.workday.intl(int(B93),1,"0000001",Holidays!A:A)+hour(B93+M$7-$B$1)/24+minute(B93)/1440),"")</f>
        <v>46111.69022</v>
      </c>
      <c r="N93" s="104">
        <v>46111.546001712966</v>
      </c>
      <c r="O93" s="105" t="s">
        <v>14</v>
      </c>
      <c r="P93" s="106">
        <f t="shared" si="1"/>
        <v>0</v>
      </c>
      <c r="Q93" s="107" t="s">
        <v>48</v>
      </c>
      <c r="R93" s="108" t="s">
        <v>434</v>
      </c>
      <c r="S93" s="103">
        <f>if(M93,if(and(hour(M93+S$7)&gt;9.5,(hour(M93+S$7)&lt;19.5)),M93+S$7,_xlfn.workday.intl(int(M93),1,"0000001",Holidays!A:A)+hour(M93+S$7-$B$1)/24+minute(M93)/1440),"")</f>
        <v>46111.69716</v>
      </c>
      <c r="T93" s="104">
        <v>46111.546091446755</v>
      </c>
      <c r="U93" s="105" t="s">
        <v>14</v>
      </c>
      <c r="V93" s="109">
        <f t="shared" si="2"/>
        <v>0</v>
      </c>
      <c r="W93" s="110" t="str">
        <f t="shared" si="3"/>
        <v>EMP0237 Swarnendu Chakraborty</v>
      </c>
      <c r="X93" s="103">
        <f>if(S93,if(and(hour(S93+X$7)&gt;9.5,(hour(S93+X$7)&lt;19.5)),S93+X$7,_xlfn.workday.intl(int(S93),1,"0000001",Holidays!A:A)+hour(S93+X$7-$B$1)/24+minute(S93)/1440),"")</f>
        <v>46111.80133</v>
      </c>
      <c r="Y93" s="104">
        <v>46111.546137488425</v>
      </c>
      <c r="Z93" s="105" t="s">
        <v>14</v>
      </c>
      <c r="AA93" s="111">
        <f t="shared" si="4"/>
        <v>0</v>
      </c>
      <c r="AB93" s="110" t="str">
        <f t="shared" si="5"/>
        <v>EMP0237 Swarnendu Chakraborty</v>
      </c>
      <c r="AC93" s="103">
        <f>if(X93,_xlfn.WORKDAY.INTL(X93,AC$7,"0000001",Holidays!A:A)+hour(X93)/24+MINUTE(X93)/1440,"")</f>
        <v>46112.80069</v>
      </c>
      <c r="AD93" s="104">
        <v>46111.54586644676</v>
      </c>
      <c r="AE93" s="105" t="s">
        <v>14</v>
      </c>
      <c r="AF93" s="111">
        <f t="shared" si="6"/>
        <v>0</v>
      </c>
      <c r="AG93" s="110" t="str">
        <f t="shared" si="7"/>
        <v>EMP0237 Swarnendu Chakraborty</v>
      </c>
      <c r="AH93" s="103">
        <f>if(AC93,if(and(hour(AC93+AH$7)&gt;9.5,(hour(AC93+AH$7)&lt;19.5)),AC93+AH$7,_xlfn.workday.intl(int(AC93),1,"0000001",Holidays!A:A)+hour(AC93+AH$7-$B$1)/24+minute(AC93)/1440),"")</f>
        <v>46113.42569</v>
      </c>
      <c r="AI93" s="104">
        <v>46112.44664329861</v>
      </c>
      <c r="AJ93" s="105" t="s">
        <v>14</v>
      </c>
      <c r="AK93" s="111">
        <f t="shared" si="8"/>
        <v>0</v>
      </c>
      <c r="AL93" s="112" t="str">
        <f t="shared" si="9"/>
        <v>EMP0237 Swarnendu Chakraborty</v>
      </c>
      <c r="AM93" s="113"/>
      <c r="AN93" s="114" t="s">
        <v>672</v>
      </c>
      <c r="AO93" s="115"/>
      <c r="AP93" s="115"/>
      <c r="AQ93" s="115"/>
      <c r="AR93" s="115"/>
      <c r="AS93" s="115"/>
      <c r="AT93" s="115"/>
      <c r="AU93" s="115"/>
      <c r="AV93" s="115"/>
      <c r="AW93" s="115"/>
      <c r="AX93" s="115"/>
      <c r="AY93" s="115"/>
    </row>
    <row r="94">
      <c r="A94" s="95">
        <f t="shared" si="11"/>
        <v>5045</v>
      </c>
      <c r="B94" s="96">
        <v>46111.5898325</v>
      </c>
      <c r="C94" s="97" t="s">
        <v>74</v>
      </c>
      <c r="D94" s="97" t="s">
        <v>106</v>
      </c>
      <c r="E94" s="98" t="s">
        <v>634</v>
      </c>
      <c r="F94" s="98" t="s">
        <v>638</v>
      </c>
      <c r="G94" s="97" t="s">
        <v>117</v>
      </c>
      <c r="H94" s="99" t="s">
        <v>62</v>
      </c>
      <c r="I94" s="100" t="s">
        <v>64</v>
      </c>
      <c r="J94" s="101" t="s">
        <v>539</v>
      </c>
      <c r="K94" s="100"/>
      <c r="L94" s="102" t="s">
        <v>637</v>
      </c>
      <c r="M94" s="103">
        <f>if(B94,if(and(hour(B94+M$7)&gt;9.5,(hour(B94+M$7)&lt;19.5)),B94+M$7,_xlfn.workday.intl(int(B94),1,"0000001",Holidays!A:A)+hour(B94+M$7-$B$1)/24+minute(B94)/1440),"")</f>
        <v>46111.7565</v>
      </c>
      <c r="N94" s="104">
        <v>46111.656170636576</v>
      </c>
      <c r="O94" s="105" t="s">
        <v>14</v>
      </c>
      <c r="P94" s="106">
        <f t="shared" si="1"/>
        <v>0</v>
      </c>
      <c r="Q94" s="107" t="s">
        <v>72</v>
      </c>
      <c r="R94" s="108" t="s">
        <v>434</v>
      </c>
      <c r="S94" s="103">
        <f>if(M94,if(and(hour(M94+S$7)&gt;9.5,(hour(M94+S$7)&lt;19.5)),M94+S$7,_xlfn.workday.intl(int(M94),1,"0000001",Holidays!A:A)+hour(M94+S$7-$B$1)/24+minute(M94)/1440),"")</f>
        <v>46111.76344</v>
      </c>
      <c r="T94" s="104">
        <v>46111.65651188657</v>
      </c>
      <c r="U94" s="105" t="s">
        <v>14</v>
      </c>
      <c r="V94" s="109">
        <f t="shared" si="2"/>
        <v>0</v>
      </c>
      <c r="W94" s="110" t="str">
        <f t="shared" si="3"/>
        <v>EMP5009 Rup Kumar Mandal</v>
      </c>
      <c r="X94" s="103">
        <f>if(S94,if(and(hour(S94+X$7)&gt;9.5,(hour(S94+X$7)&lt;19.5)),S94+X$7,_xlfn.workday.intl(int(S94),1,"0000001",Holidays!A:A)+hour(S94+X$7-$B$1)/24+minute(S94)/1440),"")</f>
        <v>46112.42986</v>
      </c>
      <c r="Y94" s="104">
        <v>46111.6565616088</v>
      </c>
      <c r="Z94" s="105" t="s">
        <v>14</v>
      </c>
      <c r="AA94" s="111">
        <f t="shared" si="4"/>
        <v>0</v>
      </c>
      <c r="AB94" s="110" t="str">
        <f t="shared" si="5"/>
        <v>EMP5009 Rup Kumar Mandal</v>
      </c>
      <c r="AC94" s="103">
        <f>if(X94,_xlfn.WORKDAY.INTL(X94,AC$7,"0000001",Holidays!A:A)+hour(X94)/24+MINUTE(X94)/1440,"")</f>
        <v>46113.42986</v>
      </c>
      <c r="AD94" s="104">
        <v>46112.562635995375</v>
      </c>
      <c r="AE94" s="105" t="s">
        <v>14</v>
      </c>
      <c r="AF94" s="111">
        <f t="shared" si="6"/>
        <v>0</v>
      </c>
      <c r="AG94" s="110" t="str">
        <f t="shared" si="7"/>
        <v>EMP5009 Rup Kumar Mandal</v>
      </c>
      <c r="AH94" s="103">
        <f>if(AC94,if(and(hour(AC94+AH$7)&gt;9.5,(hour(AC94+AH$7)&lt;19.5)),AC94+AH$7,_xlfn.workday.intl(int(AC94),1,"0000001",Holidays!A:A)+hour(AC94+AH$7-$B$1)/24+minute(AC94)/1440),"")</f>
        <v>46113.47153</v>
      </c>
      <c r="AI94" s="104">
        <v>46112.5627428588</v>
      </c>
      <c r="AJ94" s="105" t="s">
        <v>14</v>
      </c>
      <c r="AK94" s="111">
        <f t="shared" si="8"/>
        <v>0</v>
      </c>
      <c r="AL94" s="112" t="str">
        <f t="shared" si="9"/>
        <v>EMP5009 Rup Kumar Mandal</v>
      </c>
      <c r="AM94" s="113"/>
      <c r="AN94" s="114" t="s">
        <v>672</v>
      </c>
      <c r="AO94" s="115"/>
      <c r="AP94" s="115"/>
      <c r="AQ94" s="115"/>
      <c r="AR94" s="115"/>
      <c r="AS94" s="115"/>
      <c r="AT94" s="115"/>
      <c r="AU94" s="115"/>
      <c r="AV94" s="115"/>
      <c r="AW94" s="115"/>
      <c r="AX94" s="115"/>
      <c r="AY94" s="115"/>
    </row>
    <row r="95">
      <c r="A95" s="95">
        <f t="shared" si="11"/>
        <v>5046</v>
      </c>
      <c r="B95" s="96">
        <v>46111.639558888884</v>
      </c>
      <c r="C95" s="97">
        <v>3629.0</v>
      </c>
      <c r="D95" s="97" t="s">
        <v>255</v>
      </c>
      <c r="E95" s="98" t="s">
        <v>642</v>
      </c>
      <c r="F95" s="97"/>
      <c r="G95" s="97" t="s">
        <v>644</v>
      </c>
      <c r="H95" s="99" t="s">
        <v>62</v>
      </c>
      <c r="I95" s="100" t="s">
        <v>64</v>
      </c>
      <c r="J95" s="101" t="s">
        <v>641</v>
      </c>
      <c r="K95" s="100"/>
      <c r="L95" s="102" t="s">
        <v>645</v>
      </c>
      <c r="M95" s="103">
        <f>if(B95,if(and(hour(B95+M$7)&gt;9.5,(hour(B95+M$7)&lt;19.5)),B95+M$7,_xlfn.workday.intl(int(B95),1,"0000001",Holidays!A:A)+hour(B95+M$7-$B$1)/24+minute(B95)/1440),"")</f>
        <v>46111.80623</v>
      </c>
      <c r="N95" s="104">
        <v>46111.65617724537</v>
      </c>
      <c r="O95" s="105" t="s">
        <v>14</v>
      </c>
      <c r="P95" s="106">
        <f t="shared" si="1"/>
        <v>0</v>
      </c>
      <c r="Q95" s="107" t="s">
        <v>72</v>
      </c>
      <c r="R95" s="108" t="s">
        <v>434</v>
      </c>
      <c r="S95" s="103">
        <f>if(M95,if(and(hour(M95+S$7)&gt;9.5,(hour(M95+S$7)&lt;19.5)),M95+S$7,_xlfn.workday.intl(int(M95),1,"0000001",Holidays!A:A)+hour(M95+S$7-$B$1)/24+minute(M95)/1440),"")</f>
        <v>46111.81317</v>
      </c>
      <c r="T95" s="104">
        <v>46111.65646940972</v>
      </c>
      <c r="U95" s="105" t="s">
        <v>14</v>
      </c>
      <c r="V95" s="109">
        <f t="shared" si="2"/>
        <v>0</v>
      </c>
      <c r="W95" s="110" t="str">
        <f t="shared" si="3"/>
        <v>EMP5009 Rup Kumar Mandal</v>
      </c>
      <c r="X95" s="103">
        <f>if(S95,if(and(hour(S95+X$7)&gt;9.5,(hour(S95+X$7)&lt;19.5)),S95+X$7,_xlfn.workday.intl(int(S95),1,"0000001",Holidays!A:A)+hour(S95+X$7-$B$1)/24+minute(S95)/1440),"")</f>
        <v>46112.52083</v>
      </c>
      <c r="Y95" s="104">
        <v>46111.6565616088</v>
      </c>
      <c r="Z95" s="105" t="s">
        <v>14</v>
      </c>
      <c r="AA95" s="111">
        <f t="shared" si="4"/>
        <v>0</v>
      </c>
      <c r="AB95" s="110" t="str">
        <f t="shared" si="5"/>
        <v>EMP5009 Rup Kumar Mandal</v>
      </c>
      <c r="AC95" s="103">
        <f>if(X95,_xlfn.WORKDAY.INTL(X95,AC$7,"0000001",Holidays!A:A)+hour(X95)/24+MINUTE(X95)/1440,"")</f>
        <v>46113.52083</v>
      </c>
      <c r="AD95" s="104">
        <v>46112.5626625</v>
      </c>
      <c r="AE95" s="105" t="s">
        <v>14</v>
      </c>
      <c r="AF95" s="111">
        <f t="shared" si="6"/>
        <v>0</v>
      </c>
      <c r="AG95" s="110" t="str">
        <f t="shared" si="7"/>
        <v>EMP5009 Rup Kumar Mandal</v>
      </c>
      <c r="AH95" s="103">
        <f>if(AC95,if(and(hour(AC95+AH$7)&gt;9.5,(hour(AC95+AH$7)&lt;19.5)),AC95+AH$7,_xlfn.workday.intl(int(AC95),1,"0000001",Holidays!A:A)+hour(AC95+AH$7-$B$1)/24+minute(AC95)/1440),"")</f>
        <v>46113.5625</v>
      </c>
      <c r="AI95" s="104">
        <v>46112.5627428588</v>
      </c>
      <c r="AJ95" s="105" t="s">
        <v>14</v>
      </c>
      <c r="AK95" s="111">
        <f t="shared" si="8"/>
        <v>0</v>
      </c>
      <c r="AL95" s="112" t="str">
        <f t="shared" si="9"/>
        <v>EMP5009 Rup Kumar Mandal</v>
      </c>
      <c r="AM95" s="113"/>
      <c r="AN95" s="114" t="s">
        <v>672</v>
      </c>
      <c r="AO95" s="115"/>
      <c r="AP95" s="115"/>
      <c r="AQ95" s="115"/>
      <c r="AR95" s="115"/>
      <c r="AS95" s="115"/>
      <c r="AT95" s="115"/>
      <c r="AU95" s="115"/>
      <c r="AV95" s="115"/>
      <c r="AW95" s="115"/>
      <c r="AX95" s="115"/>
      <c r="AY95" s="115"/>
    </row>
    <row r="96">
      <c r="A96" s="95">
        <f t="shared" si="11"/>
        <v>5047</v>
      </c>
      <c r="B96" s="96">
        <v>46111.640718263894</v>
      </c>
      <c r="C96" s="97">
        <v>3630.0</v>
      </c>
      <c r="D96" s="97" t="s">
        <v>255</v>
      </c>
      <c r="E96" s="98" t="s">
        <v>647</v>
      </c>
      <c r="F96" s="97"/>
      <c r="G96" s="97" t="s">
        <v>648</v>
      </c>
      <c r="H96" s="99" t="s">
        <v>62</v>
      </c>
      <c r="I96" s="100" t="s">
        <v>64</v>
      </c>
      <c r="J96" s="101" t="s">
        <v>641</v>
      </c>
      <c r="K96" s="100"/>
      <c r="L96" s="102" t="s">
        <v>650</v>
      </c>
      <c r="M96" s="103">
        <f>if(B96,if(and(hour(B96+M$7)&gt;9.5,(hour(B96+M$7)&lt;19.5)),B96+M$7,_xlfn.workday.intl(int(B96),1,"0000001",Holidays!A:A)+hour(B96+M$7-$B$1)/24+minute(B96)/1440),"")</f>
        <v>46111.80738</v>
      </c>
      <c r="N96" s="104">
        <v>46111.65618880787</v>
      </c>
      <c r="O96" s="105" t="s">
        <v>14</v>
      </c>
      <c r="P96" s="106">
        <f t="shared" si="1"/>
        <v>0</v>
      </c>
      <c r="Q96" s="107" t="s">
        <v>72</v>
      </c>
      <c r="R96" s="108" t="s">
        <v>434</v>
      </c>
      <c r="S96" s="103">
        <f>if(M96,if(and(hour(M96+S$7)&gt;9.5,(hour(M96+S$7)&lt;19.5)),M96+S$7,_xlfn.workday.intl(int(M96),1,"0000001",Holidays!A:A)+hour(M96+S$7-$B$1)/24+minute(M96)/1440),"")</f>
        <v>46111.81433</v>
      </c>
      <c r="T96" s="104">
        <v>46111.6564825463</v>
      </c>
      <c r="U96" s="105" t="s">
        <v>14</v>
      </c>
      <c r="V96" s="109">
        <f t="shared" si="2"/>
        <v>0</v>
      </c>
      <c r="W96" s="110" t="str">
        <f t="shared" si="3"/>
        <v>EMP5009 Rup Kumar Mandal</v>
      </c>
      <c r="X96" s="103">
        <f>if(S96,if(and(hour(S96+X$7)&gt;9.5,(hour(S96+X$7)&lt;19.5)),S96+X$7,_xlfn.workday.intl(int(S96),1,"0000001",Holidays!A:A)+hour(S96+X$7-$B$1)/24+minute(S96)/1440),"")</f>
        <v>46112.52222</v>
      </c>
      <c r="Y96" s="104">
        <v>46111.6565616088</v>
      </c>
      <c r="Z96" s="105" t="s">
        <v>14</v>
      </c>
      <c r="AA96" s="111">
        <f t="shared" si="4"/>
        <v>0</v>
      </c>
      <c r="AB96" s="110" t="str">
        <f t="shared" si="5"/>
        <v>EMP5009 Rup Kumar Mandal</v>
      </c>
      <c r="AC96" s="103">
        <f>if(X96,_xlfn.WORKDAY.INTL(X96,AC$7,"0000001",Holidays!A:A)+hour(X96)/24+MINUTE(X96)/1440,"")</f>
        <v>46113.52222</v>
      </c>
      <c r="AD96" s="104">
        <v>46112.56266835648</v>
      </c>
      <c r="AE96" s="105" t="s">
        <v>14</v>
      </c>
      <c r="AF96" s="111">
        <f t="shared" si="6"/>
        <v>0</v>
      </c>
      <c r="AG96" s="110" t="str">
        <f t="shared" si="7"/>
        <v>EMP5009 Rup Kumar Mandal</v>
      </c>
      <c r="AH96" s="103">
        <f>if(AC96,if(and(hour(AC96+AH$7)&gt;9.5,(hour(AC96+AH$7)&lt;19.5)),AC96+AH$7,_xlfn.workday.intl(int(AC96),1,"0000001",Holidays!A:A)+hour(AC96+AH$7-$B$1)/24+minute(AC96)/1440),"")</f>
        <v>46113.56389</v>
      </c>
      <c r="AI96" s="104">
        <v>46112.562750439814</v>
      </c>
      <c r="AJ96" s="105" t="s">
        <v>14</v>
      </c>
      <c r="AK96" s="111">
        <f t="shared" si="8"/>
        <v>0</v>
      </c>
      <c r="AL96" s="112" t="str">
        <f t="shared" si="9"/>
        <v>EMP5009 Rup Kumar Mandal</v>
      </c>
      <c r="AM96" s="113"/>
      <c r="AN96" s="114" t="s">
        <v>672</v>
      </c>
      <c r="AO96" s="115"/>
      <c r="AP96" s="115"/>
      <c r="AQ96" s="115"/>
      <c r="AR96" s="115"/>
      <c r="AS96" s="115"/>
      <c r="AT96" s="115"/>
      <c r="AU96" s="115"/>
      <c r="AV96" s="115"/>
      <c r="AW96" s="115"/>
      <c r="AX96" s="115"/>
      <c r="AY96" s="115"/>
    </row>
    <row r="97">
      <c r="A97" s="95">
        <f t="shared" si="11"/>
        <v>5048</v>
      </c>
      <c r="B97" s="96">
        <v>46111.641459583334</v>
      </c>
      <c r="C97" s="97">
        <v>3629.0</v>
      </c>
      <c r="D97" s="97" t="s">
        <v>255</v>
      </c>
      <c r="E97" s="98" t="s">
        <v>651</v>
      </c>
      <c r="F97" s="97"/>
      <c r="G97" s="97" t="s">
        <v>648</v>
      </c>
      <c r="H97" s="99" t="s">
        <v>62</v>
      </c>
      <c r="I97" s="100" t="s">
        <v>64</v>
      </c>
      <c r="J97" s="101" t="s">
        <v>641</v>
      </c>
      <c r="K97" s="100"/>
      <c r="L97" s="102" t="s">
        <v>653</v>
      </c>
      <c r="M97" s="103">
        <f>if(B97,if(and(hour(B97+M$7)&gt;9.5,(hour(B97+M$7)&lt;19.5)),B97+M$7,_xlfn.workday.intl(int(B97),1,"0000001",Holidays!A:A)+hour(B97+M$7-$B$1)/24+minute(B97)/1440),"")</f>
        <v>46111.80813</v>
      </c>
      <c r="N97" s="104">
        <v>46111.65618880787</v>
      </c>
      <c r="O97" s="105" t="s">
        <v>14</v>
      </c>
      <c r="P97" s="106">
        <f t="shared" si="1"/>
        <v>0</v>
      </c>
      <c r="Q97" s="107" t="s">
        <v>72</v>
      </c>
      <c r="R97" s="108" t="s">
        <v>434</v>
      </c>
      <c r="S97" s="103">
        <f>if(M97,if(and(hour(M97+S$7)&gt;9.5,(hour(M97+S$7)&lt;19.5)),M97+S$7,_xlfn.workday.intl(int(M97),1,"0000001",Holidays!A:A)+hour(M97+S$7-$B$1)/24+minute(M97)/1440),"")</f>
        <v>46111.81507</v>
      </c>
      <c r="T97" s="104">
        <v>46111.65650326389</v>
      </c>
      <c r="U97" s="105" t="s">
        <v>14</v>
      </c>
      <c r="V97" s="109">
        <f t="shared" si="2"/>
        <v>0</v>
      </c>
      <c r="W97" s="110" t="str">
        <f t="shared" si="3"/>
        <v>EMP5009 Rup Kumar Mandal</v>
      </c>
      <c r="X97" s="103">
        <f>if(S97,if(and(hour(S97+X$7)&gt;9.5,(hour(S97+X$7)&lt;19.5)),S97+X$7,_xlfn.workday.intl(int(S97),1,"0000001",Holidays!A:A)+hour(S97+X$7-$B$1)/24+minute(S97)/1440),"")</f>
        <v>46112.52292</v>
      </c>
      <c r="Y97" s="104">
        <v>46111.65656319444</v>
      </c>
      <c r="Z97" s="105" t="s">
        <v>14</v>
      </c>
      <c r="AA97" s="111">
        <f t="shared" si="4"/>
        <v>0</v>
      </c>
      <c r="AB97" s="110" t="str">
        <f t="shared" si="5"/>
        <v>EMP5009 Rup Kumar Mandal</v>
      </c>
      <c r="AC97" s="103">
        <f>if(X97,_xlfn.WORKDAY.INTL(X97,AC$7,"0000001",Holidays!A:A)+hour(X97)/24+MINUTE(X97)/1440,"")</f>
        <v>46113.52292</v>
      </c>
      <c r="AD97" s="104">
        <v>46112.56266835648</v>
      </c>
      <c r="AE97" s="105" t="s">
        <v>14</v>
      </c>
      <c r="AF97" s="111">
        <f t="shared" si="6"/>
        <v>0</v>
      </c>
      <c r="AG97" s="110" t="str">
        <f t="shared" si="7"/>
        <v>EMP5009 Rup Kumar Mandal</v>
      </c>
      <c r="AH97" s="103">
        <f>if(AC97,if(and(hour(AC97+AH$7)&gt;9.5,(hour(AC97+AH$7)&lt;19.5)),AC97+AH$7,_xlfn.workday.intl(int(AC97),1,"0000001",Holidays!A:A)+hour(AC97+AH$7-$B$1)/24+minute(AC97)/1440),"")</f>
        <v>46113.56458</v>
      </c>
      <c r="AI97" s="104">
        <v>46112.56275788194</v>
      </c>
      <c r="AJ97" s="105" t="s">
        <v>14</v>
      </c>
      <c r="AK97" s="111">
        <f t="shared" si="8"/>
        <v>0</v>
      </c>
      <c r="AL97" s="112" t="str">
        <f t="shared" si="9"/>
        <v>EMP5009 Rup Kumar Mandal</v>
      </c>
      <c r="AM97" s="113"/>
      <c r="AN97" s="114" t="s">
        <v>672</v>
      </c>
      <c r="AO97" s="115"/>
      <c r="AP97" s="115"/>
      <c r="AQ97" s="115"/>
      <c r="AR97" s="115"/>
      <c r="AS97" s="115"/>
      <c r="AT97" s="115"/>
      <c r="AU97" s="115"/>
      <c r="AV97" s="115"/>
      <c r="AW97" s="115"/>
      <c r="AX97" s="115"/>
      <c r="AY97" s="115"/>
    </row>
    <row r="98">
      <c r="A98" s="95">
        <f t="shared" si="11"/>
        <v>5049</v>
      </c>
      <c r="B98" s="96">
        <v>46111.642687893516</v>
      </c>
      <c r="C98" s="97">
        <v>3630.0</v>
      </c>
      <c r="D98" s="97" t="s">
        <v>255</v>
      </c>
      <c r="E98" s="98" t="s">
        <v>654</v>
      </c>
      <c r="F98" s="97"/>
      <c r="G98" s="97" t="s">
        <v>648</v>
      </c>
      <c r="H98" s="99" t="s">
        <v>62</v>
      </c>
      <c r="I98" s="100" t="s">
        <v>64</v>
      </c>
      <c r="J98" s="101" t="s">
        <v>641</v>
      </c>
      <c r="K98" s="100"/>
      <c r="L98" s="102" t="s">
        <v>657</v>
      </c>
      <c r="M98" s="103">
        <f>if(B98,if(and(hour(B98+M$7)&gt;9.5,(hour(B98+M$7)&lt;19.5)),B98+M$7,_xlfn.workday.intl(int(B98),1,"0000001",Holidays!A:A)+hour(B98+M$7-$B$1)/24+minute(B98)/1440),"")</f>
        <v>46111.80935</v>
      </c>
      <c r="N98" s="104">
        <v>46111.65616625</v>
      </c>
      <c r="O98" s="105" t="s">
        <v>14</v>
      </c>
      <c r="P98" s="106">
        <f t="shared" si="1"/>
        <v>0</v>
      </c>
      <c r="Q98" s="107" t="s">
        <v>72</v>
      </c>
      <c r="R98" s="108" t="s">
        <v>434</v>
      </c>
      <c r="S98" s="103">
        <f>if(M98,if(and(hour(M98+S$7)&gt;9.5,(hour(M98+S$7)&lt;19.5)),M98+S$7,_xlfn.workday.intl(int(M98),1,"0000001",Holidays!A:A)+hour(M98+S$7-$B$1)/24+minute(M98)/1440),"")</f>
        <v>46111.8163</v>
      </c>
      <c r="T98" s="104">
        <v>46111.65649314815</v>
      </c>
      <c r="U98" s="105" t="s">
        <v>14</v>
      </c>
      <c r="V98" s="109">
        <f t="shared" si="2"/>
        <v>0</v>
      </c>
      <c r="W98" s="110" t="str">
        <f t="shared" si="3"/>
        <v>EMP5009 Rup Kumar Mandal</v>
      </c>
      <c r="X98" s="103">
        <f>if(S98,if(and(hour(S98+X$7)&gt;9.5,(hour(S98+X$7)&lt;19.5)),S98+X$7,_xlfn.workday.intl(int(S98),1,"0000001",Holidays!A:A)+hour(S98+X$7-$B$1)/24+minute(S98)/1440),"")</f>
        <v>46112.52431</v>
      </c>
      <c r="Y98" s="104">
        <v>46111.65656319444</v>
      </c>
      <c r="Z98" s="105" t="s">
        <v>14</v>
      </c>
      <c r="AA98" s="111">
        <f t="shared" si="4"/>
        <v>0</v>
      </c>
      <c r="AB98" s="110" t="str">
        <f t="shared" si="5"/>
        <v>EMP5009 Rup Kumar Mandal</v>
      </c>
      <c r="AC98" s="103">
        <f>if(X98,_xlfn.WORKDAY.INTL(X98,AC$7,"0000001",Holidays!A:A)+hour(X98)/24+MINUTE(X98)/1440,"")</f>
        <v>46113.52431</v>
      </c>
      <c r="AD98" s="104">
        <v>46112.56266835648</v>
      </c>
      <c r="AE98" s="105" t="s">
        <v>14</v>
      </c>
      <c r="AF98" s="111">
        <f t="shared" si="6"/>
        <v>0</v>
      </c>
      <c r="AG98" s="110" t="str">
        <f t="shared" si="7"/>
        <v>EMP5009 Rup Kumar Mandal</v>
      </c>
      <c r="AH98" s="103">
        <f>if(AC98,if(and(hour(AC98+AH$7)&gt;9.5,(hour(AC98+AH$7)&lt;19.5)),AC98+AH$7,_xlfn.workday.intl(int(AC98),1,"0000001",Holidays!A:A)+hour(AC98+AH$7-$B$1)/24+minute(AC98)/1440),"")</f>
        <v>46113.56597</v>
      </c>
      <c r="AI98" s="104">
        <v>46112.56276396991</v>
      </c>
      <c r="AJ98" s="105" t="s">
        <v>14</v>
      </c>
      <c r="AK98" s="111">
        <f t="shared" si="8"/>
        <v>0</v>
      </c>
      <c r="AL98" s="112" t="str">
        <f t="shared" si="9"/>
        <v>EMP5009 Rup Kumar Mandal</v>
      </c>
      <c r="AM98" s="113"/>
      <c r="AN98" s="114" t="s">
        <v>672</v>
      </c>
      <c r="AO98" s="115"/>
      <c r="AP98" s="115"/>
      <c r="AQ98" s="115"/>
      <c r="AR98" s="115"/>
      <c r="AS98" s="115"/>
      <c r="AT98" s="115"/>
      <c r="AU98" s="115"/>
      <c r="AV98" s="115"/>
      <c r="AW98" s="115"/>
      <c r="AX98" s="115"/>
      <c r="AY98" s="115"/>
    </row>
    <row r="99">
      <c r="A99" s="95">
        <f t="shared" si="11"/>
        <v>5050</v>
      </c>
      <c r="B99" s="96">
        <v>46111.71831818287</v>
      </c>
      <c r="C99" s="97" t="s">
        <v>166</v>
      </c>
      <c r="D99" s="97" t="s">
        <v>142</v>
      </c>
      <c r="E99" s="98" t="s">
        <v>658</v>
      </c>
      <c r="F99" s="97"/>
      <c r="G99" s="97" t="s">
        <v>168</v>
      </c>
      <c r="H99" s="99" t="s">
        <v>62</v>
      </c>
      <c r="I99" s="100" t="s">
        <v>64</v>
      </c>
      <c r="J99" s="101" t="s">
        <v>141</v>
      </c>
      <c r="K99" s="100"/>
      <c r="L99" s="102" t="s">
        <v>661</v>
      </c>
      <c r="M99" s="103">
        <f>if(B99,if(and(hour(B99+M$7)&gt;9.5,(hour(B99+M$7)&lt;19.5)),B99+M$7,_xlfn.workday.intl(int(B99),1,"0000001",Holidays!A:A)+hour(B99+M$7-$B$1)/24+minute(B99)/1440),"")</f>
        <v>46112.46806</v>
      </c>
      <c r="N99" s="104">
        <v>46111.72278486111</v>
      </c>
      <c r="O99" s="105" t="s">
        <v>14</v>
      </c>
      <c r="P99" s="106">
        <f t="shared" si="1"/>
        <v>0</v>
      </c>
      <c r="Q99" s="107" t="s">
        <v>15</v>
      </c>
      <c r="R99" s="108" t="s">
        <v>434</v>
      </c>
      <c r="S99" s="103">
        <f>if(M99,if(and(hour(M99+S$7)&gt;9.5,(hour(M99+S$7)&lt;19.5)),M99+S$7,_xlfn.workday.intl(int(M99),1,"0000001",Holidays!A:A)+hour(M99+S$7-$B$1)/24+minute(M99)/1440),"")</f>
        <v>46112.475</v>
      </c>
      <c r="T99" s="104">
        <v>46111.80254440972</v>
      </c>
      <c r="U99" s="105" t="s">
        <v>14</v>
      </c>
      <c r="V99" s="109">
        <f t="shared" si="2"/>
        <v>0</v>
      </c>
      <c r="W99" s="110" t="str">
        <f t="shared" si="3"/>
        <v>EMP0042 HULESHWAR KUMAR SAHU</v>
      </c>
      <c r="X99" s="103">
        <f>if(S99,if(and(hour(S99+X$7)&gt;9.5,(hour(S99+X$7)&lt;19.5)),S99+X$7,_xlfn.workday.intl(int(S99),1,"0000001",Holidays!A:A)+hour(S99+X$7-$B$1)/24+minute(S99)/1440),"")</f>
        <v>46112.57917</v>
      </c>
      <c r="Y99" s="104">
        <v>46111.80259842593</v>
      </c>
      <c r="Z99" s="105" t="s">
        <v>14</v>
      </c>
      <c r="AA99" s="111">
        <f t="shared" si="4"/>
        <v>0</v>
      </c>
      <c r="AB99" s="110" t="str">
        <f t="shared" si="5"/>
        <v>EMP0042 HULESHWAR KUMAR SAHU</v>
      </c>
      <c r="AC99" s="103">
        <f>if(X99,_xlfn.WORKDAY.INTL(X99,AC$7,"0000001",Holidays!A:A)+hour(X99)/24+MINUTE(X99)/1440,"")</f>
        <v>46113.57917</v>
      </c>
      <c r="AD99" s="104">
        <v>46112.56266835648</v>
      </c>
      <c r="AE99" s="105" t="s">
        <v>14</v>
      </c>
      <c r="AF99" s="111">
        <f t="shared" si="6"/>
        <v>0</v>
      </c>
      <c r="AG99" s="110" t="str">
        <f t="shared" si="7"/>
        <v>EMP0042 HULESHWAR KUMAR SAHU</v>
      </c>
      <c r="AH99" s="103">
        <f>if(AC99,if(and(hour(AC99+AH$7)&gt;9.5,(hour(AC99+AH$7)&lt;19.5)),AC99+AH$7,_xlfn.workday.intl(int(AC99),1,"0000001",Holidays!A:A)+hour(AC99+AH$7-$B$1)/24+minute(AC99)/1440),"")</f>
        <v>46113.62083</v>
      </c>
      <c r="AI99" s="104">
        <v>46112.56277476852</v>
      </c>
      <c r="AJ99" s="105" t="s">
        <v>14</v>
      </c>
      <c r="AK99" s="111">
        <f t="shared" si="8"/>
        <v>0</v>
      </c>
      <c r="AL99" s="112" t="str">
        <f t="shared" si="9"/>
        <v>EMP0042 HULESHWAR KUMAR SAHU</v>
      </c>
      <c r="AM99" s="113"/>
      <c r="AN99" s="114" t="s">
        <v>672</v>
      </c>
      <c r="AO99" s="115"/>
      <c r="AP99" s="115"/>
      <c r="AQ99" s="115"/>
      <c r="AR99" s="115"/>
      <c r="AS99" s="115"/>
      <c r="AT99" s="115"/>
      <c r="AU99" s="115"/>
      <c r="AV99" s="115"/>
      <c r="AW99" s="115"/>
      <c r="AX99" s="115"/>
      <c r="AY99" s="115"/>
    </row>
    <row r="100">
      <c r="A100" s="95">
        <f t="shared" si="11"/>
        <v>5051</v>
      </c>
      <c r="B100" s="96">
        <v>46112.48596023148</v>
      </c>
      <c r="C100" s="97" t="s">
        <v>508</v>
      </c>
      <c r="D100" s="97" t="s">
        <v>663</v>
      </c>
      <c r="E100" s="98" t="s">
        <v>664</v>
      </c>
      <c r="F100" s="97"/>
      <c r="G100" s="97" t="s">
        <v>666</v>
      </c>
      <c r="H100" s="99" t="s">
        <v>668</v>
      </c>
      <c r="I100" s="100" t="s">
        <v>64</v>
      </c>
      <c r="J100" s="101" t="s">
        <v>662</v>
      </c>
      <c r="K100" s="100"/>
      <c r="L100" s="102" t="s">
        <v>669</v>
      </c>
      <c r="M100" s="103">
        <f>if(B100,if(and(hour(B100+M$7)&gt;9.5,(hour(B100+M$7)&lt;19.5)),B100+M$7,_xlfn.workday.intl(int(B100),1,"0000001",Holidays!A:A)+hour(B100+M$7-$B$1)/24+minute(B100)/1440),"")</f>
        <v>46112.65263</v>
      </c>
      <c r="N100" s="104">
        <v>46112.48974938657</v>
      </c>
      <c r="O100" s="105" t="s">
        <v>14</v>
      </c>
      <c r="P100" s="106">
        <f t="shared" si="1"/>
        <v>0</v>
      </c>
      <c r="Q100" s="107" t="s">
        <v>72</v>
      </c>
      <c r="R100" s="108" t="s">
        <v>434</v>
      </c>
      <c r="S100" s="103">
        <f>if(M100,if(and(hour(M100+S$7)&gt;9.5,(hour(M100+S$7)&lt;19.5)),M100+S$7,_xlfn.workday.intl(int(M100),1,"0000001",Holidays!A:A)+hour(M100+S$7-$B$1)/24+minute(M100)/1440),"")</f>
        <v>46112.65957</v>
      </c>
      <c r="T100" s="104">
        <v>46112.48982108796</v>
      </c>
      <c r="U100" s="105" t="s">
        <v>14</v>
      </c>
      <c r="V100" s="109">
        <f t="shared" si="2"/>
        <v>0</v>
      </c>
      <c r="W100" s="110" t="str">
        <f t="shared" si="3"/>
        <v>EMP5009 Rup Kumar Mandal</v>
      </c>
      <c r="X100" s="103">
        <f>if(S100,if(and(hour(S100+X$7)&gt;9.5,(hour(S100+X$7)&lt;19.5)),S100+X$7,_xlfn.workday.intl(int(S100),1,"0000001",Holidays!A:A)+hour(S100+X$7-$B$1)/24+minute(S100)/1440),"")</f>
        <v>46112.76374</v>
      </c>
      <c r="Y100" s="104">
        <v>46112.48989966435</v>
      </c>
      <c r="Z100" s="105" t="s">
        <v>14</v>
      </c>
      <c r="AA100" s="111">
        <f t="shared" si="4"/>
        <v>0</v>
      </c>
      <c r="AB100" s="110" t="str">
        <f t="shared" si="5"/>
        <v>EMP5009 Rup Kumar Mandal</v>
      </c>
      <c r="AC100" s="103">
        <f>if(X100,_xlfn.WORKDAY.INTL(X100,AC$7,"0000001",Holidays!A:A)+hour(X100)/24+MINUTE(X100)/1440,"")</f>
        <v>46113.76319</v>
      </c>
      <c r="AD100" s="104">
        <v>46112.56260056713</v>
      </c>
      <c r="AE100" s="105" t="s">
        <v>14</v>
      </c>
      <c r="AF100" s="111">
        <f t="shared" si="6"/>
        <v>0</v>
      </c>
      <c r="AG100" s="110" t="str">
        <f t="shared" si="7"/>
        <v>EMP5009 Rup Kumar Mandal</v>
      </c>
      <c r="AH100" s="103">
        <f>if(AC100,if(and(hour(AC100+AH$7)&gt;9.5,(hour(AC100+AH$7)&lt;19.5)),AC100+AH$7,_xlfn.workday.intl(int(AC100),1,"0000001",Holidays!A:A)+hour(AC100+AH$7-$B$1)/24+minute(AC100)/1440),"")</f>
        <v>46113.80486</v>
      </c>
      <c r="AI100" s="104">
        <v>46113.45925020833</v>
      </c>
      <c r="AJ100" s="105" t="s">
        <v>14</v>
      </c>
      <c r="AK100" s="111">
        <f t="shared" si="8"/>
        <v>0</v>
      </c>
      <c r="AL100" s="112" t="str">
        <f t="shared" si="9"/>
        <v>EMP5009 Rup Kumar Mandal</v>
      </c>
      <c r="AM100" s="113"/>
      <c r="AN100" s="114" t="s">
        <v>672</v>
      </c>
      <c r="AO100" s="115"/>
      <c r="AP100" s="115"/>
      <c r="AQ100" s="115"/>
      <c r="AR100" s="115"/>
      <c r="AS100" s="115"/>
      <c r="AT100" s="115"/>
      <c r="AU100" s="115"/>
      <c r="AV100" s="115"/>
      <c r="AW100" s="115"/>
      <c r="AX100" s="115"/>
      <c r="AY100" s="115"/>
    </row>
    <row r="101">
      <c r="A101" s="95">
        <f t="shared" si="11"/>
        <v>5052</v>
      </c>
      <c r="B101" s="96">
        <v>46112.48854196759</v>
      </c>
      <c r="C101" s="97" t="s">
        <v>516</v>
      </c>
      <c r="D101" s="97" t="s">
        <v>670</v>
      </c>
      <c r="E101" s="98" t="s">
        <v>671</v>
      </c>
      <c r="F101" s="97"/>
      <c r="G101" s="97" t="s">
        <v>674</v>
      </c>
      <c r="H101" s="99" t="s">
        <v>62</v>
      </c>
      <c r="I101" s="100" t="s">
        <v>64</v>
      </c>
      <c r="J101" s="101" t="s">
        <v>662</v>
      </c>
      <c r="K101" s="100"/>
      <c r="L101" s="102" t="s">
        <v>675</v>
      </c>
      <c r="M101" s="103">
        <f>if(B101,if(and(hour(B101+M$7)&gt;9.5,(hour(B101+M$7)&lt;19.5)),B101+M$7,_xlfn.workday.intl(int(B101),1,"0000001",Holidays!A:A)+hour(B101+M$7-$B$1)/24+minute(B101)/1440),"")</f>
        <v>46112.65521</v>
      </c>
      <c r="N101" s="104">
        <v>46112.48976511574</v>
      </c>
      <c r="O101" s="105" t="s">
        <v>14</v>
      </c>
      <c r="P101" s="106">
        <f t="shared" si="1"/>
        <v>0</v>
      </c>
      <c r="Q101" s="107" t="s">
        <v>72</v>
      </c>
      <c r="R101" s="108" t="s">
        <v>434</v>
      </c>
      <c r="S101" s="103">
        <f>if(M101,if(and(hour(M101+S$7)&gt;9.5,(hour(M101+S$7)&lt;19.5)),M101+S$7,_xlfn.workday.intl(int(M101),1,"0000001",Holidays!A:A)+hour(M101+S$7-$B$1)/24+minute(M101)/1440),"")</f>
        <v>46112.66215</v>
      </c>
      <c r="T101" s="104">
        <v>46112.48982108796</v>
      </c>
      <c r="U101" s="105" t="s">
        <v>14</v>
      </c>
      <c r="V101" s="109">
        <f t="shared" si="2"/>
        <v>0</v>
      </c>
      <c r="W101" s="110" t="str">
        <f t="shared" si="3"/>
        <v>EMP5009 Rup Kumar Mandal</v>
      </c>
      <c r="X101" s="103">
        <f>if(S101,if(and(hour(S101+X$7)&gt;9.5,(hour(S101+X$7)&lt;19.5)),S101+X$7,_xlfn.workday.intl(int(S101),1,"0000001",Holidays!A:A)+hour(S101+X$7-$B$1)/24+minute(S101)/1440),"")</f>
        <v>46112.76632</v>
      </c>
      <c r="Y101" s="104">
        <v>46112.48985694445</v>
      </c>
      <c r="Z101" s="105" t="s">
        <v>14</v>
      </c>
      <c r="AA101" s="111">
        <f t="shared" si="4"/>
        <v>0</v>
      </c>
      <c r="AB101" s="110" t="str">
        <f t="shared" si="5"/>
        <v>EMP5009 Rup Kumar Mandal</v>
      </c>
      <c r="AC101" s="103">
        <f>if(X101,_xlfn.WORKDAY.INTL(X101,AC$7,"0000001",Holidays!A:A)+hour(X101)/24+MINUTE(X101)/1440,"")</f>
        <v>46113.76597</v>
      </c>
      <c r="AD101" s="104">
        <v>46112.56269910879</v>
      </c>
      <c r="AE101" s="105" t="s">
        <v>14</v>
      </c>
      <c r="AF101" s="111">
        <f t="shared" si="6"/>
        <v>0</v>
      </c>
      <c r="AG101" s="110" t="str">
        <f t="shared" si="7"/>
        <v>EMP5009 Rup Kumar Mandal</v>
      </c>
      <c r="AH101" s="103">
        <f>if(AC101,if(and(hour(AC101+AH$7)&gt;9.5,(hour(AC101+AH$7)&lt;19.5)),AC101+AH$7,_xlfn.workday.intl(int(AC101),1,"0000001",Holidays!A:A)+hour(AC101+AH$7-$B$1)/24+minute(AC101)/1440),"")</f>
        <v>46113.80764</v>
      </c>
      <c r="AI101" s="104">
        <v>46113.45926768519</v>
      </c>
      <c r="AJ101" s="105" t="s">
        <v>14</v>
      </c>
      <c r="AK101" s="111">
        <f t="shared" si="8"/>
        <v>0</v>
      </c>
      <c r="AL101" s="112" t="str">
        <f t="shared" si="9"/>
        <v>EMP5009 Rup Kumar Mandal</v>
      </c>
      <c r="AM101" s="113"/>
      <c r="AN101" s="114" t="s">
        <v>672</v>
      </c>
      <c r="AO101" s="115"/>
      <c r="AP101" s="115"/>
      <c r="AQ101" s="115"/>
      <c r="AR101" s="115"/>
      <c r="AS101" s="115"/>
      <c r="AT101" s="115"/>
      <c r="AU101" s="115"/>
      <c r="AV101" s="115"/>
      <c r="AW101" s="115"/>
      <c r="AX101" s="115"/>
      <c r="AY101" s="115"/>
    </row>
    <row r="102">
      <c r="A102" s="95">
        <f t="shared" si="11"/>
        <v>5053</v>
      </c>
      <c r="B102" s="96">
        <v>46113.47006789352</v>
      </c>
      <c r="C102" s="97" t="s">
        <v>523</v>
      </c>
      <c r="D102" s="97" t="s">
        <v>186</v>
      </c>
      <c r="E102" s="98" t="s">
        <v>676</v>
      </c>
      <c r="F102" s="97"/>
      <c r="G102" s="97" t="s">
        <v>678</v>
      </c>
      <c r="H102" s="99" t="s">
        <v>103</v>
      </c>
      <c r="I102" s="100" t="s">
        <v>64</v>
      </c>
      <c r="J102" s="101" t="s">
        <v>303</v>
      </c>
      <c r="K102" s="100"/>
      <c r="L102" s="102" t="s">
        <v>679</v>
      </c>
      <c r="M102" s="103">
        <f>if(B102,if(and(hour(B102+M$7)&gt;9.5,(hour(B102+M$7)&lt;19.5)),B102+M$7,_xlfn.workday.intl(int(B102),1,"0000001",Holidays!A:A)+hour(B102+M$7-$B$1)/24+minute(B102)/1440),"")</f>
        <v>46113.63673</v>
      </c>
      <c r="N102" s="104">
        <v>46113.475449895835</v>
      </c>
      <c r="O102" s="105" t="s">
        <v>14</v>
      </c>
      <c r="P102" s="106">
        <f t="shared" si="1"/>
        <v>0</v>
      </c>
      <c r="Q102" s="107" t="s">
        <v>15</v>
      </c>
      <c r="R102" s="108" t="s">
        <v>434</v>
      </c>
      <c r="S102" s="103">
        <f>if(M102,if(and(hour(M102+S$7)&gt;9.5,(hour(M102+S$7)&lt;19.5)),M102+S$7,_xlfn.workday.intl(int(M102),1,"0000001",Holidays!A:A)+hour(M102+S$7-$B$1)/24+minute(M102)/1440),"")</f>
        <v>46113.64368</v>
      </c>
      <c r="T102" s="104">
        <v>46113.47551278935</v>
      </c>
      <c r="U102" s="105" t="s">
        <v>14</v>
      </c>
      <c r="V102" s="109">
        <f t="shared" si="2"/>
        <v>0</v>
      </c>
      <c r="W102" s="110" t="str">
        <f t="shared" si="3"/>
        <v>EMP0042 HULESHWAR KUMAR SAHU</v>
      </c>
      <c r="X102" s="103">
        <f>if(S102,if(and(hour(S102+X$7)&gt;9.5,(hour(S102+X$7)&lt;19.5)),S102+X$7,_xlfn.workday.intl(int(S102),1,"0000001",Holidays!A:A)+hour(S102+X$7-$B$1)/24+minute(S102)/1440),"")</f>
        <v>46113.74785</v>
      </c>
      <c r="Y102" s="104">
        <v>46113.51520876157</v>
      </c>
      <c r="Z102" s="105" t="s">
        <v>14</v>
      </c>
      <c r="AA102" s="111">
        <f t="shared" si="4"/>
        <v>0</v>
      </c>
      <c r="AB102" s="110" t="str">
        <f t="shared" si="5"/>
        <v>EMP0042 HULESHWAR KUMAR SAHU</v>
      </c>
      <c r="AC102" s="103">
        <f>if(X102,_xlfn.WORKDAY.INTL(X102,AC$7,"0000001",Holidays!A:A)+hour(X102)/24+MINUTE(X102)/1440,"")</f>
        <v>46114.74722</v>
      </c>
      <c r="AD102" s="104">
        <v>46113.51523280093</v>
      </c>
      <c r="AE102" s="105" t="s">
        <v>14</v>
      </c>
      <c r="AF102" s="111">
        <f t="shared" si="6"/>
        <v>0</v>
      </c>
      <c r="AG102" s="110" t="str">
        <f t="shared" si="7"/>
        <v>EMP0042 HULESHWAR KUMAR SAHU</v>
      </c>
      <c r="AH102" s="103">
        <f>if(AC102,if(and(hour(AC102+AH$7)&gt;9.5,(hour(AC102+AH$7)&lt;19.5)),AC102+AH$7,_xlfn.workday.intl(int(AC102),1,"0000001",Holidays!A:A)+hour(AC102+AH$7-$B$1)/24+minute(AC102)/1440),"")</f>
        <v>46114.78889</v>
      </c>
      <c r="AI102" s="104">
        <v>46113.5187242824</v>
      </c>
      <c r="AJ102" s="105" t="s">
        <v>14</v>
      </c>
      <c r="AK102" s="111">
        <f t="shared" si="8"/>
        <v>0</v>
      </c>
      <c r="AL102" s="112" t="str">
        <f t="shared" si="9"/>
        <v>EMP0042 HULESHWAR KUMAR SAHU</v>
      </c>
      <c r="AM102" s="113"/>
      <c r="AN102" s="114" t="s">
        <v>672</v>
      </c>
      <c r="AO102" s="115"/>
      <c r="AP102" s="115"/>
      <c r="AQ102" s="115"/>
      <c r="AR102" s="115"/>
      <c r="AS102" s="115"/>
      <c r="AT102" s="115"/>
      <c r="AU102" s="115"/>
      <c r="AV102" s="115"/>
      <c r="AW102" s="115"/>
      <c r="AX102" s="115"/>
      <c r="AY102" s="115"/>
    </row>
    <row r="103">
      <c r="A103" s="95">
        <f t="shared" si="11"/>
        <v>5054</v>
      </c>
      <c r="B103" s="96">
        <v>46113.513930636575</v>
      </c>
      <c r="C103" s="97" t="s">
        <v>355</v>
      </c>
      <c r="D103" s="97" t="s">
        <v>122</v>
      </c>
      <c r="E103" s="98" t="s">
        <v>680</v>
      </c>
      <c r="F103" s="98" t="s">
        <v>684</v>
      </c>
      <c r="G103" s="97" t="s">
        <v>682</v>
      </c>
      <c r="H103" s="99" t="s">
        <v>62</v>
      </c>
      <c r="I103" s="100" t="s">
        <v>64</v>
      </c>
      <c r="J103" s="101" t="s">
        <v>465</v>
      </c>
      <c r="K103" s="100"/>
      <c r="L103" s="102" t="s">
        <v>683</v>
      </c>
      <c r="M103" s="103">
        <f>if(B103,if(and(hour(B103+M$7)&gt;9.5,(hour(B103+M$7)&lt;19.5)),B103+M$7,_xlfn.workday.intl(int(B103),1,"0000001",Holidays!A:A)+hour(B103+M$7-$B$1)/24+minute(B103)/1440),"")</f>
        <v>46113.6806</v>
      </c>
      <c r="N103" s="104">
        <v>46113.515295590274</v>
      </c>
      <c r="O103" s="105" t="s">
        <v>14</v>
      </c>
      <c r="P103" s="106">
        <f t="shared" si="1"/>
        <v>0</v>
      </c>
      <c r="Q103" s="107" t="s">
        <v>15</v>
      </c>
      <c r="R103" s="108" t="s">
        <v>434</v>
      </c>
      <c r="S103" s="103">
        <f>if(M103,if(and(hour(M103+S$7)&gt;9.5,(hour(M103+S$7)&lt;19.5)),M103+S$7,_xlfn.workday.intl(int(M103),1,"0000001",Holidays!A:A)+hour(M103+S$7-$B$1)/24+minute(M103)/1440),"")</f>
        <v>46113.68754</v>
      </c>
      <c r="T103" s="104">
        <v>46113.515357627315</v>
      </c>
      <c r="U103" s="105" t="s">
        <v>14</v>
      </c>
      <c r="V103" s="109">
        <f t="shared" si="2"/>
        <v>0</v>
      </c>
      <c r="W103" s="110" t="str">
        <f t="shared" si="3"/>
        <v>EMP0042 HULESHWAR KUMAR SAHU</v>
      </c>
      <c r="X103" s="103">
        <f>if(S103,if(and(hour(S103+X$7)&gt;9.5,(hour(S103+X$7)&lt;19.5)),S103+X$7,_xlfn.workday.intl(int(S103),1,"0000001",Holidays!A:A)+hour(S103+X$7-$B$1)/24+minute(S103)/1440),"")</f>
        <v>46113.79171</v>
      </c>
      <c r="Y103" s="104">
        <v>46113.519178449074</v>
      </c>
      <c r="Z103" s="105" t="s">
        <v>14</v>
      </c>
      <c r="AA103" s="111">
        <f t="shared" si="4"/>
        <v>0</v>
      </c>
      <c r="AB103" s="110" t="str">
        <f t="shared" si="5"/>
        <v>EMP0042 HULESHWAR KUMAR SAHU</v>
      </c>
      <c r="AC103" s="103">
        <f>if(X103,_xlfn.WORKDAY.INTL(X103,AC$7,"0000001",Holidays!A:A)+hour(X103)/24+MINUTE(X103)/1440,"")</f>
        <v>46114.79167</v>
      </c>
      <c r="AD103" s="104">
        <v>46113.51921384259</v>
      </c>
      <c r="AE103" s="105" t="s">
        <v>14</v>
      </c>
      <c r="AF103" s="111">
        <f t="shared" si="6"/>
        <v>0</v>
      </c>
      <c r="AG103" s="110" t="str">
        <f t="shared" si="7"/>
        <v>EMP0042 HULESHWAR KUMAR SAHU</v>
      </c>
      <c r="AH103" s="103">
        <f>if(AC103,if(and(hour(AC103+AH$7)&gt;9.5,(hour(AC103+AH$7)&lt;19.5)),AC103+AH$7,_xlfn.workday.intl(int(AC103),1,"0000001",Holidays!A:A)+hour(AC103+AH$7-$B$1)/24+minute(AC103)/1440),"")</f>
        <v>46115.41667</v>
      </c>
      <c r="AI103" s="104">
        <v>46113.519257673615</v>
      </c>
      <c r="AJ103" s="105" t="s">
        <v>14</v>
      </c>
      <c r="AK103" s="111">
        <f t="shared" si="8"/>
        <v>0</v>
      </c>
      <c r="AL103" s="112" t="str">
        <f t="shared" si="9"/>
        <v>EMP0042 HULESHWAR KUMAR SAHU</v>
      </c>
      <c r="AM103" s="113"/>
      <c r="AN103" s="114" t="s">
        <v>672</v>
      </c>
      <c r="AO103" s="115"/>
      <c r="AP103" s="115"/>
      <c r="AQ103" s="115"/>
      <c r="AR103" s="115"/>
      <c r="AS103" s="115"/>
      <c r="AT103" s="115"/>
      <c r="AU103" s="115"/>
      <c r="AV103" s="115"/>
      <c r="AW103" s="115"/>
      <c r="AX103" s="115"/>
      <c r="AY103" s="115"/>
    </row>
    <row r="104">
      <c r="A104" s="95">
        <f t="shared" si="11"/>
        <v>5055</v>
      </c>
      <c r="B104" s="96">
        <v>46113.52339030092</v>
      </c>
      <c r="C104" s="97" t="s">
        <v>355</v>
      </c>
      <c r="D104" s="97" t="s">
        <v>122</v>
      </c>
      <c r="E104" s="98" t="s">
        <v>687</v>
      </c>
      <c r="F104" s="98" t="s">
        <v>692</v>
      </c>
      <c r="G104" s="97" t="s">
        <v>690</v>
      </c>
      <c r="H104" s="99" t="s">
        <v>62</v>
      </c>
      <c r="I104" s="100" t="s">
        <v>64</v>
      </c>
      <c r="J104" s="101" t="s">
        <v>465</v>
      </c>
      <c r="K104" s="100"/>
      <c r="L104" s="102" t="s">
        <v>691</v>
      </c>
      <c r="M104" s="103">
        <f>if(B104,if(and(hour(B104+M$7)&gt;9.5,(hour(B104+M$7)&lt;19.5)),B104+M$7,_xlfn.workday.intl(int(B104),1,"0000001",Holidays!A:A)+hour(B104+M$7-$B$1)/24+minute(B104)/1440),"")</f>
        <v>46113.69006</v>
      </c>
      <c r="N104" s="104">
        <v>46113.54996231481</v>
      </c>
      <c r="O104" s="105" t="s">
        <v>14</v>
      </c>
      <c r="P104" s="106">
        <f t="shared" si="1"/>
        <v>0</v>
      </c>
      <c r="Q104" s="107" t="s">
        <v>15</v>
      </c>
      <c r="R104" s="108" t="s">
        <v>434</v>
      </c>
      <c r="S104" s="103">
        <f>if(M104,if(and(hour(M104+S$7)&gt;9.5,(hour(M104+S$7)&lt;19.5)),M104+S$7,_xlfn.workday.intl(int(M104),1,"0000001",Holidays!A:A)+hour(M104+S$7-$B$1)/24+minute(M104)/1440),"")</f>
        <v>46113.697</v>
      </c>
      <c r="T104" s="104">
        <v>46113.54999513889</v>
      </c>
      <c r="U104" s="105" t="s">
        <v>14</v>
      </c>
      <c r="V104" s="109">
        <f t="shared" si="2"/>
        <v>0</v>
      </c>
      <c r="W104" s="110" t="str">
        <f t="shared" si="3"/>
        <v>EMP0042 HULESHWAR KUMAR SAHU</v>
      </c>
      <c r="X104" s="103">
        <f>if(S104,if(and(hour(S104+X$7)&gt;9.5,(hour(S104+X$7)&lt;19.5)),S104+X$7,_xlfn.workday.intl(int(S104),1,"0000001",Holidays!A:A)+hour(S104+X$7-$B$1)/24+minute(S104)/1440),"")</f>
        <v>46113.80117</v>
      </c>
      <c r="Y104" s="104">
        <v>46113.550080891204</v>
      </c>
      <c r="Z104" s="105" t="s">
        <v>14</v>
      </c>
      <c r="AA104" s="111">
        <f t="shared" si="4"/>
        <v>0</v>
      </c>
      <c r="AB104" s="110" t="str">
        <f t="shared" si="5"/>
        <v>EMP0042 HULESHWAR KUMAR SAHU</v>
      </c>
      <c r="AC104" s="103">
        <f>if(X104,_xlfn.WORKDAY.INTL(X104,AC$7,"0000001",Holidays!A:A)+hour(X104)/24+MINUTE(X104)/1440,"")</f>
        <v>46114.80069</v>
      </c>
      <c r="AD104" s="104">
        <v>46114.64350694444</v>
      </c>
      <c r="AE104" s="105" t="s">
        <v>14</v>
      </c>
      <c r="AF104" s="111">
        <f t="shared" si="6"/>
        <v>0</v>
      </c>
      <c r="AG104" s="110" t="str">
        <f t="shared" si="7"/>
        <v>EMP0042 HULESHWAR KUMAR SAHU</v>
      </c>
      <c r="AH104" s="103">
        <f>if(AC104,if(and(hour(AC104+AH$7)&gt;9.5,(hour(AC104+AH$7)&lt;19.5)),AC104+AH$7,_xlfn.workday.intl(int(AC104),1,"0000001",Holidays!A:A)+hour(AC104+AH$7-$B$1)/24+minute(AC104)/1440),"")+2/24</f>
        <v>46115.50903</v>
      </c>
      <c r="AI104" s="104">
        <v>46115.43520144676</v>
      </c>
      <c r="AJ104" s="105" t="s">
        <v>14</v>
      </c>
      <c r="AK104" s="111">
        <f t="shared" si="8"/>
        <v>0</v>
      </c>
      <c r="AL104" s="112" t="str">
        <f t="shared" si="9"/>
        <v>EMP0042 HULESHWAR KUMAR SAHU</v>
      </c>
      <c r="AM104" s="113"/>
      <c r="AN104" s="114" t="s">
        <v>672</v>
      </c>
      <c r="AO104" s="115"/>
      <c r="AP104" s="115"/>
      <c r="AQ104" s="115"/>
      <c r="AR104" s="115"/>
      <c r="AS104" s="115"/>
      <c r="AT104" s="115"/>
      <c r="AU104" s="115"/>
      <c r="AV104" s="115"/>
      <c r="AW104" s="115"/>
      <c r="AX104" s="115"/>
      <c r="AY104" s="115"/>
    </row>
    <row r="105">
      <c r="A105" s="95">
        <f t="shared" si="11"/>
        <v>5056</v>
      </c>
      <c r="B105" s="96">
        <v>46113.53227776621</v>
      </c>
      <c r="C105" s="97" t="s">
        <v>702</v>
      </c>
      <c r="D105" s="97" t="s">
        <v>696</v>
      </c>
      <c r="E105" s="98" t="s">
        <v>697</v>
      </c>
      <c r="F105" s="98" t="s">
        <v>703</v>
      </c>
      <c r="G105" s="97" t="s">
        <v>700</v>
      </c>
      <c r="H105" s="99" t="s">
        <v>62</v>
      </c>
      <c r="I105" s="100" t="s">
        <v>64</v>
      </c>
      <c r="J105" s="101" t="s">
        <v>695</v>
      </c>
      <c r="K105" s="100"/>
      <c r="L105" s="102" t="s">
        <v>701</v>
      </c>
      <c r="M105" s="103">
        <f>if(B105,if(and(hour(B105+M$7)&gt;9.5,(hour(B105+M$7)&lt;19.5)),B105+M$7,_xlfn.workday.intl(int(B105),1,"0000001",Holidays!A:A)+hour(B105+M$7-$B$1)/24+minute(B105)/1440),"")</f>
        <v>46113.69894</v>
      </c>
      <c r="N105" s="104">
        <v>46113.549177719906</v>
      </c>
      <c r="O105" s="105" t="s">
        <v>14</v>
      </c>
      <c r="P105" s="106">
        <f t="shared" si="1"/>
        <v>0</v>
      </c>
      <c r="Q105" s="107" t="s">
        <v>15</v>
      </c>
      <c r="R105" s="108" t="s">
        <v>434</v>
      </c>
      <c r="S105" s="103">
        <f>if(M105,if(and(hour(M105+S$7)&gt;9.5,(hour(M105+S$7)&lt;19.5)),M105+S$7,_xlfn.workday.intl(int(M105),1,"0000001",Holidays!A:A)+hour(M105+S$7-$B$1)/24+minute(M105)/1440),"")</f>
        <v>46113.70589</v>
      </c>
      <c r="T105" s="104">
        <v>46113.54963119213</v>
      </c>
      <c r="U105" s="105" t="s">
        <v>14</v>
      </c>
      <c r="V105" s="109">
        <f t="shared" si="2"/>
        <v>0</v>
      </c>
      <c r="W105" s="110" t="str">
        <f t="shared" si="3"/>
        <v>EMP0042 HULESHWAR KUMAR SAHU</v>
      </c>
      <c r="X105" s="103">
        <f>if(S105,if(and(hour(S105+X$7)&gt;9.5,(hour(S105+X$7)&lt;19.5)),S105+X$7,_xlfn.workday.intl(int(S105),1,"0000001",Holidays!A:A)+hour(S105+X$7-$B$1)/24+minute(S105)/1440),"")</f>
        <v>46113.81006</v>
      </c>
      <c r="Y105" s="104">
        <v>46113.5501246875</v>
      </c>
      <c r="Z105" s="105" t="s">
        <v>14</v>
      </c>
      <c r="AA105" s="111">
        <f t="shared" si="4"/>
        <v>0</v>
      </c>
      <c r="AB105" s="110" t="str">
        <f t="shared" si="5"/>
        <v>EMP0042 HULESHWAR KUMAR SAHU</v>
      </c>
      <c r="AC105" s="103">
        <f>if(X105,_xlfn.WORKDAY.INTL(X105,AC$7,"0000001",Holidays!A:A)+hour(X105)/24+MINUTE(X105)/1440,"")</f>
        <v>46114.80972</v>
      </c>
      <c r="AD105" s="104">
        <v>46113.56576915509</v>
      </c>
      <c r="AE105" s="105" t="s">
        <v>14</v>
      </c>
      <c r="AF105" s="111">
        <f t="shared" si="6"/>
        <v>0</v>
      </c>
      <c r="AG105" s="110" t="str">
        <f t="shared" si="7"/>
        <v>EMP0042 HULESHWAR KUMAR SAHU</v>
      </c>
      <c r="AH105" s="103">
        <f>if(AC105,if(and(hour(AC105+AH$7)&gt;9.5,(hour(AC105+AH$7)&lt;19.5)),AC105+AH$7,_xlfn.workday.intl(int(AC105),1,"0000001",Holidays!A:A)+hour(AC105+AH$7-$B$1)/24+minute(AC105)/1440),"")</f>
        <v>46115.43472</v>
      </c>
      <c r="AI105" s="104">
        <v>46113.56582282408</v>
      </c>
      <c r="AJ105" s="105" t="s">
        <v>14</v>
      </c>
      <c r="AK105" s="111">
        <f t="shared" si="8"/>
        <v>0</v>
      </c>
      <c r="AL105" s="112" t="str">
        <f t="shared" si="9"/>
        <v>EMP0042 HULESHWAR KUMAR SAHU</v>
      </c>
      <c r="AM105" s="113"/>
      <c r="AN105" s="114" t="s">
        <v>672</v>
      </c>
      <c r="AO105" s="115"/>
      <c r="AP105" s="115"/>
      <c r="AQ105" s="115"/>
      <c r="AR105" s="115"/>
      <c r="AS105" s="115"/>
      <c r="AT105" s="115"/>
      <c r="AU105" s="115"/>
      <c r="AV105" s="115"/>
      <c r="AW105" s="115"/>
      <c r="AX105" s="115"/>
      <c r="AY105" s="115"/>
    </row>
    <row r="106">
      <c r="A106" s="95">
        <f t="shared" si="11"/>
        <v>5057</v>
      </c>
      <c r="B106" s="96">
        <v>46113.533832326386</v>
      </c>
      <c r="C106" s="97" t="s">
        <v>538</v>
      </c>
      <c r="D106" s="97" t="s">
        <v>186</v>
      </c>
      <c r="E106" s="98" t="s">
        <v>707</v>
      </c>
      <c r="F106" s="97"/>
      <c r="G106" s="97" t="s">
        <v>709</v>
      </c>
      <c r="H106" s="99" t="s">
        <v>147</v>
      </c>
      <c r="I106" s="100" t="s">
        <v>64</v>
      </c>
      <c r="J106" s="101" t="s">
        <v>303</v>
      </c>
      <c r="K106" s="100"/>
      <c r="L106" s="102" t="s">
        <v>710</v>
      </c>
      <c r="M106" s="103">
        <f>if(B106,if(and(hour(B106+M$7)&gt;9.5,(hour(B106+M$7)&lt;19.5)),B106+M$7,_xlfn.workday.intl(int(B106),1,"0000001",Holidays!A:A)+hour(B106+M$7-$B$1)/24+minute(B106)/1440),"")</f>
        <v>46113.7005</v>
      </c>
      <c r="N106" s="104">
        <v>46113.54930370371</v>
      </c>
      <c r="O106" s="105" t="s">
        <v>14</v>
      </c>
      <c r="P106" s="106">
        <f t="shared" si="1"/>
        <v>0</v>
      </c>
      <c r="Q106" s="107" t="s">
        <v>15</v>
      </c>
      <c r="R106" s="108" t="s">
        <v>434</v>
      </c>
      <c r="S106" s="103">
        <f>if(M106,if(and(hour(M106+S$7)&gt;9.5,(hour(M106+S$7)&lt;19.5)),M106+S$7,_xlfn.workday.intl(int(M106),1,"0000001",Holidays!A:A)+hour(M106+S$7-$B$1)/24+minute(M106)/1440),"")</f>
        <v>46113.70744</v>
      </c>
      <c r="T106" s="104">
        <v>46113.549668946755</v>
      </c>
      <c r="U106" s="105" t="s">
        <v>14</v>
      </c>
      <c r="V106" s="109">
        <f t="shared" si="2"/>
        <v>0</v>
      </c>
      <c r="W106" s="110" t="str">
        <f t="shared" si="3"/>
        <v>EMP0042 HULESHWAR KUMAR SAHU</v>
      </c>
      <c r="X106" s="103">
        <f>if(S106,if(and(hour(S106+X$7)&gt;9.5,(hour(S106+X$7)&lt;19.5)),S106+X$7,_xlfn.workday.intl(int(S106),1,"0000001",Holidays!A:A)+hour(S106+X$7-$B$1)/24+minute(S106)/1440),"")</f>
        <v>46113.81161</v>
      </c>
      <c r="Y106" s="104">
        <v>46113.55014047454</v>
      </c>
      <c r="Z106" s="105" t="s">
        <v>14</v>
      </c>
      <c r="AA106" s="111">
        <f t="shared" si="4"/>
        <v>0</v>
      </c>
      <c r="AB106" s="110" t="str">
        <f t="shared" si="5"/>
        <v>EMP0042 HULESHWAR KUMAR SAHU</v>
      </c>
      <c r="AC106" s="103">
        <f>if(X106,_xlfn.WORKDAY.INTL(X106,AC$7,"0000001",Holidays!A:A)+hour(X106)/24+MINUTE(X106)/1440,"")</f>
        <v>46114.81111</v>
      </c>
      <c r="AD106" s="104">
        <v>46113.56566760417</v>
      </c>
      <c r="AE106" s="105" t="s">
        <v>14</v>
      </c>
      <c r="AF106" s="111">
        <f t="shared" si="6"/>
        <v>0</v>
      </c>
      <c r="AG106" s="110" t="str">
        <f t="shared" si="7"/>
        <v>EMP0042 HULESHWAR KUMAR SAHU</v>
      </c>
      <c r="AH106" s="103">
        <f>if(AC106,if(and(hour(AC106+AH$7)&gt;9.5,(hour(AC106+AH$7)&lt;19.5)),AC106+AH$7,_xlfn.workday.intl(int(AC106),1,"0000001",Holidays!A:A)+hour(AC106+AH$7-$B$1)/24+minute(AC106)/1440),"")</f>
        <v>46115.43611</v>
      </c>
      <c r="AI106" s="104">
        <v>46113.5657053125</v>
      </c>
      <c r="AJ106" s="105" t="s">
        <v>14</v>
      </c>
      <c r="AK106" s="111">
        <f t="shared" si="8"/>
        <v>0</v>
      </c>
      <c r="AL106" s="112" t="str">
        <f t="shared" si="9"/>
        <v>EMP0042 HULESHWAR KUMAR SAHU</v>
      </c>
      <c r="AM106" s="113"/>
      <c r="AN106" s="114" t="s">
        <v>672</v>
      </c>
      <c r="AO106" s="115"/>
      <c r="AP106" s="115"/>
      <c r="AQ106" s="115"/>
      <c r="AR106" s="115"/>
      <c r="AS106" s="115"/>
      <c r="AT106" s="115"/>
      <c r="AU106" s="115"/>
      <c r="AV106" s="115"/>
      <c r="AW106" s="115"/>
      <c r="AX106" s="115"/>
      <c r="AY106" s="115"/>
    </row>
    <row r="107">
      <c r="A107" s="95">
        <f t="shared" si="11"/>
        <v>5058</v>
      </c>
      <c r="B107" s="96">
        <v>46113.534735277775</v>
      </c>
      <c r="C107" s="97" t="s">
        <v>523</v>
      </c>
      <c r="D107" s="97" t="s">
        <v>186</v>
      </c>
      <c r="E107" s="98" t="s">
        <v>711</v>
      </c>
      <c r="F107" s="97"/>
      <c r="G107" s="97" t="s">
        <v>714</v>
      </c>
      <c r="H107" s="99" t="s">
        <v>126</v>
      </c>
      <c r="I107" s="100" t="s">
        <v>64</v>
      </c>
      <c r="J107" s="101" t="s">
        <v>303</v>
      </c>
      <c r="K107" s="100"/>
      <c r="L107" s="102" t="s">
        <v>715</v>
      </c>
      <c r="M107" s="103">
        <f>if(B107,if(and(hour(B107+M$7)&gt;9.5,(hour(B107+M$7)&lt;19.5)),B107+M$7,_xlfn.workday.intl(int(B107),1,"0000001",Holidays!A:A)+hour(B107+M$7-$B$1)/24+minute(B107)/1440),"")</f>
        <v>46113.7014</v>
      </c>
      <c r="N107" s="104">
        <v>46113.549432534724</v>
      </c>
      <c r="O107" s="105" t="s">
        <v>14</v>
      </c>
      <c r="P107" s="106">
        <f t="shared" si="1"/>
        <v>0</v>
      </c>
      <c r="Q107" s="107" t="s">
        <v>61</v>
      </c>
      <c r="R107" s="108" t="s">
        <v>434</v>
      </c>
      <c r="S107" s="103">
        <f>if(M107,if(and(hour(M107+S$7)&gt;9.5,(hour(M107+S$7)&lt;19.5)),M107+S$7,_xlfn.workday.intl(int(M107),1,"0000001",Holidays!A:A)+hour(M107+S$7-$B$1)/24+minute(M107)/1440),"")</f>
        <v>46113.70835</v>
      </c>
      <c r="T107" s="104">
        <v>46113.549697511575</v>
      </c>
      <c r="U107" s="105" t="s">
        <v>14</v>
      </c>
      <c r="V107" s="109">
        <f t="shared" si="2"/>
        <v>0</v>
      </c>
      <c r="W107" s="110" t="str">
        <f t="shared" si="3"/>
        <v>EMP0021 Tamanna Dewangan</v>
      </c>
      <c r="X107" s="103">
        <f>if(S107,if(and(hour(S107+X$7)&gt;9.5,(hour(S107+X$7)&lt;19.5)),S107+X$7,_xlfn.workday.intl(int(S107),1,"0000001",Holidays!A:A)+hour(S107+X$7-$B$1)/24+minute(S107)/1440),"")</f>
        <v>46113.81251</v>
      </c>
      <c r="Y107" s="104">
        <v>46113.55018092593</v>
      </c>
      <c r="Z107" s="105" t="s">
        <v>14</v>
      </c>
      <c r="AA107" s="111">
        <f t="shared" si="4"/>
        <v>0</v>
      </c>
      <c r="AB107" s="110" t="str">
        <f t="shared" si="5"/>
        <v>EMP0021 Tamanna Dewangan</v>
      </c>
      <c r="AC107" s="103">
        <f>if(X107,_xlfn.WORKDAY.INTL(X107,AC$7,"0000001",Holidays!A:A)+hour(X107)/24+MINUTE(X107)/1440,"")</f>
        <v>46114.8125</v>
      </c>
      <c r="AD107" s="104">
        <v>46113.676298715276</v>
      </c>
      <c r="AE107" s="105" t="s">
        <v>14</v>
      </c>
      <c r="AF107" s="111">
        <f t="shared" si="6"/>
        <v>0</v>
      </c>
      <c r="AG107" s="110" t="str">
        <f t="shared" si="7"/>
        <v>EMP0021 Tamanna Dewangan</v>
      </c>
      <c r="AH107" s="103">
        <f>if(AC107,if(and(hour(AC107+AH$7)&gt;9.5,(hour(AC107+AH$7)&lt;19.5)),AC107+AH$7,_xlfn.workday.intl(int(AC107),1,"0000001",Holidays!A:A)+hour(AC107+AH$7-$B$1)/24+minute(AC107)/1440),"")</f>
        <v>46115.4375</v>
      </c>
      <c r="AI107" s="104">
        <v>46113.67630965278</v>
      </c>
      <c r="AJ107" s="105" t="s">
        <v>14</v>
      </c>
      <c r="AK107" s="111">
        <f t="shared" si="8"/>
        <v>0</v>
      </c>
      <c r="AL107" s="112" t="str">
        <f t="shared" si="9"/>
        <v>EMP0021 Tamanna Dewangan</v>
      </c>
      <c r="AM107" s="113"/>
      <c r="AN107" s="114" t="s">
        <v>672</v>
      </c>
      <c r="AO107" s="115"/>
      <c r="AP107" s="115"/>
      <c r="AQ107" s="115"/>
      <c r="AR107" s="115"/>
      <c r="AS107" s="115"/>
      <c r="AT107" s="115"/>
      <c r="AU107" s="115"/>
      <c r="AV107" s="115"/>
      <c r="AW107" s="115"/>
      <c r="AX107" s="115"/>
      <c r="AY107" s="115"/>
    </row>
    <row r="108">
      <c r="A108" s="95">
        <f t="shared" si="11"/>
        <v>5059</v>
      </c>
      <c r="B108" s="96">
        <v>46113.69360945602</v>
      </c>
      <c r="C108" s="97" t="s">
        <v>74</v>
      </c>
      <c r="D108" s="97" t="s">
        <v>357</v>
      </c>
      <c r="E108" s="98" t="s">
        <v>716</v>
      </c>
      <c r="F108" s="97"/>
      <c r="G108" s="97" t="s">
        <v>719</v>
      </c>
      <c r="H108" s="99" t="s">
        <v>138</v>
      </c>
      <c r="I108" s="100" t="s">
        <v>64</v>
      </c>
      <c r="J108" s="101" t="s">
        <v>356</v>
      </c>
      <c r="K108" s="100"/>
      <c r="L108" s="102" t="s">
        <v>720</v>
      </c>
      <c r="M108" s="103">
        <f>if(B108,if(and(hour(B108+M$7)&gt;9.5,(hour(B108+M$7)&lt;19.5)),B108+M$7,_xlfn.workday.intl(int(B108),1,"0000001",Holidays!A:A)+hour(B108+M$7-$B$1)/24+minute(B108)/1440),"")</f>
        <v>46114.44306</v>
      </c>
      <c r="N108" s="104">
        <v>46113.78315429398</v>
      </c>
      <c r="O108" s="105" t="s">
        <v>14</v>
      </c>
      <c r="P108" s="106">
        <f t="shared" si="1"/>
        <v>0</v>
      </c>
      <c r="Q108" s="107" t="s">
        <v>72</v>
      </c>
      <c r="R108" s="108" t="s">
        <v>434</v>
      </c>
      <c r="S108" s="103">
        <f>if(M108,if(and(hour(M108+S$7)&gt;9.5,(hour(M108+S$7)&lt;19.5)),M108+S$7,_xlfn.workday.intl(int(M108),1,"0000001",Holidays!A:A)+hour(M108+S$7-$B$1)/24+minute(M108)/1440),"")</f>
        <v>46114.45</v>
      </c>
      <c r="T108" s="104">
        <v>46113.783567997685</v>
      </c>
      <c r="U108" s="105" t="s">
        <v>14</v>
      </c>
      <c r="V108" s="109">
        <f t="shared" si="2"/>
        <v>0</v>
      </c>
      <c r="W108" s="110" t="str">
        <f t="shared" si="3"/>
        <v>EMP5009 Rup Kumar Mandal</v>
      </c>
      <c r="X108" s="103">
        <f>if(S108,if(and(hour(S108+X$7)&gt;9.5,(hour(S108+X$7)&lt;19.5)),S108+X$7,_xlfn.workday.intl(int(S108),1,"0000001",Holidays!A:A)+hour(S108+X$7-$B$1)/24+minute(S108)/1440),"")</f>
        <v>46114.55417</v>
      </c>
      <c r="Y108" s="104">
        <v>46113.78364159723</v>
      </c>
      <c r="Z108" s="105" t="s">
        <v>14</v>
      </c>
      <c r="AA108" s="111">
        <f t="shared" si="4"/>
        <v>0</v>
      </c>
      <c r="AB108" s="110" t="str">
        <f t="shared" si="5"/>
        <v>EMP5009 Rup Kumar Mandal</v>
      </c>
      <c r="AC108" s="103">
        <f>if(X108,_xlfn.WORKDAY.INTL(X108,AC$7,"0000001",Holidays!A:A)+hour(X108)/24+MINUTE(X108)/1440,"")</f>
        <v>46115.55417</v>
      </c>
      <c r="AD108" s="104">
        <v>46115.43445059028</v>
      </c>
      <c r="AE108" s="105" t="s">
        <v>14</v>
      </c>
      <c r="AF108" s="111">
        <f t="shared" si="6"/>
        <v>0</v>
      </c>
      <c r="AG108" s="110" t="str">
        <f t="shared" si="7"/>
        <v>EMP5009 Rup Kumar Mandal</v>
      </c>
      <c r="AH108" s="103">
        <f>if(AC108,if(and(hour(AC108+AH$7)&gt;9.5,(hour(AC108+AH$7)&lt;19.5)),AC108+AH$7,_xlfn.workday.intl(int(AC108),1,"0000001",Holidays!A:A)+hour(AC108+AH$7-$B$1)/24+minute(AC108)/1440),"")</f>
        <v>46115.59583</v>
      </c>
      <c r="AI108" s="104">
        <v>46115.43446600695</v>
      </c>
      <c r="AJ108" s="105" t="s">
        <v>14</v>
      </c>
      <c r="AK108" s="111">
        <f t="shared" si="8"/>
        <v>0</v>
      </c>
      <c r="AL108" s="112" t="str">
        <f t="shared" si="9"/>
        <v>EMP5009 Rup Kumar Mandal</v>
      </c>
      <c r="AM108" s="113"/>
      <c r="AN108" s="114" t="s">
        <v>672</v>
      </c>
      <c r="AO108" s="115"/>
      <c r="AP108" s="115"/>
      <c r="AQ108" s="115"/>
      <c r="AR108" s="115"/>
      <c r="AS108" s="115"/>
      <c r="AT108" s="115"/>
      <c r="AU108" s="115"/>
      <c r="AV108" s="115"/>
      <c r="AW108" s="115"/>
      <c r="AX108" s="115"/>
      <c r="AY108" s="115"/>
    </row>
    <row r="109">
      <c r="A109" s="95">
        <f t="shared" si="11"/>
        <v>5060</v>
      </c>
      <c r="B109" s="96">
        <v>46113.6952050463</v>
      </c>
      <c r="C109" s="97" t="s">
        <v>547</v>
      </c>
      <c r="D109" s="97" t="s">
        <v>357</v>
      </c>
      <c r="E109" s="98" t="s">
        <v>722</v>
      </c>
      <c r="F109" s="97"/>
      <c r="G109" s="97" t="s">
        <v>360</v>
      </c>
      <c r="H109" s="99" t="s">
        <v>138</v>
      </c>
      <c r="I109" s="100" t="s">
        <v>64</v>
      </c>
      <c r="J109" s="101" t="s">
        <v>356</v>
      </c>
      <c r="K109" s="100"/>
      <c r="L109" s="102" t="s">
        <v>724</v>
      </c>
      <c r="M109" s="103">
        <f>if(B109,if(and(hour(B109+M$7)&gt;9.5,(hour(B109+M$7)&lt;19.5)),B109+M$7,_xlfn.workday.intl(int(B109),1,"0000001",Holidays!A:A)+hour(B109+M$7-$B$1)/24+minute(B109)/1440),"")</f>
        <v>46114.44514</v>
      </c>
      <c r="N109" s="104">
        <v>46113.78315429398</v>
      </c>
      <c r="O109" s="105" t="s">
        <v>14</v>
      </c>
      <c r="P109" s="106">
        <f t="shared" si="1"/>
        <v>0</v>
      </c>
      <c r="Q109" s="107" t="s">
        <v>72</v>
      </c>
      <c r="R109" s="108" t="s">
        <v>434</v>
      </c>
      <c r="S109" s="103">
        <f>if(M109,if(and(hour(M109+S$7)&gt;9.5,(hour(M109+S$7)&lt;19.5)),M109+S$7,_xlfn.workday.intl(int(M109),1,"0000001",Holidays!A:A)+hour(M109+S$7-$B$1)/24+minute(M109)/1440),"")</f>
        <v>46114.45208</v>
      </c>
      <c r="T109" s="104">
        <v>46113.783567997685</v>
      </c>
      <c r="U109" s="105" t="s">
        <v>14</v>
      </c>
      <c r="V109" s="109">
        <f t="shared" si="2"/>
        <v>0</v>
      </c>
      <c r="W109" s="110" t="str">
        <f t="shared" si="3"/>
        <v>EMP5009 Rup Kumar Mandal</v>
      </c>
      <c r="X109" s="103">
        <f>if(S109,if(and(hour(S109+X$7)&gt;9.5,(hour(S109+X$7)&lt;19.5)),S109+X$7,_xlfn.workday.intl(int(S109),1,"0000001",Holidays!A:A)+hour(S109+X$7-$B$1)/24+minute(S109)/1440),"")</f>
        <v>46114.55625</v>
      </c>
      <c r="Y109" s="104">
        <v>46113.78364159723</v>
      </c>
      <c r="Z109" s="105" t="s">
        <v>14</v>
      </c>
      <c r="AA109" s="111">
        <f t="shared" si="4"/>
        <v>0</v>
      </c>
      <c r="AB109" s="110" t="str">
        <f t="shared" si="5"/>
        <v>EMP5009 Rup Kumar Mandal</v>
      </c>
      <c r="AC109" s="103">
        <f>if(X109,_xlfn.WORKDAY.INTL(X109,AC$7,"0000001",Holidays!A:A)+hour(X109)/24+MINUTE(X109)/1440,"")</f>
        <v>46115.55625</v>
      </c>
      <c r="AD109" s="104">
        <v>46115.434411145834</v>
      </c>
      <c r="AE109" s="105" t="s">
        <v>14</v>
      </c>
      <c r="AF109" s="111">
        <f t="shared" si="6"/>
        <v>0</v>
      </c>
      <c r="AG109" s="110" t="str">
        <f t="shared" si="7"/>
        <v>EMP5009 Rup Kumar Mandal</v>
      </c>
      <c r="AH109" s="103">
        <f>if(AC109,if(and(hour(AC109+AH$7)&gt;9.5,(hour(AC109+AH$7)&lt;19.5)),AC109+AH$7,_xlfn.workday.intl(int(AC109),1,"0000001",Holidays!A:A)+hour(AC109+AH$7-$B$1)/24+minute(AC109)/1440),"")</f>
        <v>46115.59792</v>
      </c>
      <c r="AI109" s="104">
        <v>46115.4344799074</v>
      </c>
      <c r="AJ109" s="105" t="s">
        <v>14</v>
      </c>
      <c r="AK109" s="111">
        <f t="shared" si="8"/>
        <v>0</v>
      </c>
      <c r="AL109" s="112" t="str">
        <f t="shared" si="9"/>
        <v>EMP5009 Rup Kumar Mandal</v>
      </c>
      <c r="AM109" s="113"/>
      <c r="AN109" s="114" t="s">
        <v>672</v>
      </c>
      <c r="AO109" s="115"/>
      <c r="AP109" s="115"/>
      <c r="AQ109" s="115"/>
      <c r="AR109" s="115"/>
      <c r="AS109" s="115"/>
      <c r="AT109" s="115"/>
      <c r="AU109" s="115"/>
      <c r="AV109" s="115"/>
      <c r="AW109" s="115"/>
      <c r="AX109" s="115"/>
      <c r="AY109" s="115"/>
    </row>
    <row r="110">
      <c r="A110" s="95">
        <f t="shared" si="11"/>
        <v>5061</v>
      </c>
      <c r="B110" s="96">
        <v>46113.72143315972</v>
      </c>
      <c r="C110" s="97" t="s">
        <v>550</v>
      </c>
      <c r="D110" s="97" t="s">
        <v>277</v>
      </c>
      <c r="E110" s="98" t="s">
        <v>726</v>
      </c>
      <c r="F110" s="97"/>
      <c r="G110" s="97" t="s">
        <v>75</v>
      </c>
      <c r="H110" s="99" t="s">
        <v>62</v>
      </c>
      <c r="I110" s="100" t="s">
        <v>64</v>
      </c>
      <c r="J110" s="101" t="s">
        <v>67</v>
      </c>
      <c r="K110" s="100"/>
      <c r="L110" s="102" t="s">
        <v>76</v>
      </c>
      <c r="M110" s="103">
        <f>if(B110,if(and(hour(B110+M$7)&gt;9.5,(hour(B110+M$7)&lt;19.5)),B110+M$7,_xlfn.workday.intl(int(B110),1,"0000001",Holidays!A:A)+hour(B110+M$7-$B$1)/24+minute(B110)/1440),"")</f>
        <v>46114.47083</v>
      </c>
      <c r="N110" s="104">
        <v>46113.78315429398</v>
      </c>
      <c r="O110" s="105" t="s">
        <v>14</v>
      </c>
      <c r="P110" s="106">
        <f t="shared" si="1"/>
        <v>0</v>
      </c>
      <c r="Q110" s="107" t="s">
        <v>61</v>
      </c>
      <c r="R110" s="108" t="s">
        <v>434</v>
      </c>
      <c r="S110" s="103">
        <f>if(M110,if(and(hour(M110+S$7)&gt;9.5,(hour(M110+S$7)&lt;19.5)),M110+S$7,_xlfn.workday.intl(int(M110),1,"0000001",Holidays!A:A)+hour(M110+S$7-$B$1)/24+minute(M110)/1440),"")</f>
        <v>46114.47778</v>
      </c>
      <c r="T110" s="104">
        <v>46113.783567997685</v>
      </c>
      <c r="U110" s="105" t="s">
        <v>14</v>
      </c>
      <c r="V110" s="109">
        <f t="shared" si="2"/>
        <v>0</v>
      </c>
      <c r="W110" s="110" t="str">
        <f t="shared" si="3"/>
        <v>EMP0021 Tamanna Dewangan</v>
      </c>
      <c r="X110" s="103">
        <f>if(S110,if(and(hour(S110+X$7)&gt;9.5,(hour(S110+X$7)&lt;19.5)),S110+X$7,_xlfn.workday.intl(int(S110),1,"0000001",Holidays!A:A)+hour(S110+X$7-$B$1)/24+minute(S110)/1440),"")</f>
        <v>46114.58194</v>
      </c>
      <c r="Y110" s="104">
        <v>46113.78364159723</v>
      </c>
      <c r="Z110" s="105" t="s">
        <v>14</v>
      </c>
      <c r="AA110" s="111">
        <f t="shared" si="4"/>
        <v>0</v>
      </c>
      <c r="AB110" s="110" t="str">
        <f t="shared" si="5"/>
        <v>EMP0021 Tamanna Dewangan</v>
      </c>
      <c r="AC110" s="103">
        <f>if(X110,_xlfn.WORKDAY.INTL(X110,AC$7,"0000001",Holidays!A:A)+hour(X110)/24+MINUTE(X110)/1440,"")</f>
        <v>46115.58194</v>
      </c>
      <c r="AD110" s="104">
        <v>46115.43444164352</v>
      </c>
      <c r="AE110" s="105" t="s">
        <v>14</v>
      </c>
      <c r="AF110" s="111">
        <f t="shared" si="6"/>
        <v>0</v>
      </c>
      <c r="AG110" s="110" t="str">
        <f t="shared" si="7"/>
        <v>EMP0021 Tamanna Dewangan</v>
      </c>
      <c r="AH110" s="103">
        <f>if(AC110,if(and(hour(AC110+AH$7)&gt;9.5,(hour(AC110+AH$7)&lt;19.5)),AC110+AH$7,_xlfn.workday.intl(int(AC110),1,"0000001",Holidays!A:A)+hour(AC110+AH$7-$B$1)/24+minute(AC110)/1440),"")</f>
        <v>46115.62361</v>
      </c>
      <c r="AI110" s="104">
        <v>46115.43449789352</v>
      </c>
      <c r="AJ110" s="105" t="s">
        <v>14</v>
      </c>
      <c r="AK110" s="111">
        <f t="shared" si="8"/>
        <v>0</v>
      </c>
      <c r="AL110" s="112" t="str">
        <f t="shared" si="9"/>
        <v>EMP0021 Tamanna Dewangan</v>
      </c>
      <c r="AM110" s="113"/>
      <c r="AN110" s="114" t="s">
        <v>672</v>
      </c>
      <c r="AO110" s="115"/>
      <c r="AP110" s="115"/>
      <c r="AQ110" s="115"/>
      <c r="AR110" s="115"/>
      <c r="AS110" s="115"/>
      <c r="AT110" s="115"/>
      <c r="AU110" s="115"/>
      <c r="AV110" s="115"/>
      <c r="AW110" s="115"/>
      <c r="AX110" s="115"/>
      <c r="AY110" s="115"/>
    </row>
    <row r="111">
      <c r="A111" s="95">
        <f t="shared" si="11"/>
        <v>5062</v>
      </c>
      <c r="B111" s="96">
        <v>46113.73394653935</v>
      </c>
      <c r="C111" s="97" t="s">
        <v>555</v>
      </c>
      <c r="D111" s="97" t="s">
        <v>225</v>
      </c>
      <c r="E111" s="98" t="s">
        <v>729</v>
      </c>
      <c r="F111" s="97"/>
      <c r="G111" s="97" t="s">
        <v>608</v>
      </c>
      <c r="H111" s="99" t="s">
        <v>138</v>
      </c>
      <c r="I111" s="100" t="s">
        <v>64</v>
      </c>
      <c r="J111" s="101" t="s">
        <v>223</v>
      </c>
      <c r="K111" s="100"/>
      <c r="L111" s="102" t="s">
        <v>731</v>
      </c>
      <c r="M111" s="103">
        <f>if(B111,if(and(hour(B111+M$7)&gt;9.5,(hour(B111+M$7)&lt;19.5)),B111+M$7,_xlfn.workday.intl(int(B111),1,"0000001",Holidays!A:A)+hour(B111+M$7-$B$1)/24+minute(B111)/1440),"")</f>
        <v>46114.48333</v>
      </c>
      <c r="N111" s="104">
        <v>46113.78315429398</v>
      </c>
      <c r="O111" s="105" t="s">
        <v>14</v>
      </c>
      <c r="P111" s="106">
        <f t="shared" si="1"/>
        <v>0</v>
      </c>
      <c r="Q111" s="107" t="s">
        <v>15</v>
      </c>
      <c r="R111" s="108" t="s">
        <v>434</v>
      </c>
      <c r="S111" s="103">
        <f>if(M111,if(and(hour(M111+S$7)&gt;9.5,(hour(M111+S$7)&lt;19.5)),M111+S$7,_xlfn.workday.intl(int(M111),1,"0000001",Holidays!A:A)+hour(M111+S$7-$B$1)/24+minute(M111)/1440),"")</f>
        <v>46114.49028</v>
      </c>
      <c r="T111" s="104">
        <v>46113.783567997685</v>
      </c>
      <c r="U111" s="105" t="s">
        <v>14</v>
      </c>
      <c r="V111" s="109">
        <f t="shared" si="2"/>
        <v>0</v>
      </c>
      <c r="W111" s="110" t="str">
        <f t="shared" si="3"/>
        <v>EMP0042 HULESHWAR KUMAR SAHU</v>
      </c>
      <c r="X111" s="103">
        <f>if(S111,if(and(hour(S111+X$7)&gt;9.5,(hour(S111+X$7)&lt;19.5)),S111+X$7,_xlfn.workday.intl(int(S111),1,"0000001",Holidays!A:A)+hour(S111+X$7-$B$1)/24+minute(S111)/1440),"")</f>
        <v>46114.59444</v>
      </c>
      <c r="Y111" s="104">
        <v>46113.78363472222</v>
      </c>
      <c r="Z111" s="105" t="s">
        <v>14</v>
      </c>
      <c r="AA111" s="111">
        <f t="shared" si="4"/>
        <v>0</v>
      </c>
      <c r="AB111" s="110" t="str">
        <f t="shared" si="5"/>
        <v>EMP0042 HULESHWAR KUMAR SAHU</v>
      </c>
      <c r="AC111" s="103">
        <f>if(X111,_xlfn.WORKDAY.INTL(X111,AC$7,"0000001",Holidays!A:A)+hour(X111)/24+MINUTE(X111)/1440,"")</f>
        <v>46115.59444</v>
      </c>
      <c r="AD111" s="104">
        <v>46114.84104579861</v>
      </c>
      <c r="AE111" s="105" t="s">
        <v>14</v>
      </c>
      <c r="AF111" s="111">
        <f t="shared" si="6"/>
        <v>0</v>
      </c>
      <c r="AG111" s="110" t="str">
        <f t="shared" si="7"/>
        <v>EMP0042 HULESHWAR KUMAR SAHU</v>
      </c>
      <c r="AH111" s="103">
        <f>if(AC111,if(and(hour(AC111+AH$7)&gt;9.5,(hour(AC111+AH$7)&lt;19.5)),AC111+AH$7,_xlfn.workday.intl(int(AC111),1,"0000001",Holidays!A:A)+hour(AC111+AH$7-$B$1)/24+minute(AC111)/1440),"")</f>
        <v>46115.63611</v>
      </c>
      <c r="AI111" s="104">
        <v>46114.84110942129</v>
      </c>
      <c r="AJ111" s="105" t="s">
        <v>14</v>
      </c>
      <c r="AK111" s="111">
        <f t="shared" si="8"/>
        <v>0</v>
      </c>
      <c r="AL111" s="112" t="str">
        <f t="shared" si="9"/>
        <v>EMP0042 HULESHWAR KUMAR SAHU</v>
      </c>
      <c r="AM111" s="113"/>
      <c r="AN111" s="114" t="s">
        <v>672</v>
      </c>
      <c r="AO111" s="115"/>
      <c r="AP111" s="115"/>
      <c r="AQ111" s="115"/>
      <c r="AR111" s="115"/>
      <c r="AS111" s="115"/>
      <c r="AT111" s="115"/>
      <c r="AU111" s="115"/>
      <c r="AV111" s="115"/>
      <c r="AW111" s="115"/>
      <c r="AX111" s="115"/>
      <c r="AY111" s="115"/>
    </row>
    <row r="112">
      <c r="A112" s="95">
        <f t="shared" si="11"/>
        <v>5063</v>
      </c>
      <c r="B112" s="96">
        <v>46113.73623491898</v>
      </c>
      <c r="C112" s="97" t="s">
        <v>166</v>
      </c>
      <c r="D112" s="97" t="s">
        <v>142</v>
      </c>
      <c r="E112" s="98" t="s">
        <v>732</v>
      </c>
      <c r="F112" s="97"/>
      <c r="G112" s="97" t="s">
        <v>168</v>
      </c>
      <c r="H112" s="99" t="s">
        <v>62</v>
      </c>
      <c r="I112" s="100" t="s">
        <v>64</v>
      </c>
      <c r="J112" s="101" t="s">
        <v>141</v>
      </c>
      <c r="K112" s="100"/>
      <c r="L112" s="102" t="s">
        <v>737</v>
      </c>
      <c r="M112" s="103">
        <f>if(B112,if(and(hour(B112+M$7)&gt;9.5,(hour(B112+M$7)&lt;19.5)),B112+M$7,_xlfn.workday.intl(int(B112),1,"0000001",Holidays!A:A)+hour(B112+M$7-$B$1)/24+minute(B112)/1440),"")</f>
        <v>46114.48611</v>
      </c>
      <c r="N112" s="104">
        <v>46113.784176932866</v>
      </c>
      <c r="O112" s="105" t="s">
        <v>14</v>
      </c>
      <c r="P112" s="106">
        <f t="shared" si="1"/>
        <v>0</v>
      </c>
      <c r="Q112" s="107" t="s">
        <v>15</v>
      </c>
      <c r="R112" s="108" t="s">
        <v>434</v>
      </c>
      <c r="S112" s="103">
        <f>if(M112,if(and(hour(M112+S$7)&gt;9.5,(hour(M112+S$7)&lt;19.5)),M112+S$7,_xlfn.workday.intl(int(M112),1,"0000001",Holidays!A:A)+hour(M112+S$7-$B$1)/24+minute(M112)/1440),"")</f>
        <v>46114.49306</v>
      </c>
      <c r="T112" s="104">
        <v>46113.78358116898</v>
      </c>
      <c r="U112" s="105" t="s">
        <v>14</v>
      </c>
      <c r="V112" s="109">
        <f t="shared" si="2"/>
        <v>0</v>
      </c>
      <c r="W112" s="110" t="str">
        <f t="shared" si="3"/>
        <v>EMP0042 HULESHWAR KUMAR SAHU</v>
      </c>
      <c r="X112" s="103">
        <f>if(S112,if(and(hour(S112+X$7)&gt;9.5,(hour(S112+X$7)&lt;19.5)),S112+X$7,_xlfn.workday.intl(int(S112),1,"0000001",Holidays!A:A)+hour(S112+X$7-$B$1)/24+minute(S112)/1440),"")</f>
        <v>46114.59722</v>
      </c>
      <c r="Y112" s="104">
        <v>46113.78430128472</v>
      </c>
      <c r="Z112" s="105" t="s">
        <v>14</v>
      </c>
      <c r="AA112" s="111">
        <f t="shared" si="4"/>
        <v>0</v>
      </c>
      <c r="AB112" s="110" t="str">
        <f t="shared" si="5"/>
        <v>EMP0042 HULESHWAR KUMAR SAHU</v>
      </c>
      <c r="AC112" s="103">
        <f>if(X112,_xlfn.WORKDAY.INTL(X112,AC$7,"0000001",Holidays!A:A)+hour(X112)/24+MINUTE(X112)/1440,"")</f>
        <v>46115.59722</v>
      </c>
      <c r="AD112" s="104">
        <v>46114.4548665162</v>
      </c>
      <c r="AE112" s="105" t="s">
        <v>14</v>
      </c>
      <c r="AF112" s="111">
        <f t="shared" si="6"/>
        <v>0</v>
      </c>
      <c r="AG112" s="110" t="str">
        <f t="shared" si="7"/>
        <v>EMP0042 HULESHWAR KUMAR SAHU</v>
      </c>
      <c r="AH112" s="103">
        <f>if(AC112,if(and(hour(AC112+AH$7)&gt;9.5,(hour(AC112+AH$7)&lt;19.5)),AC112+AH$7,_xlfn.workday.intl(int(AC112),1,"0000001",Holidays!A:A)+hour(AC112+AH$7-$B$1)/24+minute(AC112)/1440),"")</f>
        <v>46115.63889</v>
      </c>
      <c r="AI112" s="104">
        <v>46114.45489631944</v>
      </c>
      <c r="AJ112" s="105" t="s">
        <v>14</v>
      </c>
      <c r="AK112" s="111">
        <f t="shared" si="8"/>
        <v>0</v>
      </c>
      <c r="AL112" s="112" t="str">
        <f t="shared" si="9"/>
        <v>EMP0042 HULESHWAR KUMAR SAHU</v>
      </c>
      <c r="AM112" s="113"/>
      <c r="AN112" s="114" t="s">
        <v>672</v>
      </c>
      <c r="AO112" s="115"/>
      <c r="AP112" s="115"/>
      <c r="AQ112" s="115"/>
      <c r="AR112" s="115"/>
      <c r="AS112" s="115"/>
      <c r="AT112" s="115"/>
      <c r="AU112" s="115"/>
      <c r="AV112" s="115"/>
      <c r="AW112" s="115"/>
      <c r="AX112" s="115"/>
      <c r="AY112" s="115"/>
    </row>
    <row r="113">
      <c r="A113" s="95">
        <f t="shared" si="11"/>
        <v>5064</v>
      </c>
      <c r="B113" s="96">
        <v>46113.737228032405</v>
      </c>
      <c r="C113" s="97" t="s">
        <v>560</v>
      </c>
      <c r="D113" s="97" t="s">
        <v>142</v>
      </c>
      <c r="E113" s="98" t="s">
        <v>738</v>
      </c>
      <c r="F113" s="97"/>
      <c r="G113" s="97" t="s">
        <v>146</v>
      </c>
      <c r="H113" s="99" t="s">
        <v>62</v>
      </c>
      <c r="I113" s="100" t="s">
        <v>64</v>
      </c>
      <c r="J113" s="101" t="s">
        <v>141</v>
      </c>
      <c r="K113" s="100"/>
      <c r="L113" s="102" t="s">
        <v>741</v>
      </c>
      <c r="M113" s="103">
        <f>if(B113,if(and(hour(B113+M$7)&gt;9.5,(hour(B113+M$7)&lt;19.5)),B113+M$7,_xlfn.workday.intl(int(B113),1,"0000001",Holidays!A:A)+hour(B113+M$7-$B$1)/24+minute(B113)/1440),"")</f>
        <v>46114.48681</v>
      </c>
      <c r="N113" s="104">
        <v>46113.783191423616</v>
      </c>
      <c r="O113" s="105" t="s">
        <v>14</v>
      </c>
      <c r="P113" s="106">
        <f t="shared" si="1"/>
        <v>0</v>
      </c>
      <c r="Q113" s="107" t="s">
        <v>15</v>
      </c>
      <c r="R113" s="108" t="s">
        <v>434</v>
      </c>
      <c r="S113" s="103">
        <f>if(M113,if(and(hour(M113+S$7)&gt;9.5,(hour(M113+S$7)&lt;19.5)),M113+S$7,_xlfn.workday.intl(int(M113),1,"0000001",Holidays!A:A)+hour(M113+S$7-$B$1)/24+minute(M113)/1440),"")</f>
        <v>46114.49375</v>
      </c>
      <c r="T113" s="104">
        <v>46113.78359075231</v>
      </c>
      <c r="U113" s="105" t="s">
        <v>14</v>
      </c>
      <c r="V113" s="109">
        <f t="shared" si="2"/>
        <v>0</v>
      </c>
      <c r="W113" s="110" t="str">
        <f t="shared" si="3"/>
        <v>EMP0042 HULESHWAR KUMAR SAHU</v>
      </c>
      <c r="X113" s="103">
        <f>if(S113,if(and(hour(S113+X$7)&gt;9.5,(hour(S113+X$7)&lt;19.5)),S113+X$7,_xlfn.workday.intl(int(S113),1,"0000001",Holidays!A:A)+hour(S113+X$7-$B$1)/24+minute(S113)/1440),"")</f>
        <v>46114.59792</v>
      </c>
      <c r="Y113" s="104">
        <v>46113.784351319446</v>
      </c>
      <c r="Z113" s="105" t="s">
        <v>14</v>
      </c>
      <c r="AA113" s="111">
        <f t="shared" si="4"/>
        <v>0</v>
      </c>
      <c r="AB113" s="110" t="str">
        <f t="shared" si="5"/>
        <v>EMP0042 HULESHWAR KUMAR SAHU</v>
      </c>
      <c r="AC113" s="103">
        <f>if(X113,_xlfn.WORKDAY.INTL(X113,AC$7,"0000001",Holidays!A:A)+hour(X113)/24+MINUTE(X113)/1440,"")</f>
        <v>46115.59792</v>
      </c>
      <c r="AD113" s="104">
        <v>46114.4548765625</v>
      </c>
      <c r="AE113" s="105" t="s">
        <v>14</v>
      </c>
      <c r="AF113" s="111">
        <f t="shared" si="6"/>
        <v>0</v>
      </c>
      <c r="AG113" s="110" t="str">
        <f t="shared" si="7"/>
        <v>EMP0042 HULESHWAR KUMAR SAHU</v>
      </c>
      <c r="AH113" s="103">
        <f>if(AC113,if(and(hour(AC113+AH$7)&gt;9.5,(hour(AC113+AH$7)&lt;19.5)),AC113+AH$7,_xlfn.workday.intl(int(AC113),1,"0000001",Holidays!A:A)+hour(AC113+AH$7-$B$1)/24+minute(AC113)/1440),"")</f>
        <v>46115.63958</v>
      </c>
      <c r="AI113" s="104">
        <v>46114.454912256944</v>
      </c>
      <c r="AJ113" s="105" t="s">
        <v>14</v>
      </c>
      <c r="AK113" s="111">
        <f t="shared" si="8"/>
        <v>0</v>
      </c>
      <c r="AL113" s="112" t="str">
        <f t="shared" si="9"/>
        <v>EMP0042 HULESHWAR KUMAR SAHU</v>
      </c>
      <c r="AM113" s="113"/>
      <c r="AN113" s="114" t="s">
        <v>672</v>
      </c>
      <c r="AO113" s="115"/>
      <c r="AP113" s="115"/>
      <c r="AQ113" s="115"/>
      <c r="AR113" s="115"/>
      <c r="AS113" s="115"/>
      <c r="AT113" s="115"/>
      <c r="AU113" s="115"/>
      <c r="AV113" s="115"/>
      <c r="AW113" s="115"/>
      <c r="AX113" s="115"/>
      <c r="AY113" s="115"/>
    </row>
    <row r="114">
      <c r="A114" s="95">
        <f t="shared" si="11"/>
        <v>5065</v>
      </c>
      <c r="B114" s="96">
        <v>46114.57477358796</v>
      </c>
      <c r="C114" s="97" t="s">
        <v>566</v>
      </c>
      <c r="D114" s="97" t="s">
        <v>49</v>
      </c>
      <c r="E114" s="98" t="s">
        <v>742</v>
      </c>
      <c r="F114" s="97"/>
      <c r="G114" s="97" t="s">
        <v>744</v>
      </c>
      <c r="H114" s="99" t="s">
        <v>62</v>
      </c>
      <c r="I114" s="100" t="s">
        <v>64</v>
      </c>
      <c r="J114" s="101" t="s">
        <v>47</v>
      </c>
      <c r="K114" s="100"/>
      <c r="L114" s="102" t="s">
        <v>745</v>
      </c>
      <c r="M114" s="103">
        <f>if(B114,if(and(hour(B114+M$7)&gt;9.5,(hour(B114+M$7)&lt;19.5)),B114+M$7,_xlfn.workday.intl(int(B114),1,"0000001",Holidays!A:A)+hour(B114+M$7-$B$1)/24+minute(B114)/1440),"")</f>
        <v>46114.74144</v>
      </c>
      <c r="N114" s="104">
        <v>46114.614763460646</v>
      </c>
      <c r="O114" s="105" t="s">
        <v>14</v>
      </c>
      <c r="P114" s="106">
        <f t="shared" si="1"/>
        <v>0</v>
      </c>
      <c r="Q114" s="107" t="s">
        <v>48</v>
      </c>
      <c r="R114" s="108" t="s">
        <v>434</v>
      </c>
      <c r="S114" s="103">
        <f>if(M114,if(and(hour(M114+S$7)&gt;9.5,(hour(M114+S$7)&lt;19.5)),M114+S$7,_xlfn.workday.intl(int(M114),1,"0000001",Holidays!A:A)+hour(M114+S$7-$B$1)/24+minute(M114)/1440),"")</f>
        <v>46114.74838</v>
      </c>
      <c r="T114" s="104">
        <v>46114.61485241898</v>
      </c>
      <c r="U114" s="105" t="s">
        <v>14</v>
      </c>
      <c r="V114" s="109">
        <f t="shared" si="2"/>
        <v>0</v>
      </c>
      <c r="W114" s="110" t="str">
        <f t="shared" si="3"/>
        <v>EMP0237 Swarnendu Chakraborty</v>
      </c>
      <c r="X114" s="103">
        <f>if(S114,if(and(hour(S114+X$7)&gt;9.5,(hour(S114+X$7)&lt;19.5)),S114+X$7,_xlfn.workday.intl(int(S114),1,"0000001",Holidays!A:A)+hour(S114+X$7-$B$1)/24+minute(S114)/1440),"")</f>
        <v>46115.45625</v>
      </c>
      <c r="Y114" s="104">
        <v>46114.61489201389</v>
      </c>
      <c r="Z114" s="105" t="s">
        <v>14</v>
      </c>
      <c r="AA114" s="111">
        <f t="shared" si="4"/>
        <v>0</v>
      </c>
      <c r="AB114" s="110" t="str">
        <f t="shared" si="5"/>
        <v>EMP0237 Swarnendu Chakraborty</v>
      </c>
      <c r="AC114" s="103">
        <f>if(X114,_xlfn.WORKDAY.INTL(X114,AC$7,"0000001",Holidays!A:A)+hour(X114)/24+MINUTE(X114)/1440,"")</f>
        <v>46116.45625</v>
      </c>
      <c r="AD114" s="104">
        <v>46115.43876798611</v>
      </c>
      <c r="AE114" s="105" t="s">
        <v>14</v>
      </c>
      <c r="AF114" s="111">
        <f t="shared" si="6"/>
        <v>0</v>
      </c>
      <c r="AG114" s="110" t="str">
        <f t="shared" si="7"/>
        <v>EMP0237 Swarnendu Chakraborty</v>
      </c>
      <c r="AH114" s="103">
        <f>if(AC114,if(and(hour(AC114+AH$7)&gt;9.5,(hour(AC114+AH$7)&lt;19.5)),AC114+AH$7,_xlfn.workday.intl(int(AC114),1,"0000001",Holidays!A:A)+hour(AC114+AH$7-$B$1)/24+minute(AC114)/1440),"")</f>
        <v>46116.49792</v>
      </c>
      <c r="AI114" s="104">
        <v>46115.43886637731</v>
      </c>
      <c r="AJ114" s="105" t="s">
        <v>14</v>
      </c>
      <c r="AK114" s="111">
        <f t="shared" si="8"/>
        <v>0</v>
      </c>
      <c r="AL114" s="112" t="str">
        <f t="shared" si="9"/>
        <v>EMP0237 Swarnendu Chakraborty</v>
      </c>
      <c r="AM114" s="113"/>
      <c r="AN114" s="114" t="s">
        <v>672</v>
      </c>
      <c r="AO114" s="115"/>
      <c r="AP114" s="115"/>
      <c r="AQ114" s="115"/>
      <c r="AR114" s="115"/>
      <c r="AS114" s="115"/>
      <c r="AT114" s="115"/>
      <c r="AU114" s="115"/>
      <c r="AV114" s="115"/>
      <c r="AW114" s="115"/>
      <c r="AX114" s="115"/>
      <c r="AY114" s="115"/>
    </row>
    <row r="115">
      <c r="A115" s="95">
        <f t="shared" si="11"/>
        <v>5066</v>
      </c>
      <c r="B115" s="96">
        <v>46114.63719616898</v>
      </c>
      <c r="C115" s="97" t="s">
        <v>751</v>
      </c>
      <c r="D115" s="97" t="s">
        <v>142</v>
      </c>
      <c r="E115" s="98" t="s">
        <v>748</v>
      </c>
      <c r="F115" s="97"/>
      <c r="G115" s="97" t="s">
        <v>168</v>
      </c>
      <c r="H115" s="99" t="s">
        <v>62</v>
      </c>
      <c r="I115" s="100" t="s">
        <v>64</v>
      </c>
      <c r="J115" s="101" t="s">
        <v>141</v>
      </c>
      <c r="K115" s="100"/>
      <c r="L115" s="102" t="s">
        <v>750</v>
      </c>
      <c r="M115" s="103">
        <f>if(B115,if(and(hour(B115+M$7)&gt;9.5,(hour(B115+M$7)&lt;19.5)),B115+M$7,_xlfn.workday.intl(int(B115),1,"0000001",Holidays!A:A)+hour(B115+M$7-$B$1)/24+minute(B115)/1440),"")</f>
        <v>46114.80386</v>
      </c>
      <c r="N115" s="104">
        <v>46114.614763460646</v>
      </c>
      <c r="O115" s="105" t="s">
        <v>14</v>
      </c>
      <c r="P115" s="106">
        <f t="shared" si="1"/>
        <v>0</v>
      </c>
      <c r="Q115" s="107" t="s">
        <v>48</v>
      </c>
      <c r="R115" s="108" t="s">
        <v>434</v>
      </c>
      <c r="S115" s="103">
        <f>if(M115,if(and(hour(M115+S$7)&gt;9.5,(hour(M115+S$7)&lt;19.5)),M115+S$7,_xlfn.workday.intl(int(M115),1,"0000001",Holidays!A:A)+hour(M115+S$7-$B$1)/24+minute(M115)/1440),"")</f>
        <v>46114.81081</v>
      </c>
      <c r="T115" s="104">
        <v>46114.6803003588</v>
      </c>
      <c r="U115" s="105" t="s">
        <v>14</v>
      </c>
      <c r="V115" s="109">
        <f t="shared" si="2"/>
        <v>0</v>
      </c>
      <c r="W115" s="110" t="str">
        <f t="shared" si="3"/>
        <v>EMP0237 Swarnendu Chakraborty</v>
      </c>
      <c r="X115" s="103">
        <f>if(S115,if(and(hour(S115+X$7)&gt;9.5,(hour(S115+X$7)&lt;19.5)),S115+X$7,_xlfn.workday.intl(int(S115),1,"0000001",Holidays!A:A)+hour(S115+X$7-$B$1)/24+minute(S115)/1440),"")</f>
        <v>46115.47708</v>
      </c>
      <c r="Y115" s="104">
        <v>46114.78765726852</v>
      </c>
      <c r="Z115" s="105" t="s">
        <v>14</v>
      </c>
      <c r="AA115" s="111">
        <f t="shared" si="4"/>
        <v>0</v>
      </c>
      <c r="AB115" s="110" t="str">
        <f t="shared" si="5"/>
        <v>EMP0237 Swarnendu Chakraborty</v>
      </c>
      <c r="AC115" s="103">
        <f>if(X115,_xlfn.WORKDAY.INTL(X115,AC$7,"0000001",Holidays!A:A)+hour(X115)/24+MINUTE(X115)/1440,"")</f>
        <v>46116.47708</v>
      </c>
      <c r="AD115" s="104">
        <v>46115.43879965278</v>
      </c>
      <c r="AE115" s="105" t="s">
        <v>14</v>
      </c>
      <c r="AF115" s="111">
        <f t="shared" si="6"/>
        <v>0</v>
      </c>
      <c r="AG115" s="110" t="str">
        <f t="shared" si="7"/>
        <v>EMP0237 Swarnendu Chakraborty</v>
      </c>
      <c r="AH115" s="103">
        <f>if(AC115,if(and(hour(AC115+AH$7)&gt;9.5,(hour(AC115+AH$7)&lt;19.5)),AC115+AH$7,_xlfn.workday.intl(int(AC115),1,"0000001",Holidays!A:A)+hour(AC115+AH$7-$B$1)/24+minute(AC115)/1440),"")</f>
        <v>46116.51875</v>
      </c>
      <c r="AI115" s="104">
        <v>46115.438890150464</v>
      </c>
      <c r="AJ115" s="105" t="s">
        <v>14</v>
      </c>
      <c r="AK115" s="111">
        <f t="shared" si="8"/>
        <v>0</v>
      </c>
      <c r="AL115" s="112" t="str">
        <f t="shared" si="9"/>
        <v>EMP0237 Swarnendu Chakraborty</v>
      </c>
      <c r="AM115" s="113"/>
      <c r="AN115" s="114" t="s">
        <v>672</v>
      </c>
      <c r="AO115" s="115"/>
      <c r="AP115" s="115"/>
      <c r="AQ115" s="115"/>
      <c r="AR115" s="115"/>
      <c r="AS115" s="115"/>
      <c r="AT115" s="115"/>
      <c r="AU115" s="115"/>
      <c r="AV115" s="115"/>
      <c r="AW115" s="115"/>
      <c r="AX115" s="115"/>
      <c r="AY115" s="115"/>
    </row>
    <row r="116">
      <c r="A116" s="95">
        <f t="shared" si="11"/>
        <v>5067</v>
      </c>
      <c r="B116" s="96">
        <v>46114.67649063657</v>
      </c>
      <c r="C116" s="97" t="s">
        <v>573</v>
      </c>
      <c r="D116" s="97" t="s">
        <v>357</v>
      </c>
      <c r="E116" s="98" t="s">
        <v>752</v>
      </c>
      <c r="F116" s="97"/>
      <c r="G116" s="97" t="s">
        <v>755</v>
      </c>
      <c r="H116" s="99" t="s">
        <v>138</v>
      </c>
      <c r="I116" s="100" t="s">
        <v>64</v>
      </c>
      <c r="J116" s="101" t="s">
        <v>356</v>
      </c>
      <c r="K116" s="100"/>
      <c r="L116" s="102" t="s">
        <v>756</v>
      </c>
      <c r="M116" s="103">
        <f>if(B116,if(and(hour(B116+M$7)&gt;9.5,(hour(B116+M$7)&lt;19.5)),B116+M$7,_xlfn.workday.intl(int(B116),1,"0000001",Holidays!A:A)+hour(B116+M$7-$B$1)/24+minute(B116)/1440),"")</f>
        <v>46115.42639</v>
      </c>
      <c r="N116" s="104">
        <v>46114.68001162037</v>
      </c>
      <c r="O116" s="105" t="s">
        <v>14</v>
      </c>
      <c r="P116" s="106">
        <f t="shared" si="1"/>
        <v>0</v>
      </c>
      <c r="Q116" s="107" t="s">
        <v>15</v>
      </c>
      <c r="R116" s="108" t="s">
        <v>434</v>
      </c>
      <c r="S116" s="103">
        <f>if(M116,if(and(hour(M116+S$7)&gt;9.5,(hour(M116+S$7)&lt;19.5)),M116+S$7,_xlfn.workday.intl(int(M116),1,"0000001",Holidays!A:A)+hour(M116+S$7-$B$1)/24+minute(M116)/1440),"")</f>
        <v>46115.43333</v>
      </c>
      <c r="T116" s="104">
        <v>46114.6802540625</v>
      </c>
      <c r="U116" s="105" t="s">
        <v>14</v>
      </c>
      <c r="V116" s="109">
        <f t="shared" si="2"/>
        <v>0</v>
      </c>
      <c r="W116" s="110" t="str">
        <f t="shared" si="3"/>
        <v>EMP0042 HULESHWAR KUMAR SAHU</v>
      </c>
      <c r="X116" s="103">
        <f>if(S116,if(and(hour(S116+X$7)&gt;9.5,(hour(S116+X$7)&lt;19.5)),S116+X$7,_xlfn.workday.intl(int(S116),1,"0000001",Holidays!A:A)+hour(S116+X$7-$B$1)/24+minute(S116)/1440),"")</f>
        <v>46115.5375</v>
      </c>
      <c r="Y116" s="104">
        <v>46114.71440878473</v>
      </c>
      <c r="Z116" s="105" t="s">
        <v>14</v>
      </c>
      <c r="AA116" s="111">
        <f t="shared" si="4"/>
        <v>0</v>
      </c>
      <c r="AB116" s="110" t="str">
        <f t="shared" si="5"/>
        <v>EMP0042 HULESHWAR KUMAR SAHU</v>
      </c>
      <c r="AC116" s="103">
        <f>if(X116,_xlfn.WORKDAY.INTL(X116,AC$7,"0000001",Holidays!A:A)+hour(X116)/24+MINUTE(X116)/1440,"")</f>
        <v>46116.5375</v>
      </c>
      <c r="AD116" s="104">
        <v>46114.78770072917</v>
      </c>
      <c r="AE116" s="105" t="s">
        <v>14</v>
      </c>
      <c r="AF116" s="111">
        <f t="shared" si="6"/>
        <v>0</v>
      </c>
      <c r="AG116" s="110" t="str">
        <f t="shared" si="7"/>
        <v>EMP0042 HULESHWAR KUMAR SAHU</v>
      </c>
      <c r="AH116" s="103">
        <f>if(AC116,if(and(hour(AC116+AH$7)&gt;9.5,(hour(AC116+AH$7)&lt;19.5)),AC116+AH$7,_xlfn.workday.intl(int(AC116),1,"0000001",Holidays!A:A)+hour(AC116+AH$7-$B$1)/24+minute(AC116)/1440),"")</f>
        <v>46116.57917</v>
      </c>
      <c r="AI116" s="104">
        <v>46114.78793643518</v>
      </c>
      <c r="AJ116" s="105" t="s">
        <v>14</v>
      </c>
      <c r="AK116" s="111">
        <f t="shared" si="8"/>
        <v>0</v>
      </c>
      <c r="AL116" s="112" t="str">
        <f t="shared" si="9"/>
        <v>EMP0042 HULESHWAR KUMAR SAHU</v>
      </c>
      <c r="AM116" s="113"/>
      <c r="AN116" s="114" t="s">
        <v>672</v>
      </c>
      <c r="AO116" s="115"/>
      <c r="AP116" s="115"/>
      <c r="AQ116" s="115"/>
      <c r="AR116" s="115"/>
      <c r="AS116" s="115"/>
      <c r="AT116" s="115"/>
      <c r="AU116" s="115"/>
      <c r="AV116" s="115"/>
      <c r="AW116" s="115"/>
      <c r="AX116" s="115"/>
      <c r="AY116" s="115"/>
    </row>
    <row r="117">
      <c r="A117" s="95">
        <f t="shared" si="11"/>
        <v>5068</v>
      </c>
      <c r="B117" s="96">
        <v>46114.677965717594</v>
      </c>
      <c r="C117" s="97" t="s">
        <v>275</v>
      </c>
      <c r="D117" s="97" t="s">
        <v>357</v>
      </c>
      <c r="E117" s="98" t="s">
        <v>758</v>
      </c>
      <c r="F117" s="97"/>
      <c r="G117" s="97" t="s">
        <v>760</v>
      </c>
      <c r="H117" s="99" t="s">
        <v>138</v>
      </c>
      <c r="I117" s="100" t="s">
        <v>64</v>
      </c>
      <c r="J117" s="101" t="s">
        <v>357</v>
      </c>
      <c r="K117" s="100"/>
      <c r="L117" s="102" t="s">
        <v>762</v>
      </c>
      <c r="M117" s="103">
        <f>if(B117,if(and(hour(B117+M$7)&gt;9.5,(hour(B117+M$7)&lt;19.5)),B117+M$7,_xlfn.workday.intl(int(B117),1,"0000001",Holidays!A:A)+hour(B117+M$7-$B$1)/24+minute(B117)/1440),"")</f>
        <v>46115.42778</v>
      </c>
      <c r="N117" s="104">
        <v>46114.68017364583</v>
      </c>
      <c r="O117" s="105" t="s">
        <v>14</v>
      </c>
      <c r="P117" s="106">
        <f t="shared" si="1"/>
        <v>0</v>
      </c>
      <c r="Q117" s="107" t="s">
        <v>15</v>
      </c>
      <c r="R117" s="108" t="s">
        <v>434</v>
      </c>
      <c r="S117" s="103">
        <f>if(M117,if(and(hour(M117+S$7)&gt;9.5,(hour(M117+S$7)&lt;19.5)),M117+S$7,_xlfn.workday.intl(int(M117),1,"0000001",Holidays!A:A)+hour(M117+S$7-$B$1)/24+minute(M117)/1440),"")</f>
        <v>46115.43472</v>
      </c>
      <c r="T117" s="104">
        <v>46114.68031925926</v>
      </c>
      <c r="U117" s="105" t="s">
        <v>14</v>
      </c>
      <c r="V117" s="109">
        <f t="shared" si="2"/>
        <v>0</v>
      </c>
      <c r="W117" s="110" t="str">
        <f t="shared" si="3"/>
        <v>EMP0042 HULESHWAR KUMAR SAHU</v>
      </c>
      <c r="X117" s="103">
        <f>if(S117,if(and(hour(S117+X$7)&gt;9.5,(hour(S117+X$7)&lt;19.5)),S117+X$7,_xlfn.workday.intl(int(S117),1,"0000001",Holidays!A:A)+hour(S117+X$7-$B$1)/24+minute(S117)/1440),"")</f>
        <v>46115.53889</v>
      </c>
      <c r="Y117" s="104">
        <v>46114.71441252315</v>
      </c>
      <c r="Z117" s="105" t="s">
        <v>14</v>
      </c>
      <c r="AA117" s="111">
        <f t="shared" si="4"/>
        <v>0</v>
      </c>
      <c r="AB117" s="110" t="str">
        <f t="shared" si="5"/>
        <v>EMP0042 HULESHWAR KUMAR SAHU</v>
      </c>
      <c r="AC117" s="103">
        <f>if(X117,_xlfn.WORKDAY.INTL(X117,AC$7,"0000001",Holidays!A:A)+hour(X117)/24+MINUTE(X117)/1440,"")</f>
        <v>46116.53889</v>
      </c>
      <c r="AD117" s="104">
        <v>46114.78773041666</v>
      </c>
      <c r="AE117" s="105" t="s">
        <v>14</v>
      </c>
      <c r="AF117" s="111">
        <f t="shared" si="6"/>
        <v>0</v>
      </c>
      <c r="AG117" s="110" t="str">
        <f t="shared" si="7"/>
        <v>EMP0042 HULESHWAR KUMAR SAHU</v>
      </c>
      <c r="AH117" s="103">
        <f>if(AC117,if(and(hour(AC117+AH$7)&gt;9.5,(hour(AC117+AH$7)&lt;19.5)),AC117+AH$7,_xlfn.workday.intl(int(AC117),1,"0000001",Holidays!A:A)+hour(AC117+AH$7-$B$1)/24+minute(AC117)/1440),"")</f>
        <v>46116.58056</v>
      </c>
      <c r="AI117" s="104">
        <v>46114.78795275463</v>
      </c>
      <c r="AJ117" s="105" t="s">
        <v>14</v>
      </c>
      <c r="AK117" s="111">
        <f t="shared" si="8"/>
        <v>0</v>
      </c>
      <c r="AL117" s="112" t="str">
        <f t="shared" si="9"/>
        <v>EMP0042 HULESHWAR KUMAR SAHU</v>
      </c>
      <c r="AM117" s="113"/>
      <c r="AN117" s="114" t="s">
        <v>672</v>
      </c>
      <c r="AO117" s="115"/>
      <c r="AP117" s="115"/>
      <c r="AQ117" s="115"/>
      <c r="AR117" s="115"/>
      <c r="AS117" s="115"/>
      <c r="AT117" s="115"/>
      <c r="AU117" s="115"/>
      <c r="AV117" s="115"/>
      <c r="AW117" s="115"/>
      <c r="AX117" s="115"/>
      <c r="AY117" s="115"/>
    </row>
    <row r="118">
      <c r="A118" s="95">
        <f t="shared" si="11"/>
        <v>5069</v>
      </c>
      <c r="B118" s="96">
        <v>46115.472794189816</v>
      </c>
      <c r="C118" s="97" t="s">
        <v>580</v>
      </c>
      <c r="D118" s="97" t="s">
        <v>763</v>
      </c>
      <c r="E118" s="98" t="s">
        <v>764</v>
      </c>
      <c r="F118" s="97"/>
      <c r="G118" s="97" t="s">
        <v>648</v>
      </c>
      <c r="H118" s="99" t="s">
        <v>62</v>
      </c>
      <c r="I118" s="100" t="s">
        <v>64</v>
      </c>
      <c r="J118" s="101" t="s">
        <v>662</v>
      </c>
      <c r="K118" s="100"/>
      <c r="L118" s="102" t="s">
        <v>767</v>
      </c>
      <c r="M118" s="103">
        <f>if(B118,if(and(hour(B118+M$7)&gt;9.5,(hour(B118+M$7)&lt;19.5)),B118+M$7,_xlfn.workday.intl(int(B118),1,"0000001",Holidays!A:A)+hour(B118+M$7-$B$1)/24+minute(B118)/1440),"")</f>
        <v>46115.63946</v>
      </c>
      <c r="N118" s="104">
        <v>46115.51588378473</v>
      </c>
      <c r="O118" s="105" t="s">
        <v>14</v>
      </c>
      <c r="P118" s="106">
        <f t="shared" si="1"/>
        <v>0</v>
      </c>
      <c r="Q118" s="107" t="s">
        <v>72</v>
      </c>
      <c r="R118" s="108" t="s">
        <v>434</v>
      </c>
      <c r="S118" s="103">
        <f>if(M118,if(and(hour(M118+S$7)&gt;9.5,(hour(M118+S$7)&lt;19.5)),M118+S$7,_xlfn.workday.intl(int(M118),1,"0000001",Holidays!A:A)+hour(M118+S$7-$B$1)/24+minute(M118)/1440),"")</f>
        <v>46115.64641</v>
      </c>
      <c r="T118" s="104">
        <v>46115.51617155093</v>
      </c>
      <c r="U118" s="105" t="s">
        <v>14</v>
      </c>
      <c r="V118" s="109">
        <f t="shared" si="2"/>
        <v>0</v>
      </c>
      <c r="W118" s="110" t="str">
        <f t="shared" si="3"/>
        <v>EMP5009 Rup Kumar Mandal</v>
      </c>
      <c r="X118" s="103">
        <f>if(S118,if(and(hour(S118+X$7)&gt;9.5,(hour(S118+X$7)&lt;19.5)),S118+X$7,_xlfn.workday.intl(int(S118),1,"0000001",Holidays!A:A)+hour(S118+X$7-$B$1)/24+minute(S118)/1440),"")</f>
        <v>46115.75057</v>
      </c>
      <c r="Y118" s="104">
        <v>46115.51621256945</v>
      </c>
      <c r="Z118" s="105" t="s">
        <v>14</v>
      </c>
      <c r="AA118" s="111">
        <f t="shared" si="4"/>
        <v>0</v>
      </c>
      <c r="AB118" s="110" t="str">
        <f t="shared" si="5"/>
        <v>EMP5009 Rup Kumar Mandal</v>
      </c>
      <c r="AC118" s="103">
        <f>if(X118,_xlfn.WORKDAY.INTL(X118,AC$7,"0000001",Holidays!A:A)+hour(X118)/24+MINUTE(X118)/1440,"")</f>
        <v>46116.75</v>
      </c>
      <c r="AD118" s="104">
        <v>46115.51671884259</v>
      </c>
      <c r="AE118" s="105" t="s">
        <v>14</v>
      </c>
      <c r="AF118" s="111">
        <f t="shared" si="6"/>
        <v>0</v>
      </c>
      <c r="AG118" s="110" t="str">
        <f t="shared" si="7"/>
        <v>EMP5009 Rup Kumar Mandal</v>
      </c>
      <c r="AH118" s="103">
        <f>if(AC118,if(and(hour(AC118+AH$7)&gt;9.5,(hour(AC118+AH$7)&lt;19.5)),AC118+AH$7,_xlfn.workday.intl(int(AC118),1,"0000001",Holidays!A:A)+hour(AC118+AH$7-$B$1)/24+minute(AC118)/1440),"")</f>
        <v>46116.79167</v>
      </c>
      <c r="AI118" s="104">
        <v>46115.695649155095</v>
      </c>
      <c r="AJ118" s="105" t="s">
        <v>14</v>
      </c>
      <c r="AK118" s="111">
        <f t="shared" si="8"/>
        <v>0</v>
      </c>
      <c r="AL118" s="112" t="str">
        <f t="shared" si="9"/>
        <v>EMP5009 Rup Kumar Mandal</v>
      </c>
      <c r="AM118" s="113"/>
      <c r="AN118" s="114" t="s">
        <v>672</v>
      </c>
      <c r="AO118" s="115"/>
      <c r="AP118" s="115"/>
      <c r="AQ118" s="115"/>
      <c r="AR118" s="115"/>
      <c r="AS118" s="115"/>
      <c r="AT118" s="115"/>
      <c r="AU118" s="115"/>
      <c r="AV118" s="115"/>
      <c r="AW118" s="115"/>
      <c r="AX118" s="115"/>
      <c r="AY118" s="115"/>
    </row>
    <row r="119">
      <c r="A119" s="95">
        <f t="shared" si="11"/>
        <v>5070</v>
      </c>
      <c r="B119" s="96">
        <v>46115.47900577546</v>
      </c>
      <c r="C119" s="97" t="s">
        <v>583</v>
      </c>
      <c r="D119" s="97" t="s">
        <v>769</v>
      </c>
      <c r="E119" s="98" t="s">
        <v>770</v>
      </c>
      <c r="F119" s="97"/>
      <c r="G119" s="97" t="s">
        <v>773</v>
      </c>
      <c r="H119" s="99" t="s">
        <v>147</v>
      </c>
      <c r="I119" s="100" t="s">
        <v>64</v>
      </c>
      <c r="J119" s="101" t="s">
        <v>768</v>
      </c>
      <c r="K119" s="100"/>
      <c r="L119" s="102" t="s">
        <v>518</v>
      </c>
      <c r="M119" s="103">
        <f>if(B119,if(and(hour(B119+M$7)&gt;9.5,(hour(B119+M$7)&lt;19.5)),B119+M$7,_xlfn.workday.intl(int(B119),1,"0000001",Holidays!A:A)+hour(B119+M$7-$B$1)/24+minute(B119)/1440),"")</f>
        <v>46115.64567</v>
      </c>
      <c r="N119" s="104">
        <v>46115.515862534725</v>
      </c>
      <c r="O119" s="105" t="s">
        <v>14</v>
      </c>
      <c r="P119" s="106">
        <f t="shared" si="1"/>
        <v>0</v>
      </c>
      <c r="Q119" s="107" t="s">
        <v>72</v>
      </c>
      <c r="R119" s="108" t="s">
        <v>434</v>
      </c>
      <c r="S119" s="103">
        <f>if(M119,if(and(hour(M119+S$7)&gt;9.5,(hour(M119+S$7)&lt;19.5)),M119+S$7,_xlfn.workday.intl(int(M119),1,"0000001",Holidays!A:A)+hour(M119+S$7-$B$1)/24+minute(M119)/1440),"")</f>
        <v>46115.65262</v>
      </c>
      <c r="T119" s="104">
        <v>46115.51617155093</v>
      </c>
      <c r="U119" s="105" t="s">
        <v>14</v>
      </c>
      <c r="V119" s="109">
        <f t="shared" si="2"/>
        <v>0</v>
      </c>
      <c r="W119" s="110" t="str">
        <f t="shared" si="3"/>
        <v>EMP5009 Rup Kumar Mandal</v>
      </c>
      <c r="X119" s="103">
        <f>if(S119,if(and(hour(S119+X$7)&gt;9.5,(hour(S119+X$7)&lt;19.5)),S119+X$7,_xlfn.workday.intl(int(S119),1,"0000001",Holidays!A:A)+hour(S119+X$7-$B$1)/24+minute(S119)/1440),"")</f>
        <v>46115.75678</v>
      </c>
      <c r="Y119" s="104">
        <v>46115.51622262731</v>
      </c>
      <c r="Z119" s="105" t="s">
        <v>14</v>
      </c>
      <c r="AA119" s="111">
        <f t="shared" si="4"/>
        <v>0</v>
      </c>
      <c r="AB119" s="110" t="str">
        <f t="shared" si="5"/>
        <v>EMP5009 Rup Kumar Mandal</v>
      </c>
      <c r="AC119" s="103">
        <f>if(X119,_xlfn.WORKDAY.INTL(X119,AC$7,"0000001",Holidays!A:A)+hour(X119)/24+MINUTE(X119)/1440,"")</f>
        <v>46116.75625</v>
      </c>
      <c r="AD119" s="104">
        <v>46115.51671884259</v>
      </c>
      <c r="AE119" s="105" t="s">
        <v>14</v>
      </c>
      <c r="AF119" s="111">
        <f t="shared" si="6"/>
        <v>0</v>
      </c>
      <c r="AG119" s="110" t="str">
        <f t="shared" si="7"/>
        <v>EMP5009 Rup Kumar Mandal</v>
      </c>
      <c r="AH119" s="103">
        <f>if(AC119,if(and(hour(AC119+AH$7)&gt;9.5,(hour(AC119+AH$7)&lt;19.5)),AC119+AH$7,_xlfn.workday.intl(int(AC119),1,"0000001",Holidays!A:A)+hour(AC119+AH$7-$B$1)/24+minute(AC119)/1440),"")</f>
        <v>46116.79792</v>
      </c>
      <c r="AI119" s="104">
        <v>46115.690985821755</v>
      </c>
      <c r="AJ119" s="105" t="s">
        <v>14</v>
      </c>
      <c r="AK119" s="111">
        <f t="shared" si="8"/>
        <v>0</v>
      </c>
      <c r="AL119" s="112" t="str">
        <f t="shared" si="9"/>
        <v>EMP5009 Rup Kumar Mandal</v>
      </c>
      <c r="AM119" s="113"/>
      <c r="AN119" s="114" t="s">
        <v>672</v>
      </c>
      <c r="AO119" s="115"/>
      <c r="AP119" s="115"/>
      <c r="AQ119" s="115"/>
      <c r="AR119" s="115"/>
      <c r="AS119" s="115"/>
      <c r="AT119" s="115"/>
      <c r="AU119" s="115"/>
      <c r="AV119" s="115"/>
      <c r="AW119" s="115"/>
      <c r="AX119" s="115"/>
      <c r="AY119" s="115"/>
    </row>
    <row r="120">
      <c r="A120" s="95">
        <f t="shared" si="11"/>
        <v>5071</v>
      </c>
      <c r="B120" s="96">
        <v>46115.48281878472</v>
      </c>
      <c r="C120" s="97" t="s">
        <v>407</v>
      </c>
      <c r="D120" s="97" t="s">
        <v>769</v>
      </c>
      <c r="E120" s="98" t="s">
        <v>774</v>
      </c>
      <c r="F120" s="97"/>
      <c r="G120" s="97" t="s">
        <v>773</v>
      </c>
      <c r="H120" s="99" t="s">
        <v>62</v>
      </c>
      <c r="I120" s="100" t="s">
        <v>64</v>
      </c>
      <c r="J120" s="101" t="s">
        <v>768</v>
      </c>
      <c r="K120" s="100"/>
      <c r="L120" s="102" t="s">
        <v>518</v>
      </c>
      <c r="M120" s="103">
        <f>if(B120,if(and(hour(B120+M$7)&gt;9.5,(hour(B120+M$7)&lt;19.5)),B120+M$7,_xlfn.workday.intl(int(B120),1,"0000001",Holidays!A:A)+hour(B120+M$7-$B$1)/24+minute(B120)/1440),"")</f>
        <v>46115.64949</v>
      </c>
      <c r="N120" s="104">
        <v>46115.515877025464</v>
      </c>
      <c r="O120" s="105" t="s">
        <v>14</v>
      </c>
      <c r="P120" s="106">
        <f t="shared" si="1"/>
        <v>0</v>
      </c>
      <c r="Q120" s="107" t="s">
        <v>15</v>
      </c>
      <c r="R120" s="108" t="s">
        <v>434</v>
      </c>
      <c r="S120" s="103">
        <f>if(M120,if(and(hour(M120+S$7)&gt;9.5,(hour(M120+S$7)&lt;19.5)),M120+S$7,_xlfn.workday.intl(int(M120),1,"0000001",Holidays!A:A)+hour(M120+S$7-$B$1)/24+minute(M120)/1440),"")</f>
        <v>46115.65643</v>
      </c>
      <c r="T120" s="104">
        <v>46115.516179467595</v>
      </c>
      <c r="U120" s="105" t="s">
        <v>14</v>
      </c>
      <c r="V120" s="109">
        <f t="shared" si="2"/>
        <v>0</v>
      </c>
      <c r="W120" s="110" t="str">
        <f t="shared" si="3"/>
        <v>EMP0042 HULESHWAR KUMAR SAHU</v>
      </c>
      <c r="X120" s="103">
        <f>if(S120,if(and(hour(S120+X$7)&gt;9.5,(hour(S120+X$7)&lt;19.5)),S120+X$7,_xlfn.workday.intl(int(S120),1,"0000001",Holidays!A:A)+hour(S120+X$7-$B$1)/24+minute(S120)/1440),"")</f>
        <v>46115.7606</v>
      </c>
      <c r="Y120" s="104">
        <v>46115.65296166667</v>
      </c>
      <c r="Z120" s="105" t="s">
        <v>14</v>
      </c>
      <c r="AA120" s="111">
        <f t="shared" si="4"/>
        <v>0</v>
      </c>
      <c r="AB120" s="110" t="str">
        <f t="shared" si="5"/>
        <v>EMP0042 HULESHWAR KUMAR SAHU</v>
      </c>
      <c r="AC120" s="103">
        <f>if(X120,_xlfn.WORKDAY.INTL(X120,AC$7,"0000001",Holidays!A:A)+hour(X120)/24+MINUTE(X120)/1440,"")</f>
        <v>46116.76042</v>
      </c>
      <c r="AD120" s="104">
        <v>46115.51672571759</v>
      </c>
      <c r="AE120" s="105" t="s">
        <v>14</v>
      </c>
      <c r="AF120" s="111">
        <f t="shared" si="6"/>
        <v>0</v>
      </c>
      <c r="AG120" s="110" t="str">
        <f t="shared" si="7"/>
        <v>EMP0042 HULESHWAR KUMAR SAHU</v>
      </c>
      <c r="AH120" s="103">
        <f>if(AC120,if(and(hour(AC120+AH$7)&gt;9.5,(hour(AC120+AH$7)&lt;19.5)),AC120+AH$7,_xlfn.workday.intl(int(AC120),1,"0000001",Holidays!A:A)+hour(AC120+AH$7-$B$1)/24+minute(AC120)/1440),"")</f>
        <v>46116.80208</v>
      </c>
      <c r="AI120" s="104">
        <v>46115.69100689815</v>
      </c>
      <c r="AJ120" s="105" t="s">
        <v>14</v>
      </c>
      <c r="AK120" s="111">
        <f t="shared" si="8"/>
        <v>0</v>
      </c>
      <c r="AL120" s="112" t="str">
        <f t="shared" si="9"/>
        <v>EMP0042 HULESHWAR KUMAR SAHU</v>
      </c>
      <c r="AM120" s="113"/>
      <c r="AN120" s="114" t="s">
        <v>672</v>
      </c>
      <c r="AO120" s="115"/>
      <c r="AP120" s="115"/>
      <c r="AQ120" s="115"/>
      <c r="AR120" s="115"/>
      <c r="AS120" s="115"/>
      <c r="AT120" s="115"/>
      <c r="AU120" s="115"/>
      <c r="AV120" s="115"/>
      <c r="AW120" s="115"/>
      <c r="AX120" s="115"/>
      <c r="AY120" s="115"/>
    </row>
    <row r="121">
      <c r="A121" s="95">
        <f t="shared" si="11"/>
        <v>5072</v>
      </c>
      <c r="B121" s="96">
        <v>46115.544936562495</v>
      </c>
      <c r="C121" s="97" t="s">
        <v>593</v>
      </c>
      <c r="D121" s="97" t="s">
        <v>215</v>
      </c>
      <c r="E121" s="98" t="s">
        <v>779</v>
      </c>
      <c r="F121" s="97"/>
      <c r="G121" s="97" t="s">
        <v>782</v>
      </c>
      <c r="H121" s="99" t="s">
        <v>62</v>
      </c>
      <c r="I121" s="100" t="s">
        <v>64</v>
      </c>
      <c r="J121" s="101" t="s">
        <v>778</v>
      </c>
      <c r="K121" s="100"/>
      <c r="L121" s="102" t="s">
        <v>783</v>
      </c>
      <c r="M121" s="103">
        <f>if(B121,if(and(hour(B121+M$7)&gt;9.5,(hour(B121+M$7)&lt;19.5)),B121+M$7,_xlfn.workday.intl(int(B121),1,"0000001",Holidays!A:A)+hour(B121+M$7-$B$1)/24+minute(B121)/1440),"")</f>
        <v>46115.7116</v>
      </c>
      <c r="N121" s="104">
        <v>46115.545471377314</v>
      </c>
      <c r="O121" s="105" t="s">
        <v>14</v>
      </c>
      <c r="P121" s="106">
        <f t="shared" si="1"/>
        <v>0</v>
      </c>
      <c r="Q121" s="107" t="s">
        <v>15</v>
      </c>
      <c r="R121" s="108" t="s">
        <v>434</v>
      </c>
      <c r="S121" s="103">
        <f>if(M121,if(and(hour(M121+S$7)&gt;9.5,(hour(M121+S$7)&lt;19.5)),M121+S$7,_xlfn.workday.intl(int(M121),1,"0000001",Holidays!A:A)+hour(M121+S$7-$B$1)/24+minute(M121)/1440),"")</f>
        <v>46115.71855</v>
      </c>
      <c r="T121" s="104">
        <v>46115.54601277778</v>
      </c>
      <c r="U121" s="105" t="s">
        <v>14</v>
      </c>
      <c r="V121" s="109">
        <f t="shared" si="2"/>
        <v>0</v>
      </c>
      <c r="W121" s="110" t="str">
        <f t="shared" si="3"/>
        <v>EMP0042 HULESHWAR KUMAR SAHU</v>
      </c>
      <c r="X121" s="103">
        <f>if(S121,if(and(hour(S121+X$7)&gt;9.5,(hour(S121+X$7)&lt;19.5)),S121+X$7,_xlfn.workday.intl(int(S121),1,"0000001",Holidays!A:A)+hour(S121+X$7-$B$1)/24+minute(S121)/1440),"")</f>
        <v>46115.82271</v>
      </c>
      <c r="Y121" s="104">
        <v>46115.65332873842</v>
      </c>
      <c r="Z121" s="105" t="s">
        <v>14</v>
      </c>
      <c r="AA121" s="111">
        <f t="shared" si="4"/>
        <v>0</v>
      </c>
      <c r="AB121" s="110" t="str">
        <f t="shared" si="5"/>
        <v>EMP0042 HULESHWAR KUMAR SAHU</v>
      </c>
      <c r="AC121" s="103">
        <f>if(X121,_xlfn.WORKDAY.INTL(X121,AC$7,"0000001",Holidays!A:A)+hour(X121)/24+MINUTE(X121)/1440,"")</f>
        <v>46116.82222</v>
      </c>
      <c r="AD121" s="104">
        <v>46115.6908375</v>
      </c>
      <c r="AE121" s="105" t="s">
        <v>14</v>
      </c>
      <c r="AF121" s="111">
        <f t="shared" si="6"/>
        <v>0</v>
      </c>
      <c r="AG121" s="110" t="str">
        <f t="shared" si="7"/>
        <v>EMP0042 HULESHWAR KUMAR SAHU</v>
      </c>
      <c r="AH121" s="103">
        <f>if(AC121,if(and(hour(AC121+AH$7)&gt;9.5,(hour(AC121+AH$7)&lt;19.5)),AC121+AH$7,_xlfn.workday.intl(int(AC121),1,"0000001",Holidays!A:A)+hour(AC121+AH$7-$B$1)/24+minute(AC121)/1440),"")</f>
        <v>46118.44722</v>
      </c>
      <c r="AI121" s="104">
        <v>46115.690879155096</v>
      </c>
      <c r="AJ121" s="105" t="s">
        <v>14</v>
      </c>
      <c r="AK121" s="111">
        <f t="shared" si="8"/>
        <v>0</v>
      </c>
      <c r="AL121" s="112" t="str">
        <f t="shared" si="9"/>
        <v>EMP0042 HULESHWAR KUMAR SAHU</v>
      </c>
      <c r="AM121" s="113"/>
      <c r="AN121" s="114" t="s">
        <v>672</v>
      </c>
      <c r="AO121" s="115"/>
      <c r="AP121" s="115"/>
      <c r="AQ121" s="115"/>
      <c r="AR121" s="115"/>
      <c r="AS121" s="115"/>
      <c r="AT121" s="115"/>
      <c r="AU121" s="115"/>
      <c r="AV121" s="115"/>
      <c r="AW121" s="115"/>
      <c r="AX121" s="115"/>
      <c r="AY121" s="115"/>
    </row>
    <row r="122">
      <c r="A122" s="95">
        <f t="shared" si="11"/>
        <v>5073</v>
      </c>
      <c r="B122" s="96">
        <v>46115.55742894676</v>
      </c>
      <c r="C122" s="97" t="s">
        <v>355</v>
      </c>
      <c r="D122" s="97" t="s">
        <v>122</v>
      </c>
      <c r="E122" s="98" t="s">
        <v>784</v>
      </c>
      <c r="F122" s="98" t="s">
        <v>789</v>
      </c>
      <c r="G122" s="97" t="s">
        <v>786</v>
      </c>
      <c r="H122" s="99" t="s">
        <v>147</v>
      </c>
      <c r="I122" s="100" t="s">
        <v>64</v>
      </c>
      <c r="J122" s="101" t="s">
        <v>465</v>
      </c>
      <c r="K122" s="100"/>
      <c r="L122" s="102" t="s">
        <v>787</v>
      </c>
      <c r="M122" s="103">
        <f>if(B122,if(and(hour(B122+M$7)&gt;9.5,(hour(B122+M$7)&lt;19.5)),B122+M$7,_xlfn.workday.intl(int(B122),1,"0000001",Holidays!A:A)+hour(B122+M$7-$B$1)/24+minute(B122)/1440),"")</f>
        <v>46115.7241</v>
      </c>
      <c r="N122" s="104">
        <v>46115.65248546297</v>
      </c>
      <c r="O122" s="105" t="s">
        <v>14</v>
      </c>
      <c r="P122" s="106">
        <f t="shared" si="1"/>
        <v>0</v>
      </c>
      <c r="Q122" s="107" t="s">
        <v>15</v>
      </c>
      <c r="R122" s="108" t="s">
        <v>434</v>
      </c>
      <c r="S122" s="103">
        <f>if(M122,if(and(hour(M122+S$7)&gt;9.5,(hour(M122+S$7)&lt;19.5)),M122+S$7,_xlfn.workday.intl(int(M122),1,"0000001",Holidays!A:A)+hour(M122+S$7-$B$1)/24+minute(M122)/1440),"")</f>
        <v>46115.73104</v>
      </c>
      <c r="T122" s="104">
        <v>46115.652737349534</v>
      </c>
      <c r="U122" s="105" t="s">
        <v>14</v>
      </c>
      <c r="V122" s="109">
        <f t="shared" si="2"/>
        <v>0</v>
      </c>
      <c r="W122" s="110" t="str">
        <f t="shared" si="3"/>
        <v>EMP0042 HULESHWAR KUMAR SAHU</v>
      </c>
      <c r="X122" s="103">
        <f>if(S122,if(and(hour(S122+X$7)&gt;9.5,(hour(S122+X$7)&lt;19.5)),S122+X$7,_xlfn.workday.intl(int(S122),1,"0000001",Holidays!A:A)+hour(S122+X$7-$B$1)/24+minute(S122)/1440),"")</f>
        <v>46116.43889</v>
      </c>
      <c r="Y122" s="104">
        <v>46115.652760833334</v>
      </c>
      <c r="Z122" s="105" t="s">
        <v>14</v>
      </c>
      <c r="AA122" s="111">
        <f t="shared" si="4"/>
        <v>0</v>
      </c>
      <c r="AB122" s="110" t="str">
        <f t="shared" si="5"/>
        <v>EMP0042 HULESHWAR KUMAR SAHU</v>
      </c>
      <c r="AC122" s="103">
        <f>if(X122,_xlfn.WORKDAY.INTL(X122,AC$7,"0000001",Holidays!A:A)+hour(X122)/24+MINUTE(X122)/1440,"")</f>
        <v>46118.43889</v>
      </c>
      <c r="AD122" s="104">
        <v>46115.690914108796</v>
      </c>
      <c r="AE122" s="105" t="s">
        <v>14</v>
      </c>
      <c r="AF122" s="111">
        <f t="shared" si="6"/>
        <v>0</v>
      </c>
      <c r="AG122" s="110" t="str">
        <f t="shared" si="7"/>
        <v>EMP0042 HULESHWAR KUMAR SAHU</v>
      </c>
      <c r="AH122" s="103">
        <f>if(AC122,if(and(hour(AC122+AH$7)&gt;9.5,(hour(AC122+AH$7)&lt;19.5)),AC122+AH$7,_xlfn.workday.intl(int(AC122),1,"0000001",Holidays!A:A)+hour(AC122+AH$7-$B$1)/24+minute(AC122)/1440),"")</f>
        <v>46118.48056</v>
      </c>
      <c r="AI122" s="104">
        <v>46115.69093733796</v>
      </c>
      <c r="AJ122" s="105" t="s">
        <v>14</v>
      </c>
      <c r="AK122" s="111">
        <f t="shared" si="8"/>
        <v>0</v>
      </c>
      <c r="AL122" s="112" t="str">
        <f t="shared" si="9"/>
        <v>EMP0042 HULESHWAR KUMAR SAHU</v>
      </c>
      <c r="AM122" s="113"/>
      <c r="AN122" s="114" t="s">
        <v>672</v>
      </c>
      <c r="AO122" s="115"/>
      <c r="AP122" s="115"/>
      <c r="AQ122" s="115"/>
      <c r="AR122" s="115"/>
      <c r="AS122" s="115"/>
      <c r="AT122" s="115"/>
      <c r="AU122" s="115"/>
      <c r="AV122" s="115"/>
      <c r="AW122" s="115"/>
      <c r="AX122" s="115"/>
      <c r="AY122" s="115"/>
    </row>
    <row r="123">
      <c r="A123" s="95">
        <f t="shared" si="11"/>
        <v>5074</v>
      </c>
      <c r="B123" s="96">
        <v>46115.61686734954</v>
      </c>
      <c r="C123" s="97" t="s">
        <v>74</v>
      </c>
      <c r="D123" s="97" t="s">
        <v>106</v>
      </c>
      <c r="E123" s="98" t="s">
        <v>794</v>
      </c>
      <c r="F123" s="97"/>
      <c r="G123" s="97" t="s">
        <v>797</v>
      </c>
      <c r="H123" s="99" t="s">
        <v>62</v>
      </c>
      <c r="I123" s="100" t="s">
        <v>64</v>
      </c>
      <c r="J123" s="101" t="s">
        <v>793</v>
      </c>
      <c r="K123" s="100"/>
      <c r="L123" s="102" t="s">
        <v>798</v>
      </c>
      <c r="M123" s="103">
        <f>if(B123,if(and(hour(B123+M$7)&gt;9.5,(hour(B123+M$7)&lt;19.5)),B123+M$7,_xlfn.workday.intl(int(B123),1,"0000001",Holidays!A:A)+hour(B123+M$7-$B$1)/24+minute(B123)/1440),"")</f>
        <v>46115.78353</v>
      </c>
      <c r="N123" s="104">
        <v>46115.65282412037</v>
      </c>
      <c r="O123" s="105" t="s">
        <v>14</v>
      </c>
      <c r="P123" s="106">
        <f t="shared" si="1"/>
        <v>0</v>
      </c>
      <c r="Q123" s="107" t="s">
        <v>72</v>
      </c>
      <c r="R123" s="108" t="s">
        <v>434</v>
      </c>
      <c r="S123" s="103">
        <f>if(M123,if(and(hour(M123+S$7)&gt;9.5,(hour(M123+S$7)&lt;19.5)),M123+S$7,_xlfn.workday.intl(int(M123),1,"0000001",Holidays!A:A)+hour(M123+S$7-$B$1)/24+minute(M123)/1440),"")</f>
        <v>46115.79048</v>
      </c>
      <c r="T123" s="104">
        <v>46115.652870289356</v>
      </c>
      <c r="U123" s="105" t="s">
        <v>14</v>
      </c>
      <c r="V123" s="109">
        <f t="shared" si="2"/>
        <v>0</v>
      </c>
      <c r="W123" s="110" t="str">
        <f t="shared" si="3"/>
        <v>EMP5009 Rup Kumar Mandal</v>
      </c>
      <c r="X123" s="103">
        <f>if(S123,if(and(hour(S123+X$7)&gt;9.5,(hour(S123+X$7)&lt;19.5)),S123+X$7,_xlfn.workday.intl(int(S123),1,"0000001",Holidays!A:A)+hour(S123+X$7-$B$1)/24+minute(S123)/1440),"")</f>
        <v>46116.49861</v>
      </c>
      <c r="Y123" s="104">
        <v>46115.69575678241</v>
      </c>
      <c r="Z123" s="105" t="s">
        <v>14</v>
      </c>
      <c r="AA123" s="111">
        <f t="shared" si="4"/>
        <v>0</v>
      </c>
      <c r="AB123" s="110" t="str">
        <f t="shared" si="5"/>
        <v>EMP5009 Rup Kumar Mandal</v>
      </c>
      <c r="AC123" s="103">
        <f>if(X123,_xlfn.WORKDAY.INTL(X123,AC$7,"0000001",Holidays!A:A)+hour(X123)/24+MINUTE(X123)/1440,"")</f>
        <v>46118.49861</v>
      </c>
      <c r="AD123" s="104">
        <v>46115.69598871528</v>
      </c>
      <c r="AE123" s="105" t="s">
        <v>14</v>
      </c>
      <c r="AF123" s="111">
        <f t="shared" si="6"/>
        <v>0</v>
      </c>
      <c r="AG123" s="110" t="str">
        <f t="shared" si="7"/>
        <v>EMP5009 Rup Kumar Mandal</v>
      </c>
      <c r="AH123" s="103">
        <f>if(AC123,if(and(hour(AC123+AH$7)&gt;9.5,(hour(AC123+AH$7)&lt;19.5)),AC123+AH$7,_xlfn.workday.intl(int(AC123),1,"0000001",Holidays!A:A)+hour(AC123+AH$7-$B$1)/24+minute(AC123)/1440),"")</f>
        <v>46118.54028</v>
      </c>
      <c r="AI123" s="104">
        <v>46115.696025509256</v>
      </c>
      <c r="AJ123" s="105" t="s">
        <v>14</v>
      </c>
      <c r="AK123" s="111">
        <f t="shared" si="8"/>
        <v>0</v>
      </c>
      <c r="AL123" s="112" t="str">
        <f t="shared" si="9"/>
        <v>EMP5009 Rup Kumar Mandal</v>
      </c>
      <c r="AM123" s="113"/>
      <c r="AN123" s="114" t="s">
        <v>672</v>
      </c>
      <c r="AO123" s="115"/>
      <c r="AP123" s="115"/>
      <c r="AQ123" s="115"/>
      <c r="AR123" s="115"/>
      <c r="AS123" s="115"/>
      <c r="AT123" s="115"/>
      <c r="AU123" s="115"/>
      <c r="AV123" s="115"/>
      <c r="AW123" s="115"/>
      <c r="AX123" s="115"/>
      <c r="AY123" s="115"/>
    </row>
    <row r="124">
      <c r="A124" s="95">
        <f t="shared" si="11"/>
        <v>5075</v>
      </c>
      <c r="B124" s="96">
        <v>46116.65343688657</v>
      </c>
      <c r="C124" s="97" t="s">
        <v>601</v>
      </c>
      <c r="D124" s="97" t="s">
        <v>49</v>
      </c>
      <c r="E124" s="98" t="s">
        <v>801</v>
      </c>
      <c r="F124" s="97"/>
      <c r="G124" s="97" t="s">
        <v>60</v>
      </c>
      <c r="H124" s="99" t="s">
        <v>62</v>
      </c>
      <c r="I124" s="100" t="s">
        <v>64</v>
      </c>
      <c r="J124" s="101" t="s">
        <v>47</v>
      </c>
      <c r="K124" s="100"/>
      <c r="L124" s="102" t="s">
        <v>804</v>
      </c>
      <c r="M124" s="118">
        <v>46118.48677083333</v>
      </c>
      <c r="N124" s="104">
        <v>46116.67931658565</v>
      </c>
      <c r="O124" s="105" t="s">
        <v>14</v>
      </c>
      <c r="P124" s="106">
        <f t="shared" si="1"/>
        <v>0</v>
      </c>
      <c r="Q124" s="107" t="s">
        <v>15</v>
      </c>
      <c r="R124" s="108" t="s">
        <v>434</v>
      </c>
      <c r="S124" s="103">
        <f>if(M124,if(and(hour(M124+S$7)&gt;9.5,(hour(M124+S$7)&lt;19.5)),M124+S$7,_xlfn.workday.intl(int(M124),1,"0000001",Holidays!A:A)+hour(M124+S$7-$B$1)/24+minute(M124)/1440),"")</f>
        <v>46118.49372</v>
      </c>
      <c r="T124" s="104">
        <v>46116.67952765046</v>
      </c>
      <c r="U124" s="105" t="s">
        <v>14</v>
      </c>
      <c r="V124" s="109">
        <f t="shared" si="2"/>
        <v>0</v>
      </c>
      <c r="W124" s="110" t="str">
        <f t="shared" si="3"/>
        <v>EMP0042 HULESHWAR KUMAR SAHU</v>
      </c>
      <c r="X124" s="103">
        <f>if(S124,if(and(hour(S124+X$7)&gt;9.5,(hour(S124+X$7)&lt;19.5)),S124+X$7,_xlfn.workday.intl(int(S124),1,"0000001",Holidays!A:A)+hour(S124+X$7-$B$1)/24+minute(S124)/1440),"")</f>
        <v>46118.59788</v>
      </c>
      <c r="Y124" s="104">
        <v>46116.71574864583</v>
      </c>
      <c r="Z124" s="105" t="s">
        <v>14</v>
      </c>
      <c r="AA124" s="111">
        <f t="shared" si="4"/>
        <v>0</v>
      </c>
      <c r="AB124" s="110" t="str">
        <f t="shared" si="5"/>
        <v>EMP0042 HULESHWAR KUMAR SAHU</v>
      </c>
      <c r="AC124" s="103">
        <f>if(X124,_xlfn.WORKDAY.INTL(X124,AC$7,"0000001",Holidays!A:A)+hour(X124)/24+MINUTE(X124)/1440,"")</f>
        <v>46119.59722</v>
      </c>
      <c r="AD124" s="104">
        <v>46118.4380585301</v>
      </c>
      <c r="AE124" s="105" t="s">
        <v>14</v>
      </c>
      <c r="AF124" s="111">
        <f t="shared" si="6"/>
        <v>0</v>
      </c>
      <c r="AG124" s="110" t="str">
        <f t="shared" si="7"/>
        <v>EMP0042 HULESHWAR KUMAR SAHU</v>
      </c>
      <c r="AH124" s="103">
        <f>if(AC124,if(and(hour(AC124+AH$7)&gt;9.5,(hour(AC124+AH$7)&lt;19.5)),AC124+AH$7,_xlfn.workday.intl(int(AC124),1,"0000001",Holidays!A:A)+hour(AC124+AH$7-$B$1)/24+minute(AC124)/1440),"")</f>
        <v>46119.63889</v>
      </c>
      <c r="AI124" s="104">
        <v>46118.438087002316</v>
      </c>
      <c r="AJ124" s="105" t="s">
        <v>14</v>
      </c>
      <c r="AK124" s="111">
        <f t="shared" si="8"/>
        <v>0</v>
      </c>
      <c r="AL124" s="112" t="str">
        <f t="shared" si="9"/>
        <v>EMP0042 HULESHWAR KUMAR SAHU</v>
      </c>
      <c r="AM124" s="113"/>
      <c r="AN124" s="114" t="s">
        <v>672</v>
      </c>
      <c r="AO124" s="115"/>
      <c r="AP124" s="115"/>
      <c r="AQ124" s="115"/>
      <c r="AR124" s="115"/>
      <c r="AS124" s="115"/>
      <c r="AT124" s="115"/>
      <c r="AU124" s="115"/>
      <c r="AV124" s="115"/>
      <c r="AW124" s="115"/>
      <c r="AX124" s="115"/>
      <c r="AY124" s="115"/>
    </row>
    <row r="125">
      <c r="A125" s="95">
        <f t="shared" si="11"/>
        <v>5076</v>
      </c>
      <c r="B125" s="96">
        <v>46118.480856064816</v>
      </c>
      <c r="C125" s="97" t="s">
        <v>436</v>
      </c>
      <c r="D125" s="97" t="s">
        <v>122</v>
      </c>
      <c r="E125" s="98" t="s">
        <v>805</v>
      </c>
      <c r="F125" s="98" t="s">
        <v>812</v>
      </c>
      <c r="G125" s="97" t="s">
        <v>808</v>
      </c>
      <c r="H125" s="99" t="s">
        <v>126</v>
      </c>
      <c r="I125" s="100" t="s">
        <v>64</v>
      </c>
      <c r="J125" s="101" t="s">
        <v>465</v>
      </c>
      <c r="K125" s="100"/>
      <c r="L125" s="102" t="s">
        <v>809</v>
      </c>
      <c r="M125" s="103">
        <f>if(B125,if(and(hour(B125+M$7)&gt;9.5,(hour(B125+M$7)&lt;19.5)),B125+M$7,_xlfn.workday.intl(int(B125),1,"0000001",Holidays!A:A)+hour(B125+M$7-$B$1)/24+minute(B125)/1440),"")</f>
        <v>46118.64752</v>
      </c>
      <c r="N125" s="104">
        <v>46118.48839951389</v>
      </c>
      <c r="O125" s="105" t="s">
        <v>14</v>
      </c>
      <c r="P125" s="106">
        <f t="shared" si="1"/>
        <v>0</v>
      </c>
      <c r="Q125" s="107" t="s">
        <v>48</v>
      </c>
      <c r="R125" s="108" t="s">
        <v>434</v>
      </c>
      <c r="S125" s="103">
        <f>if(M125,if(and(hour(M125+S$7)&gt;9.5,(hour(M125+S$7)&lt;19.5)),M125+S$7,_xlfn.workday.intl(int(M125),1,"0000001",Holidays!A:A)+hour(M125+S$7-$B$1)/24+minute(M125)/1440),"")</f>
        <v>46118.65447</v>
      </c>
      <c r="T125" s="104">
        <v>46118.488442222224</v>
      </c>
      <c r="U125" s="105" t="s">
        <v>14</v>
      </c>
      <c r="V125" s="109">
        <f t="shared" si="2"/>
        <v>0</v>
      </c>
      <c r="W125" s="110" t="str">
        <f t="shared" si="3"/>
        <v>EMP0237 Swarnendu Chakraborty</v>
      </c>
      <c r="X125" s="103">
        <f>if(S125,if(and(hour(S125+X$7)&gt;9.5,(hour(S125+X$7)&lt;19.5)),S125+X$7,_xlfn.workday.intl(int(S125),1,"0000001",Holidays!A:A)+hour(S125+X$7-$B$1)/24+minute(S125)/1440),"")</f>
        <v>46118.75863</v>
      </c>
      <c r="Y125" s="104">
        <v>46118.48852421297</v>
      </c>
      <c r="Z125" s="105" t="s">
        <v>14</v>
      </c>
      <c r="AA125" s="111">
        <f t="shared" si="4"/>
        <v>0</v>
      </c>
      <c r="AB125" s="110" t="str">
        <f t="shared" si="5"/>
        <v>EMP0237 Swarnendu Chakraborty</v>
      </c>
      <c r="AC125" s="103">
        <f>if(X125,_xlfn.WORKDAY.INTL(X125,AC$7,"0000001",Holidays!A:A)+hour(X125)/24+MINUTE(X125)/1440,"")</f>
        <v>46119.75833</v>
      </c>
      <c r="AD125" s="104">
        <v>46118.76230724537</v>
      </c>
      <c r="AE125" s="105" t="s">
        <v>14</v>
      </c>
      <c r="AF125" s="111">
        <f t="shared" si="6"/>
        <v>0</v>
      </c>
      <c r="AG125" s="110" t="str">
        <f t="shared" si="7"/>
        <v>EMP0237 Swarnendu Chakraborty</v>
      </c>
      <c r="AH125" s="103">
        <f>if(AC125,if(and(hour(AC125+AH$7)&gt;9.5,(hour(AC125+AH$7)&lt;19.5)),AC125+AH$7,_xlfn.workday.intl(int(AC125),1,"0000001",Holidays!A:A)+hour(AC125+AH$7-$B$1)/24+minute(AC125)/1440),"")</f>
        <v>46119.8</v>
      </c>
      <c r="AI125" s="104">
        <v>46118.76233684028</v>
      </c>
      <c r="AJ125" s="105" t="s">
        <v>14</v>
      </c>
      <c r="AK125" s="111">
        <f t="shared" si="8"/>
        <v>0</v>
      </c>
      <c r="AL125" s="112" t="str">
        <f t="shared" si="9"/>
        <v>EMP0237 Swarnendu Chakraborty</v>
      </c>
      <c r="AM125" s="113"/>
      <c r="AN125" s="114" t="s">
        <v>672</v>
      </c>
      <c r="AO125" s="115"/>
      <c r="AP125" s="115"/>
      <c r="AQ125" s="115"/>
      <c r="AR125" s="115"/>
      <c r="AS125" s="115"/>
      <c r="AT125" s="115"/>
      <c r="AU125" s="115"/>
      <c r="AV125" s="115"/>
      <c r="AW125" s="115"/>
      <c r="AX125" s="115"/>
      <c r="AY125" s="115"/>
    </row>
    <row r="126">
      <c r="A126" s="95">
        <f t="shared" si="11"/>
        <v>5077</v>
      </c>
      <c r="B126" s="96">
        <v>46118.66011914352</v>
      </c>
      <c r="C126" s="97" t="s">
        <v>607</v>
      </c>
      <c r="D126" s="97" t="s">
        <v>815</v>
      </c>
      <c r="E126" s="98" t="s">
        <v>816</v>
      </c>
      <c r="F126" s="97"/>
      <c r="G126" s="97" t="s">
        <v>819</v>
      </c>
      <c r="H126" s="99" t="s">
        <v>62</v>
      </c>
      <c r="I126" s="100" t="s">
        <v>324</v>
      </c>
      <c r="J126" s="101" t="s">
        <v>814</v>
      </c>
      <c r="K126" s="100"/>
      <c r="L126" s="102" t="s">
        <v>820</v>
      </c>
      <c r="M126" s="103">
        <f>if(B126,if(and(hour(B126+M$7)&gt;9.5,(hour(B126+M$7)&lt;19.5)),B126+M$7,_xlfn.workday.intl(int(B126),1,"0000001",Holidays!A:A)+hour(B126+M$7-$B$1)/24+minute(B126)/1440),"")</f>
        <v>46118.82679</v>
      </c>
      <c r="N126" s="104">
        <v>46118.67244203704</v>
      </c>
      <c r="O126" s="105" t="s">
        <v>14</v>
      </c>
      <c r="P126" s="106">
        <f t="shared" si="1"/>
        <v>0</v>
      </c>
      <c r="Q126" s="107" t="s">
        <v>72</v>
      </c>
      <c r="R126" s="108" t="s">
        <v>434</v>
      </c>
      <c r="S126" s="103">
        <f>if(M126,if(and(hour(M126+S$7)&gt;9.5,(hour(M126+S$7)&lt;19.5)),M126+S$7,_xlfn.workday.intl(int(M126),1,"0000001",Holidays!A:A)+hour(M126+S$7-$B$1)/24+minute(M126)/1440),"")</f>
        <v>46119.45139</v>
      </c>
      <c r="T126" s="104">
        <v>46118.672524953705</v>
      </c>
      <c r="U126" s="105" t="s">
        <v>14</v>
      </c>
      <c r="V126" s="109">
        <f t="shared" si="2"/>
        <v>0</v>
      </c>
      <c r="W126" s="110" t="str">
        <f t="shared" si="3"/>
        <v>EMP5009 Rup Kumar Mandal</v>
      </c>
      <c r="X126" s="103">
        <f>if(S126,if(and(hour(S126+X$7)&gt;9.5,(hour(S126+X$7)&lt;19.5)),S126+X$7,_xlfn.workday.intl(int(S126),1,"0000001",Holidays!A:A)+hour(S126+X$7-$B$1)/24+minute(S126)/1440),"")</f>
        <v>46119.55556</v>
      </c>
      <c r="Y126" s="104">
        <v>46118.76209135416</v>
      </c>
      <c r="Z126" s="105" t="s">
        <v>14</v>
      </c>
      <c r="AA126" s="111">
        <f t="shared" si="4"/>
        <v>0</v>
      </c>
      <c r="AB126" s="110" t="str">
        <f t="shared" si="5"/>
        <v>EMP5009 Rup Kumar Mandal</v>
      </c>
      <c r="AC126" s="103">
        <f>if(X126,_xlfn.WORKDAY.INTL(X126,AC$7,"0000001",Holidays!A:A)+hour(X126)/24+MINUTE(X126)/1440,"")</f>
        <v>46120.55556</v>
      </c>
      <c r="AD126" s="104">
        <v>46119.484986944444</v>
      </c>
      <c r="AE126" s="105" t="s">
        <v>14</v>
      </c>
      <c r="AF126" s="111">
        <f t="shared" si="6"/>
        <v>0</v>
      </c>
      <c r="AG126" s="110" t="str">
        <f t="shared" si="7"/>
        <v>EMP5009 Rup Kumar Mandal</v>
      </c>
      <c r="AH126" s="103">
        <f>if(AC126,if(and(hour(AC126+AH$7)&gt;9.5,(hour(AC126+AH$7)&lt;19.5)),AC126+AH$7,_xlfn.workday.intl(int(AC126),1,"0000001",Holidays!A:A)+hour(AC126+AH$7-$B$1)/24+minute(AC126)/1440),"")</f>
        <v>46120.59722</v>
      </c>
      <c r="AI126" s="104">
        <v>46119.48501318287</v>
      </c>
      <c r="AJ126" s="105" t="s">
        <v>14</v>
      </c>
      <c r="AK126" s="111">
        <f t="shared" si="8"/>
        <v>0</v>
      </c>
      <c r="AL126" s="112" t="str">
        <f t="shared" si="9"/>
        <v>EMP5009 Rup Kumar Mandal</v>
      </c>
      <c r="AM126" s="113"/>
      <c r="AN126" s="114" t="s">
        <v>672</v>
      </c>
      <c r="AO126" s="115"/>
      <c r="AP126" s="115"/>
      <c r="AQ126" s="115"/>
      <c r="AR126" s="115"/>
      <c r="AS126" s="115"/>
      <c r="AT126" s="115"/>
      <c r="AU126" s="115"/>
      <c r="AV126" s="115"/>
      <c r="AW126" s="115"/>
      <c r="AX126" s="115"/>
      <c r="AY126" s="115"/>
    </row>
    <row r="127">
      <c r="A127" s="95">
        <f t="shared" si="11"/>
        <v>5078</v>
      </c>
      <c r="B127" s="96">
        <v>46118.737442928235</v>
      </c>
      <c r="C127" s="97" t="s">
        <v>613</v>
      </c>
      <c r="D127" s="97" t="s">
        <v>122</v>
      </c>
      <c r="E127" s="98" t="s">
        <v>822</v>
      </c>
      <c r="F127" s="98" t="s">
        <v>828</v>
      </c>
      <c r="G127" s="97" t="s">
        <v>826</v>
      </c>
      <c r="H127" s="99" t="s">
        <v>138</v>
      </c>
      <c r="I127" s="100" t="s">
        <v>64</v>
      </c>
      <c r="J127" s="101" t="s">
        <v>465</v>
      </c>
      <c r="K127" s="100"/>
      <c r="L127" s="102" t="s">
        <v>827</v>
      </c>
      <c r="M127" s="103">
        <f>if(B127,if(and(hour(B127+M$7)&gt;9.5,(hour(B127+M$7)&lt;19.5)),B127+M$7,_xlfn.workday.intl(int(B127),1,"0000001",Holidays!A:A)+hour(B127+M$7-$B$1)/24+minute(B127)/1440),"")</f>
        <v>46119.48681</v>
      </c>
      <c r="N127" s="104">
        <v>46118.76158641204</v>
      </c>
      <c r="O127" s="105" t="s">
        <v>14</v>
      </c>
      <c r="P127" s="106">
        <f t="shared" si="1"/>
        <v>0</v>
      </c>
      <c r="Q127" s="107" t="s">
        <v>15</v>
      </c>
      <c r="R127" s="108" t="s">
        <v>434</v>
      </c>
      <c r="S127" s="103">
        <f>if(M127,if(and(hour(M127+S$7)&gt;9.5,(hour(M127+S$7)&lt;19.5)),M127+S$7,_xlfn.workday.intl(int(M127),1,"0000001",Holidays!A:A)+hour(M127+S$7-$B$1)/24+minute(M127)/1440),"")</f>
        <v>46119.49375</v>
      </c>
      <c r="T127" s="104">
        <v>46118.761954814814</v>
      </c>
      <c r="U127" s="105" t="s">
        <v>14</v>
      </c>
      <c r="V127" s="109">
        <f t="shared" si="2"/>
        <v>0</v>
      </c>
      <c r="W127" s="110" t="str">
        <f t="shared" si="3"/>
        <v>EMP0042 HULESHWAR KUMAR SAHU</v>
      </c>
      <c r="X127" s="103">
        <f>if(S127,if(and(hour(S127+X$7)&gt;9.5,(hour(S127+X$7)&lt;19.5)),S127+X$7,_xlfn.workday.intl(int(S127),1,"0000001",Holidays!A:A)+hour(S127+X$7-$B$1)/24+minute(S127)/1440),"")</f>
        <v>46119.59792</v>
      </c>
      <c r="Y127" s="104">
        <v>46118.76212629629</v>
      </c>
      <c r="Z127" s="105" t="s">
        <v>14</v>
      </c>
      <c r="AA127" s="111">
        <f t="shared" si="4"/>
        <v>0</v>
      </c>
      <c r="AB127" s="110" t="str">
        <f t="shared" si="5"/>
        <v>EMP0042 HULESHWAR KUMAR SAHU</v>
      </c>
      <c r="AC127" s="103">
        <f>if(X127,_xlfn.WORKDAY.INTL(X127,AC$7,"0000001",Holidays!A:A)+hour(X127)/24+MINUTE(X127)/1440,"")</f>
        <v>46120.59792</v>
      </c>
      <c r="AD127" s="104">
        <v>46119.55931297454</v>
      </c>
      <c r="AE127" s="105" t="s">
        <v>14</v>
      </c>
      <c r="AF127" s="111">
        <f t="shared" si="6"/>
        <v>0</v>
      </c>
      <c r="AG127" s="110" t="str">
        <f t="shared" si="7"/>
        <v>EMP0042 HULESHWAR KUMAR SAHU</v>
      </c>
      <c r="AH127" s="103">
        <f>if(AC127,if(and(hour(AC127+AH$7)&gt;9.5,(hour(AC127+AH$7)&lt;19.5)),AC127+AH$7,_xlfn.workday.intl(int(AC127),1,"0000001",Holidays!A:A)+hour(AC127+AH$7-$B$1)/24+minute(AC127)/1440),"")</f>
        <v>46120.63958</v>
      </c>
      <c r="AI127" s="104">
        <v>46119.55958526621</v>
      </c>
      <c r="AJ127" s="105" t="s">
        <v>14</v>
      </c>
      <c r="AK127" s="111">
        <f t="shared" si="8"/>
        <v>0</v>
      </c>
      <c r="AL127" s="112" t="str">
        <f t="shared" si="9"/>
        <v>EMP0042 HULESHWAR KUMAR SAHU</v>
      </c>
      <c r="AM127" s="113"/>
      <c r="AN127" s="114" t="s">
        <v>672</v>
      </c>
      <c r="AO127" s="115"/>
      <c r="AP127" s="115"/>
      <c r="AQ127" s="115"/>
      <c r="AR127" s="115"/>
      <c r="AS127" s="115"/>
      <c r="AT127" s="115"/>
      <c r="AU127" s="115"/>
      <c r="AV127" s="115"/>
      <c r="AW127" s="115"/>
      <c r="AX127" s="115"/>
      <c r="AY127" s="115"/>
    </row>
    <row r="128">
      <c r="A128" s="95">
        <f t="shared" si="11"/>
        <v>5079</v>
      </c>
      <c r="B128" s="96">
        <v>46118.737965821754</v>
      </c>
      <c r="C128" s="97" t="s">
        <v>618</v>
      </c>
      <c r="D128" s="97" t="s">
        <v>225</v>
      </c>
      <c r="E128" s="98" t="s">
        <v>831</v>
      </c>
      <c r="F128" s="97"/>
      <c r="G128" s="97" t="s">
        <v>834</v>
      </c>
      <c r="H128" s="99" t="s">
        <v>138</v>
      </c>
      <c r="I128" s="100" t="s">
        <v>64</v>
      </c>
      <c r="J128" s="101" t="s">
        <v>223</v>
      </c>
      <c r="K128" s="100"/>
      <c r="L128" s="102" t="s">
        <v>835</v>
      </c>
      <c r="M128" s="103">
        <f>if(B128,if(and(hour(B128+M$7)&gt;9.5,(hour(B128+M$7)&lt;19.5)),B128+M$7,_xlfn.workday.intl(int(B128),1,"0000001",Holidays!A:A)+hour(B128+M$7-$B$1)/24+minute(B128)/1440),"")</f>
        <v>46119.4875</v>
      </c>
      <c r="N128" s="104">
        <v>46118.76166375</v>
      </c>
      <c r="O128" s="105" t="s">
        <v>14</v>
      </c>
      <c r="P128" s="106">
        <f t="shared" si="1"/>
        <v>0</v>
      </c>
      <c r="Q128" s="107" t="s">
        <v>72</v>
      </c>
      <c r="R128" s="108" t="s">
        <v>434</v>
      </c>
      <c r="S128" s="103">
        <f>if(M128,if(and(hour(M128+S$7)&gt;9.5,(hour(M128+S$7)&lt;19.5)),M128+S$7,_xlfn.workday.intl(int(M128),1,"0000001",Holidays!A:A)+hour(M128+S$7-$B$1)/24+minute(M128)/1440),"")</f>
        <v>46119.49444</v>
      </c>
      <c r="T128" s="104">
        <v>46118.761991817126</v>
      </c>
      <c r="U128" s="105" t="s">
        <v>14</v>
      </c>
      <c r="V128" s="109">
        <f t="shared" si="2"/>
        <v>0</v>
      </c>
      <c r="W128" s="110" t="str">
        <f t="shared" si="3"/>
        <v>EMP5009 Rup Kumar Mandal</v>
      </c>
      <c r="X128" s="103">
        <f>if(S128,if(and(hour(S128+X$7)&gt;9.5,(hour(S128+X$7)&lt;19.5)),S128+X$7,_xlfn.workday.intl(int(S128),1,"0000001",Holidays!A:A)+hour(S128+X$7-$B$1)/24+minute(S128)/1440),"")</f>
        <v>46119.59861</v>
      </c>
      <c r="Y128" s="104">
        <v>46118.762146504625</v>
      </c>
      <c r="Z128" s="105" t="s">
        <v>14</v>
      </c>
      <c r="AA128" s="111">
        <f t="shared" si="4"/>
        <v>0</v>
      </c>
      <c r="AB128" s="110" t="str">
        <f t="shared" si="5"/>
        <v>EMP5009 Rup Kumar Mandal</v>
      </c>
      <c r="AC128" s="103">
        <f>if(X128,_xlfn.WORKDAY.INTL(X128,AC$7,"0000001",Holidays!A:A)+hour(X128)/24+MINUTE(X128)/1440,"")</f>
        <v>46120.59861</v>
      </c>
      <c r="AD128" s="104">
        <v>46119.48529931713</v>
      </c>
      <c r="AE128" s="105" t="s">
        <v>14</v>
      </c>
      <c r="AF128" s="111">
        <f t="shared" si="6"/>
        <v>0</v>
      </c>
      <c r="AG128" s="110" t="str">
        <f t="shared" si="7"/>
        <v>EMP5009 Rup Kumar Mandal</v>
      </c>
      <c r="AH128" s="103">
        <f>if(AC128,if(and(hour(AC128+AH$7)&gt;9.5,(hour(AC128+AH$7)&lt;19.5)),AC128+AH$7,_xlfn.workday.intl(int(AC128),1,"0000001",Holidays!A:A)+hour(AC128+AH$7-$B$1)/24+minute(AC128)/1440),"")</f>
        <v>46120.64028</v>
      </c>
      <c r="AI128" s="104">
        <v>46119.4853571412</v>
      </c>
      <c r="AJ128" s="105" t="s">
        <v>14</v>
      </c>
      <c r="AK128" s="111">
        <f t="shared" si="8"/>
        <v>0</v>
      </c>
      <c r="AL128" s="112" t="str">
        <f t="shared" si="9"/>
        <v>EMP5009 Rup Kumar Mandal</v>
      </c>
      <c r="AM128" s="113"/>
      <c r="AN128" s="114" t="s">
        <v>672</v>
      </c>
      <c r="AO128" s="115"/>
      <c r="AP128" s="115"/>
      <c r="AQ128" s="115"/>
      <c r="AR128" s="115"/>
      <c r="AS128" s="115"/>
      <c r="AT128" s="115"/>
      <c r="AU128" s="115"/>
      <c r="AV128" s="115"/>
      <c r="AW128" s="115"/>
      <c r="AX128" s="115"/>
      <c r="AY128" s="115"/>
    </row>
    <row r="129">
      <c r="A129" s="95">
        <f t="shared" si="11"/>
        <v>5080</v>
      </c>
      <c r="B129" s="96">
        <v>46118.73949814815</v>
      </c>
      <c r="C129" s="97" t="s">
        <v>623</v>
      </c>
      <c r="D129" s="97" t="s">
        <v>225</v>
      </c>
      <c r="E129" s="98" t="s">
        <v>837</v>
      </c>
      <c r="F129" s="97"/>
      <c r="G129" s="97" t="s">
        <v>841</v>
      </c>
      <c r="H129" s="99" t="s">
        <v>138</v>
      </c>
      <c r="I129" s="100" t="s">
        <v>64</v>
      </c>
      <c r="J129" s="101" t="s">
        <v>223</v>
      </c>
      <c r="K129" s="100"/>
      <c r="L129" s="102" t="s">
        <v>842</v>
      </c>
      <c r="M129" s="103">
        <f>if(B129,if(and(hour(B129+M$7)&gt;9.5,(hour(B129+M$7)&lt;19.5)),B129+M$7,_xlfn.workday.intl(int(B129),1,"0000001",Holidays!A:A)+hour(B129+M$7-$B$1)/24+minute(B129)/1440),"")</f>
        <v>46119.48889</v>
      </c>
      <c r="N129" s="104">
        <v>46118.76168513889</v>
      </c>
      <c r="O129" s="105" t="s">
        <v>14</v>
      </c>
      <c r="P129" s="106">
        <f t="shared" si="1"/>
        <v>0</v>
      </c>
      <c r="Q129" s="107" t="s">
        <v>48</v>
      </c>
      <c r="R129" s="108" t="s">
        <v>434</v>
      </c>
      <c r="S129" s="103">
        <f>if(M129,if(and(hour(M129+S$7)&gt;9.5,(hour(M129+S$7)&lt;19.5)),M129+S$7,_xlfn.workday.intl(int(M129),1,"0000001",Holidays!A:A)+hour(M129+S$7-$B$1)/24+minute(M129)/1440),"")</f>
        <v>46119.49583</v>
      </c>
      <c r="T129" s="104">
        <v>46118.76201322916</v>
      </c>
      <c r="U129" s="105" t="s">
        <v>14</v>
      </c>
      <c r="V129" s="109">
        <f t="shared" si="2"/>
        <v>0</v>
      </c>
      <c r="W129" s="110" t="str">
        <f t="shared" si="3"/>
        <v>EMP0237 Swarnendu Chakraborty</v>
      </c>
      <c r="X129" s="103">
        <f>if(S129,if(and(hour(S129+X$7)&gt;9.5,(hour(S129+X$7)&lt;19.5)),S129+X$7,_xlfn.workday.intl(int(S129),1,"0000001",Holidays!A:A)+hour(S129+X$7-$B$1)/24+minute(S129)/1440),"")</f>
        <v>46119.6</v>
      </c>
      <c r="Y129" s="104">
        <v>46118.76217559028</v>
      </c>
      <c r="Z129" s="105" t="s">
        <v>14</v>
      </c>
      <c r="AA129" s="111">
        <f t="shared" si="4"/>
        <v>0</v>
      </c>
      <c r="AB129" s="110" t="str">
        <f t="shared" si="5"/>
        <v>EMP0237 Swarnendu Chakraborty</v>
      </c>
      <c r="AC129" s="103">
        <f>if(X129,_xlfn.WORKDAY.INTL(X129,AC$7,"0000001",Holidays!A:A)+hour(X129)/24+MINUTE(X129)/1440,"")</f>
        <v>46120.6</v>
      </c>
      <c r="AD129" s="104">
        <v>46119.48532299769</v>
      </c>
      <c r="AE129" s="105" t="s">
        <v>14</v>
      </c>
      <c r="AF129" s="111">
        <f t="shared" si="6"/>
        <v>0</v>
      </c>
      <c r="AG129" s="110" t="str">
        <f t="shared" si="7"/>
        <v>EMP0237 Swarnendu Chakraborty</v>
      </c>
      <c r="AH129" s="103">
        <f>if(AC129,if(and(hour(AC129+AH$7)&gt;9.5,(hour(AC129+AH$7)&lt;19.5)),AC129+AH$7,_xlfn.workday.intl(int(AC129),1,"0000001",Holidays!A:A)+hour(AC129+AH$7-$B$1)/24+minute(AC129)/1440),"")</f>
        <v>46120.64167</v>
      </c>
      <c r="AI129" s="104">
        <v>46119.48536810185</v>
      </c>
      <c r="AJ129" s="105" t="s">
        <v>14</v>
      </c>
      <c r="AK129" s="111">
        <f t="shared" si="8"/>
        <v>0</v>
      </c>
      <c r="AL129" s="112" t="str">
        <f t="shared" si="9"/>
        <v>EMP0237 Swarnendu Chakraborty</v>
      </c>
      <c r="AM129" s="113"/>
      <c r="AN129" s="114" t="s">
        <v>672</v>
      </c>
      <c r="AO129" s="115"/>
      <c r="AP129" s="115"/>
      <c r="AQ129" s="115"/>
      <c r="AR129" s="115"/>
      <c r="AS129" s="115"/>
      <c r="AT129" s="115"/>
      <c r="AU129" s="115"/>
      <c r="AV129" s="115"/>
      <c r="AW129" s="115"/>
      <c r="AX129" s="115"/>
      <c r="AY129" s="115"/>
    </row>
    <row r="130" ht="97.5" customHeight="1">
      <c r="A130" s="95">
        <f t="shared" si="11"/>
        <v>5081</v>
      </c>
      <c r="B130" s="96">
        <v>46119.472671724536</v>
      </c>
      <c r="C130" s="97" t="s">
        <v>849</v>
      </c>
      <c r="D130" s="97" t="s">
        <v>122</v>
      </c>
      <c r="E130" s="98" t="s">
        <v>843</v>
      </c>
      <c r="F130" s="97"/>
      <c r="G130" s="97" t="s">
        <v>846</v>
      </c>
      <c r="H130" s="99" t="s">
        <v>138</v>
      </c>
      <c r="I130" s="100" t="s">
        <v>64</v>
      </c>
      <c r="J130" s="101" t="s">
        <v>198</v>
      </c>
      <c r="K130" s="100"/>
      <c r="L130" s="102" t="s">
        <v>848</v>
      </c>
      <c r="M130" s="103">
        <f>if(B130,if(and(hour(B130+M$7)&gt;9.5,(hour(B130+M$7)&lt;19.5)),B130+M$7,_xlfn.workday.intl(int(B130),1,"0000001",Holidays!A:A)+hour(B130+M$7-$B$1)/24+minute(B130)/1440),"")</f>
        <v>46119.63934</v>
      </c>
      <c r="N130" s="104">
        <v>46119.484685347226</v>
      </c>
      <c r="O130" s="105" t="s">
        <v>14</v>
      </c>
      <c r="P130" s="106">
        <f t="shared" si="1"/>
        <v>0</v>
      </c>
      <c r="Q130" s="107" t="s">
        <v>15</v>
      </c>
      <c r="R130" s="108" t="s">
        <v>434</v>
      </c>
      <c r="S130" s="103">
        <f>if(M130,if(and(hour(M130+S$7)&gt;9.5,(hour(M130+S$7)&lt;19.5)),M130+S$7,_xlfn.workday.intl(int(M130),1,"0000001",Holidays!A:A)+hour(M130+S$7-$B$1)/24+minute(M130)/1440),"")</f>
        <v>46119.64628</v>
      </c>
      <c r="T130" s="104">
        <v>46119.484771331016</v>
      </c>
      <c r="U130" s="105" t="s">
        <v>14</v>
      </c>
      <c r="V130" s="109">
        <f t="shared" si="2"/>
        <v>0</v>
      </c>
      <c r="W130" s="110" t="str">
        <f t="shared" si="3"/>
        <v>EMP0042 HULESHWAR KUMAR SAHU</v>
      </c>
      <c r="X130" s="103">
        <f>if(S130,if(and(hour(S130+X$7)&gt;9.5,(hour(S130+X$7)&lt;19.5)),S130+X$7,_xlfn.workday.intl(int(S130),1,"0000001",Holidays!A:A)+hour(S130+X$7-$B$1)/24+minute(S130)/1440),"")</f>
        <v>46119.75045</v>
      </c>
      <c r="Y130" s="104">
        <v>46119.48480640046</v>
      </c>
      <c r="Z130" s="105" t="s">
        <v>14</v>
      </c>
      <c r="AA130" s="111">
        <f t="shared" si="4"/>
        <v>0</v>
      </c>
      <c r="AB130" s="110" t="str">
        <f t="shared" si="5"/>
        <v>EMP0042 HULESHWAR KUMAR SAHU</v>
      </c>
      <c r="AC130" s="103">
        <f>if(X130,_xlfn.WORKDAY.INTL(X130,AC$7,"0000001",Holidays!A:A)+hour(X130)/24+MINUTE(X130)/1440,"")</f>
        <v>46120.75</v>
      </c>
      <c r="AD130" s="104">
        <v>46119.611954988424</v>
      </c>
      <c r="AE130" s="105" t="s">
        <v>14</v>
      </c>
      <c r="AF130" s="111">
        <f t="shared" si="6"/>
        <v>0</v>
      </c>
      <c r="AG130" s="110" t="str">
        <f t="shared" si="7"/>
        <v>EMP0042 HULESHWAR KUMAR SAHU</v>
      </c>
      <c r="AH130" s="103">
        <f>if(AC130,if(and(hour(AC130+AH$7)&gt;9.5,(hour(AC130+AH$7)&lt;19.5)),AC130+AH$7,_xlfn.workday.intl(int(AC130),1,"0000001",Holidays!A:A)+hour(AC130+AH$7-$B$1)/24+minute(AC130)/1440),"")</f>
        <v>46120.79167</v>
      </c>
      <c r="AI130" s="104">
        <v>46119.67438141204</v>
      </c>
      <c r="AJ130" s="105" t="s">
        <v>14</v>
      </c>
      <c r="AK130" s="111">
        <f t="shared" si="8"/>
        <v>0</v>
      </c>
      <c r="AL130" s="112" t="str">
        <f t="shared" si="9"/>
        <v>EMP0042 HULESHWAR KUMAR SAHU</v>
      </c>
      <c r="AM130" s="113"/>
      <c r="AN130" s="114" t="s">
        <v>672</v>
      </c>
      <c r="AO130" s="115"/>
      <c r="AP130" s="115"/>
      <c r="AQ130" s="115"/>
      <c r="AR130" s="115"/>
      <c r="AS130" s="115"/>
      <c r="AT130" s="115"/>
      <c r="AU130" s="115"/>
      <c r="AV130" s="115"/>
      <c r="AW130" s="115"/>
      <c r="AX130" s="115"/>
      <c r="AY130" s="115"/>
    </row>
    <row r="131" ht="71.25" customHeight="1">
      <c r="A131" s="95">
        <f t="shared" si="11"/>
        <v>5082</v>
      </c>
      <c r="B131" s="96">
        <v>46119.474713310185</v>
      </c>
      <c r="C131" s="97" t="s">
        <v>631</v>
      </c>
      <c r="D131" s="97" t="s">
        <v>122</v>
      </c>
      <c r="E131" s="98" t="s">
        <v>850</v>
      </c>
      <c r="F131" s="97"/>
      <c r="G131" s="97" t="s">
        <v>853</v>
      </c>
      <c r="H131" s="99" t="s">
        <v>138</v>
      </c>
      <c r="I131" s="100" t="s">
        <v>64</v>
      </c>
      <c r="J131" s="101" t="s">
        <v>198</v>
      </c>
      <c r="K131" s="100"/>
      <c r="L131" s="102" t="s">
        <v>854</v>
      </c>
      <c r="M131" s="103">
        <f>if(B131,if(and(hour(B131+M$7)&gt;9.5,(hour(B131+M$7)&lt;19.5)),B131+M$7,_xlfn.workday.intl(int(B131),1,"0000001",Holidays!A:A)+hour(B131+M$7-$B$1)/24+minute(B131)/1440),"")</f>
        <v>46119.64138</v>
      </c>
      <c r="N131" s="104">
        <v>46119.48467157407</v>
      </c>
      <c r="O131" s="105" t="s">
        <v>14</v>
      </c>
      <c r="P131" s="106">
        <f t="shared" si="1"/>
        <v>0</v>
      </c>
      <c r="Q131" s="107" t="s">
        <v>15</v>
      </c>
      <c r="R131" s="108" t="s">
        <v>434</v>
      </c>
      <c r="S131" s="103">
        <f>if(M131,if(and(hour(M131+S$7)&gt;9.5,(hour(M131+S$7)&lt;19.5)),M131+S$7,_xlfn.workday.intl(int(M131),1,"0000001",Holidays!A:A)+hour(M131+S$7-$B$1)/24+minute(M131)/1440),"")</f>
        <v>46119.64832</v>
      </c>
      <c r="T131" s="104">
        <v>46119.61168591435</v>
      </c>
      <c r="U131" s="105" t="s">
        <v>14</v>
      </c>
      <c r="V131" s="109">
        <f t="shared" si="2"/>
        <v>0</v>
      </c>
      <c r="W131" s="110" t="str">
        <f t="shared" si="3"/>
        <v>EMP0042 HULESHWAR KUMAR SAHU</v>
      </c>
      <c r="X131" s="103">
        <f>if(S131,if(and(hour(S131+X$7)&gt;9.5,(hour(S131+X$7)&lt;19.5)),S131+X$7,_xlfn.workday.intl(int(S131),1,"0000001",Holidays!A:A)+hour(S131+X$7-$B$1)/24+minute(S131)/1440),"")</f>
        <v>46119.75249</v>
      </c>
      <c r="Y131" s="104">
        <v>46119.61176655092</v>
      </c>
      <c r="Z131" s="105" t="s">
        <v>14</v>
      </c>
      <c r="AA131" s="111">
        <f t="shared" si="4"/>
        <v>0</v>
      </c>
      <c r="AB131" s="110" t="str">
        <f t="shared" si="5"/>
        <v>EMP0042 HULESHWAR KUMAR SAHU</v>
      </c>
      <c r="AC131" s="103">
        <f>if(X131,_xlfn.WORKDAY.INTL(X131,AC$7,"0000001",Holidays!A:A)+hour(X131)/24+MINUTE(X131)/1440,"")</f>
        <v>46120.75208</v>
      </c>
      <c r="AD131" s="104">
        <v>46119.61097513889</v>
      </c>
      <c r="AE131" s="105" t="s">
        <v>14</v>
      </c>
      <c r="AF131" s="111">
        <f t="shared" si="6"/>
        <v>0</v>
      </c>
      <c r="AG131" s="110" t="str">
        <f t="shared" si="7"/>
        <v>EMP0042 HULESHWAR KUMAR SAHU</v>
      </c>
      <c r="AH131" s="103">
        <f>if(AC131,if(and(hour(AC131+AH$7)&gt;9.5,(hour(AC131+AH$7)&lt;19.5)),AC131+AH$7,_xlfn.workday.intl(int(AC131),1,"0000001",Holidays!A:A)+hour(AC131+AH$7-$B$1)/24+minute(AC131)/1440),"")</f>
        <v>46120.79375</v>
      </c>
      <c r="AI131" s="104">
        <v>46120.62246086806</v>
      </c>
      <c r="AJ131" s="105" t="s">
        <v>14</v>
      </c>
      <c r="AK131" s="111">
        <f t="shared" si="8"/>
        <v>0</v>
      </c>
      <c r="AL131" s="112" t="str">
        <f t="shared" si="9"/>
        <v>EMP0042 HULESHWAR KUMAR SAHU</v>
      </c>
      <c r="AM131" s="113"/>
      <c r="AN131" s="114" t="s">
        <v>672</v>
      </c>
      <c r="AO131" s="115"/>
      <c r="AP131" s="115"/>
      <c r="AQ131" s="115"/>
      <c r="AR131" s="115"/>
      <c r="AS131" s="115"/>
      <c r="AT131" s="115"/>
      <c r="AU131" s="115"/>
      <c r="AV131" s="115"/>
      <c r="AW131" s="115"/>
      <c r="AX131" s="115"/>
      <c r="AY131" s="115"/>
    </row>
    <row r="132">
      <c r="A132" s="95">
        <f t="shared" si="11"/>
        <v>5083</v>
      </c>
      <c r="B132" s="96">
        <v>46119.5061453588</v>
      </c>
      <c r="C132" s="97" t="s">
        <v>636</v>
      </c>
      <c r="D132" s="97" t="s">
        <v>815</v>
      </c>
      <c r="E132" s="98" t="s">
        <v>857</v>
      </c>
      <c r="F132" s="97"/>
      <c r="G132" s="97" t="s">
        <v>860</v>
      </c>
      <c r="H132" s="99" t="s">
        <v>62</v>
      </c>
      <c r="I132" s="100" t="s">
        <v>324</v>
      </c>
      <c r="J132" s="101" t="s">
        <v>814</v>
      </c>
      <c r="K132" s="100"/>
      <c r="L132" s="102" t="s">
        <v>861</v>
      </c>
      <c r="M132" s="103">
        <f>if(B132,if(and(hour(B132+M$7)&gt;9.5,(hour(B132+M$7)&lt;19.5)),B132+M$7,_xlfn.workday.intl(int(B132),1,"0000001",Holidays!A:A)+hour(B132+M$7-$B$1)/24+minute(B132)/1440),"")</f>
        <v>46119.67281</v>
      </c>
      <c r="N132" s="104">
        <v>46119.55411722222</v>
      </c>
      <c r="O132" s="105" t="s">
        <v>14</v>
      </c>
      <c r="P132" s="106">
        <f t="shared" si="1"/>
        <v>0</v>
      </c>
      <c r="Q132" s="107" t="s">
        <v>61</v>
      </c>
      <c r="R132" s="108" t="s">
        <v>434</v>
      </c>
      <c r="S132" s="103">
        <f>if(M132,if(and(hour(M132+S$7)&gt;9.5,(hour(M132+S$7)&lt;19.5)),M132+S$7,_xlfn.workday.intl(int(M132),1,"0000001",Holidays!A:A)+hour(M132+S$7-$B$1)/24+minute(M132)/1440),"")</f>
        <v>46119.67976</v>
      </c>
      <c r="T132" s="104">
        <v>46119.55420677083</v>
      </c>
      <c r="U132" s="105" t="s">
        <v>14</v>
      </c>
      <c r="V132" s="109">
        <f t="shared" si="2"/>
        <v>0</v>
      </c>
      <c r="W132" s="110" t="str">
        <f t="shared" si="3"/>
        <v>EMP0021 Tamanna Dewangan</v>
      </c>
      <c r="X132" s="103">
        <f>if(S132,if(and(hour(S132+X$7)&gt;9.5,(hour(S132+X$7)&lt;19.5)),S132+X$7,_xlfn.workday.intl(int(S132),1,"0000001",Holidays!A:A)+hour(S132+X$7-$B$1)/24+minute(S132)/1440),"")</f>
        <v>46119.78392</v>
      </c>
      <c r="Y132" s="104">
        <v>46119.554263645834</v>
      </c>
      <c r="Z132" s="105" t="s">
        <v>14</v>
      </c>
      <c r="AA132" s="111">
        <f t="shared" si="4"/>
        <v>0</v>
      </c>
      <c r="AB132" s="110" t="str">
        <f t="shared" si="5"/>
        <v>EMP0021 Tamanna Dewangan</v>
      </c>
      <c r="AC132" s="103">
        <f>if(X132,_xlfn.WORKDAY.INTL(X132,AC$7,"0000001",Holidays!A:A)+hour(X132)/24+MINUTE(X132)/1440,"")</f>
        <v>46120.78333</v>
      </c>
      <c r="AD132" s="104">
        <v>46119.6109965162</v>
      </c>
      <c r="AE132" s="105" t="s">
        <v>14</v>
      </c>
      <c r="AF132" s="111">
        <f t="shared" si="6"/>
        <v>0</v>
      </c>
      <c r="AG132" s="110" t="str">
        <f t="shared" si="7"/>
        <v>EMP0021 Tamanna Dewangan</v>
      </c>
      <c r="AH132" s="103">
        <f>if(AC132,if(and(hour(AC132+AH$7)&gt;9.5,(hour(AC132+AH$7)&lt;19.5)),AC132+AH$7,_xlfn.workday.intl(int(AC132),1,"0000001",Holidays!A:A)+hour(AC132+AH$7-$B$1)/24+minute(AC132)/1440),"")</f>
        <v>46120.825</v>
      </c>
      <c r="AI132" s="104">
        <v>46119.687283796295</v>
      </c>
      <c r="AJ132" s="105" t="s">
        <v>14</v>
      </c>
      <c r="AK132" s="111">
        <f t="shared" si="8"/>
        <v>0</v>
      </c>
      <c r="AL132" s="112" t="str">
        <f t="shared" si="9"/>
        <v>EMP0021 Tamanna Dewangan</v>
      </c>
      <c r="AM132" s="113"/>
      <c r="AN132" s="114" t="s">
        <v>672</v>
      </c>
      <c r="AO132" s="115"/>
      <c r="AP132" s="115"/>
      <c r="AQ132" s="115"/>
      <c r="AR132" s="115"/>
      <c r="AS132" s="115"/>
      <c r="AT132" s="115"/>
      <c r="AU132" s="115"/>
      <c r="AV132" s="115"/>
      <c r="AW132" s="115"/>
      <c r="AX132" s="115"/>
      <c r="AY132" s="115"/>
    </row>
    <row r="133">
      <c r="A133" s="95">
        <f t="shared" si="11"/>
        <v>5084</v>
      </c>
      <c r="B133" s="96">
        <v>46119.510328171295</v>
      </c>
      <c r="C133" s="97" t="s">
        <v>640</v>
      </c>
      <c r="D133" s="97" t="s">
        <v>815</v>
      </c>
      <c r="E133" s="98" t="s">
        <v>862</v>
      </c>
      <c r="F133" s="97"/>
      <c r="G133" s="97" t="s">
        <v>865</v>
      </c>
      <c r="H133" s="99" t="s">
        <v>62</v>
      </c>
      <c r="I133" s="100" t="s">
        <v>324</v>
      </c>
      <c r="J133" s="101" t="s">
        <v>814</v>
      </c>
      <c r="K133" s="100"/>
      <c r="L133" s="102" t="s">
        <v>861</v>
      </c>
      <c r="M133" s="103">
        <f>if(B133,if(and(hour(B133+M$7)&gt;9.5,(hour(B133+M$7)&lt;19.5)),B133+M$7,_xlfn.workday.intl(int(B133),1,"0000001",Holidays!A:A)+hour(B133+M$7-$B$1)/24+minute(B133)/1440),"")</f>
        <v>46119.67699</v>
      </c>
      <c r="N133" s="104">
        <v>46119.61142099537</v>
      </c>
      <c r="O133" s="105" t="s">
        <v>14</v>
      </c>
      <c r="P133" s="106">
        <f t="shared" si="1"/>
        <v>0</v>
      </c>
      <c r="Q133" s="107" t="s">
        <v>72</v>
      </c>
      <c r="R133" s="108" t="s">
        <v>434</v>
      </c>
      <c r="S133" s="103">
        <f>if(M133,if(and(hour(M133+S$7)&gt;9.5,(hour(M133+S$7)&lt;19.5)),M133+S$7,_xlfn.workday.intl(int(M133),1,"0000001",Holidays!A:A)+hour(M133+S$7-$B$1)/24+minute(M133)/1440),"")</f>
        <v>46119.68394</v>
      </c>
      <c r="T133" s="104">
        <v>46119.6111962037</v>
      </c>
      <c r="U133" s="105" t="s">
        <v>14</v>
      </c>
      <c r="V133" s="109">
        <f t="shared" si="2"/>
        <v>0</v>
      </c>
      <c r="W133" s="110" t="str">
        <f t="shared" si="3"/>
        <v>EMP5009 Rup Kumar Mandal</v>
      </c>
      <c r="X133" s="103">
        <f>if(S133,if(and(hour(S133+X$7)&gt;9.5,(hour(S133+X$7)&lt;19.5)),S133+X$7,_xlfn.workday.intl(int(S133),1,"0000001",Holidays!A:A)+hour(S133+X$7-$B$1)/24+minute(S133)/1440),"")</f>
        <v>46119.78811</v>
      </c>
      <c r="Y133" s="104">
        <v>46119.61152898148</v>
      </c>
      <c r="Z133" s="105" t="s">
        <v>14</v>
      </c>
      <c r="AA133" s="111">
        <f t="shared" si="4"/>
        <v>0</v>
      </c>
      <c r="AB133" s="110" t="str">
        <f t="shared" si="5"/>
        <v>EMP5009 Rup Kumar Mandal</v>
      </c>
      <c r="AC133" s="103">
        <f>if(X133,_xlfn.WORKDAY.INTL(X133,AC$7,"0000001",Holidays!A:A)+hour(X133)/24+MINUTE(X133)/1440,"")</f>
        <v>46120.7875</v>
      </c>
      <c r="AD133" s="104">
        <v>46119.611014166665</v>
      </c>
      <c r="AE133" s="105" t="s">
        <v>14</v>
      </c>
      <c r="AF133" s="111">
        <f t="shared" si="6"/>
        <v>0</v>
      </c>
      <c r="AG133" s="110" t="str">
        <f t="shared" si="7"/>
        <v>EMP5009 Rup Kumar Mandal</v>
      </c>
      <c r="AH133" s="103">
        <f>if(AC133,if(and(hour(AC133+AH$7)&gt;9.5,(hour(AC133+AH$7)&lt;19.5)),AC133+AH$7,_xlfn.workday.intl(int(AC133),1,"0000001",Holidays!A:A)+hour(AC133+AH$7-$B$1)/24+minute(AC133)/1440),"")</f>
        <v>46120.82917</v>
      </c>
      <c r="AI133" s="104">
        <v>46119.687304004634</v>
      </c>
      <c r="AJ133" s="105" t="s">
        <v>14</v>
      </c>
      <c r="AK133" s="111">
        <f t="shared" si="8"/>
        <v>0</v>
      </c>
      <c r="AL133" s="112" t="str">
        <f t="shared" si="9"/>
        <v>EMP5009 Rup Kumar Mandal</v>
      </c>
      <c r="AM133" s="113"/>
      <c r="AN133" s="114" t="s">
        <v>672</v>
      </c>
      <c r="AO133" s="115"/>
      <c r="AP133" s="115"/>
      <c r="AQ133" s="115"/>
      <c r="AR133" s="115"/>
      <c r="AS133" s="115"/>
      <c r="AT133" s="115"/>
      <c r="AU133" s="115"/>
      <c r="AV133" s="115"/>
      <c r="AW133" s="115"/>
      <c r="AX133" s="115"/>
      <c r="AY133" s="115"/>
    </row>
    <row r="134">
      <c r="A134" s="95">
        <f t="shared" si="11"/>
        <v>5085</v>
      </c>
      <c r="B134" s="96">
        <v>46119.5307712963</v>
      </c>
      <c r="C134" s="97" t="s">
        <v>410</v>
      </c>
      <c r="D134" s="97" t="s">
        <v>255</v>
      </c>
      <c r="E134" s="98" t="s">
        <v>867</v>
      </c>
      <c r="F134" s="97"/>
      <c r="G134" s="97" t="s">
        <v>870</v>
      </c>
      <c r="H134" s="99" t="s">
        <v>62</v>
      </c>
      <c r="I134" s="100" t="s">
        <v>64</v>
      </c>
      <c r="J134" s="101" t="s">
        <v>513</v>
      </c>
      <c r="K134" s="100"/>
      <c r="L134" s="102" t="s">
        <v>518</v>
      </c>
      <c r="M134" s="103">
        <f>if(B134,if(and(hour(B134+M$7)&gt;9.5,(hour(B134+M$7)&lt;19.5)),B134+M$7,_xlfn.workday.intl(int(B134),1,"0000001",Holidays!A:A)+hour(B134+M$7-$B$1)/24+minute(B134)/1440),"")</f>
        <v>46119.69744</v>
      </c>
      <c r="N134" s="104">
        <v>46119.554095671294</v>
      </c>
      <c r="O134" s="105" t="s">
        <v>14</v>
      </c>
      <c r="P134" s="106">
        <f t="shared" si="1"/>
        <v>0</v>
      </c>
      <c r="Q134" s="107" t="s">
        <v>72</v>
      </c>
      <c r="R134" s="108" t="s">
        <v>434</v>
      </c>
      <c r="S134" s="103">
        <f>if(M134,if(and(hour(M134+S$7)&gt;9.5,(hour(M134+S$7)&lt;19.5)),M134+S$7,_xlfn.workday.intl(int(M134),1,"0000001",Holidays!A:A)+hour(M134+S$7-$B$1)/24+minute(M134)/1440),"")</f>
        <v>46119.70438</v>
      </c>
      <c r="T134" s="104">
        <v>46119.55420297454</v>
      </c>
      <c r="U134" s="105" t="s">
        <v>14</v>
      </c>
      <c r="V134" s="109">
        <f t="shared" si="2"/>
        <v>0</v>
      </c>
      <c r="W134" s="110" t="str">
        <f t="shared" si="3"/>
        <v>EMP5009 Rup Kumar Mandal</v>
      </c>
      <c r="X134" s="103">
        <f>if(S134,if(and(hour(S134+X$7)&gt;9.5,(hour(S134+X$7)&lt;19.5)),S134+X$7,_xlfn.workday.intl(int(S134),1,"0000001",Holidays!A:A)+hour(S134+X$7-$B$1)/24+minute(S134)/1440),"")</f>
        <v>46119.80855</v>
      </c>
      <c r="Y134" s="104">
        <v>46119.5542766088</v>
      </c>
      <c r="Z134" s="105" t="s">
        <v>14</v>
      </c>
      <c r="AA134" s="111">
        <f t="shared" si="4"/>
        <v>0</v>
      </c>
      <c r="AB134" s="110" t="str">
        <f t="shared" si="5"/>
        <v>EMP5009 Rup Kumar Mandal</v>
      </c>
      <c r="AC134" s="103">
        <f>if(X134,_xlfn.WORKDAY.INTL(X134,AC$7,"0000001",Holidays!A:A)+hour(X134)/24+MINUTE(X134)/1440,"")</f>
        <v>46120.80833</v>
      </c>
      <c r="AD134" s="104">
        <v>46119.61103408565</v>
      </c>
      <c r="AE134" s="105" t="s">
        <v>14</v>
      </c>
      <c r="AF134" s="111">
        <f t="shared" si="6"/>
        <v>0</v>
      </c>
      <c r="AG134" s="110" t="str">
        <f t="shared" si="7"/>
        <v>EMP5009 Rup Kumar Mandal</v>
      </c>
      <c r="AH134" s="103">
        <f>if(AC134,if(and(hour(AC134+AH$7)&gt;9.5,(hour(AC134+AH$7)&lt;19.5)),AC134+AH$7,_xlfn.workday.intl(int(AC134),1,"0000001",Holidays!A:A)+hour(AC134+AH$7-$B$1)/24+minute(AC134)/1440),"")</f>
        <v>46121.43333</v>
      </c>
      <c r="AI134" s="104">
        <v>46119.68732563657</v>
      </c>
      <c r="AJ134" s="105" t="s">
        <v>14</v>
      </c>
      <c r="AK134" s="111">
        <f t="shared" si="8"/>
        <v>0</v>
      </c>
      <c r="AL134" s="112" t="str">
        <f t="shared" si="9"/>
        <v>EMP5009 Rup Kumar Mandal</v>
      </c>
      <c r="AM134" s="113"/>
      <c r="AN134" s="114" t="s">
        <v>672</v>
      </c>
      <c r="AO134" s="115"/>
      <c r="AP134" s="115"/>
      <c r="AQ134" s="115"/>
      <c r="AR134" s="115"/>
      <c r="AS134" s="115"/>
      <c r="AT134" s="115"/>
      <c r="AU134" s="115"/>
      <c r="AV134" s="115"/>
      <c r="AW134" s="115"/>
      <c r="AX134" s="115"/>
      <c r="AY134" s="115"/>
    </row>
    <row r="135">
      <c r="A135" s="95">
        <f t="shared" si="11"/>
        <v>5086</v>
      </c>
      <c r="B135" s="96">
        <v>46119.70194708333</v>
      </c>
      <c r="C135" s="97" t="s">
        <v>511</v>
      </c>
      <c r="D135" s="97" t="s">
        <v>505</v>
      </c>
      <c r="E135" s="98" t="s">
        <v>873</v>
      </c>
      <c r="F135" s="97"/>
      <c r="G135" s="97" t="s">
        <v>511</v>
      </c>
      <c r="H135" s="99" t="s">
        <v>62</v>
      </c>
      <c r="I135" s="100" t="s">
        <v>64</v>
      </c>
      <c r="J135" s="101" t="s">
        <v>872</v>
      </c>
      <c r="K135" s="100"/>
      <c r="L135" s="102" t="s">
        <v>876</v>
      </c>
      <c r="M135" s="103">
        <f>if(B135,if(and(hour(B135+M$7)&gt;9.5,(hour(B135+M$7)&lt;19.5)),B135+M$7,_xlfn.workday.intl(int(B135),1,"0000001",Holidays!A:A)+hour(B135+M$7-$B$1)/24+minute(B135)/1440),"")</f>
        <v>46120.45139</v>
      </c>
      <c r="N135" s="104">
        <v>46119.7087641088</v>
      </c>
      <c r="O135" s="105" t="s">
        <v>14</v>
      </c>
      <c r="P135" s="106">
        <f t="shared" si="1"/>
        <v>0</v>
      </c>
      <c r="Q135" s="107" t="s">
        <v>15</v>
      </c>
      <c r="R135" s="108" t="s">
        <v>434</v>
      </c>
      <c r="S135" s="103">
        <f>if(M135,if(and(hour(M135+S$7)&gt;9.5,(hour(M135+S$7)&lt;19.5)),M135+S$7,_xlfn.workday.intl(int(M135),1,"0000001",Holidays!A:A)+hour(M135+S$7-$B$1)/24+minute(M135)/1440),"")</f>
        <v>46120.45833</v>
      </c>
      <c r="T135" s="104">
        <v>46119.70869518518</v>
      </c>
      <c r="U135" s="105" t="s">
        <v>14</v>
      </c>
      <c r="V135" s="109">
        <f t="shared" si="2"/>
        <v>0</v>
      </c>
      <c r="W135" s="110" t="str">
        <f t="shared" si="3"/>
        <v>EMP0042 HULESHWAR KUMAR SAHU</v>
      </c>
      <c r="X135" s="103">
        <f>if(S135,if(and(hour(S135+X$7)&gt;9.5,(hour(S135+X$7)&lt;19.5)),S135+X$7,_xlfn.workday.intl(int(S135),1,"0000001",Holidays!A:A)+hour(S135+X$7-$B$1)/24+minute(S135)/1440),"")</f>
        <v>46120.5625</v>
      </c>
      <c r="Y135" s="104">
        <v>46119.70885222222</v>
      </c>
      <c r="Z135" s="105" t="s">
        <v>14</v>
      </c>
      <c r="AA135" s="111">
        <f t="shared" si="4"/>
        <v>0</v>
      </c>
      <c r="AB135" s="110" t="str">
        <f t="shared" si="5"/>
        <v>EMP0042 HULESHWAR KUMAR SAHU</v>
      </c>
      <c r="AC135" s="103">
        <f>if(X135,_xlfn.WORKDAY.INTL(X135,AC$7,"0000001",Holidays!A:A)+hour(X135)/24+MINUTE(X135)/1440,"")</f>
        <v>46121.5625</v>
      </c>
      <c r="AD135" s="104">
        <v>46119.765259189815</v>
      </c>
      <c r="AE135" s="105" t="s">
        <v>14</v>
      </c>
      <c r="AF135" s="111">
        <f t="shared" si="6"/>
        <v>0</v>
      </c>
      <c r="AG135" s="110" t="str">
        <f t="shared" si="7"/>
        <v>EMP0042 HULESHWAR KUMAR SAHU</v>
      </c>
      <c r="AH135" s="103">
        <f>if(AC135,if(and(hour(AC135+AH$7)&gt;9.5,(hour(AC135+AH$7)&lt;19.5)),AC135+AH$7,_xlfn.workday.intl(int(AC135),1,"0000001",Holidays!A:A)+hour(AC135+AH$7-$B$1)/24+minute(AC135)/1440),"")</f>
        <v>46121.60417</v>
      </c>
      <c r="AI135" s="104">
        <v>46119.765317557874</v>
      </c>
      <c r="AJ135" s="105" t="s">
        <v>14</v>
      </c>
      <c r="AK135" s="111">
        <f t="shared" si="8"/>
        <v>0</v>
      </c>
      <c r="AL135" s="112" t="str">
        <f t="shared" si="9"/>
        <v>EMP0042 HULESHWAR KUMAR SAHU</v>
      </c>
      <c r="AM135" s="113"/>
      <c r="AN135" s="114" t="s">
        <v>672</v>
      </c>
      <c r="AO135" s="115"/>
      <c r="AP135" s="115"/>
      <c r="AQ135" s="115"/>
      <c r="AR135" s="115"/>
      <c r="AS135" s="115"/>
      <c r="AT135" s="115"/>
      <c r="AU135" s="115"/>
      <c r="AV135" s="115"/>
      <c r="AW135" s="115"/>
      <c r="AX135" s="115"/>
      <c r="AY135" s="115"/>
    </row>
    <row r="136">
      <c r="A136" s="95">
        <f t="shared" si="11"/>
        <v>5087</v>
      </c>
      <c r="B136" s="96">
        <v>46119.71629619213</v>
      </c>
      <c r="C136" s="97" t="s">
        <v>511</v>
      </c>
      <c r="D136" s="97" t="s">
        <v>505</v>
      </c>
      <c r="E136" s="98" t="s">
        <v>877</v>
      </c>
      <c r="F136" s="97"/>
      <c r="G136" s="97" t="s">
        <v>879</v>
      </c>
      <c r="H136" s="99" t="s">
        <v>62</v>
      </c>
      <c r="I136" s="100" t="s">
        <v>64</v>
      </c>
      <c r="J136" s="101" t="s">
        <v>872</v>
      </c>
      <c r="K136" s="100"/>
      <c r="L136" s="102" t="s">
        <v>880</v>
      </c>
      <c r="M136" s="103">
        <f>if(B136,if(and(hour(B136+M$7)&gt;9.5,(hour(B136+M$7)&lt;19.5)),B136+M$7,_xlfn.workday.intl(int(B136),1,"0000001",Holidays!A:A)+hour(B136+M$7-$B$1)/24+minute(B136)/1440),"")</f>
        <v>46120.46597</v>
      </c>
      <c r="N136" s="104">
        <v>46119.71910512731</v>
      </c>
      <c r="O136" s="105" t="s">
        <v>14</v>
      </c>
      <c r="P136" s="106">
        <f t="shared" si="1"/>
        <v>0</v>
      </c>
      <c r="Q136" s="107" t="s">
        <v>61</v>
      </c>
      <c r="R136" s="108" t="s">
        <v>434</v>
      </c>
      <c r="S136" s="103">
        <f>if(M136,if(and(hour(M136+S$7)&gt;9.5,(hour(M136+S$7)&lt;19.5)),M136+S$7,_xlfn.workday.intl(int(M136),1,"0000001",Holidays!A:A)+hour(M136+S$7-$B$1)/24+minute(M136)/1440),"")</f>
        <v>46120.47292</v>
      </c>
      <c r="T136" s="104">
        <v>46119.71916008102</v>
      </c>
      <c r="U136" s="105" t="s">
        <v>14</v>
      </c>
      <c r="V136" s="109">
        <f t="shared" si="2"/>
        <v>0</v>
      </c>
      <c r="W136" s="110" t="str">
        <f t="shared" si="3"/>
        <v>EMP0021 Tamanna Dewangan</v>
      </c>
      <c r="X136" s="103">
        <f>if(S136,if(and(hour(S136+X$7)&gt;9.5,(hour(S136+X$7)&lt;19.5)),S136+X$7,_xlfn.workday.intl(int(S136),1,"0000001",Holidays!A:A)+hour(S136+X$7-$B$1)/24+minute(S136)/1440),"")</f>
        <v>46120.57708</v>
      </c>
      <c r="Y136" s="104">
        <v>46119.71921416667</v>
      </c>
      <c r="Z136" s="105" t="s">
        <v>14</v>
      </c>
      <c r="AA136" s="111">
        <f t="shared" si="4"/>
        <v>0</v>
      </c>
      <c r="AB136" s="110" t="str">
        <f t="shared" si="5"/>
        <v>EMP0021 Tamanna Dewangan</v>
      </c>
      <c r="AC136" s="103">
        <f>if(X136,_xlfn.WORKDAY.INTL(X136,AC$7,"0000001",Holidays!A:A)+hour(X136)/24+MINUTE(X136)/1440,"")</f>
        <v>46121.57708</v>
      </c>
      <c r="AD136" s="104">
        <v>46119.76526480324</v>
      </c>
      <c r="AE136" s="105" t="s">
        <v>14</v>
      </c>
      <c r="AF136" s="111">
        <f t="shared" si="6"/>
        <v>0</v>
      </c>
      <c r="AG136" s="110" t="str">
        <f t="shared" si="7"/>
        <v>EMP0021 Tamanna Dewangan</v>
      </c>
      <c r="AH136" s="103">
        <f>if(AC136,if(and(hour(AC136+AH$7)&gt;9.5,(hour(AC136+AH$7)&lt;19.5)),AC136+AH$7,_xlfn.workday.intl(int(AC136),1,"0000001",Holidays!A:A)+hour(AC136+AH$7-$B$1)/24+minute(AC136)/1440),"")</f>
        <v>46121.61875</v>
      </c>
      <c r="AI136" s="104">
        <v>46119.765356620366</v>
      </c>
      <c r="AJ136" s="105" t="s">
        <v>14</v>
      </c>
      <c r="AK136" s="111">
        <f t="shared" si="8"/>
        <v>0</v>
      </c>
      <c r="AL136" s="112" t="str">
        <f t="shared" si="9"/>
        <v>EMP0021 Tamanna Dewangan</v>
      </c>
      <c r="AM136" s="113"/>
      <c r="AN136" s="114" t="s">
        <v>672</v>
      </c>
      <c r="AO136" s="115"/>
      <c r="AP136" s="115"/>
      <c r="AQ136" s="115"/>
      <c r="AR136" s="115"/>
      <c r="AS136" s="115"/>
      <c r="AT136" s="115"/>
      <c r="AU136" s="115"/>
      <c r="AV136" s="115"/>
      <c r="AW136" s="115"/>
      <c r="AX136" s="115"/>
      <c r="AY136" s="115"/>
    </row>
    <row r="137">
      <c r="A137" s="95">
        <f t="shared" si="11"/>
        <v>5088</v>
      </c>
      <c r="B137" s="96">
        <v>46120.511020844904</v>
      </c>
      <c r="C137" s="97" t="s">
        <v>656</v>
      </c>
      <c r="D137" s="97" t="s">
        <v>264</v>
      </c>
      <c r="E137" s="98" t="s">
        <v>884</v>
      </c>
      <c r="F137" s="98" t="s">
        <v>888</v>
      </c>
      <c r="G137" s="97" t="s">
        <v>360</v>
      </c>
      <c r="H137" s="99" t="s">
        <v>62</v>
      </c>
      <c r="I137" s="100" t="s">
        <v>64</v>
      </c>
      <c r="J137" s="101" t="s">
        <v>883</v>
      </c>
      <c r="K137" s="100"/>
      <c r="L137" s="102" t="s">
        <v>887</v>
      </c>
      <c r="M137" s="103">
        <f>if(B137,if(and(hour(B137+M$7)&gt;9.5,(hour(B137+M$7)&lt;19.5)),B137+M$7,_xlfn.workday.intl(int(B137),1,"0000001",Holidays!A:A)+hour(B137+M$7-$B$1)/24+minute(B137)/1440),"")</f>
        <v>46120.67769</v>
      </c>
      <c r="N137" s="104">
        <v>46120.62188453704</v>
      </c>
      <c r="O137" s="105" t="s">
        <v>14</v>
      </c>
      <c r="P137" s="106">
        <f t="shared" si="1"/>
        <v>0</v>
      </c>
      <c r="Q137" s="107" t="s">
        <v>48</v>
      </c>
      <c r="R137" s="108" t="s">
        <v>434</v>
      </c>
      <c r="S137" s="103">
        <f>if(M137,if(and(hour(M137+S$7)&gt;9.5,(hour(M137+S$7)&lt;19.5)),M137+S$7,_xlfn.workday.intl(int(M137),1,"0000001",Holidays!A:A)+hour(M137+S$7-$B$1)/24+minute(M137)/1440),"")</f>
        <v>46120.68463</v>
      </c>
      <c r="T137" s="104">
        <v>46120.622104027774</v>
      </c>
      <c r="U137" s="105" t="s">
        <v>14</v>
      </c>
      <c r="V137" s="109">
        <f t="shared" si="2"/>
        <v>0</v>
      </c>
      <c r="W137" s="110" t="str">
        <f t="shared" si="3"/>
        <v>EMP0237 Swarnendu Chakraborty</v>
      </c>
      <c r="X137" s="103">
        <f>if(S137,if(and(hour(S137+X$7)&gt;9.5,(hour(S137+X$7)&lt;19.5)),S137+X$7,_xlfn.workday.intl(int(S137),1,"0000001",Holidays!A:A)+hour(S137+X$7-$B$1)/24+minute(S137)/1440),"")</f>
        <v>46120.7888</v>
      </c>
      <c r="Y137" s="104">
        <v>46120.642722476856</v>
      </c>
      <c r="Z137" s="105" t="s">
        <v>14</v>
      </c>
      <c r="AA137" s="111">
        <f t="shared" si="4"/>
        <v>0</v>
      </c>
      <c r="AB137" s="110" t="str">
        <f t="shared" si="5"/>
        <v>EMP0237 Swarnendu Chakraborty</v>
      </c>
      <c r="AC137" s="103">
        <f>if(X137,_xlfn.WORKDAY.INTL(X137,AC$7,"0000001",Holidays!A:A)+hour(X137)/24+MINUTE(X137)/1440,"")</f>
        <v>46121.78819</v>
      </c>
      <c r="AD137" s="104">
        <v>46120.73063929398</v>
      </c>
      <c r="AE137" s="105" t="s">
        <v>14</v>
      </c>
      <c r="AF137" s="111">
        <f t="shared" si="6"/>
        <v>0</v>
      </c>
      <c r="AG137" s="110" t="str">
        <f t="shared" si="7"/>
        <v>EMP0237 Swarnendu Chakraborty</v>
      </c>
      <c r="AH137" s="103">
        <f>if(AC137,if(and(hour(AC137+AH$7)&gt;9.5,(hour(AC137+AH$7)&lt;19.5)),AC137+AH$7,_xlfn.workday.intl(int(AC137),1,"0000001",Holidays!A:A)+hour(AC137+AH$7-$B$1)/24+minute(AC137)/1440),"")</f>
        <v>46121.82986</v>
      </c>
      <c r="AI137" s="104">
        <v>46120.73157399306</v>
      </c>
      <c r="AJ137" s="105" t="s">
        <v>14</v>
      </c>
      <c r="AK137" s="111">
        <f t="shared" si="8"/>
        <v>0</v>
      </c>
      <c r="AL137" s="112" t="str">
        <f t="shared" si="9"/>
        <v>EMP0237 Swarnendu Chakraborty</v>
      </c>
      <c r="AM137" s="113"/>
      <c r="AN137" s="114" t="s">
        <v>672</v>
      </c>
      <c r="AO137" s="115"/>
      <c r="AP137" s="115"/>
      <c r="AQ137" s="115"/>
      <c r="AR137" s="115"/>
      <c r="AS137" s="115"/>
      <c r="AT137" s="115"/>
      <c r="AU137" s="115"/>
      <c r="AV137" s="115"/>
      <c r="AW137" s="115"/>
      <c r="AX137" s="115"/>
      <c r="AY137" s="115"/>
    </row>
    <row r="138">
      <c r="A138" s="95">
        <f t="shared" si="11"/>
        <v>5089</v>
      </c>
      <c r="B138" s="96">
        <v>46120.53498216435</v>
      </c>
      <c r="C138" s="97" t="s">
        <v>660</v>
      </c>
      <c r="D138" s="97" t="s">
        <v>186</v>
      </c>
      <c r="E138" s="98" t="s">
        <v>891</v>
      </c>
      <c r="F138" s="98" t="s">
        <v>896</v>
      </c>
      <c r="G138" s="97" t="s">
        <v>893</v>
      </c>
      <c r="H138" s="99" t="s">
        <v>138</v>
      </c>
      <c r="I138" s="100" t="s">
        <v>64</v>
      </c>
      <c r="J138" s="101" t="s">
        <v>303</v>
      </c>
      <c r="K138" s="100"/>
      <c r="L138" s="102" t="s">
        <v>895</v>
      </c>
      <c r="M138" s="103">
        <f>if(B138,if(and(hour(B138+M$7)&gt;9.5,(hour(B138+M$7)&lt;19.5)),B138+M$7,_xlfn.workday.intl(int(B138),1,"0000001",Holidays!A:A)+hour(B138+M$7-$B$1)/24+minute(B138)/1440),"")</f>
        <v>46120.70165</v>
      </c>
      <c r="N138" s="104">
        <v>46120.621900266204</v>
      </c>
      <c r="O138" s="105" t="s">
        <v>14</v>
      </c>
      <c r="P138" s="106">
        <f t="shared" si="1"/>
        <v>0</v>
      </c>
      <c r="Q138" s="107" t="s">
        <v>15</v>
      </c>
      <c r="R138" s="108" t="s">
        <v>434</v>
      </c>
      <c r="S138" s="103">
        <f>if(M138,if(and(hour(M138+S$7)&gt;9.5,(hour(M138+S$7)&lt;19.5)),M138+S$7,_xlfn.workday.intl(int(M138),1,"0000001",Holidays!A:A)+hour(M138+S$7-$B$1)/24+minute(M138)/1440),"")</f>
        <v>46120.70859</v>
      </c>
      <c r="T138" s="104">
        <v>46120.62214723379</v>
      </c>
      <c r="U138" s="105" t="s">
        <v>14</v>
      </c>
      <c r="V138" s="109">
        <f t="shared" si="2"/>
        <v>0</v>
      </c>
      <c r="W138" s="110" t="str">
        <f t="shared" si="3"/>
        <v>EMP0042 HULESHWAR KUMAR SAHU</v>
      </c>
      <c r="X138" s="103">
        <f>if(S138,if(and(hour(S138+X$7)&gt;9.5,(hour(S138+X$7)&lt;19.5)),S138+X$7,_xlfn.workday.intl(int(S138),1,"0000001",Holidays!A:A)+hour(S138+X$7-$B$1)/24+minute(S138)/1440),"")</f>
        <v>46120.81276</v>
      </c>
      <c r="Y138" s="104">
        <v>46120.64273501157</v>
      </c>
      <c r="Z138" s="105" t="s">
        <v>14</v>
      </c>
      <c r="AA138" s="111">
        <f t="shared" si="4"/>
        <v>0</v>
      </c>
      <c r="AB138" s="110" t="str">
        <f t="shared" si="5"/>
        <v>EMP0042 HULESHWAR KUMAR SAHU</v>
      </c>
      <c r="AC138" s="103">
        <f>if(X138,_xlfn.WORKDAY.INTL(X138,AC$7,"0000001",Holidays!A:A)+hour(X138)/24+MINUTE(X138)/1440,"")</f>
        <v>46121.8125</v>
      </c>
      <c r="AD138" s="104">
        <v>46120.730659560184</v>
      </c>
      <c r="AE138" s="105" t="s">
        <v>14</v>
      </c>
      <c r="AF138" s="111">
        <f t="shared" si="6"/>
        <v>0</v>
      </c>
      <c r="AG138" s="110" t="str">
        <f t="shared" si="7"/>
        <v>EMP0042 HULESHWAR KUMAR SAHU</v>
      </c>
      <c r="AH138" s="103">
        <f>if(AC138,if(and(hour(AC138+AH$7)&gt;9.5,(hour(AC138+AH$7)&lt;19.5)),AC138+AH$7,_xlfn.workday.intl(int(AC138),1,"0000001",Holidays!A:A)+hour(AC138+AH$7-$B$1)/24+minute(AC138)/1440),"")</f>
        <v>46122.4375</v>
      </c>
      <c r="AI138" s="104">
        <v>46120.73159668982</v>
      </c>
      <c r="AJ138" s="105" t="s">
        <v>14</v>
      </c>
      <c r="AK138" s="111">
        <f t="shared" si="8"/>
        <v>0</v>
      </c>
      <c r="AL138" s="112" t="str">
        <f t="shared" si="9"/>
        <v>EMP0042 HULESHWAR KUMAR SAHU</v>
      </c>
      <c r="AM138" s="113"/>
      <c r="AN138" s="114" t="s">
        <v>672</v>
      </c>
      <c r="AO138" s="115"/>
      <c r="AP138" s="115"/>
      <c r="AQ138" s="115"/>
      <c r="AR138" s="115"/>
      <c r="AS138" s="115"/>
      <c r="AT138" s="115"/>
      <c r="AU138" s="115"/>
      <c r="AV138" s="115"/>
      <c r="AW138" s="115"/>
      <c r="AX138" s="115"/>
      <c r="AY138" s="115"/>
    </row>
    <row r="139">
      <c r="A139" s="95">
        <f t="shared" si="11"/>
        <v>5090</v>
      </c>
      <c r="B139" s="96">
        <v>46120.71801709491</v>
      </c>
      <c r="C139" s="97" t="s">
        <v>667</v>
      </c>
      <c r="D139" s="97" t="s">
        <v>815</v>
      </c>
      <c r="E139" s="98" t="s">
        <v>900</v>
      </c>
      <c r="F139" s="97"/>
      <c r="G139" s="97" t="s">
        <v>901</v>
      </c>
      <c r="H139" s="99" t="s">
        <v>62</v>
      </c>
      <c r="I139" s="100" t="s">
        <v>324</v>
      </c>
      <c r="J139" s="101" t="s">
        <v>899</v>
      </c>
      <c r="K139" s="100"/>
      <c r="L139" s="102" t="s">
        <v>902</v>
      </c>
      <c r="M139" s="103">
        <f>if(B139,if(and(hour(B139+M$7)&gt;9.5,(hour(B139+M$7)&lt;19.5)),B139+M$7,_xlfn.workday.intl(int(B139),1,"0000001",Holidays!A:A)+hour(B139+M$7-$B$1)/24+minute(B139)/1440),"")</f>
        <v>46121.46736</v>
      </c>
      <c r="N139" s="104">
        <v>46120.73090890046</v>
      </c>
      <c r="O139" s="105" t="s">
        <v>14</v>
      </c>
      <c r="P139" s="106">
        <f t="shared" si="1"/>
        <v>0</v>
      </c>
      <c r="Q139" s="107" t="s">
        <v>15</v>
      </c>
      <c r="R139" s="108" t="s">
        <v>434</v>
      </c>
      <c r="S139" s="103">
        <f>if(M139,if(and(hour(M139+S$7)&gt;9.5,(hour(M139+S$7)&lt;19.5)),M139+S$7,_xlfn.workday.intl(int(M139),1,"0000001",Holidays!A:A)+hour(M139+S$7-$B$1)/24+minute(M139)/1440),"")</f>
        <v>46121.47431</v>
      </c>
      <c r="T139" s="104">
        <v>46120.7308113426</v>
      </c>
      <c r="U139" s="105" t="s">
        <v>14</v>
      </c>
      <c r="V139" s="109">
        <f t="shared" si="2"/>
        <v>0</v>
      </c>
      <c r="W139" s="110" t="str">
        <f t="shared" si="3"/>
        <v>EMP0042 HULESHWAR KUMAR SAHU</v>
      </c>
      <c r="X139" s="103">
        <f>if(S139,if(and(hour(S139+X$7)&gt;9.5,(hour(S139+X$7)&lt;19.5)),S139+X$7,_xlfn.workday.intl(int(S139),1,"0000001",Holidays!A:A)+hour(S139+X$7-$B$1)/24+minute(S139)/1440),"")</f>
        <v>46121.57847</v>
      </c>
      <c r="Y139" s="104">
        <v>46120.731359756945</v>
      </c>
      <c r="Z139" s="105" t="s">
        <v>14</v>
      </c>
      <c r="AA139" s="111">
        <f t="shared" si="4"/>
        <v>0</v>
      </c>
      <c r="AB139" s="110" t="str">
        <f t="shared" si="5"/>
        <v>EMP0042 HULESHWAR KUMAR SAHU</v>
      </c>
      <c r="AC139" s="103">
        <f>if(X139,_xlfn.WORKDAY.INTL(X139,AC$7,"0000001",Holidays!A:A)+hour(X139)/24+MINUTE(X139)/1440,"")</f>
        <v>46122.57847</v>
      </c>
      <c r="AD139" s="104">
        <v>46121.41938760417</v>
      </c>
      <c r="AE139" s="105" t="s">
        <v>14</v>
      </c>
      <c r="AF139" s="111">
        <f t="shared" si="6"/>
        <v>0</v>
      </c>
      <c r="AG139" s="110" t="str">
        <f t="shared" si="7"/>
        <v>EMP0042 HULESHWAR KUMAR SAHU</v>
      </c>
      <c r="AH139" s="103">
        <f>if(AC139,if(and(hour(AC139+AH$7)&gt;9.5,(hour(AC139+AH$7)&lt;19.5)),AC139+AH$7,_xlfn.workday.intl(int(AC139),1,"0000001",Holidays!A:A)+hour(AC139+AH$7-$B$1)/24+minute(AC139)/1440),"")</f>
        <v>46122.62014</v>
      </c>
      <c r="AI139" s="104">
        <v>46121.41948774306</v>
      </c>
      <c r="AJ139" s="105" t="s">
        <v>14</v>
      </c>
      <c r="AK139" s="111">
        <f t="shared" si="8"/>
        <v>0</v>
      </c>
      <c r="AL139" s="112" t="str">
        <f t="shared" si="9"/>
        <v>EMP0042 HULESHWAR KUMAR SAHU</v>
      </c>
      <c r="AM139" s="113"/>
      <c r="AN139" s="114" t="s">
        <v>672</v>
      </c>
      <c r="AO139" s="115"/>
      <c r="AP139" s="115"/>
      <c r="AQ139" s="115"/>
      <c r="AR139" s="115"/>
      <c r="AS139" s="115"/>
      <c r="AT139" s="115"/>
      <c r="AU139" s="115"/>
      <c r="AV139" s="115"/>
      <c r="AW139" s="115"/>
      <c r="AX139" s="115"/>
      <c r="AY139" s="115"/>
    </row>
    <row r="140">
      <c r="A140" s="95">
        <f t="shared" si="11"/>
        <v>5091</v>
      </c>
      <c r="B140" s="96">
        <v>46120.7264534375</v>
      </c>
      <c r="C140" s="97" t="s">
        <v>166</v>
      </c>
      <c r="D140" s="97" t="s">
        <v>122</v>
      </c>
      <c r="E140" s="98" t="s">
        <v>903</v>
      </c>
      <c r="F140" s="98" t="s">
        <v>908</v>
      </c>
      <c r="G140" s="97" t="s">
        <v>906</v>
      </c>
      <c r="H140" s="99" t="s">
        <v>62</v>
      </c>
      <c r="I140" s="100" t="s">
        <v>64</v>
      </c>
      <c r="J140" s="101" t="s">
        <v>465</v>
      </c>
      <c r="K140" s="100"/>
      <c r="L140" s="102" t="s">
        <v>907</v>
      </c>
      <c r="M140" s="103">
        <f>if(B140,if(and(hour(B140+M$7)&gt;9.5,(hour(B140+M$7)&lt;19.5)),B140+M$7,_xlfn.workday.intl(int(B140),1,"0000001",Holidays!A:A)+hour(B140+M$7-$B$1)/24+minute(B140)/1440),"")</f>
        <v>46121.47639</v>
      </c>
      <c r="N140" s="104">
        <v>46120.73103434028</v>
      </c>
      <c r="O140" s="105" t="s">
        <v>14</v>
      </c>
      <c r="P140" s="106">
        <f t="shared" si="1"/>
        <v>0</v>
      </c>
      <c r="Q140" s="107" t="s">
        <v>61</v>
      </c>
      <c r="R140" s="108" t="s">
        <v>434</v>
      </c>
      <c r="S140" s="103">
        <f>if(M140,if(and(hour(M140+S$7)&gt;9.5,(hour(M140+S$7)&lt;19.5)),M140+S$7,_xlfn.workday.intl(int(M140),1,"0000001",Holidays!A:A)+hour(M140+S$7-$B$1)/24+minute(M140)/1440),"")</f>
        <v>46121.48333</v>
      </c>
      <c r="T140" s="104">
        <v>46120.73110145833</v>
      </c>
      <c r="U140" s="105" t="s">
        <v>14</v>
      </c>
      <c r="V140" s="109">
        <f t="shared" si="2"/>
        <v>0</v>
      </c>
      <c r="W140" s="110" t="str">
        <f t="shared" si="3"/>
        <v>EMP0021 Tamanna Dewangan</v>
      </c>
      <c r="X140" s="103">
        <f>if(S140,if(and(hour(S140+X$7)&gt;9.5,(hour(S140+X$7)&lt;19.5)),S140+X$7,_xlfn.workday.intl(int(S140),1,"0000001",Holidays!A:A)+hour(S140+X$7-$B$1)/24+minute(S140)/1440),"")</f>
        <v>46121.5875</v>
      </c>
      <c r="Y140" s="104">
        <v>46120.731377199074</v>
      </c>
      <c r="Z140" s="105" t="s">
        <v>14</v>
      </c>
      <c r="AA140" s="111">
        <f t="shared" si="4"/>
        <v>0</v>
      </c>
      <c r="AB140" s="110" t="str">
        <f t="shared" si="5"/>
        <v>EMP0021 Tamanna Dewangan</v>
      </c>
      <c r="AC140" s="103">
        <f>if(X140,_xlfn.WORKDAY.INTL(X140,AC$7,"0000001",Holidays!A:A)+hour(X140)/24+MINUTE(X140)/1440,"")</f>
        <v>46122.5875</v>
      </c>
      <c r="AD140" s="104">
        <v>46120.75401046296</v>
      </c>
      <c r="AE140" s="105" t="s">
        <v>14</v>
      </c>
      <c r="AF140" s="111">
        <f t="shared" si="6"/>
        <v>0</v>
      </c>
      <c r="AG140" s="110" t="str">
        <f t="shared" si="7"/>
        <v>EMP0021 Tamanna Dewangan</v>
      </c>
      <c r="AH140" s="103">
        <f>if(AC140,if(and(hour(AC140+AH$7)&gt;9.5,(hour(AC140+AH$7)&lt;19.5)),AC140+AH$7,_xlfn.workday.intl(int(AC140),1,"0000001",Holidays!A:A)+hour(AC140+AH$7-$B$1)/24+minute(AC140)/1440),"")</f>
        <v>46122.62917</v>
      </c>
      <c r="AI140" s="104">
        <v>46120.77266707176</v>
      </c>
      <c r="AJ140" s="105" t="s">
        <v>14</v>
      </c>
      <c r="AK140" s="111">
        <f t="shared" si="8"/>
        <v>0</v>
      </c>
      <c r="AL140" s="112" t="str">
        <f t="shared" si="9"/>
        <v>EMP0021 Tamanna Dewangan</v>
      </c>
      <c r="AM140" s="113"/>
      <c r="AN140" s="114" t="s">
        <v>672</v>
      </c>
      <c r="AO140" s="115"/>
      <c r="AP140" s="115"/>
      <c r="AQ140" s="115"/>
      <c r="AR140" s="115"/>
      <c r="AS140" s="115"/>
      <c r="AT140" s="115"/>
      <c r="AU140" s="115"/>
      <c r="AV140" s="115"/>
      <c r="AW140" s="115"/>
      <c r="AX140" s="115"/>
      <c r="AY140" s="115"/>
    </row>
    <row r="141">
      <c r="A141" s="95">
        <f t="shared" si="11"/>
        <v>5092</v>
      </c>
      <c r="B141" s="96">
        <v>46120.72727885417</v>
      </c>
      <c r="C141" s="97" t="s">
        <v>355</v>
      </c>
      <c r="D141" s="97" t="s">
        <v>122</v>
      </c>
      <c r="E141" s="98" t="s">
        <v>911</v>
      </c>
      <c r="F141" s="98" t="s">
        <v>916</v>
      </c>
      <c r="G141" s="97" t="s">
        <v>914</v>
      </c>
      <c r="H141" s="99" t="s">
        <v>62</v>
      </c>
      <c r="I141" s="100" t="s">
        <v>64</v>
      </c>
      <c r="J141" s="101" t="s">
        <v>465</v>
      </c>
      <c r="K141" s="100"/>
      <c r="L141" s="102" t="s">
        <v>915</v>
      </c>
      <c r="M141" s="103">
        <f>if(B141,if(and(hour(B141+M$7)&gt;9.5,(hour(B141+M$7)&lt;19.5)),B141+M$7,_xlfn.workday.intl(int(B141),1,"0000001",Holidays!A:A)+hour(B141+M$7-$B$1)/24+minute(B141)/1440),"")</f>
        <v>46121.47708</v>
      </c>
      <c r="N141" s="104">
        <v>46120.73115665509</v>
      </c>
      <c r="O141" s="105" t="s">
        <v>14</v>
      </c>
      <c r="P141" s="106">
        <f t="shared" si="1"/>
        <v>0</v>
      </c>
      <c r="Q141" s="107" t="s">
        <v>15</v>
      </c>
      <c r="R141" s="108" t="s">
        <v>434</v>
      </c>
      <c r="S141" s="103">
        <f>if(M141,if(and(hour(M141+S$7)&gt;9.5,(hour(M141+S$7)&lt;19.5)),M141+S$7,_xlfn.workday.intl(int(M141),1,"0000001",Holidays!A:A)+hour(M141+S$7-$B$1)/24+minute(M141)/1440),"")</f>
        <v>46121.48403</v>
      </c>
      <c r="T141" s="104">
        <v>46120.73122868055</v>
      </c>
      <c r="U141" s="105" t="s">
        <v>14</v>
      </c>
      <c r="V141" s="109">
        <f t="shared" si="2"/>
        <v>0</v>
      </c>
      <c r="W141" s="110" t="str">
        <f t="shared" si="3"/>
        <v>EMP0042 HULESHWAR KUMAR SAHU</v>
      </c>
      <c r="X141" s="103">
        <f>if(S141,if(and(hour(S141+X$7)&gt;9.5,(hour(S141+X$7)&lt;19.5)),S141+X$7,_xlfn.workday.intl(int(S141),1,"0000001",Holidays!A:A)+hour(S141+X$7-$B$1)/24+minute(S141)/1440),"")</f>
        <v>46121.58819</v>
      </c>
      <c r="Y141" s="104">
        <v>46120.73139664352</v>
      </c>
      <c r="Z141" s="105" t="s">
        <v>14</v>
      </c>
      <c r="AA141" s="111">
        <f t="shared" si="4"/>
        <v>0</v>
      </c>
      <c r="AB141" s="110" t="str">
        <f t="shared" si="5"/>
        <v>EMP0042 HULESHWAR KUMAR SAHU</v>
      </c>
      <c r="AC141" s="103">
        <f>if(X141,_xlfn.WORKDAY.INTL(X141,AC$7,"0000001",Holidays!A:A)+hour(X141)/24+MINUTE(X141)/1440,"")</f>
        <v>46122.58819</v>
      </c>
      <c r="AD141" s="104">
        <v>46120.77257518518</v>
      </c>
      <c r="AE141" s="105" t="s">
        <v>14</v>
      </c>
      <c r="AF141" s="111">
        <f t="shared" si="6"/>
        <v>0</v>
      </c>
      <c r="AG141" s="110" t="str">
        <f t="shared" si="7"/>
        <v>EMP0042 HULESHWAR KUMAR SAHU</v>
      </c>
      <c r="AH141" s="103">
        <f>if(AC141,if(and(hour(AC141+AH$7)&gt;9.5,(hour(AC141+AH$7)&lt;19.5)),AC141+AH$7,_xlfn.workday.intl(int(AC141),1,"0000001",Holidays!A:A)+hour(AC141+AH$7-$B$1)/24+minute(AC141)/1440),"")</f>
        <v>46122.62986</v>
      </c>
      <c r="AI141" s="104">
        <v>46120.77262503472</v>
      </c>
      <c r="AJ141" s="105" t="s">
        <v>14</v>
      </c>
      <c r="AK141" s="111">
        <f t="shared" si="8"/>
        <v>0</v>
      </c>
      <c r="AL141" s="112" t="str">
        <f t="shared" si="9"/>
        <v>EMP0042 HULESHWAR KUMAR SAHU</v>
      </c>
      <c r="AM141" s="113"/>
      <c r="AN141" s="114" t="s">
        <v>672</v>
      </c>
      <c r="AO141" s="115"/>
      <c r="AP141" s="115"/>
      <c r="AQ141" s="115"/>
      <c r="AR141" s="115"/>
      <c r="AS141" s="115"/>
      <c r="AT141" s="115"/>
      <c r="AU141" s="115"/>
      <c r="AV141" s="115"/>
      <c r="AW141" s="115"/>
      <c r="AX141" s="115"/>
      <c r="AY141" s="115"/>
    </row>
    <row r="142">
      <c r="A142" s="95">
        <f t="shared" si="11"/>
        <v>5093</v>
      </c>
      <c r="B142" s="96">
        <v>46121.53602270833</v>
      </c>
      <c r="C142" s="97" t="s">
        <v>166</v>
      </c>
      <c r="D142" s="97" t="s">
        <v>921</v>
      </c>
      <c r="E142" s="98" t="s">
        <v>922</v>
      </c>
      <c r="F142" s="97"/>
      <c r="G142" s="97" t="s">
        <v>648</v>
      </c>
      <c r="H142" s="99" t="s">
        <v>62</v>
      </c>
      <c r="I142" s="100" t="s">
        <v>64</v>
      </c>
      <c r="J142" s="101" t="s">
        <v>662</v>
      </c>
      <c r="K142" s="100"/>
      <c r="L142" s="102" t="s">
        <v>925</v>
      </c>
      <c r="M142" s="103">
        <f>if(B142,if(and(hour(B142+M$7)&gt;9.5,(hour(B142+M$7)&lt;19.5)),B142+M$7,_xlfn.workday.intl(int(B142),1,"0000001",Holidays!A:A)+hour(B142+M$7-$B$1)/24+minute(B142)/1440),"")</f>
        <v>46121.70269</v>
      </c>
      <c r="N142" s="104">
        <v>46121.64437649306</v>
      </c>
      <c r="O142" s="105" t="s">
        <v>14</v>
      </c>
      <c r="P142" s="106">
        <f t="shared" si="1"/>
        <v>0</v>
      </c>
      <c r="Q142" s="107" t="s">
        <v>72</v>
      </c>
      <c r="R142" s="108" t="s">
        <v>434</v>
      </c>
      <c r="S142" s="103">
        <f>if(M142,if(and(hour(M142+S$7)&gt;9.5,(hour(M142+S$7)&lt;19.5)),M142+S$7,_xlfn.workday.intl(int(M142),1,"0000001",Holidays!A:A)+hour(M142+S$7-$B$1)/24+minute(M142)/1440),"")</f>
        <v>46121.70963</v>
      </c>
      <c r="T142" s="104">
        <v>46121.64495630787</v>
      </c>
      <c r="U142" s="105" t="s">
        <v>14</v>
      </c>
      <c r="V142" s="109">
        <f t="shared" si="2"/>
        <v>0</v>
      </c>
      <c r="W142" s="110" t="str">
        <f t="shared" si="3"/>
        <v>EMP5009 Rup Kumar Mandal</v>
      </c>
      <c r="X142" s="103">
        <f>if(S142,if(and(hour(S142+X$7)&gt;9.5,(hour(S142+X$7)&lt;19.5)),S142+X$7,_xlfn.workday.intl(int(S142),1,"0000001",Holidays!A:A)+hour(S142+X$7-$B$1)/24+minute(S142)/1440),"")</f>
        <v>46121.8138</v>
      </c>
      <c r="Y142" s="104">
        <v>46121.64502414352</v>
      </c>
      <c r="Z142" s="105" t="s">
        <v>14</v>
      </c>
      <c r="AA142" s="111">
        <f t="shared" si="4"/>
        <v>0</v>
      </c>
      <c r="AB142" s="110" t="str">
        <f t="shared" si="5"/>
        <v>EMP5009 Rup Kumar Mandal</v>
      </c>
      <c r="AC142" s="103">
        <f>if(X142,_xlfn.WORKDAY.INTL(X142,AC$7,"0000001",Holidays!A:A)+hour(X142)/24+MINUTE(X142)/1440,"")</f>
        <v>46122.81319</v>
      </c>
      <c r="AD142" s="104">
        <v>46121.75022771991</v>
      </c>
      <c r="AE142" s="105" t="s">
        <v>14</v>
      </c>
      <c r="AF142" s="111">
        <f t="shared" si="6"/>
        <v>0</v>
      </c>
      <c r="AG142" s="110" t="str">
        <f t="shared" si="7"/>
        <v>EMP5009 Rup Kumar Mandal</v>
      </c>
      <c r="AH142" s="103">
        <f>if(AC142,if(and(hour(AC142+AH$7)&gt;9.5,(hour(AC142+AH$7)&lt;19.5)),AC142+AH$7,_xlfn.workday.intl(int(AC142),1,"0000001",Holidays!A:A)+hour(AC142+AH$7-$B$1)/24+minute(AC142)/1440),"")</f>
        <v>46123.43819</v>
      </c>
      <c r="AI142" s="104">
        <v>46121.75032210648</v>
      </c>
      <c r="AJ142" s="105" t="s">
        <v>14</v>
      </c>
      <c r="AK142" s="111">
        <f t="shared" si="8"/>
        <v>0</v>
      </c>
      <c r="AL142" s="112" t="str">
        <f t="shared" si="9"/>
        <v>EMP5009 Rup Kumar Mandal</v>
      </c>
      <c r="AM142" s="113"/>
      <c r="AN142" s="114" t="s">
        <v>672</v>
      </c>
      <c r="AO142" s="115"/>
      <c r="AP142" s="115"/>
      <c r="AQ142" s="115"/>
      <c r="AR142" s="115"/>
      <c r="AS142" s="115"/>
      <c r="AT142" s="115"/>
      <c r="AU142" s="115"/>
      <c r="AV142" s="115"/>
      <c r="AW142" s="115"/>
      <c r="AX142" s="115"/>
      <c r="AY142" s="115"/>
    </row>
    <row r="143">
      <c r="A143" s="95">
        <f t="shared" si="11"/>
        <v>5094</v>
      </c>
      <c r="B143" s="96">
        <v>46121.57060734954</v>
      </c>
      <c r="C143" s="97" t="s">
        <v>686</v>
      </c>
      <c r="D143" s="97" t="s">
        <v>357</v>
      </c>
      <c r="E143" s="98" t="s">
        <v>926</v>
      </c>
      <c r="F143" s="97"/>
      <c r="G143" s="97" t="s">
        <v>928</v>
      </c>
      <c r="H143" s="99" t="s">
        <v>138</v>
      </c>
      <c r="I143" s="100" t="s">
        <v>64</v>
      </c>
      <c r="J143" s="101" t="s">
        <v>356</v>
      </c>
      <c r="K143" s="100"/>
      <c r="L143" s="102" t="s">
        <v>929</v>
      </c>
      <c r="M143" s="103">
        <f>if(B143,if(and(hour(B143+M$7)&gt;9.5,(hour(B143+M$7)&lt;19.5)),B143+M$7,_xlfn.workday.intl(int(B143),1,"0000001",Holidays!A:A)+hour(B143+M$7-$B$1)/24+minute(B143)/1440),"")</f>
        <v>46121.73727</v>
      </c>
      <c r="N143" s="104">
        <v>46121.644405196756</v>
      </c>
      <c r="O143" s="105" t="s">
        <v>14</v>
      </c>
      <c r="P143" s="106">
        <f t="shared" si="1"/>
        <v>0</v>
      </c>
      <c r="Q143" s="107" t="s">
        <v>48</v>
      </c>
      <c r="R143" s="108" t="s">
        <v>434</v>
      </c>
      <c r="S143" s="103">
        <f>if(M143,if(and(hour(M143+S$7)&gt;9.5,(hour(M143+S$7)&lt;19.5)),M143+S$7,_xlfn.workday.intl(int(M143),1,"0000001",Holidays!A:A)+hour(M143+S$7-$B$1)/24+minute(M143)/1440),"")</f>
        <v>46121.74422</v>
      </c>
      <c r="T143" s="104">
        <v>46121.6449702199</v>
      </c>
      <c r="U143" s="105" t="s">
        <v>14</v>
      </c>
      <c r="V143" s="109">
        <f t="shared" si="2"/>
        <v>0</v>
      </c>
      <c r="W143" s="110" t="str">
        <f t="shared" si="3"/>
        <v>EMP0237 Swarnendu Chakraborty</v>
      </c>
      <c r="X143" s="103">
        <f>if(S143,if(and(hour(S143+X$7)&gt;9.5,(hour(S143+X$7)&lt;19.5)),S143+X$7,_xlfn.workday.intl(int(S143),1,"0000001",Holidays!A:A)+hour(S143+X$7-$B$1)/24+minute(S143)/1440),"")</f>
        <v>46122.45208</v>
      </c>
      <c r="Y143" s="104">
        <v>46121.64502414352</v>
      </c>
      <c r="Z143" s="105" t="s">
        <v>14</v>
      </c>
      <c r="AA143" s="111">
        <f t="shared" si="4"/>
        <v>0</v>
      </c>
      <c r="AB143" s="110" t="str">
        <f t="shared" si="5"/>
        <v>EMP0237 Swarnendu Chakraborty</v>
      </c>
      <c r="AC143" s="103">
        <f>if(X143,_xlfn.WORKDAY.INTL(X143,AC$7,"0000001",Holidays!A:A)+hour(X143)/24+MINUTE(X143)/1440,"")</f>
        <v>46123.45208</v>
      </c>
      <c r="AD143" s="104">
        <v>46122.45930479167</v>
      </c>
      <c r="AE143" s="105" t="s">
        <v>14</v>
      </c>
      <c r="AF143" s="111">
        <f t="shared" si="6"/>
        <v>0</v>
      </c>
      <c r="AG143" s="110" t="str">
        <f t="shared" si="7"/>
        <v>EMP0237 Swarnendu Chakraborty</v>
      </c>
      <c r="AH143" s="103">
        <f>if(AC143,if(and(hour(AC143+AH$7)&gt;9.5,(hour(AC143+AH$7)&lt;19.5)),AC143+AH$7,_xlfn.workday.intl(int(AC143),1,"0000001",Holidays!A:A)+hour(AC143+AH$7-$B$1)/24+minute(AC143)/1440),"")</f>
        <v>46123.49375</v>
      </c>
      <c r="AI143" s="104">
        <v>46122.45932672454</v>
      </c>
      <c r="AJ143" s="105" t="s">
        <v>14</v>
      </c>
      <c r="AK143" s="111">
        <f t="shared" si="8"/>
        <v>0</v>
      </c>
      <c r="AL143" s="112" t="str">
        <f t="shared" si="9"/>
        <v>EMP0237 Swarnendu Chakraborty</v>
      </c>
      <c r="AM143" s="113"/>
      <c r="AN143" s="114" t="s">
        <v>672</v>
      </c>
      <c r="AO143" s="115"/>
      <c r="AP143" s="115"/>
      <c r="AQ143" s="115"/>
      <c r="AR143" s="115"/>
      <c r="AS143" s="115"/>
      <c r="AT143" s="115"/>
      <c r="AU143" s="115"/>
      <c r="AV143" s="115"/>
      <c r="AW143" s="115"/>
      <c r="AX143" s="115"/>
      <c r="AY143" s="115"/>
    </row>
    <row r="144">
      <c r="A144" s="95">
        <f t="shared" si="11"/>
        <v>5095</v>
      </c>
      <c r="B144" s="96">
        <v>46121.64494961806</v>
      </c>
      <c r="C144" s="97" t="s">
        <v>689</v>
      </c>
      <c r="D144" s="97" t="s">
        <v>933</v>
      </c>
      <c r="E144" s="98" t="s">
        <v>934</v>
      </c>
      <c r="F144" s="98" t="s">
        <v>939</v>
      </c>
      <c r="G144" s="97" t="s">
        <v>937</v>
      </c>
      <c r="H144" s="99" t="s">
        <v>62</v>
      </c>
      <c r="I144" s="100" t="s">
        <v>64</v>
      </c>
      <c r="J144" s="101" t="s">
        <v>932</v>
      </c>
      <c r="K144" s="100"/>
      <c r="L144" s="102" t="s">
        <v>938</v>
      </c>
      <c r="M144" s="103">
        <f>if(B144,if(and(hour(B144+M$7)&gt;9.5,(hour(B144+M$7)&lt;19.5)),B144+M$7,_xlfn.workday.intl(int(B144),1,"0000001",Holidays!A:A)+hour(B144+M$7-$B$1)/24+minute(B144)/1440),"")</f>
        <v>46121.81162</v>
      </c>
      <c r="N144" s="104">
        <v>46121.64512804398</v>
      </c>
      <c r="O144" s="105" t="s">
        <v>14</v>
      </c>
      <c r="P144" s="106">
        <f t="shared" si="1"/>
        <v>0</v>
      </c>
      <c r="Q144" s="107" t="s">
        <v>72</v>
      </c>
      <c r="R144" s="108" t="s">
        <v>434</v>
      </c>
      <c r="S144" s="103">
        <f>if(M144,if(and(hour(M144+S$7)&gt;9.5,(hour(M144+S$7)&lt;19.5)),M144+S$7,_xlfn.workday.intl(int(M144),1,"0000001",Holidays!A:A)+hour(M144+S$7-$B$1)/24+minute(M144)/1440),"")</f>
        <v>46121.81856</v>
      </c>
      <c r="T144" s="104">
        <v>46121.64517934028</v>
      </c>
      <c r="U144" s="105" t="s">
        <v>14</v>
      </c>
      <c r="V144" s="109">
        <f t="shared" si="2"/>
        <v>0</v>
      </c>
      <c r="W144" s="110" t="str">
        <f t="shared" si="3"/>
        <v>EMP5009 Rup Kumar Mandal</v>
      </c>
      <c r="X144" s="103">
        <f>if(S144,if(and(hour(S144+X$7)&gt;9.5,(hour(S144+X$7)&lt;19.5)),S144+X$7,_xlfn.workday.intl(int(S144),1,"0000001",Holidays!A:A)+hour(S144+X$7-$B$1)/24+minute(S144)/1440),"")</f>
        <v>46122.52639</v>
      </c>
      <c r="Y144" s="104">
        <v>46121.64520241898</v>
      </c>
      <c r="Z144" s="105" t="s">
        <v>14</v>
      </c>
      <c r="AA144" s="111">
        <f t="shared" si="4"/>
        <v>0</v>
      </c>
      <c r="AB144" s="110" t="str">
        <f t="shared" si="5"/>
        <v>EMP5009 Rup Kumar Mandal</v>
      </c>
      <c r="AC144" s="103">
        <f>if(X144,_xlfn.WORKDAY.INTL(X144,AC$7,"0000001",Holidays!A:A)+hour(X144)/24+MINUTE(X144)/1440,"")</f>
        <v>46123.52639</v>
      </c>
      <c r="AD144" s="104">
        <v>46121.75025923611</v>
      </c>
      <c r="AE144" s="105" t="s">
        <v>14</v>
      </c>
      <c r="AF144" s="111">
        <f t="shared" si="6"/>
        <v>0</v>
      </c>
      <c r="AG144" s="110" t="str">
        <f t="shared" si="7"/>
        <v>EMP5009 Rup Kumar Mandal</v>
      </c>
      <c r="AH144" s="103">
        <f>if(AC144,if(and(hour(AC144+AH$7)&gt;9.5,(hour(AC144+AH$7)&lt;19.5)),AC144+AH$7,_xlfn.workday.intl(int(AC144),1,"0000001",Holidays!A:A)+hour(AC144+AH$7-$B$1)/24+minute(AC144)/1440),"")</f>
        <v>46123.56806</v>
      </c>
      <c r="AI144" s="104">
        <v>46122.799425798614</v>
      </c>
      <c r="AJ144" s="105" t="s">
        <v>14</v>
      </c>
      <c r="AK144" s="111">
        <f t="shared" si="8"/>
        <v>0</v>
      </c>
      <c r="AL144" s="112" t="str">
        <f t="shared" si="9"/>
        <v>EMP5009 Rup Kumar Mandal</v>
      </c>
      <c r="AM144" s="113"/>
      <c r="AN144" s="114" t="s">
        <v>672</v>
      </c>
      <c r="AO144" s="115"/>
      <c r="AP144" s="115"/>
      <c r="AQ144" s="115"/>
      <c r="AR144" s="115"/>
      <c r="AS144" s="115"/>
      <c r="AT144" s="115"/>
      <c r="AU144" s="115"/>
      <c r="AV144" s="115"/>
      <c r="AW144" s="115"/>
      <c r="AX144" s="115"/>
      <c r="AY144" s="115"/>
    </row>
    <row r="145">
      <c r="A145" s="95">
        <f t="shared" si="11"/>
        <v>5096</v>
      </c>
      <c r="B145" s="96">
        <v>46121.64940755787</v>
      </c>
      <c r="C145" s="97" t="s">
        <v>694</v>
      </c>
      <c r="D145" s="97" t="s">
        <v>186</v>
      </c>
      <c r="E145" s="98" t="s">
        <v>943</v>
      </c>
      <c r="F145" s="97"/>
      <c r="G145" s="97" t="s">
        <v>945</v>
      </c>
      <c r="H145" s="99" t="s">
        <v>147</v>
      </c>
      <c r="I145" s="100" t="s">
        <v>64</v>
      </c>
      <c r="J145" s="101" t="s">
        <v>303</v>
      </c>
      <c r="K145" s="100"/>
      <c r="L145" s="102" t="s">
        <v>946</v>
      </c>
      <c r="M145" s="103">
        <f>if(B145,if(and(hour(B145+M$7)&gt;9.5,(hour(B145+M$7)&lt;19.5)),B145+M$7,_xlfn.workday.intl(int(B145),1,"0000001",Holidays!A:A)+hour(B145+M$7-$B$1)/24+minute(B145)/1440),"")</f>
        <v>46121.81607</v>
      </c>
      <c r="N145" s="104">
        <v>46121.69097325232</v>
      </c>
      <c r="O145" s="105" t="s">
        <v>14</v>
      </c>
      <c r="P145" s="106">
        <f t="shared" si="1"/>
        <v>0</v>
      </c>
      <c r="Q145" s="107" t="s">
        <v>15</v>
      </c>
      <c r="R145" s="108" t="s">
        <v>434</v>
      </c>
      <c r="S145" s="103">
        <f>if(M145,if(and(hour(M145+S$7)&gt;9.5,(hour(M145+S$7)&lt;19.5)),M145+S$7,_xlfn.workday.intl(int(M145),1,"0000001",Holidays!A:A)+hour(M145+S$7-$B$1)/24+minute(M145)/1440),"")</f>
        <v>46121.82302</v>
      </c>
      <c r="T145" s="104">
        <v>46121.69119640046</v>
      </c>
      <c r="U145" s="105" t="s">
        <v>14</v>
      </c>
      <c r="V145" s="109">
        <f t="shared" si="2"/>
        <v>0</v>
      </c>
      <c r="W145" s="110" t="str">
        <f t="shared" si="3"/>
        <v>EMP0042 HULESHWAR KUMAR SAHU</v>
      </c>
      <c r="X145" s="103">
        <f>if(S145,if(and(hour(S145+X$7)&gt;9.5,(hour(S145+X$7)&lt;19.5)),S145+X$7,_xlfn.workday.intl(int(S145),1,"0000001",Holidays!A:A)+hour(S145+X$7-$B$1)/24+minute(S145)/1440),"")</f>
        <v>46122.53125</v>
      </c>
      <c r="Y145" s="104">
        <v>46121.693085590276</v>
      </c>
      <c r="Z145" s="105" t="s">
        <v>14</v>
      </c>
      <c r="AA145" s="111">
        <f t="shared" si="4"/>
        <v>0</v>
      </c>
      <c r="AB145" s="110" t="str">
        <f t="shared" si="5"/>
        <v>EMP0042 HULESHWAR KUMAR SAHU</v>
      </c>
      <c r="AC145" s="103">
        <f>if(X145,_xlfn.WORKDAY.INTL(X145,AC$7,"0000001",Holidays!A:A)+hour(X145)/24+MINUTE(X145)/1440,"")</f>
        <v>46123.53125</v>
      </c>
      <c r="AD145" s="104">
        <v>46121.76062444445</v>
      </c>
      <c r="AE145" s="105" t="s">
        <v>14</v>
      </c>
      <c r="AF145" s="111">
        <f t="shared" si="6"/>
        <v>0</v>
      </c>
      <c r="AG145" s="110" t="str">
        <f t="shared" si="7"/>
        <v>EMP0042 HULESHWAR KUMAR SAHU</v>
      </c>
      <c r="AH145" s="103">
        <f>if(AC145,if(and(hour(AC145+AH$7)&gt;9.5,(hour(AC145+AH$7)&lt;19.5)),AC145+AH$7,_xlfn.workday.intl(int(AC145),1,"0000001",Holidays!A:A)+hour(AC145+AH$7-$B$1)/24+minute(AC145)/1440),"")</f>
        <v>46123.57292</v>
      </c>
      <c r="AI145" s="104">
        <v>46121.76073032407</v>
      </c>
      <c r="AJ145" s="105" t="s">
        <v>14</v>
      </c>
      <c r="AK145" s="111">
        <f t="shared" si="8"/>
        <v>0</v>
      </c>
      <c r="AL145" s="112" t="str">
        <f t="shared" si="9"/>
        <v>EMP0042 HULESHWAR KUMAR SAHU</v>
      </c>
      <c r="AM145" s="113"/>
      <c r="AN145" s="114" t="s">
        <v>672</v>
      </c>
      <c r="AO145" s="115"/>
      <c r="AP145" s="115"/>
      <c r="AQ145" s="115"/>
      <c r="AR145" s="115"/>
      <c r="AS145" s="115"/>
      <c r="AT145" s="115"/>
      <c r="AU145" s="115"/>
      <c r="AV145" s="115"/>
      <c r="AW145" s="115"/>
      <c r="AX145" s="115"/>
      <c r="AY145" s="115"/>
    </row>
    <row r="146">
      <c r="A146" s="95">
        <f t="shared" si="11"/>
        <v>5097</v>
      </c>
      <c r="B146" s="96">
        <v>46122.57690050926</v>
      </c>
      <c r="C146" s="97" t="s">
        <v>699</v>
      </c>
      <c r="D146" s="97" t="s">
        <v>264</v>
      </c>
      <c r="E146" s="98" t="s">
        <v>949</v>
      </c>
      <c r="F146" s="98" t="s">
        <v>953</v>
      </c>
      <c r="G146" s="97" t="s">
        <v>952</v>
      </c>
      <c r="H146" s="99" t="s">
        <v>62</v>
      </c>
      <c r="I146" s="100" t="s">
        <v>64</v>
      </c>
      <c r="J146" s="101" t="s">
        <v>263</v>
      </c>
      <c r="K146" s="100"/>
      <c r="L146" s="102" t="s">
        <v>699</v>
      </c>
      <c r="M146" s="103">
        <f>if(B146,if(and(hour(B146+M$7)&gt;9.5,(hour(B146+M$7)&lt;19.5)),B146+M$7,_xlfn.workday.intl(int(B146),1,"0000001",Holidays!A:A)+hour(B146+M$7-$B$1)/24+minute(B146)/1440),"")</f>
        <v>46122.74357</v>
      </c>
      <c r="N146" s="104">
        <v>46122.607656099535</v>
      </c>
      <c r="O146" s="105" t="s">
        <v>14</v>
      </c>
      <c r="P146" s="106">
        <f t="shared" si="1"/>
        <v>0</v>
      </c>
      <c r="Q146" s="107" t="s">
        <v>61</v>
      </c>
      <c r="R146" s="108" t="s">
        <v>434</v>
      </c>
      <c r="S146" s="103">
        <f>if(M146,if(and(hour(M146+S$7)&gt;9.5,(hour(M146+S$7)&lt;19.5)),M146+S$7,_xlfn.workday.intl(int(M146),1,"0000001",Holidays!A:A)+hour(M146+S$7-$B$1)/24+minute(M146)/1440),"")</f>
        <v>46122.75051</v>
      </c>
      <c r="T146" s="104">
        <v>46122.607939560185</v>
      </c>
      <c r="U146" s="105" t="s">
        <v>14</v>
      </c>
      <c r="V146" s="109">
        <f t="shared" si="2"/>
        <v>0</v>
      </c>
      <c r="W146" s="110" t="str">
        <f t="shared" si="3"/>
        <v>EMP0021 Tamanna Dewangan</v>
      </c>
      <c r="X146" s="103">
        <f>if(S146,if(and(hour(S146+X$7)&gt;9.5,(hour(S146+X$7)&lt;19.5)),S146+X$7,_xlfn.workday.intl(int(S146),1,"0000001",Holidays!A:A)+hour(S146+X$7-$B$1)/24+minute(S146)/1440),"")</f>
        <v>46123.41667</v>
      </c>
      <c r="Y146" s="104">
        <v>46122.63407425926</v>
      </c>
      <c r="Z146" s="105" t="s">
        <v>14</v>
      </c>
      <c r="AA146" s="111">
        <f t="shared" si="4"/>
        <v>0</v>
      </c>
      <c r="AB146" s="110" t="str">
        <f t="shared" si="5"/>
        <v>EMP0021 Tamanna Dewangan</v>
      </c>
      <c r="AC146" s="103">
        <f>if(X146,_xlfn.WORKDAY.INTL(X146,AC$7,"0000001",Holidays!A:A)+hour(X146)/24+MINUTE(X146)/1440,"")</f>
        <v>46125.41667</v>
      </c>
      <c r="AD146" s="104">
        <v>46122.63435670139</v>
      </c>
      <c r="AE146" s="105" t="s">
        <v>14</v>
      </c>
      <c r="AF146" s="111">
        <f t="shared" si="6"/>
        <v>0</v>
      </c>
      <c r="AG146" s="110" t="str">
        <f t="shared" si="7"/>
        <v>EMP0021 Tamanna Dewangan</v>
      </c>
      <c r="AH146" s="103">
        <f>if(AC146,if(and(hour(AC146+AH$7)&gt;9.5,(hour(AC146+AH$7)&lt;19.5)),AC146+AH$7,_xlfn.workday.intl(int(AC146),1,"0000001",Holidays!A:A)+hour(AC146+AH$7-$B$1)/24+minute(AC146)/1440),"")</f>
        <v>46125.45833</v>
      </c>
      <c r="AI146" s="104">
        <v>46122.63443258102</v>
      </c>
      <c r="AJ146" s="105" t="s">
        <v>14</v>
      </c>
      <c r="AK146" s="111">
        <f t="shared" si="8"/>
        <v>0</v>
      </c>
      <c r="AL146" s="112" t="str">
        <f t="shared" si="9"/>
        <v>EMP0021 Tamanna Dewangan</v>
      </c>
      <c r="AM146" s="113"/>
      <c r="AN146" s="114" t="s">
        <v>672</v>
      </c>
      <c r="AO146" s="115"/>
      <c r="AP146" s="115"/>
      <c r="AQ146" s="115"/>
      <c r="AR146" s="115"/>
      <c r="AS146" s="115"/>
      <c r="AT146" s="115"/>
      <c r="AU146" s="115"/>
      <c r="AV146" s="115"/>
      <c r="AW146" s="115"/>
      <c r="AX146" s="115"/>
      <c r="AY146" s="115"/>
    </row>
    <row r="147">
      <c r="A147" s="95">
        <f t="shared" si="11"/>
        <v>5098</v>
      </c>
      <c r="B147" s="96">
        <v>46125.69392618055</v>
      </c>
      <c r="C147" s="97" t="s">
        <v>705</v>
      </c>
      <c r="D147" s="97" t="s">
        <v>186</v>
      </c>
      <c r="E147" s="98" t="s">
        <v>956</v>
      </c>
      <c r="F147" s="97"/>
      <c r="G147" s="97" t="s">
        <v>959</v>
      </c>
      <c r="H147" s="99" t="s">
        <v>147</v>
      </c>
      <c r="I147" s="100" t="s">
        <v>64</v>
      </c>
      <c r="J147" s="101" t="s">
        <v>303</v>
      </c>
      <c r="K147" s="100"/>
      <c r="L147" s="102" t="s">
        <v>960</v>
      </c>
      <c r="M147" s="103">
        <f>if(B147,if(and(hour(B147+M$7)&gt;9.5,(hour(B147+M$7)&lt;19.5)),B147+M$7,_xlfn.workday.intl(int(B147),1,"0000001",Holidays!A:A)+hour(B147+M$7-$B$1)/24+minute(B147)/1440),"")</f>
        <v>46126.44375</v>
      </c>
      <c r="N147" s="104">
        <v>46125.71877013889</v>
      </c>
      <c r="O147" s="105" t="s">
        <v>14</v>
      </c>
      <c r="P147" s="106">
        <f t="shared" si="1"/>
        <v>0</v>
      </c>
      <c r="Q147" s="107" t="s">
        <v>15</v>
      </c>
      <c r="R147" s="108" t="s">
        <v>434</v>
      </c>
      <c r="S147" s="103">
        <f>if(M147,if(and(hour(M147+S$7)&gt;9.5,(hour(M147+S$7)&lt;19.5)),M147+S$7,_xlfn.workday.intl(int(M147),1,"0000001",Holidays!A:A)+hour(M147+S$7-$B$1)/24+minute(M147)/1440),"")</f>
        <v>46126.45069</v>
      </c>
      <c r="T147" s="104">
        <v>46125.7189721412</v>
      </c>
      <c r="U147" s="105" t="s">
        <v>14</v>
      </c>
      <c r="V147" s="109">
        <f t="shared" si="2"/>
        <v>0</v>
      </c>
      <c r="W147" s="110" t="str">
        <f t="shared" si="3"/>
        <v>EMP0042 HULESHWAR KUMAR SAHU</v>
      </c>
      <c r="X147" s="103">
        <f>if(S147,if(and(hour(S147+X$7)&gt;9.5,(hour(S147+X$7)&lt;19.5)),S147+X$7,_xlfn.workday.intl(int(S147),1,"0000001",Holidays!A:A)+hour(S147+X$7-$B$1)/24+minute(S147)/1440),"")</f>
        <v>46126.55486</v>
      </c>
      <c r="Y147" s="104">
        <v>46125.71906344907</v>
      </c>
      <c r="Z147" s="105" t="s">
        <v>14</v>
      </c>
      <c r="AA147" s="111">
        <f t="shared" si="4"/>
        <v>0</v>
      </c>
      <c r="AB147" s="110" t="str">
        <f t="shared" si="5"/>
        <v>EMP0042 HULESHWAR KUMAR SAHU</v>
      </c>
      <c r="AC147" s="103">
        <f>if(X147,_xlfn.WORKDAY.INTL(X147,AC$7,"0000001",Holidays!A:A)+hour(X147)/24+MINUTE(X147)/1440,"")</f>
        <v>46127.55486</v>
      </c>
      <c r="AD147" s="104">
        <v>46125.719150324076</v>
      </c>
      <c r="AE147" s="105" t="s">
        <v>14</v>
      </c>
      <c r="AF147" s="111">
        <f t="shared" si="6"/>
        <v>0</v>
      </c>
      <c r="AG147" s="110" t="str">
        <f t="shared" si="7"/>
        <v>EMP0042 HULESHWAR KUMAR SAHU</v>
      </c>
      <c r="AH147" s="103">
        <f>if(AC147,if(and(hour(AC147+AH$7)&gt;9.5,(hour(AC147+AH$7)&lt;19.5)),AC147+AH$7,_xlfn.workday.intl(int(AC147),1,"0000001",Holidays!A:A)+hour(AC147+AH$7-$B$1)/24+minute(AC147)/1440),"")</f>
        <v>46127.59653</v>
      </c>
      <c r="AI147" s="104">
        <v>46125.73241976852</v>
      </c>
      <c r="AJ147" s="105" t="s">
        <v>14</v>
      </c>
      <c r="AK147" s="111">
        <f t="shared" si="8"/>
        <v>0</v>
      </c>
      <c r="AL147" s="112" t="str">
        <f t="shared" si="9"/>
        <v>EMP0042 HULESHWAR KUMAR SAHU</v>
      </c>
      <c r="AM147" s="113"/>
      <c r="AN147" s="114" t="s">
        <v>672</v>
      </c>
      <c r="AO147" s="115"/>
      <c r="AP147" s="115"/>
      <c r="AQ147" s="115"/>
      <c r="AR147" s="115"/>
      <c r="AS147" s="115"/>
      <c r="AT147" s="115"/>
      <c r="AU147" s="115"/>
      <c r="AV147" s="115"/>
      <c r="AW147" s="115"/>
      <c r="AX147" s="115"/>
      <c r="AY147" s="115"/>
    </row>
    <row r="148">
      <c r="A148" s="95">
        <f t="shared" si="11"/>
        <v>5099</v>
      </c>
      <c r="B148" s="96">
        <v>46125.69463059028</v>
      </c>
      <c r="C148" s="97" t="s">
        <v>523</v>
      </c>
      <c r="D148" s="97" t="s">
        <v>186</v>
      </c>
      <c r="E148" s="98" t="s">
        <v>961</v>
      </c>
      <c r="F148" s="97"/>
      <c r="G148" s="97" t="s">
        <v>714</v>
      </c>
      <c r="H148" s="99" t="s">
        <v>147</v>
      </c>
      <c r="I148" s="100" t="s">
        <v>64</v>
      </c>
      <c r="J148" s="101" t="s">
        <v>303</v>
      </c>
      <c r="K148" s="100"/>
      <c r="L148" s="102" t="s">
        <v>964</v>
      </c>
      <c r="M148" s="103">
        <f>if(B148,if(and(hour(B148+M$7)&gt;9.5,(hour(B148+M$7)&lt;19.5)),B148+M$7,_xlfn.workday.intl(int(B148),1,"0000001",Holidays!A:A)+hour(B148+M$7-$B$1)/24+minute(B148)/1440),"")</f>
        <v>46126.44444</v>
      </c>
      <c r="N148" s="104">
        <v>46125.71879505787</v>
      </c>
      <c r="O148" s="105" t="s">
        <v>14</v>
      </c>
      <c r="P148" s="106">
        <f t="shared" si="1"/>
        <v>0</v>
      </c>
      <c r="Q148" s="107" t="s">
        <v>15</v>
      </c>
      <c r="R148" s="108" t="s">
        <v>434</v>
      </c>
      <c r="S148" s="103">
        <f>if(M148,if(and(hour(M148+S$7)&gt;9.5,(hour(M148+S$7)&lt;19.5)),M148+S$7,_xlfn.workday.intl(int(M148),1,"0000001",Holidays!A:A)+hour(M148+S$7-$B$1)/24+minute(M148)/1440),"")</f>
        <v>46126.45139</v>
      </c>
      <c r="T148" s="104">
        <v>46125.71900327546</v>
      </c>
      <c r="U148" s="105" t="s">
        <v>14</v>
      </c>
      <c r="V148" s="109">
        <f t="shared" si="2"/>
        <v>0</v>
      </c>
      <c r="W148" s="110" t="str">
        <f t="shared" si="3"/>
        <v>EMP0042 HULESHWAR KUMAR SAHU</v>
      </c>
      <c r="X148" s="103">
        <f>if(S148,if(and(hour(S148+X$7)&gt;9.5,(hour(S148+X$7)&lt;19.5)),S148+X$7,_xlfn.workday.intl(int(S148),1,"0000001",Holidays!A:A)+hour(S148+X$7-$B$1)/24+minute(S148)/1440),"")</f>
        <v>46126.55556</v>
      </c>
      <c r="Y148" s="104">
        <v>46125.719084236116</v>
      </c>
      <c r="Z148" s="105" t="s">
        <v>14</v>
      </c>
      <c r="AA148" s="111">
        <f t="shared" si="4"/>
        <v>0</v>
      </c>
      <c r="AB148" s="110" t="str">
        <f t="shared" si="5"/>
        <v>EMP0042 HULESHWAR KUMAR SAHU</v>
      </c>
      <c r="AC148" s="103">
        <f>if(X148,_xlfn.WORKDAY.INTL(X148,AC$7,"0000001",Holidays!A:A)+hour(X148)/24+MINUTE(X148)/1440,"")</f>
        <v>46127.55556</v>
      </c>
      <c r="AD148" s="104">
        <v>46125.71917111111</v>
      </c>
      <c r="AE148" s="105" t="s">
        <v>14</v>
      </c>
      <c r="AF148" s="111">
        <f t="shared" si="6"/>
        <v>0</v>
      </c>
      <c r="AG148" s="110" t="str">
        <f t="shared" si="7"/>
        <v>EMP0042 HULESHWAR KUMAR SAHU</v>
      </c>
      <c r="AH148" s="103">
        <f>if(AC148,if(and(hour(AC148+AH$7)&gt;9.5,(hour(AC148+AH$7)&lt;19.5)),AC148+AH$7,_xlfn.workday.intl(int(AC148),1,"0000001",Holidays!A:A)+hour(AC148+AH$7-$B$1)/24+minute(AC148)/1440),"")</f>
        <v>46127.59722</v>
      </c>
      <c r="AI148" s="104">
        <v>46125.73243462963</v>
      </c>
      <c r="AJ148" s="105" t="s">
        <v>14</v>
      </c>
      <c r="AK148" s="111">
        <f t="shared" si="8"/>
        <v>0</v>
      </c>
      <c r="AL148" s="112" t="str">
        <f t="shared" si="9"/>
        <v>EMP0042 HULESHWAR KUMAR SAHU</v>
      </c>
      <c r="AM148" s="113"/>
      <c r="AN148" s="114" t="s">
        <v>672</v>
      </c>
      <c r="AO148" s="115"/>
      <c r="AP148" s="115"/>
      <c r="AQ148" s="115"/>
      <c r="AR148" s="115"/>
      <c r="AS148" s="115"/>
      <c r="AT148" s="115"/>
      <c r="AU148" s="115"/>
      <c r="AV148" s="115"/>
      <c r="AW148" s="115"/>
      <c r="AX148" s="115"/>
      <c r="AY148" s="115"/>
    </row>
    <row r="149">
      <c r="A149" s="95">
        <f t="shared" si="11"/>
        <v>5100</v>
      </c>
      <c r="B149" s="96">
        <v>46126.68532871528</v>
      </c>
      <c r="C149" s="97" t="s">
        <v>713</v>
      </c>
      <c r="D149" s="97" t="s">
        <v>225</v>
      </c>
      <c r="E149" s="98" t="s">
        <v>965</v>
      </c>
      <c r="F149" s="97"/>
      <c r="G149" s="97" t="s">
        <v>967</v>
      </c>
      <c r="H149" s="99" t="s">
        <v>138</v>
      </c>
      <c r="I149" s="100" t="s">
        <v>64</v>
      </c>
      <c r="J149" s="101" t="s">
        <v>223</v>
      </c>
      <c r="K149" s="100"/>
      <c r="L149" s="102" t="s">
        <v>968</v>
      </c>
      <c r="M149" s="103">
        <f>if(B149,if(and(hour(B149+M$7)&gt;9.5,(hour(B149+M$7)&lt;19.5)),B149+M$7,_xlfn.workday.intl(int(B149),1,"0000001",Holidays!A:A)+hour(B149+M$7-$B$1)/24+minute(B149)/1440),"")</f>
        <v>46127.43472</v>
      </c>
      <c r="N149" s="104">
        <v>46126.78085811343</v>
      </c>
      <c r="O149" s="105" t="s">
        <v>14</v>
      </c>
      <c r="P149" s="106">
        <f t="shared" si="1"/>
        <v>0</v>
      </c>
      <c r="Q149" s="107" t="s">
        <v>15</v>
      </c>
      <c r="R149" s="108" t="s">
        <v>434</v>
      </c>
      <c r="S149" s="103">
        <f>if(M149,if(and(hour(M149+S$7)&gt;9.5,(hour(M149+S$7)&lt;19.5)),M149+S$7,_xlfn.workday.intl(int(M149),1,"0000001",Holidays!A:A)+hour(M149+S$7-$B$1)/24+minute(M149)/1440),"")</f>
        <v>46127.44167</v>
      </c>
      <c r="T149" s="104">
        <v>46126.78159628472</v>
      </c>
      <c r="U149" s="105" t="s">
        <v>14</v>
      </c>
      <c r="V149" s="109">
        <f t="shared" si="2"/>
        <v>0</v>
      </c>
      <c r="W149" s="110" t="str">
        <f t="shared" si="3"/>
        <v>EMP0042 HULESHWAR KUMAR SAHU</v>
      </c>
      <c r="X149" s="103">
        <f>if(S149,if(and(hour(S149+X$7)&gt;9.5,(hour(S149+X$7)&lt;19.5)),S149+X$7,_xlfn.workday.intl(int(S149),1,"0000001",Holidays!A:A)+hour(S149+X$7-$B$1)/24+minute(S149)/1440),"")</f>
        <v>46127.54583</v>
      </c>
      <c r="Y149" s="104">
        <v>46126.78162519676</v>
      </c>
      <c r="Z149" s="105" t="s">
        <v>14</v>
      </c>
      <c r="AA149" s="111">
        <f t="shared" si="4"/>
        <v>0</v>
      </c>
      <c r="AB149" s="110" t="str">
        <f t="shared" si="5"/>
        <v>EMP0042 HULESHWAR KUMAR SAHU</v>
      </c>
      <c r="AC149" s="103">
        <f>if(X149,_xlfn.WORKDAY.INTL(X149,AC$7,"0000001",Holidays!A:A)+hour(X149)/24+MINUTE(X149)/1440,"")</f>
        <v>46128.54583</v>
      </c>
      <c r="AD149" s="104">
        <v>46126.782824560185</v>
      </c>
      <c r="AE149" s="105" t="s">
        <v>14</v>
      </c>
      <c r="AF149" s="111">
        <f t="shared" si="6"/>
        <v>0</v>
      </c>
      <c r="AG149" s="110" t="str">
        <f t="shared" si="7"/>
        <v>EMP0042 HULESHWAR KUMAR SAHU</v>
      </c>
      <c r="AH149" s="103">
        <f>if(AC149,if(and(hour(AC149+AH$7)&gt;9.5,(hour(AC149+AH$7)&lt;19.5)),AC149+AH$7,_xlfn.workday.intl(int(AC149),1,"0000001",Holidays!A:A)+hour(AC149+AH$7-$B$1)/24+minute(AC149)/1440),"")</f>
        <v>46128.5875</v>
      </c>
      <c r="AI149" s="104">
        <v>46127.428070486116</v>
      </c>
      <c r="AJ149" s="105" t="s">
        <v>14</v>
      </c>
      <c r="AK149" s="111">
        <f t="shared" si="8"/>
        <v>0</v>
      </c>
      <c r="AL149" s="112" t="str">
        <f t="shared" si="9"/>
        <v>EMP0042 HULESHWAR KUMAR SAHU</v>
      </c>
      <c r="AM149" s="113"/>
      <c r="AN149" s="114" t="s">
        <v>672</v>
      </c>
      <c r="AO149" s="115"/>
      <c r="AP149" s="115"/>
      <c r="AQ149" s="115"/>
      <c r="AR149" s="115"/>
      <c r="AS149" s="115"/>
      <c r="AT149" s="115"/>
      <c r="AU149" s="115"/>
      <c r="AV149" s="115"/>
      <c r="AW149" s="115"/>
      <c r="AX149" s="115"/>
      <c r="AY149" s="115"/>
    </row>
    <row r="150">
      <c r="A150" s="95">
        <f t="shared" si="11"/>
        <v>5101</v>
      </c>
      <c r="B150" s="96">
        <v>46127.562220625</v>
      </c>
      <c r="C150" s="97" t="s">
        <v>718</v>
      </c>
      <c r="D150" s="97" t="s">
        <v>264</v>
      </c>
      <c r="E150" s="98" t="s">
        <v>971</v>
      </c>
      <c r="F150" s="97"/>
      <c r="G150" s="97" t="s">
        <v>973</v>
      </c>
      <c r="H150" s="99" t="s">
        <v>126</v>
      </c>
      <c r="I150" s="100" t="s">
        <v>64</v>
      </c>
      <c r="J150" s="101" t="s">
        <v>263</v>
      </c>
      <c r="K150" s="100"/>
      <c r="L150" s="102" t="s">
        <v>718</v>
      </c>
      <c r="M150" s="103">
        <f>if(B150,if(and(hour(B150+M$7)&gt;9.5,(hour(B150+M$7)&lt;19.5)),B150+M$7,_xlfn.workday.intl(int(B150),1,"0000001",Holidays!A:A)+hour(B150+M$7-$B$1)/24+minute(B150)/1440),"")</f>
        <v>46127.72889</v>
      </c>
      <c r="N150" s="104">
        <v>46127.61640590278</v>
      </c>
      <c r="O150" s="105" t="s">
        <v>14</v>
      </c>
      <c r="P150" s="106">
        <f t="shared" si="1"/>
        <v>0</v>
      </c>
      <c r="Q150" s="107" t="s">
        <v>61</v>
      </c>
      <c r="R150" s="108" t="s">
        <v>434</v>
      </c>
      <c r="S150" s="103">
        <f>if(M150,if(and(hour(M150+S$7)&gt;9.5,(hour(M150+S$7)&lt;19.5)),M150+S$7,_xlfn.workday.intl(int(M150),1,"0000001",Holidays!A:A)+hour(M150+S$7-$B$1)/24+minute(M150)/1440),"")</f>
        <v>46127.73583</v>
      </c>
      <c r="T150" s="104">
        <v>46127.61650909722</v>
      </c>
      <c r="U150" s="105" t="s">
        <v>14</v>
      </c>
      <c r="V150" s="109">
        <f t="shared" si="2"/>
        <v>0</v>
      </c>
      <c r="W150" s="110" t="str">
        <f t="shared" si="3"/>
        <v>EMP0021 Tamanna Dewangan</v>
      </c>
      <c r="X150" s="103">
        <f>if(S150,if(and(hour(S150+X$7)&gt;9.5,(hour(S150+X$7)&lt;19.5)),S150+X$7,_xlfn.workday.intl(int(S150),1,"0000001",Holidays!A:A)+hour(S150+X$7-$B$1)/24+minute(S150)/1440),"")</f>
        <v>46128.44375</v>
      </c>
      <c r="Y150" s="104">
        <v>46127.6166</v>
      </c>
      <c r="Z150" s="105" t="s">
        <v>14</v>
      </c>
      <c r="AA150" s="111">
        <f t="shared" si="4"/>
        <v>0</v>
      </c>
      <c r="AB150" s="110" t="str">
        <f t="shared" si="5"/>
        <v>EMP0021 Tamanna Dewangan</v>
      </c>
      <c r="AC150" s="103">
        <f>if(X150,_xlfn.WORKDAY.INTL(X150,AC$7,"0000001",Holidays!A:A)+hour(X150)/24+MINUTE(X150)/1440,"")</f>
        <v>46129.44375</v>
      </c>
      <c r="AD150" s="104">
        <v>46128.516485451386</v>
      </c>
      <c r="AE150" s="105" t="s">
        <v>14</v>
      </c>
      <c r="AF150" s="111">
        <f t="shared" si="6"/>
        <v>0</v>
      </c>
      <c r="AG150" s="110" t="str">
        <f t="shared" si="7"/>
        <v>EMP0021 Tamanna Dewangan</v>
      </c>
      <c r="AH150" s="103">
        <f>if(AC150,if(and(hour(AC150+AH$7)&gt;9.5,(hour(AC150+AH$7)&lt;19.5)),AC150+AH$7,_xlfn.workday.intl(int(AC150),1,"0000001",Holidays!A:A)+hour(AC150+AH$7-$B$1)/24+minute(AC150)/1440),"")</f>
        <v>46129.48542</v>
      </c>
      <c r="AI150" s="104">
        <v>46128.51652089121</v>
      </c>
      <c r="AJ150" s="105" t="s">
        <v>14</v>
      </c>
      <c r="AK150" s="111">
        <f t="shared" si="8"/>
        <v>0</v>
      </c>
      <c r="AL150" s="112" t="str">
        <f t="shared" si="9"/>
        <v>EMP0021 Tamanna Dewangan</v>
      </c>
      <c r="AM150" s="113"/>
      <c r="AN150" s="114" t="s">
        <v>672</v>
      </c>
      <c r="AO150" s="115"/>
      <c r="AP150" s="115"/>
      <c r="AQ150" s="115"/>
      <c r="AR150" s="115"/>
      <c r="AS150" s="115"/>
      <c r="AT150" s="115"/>
      <c r="AU150" s="115"/>
      <c r="AV150" s="115"/>
      <c r="AW150" s="115"/>
      <c r="AX150" s="115"/>
      <c r="AY150" s="115"/>
    </row>
    <row r="151">
      <c r="A151" s="95">
        <f t="shared" si="11"/>
        <v>5102</v>
      </c>
      <c r="B151" s="96">
        <v>46128.48420013889</v>
      </c>
      <c r="C151" s="97" t="s">
        <v>723</v>
      </c>
      <c r="D151" s="97" t="s">
        <v>215</v>
      </c>
      <c r="E151" s="98" t="s">
        <v>975</v>
      </c>
      <c r="F151" s="97"/>
      <c r="G151" s="97" t="s">
        <v>978</v>
      </c>
      <c r="H151" s="99" t="s">
        <v>147</v>
      </c>
      <c r="I151" s="100" t="s">
        <v>64</v>
      </c>
      <c r="J151" s="101" t="s">
        <v>974</v>
      </c>
      <c r="K151" s="100"/>
      <c r="L151" s="102" t="s">
        <v>979</v>
      </c>
      <c r="M151" s="103">
        <f>if(B151,if(and(hour(B151+M$7)&gt;9.5,(hour(B151+M$7)&lt;19.5)),B151+M$7,_xlfn.workday.intl(int(B151),1,"0000001",Holidays!A:A)+hour(B151+M$7-$B$1)/24+minute(B151)/1440),"")</f>
        <v>46128.65087</v>
      </c>
      <c r="N151" s="104">
        <v>46128.49355570602</v>
      </c>
      <c r="O151" s="105" t="s">
        <v>14</v>
      </c>
      <c r="P151" s="106">
        <f t="shared" si="1"/>
        <v>0</v>
      </c>
      <c r="Q151" s="107" t="s">
        <v>15</v>
      </c>
      <c r="R151" s="108" t="s">
        <v>434</v>
      </c>
      <c r="S151" s="103">
        <f>if(M151,if(and(hour(M151+S$7)&gt;9.5,(hour(M151+S$7)&lt;19.5)),M151+S$7,_xlfn.workday.intl(int(M151),1,"0000001",Holidays!A:A)+hour(M151+S$7-$B$1)/24+minute(M151)/1440),"")</f>
        <v>46128.65781</v>
      </c>
      <c r="T151" s="104">
        <v>46128.496059074074</v>
      </c>
      <c r="U151" s="105" t="s">
        <v>14</v>
      </c>
      <c r="V151" s="109">
        <f t="shared" si="2"/>
        <v>0</v>
      </c>
      <c r="W151" s="110" t="str">
        <f t="shared" si="3"/>
        <v>EMP0042 HULESHWAR KUMAR SAHU</v>
      </c>
      <c r="X151" s="103">
        <f>if(S151,if(and(hour(S151+X$7)&gt;9.5,(hour(S151+X$7)&lt;19.5)),S151+X$7,_xlfn.workday.intl(int(S151),1,"0000001",Holidays!A:A)+hour(S151+X$7-$B$1)/24+minute(S151)/1440),"")</f>
        <v>46128.76198</v>
      </c>
      <c r="Y151" s="104">
        <v>46128.516367199074</v>
      </c>
      <c r="Z151" s="105" t="s">
        <v>14</v>
      </c>
      <c r="AA151" s="111">
        <f t="shared" si="4"/>
        <v>0</v>
      </c>
      <c r="AB151" s="110" t="str">
        <f t="shared" si="5"/>
        <v>EMP0042 HULESHWAR KUMAR SAHU</v>
      </c>
      <c r="AC151" s="103">
        <f>if(X151,_xlfn.WORKDAY.INTL(X151,AC$7,"0000001",Holidays!A:A)+hour(X151)/24+MINUTE(X151)/1440,"")</f>
        <v>46129.76181</v>
      </c>
      <c r="AD151" s="104">
        <v>46129.43843134259</v>
      </c>
      <c r="AE151" s="105" t="s">
        <v>14</v>
      </c>
      <c r="AF151" s="111">
        <f t="shared" si="6"/>
        <v>0</v>
      </c>
      <c r="AG151" s="110" t="str">
        <f t="shared" si="7"/>
        <v>EMP0042 HULESHWAR KUMAR SAHU</v>
      </c>
      <c r="AH151" s="103">
        <f>if(AC151,if(and(hour(AC151+AH$7)&gt;9.5,(hour(AC151+AH$7)&lt;19.5)),AC151+AH$7,_xlfn.workday.intl(int(AC151),1,"0000001",Holidays!A:A)+hour(AC151+AH$7-$B$1)/24+minute(AC151)/1440),"")</f>
        <v>46129.80347</v>
      </c>
      <c r="AI151" s="104">
        <v>46129.43847454861</v>
      </c>
      <c r="AJ151" s="105" t="s">
        <v>14</v>
      </c>
      <c r="AK151" s="111">
        <f t="shared" si="8"/>
        <v>0</v>
      </c>
      <c r="AL151" s="112" t="str">
        <f t="shared" si="9"/>
        <v>EMP0042 HULESHWAR KUMAR SAHU</v>
      </c>
      <c r="AM151" s="113"/>
      <c r="AN151" s="114" t="s">
        <v>672</v>
      </c>
      <c r="AO151" s="115"/>
      <c r="AP151" s="115"/>
      <c r="AQ151" s="115"/>
      <c r="AR151" s="115"/>
      <c r="AS151" s="115"/>
      <c r="AT151" s="115"/>
      <c r="AU151" s="115"/>
      <c r="AV151" s="115"/>
      <c r="AW151" s="115"/>
      <c r="AX151" s="115"/>
      <c r="AY151" s="115"/>
    </row>
    <row r="152">
      <c r="A152" s="95">
        <f t="shared" si="11"/>
        <v>5103</v>
      </c>
      <c r="B152" s="96">
        <v>46128.50246351852</v>
      </c>
      <c r="C152" s="97" t="s">
        <v>986</v>
      </c>
      <c r="D152" s="97" t="s">
        <v>982</v>
      </c>
      <c r="E152" s="98" t="s">
        <v>983</v>
      </c>
      <c r="F152" s="98" t="s">
        <v>987</v>
      </c>
      <c r="G152" s="97" t="s">
        <v>985</v>
      </c>
      <c r="H152" s="99" t="s">
        <v>62</v>
      </c>
      <c r="I152" s="100" t="s">
        <v>324</v>
      </c>
      <c r="J152" s="101" t="s">
        <v>695</v>
      </c>
      <c r="K152" s="100"/>
      <c r="L152" s="102" t="s">
        <v>701</v>
      </c>
      <c r="M152" s="103">
        <f>if(B152,if(and(hour(B152+M$7)&gt;9.5,(hour(B152+M$7)&lt;19.5)),B152+M$7,_xlfn.workday.intl(int(B152),1,"0000001",Holidays!A:A)+hour(B152+M$7-$B$1)/24+minute(B152)/1440),"")</f>
        <v>46128.66913</v>
      </c>
      <c r="N152" s="104">
        <v>46128.51624702546</v>
      </c>
      <c r="O152" s="105" t="s">
        <v>14</v>
      </c>
      <c r="P152" s="106">
        <f t="shared" si="1"/>
        <v>0</v>
      </c>
      <c r="Q152" s="107" t="s">
        <v>15</v>
      </c>
      <c r="R152" s="108" t="s">
        <v>434</v>
      </c>
      <c r="S152" s="103">
        <f>if(M152,if(and(hour(M152+S$7)&gt;9.5,(hour(M152+S$7)&lt;19.5)),M152+S$7,_xlfn.workday.intl(int(M152),1,"0000001",Holidays!A:A)+hour(M152+S$7-$B$1)/24+minute(M152)/1440),"")</f>
        <v>46128.67607</v>
      </c>
      <c r="T152" s="104">
        <v>46128.51629677083</v>
      </c>
      <c r="U152" s="105" t="s">
        <v>14</v>
      </c>
      <c r="V152" s="109">
        <f t="shared" si="2"/>
        <v>0</v>
      </c>
      <c r="W152" s="110" t="str">
        <f t="shared" si="3"/>
        <v>EMP0042 HULESHWAR KUMAR SAHU</v>
      </c>
      <c r="X152" s="103">
        <f>if(S152,if(and(hour(S152+X$7)&gt;9.5,(hour(S152+X$7)&lt;19.5)),S152+X$7,_xlfn.workday.intl(int(S152),1,"0000001",Holidays!A:A)+hour(S152+X$7-$B$1)/24+minute(S152)/1440),"")</f>
        <v>46128.78024</v>
      </c>
      <c r="Y152" s="104">
        <v>46128.51634466436</v>
      </c>
      <c r="Z152" s="105" t="s">
        <v>14</v>
      </c>
      <c r="AA152" s="111">
        <f t="shared" si="4"/>
        <v>0</v>
      </c>
      <c r="AB152" s="110" t="str">
        <f t="shared" si="5"/>
        <v>EMP0042 HULESHWAR KUMAR SAHU</v>
      </c>
      <c r="AC152" s="103">
        <f>if(X152,_xlfn.WORKDAY.INTL(X152,AC$7,"0000001",Holidays!A:A)+hour(X152)/24+MINUTE(X152)/1440,"")</f>
        <v>46129.77986</v>
      </c>
      <c r="AD152" s="104">
        <v>46128.6005953125</v>
      </c>
      <c r="AE152" s="105" t="s">
        <v>14</v>
      </c>
      <c r="AF152" s="111">
        <f t="shared" si="6"/>
        <v>0</v>
      </c>
      <c r="AG152" s="110" t="str">
        <f t="shared" si="7"/>
        <v>EMP0042 HULESHWAR KUMAR SAHU</v>
      </c>
      <c r="AH152" s="103">
        <f>if(AC152,if(and(hour(AC152+AH$7)&gt;9.5,(hour(AC152+AH$7)&lt;19.5)),AC152+AH$7,_xlfn.workday.intl(int(AC152),1,"0000001",Holidays!A:A)+hour(AC152+AH$7-$B$1)/24+minute(AC152)/1440),"")</f>
        <v>46129.82153</v>
      </c>
      <c r="AI152" s="104">
        <v>46128.6007177662</v>
      </c>
      <c r="AJ152" s="105" t="s">
        <v>14</v>
      </c>
      <c r="AK152" s="111">
        <f t="shared" si="8"/>
        <v>0</v>
      </c>
      <c r="AL152" s="112" t="str">
        <f t="shared" si="9"/>
        <v>EMP0042 HULESHWAR KUMAR SAHU</v>
      </c>
      <c r="AM152" s="113"/>
      <c r="AN152" s="114" t="s">
        <v>672</v>
      </c>
      <c r="AO152" s="115"/>
      <c r="AP152" s="115"/>
      <c r="AQ152" s="115"/>
      <c r="AR152" s="115"/>
      <c r="AS152" s="115"/>
      <c r="AT152" s="115"/>
      <c r="AU152" s="115"/>
      <c r="AV152" s="115"/>
      <c r="AW152" s="115"/>
      <c r="AX152" s="115"/>
      <c r="AY152" s="115"/>
    </row>
    <row r="153">
      <c r="A153" s="95">
        <f t="shared" si="11"/>
        <v>5104</v>
      </c>
      <c r="B153" s="96">
        <v>46128.65566605324</v>
      </c>
      <c r="C153" s="97" t="s">
        <v>166</v>
      </c>
      <c r="D153" s="97" t="s">
        <v>142</v>
      </c>
      <c r="E153" s="98" t="s">
        <v>989</v>
      </c>
      <c r="F153" s="97"/>
      <c r="G153" s="97" t="s">
        <v>168</v>
      </c>
      <c r="H153" s="99" t="s">
        <v>62</v>
      </c>
      <c r="I153" s="100" t="s">
        <v>64</v>
      </c>
      <c r="J153" s="101" t="s">
        <v>141</v>
      </c>
      <c r="K153" s="100"/>
      <c r="L153" s="102" t="s">
        <v>993</v>
      </c>
      <c r="M153" s="103">
        <f>if(B153,if(and(hour(B153+M$7)&gt;9.5,(hour(B153+M$7)&lt;19.5)),B153+M$7,_xlfn.workday.intl(int(B153),1,"0000001",Holidays!A:A)+hour(B153+M$7-$B$1)/24+minute(B153)/1440),"")</f>
        <v>46128.82233</v>
      </c>
      <c r="N153" s="104">
        <v>46128.69164788195</v>
      </c>
      <c r="O153" s="105" t="s">
        <v>14</v>
      </c>
      <c r="P153" s="106">
        <f t="shared" si="1"/>
        <v>0</v>
      </c>
      <c r="Q153" s="107" t="s">
        <v>15</v>
      </c>
      <c r="R153" s="108" t="s">
        <v>434</v>
      </c>
      <c r="S153" s="103">
        <f>if(M153,if(and(hour(M153+S$7)&gt;9.5,(hour(M153+S$7)&lt;19.5)),M153+S$7,_xlfn.workday.intl(int(M153),1,"0000001",Holidays!A:A)+hour(M153+S$7-$B$1)/24+minute(M153)/1440),"")</f>
        <v>46128.82928</v>
      </c>
      <c r="T153" s="104">
        <v>46128.69197601852</v>
      </c>
      <c r="U153" s="105" t="s">
        <v>14</v>
      </c>
      <c r="V153" s="109">
        <f t="shared" si="2"/>
        <v>0</v>
      </c>
      <c r="W153" s="110" t="str">
        <f t="shared" si="3"/>
        <v>EMP0042 HULESHWAR KUMAR SAHU</v>
      </c>
      <c r="X153" s="103">
        <f>if(S153,if(and(hour(S153+X$7)&gt;9.5,(hour(S153+X$7)&lt;19.5)),S153+X$7,_xlfn.workday.intl(int(S153),1,"0000001",Holidays!A:A)+hour(S153+X$7-$B$1)/24+minute(S153)/1440),"")</f>
        <v>46129.5375</v>
      </c>
      <c r="Y153" s="104">
        <v>46129.438846840276</v>
      </c>
      <c r="Z153" s="105" t="s">
        <v>14</v>
      </c>
      <c r="AA153" s="111">
        <f t="shared" si="4"/>
        <v>0</v>
      </c>
      <c r="AB153" s="110" t="str">
        <f t="shared" si="5"/>
        <v>EMP0042 HULESHWAR KUMAR SAHU</v>
      </c>
      <c r="AC153" s="103">
        <f>if(X153,_xlfn.WORKDAY.INTL(X153,AC$7,"0000001",Holidays!A:A)+hour(X153)/24+MINUTE(X153)/1440,"")</f>
        <v>46130.5375</v>
      </c>
      <c r="AD153" s="104">
        <v>46129.600590277776</v>
      </c>
      <c r="AE153" s="105" t="s">
        <v>14</v>
      </c>
      <c r="AF153" s="111">
        <f t="shared" si="6"/>
        <v>0</v>
      </c>
      <c r="AG153" s="110" t="str">
        <f t="shared" si="7"/>
        <v>EMP0042 HULESHWAR KUMAR SAHU</v>
      </c>
      <c r="AH153" s="103">
        <f>if(AC153,if(and(hour(AC153+AH$7)&gt;9.5,(hour(AC153+AH$7)&lt;19.5)),AC153+AH$7,_xlfn.workday.intl(int(AC153),1,"0000001",Holidays!A:A)+hour(AC153+AH$7-$B$1)/24+minute(AC153)/1440),"")</f>
        <v>46130.57917</v>
      </c>
      <c r="AI153" s="104">
        <v>46129.52640555556</v>
      </c>
      <c r="AJ153" s="105" t="s">
        <v>14</v>
      </c>
      <c r="AK153" s="111">
        <f t="shared" si="8"/>
        <v>0</v>
      </c>
      <c r="AL153" s="112" t="str">
        <f t="shared" si="9"/>
        <v>EMP0042 HULESHWAR KUMAR SAHU</v>
      </c>
      <c r="AM153" s="113"/>
      <c r="AN153" s="114" t="s">
        <v>672</v>
      </c>
      <c r="AO153" s="115"/>
      <c r="AP153" s="115"/>
      <c r="AQ153" s="115"/>
      <c r="AR153" s="115"/>
      <c r="AS153" s="115"/>
      <c r="AT153" s="115"/>
      <c r="AU153" s="115"/>
      <c r="AV153" s="115"/>
      <c r="AW153" s="115"/>
      <c r="AX153" s="115"/>
      <c r="AY153" s="115"/>
    </row>
    <row r="154" ht="72.0" customHeight="1">
      <c r="A154" s="95">
        <f t="shared" si="11"/>
        <v>5105</v>
      </c>
      <c r="B154" s="96">
        <v>46129.47292703704</v>
      </c>
      <c r="C154" s="97" t="s">
        <v>694</v>
      </c>
      <c r="D154" s="97" t="s">
        <v>186</v>
      </c>
      <c r="E154" s="98" t="s">
        <v>994</v>
      </c>
      <c r="F154" s="97"/>
      <c r="G154" s="97" t="s">
        <v>997</v>
      </c>
      <c r="H154" s="99" t="s">
        <v>126</v>
      </c>
      <c r="I154" s="100" t="s">
        <v>64</v>
      </c>
      <c r="J154" s="101" t="s">
        <v>303</v>
      </c>
      <c r="K154" s="100"/>
      <c r="L154" s="102" t="s">
        <v>998</v>
      </c>
      <c r="M154" s="103">
        <f>if(B154,if(and(hour(B154+M$7)&gt;9.5,(hour(B154+M$7)&lt;19.5)),B154+M$7,_xlfn.workday.intl(int(B154),1,"0000001",Holidays!A:A)+hour(B154+M$7-$B$1)/24+minute(B154)/1440),"")</f>
        <v>46129.63959</v>
      </c>
      <c r="N154" s="104">
        <v>46129.51047303241</v>
      </c>
      <c r="O154" s="105" t="s">
        <v>14</v>
      </c>
      <c r="P154" s="106">
        <f t="shared" si="1"/>
        <v>0</v>
      </c>
      <c r="Q154" s="107" t="s">
        <v>72</v>
      </c>
      <c r="R154" s="108" t="s">
        <v>434</v>
      </c>
      <c r="S154" s="103">
        <f>if(M154,if(and(hour(M154+S$7)&gt;9.5,(hour(M154+S$7)&lt;19.5)),M154+S$7,_xlfn.workday.intl(int(M154),1,"0000001",Holidays!A:A)+hour(M154+S$7-$B$1)/24+minute(M154)/1440),"")</f>
        <v>46129.64654</v>
      </c>
      <c r="T154" s="104">
        <v>46129.51064625</v>
      </c>
      <c r="U154" s="105" t="s">
        <v>14</v>
      </c>
      <c r="V154" s="109">
        <f t="shared" si="2"/>
        <v>0</v>
      </c>
      <c r="W154" s="110" t="str">
        <f t="shared" si="3"/>
        <v>EMP5009 Rup Kumar Mandal</v>
      </c>
      <c r="X154" s="103">
        <f>if(S154,if(and(hour(S154+X$7)&gt;9.5,(hour(S154+X$7)&lt;19.5)),S154+X$7,_xlfn.workday.intl(int(S154),1,"0000001",Holidays!A:A)+hour(S154+X$7-$B$1)/24+minute(S154)/1440),"")</f>
        <v>46129.7507</v>
      </c>
      <c r="Y154" s="104">
        <v>46129.51068569445</v>
      </c>
      <c r="Z154" s="105" t="s">
        <v>14</v>
      </c>
      <c r="AA154" s="111">
        <f t="shared" si="4"/>
        <v>0</v>
      </c>
      <c r="AB154" s="110" t="str">
        <f t="shared" si="5"/>
        <v>EMP5009 Rup Kumar Mandal</v>
      </c>
      <c r="AC154" s="103">
        <f>if(X154,_xlfn.WORKDAY.INTL(X154,AC$7,"0000001",Holidays!A:A)+hour(X154)/24+MINUTE(X154)/1440,"")</f>
        <v>46130.75069</v>
      </c>
      <c r="AD154" s="104">
        <v>46129.67808575231</v>
      </c>
      <c r="AE154" s="105" t="s">
        <v>14</v>
      </c>
      <c r="AF154" s="111">
        <f t="shared" si="6"/>
        <v>0</v>
      </c>
      <c r="AG154" s="110" t="str">
        <f t="shared" si="7"/>
        <v>EMP5009 Rup Kumar Mandal</v>
      </c>
      <c r="AH154" s="103">
        <f>if(AC154,if(and(hour(AC154+AH$7)&gt;9.5,(hour(AC154+AH$7)&lt;19.5)),AC154+AH$7,_xlfn.workday.intl(int(AC154),1,"0000001",Holidays!A:A)+hour(AC154+AH$7-$B$1)/24+minute(AC154)/1440),"")</f>
        <v>46130.79236</v>
      </c>
      <c r="AI154" s="104">
        <v>46129.67846177083</v>
      </c>
      <c r="AJ154" s="105" t="s">
        <v>14</v>
      </c>
      <c r="AK154" s="111">
        <f t="shared" si="8"/>
        <v>0</v>
      </c>
      <c r="AL154" s="112" t="str">
        <f t="shared" si="9"/>
        <v>EMP5009 Rup Kumar Mandal</v>
      </c>
      <c r="AM154" s="113"/>
      <c r="AN154" s="114" t="s">
        <v>672</v>
      </c>
      <c r="AO154" s="115"/>
      <c r="AP154" s="115"/>
      <c r="AQ154" s="115"/>
      <c r="AR154" s="115"/>
      <c r="AS154" s="115"/>
      <c r="AT154" s="115"/>
      <c r="AU154" s="115"/>
      <c r="AV154" s="115"/>
      <c r="AW154" s="115"/>
      <c r="AX154" s="115"/>
      <c r="AY154" s="115"/>
    </row>
    <row r="155">
      <c r="A155" s="95">
        <f t="shared" si="11"/>
        <v>5106</v>
      </c>
      <c r="B155" s="96">
        <v>46129.57255215278</v>
      </c>
      <c r="C155" s="97" t="s">
        <v>734</v>
      </c>
      <c r="D155" s="97" t="s">
        <v>106</v>
      </c>
      <c r="E155" s="98" t="s">
        <v>1001</v>
      </c>
      <c r="F155" s="97"/>
      <c r="G155" s="97" t="s">
        <v>1004</v>
      </c>
      <c r="H155" s="99" t="s">
        <v>62</v>
      </c>
      <c r="I155" s="100" t="s">
        <v>64</v>
      </c>
      <c r="J155" s="101" t="s">
        <v>105</v>
      </c>
      <c r="K155" s="100"/>
      <c r="L155" s="102" t="s">
        <v>1005</v>
      </c>
      <c r="M155" s="103">
        <f>if(B155,if(and(hour(B155+M$7)&gt;9.5,(hour(B155+M$7)&lt;19.5)),B155+M$7,_xlfn.workday.intl(int(B155),1,"0000001",Holidays!A:A)+hour(B155+M$7-$B$1)/24+minute(B155)/1440),"")</f>
        <v>46129.73922</v>
      </c>
      <c r="N155" s="104">
        <v>46129.606294375</v>
      </c>
      <c r="O155" s="105" t="s">
        <v>14</v>
      </c>
      <c r="P155" s="106">
        <f t="shared" si="1"/>
        <v>0</v>
      </c>
      <c r="Q155" s="107" t="s">
        <v>72</v>
      </c>
      <c r="R155" s="108" t="s">
        <v>434</v>
      </c>
      <c r="S155" s="103">
        <f>if(M155,if(and(hour(M155+S$7)&gt;9.5,(hour(M155+S$7)&lt;19.5)),M155+S$7,_xlfn.workday.intl(int(M155),1,"0000001",Holidays!A:A)+hour(M155+S$7-$B$1)/24+minute(M155)/1440),"")</f>
        <v>46129.74616</v>
      </c>
      <c r="T155" s="104">
        <v>46129.60639900463</v>
      </c>
      <c r="U155" s="105" t="s">
        <v>14</v>
      </c>
      <c r="V155" s="109">
        <f t="shared" si="2"/>
        <v>0</v>
      </c>
      <c r="W155" s="110" t="str">
        <f t="shared" si="3"/>
        <v>EMP5009 Rup Kumar Mandal</v>
      </c>
      <c r="X155" s="103">
        <f>if(S155,if(and(hour(S155+X$7)&gt;9.5,(hour(S155+X$7)&lt;19.5)),S155+X$7,_xlfn.workday.intl(int(S155),1,"0000001",Holidays!A:A)+hour(S155+X$7-$B$1)/24+minute(S155)/1440),"")</f>
        <v>46130.45417</v>
      </c>
      <c r="Y155" s="104">
        <v>46129.606488854166</v>
      </c>
      <c r="Z155" s="105" t="s">
        <v>14</v>
      </c>
      <c r="AA155" s="111">
        <f t="shared" si="4"/>
        <v>0</v>
      </c>
      <c r="AB155" s="110" t="str">
        <f t="shared" si="5"/>
        <v>EMP5009 Rup Kumar Mandal</v>
      </c>
      <c r="AC155" s="103">
        <f>if(X155,_xlfn.WORKDAY.INTL(X155,AC$7,"0000001",Holidays!A:A)+hour(X155)/24+MINUTE(X155)/1440,"")</f>
        <v>46132.45417</v>
      </c>
      <c r="AD155" s="104">
        <v>46132.427049363425</v>
      </c>
      <c r="AE155" s="105" t="s">
        <v>14</v>
      </c>
      <c r="AF155" s="111">
        <f t="shared" si="6"/>
        <v>0</v>
      </c>
      <c r="AG155" s="110" t="str">
        <f t="shared" si="7"/>
        <v>EMP5009 Rup Kumar Mandal</v>
      </c>
      <c r="AH155" s="103">
        <f>if(AC155,if(and(hour(AC155+AH$7)&gt;9.5,(hour(AC155+AH$7)&lt;19.5)),AC155+AH$7,_xlfn.workday.intl(int(AC155),1,"0000001",Holidays!A:A)+hour(AC155+AH$7-$B$1)/24+minute(AC155)/1440),"")</f>
        <v>46132.49583</v>
      </c>
      <c r="AI155" s="104">
        <v>46132.48034916667</v>
      </c>
      <c r="AJ155" s="105" t="s">
        <v>14</v>
      </c>
      <c r="AK155" s="111">
        <f t="shared" si="8"/>
        <v>0</v>
      </c>
      <c r="AL155" s="112" t="str">
        <f t="shared" si="9"/>
        <v>EMP5009 Rup Kumar Mandal</v>
      </c>
      <c r="AM155" s="113"/>
      <c r="AN155" s="114" t="s">
        <v>672</v>
      </c>
      <c r="AO155" s="115"/>
      <c r="AP155" s="115"/>
      <c r="AQ155" s="115"/>
      <c r="AR155" s="115"/>
      <c r="AS155" s="115"/>
      <c r="AT155" s="115"/>
      <c r="AU155" s="115"/>
      <c r="AV155" s="115"/>
      <c r="AW155" s="115"/>
      <c r="AX155" s="115"/>
      <c r="AY155" s="115"/>
    </row>
    <row r="156">
      <c r="A156" s="95">
        <f t="shared" si="11"/>
        <v>5107</v>
      </c>
      <c r="B156" s="96">
        <v>46129.57468482639</v>
      </c>
      <c r="C156" s="97" t="s">
        <v>736</v>
      </c>
      <c r="D156" s="97" t="s">
        <v>106</v>
      </c>
      <c r="E156" s="98" t="s">
        <v>1006</v>
      </c>
      <c r="F156" s="97"/>
      <c r="G156" s="97" t="s">
        <v>1009</v>
      </c>
      <c r="H156" s="99" t="s">
        <v>62</v>
      </c>
      <c r="I156" s="100" t="s">
        <v>64</v>
      </c>
      <c r="J156" s="101" t="s">
        <v>105</v>
      </c>
      <c r="K156" s="100"/>
      <c r="L156" s="102" t="s">
        <v>1010</v>
      </c>
      <c r="M156" s="103">
        <f>if(B156,if(and(hour(B156+M$7)&gt;9.5,(hour(B156+M$7)&lt;19.5)),B156+M$7,_xlfn.workday.intl(int(B156),1,"0000001",Holidays!A:A)+hour(B156+M$7-$B$1)/24+minute(B156)/1440),"")</f>
        <v>46129.74135</v>
      </c>
      <c r="N156" s="104">
        <v>46129.606312592594</v>
      </c>
      <c r="O156" s="105" t="s">
        <v>14</v>
      </c>
      <c r="P156" s="106">
        <f t="shared" si="1"/>
        <v>0</v>
      </c>
      <c r="Q156" s="107" t="s">
        <v>72</v>
      </c>
      <c r="R156" s="108" t="s">
        <v>434</v>
      </c>
      <c r="S156" s="103">
        <f>if(M156,if(and(hour(M156+S$7)&gt;9.5,(hour(M156+S$7)&lt;19.5)),M156+S$7,_xlfn.workday.intl(int(M156),1,"0000001",Holidays!A:A)+hour(M156+S$7-$B$1)/24+minute(M156)/1440),"")</f>
        <v>46129.7483</v>
      </c>
      <c r="T156" s="104">
        <v>46129.606377442135</v>
      </c>
      <c r="U156" s="105" t="s">
        <v>14</v>
      </c>
      <c r="V156" s="109">
        <f t="shared" si="2"/>
        <v>0</v>
      </c>
      <c r="W156" s="110" t="str">
        <f t="shared" si="3"/>
        <v>EMP5009 Rup Kumar Mandal</v>
      </c>
      <c r="X156" s="103">
        <f>if(S156,if(and(hour(S156+X$7)&gt;9.5,(hour(S156+X$7)&lt;19.5)),S156+X$7,_xlfn.workday.intl(int(S156),1,"0000001",Holidays!A:A)+hour(S156+X$7-$B$1)/24+minute(S156)/1440),"")</f>
        <v>46130.45625</v>
      </c>
      <c r="Y156" s="104">
        <v>46129.606504930554</v>
      </c>
      <c r="Z156" s="105" t="s">
        <v>14</v>
      </c>
      <c r="AA156" s="111">
        <f t="shared" si="4"/>
        <v>0</v>
      </c>
      <c r="AB156" s="110" t="str">
        <f t="shared" si="5"/>
        <v>EMP5009 Rup Kumar Mandal</v>
      </c>
      <c r="AC156" s="103">
        <f>if(X156,_xlfn.WORKDAY.INTL(X156,AC$7,"0000001",Holidays!A:A)+hour(X156)/24+MINUTE(X156)/1440,"")</f>
        <v>46132.45625</v>
      </c>
      <c r="AD156" s="104">
        <v>46132.427078356486</v>
      </c>
      <c r="AE156" s="105" t="s">
        <v>14</v>
      </c>
      <c r="AF156" s="111">
        <f t="shared" si="6"/>
        <v>0</v>
      </c>
      <c r="AG156" s="110" t="str">
        <f t="shared" si="7"/>
        <v>EMP5009 Rup Kumar Mandal</v>
      </c>
      <c r="AH156" s="103">
        <f>if(AC156,if(and(hour(AC156+AH$7)&gt;9.5,(hour(AC156+AH$7)&lt;19.5)),AC156+AH$7,_xlfn.workday.intl(int(AC156),1,"0000001",Holidays!A:A)+hour(AC156+AH$7-$B$1)/24+minute(AC156)/1440),"")</f>
        <v>46132.49792</v>
      </c>
      <c r="AI156" s="104">
        <v>46132.48035819444</v>
      </c>
      <c r="AJ156" s="105" t="s">
        <v>14</v>
      </c>
      <c r="AK156" s="111">
        <f t="shared" si="8"/>
        <v>0</v>
      </c>
      <c r="AL156" s="112" t="str">
        <f t="shared" si="9"/>
        <v>EMP5009 Rup Kumar Mandal</v>
      </c>
      <c r="AM156" s="113"/>
      <c r="AN156" s="114" t="s">
        <v>672</v>
      </c>
      <c r="AO156" s="115"/>
      <c r="AP156" s="115"/>
      <c r="AQ156" s="115"/>
      <c r="AR156" s="115"/>
      <c r="AS156" s="115"/>
      <c r="AT156" s="115"/>
      <c r="AU156" s="115"/>
      <c r="AV156" s="115"/>
      <c r="AW156" s="115"/>
      <c r="AX156" s="115"/>
      <c r="AY156" s="115"/>
    </row>
    <row r="157">
      <c r="A157" s="95">
        <f t="shared" si="11"/>
        <v>5108</v>
      </c>
      <c r="B157" s="96">
        <v>46132.52593070602</v>
      </c>
      <c r="C157" s="97" t="s">
        <v>740</v>
      </c>
      <c r="D157" s="97" t="s">
        <v>207</v>
      </c>
      <c r="E157" s="98" t="s">
        <v>1012</v>
      </c>
      <c r="F157" s="98" t="s">
        <v>1016</v>
      </c>
      <c r="G157" s="97" t="s">
        <v>211</v>
      </c>
      <c r="H157" s="99" t="s">
        <v>126</v>
      </c>
      <c r="I157" s="100" t="s">
        <v>64</v>
      </c>
      <c r="J157" s="101" t="s">
        <v>206</v>
      </c>
      <c r="K157" s="100"/>
      <c r="L157" s="102" t="s">
        <v>1015</v>
      </c>
      <c r="M157" s="103">
        <f>if(B157,if(and(hour(B157+M$7)&gt;9.5,(hour(B157+M$7)&lt;19.5)),B157+M$7,_xlfn.workday.intl(int(B157),1,"0000001",Holidays!A:A)+hour(B157+M$7-$B$1)/24+minute(B157)/1440),"")</f>
        <v>46132.6926</v>
      </c>
      <c r="N157" s="104">
        <v>46132.62796440972</v>
      </c>
      <c r="O157" s="105" t="s">
        <v>14</v>
      </c>
      <c r="P157" s="106">
        <f t="shared" si="1"/>
        <v>0</v>
      </c>
      <c r="Q157" s="107" t="s">
        <v>48</v>
      </c>
      <c r="R157" s="108" t="s">
        <v>434</v>
      </c>
      <c r="S157" s="103">
        <f>if(M157,if(and(hour(M157+S$7)&gt;9.5,(hour(M157+S$7)&lt;19.5)),M157+S$7,_xlfn.workday.intl(int(M157),1,"0000001",Holidays!A:A)+hour(M157+S$7-$B$1)/24+minute(M157)/1440),"")</f>
        <v>46132.69954</v>
      </c>
      <c r="T157" s="104">
        <v>46132.62808094907</v>
      </c>
      <c r="U157" s="105" t="s">
        <v>14</v>
      </c>
      <c r="V157" s="109">
        <f t="shared" si="2"/>
        <v>0</v>
      </c>
      <c r="W157" s="110" t="str">
        <f t="shared" si="3"/>
        <v>EMP0237 Swarnendu Chakraborty</v>
      </c>
      <c r="X157" s="103">
        <f>if(S157,if(and(hour(S157+X$7)&gt;9.5,(hour(S157+X$7)&lt;19.5)),S157+X$7,_xlfn.workday.intl(int(S157),1,"0000001",Holidays!A:A)+hour(S157+X$7-$B$1)/24+minute(S157)/1440),"")</f>
        <v>46132.80371</v>
      </c>
      <c r="Y157" s="104">
        <v>46132.628132337966</v>
      </c>
      <c r="Z157" s="105" t="s">
        <v>14</v>
      </c>
      <c r="AA157" s="111">
        <f t="shared" si="4"/>
        <v>0</v>
      </c>
      <c r="AB157" s="110" t="str">
        <f t="shared" si="5"/>
        <v>EMP0237 Swarnendu Chakraborty</v>
      </c>
      <c r="AC157" s="103">
        <f>if(X157,_xlfn.WORKDAY.INTL(X157,AC$7,"0000001",Holidays!A:A)+hour(X157)/24+MINUTE(X157)/1440,"")</f>
        <v>46133.80347</v>
      </c>
      <c r="AD157" s="104">
        <v>46132.83259414352</v>
      </c>
      <c r="AE157" s="105" t="s">
        <v>14</v>
      </c>
      <c r="AF157" s="111">
        <f t="shared" si="6"/>
        <v>0</v>
      </c>
      <c r="AG157" s="110" t="str">
        <f t="shared" si="7"/>
        <v>EMP0237 Swarnendu Chakraborty</v>
      </c>
      <c r="AH157" s="103">
        <f>if(AC157,if(and(hour(AC157+AH$7)&gt;9.5,(hour(AC157+AH$7)&lt;19.5)),AC157+AH$7,_xlfn.workday.intl(int(AC157),1,"0000001",Holidays!A:A)+hour(AC157+AH$7-$B$1)/24+minute(AC157)/1440),"")</f>
        <v>46134.42847</v>
      </c>
      <c r="AI157" s="104">
        <v>46133.462136076385</v>
      </c>
      <c r="AJ157" s="105" t="s">
        <v>14</v>
      </c>
      <c r="AK157" s="111">
        <f t="shared" si="8"/>
        <v>0</v>
      </c>
      <c r="AL157" s="112" t="str">
        <f t="shared" si="9"/>
        <v>EMP0237 Swarnendu Chakraborty</v>
      </c>
      <c r="AM157" s="113"/>
      <c r="AN157" s="114" t="s">
        <v>672</v>
      </c>
      <c r="AO157" s="115"/>
      <c r="AP157" s="115"/>
      <c r="AQ157" s="115"/>
      <c r="AR157" s="115"/>
      <c r="AS157" s="115"/>
      <c r="AT157" s="115"/>
      <c r="AU157" s="115"/>
      <c r="AV157" s="115"/>
      <c r="AW157" s="115"/>
      <c r="AX157" s="115"/>
      <c r="AY157" s="115"/>
    </row>
    <row r="158">
      <c r="A158" s="95">
        <f t="shared" si="11"/>
        <v>5109</v>
      </c>
      <c r="B158" s="96">
        <v>46132.527563020834</v>
      </c>
      <c r="C158" s="97" t="s">
        <v>740</v>
      </c>
      <c r="D158" s="97" t="s">
        <v>207</v>
      </c>
      <c r="E158" s="98" t="s">
        <v>1020</v>
      </c>
      <c r="F158" s="98" t="s">
        <v>1025</v>
      </c>
      <c r="G158" s="97" t="s">
        <v>354</v>
      </c>
      <c r="H158" s="99" t="s">
        <v>147</v>
      </c>
      <c r="I158" s="100" t="s">
        <v>64</v>
      </c>
      <c r="J158" s="101" t="s">
        <v>206</v>
      </c>
      <c r="K158" s="100"/>
      <c r="L158" s="102" t="s">
        <v>1024</v>
      </c>
      <c r="M158" s="103">
        <f>if(B158,if(and(hour(B158+M$7)&gt;9.5,(hour(B158+M$7)&lt;19.5)),B158+M$7,_xlfn.workday.intl(int(B158),1,"0000001",Holidays!A:A)+hour(B158+M$7-$B$1)/24+minute(B158)/1440),"")</f>
        <v>46132.69423</v>
      </c>
      <c r="N158" s="104">
        <v>46132.6282003588</v>
      </c>
      <c r="O158" s="105" t="s">
        <v>14</v>
      </c>
      <c r="P158" s="106">
        <f t="shared" si="1"/>
        <v>0</v>
      </c>
      <c r="Q158" s="107" t="s">
        <v>72</v>
      </c>
      <c r="R158" s="108" t="s">
        <v>434</v>
      </c>
      <c r="S158" s="103">
        <f>if(M158,if(and(hour(M158+S$7)&gt;9.5,(hour(M158+S$7)&lt;19.5)),M158+S$7,_xlfn.workday.intl(int(M158),1,"0000001",Holidays!A:A)+hour(M158+S$7-$B$1)/24+minute(M158)/1440),"")</f>
        <v>46132.70117</v>
      </c>
      <c r="T158" s="104">
        <v>46132.628265300926</v>
      </c>
      <c r="U158" s="105" t="s">
        <v>14</v>
      </c>
      <c r="V158" s="109">
        <f t="shared" si="2"/>
        <v>0</v>
      </c>
      <c r="W158" s="110" t="str">
        <f t="shared" si="3"/>
        <v>EMP5009 Rup Kumar Mandal</v>
      </c>
      <c r="X158" s="103">
        <f>if(S158,if(and(hour(S158+X$7)&gt;9.5,(hour(S158+X$7)&lt;19.5)),S158+X$7,_xlfn.workday.intl(int(S158),1,"0000001",Holidays!A:A)+hour(S158+X$7-$B$1)/24+minute(S158)/1440),"")</f>
        <v>46132.80534</v>
      </c>
      <c r="Y158" s="104">
        <v>46132.62835263889</v>
      </c>
      <c r="Z158" s="105" t="s">
        <v>14</v>
      </c>
      <c r="AA158" s="111">
        <f t="shared" si="4"/>
        <v>0</v>
      </c>
      <c r="AB158" s="110" t="str">
        <f t="shared" si="5"/>
        <v>EMP5009 Rup Kumar Mandal</v>
      </c>
      <c r="AC158" s="103">
        <f>if(X158,_xlfn.WORKDAY.INTL(X158,AC$7,"0000001",Holidays!A:A)+hour(X158)/24+MINUTE(X158)/1440,"")</f>
        <v>46133.80486</v>
      </c>
      <c r="AD158" s="104">
        <v>46132.8325712963</v>
      </c>
      <c r="AE158" s="105" t="s">
        <v>14</v>
      </c>
      <c r="AF158" s="111">
        <f t="shared" si="6"/>
        <v>0</v>
      </c>
      <c r="AG158" s="110" t="str">
        <f t="shared" si="7"/>
        <v>EMP5009 Rup Kumar Mandal</v>
      </c>
      <c r="AH158" s="103">
        <f>if(AC158,if(and(hour(AC158+AH$7)&gt;9.5,(hour(AC158+AH$7)&lt;19.5)),AC158+AH$7,_xlfn.workday.intl(int(AC158),1,"0000001",Holidays!A:A)+hour(AC158+AH$7-$B$1)/24+minute(AC158)/1440),"")</f>
        <v>46134.42986</v>
      </c>
      <c r="AI158" s="104">
        <v>46133.46220792824</v>
      </c>
      <c r="AJ158" s="105" t="s">
        <v>14</v>
      </c>
      <c r="AK158" s="111">
        <f t="shared" si="8"/>
        <v>0</v>
      </c>
      <c r="AL158" s="112" t="str">
        <f t="shared" si="9"/>
        <v>EMP5009 Rup Kumar Mandal</v>
      </c>
      <c r="AM158" s="113"/>
      <c r="AN158" s="114" t="s">
        <v>672</v>
      </c>
      <c r="AO158" s="115"/>
      <c r="AP158" s="115"/>
      <c r="AQ158" s="115"/>
      <c r="AR158" s="115"/>
      <c r="AS158" s="115"/>
      <c r="AT158" s="115"/>
      <c r="AU158" s="115"/>
      <c r="AV158" s="115"/>
      <c r="AW158" s="115"/>
      <c r="AX158" s="115"/>
      <c r="AY158" s="115"/>
    </row>
    <row r="159">
      <c r="A159" s="95">
        <f t="shared" si="11"/>
        <v>5110</v>
      </c>
      <c r="B159" s="96">
        <v>46132.72262929398</v>
      </c>
      <c r="C159" s="97" t="s">
        <v>747</v>
      </c>
      <c r="D159" s="97" t="s">
        <v>98</v>
      </c>
      <c r="E159" s="98" t="s">
        <v>1028</v>
      </c>
      <c r="F159" s="97"/>
      <c r="G159" s="97" t="s">
        <v>1030</v>
      </c>
      <c r="H159" s="99" t="s">
        <v>1031</v>
      </c>
      <c r="I159" s="100" t="s">
        <v>64</v>
      </c>
      <c r="J159" s="101" t="s">
        <v>97</v>
      </c>
      <c r="K159" s="100"/>
      <c r="L159" s="102" t="s">
        <v>1030</v>
      </c>
      <c r="M159" s="103">
        <f>if(B159,if(and(hour(B159+M$7)&gt;9.5,(hour(B159+M$7)&lt;19.5)),B159+M$7,_xlfn.workday.intl(int(B159),1,"0000001",Holidays!A:A)+hour(B159+M$7-$B$1)/24+minute(B159)/1440),"")</f>
        <v>46133.47222</v>
      </c>
      <c r="N159" s="104">
        <v>46132.72809133102</v>
      </c>
      <c r="O159" s="105" t="s">
        <v>14</v>
      </c>
      <c r="P159" s="106">
        <f t="shared" si="1"/>
        <v>0</v>
      </c>
      <c r="Q159" s="107" t="s">
        <v>15</v>
      </c>
      <c r="R159" s="108" t="s">
        <v>434</v>
      </c>
      <c r="S159" s="103">
        <f>if(M159,if(and(hour(M159+S$7)&gt;9.5,(hour(M159+S$7)&lt;19.5)),M159+S$7,_xlfn.workday.intl(int(M159),1,"0000001",Holidays!A:A)+hour(M159+S$7-$B$1)/24+minute(M159)/1440),"")</f>
        <v>46133.47917</v>
      </c>
      <c r="T159" s="104">
        <v>46132.728243564816</v>
      </c>
      <c r="U159" s="105" t="s">
        <v>14</v>
      </c>
      <c r="V159" s="109">
        <f t="shared" si="2"/>
        <v>0</v>
      </c>
      <c r="W159" s="110" t="str">
        <f t="shared" si="3"/>
        <v>EMP0042 HULESHWAR KUMAR SAHU</v>
      </c>
      <c r="X159" s="103">
        <f>if(S159,if(and(hour(S159+X$7)&gt;9.5,(hour(S159+X$7)&lt;19.5)),S159+X$7,_xlfn.workday.intl(int(S159),1,"0000001",Holidays!A:A)+hour(S159+X$7-$B$1)/24+minute(S159)/1440),"")</f>
        <v>46133.58333</v>
      </c>
      <c r="Y159" s="104">
        <v>46132.83249799769</v>
      </c>
      <c r="Z159" s="105" t="s">
        <v>14</v>
      </c>
      <c r="AA159" s="111">
        <f t="shared" si="4"/>
        <v>0</v>
      </c>
      <c r="AB159" s="110" t="str">
        <f t="shared" si="5"/>
        <v>EMP0042 HULESHWAR KUMAR SAHU</v>
      </c>
      <c r="AC159" s="103">
        <f>if(X159,_xlfn.WORKDAY.INTL(X159,AC$7,"0000001",Holidays!A:A)+hour(X159)/24+MINUTE(X159)/1440,"")</f>
        <v>46134.58333</v>
      </c>
      <c r="AD159" s="104">
        <v>46133.461978402775</v>
      </c>
      <c r="AE159" s="105" t="s">
        <v>14</v>
      </c>
      <c r="AF159" s="111">
        <f t="shared" si="6"/>
        <v>0</v>
      </c>
      <c r="AG159" s="110" t="str">
        <f t="shared" si="7"/>
        <v>EMP0042 HULESHWAR KUMAR SAHU</v>
      </c>
      <c r="AH159" s="103">
        <f>if(AC159,if(and(hour(AC159+AH$7)&gt;9.5,(hour(AC159+AH$7)&lt;19.5)),AC159+AH$7,_xlfn.workday.intl(int(AC159),1,"0000001",Holidays!A:A)+hour(AC159+AH$7-$B$1)/24+minute(AC159)/1440),"")</f>
        <v>46134.625</v>
      </c>
      <c r="AI159" s="104">
        <v>46133.4623759838</v>
      </c>
      <c r="AJ159" s="105" t="s">
        <v>14</v>
      </c>
      <c r="AK159" s="111">
        <f t="shared" si="8"/>
        <v>0</v>
      </c>
      <c r="AL159" s="112" t="str">
        <f t="shared" si="9"/>
        <v>EMP0042 HULESHWAR KUMAR SAHU</v>
      </c>
      <c r="AM159" s="113"/>
      <c r="AN159" s="114" t="s">
        <v>672</v>
      </c>
      <c r="AO159" s="115"/>
      <c r="AP159" s="115"/>
      <c r="AQ159" s="115"/>
      <c r="AR159" s="115"/>
      <c r="AS159" s="115"/>
      <c r="AT159" s="115"/>
      <c r="AU159" s="115"/>
      <c r="AV159" s="115"/>
      <c r="AW159" s="115"/>
      <c r="AX159" s="115"/>
      <c r="AY159" s="115"/>
    </row>
    <row r="160">
      <c r="A160" s="95">
        <f t="shared" si="11"/>
        <v>5111</v>
      </c>
      <c r="B160" s="96">
        <v>46132.815133067124</v>
      </c>
      <c r="C160" s="97">
        <v>3386.0</v>
      </c>
      <c r="D160" s="97" t="s">
        <v>255</v>
      </c>
      <c r="E160" s="98" t="s">
        <v>1034</v>
      </c>
      <c r="F160" s="97"/>
      <c r="G160" s="97" t="s">
        <v>1037</v>
      </c>
      <c r="H160" s="99" t="s">
        <v>138</v>
      </c>
      <c r="I160" s="100" t="s">
        <v>64</v>
      </c>
      <c r="J160" s="101" t="s">
        <v>1033</v>
      </c>
      <c r="K160" s="100"/>
      <c r="L160" s="102" t="s">
        <v>1038</v>
      </c>
      <c r="M160" s="103">
        <f>if(B160,if(and(hour(B160+M$7)&gt;9.5,(hour(B160+M$7)&lt;19.5)),B160+M$7,_xlfn.workday.intl(int(B160),1,"0000001",Holidays!A:A)+hour(B160+M$7-$B$1)/24+minute(B160)/1440),"")</f>
        <v>46133.56458</v>
      </c>
      <c r="N160" s="104">
        <v>46132.83240726852</v>
      </c>
      <c r="O160" s="105" t="s">
        <v>14</v>
      </c>
      <c r="P160" s="106">
        <f t="shared" si="1"/>
        <v>0</v>
      </c>
      <c r="Q160" s="107" t="s">
        <v>61</v>
      </c>
      <c r="R160" s="108" t="s">
        <v>434</v>
      </c>
      <c r="S160" s="103">
        <f>if(M160,if(and(hour(M160+S$7)&gt;9.5,(hour(M160+S$7)&lt;19.5)),M160+S$7,_xlfn.workday.intl(int(M160),1,"0000001",Holidays!A:A)+hour(M160+S$7-$B$1)/24+minute(M160)/1440),"")</f>
        <v>46133.57153</v>
      </c>
      <c r="T160" s="104">
        <v>46132.83244709491</v>
      </c>
      <c r="U160" s="105" t="s">
        <v>14</v>
      </c>
      <c r="V160" s="109">
        <f t="shared" si="2"/>
        <v>0</v>
      </c>
      <c r="W160" s="110" t="str">
        <f t="shared" si="3"/>
        <v>EMP0021 Tamanna Dewangan</v>
      </c>
      <c r="X160" s="103">
        <f>if(S160,if(and(hour(S160+X$7)&gt;9.5,(hour(S160+X$7)&lt;19.5)),S160+X$7,_xlfn.workday.intl(int(S160),1,"0000001",Holidays!A:A)+hour(S160+X$7-$B$1)/24+minute(S160)/1440),"")</f>
        <v>46133.67569</v>
      </c>
      <c r="Y160" s="104">
        <v>46132.83248081019</v>
      </c>
      <c r="Z160" s="105" t="s">
        <v>14</v>
      </c>
      <c r="AA160" s="111">
        <f t="shared" si="4"/>
        <v>0</v>
      </c>
      <c r="AB160" s="110" t="str">
        <f t="shared" si="5"/>
        <v>EMP0021 Tamanna Dewangan</v>
      </c>
      <c r="AC160" s="103">
        <f>if(X160,_xlfn.WORKDAY.INTL(X160,AC$7,"0000001",Holidays!A:A)+hour(X160)/24+MINUTE(X160)/1440,"")</f>
        <v>46134.67569</v>
      </c>
      <c r="AD160" s="104">
        <v>46133.462260370376</v>
      </c>
      <c r="AE160" s="105" t="s">
        <v>14</v>
      </c>
      <c r="AF160" s="111">
        <f t="shared" si="6"/>
        <v>0</v>
      </c>
      <c r="AG160" s="110" t="str">
        <f t="shared" si="7"/>
        <v>EMP0021 Tamanna Dewangan</v>
      </c>
      <c r="AH160" s="103">
        <f>if(AC160,if(and(hour(AC160+AH$7)&gt;9.5,(hour(AC160+AH$7)&lt;19.5)),AC160+AH$7,_xlfn.workday.intl(int(AC160),1,"0000001",Holidays!A:A)+hour(AC160+AH$7-$B$1)/24+minute(AC160)/1440),"")</f>
        <v>46134.71736</v>
      </c>
      <c r="AI160" s="104">
        <v>46134.469523657404</v>
      </c>
      <c r="AJ160" s="105" t="s">
        <v>14</v>
      </c>
      <c r="AK160" s="111">
        <f t="shared" si="8"/>
        <v>0</v>
      </c>
      <c r="AL160" s="112" t="str">
        <f t="shared" si="9"/>
        <v>EMP0021 Tamanna Dewangan</v>
      </c>
      <c r="AM160" s="113"/>
      <c r="AN160" s="114" t="s">
        <v>672</v>
      </c>
      <c r="AO160" s="115"/>
      <c r="AP160" s="115"/>
      <c r="AQ160" s="115"/>
      <c r="AR160" s="115"/>
      <c r="AS160" s="115"/>
      <c r="AT160" s="115"/>
      <c r="AU160" s="115"/>
      <c r="AV160" s="115"/>
      <c r="AW160" s="115"/>
      <c r="AX160" s="115"/>
      <c r="AY160" s="115"/>
    </row>
    <row r="161">
      <c r="A161" s="95">
        <f t="shared" si="11"/>
        <v>5112</v>
      </c>
      <c r="B161" s="96">
        <v>46133.72904335648</v>
      </c>
      <c r="C161" s="97" t="s">
        <v>754</v>
      </c>
      <c r="D161" s="97" t="s">
        <v>255</v>
      </c>
      <c r="E161" s="98" t="s">
        <v>1039</v>
      </c>
      <c r="F161" s="97"/>
      <c r="G161" s="97" t="s">
        <v>1044</v>
      </c>
      <c r="H161" s="99" t="s">
        <v>147</v>
      </c>
      <c r="I161" s="100" t="s">
        <v>64</v>
      </c>
      <c r="J161" s="101" t="s">
        <v>513</v>
      </c>
      <c r="K161" s="100"/>
      <c r="L161" s="102" t="s">
        <v>518</v>
      </c>
      <c r="M161" s="103">
        <f>if(B161,if(and(hour(B161+M$7)&gt;9.5,(hour(B161+M$7)&lt;19.5)),B161+M$7,_xlfn.workday.intl(int(B161),1,"0000001",Holidays!A:A)+hour(B161+M$7-$B$1)/24+minute(B161)/1440),"")</f>
        <v>46134.47847</v>
      </c>
      <c r="N161" s="104">
        <v>46133.77962472222</v>
      </c>
      <c r="O161" s="105" t="s">
        <v>14</v>
      </c>
      <c r="P161" s="106">
        <f t="shared" si="1"/>
        <v>0</v>
      </c>
      <c r="Q161" s="107" t="s">
        <v>72</v>
      </c>
      <c r="R161" s="108" t="s">
        <v>434</v>
      </c>
      <c r="S161" s="103">
        <f>if(M161,if(and(hour(M161+S$7)&gt;9.5,(hour(M161+S$7)&lt;19.5)),M161+S$7,_xlfn.workday.intl(int(M161),1,"0000001",Holidays!A:A)+hour(M161+S$7-$B$1)/24+minute(M161)/1440),"")</f>
        <v>46134.48542</v>
      </c>
      <c r="T161" s="104">
        <v>46133.77970248843</v>
      </c>
      <c r="U161" s="105" t="s">
        <v>14</v>
      </c>
      <c r="V161" s="109">
        <f t="shared" si="2"/>
        <v>0</v>
      </c>
      <c r="W161" s="110" t="str">
        <f t="shared" si="3"/>
        <v>EMP5009 Rup Kumar Mandal</v>
      </c>
      <c r="X161" s="103">
        <f>if(S161,if(and(hour(S161+X$7)&gt;9.5,(hour(S161+X$7)&lt;19.5)),S161+X$7,_xlfn.workday.intl(int(S161),1,"0000001",Holidays!A:A)+hour(S161+X$7-$B$1)/24+minute(S161)/1440),"")</f>
        <v>46134.58958</v>
      </c>
      <c r="Y161" s="104">
        <v>46133.77973729167</v>
      </c>
      <c r="Z161" s="105" t="s">
        <v>14</v>
      </c>
      <c r="AA161" s="111">
        <f t="shared" si="4"/>
        <v>0</v>
      </c>
      <c r="AB161" s="110" t="str">
        <f t="shared" si="5"/>
        <v>EMP5009 Rup Kumar Mandal</v>
      </c>
      <c r="AC161" s="103">
        <f>if(X161,_xlfn.WORKDAY.INTL(X161,AC$7,"0000001",Holidays!A:A)+hour(X161)/24+MINUTE(X161)/1440,"")</f>
        <v>46135.58958</v>
      </c>
      <c r="AD161" s="104">
        <v>46134.62964302083</v>
      </c>
      <c r="AE161" s="105" t="s">
        <v>14</v>
      </c>
      <c r="AF161" s="111">
        <f t="shared" si="6"/>
        <v>0</v>
      </c>
      <c r="AG161" s="110" t="str">
        <f t="shared" si="7"/>
        <v>EMP5009 Rup Kumar Mandal</v>
      </c>
      <c r="AH161" s="103">
        <f>if(AC161,if(and(hour(AC161+AH$7)&gt;9.5,(hour(AC161+AH$7)&lt;19.5)),AC161+AH$7,_xlfn.workday.intl(int(AC161),1,"0000001",Holidays!A:A)+hour(AC161+AH$7-$B$1)/24+minute(AC161)/1440),"")</f>
        <v>46135.63125</v>
      </c>
      <c r="AI161" s="104">
        <v>46135.453877928245</v>
      </c>
      <c r="AJ161" s="105" t="s">
        <v>14</v>
      </c>
      <c r="AK161" s="111">
        <f t="shared" si="8"/>
        <v>0</v>
      </c>
      <c r="AL161" s="112" t="str">
        <f t="shared" si="9"/>
        <v>EMP5009 Rup Kumar Mandal</v>
      </c>
      <c r="AM161" s="113"/>
      <c r="AN161" s="114" t="s">
        <v>672</v>
      </c>
      <c r="AO161" s="115"/>
      <c r="AP161" s="115"/>
      <c r="AQ161" s="115"/>
      <c r="AR161" s="115"/>
      <c r="AS161" s="115"/>
      <c r="AT161" s="115"/>
      <c r="AU161" s="115"/>
      <c r="AV161" s="115"/>
      <c r="AW161" s="115"/>
      <c r="AX161" s="115"/>
      <c r="AY161" s="115"/>
    </row>
    <row r="162">
      <c r="A162" s="95">
        <f t="shared" si="11"/>
        <v>5113</v>
      </c>
      <c r="B162" s="96">
        <v>46135.451505335644</v>
      </c>
      <c r="C162" s="97" t="s">
        <v>109</v>
      </c>
      <c r="D162" s="97" t="s">
        <v>142</v>
      </c>
      <c r="E162" s="98" t="s">
        <v>1045</v>
      </c>
      <c r="F162" s="97"/>
      <c r="G162" s="97" t="s">
        <v>168</v>
      </c>
      <c r="H162" s="99" t="s">
        <v>62</v>
      </c>
      <c r="I162" s="100" t="s">
        <v>64</v>
      </c>
      <c r="J162" s="101" t="s">
        <v>141</v>
      </c>
      <c r="K162" s="100"/>
      <c r="L162" s="102" t="s">
        <v>1048</v>
      </c>
      <c r="M162" s="103">
        <f>if(B162,if(and(hour(B162+M$7)&gt;9.5,(hour(B162+M$7)&lt;19.5)),B162+M$7,_xlfn.workday.intl(int(B162),1,"0000001",Holidays!A:A)+hour(B162+M$7-$B$1)/24+minute(B162)/1440),"")</f>
        <v>46135.61817</v>
      </c>
      <c r="N162" s="104">
        <v>46135.544342002315</v>
      </c>
      <c r="O162" s="105" t="s">
        <v>14</v>
      </c>
      <c r="P162" s="106">
        <f t="shared" si="1"/>
        <v>0</v>
      </c>
      <c r="Q162" s="107" t="s">
        <v>15</v>
      </c>
      <c r="R162" s="108" t="s">
        <v>434</v>
      </c>
      <c r="S162" s="103">
        <f>if(M162,if(and(hour(M162+S$7)&gt;9.5,(hour(M162+S$7)&lt;19.5)),M162+S$7,_xlfn.workday.intl(int(M162),1,"0000001",Holidays!A:A)+hour(M162+S$7-$B$1)/24+minute(M162)/1440),"")</f>
        <v>46135.62512</v>
      </c>
      <c r="T162" s="104">
        <v>46135.54443101852</v>
      </c>
      <c r="U162" s="105" t="s">
        <v>14</v>
      </c>
      <c r="V162" s="109">
        <f t="shared" si="2"/>
        <v>0</v>
      </c>
      <c r="W162" s="110" t="str">
        <f t="shared" si="3"/>
        <v>EMP0042 HULESHWAR KUMAR SAHU</v>
      </c>
      <c r="X162" s="103">
        <f>if(S162,if(and(hour(S162+X$7)&gt;9.5,(hour(S162+X$7)&lt;19.5)),S162+X$7,_xlfn.workday.intl(int(S162),1,"0000001",Holidays!A:A)+hour(S162+X$7-$B$1)/24+minute(S162)/1440),"")</f>
        <v>46135.72928</v>
      </c>
      <c r="Y162" s="104">
        <v>46135.544491759254</v>
      </c>
      <c r="Z162" s="105" t="s">
        <v>14</v>
      </c>
      <c r="AA162" s="111">
        <f t="shared" si="4"/>
        <v>0</v>
      </c>
      <c r="AB162" s="110" t="str">
        <f t="shared" si="5"/>
        <v>EMP0042 HULESHWAR KUMAR SAHU</v>
      </c>
      <c r="AC162" s="103">
        <f>if(X162,_xlfn.WORKDAY.INTL(X162,AC$7,"0000001",Holidays!A:A)+hour(X162)/24+MINUTE(X162)/1440,"")</f>
        <v>46136.72917</v>
      </c>
      <c r="AD162" s="104">
        <v>46135.597855</v>
      </c>
      <c r="AE162" s="105" t="s">
        <v>14</v>
      </c>
      <c r="AF162" s="111">
        <f t="shared" si="6"/>
        <v>0</v>
      </c>
      <c r="AG162" s="110" t="str">
        <f t="shared" si="7"/>
        <v>EMP0042 HULESHWAR KUMAR SAHU</v>
      </c>
      <c r="AH162" s="103">
        <f>if(AC162,if(and(hour(AC162+AH$7)&gt;9.5,(hour(AC162+AH$7)&lt;19.5)),AC162+AH$7,_xlfn.workday.intl(int(AC162),1,"0000001",Holidays!A:A)+hour(AC162+AH$7-$B$1)/24+minute(AC162)/1440),"")</f>
        <v>46136.77083</v>
      </c>
      <c r="AI162" s="104">
        <v>46135.59787491898</v>
      </c>
      <c r="AJ162" s="105" t="s">
        <v>14</v>
      </c>
      <c r="AK162" s="111">
        <f t="shared" si="8"/>
        <v>0</v>
      </c>
      <c r="AL162" s="112" t="str">
        <f t="shared" si="9"/>
        <v>EMP0042 HULESHWAR KUMAR SAHU</v>
      </c>
      <c r="AM162" s="113"/>
      <c r="AN162" s="114" t="s">
        <v>672</v>
      </c>
      <c r="AO162" s="115"/>
      <c r="AP162" s="115"/>
      <c r="AQ162" s="115"/>
      <c r="AR162" s="115"/>
      <c r="AS162" s="115"/>
      <c r="AT162" s="115"/>
      <c r="AU162" s="115"/>
      <c r="AV162" s="115"/>
      <c r="AW162" s="115"/>
      <c r="AX162" s="115"/>
      <c r="AY162" s="115"/>
    </row>
    <row r="163">
      <c r="A163" s="95">
        <f t="shared" si="11"/>
        <v>5114</v>
      </c>
      <c r="B163" s="96">
        <v>46135.45208444445</v>
      </c>
      <c r="C163" s="97" t="s">
        <v>761</v>
      </c>
      <c r="D163" s="97" t="s">
        <v>142</v>
      </c>
      <c r="E163" s="98" t="s">
        <v>1051</v>
      </c>
      <c r="F163" s="97"/>
      <c r="G163" s="97" t="s">
        <v>146</v>
      </c>
      <c r="H163" s="99" t="s">
        <v>62</v>
      </c>
      <c r="I163" s="100" t="s">
        <v>64</v>
      </c>
      <c r="J163" s="101" t="s">
        <v>141</v>
      </c>
      <c r="K163" s="100"/>
      <c r="L163" s="102" t="s">
        <v>1048</v>
      </c>
      <c r="M163" s="103">
        <f>if(B163,if(and(hour(B163+M$7)&gt;9.5,(hour(B163+M$7)&lt;19.5)),B163+M$7,_xlfn.workday.intl(int(B163),1,"0000001",Holidays!A:A)+hour(B163+M$7-$B$1)/24+minute(B163)/1440),"")</f>
        <v>46135.61875</v>
      </c>
      <c r="N163" s="104">
        <v>46135.55308565972</v>
      </c>
      <c r="O163" s="105" t="s">
        <v>14</v>
      </c>
      <c r="P163" s="106">
        <f t="shared" si="1"/>
        <v>0</v>
      </c>
      <c r="Q163" s="107" t="s">
        <v>15</v>
      </c>
      <c r="R163" s="108" t="s">
        <v>434</v>
      </c>
      <c r="S163" s="103">
        <f>if(M163,if(and(hour(M163+S$7)&gt;9.5,(hour(M163+S$7)&lt;19.5)),M163+S$7,_xlfn.workday.intl(int(M163),1,"0000001",Holidays!A:A)+hour(M163+S$7-$B$1)/24+minute(M163)/1440),"")</f>
        <v>46135.6257</v>
      </c>
      <c r="T163" s="104">
        <v>46135.55289387731</v>
      </c>
      <c r="U163" s="105" t="s">
        <v>14</v>
      </c>
      <c r="V163" s="109">
        <f t="shared" si="2"/>
        <v>0</v>
      </c>
      <c r="W163" s="110" t="str">
        <f t="shared" si="3"/>
        <v>EMP0042 HULESHWAR KUMAR SAHU</v>
      </c>
      <c r="X163" s="103">
        <f>if(S163,if(and(hour(S163+X$7)&gt;9.5,(hour(S163+X$7)&lt;19.5)),S163+X$7,_xlfn.workday.intl(int(S163),1,"0000001",Holidays!A:A)+hour(S163+X$7-$B$1)/24+minute(S163)/1440),"")</f>
        <v>46135.72986</v>
      </c>
      <c r="Y163" s="104">
        <v>46135.55299939815</v>
      </c>
      <c r="Z163" s="105" t="s">
        <v>14</v>
      </c>
      <c r="AA163" s="111">
        <f t="shared" si="4"/>
        <v>0</v>
      </c>
      <c r="AB163" s="110" t="str">
        <f t="shared" si="5"/>
        <v>EMP0042 HULESHWAR KUMAR SAHU</v>
      </c>
      <c r="AC163" s="103">
        <f>if(X163,_xlfn.WORKDAY.INTL(X163,AC$7,"0000001",Holidays!A:A)+hour(X163)/24+MINUTE(X163)/1440,"")</f>
        <v>46136.72986</v>
      </c>
      <c r="AD163" s="104">
        <v>46135.78029461806</v>
      </c>
      <c r="AE163" s="105" t="s">
        <v>14</v>
      </c>
      <c r="AF163" s="111">
        <f t="shared" si="6"/>
        <v>0</v>
      </c>
      <c r="AG163" s="110" t="str">
        <f t="shared" si="7"/>
        <v>EMP0042 HULESHWAR KUMAR SAHU</v>
      </c>
      <c r="AH163" s="103">
        <f>if(AC163,if(and(hour(AC163+AH$7)&gt;9.5,(hour(AC163+AH$7)&lt;19.5)),AC163+AH$7,_xlfn.workday.intl(int(AC163),1,"0000001",Holidays!A:A)+hour(AC163+AH$7-$B$1)/24+minute(AC163)/1440),"")</f>
        <v>46136.77153</v>
      </c>
      <c r="AI163" s="104">
        <v>46136.52768480324</v>
      </c>
      <c r="AJ163" s="105" t="s">
        <v>14</v>
      </c>
      <c r="AK163" s="111">
        <f t="shared" si="8"/>
        <v>0</v>
      </c>
      <c r="AL163" s="112" t="str">
        <f t="shared" si="9"/>
        <v>EMP0042 HULESHWAR KUMAR SAHU</v>
      </c>
      <c r="AM163" s="113"/>
      <c r="AN163" s="114" t="s">
        <v>672</v>
      </c>
      <c r="AO163" s="115"/>
      <c r="AP163" s="115"/>
      <c r="AQ163" s="115"/>
      <c r="AR163" s="115"/>
      <c r="AS163" s="115"/>
      <c r="AT163" s="115"/>
      <c r="AU163" s="115"/>
      <c r="AV163" s="115"/>
      <c r="AW163" s="115"/>
      <c r="AX163" s="115"/>
      <c r="AY163" s="115"/>
    </row>
    <row r="164">
      <c r="A164" s="95">
        <f t="shared" si="11"/>
        <v>5115</v>
      </c>
      <c r="B164" s="96">
        <v>46135.51889209491</v>
      </c>
      <c r="C164" s="97" t="s">
        <v>766</v>
      </c>
      <c r="D164" s="97" t="s">
        <v>769</v>
      </c>
      <c r="E164" s="98" t="s">
        <v>1054</v>
      </c>
      <c r="F164" s="97"/>
      <c r="G164" s="97" t="s">
        <v>1057</v>
      </c>
      <c r="H164" s="99" t="s">
        <v>147</v>
      </c>
      <c r="I164" s="100" t="s">
        <v>64</v>
      </c>
      <c r="J164" s="101" t="s">
        <v>768</v>
      </c>
      <c r="K164" s="100"/>
      <c r="L164" s="102" t="s">
        <v>518</v>
      </c>
      <c r="M164" s="103">
        <f>if(B164,if(and(hour(B164+M$7)&gt;9.5,(hour(B164+M$7)&lt;19.5)),B164+M$7,_xlfn.workday.intl(int(B164),1,"0000001",Holidays!A:A)+hour(B164+M$7-$B$1)/24+minute(B164)/1440),"")</f>
        <v>46135.68556</v>
      </c>
      <c r="N164" s="104">
        <v>46135.55312773148</v>
      </c>
      <c r="O164" s="105" t="s">
        <v>14</v>
      </c>
      <c r="P164" s="106">
        <f t="shared" si="1"/>
        <v>0</v>
      </c>
      <c r="Q164" s="107" t="s">
        <v>72</v>
      </c>
      <c r="R164" s="108" t="s">
        <v>434</v>
      </c>
      <c r="S164" s="103">
        <f>if(M164,if(and(hour(M164+S$7)&gt;9.5,(hour(M164+S$7)&lt;19.5)),M164+S$7,_xlfn.workday.intl(int(M164),1,"0000001",Holidays!A:A)+hour(M164+S$7-$B$1)/24+minute(M164)/1440),"")</f>
        <v>46135.6925</v>
      </c>
      <c r="T164" s="104">
        <v>46135.544430636575</v>
      </c>
      <c r="U164" s="105" t="s">
        <v>14</v>
      </c>
      <c r="V164" s="109">
        <f t="shared" si="2"/>
        <v>0</v>
      </c>
      <c r="W164" s="110" t="str">
        <f t="shared" si="3"/>
        <v>EMP5009 Rup Kumar Mandal</v>
      </c>
      <c r="X164" s="103">
        <f>if(S164,if(and(hour(S164+X$7)&gt;9.5,(hour(S164+X$7)&lt;19.5)),S164+X$7,_xlfn.workday.intl(int(S164),1,"0000001",Holidays!A:A)+hour(S164+X$7-$B$1)/24+minute(S164)/1440),"")</f>
        <v>46135.79667</v>
      </c>
      <c r="Y164" s="104">
        <v>46135.54449696759</v>
      </c>
      <c r="Z164" s="105" t="s">
        <v>14</v>
      </c>
      <c r="AA164" s="111">
        <f t="shared" si="4"/>
        <v>0</v>
      </c>
      <c r="AB164" s="110" t="str">
        <f t="shared" si="5"/>
        <v>EMP5009 Rup Kumar Mandal</v>
      </c>
      <c r="AC164" s="103">
        <f>if(X164,_xlfn.WORKDAY.INTL(X164,AC$7,"0000001",Holidays!A:A)+hour(X164)/24+MINUTE(X164)/1440,"")</f>
        <v>46136.79653</v>
      </c>
      <c r="AD164" s="104">
        <v>46135.78023390046</v>
      </c>
      <c r="AE164" s="105" t="s">
        <v>14</v>
      </c>
      <c r="AF164" s="111">
        <f t="shared" si="6"/>
        <v>0</v>
      </c>
      <c r="AG164" s="110" t="str">
        <f t="shared" si="7"/>
        <v>EMP5009 Rup Kumar Mandal</v>
      </c>
      <c r="AH164" s="103">
        <f>if(AC164,if(and(hour(AC164+AH$7)&gt;9.5,(hour(AC164+AH$7)&lt;19.5)),AC164+AH$7,_xlfn.workday.intl(int(AC164),1,"0000001",Holidays!A:A)+hour(AC164+AH$7-$B$1)/24+minute(AC164)/1440),"")</f>
        <v>46137.42153</v>
      </c>
      <c r="AI164" s="104">
        <v>46135.78041129629</v>
      </c>
      <c r="AJ164" s="105" t="s">
        <v>14</v>
      </c>
      <c r="AK164" s="111">
        <f t="shared" si="8"/>
        <v>0</v>
      </c>
      <c r="AL164" s="112" t="str">
        <f t="shared" si="9"/>
        <v>EMP5009 Rup Kumar Mandal</v>
      </c>
      <c r="AM164" s="113"/>
      <c r="AN164" s="114" t="s">
        <v>672</v>
      </c>
      <c r="AO164" s="115"/>
      <c r="AP164" s="115"/>
      <c r="AQ164" s="115"/>
      <c r="AR164" s="115"/>
      <c r="AS164" s="115"/>
      <c r="AT164" s="115"/>
      <c r="AU164" s="115"/>
      <c r="AV164" s="115"/>
      <c r="AW164" s="115"/>
      <c r="AX164" s="115"/>
      <c r="AY164" s="115"/>
    </row>
    <row r="165">
      <c r="A165" s="95">
        <f t="shared" si="11"/>
        <v>5116</v>
      </c>
      <c r="B165" s="96">
        <v>46135.52235758102</v>
      </c>
      <c r="C165" s="97" t="s">
        <v>772</v>
      </c>
      <c r="D165" s="97" t="s">
        <v>769</v>
      </c>
      <c r="E165" s="98" t="s">
        <v>1059</v>
      </c>
      <c r="F165" s="97"/>
      <c r="G165" s="97" t="s">
        <v>1060</v>
      </c>
      <c r="H165" s="99" t="s">
        <v>62</v>
      </c>
      <c r="I165" s="100" t="s">
        <v>64</v>
      </c>
      <c r="J165" s="101" t="s">
        <v>768</v>
      </c>
      <c r="K165" s="100"/>
      <c r="L165" s="102" t="s">
        <v>518</v>
      </c>
      <c r="M165" s="103">
        <f>if(B165,if(and(hour(B165+M$7)&gt;9.5,(hour(B165+M$7)&lt;19.5)),B165+M$7,_xlfn.workday.intl(int(B165),1,"0000001",Holidays!A:A)+hour(B165+M$7-$B$1)/24+minute(B165)/1440),"")</f>
        <v>46135.68902</v>
      </c>
      <c r="N165" s="104">
        <v>46135.55326340278</v>
      </c>
      <c r="O165" s="105" t="s">
        <v>14</v>
      </c>
      <c r="P165" s="106">
        <f t="shared" si="1"/>
        <v>0</v>
      </c>
      <c r="Q165" s="107" t="s">
        <v>61</v>
      </c>
      <c r="R165" s="108" t="s">
        <v>434</v>
      </c>
      <c r="S165" s="103">
        <f>if(M165,if(and(hour(M165+S$7)&gt;9.5,(hour(M165+S$7)&lt;19.5)),M165+S$7,_xlfn.workday.intl(int(M165),1,"0000001",Holidays!A:A)+hour(M165+S$7-$B$1)/24+minute(M165)/1440),"")</f>
        <v>46135.69597</v>
      </c>
      <c r="T165" s="104">
        <v>46135.54444121528</v>
      </c>
      <c r="U165" s="105" t="s">
        <v>14</v>
      </c>
      <c r="V165" s="109">
        <f t="shared" si="2"/>
        <v>0</v>
      </c>
      <c r="W165" s="110" t="str">
        <f t="shared" si="3"/>
        <v>EMP0021 Tamanna Dewangan</v>
      </c>
      <c r="X165" s="103">
        <f>if(S165,if(and(hour(S165+X$7)&gt;9.5,(hour(S165+X$7)&lt;19.5)),S165+X$7,_xlfn.workday.intl(int(S165),1,"0000001",Holidays!A:A)+hour(S165+X$7-$B$1)/24+minute(S165)/1440),"")</f>
        <v>46135.80014</v>
      </c>
      <c r="Y165" s="104">
        <v>46135.54450788195</v>
      </c>
      <c r="Z165" s="105" t="s">
        <v>14</v>
      </c>
      <c r="AA165" s="111">
        <f t="shared" si="4"/>
        <v>0</v>
      </c>
      <c r="AB165" s="110" t="str">
        <f t="shared" si="5"/>
        <v>EMP0021 Tamanna Dewangan</v>
      </c>
      <c r="AC165" s="103">
        <f>if(X165,_xlfn.WORKDAY.INTL(X165,AC$7,"0000001",Holidays!A:A)+hour(X165)/24+MINUTE(X165)/1440,"")</f>
        <v>46136.8</v>
      </c>
      <c r="AD165" s="104">
        <v>46135.78023390046</v>
      </c>
      <c r="AE165" s="105" t="s">
        <v>14</v>
      </c>
      <c r="AF165" s="111">
        <f t="shared" si="6"/>
        <v>0</v>
      </c>
      <c r="AG165" s="110" t="str">
        <f t="shared" si="7"/>
        <v>EMP0021 Tamanna Dewangan</v>
      </c>
      <c r="AH165" s="103">
        <f>if(AC165,if(and(hour(AC165+AH$7)&gt;9.5,(hour(AC165+AH$7)&lt;19.5)),AC165+AH$7,_xlfn.workday.intl(int(AC165),1,"0000001",Holidays!A:A)+hour(AC165+AH$7-$B$1)/24+minute(AC165)/1440),"")</f>
        <v>46137.425</v>
      </c>
      <c r="AI165" s="104">
        <v>46135.780341377314</v>
      </c>
      <c r="AJ165" s="105" t="s">
        <v>14</v>
      </c>
      <c r="AK165" s="111">
        <f t="shared" si="8"/>
        <v>0</v>
      </c>
      <c r="AL165" s="112" t="str">
        <f t="shared" si="9"/>
        <v>EMP0021 Tamanna Dewangan</v>
      </c>
      <c r="AM165" s="113"/>
      <c r="AN165" s="114" t="s">
        <v>672</v>
      </c>
      <c r="AO165" s="115"/>
      <c r="AP165" s="115"/>
      <c r="AQ165" s="115"/>
      <c r="AR165" s="115"/>
      <c r="AS165" s="115"/>
      <c r="AT165" s="115"/>
      <c r="AU165" s="115"/>
      <c r="AV165" s="115"/>
      <c r="AW165" s="115"/>
      <c r="AX165" s="115"/>
      <c r="AY165" s="115"/>
    </row>
    <row r="166">
      <c r="A166" s="95">
        <f t="shared" si="11"/>
        <v>5117</v>
      </c>
      <c r="B166" s="96">
        <v>46135.61415497685</v>
      </c>
      <c r="C166" s="97" t="s">
        <v>776</v>
      </c>
      <c r="D166" s="97" t="s">
        <v>98</v>
      </c>
      <c r="E166" s="98" t="s">
        <v>1063</v>
      </c>
      <c r="F166" s="98" t="s">
        <v>1066</v>
      </c>
      <c r="G166" s="97" t="s">
        <v>1065</v>
      </c>
      <c r="H166" s="99" t="s">
        <v>103</v>
      </c>
      <c r="I166" s="100" t="s">
        <v>64</v>
      </c>
      <c r="J166" s="101" t="s">
        <v>97</v>
      </c>
      <c r="K166" s="100"/>
      <c r="L166" s="102" t="s">
        <v>1065</v>
      </c>
      <c r="M166" s="103">
        <f>if(B166,if(and(hour(B166+M$7)&gt;9.5,(hour(B166+M$7)&lt;19.5)),B166+M$7,_xlfn.workday.intl(int(B166),1,"0000001",Holidays!A:A)+hour(B166+M$7-$B$1)/24+minute(B166)/1440),"")</f>
        <v>46135.78082</v>
      </c>
      <c r="N166" s="104">
        <v>46135.63326368056</v>
      </c>
      <c r="O166" s="105" t="s">
        <v>14</v>
      </c>
      <c r="P166" s="106">
        <f t="shared" si="1"/>
        <v>0</v>
      </c>
      <c r="Q166" s="107" t="s">
        <v>48</v>
      </c>
      <c r="R166" s="108" t="s">
        <v>434</v>
      </c>
      <c r="S166" s="103">
        <f>if(M166,if(and(hour(M166+S$7)&gt;9.5,(hour(M166+S$7)&lt;19.5)),M166+S$7,_xlfn.workday.intl(int(M166),1,"0000001",Holidays!A:A)+hour(M166+S$7-$B$1)/24+minute(M166)/1440),"")</f>
        <v>46135.78777</v>
      </c>
      <c r="T166" s="104">
        <v>46135.63332930555</v>
      </c>
      <c r="U166" s="105" t="s">
        <v>14</v>
      </c>
      <c r="V166" s="109">
        <f t="shared" si="2"/>
        <v>0</v>
      </c>
      <c r="W166" s="110" t="str">
        <f t="shared" si="3"/>
        <v>EMP0237 Swarnendu Chakraborty</v>
      </c>
      <c r="X166" s="103">
        <f>if(S166,if(and(hour(S166+X$7)&gt;9.5,(hour(S166+X$7)&lt;19.5)),S166+X$7,_xlfn.workday.intl(int(S166),1,"0000001",Holidays!A:A)+hour(S166+X$7-$B$1)/24+minute(S166)/1440),"")</f>
        <v>46136.49583</v>
      </c>
      <c r="Y166" s="104">
        <v>46135.633369097224</v>
      </c>
      <c r="Z166" s="105" t="s">
        <v>14</v>
      </c>
      <c r="AA166" s="111">
        <f t="shared" si="4"/>
        <v>0</v>
      </c>
      <c r="AB166" s="110" t="str">
        <f t="shared" si="5"/>
        <v>EMP0237 Swarnendu Chakraborty</v>
      </c>
      <c r="AC166" s="103">
        <f>if(X166,_xlfn.WORKDAY.INTL(X166,AC$7,"0000001",Holidays!A:A)+hour(X166)/24+MINUTE(X166)/1440,"")</f>
        <v>46137.49583</v>
      </c>
      <c r="AD166" s="104">
        <v>46135.780250497686</v>
      </c>
      <c r="AE166" s="105" t="s">
        <v>14</v>
      </c>
      <c r="AF166" s="111">
        <f t="shared" si="6"/>
        <v>0</v>
      </c>
      <c r="AG166" s="110" t="str">
        <f t="shared" si="7"/>
        <v>EMP0237 Swarnendu Chakraborty</v>
      </c>
      <c r="AH166" s="103">
        <f>if(AC166,if(and(hour(AC166+AH$7)&gt;9.5,(hour(AC166+AH$7)&lt;19.5)),AC166+AH$7,_xlfn.workday.intl(int(AC166),1,"0000001",Holidays!A:A)+hour(AC166+AH$7-$B$1)/24+minute(AC166)/1440),"")</f>
        <v>46137.5375</v>
      </c>
      <c r="AI166" s="104">
        <v>46135.780341377314</v>
      </c>
      <c r="AJ166" s="105" t="s">
        <v>14</v>
      </c>
      <c r="AK166" s="111">
        <f t="shared" si="8"/>
        <v>0</v>
      </c>
      <c r="AL166" s="112" t="str">
        <f t="shared" si="9"/>
        <v>EMP0237 Swarnendu Chakraborty</v>
      </c>
      <c r="AM166" s="113"/>
      <c r="AN166" s="114" t="s">
        <v>672</v>
      </c>
      <c r="AO166" s="115"/>
      <c r="AP166" s="115"/>
      <c r="AQ166" s="115"/>
      <c r="AR166" s="115"/>
      <c r="AS166" s="115"/>
      <c r="AT166" s="115"/>
      <c r="AU166" s="115"/>
      <c r="AV166" s="115"/>
      <c r="AW166" s="115"/>
      <c r="AX166" s="115"/>
      <c r="AY166" s="115"/>
    </row>
    <row r="167">
      <c r="A167" s="95">
        <f t="shared" si="11"/>
        <v>5118</v>
      </c>
      <c r="B167" s="96">
        <v>46135.64188572917</v>
      </c>
      <c r="C167" s="97" t="s">
        <v>689</v>
      </c>
      <c r="D167" s="97" t="s">
        <v>933</v>
      </c>
      <c r="E167" s="98" t="s">
        <v>1071</v>
      </c>
      <c r="F167" s="98" t="s">
        <v>1074</v>
      </c>
      <c r="G167" s="97" t="s">
        <v>937</v>
      </c>
      <c r="H167" s="99" t="s">
        <v>62</v>
      </c>
      <c r="I167" s="100" t="s">
        <v>64</v>
      </c>
      <c r="J167" s="101" t="s">
        <v>932</v>
      </c>
      <c r="K167" s="100"/>
      <c r="L167" s="102" t="s">
        <v>1073</v>
      </c>
      <c r="M167" s="103">
        <f>if(B167,if(and(hour(B167+M$7)&gt;9.5,(hour(B167+M$7)&lt;19.5)),B167+M$7,_xlfn.workday.intl(int(B167),1,"0000001",Holidays!A:A)+hour(B167+M$7-$B$1)/24+minute(B167)/1440),"")</f>
        <v>46135.80855</v>
      </c>
      <c r="N167" s="104">
        <v>46135.655980428244</v>
      </c>
      <c r="O167" s="105" t="s">
        <v>14</v>
      </c>
      <c r="P167" s="106">
        <f t="shared" si="1"/>
        <v>0</v>
      </c>
      <c r="Q167" s="107" t="s">
        <v>72</v>
      </c>
      <c r="R167" s="108" t="s">
        <v>434</v>
      </c>
      <c r="S167" s="103">
        <f>if(M167,if(and(hour(M167+S$7)&gt;9.5,(hour(M167+S$7)&lt;19.5)),M167+S$7,_xlfn.workday.intl(int(M167),1,"0000001",Holidays!A:A)+hour(M167+S$7-$B$1)/24+minute(M167)/1440),"")</f>
        <v>46135.8155</v>
      </c>
      <c r="T167" s="104">
        <v>46135.6561052662</v>
      </c>
      <c r="U167" s="105" t="s">
        <v>14</v>
      </c>
      <c r="V167" s="109">
        <f t="shared" si="2"/>
        <v>0</v>
      </c>
      <c r="W167" s="110" t="str">
        <f t="shared" si="3"/>
        <v>EMP5009 Rup Kumar Mandal</v>
      </c>
      <c r="X167" s="103">
        <f>if(S167,if(and(hour(S167+X$7)&gt;9.5,(hour(S167+X$7)&lt;19.5)),S167+X$7,_xlfn.workday.intl(int(S167),1,"0000001",Holidays!A:A)+hour(S167+X$7-$B$1)/24+minute(S167)/1440),"")</f>
        <v>46136.52361</v>
      </c>
      <c r="Y167" s="104">
        <v>46135.65621133102</v>
      </c>
      <c r="Z167" s="105" t="s">
        <v>14</v>
      </c>
      <c r="AA167" s="111">
        <f t="shared" si="4"/>
        <v>0</v>
      </c>
      <c r="AB167" s="110" t="str">
        <f t="shared" si="5"/>
        <v>EMP5009 Rup Kumar Mandal</v>
      </c>
      <c r="AC167" s="103">
        <f>if(X167,_xlfn.WORKDAY.INTL(X167,AC$7,"0000001",Holidays!A:A)+hour(X167)/24+MINUTE(X167)/1440,"")</f>
        <v>46137.52361</v>
      </c>
      <c r="AD167" s="104">
        <v>46135.78013509259</v>
      </c>
      <c r="AE167" s="105" t="s">
        <v>14</v>
      </c>
      <c r="AF167" s="111">
        <f t="shared" si="6"/>
        <v>0</v>
      </c>
      <c r="AG167" s="110" t="str">
        <f t="shared" si="7"/>
        <v>EMP5009 Rup Kumar Mandal</v>
      </c>
      <c r="AH167" s="103">
        <f>if(AC167,if(and(hour(AC167+AH$7)&gt;9.5,(hour(AC167+AH$7)&lt;19.5)),AC167+AH$7,_xlfn.workday.intl(int(AC167),1,"0000001",Holidays!A:A)+hour(AC167+AH$7-$B$1)/24+minute(AC167)/1440),"")</f>
        <v>46137.56528</v>
      </c>
      <c r="AI167" s="104">
        <v>46135.78016197917</v>
      </c>
      <c r="AJ167" s="105" t="s">
        <v>14</v>
      </c>
      <c r="AK167" s="111">
        <f t="shared" si="8"/>
        <v>0</v>
      </c>
      <c r="AL167" s="112" t="str">
        <f t="shared" si="9"/>
        <v>EMP5009 Rup Kumar Mandal</v>
      </c>
      <c r="AM167" s="113"/>
      <c r="AN167" s="114" t="s">
        <v>672</v>
      </c>
      <c r="AO167" s="115"/>
      <c r="AP167" s="115"/>
      <c r="AQ167" s="115"/>
      <c r="AR167" s="115"/>
      <c r="AS167" s="115"/>
      <c r="AT167" s="115"/>
      <c r="AU167" s="115"/>
      <c r="AV167" s="115"/>
      <c r="AW167" s="115"/>
      <c r="AX167" s="115"/>
      <c r="AY167" s="115"/>
    </row>
    <row r="168">
      <c r="A168" s="95">
        <f t="shared" si="11"/>
        <v>5119</v>
      </c>
      <c r="B168" s="96">
        <v>46136.52016341435</v>
      </c>
      <c r="C168" s="97" t="s">
        <v>1082</v>
      </c>
      <c r="D168" s="97" t="s">
        <v>277</v>
      </c>
      <c r="E168" s="98" t="s">
        <v>1078</v>
      </c>
      <c r="F168" s="97"/>
      <c r="G168" s="97" t="s">
        <v>1080</v>
      </c>
      <c r="H168" s="99" t="s">
        <v>147</v>
      </c>
      <c r="I168" s="100" t="s">
        <v>64</v>
      </c>
      <c r="J168" s="101" t="s">
        <v>67</v>
      </c>
      <c r="K168" s="100"/>
      <c r="L168" s="102" t="s">
        <v>1081</v>
      </c>
      <c r="M168" s="103">
        <f>if(B168,if(and(hour(B168+M$7)&gt;9.5,(hour(B168+M$7)&lt;19.5)),B168+M$7,_xlfn.workday.intl(int(B168),1,"0000001",Holidays!A:A)+hour(B168+M$7-$B$1)/24+minute(B168)/1440),"")</f>
        <v>46136.68683</v>
      </c>
      <c r="N168" s="104">
        <v>46136.527164513886</v>
      </c>
      <c r="O168" s="105" t="s">
        <v>14</v>
      </c>
      <c r="P168" s="106">
        <f t="shared" si="1"/>
        <v>0</v>
      </c>
      <c r="Q168" s="107" t="s">
        <v>48</v>
      </c>
      <c r="R168" s="108" t="s">
        <v>434</v>
      </c>
      <c r="S168" s="103">
        <f>if(M168,if(and(hour(M168+S$7)&gt;9.5,(hour(M168+S$7)&lt;19.5)),M168+S$7,_xlfn.workday.intl(int(M168),1,"0000001",Holidays!A:A)+hour(M168+S$7-$B$1)/24+minute(M168)/1440),"")</f>
        <v>46136.69377</v>
      </c>
      <c r="T168" s="104">
        <v>46136.52735333334</v>
      </c>
      <c r="U168" s="105" t="s">
        <v>14</v>
      </c>
      <c r="V168" s="109">
        <f t="shared" si="2"/>
        <v>0</v>
      </c>
      <c r="W168" s="110" t="str">
        <f t="shared" si="3"/>
        <v>EMP0237 Swarnendu Chakraborty</v>
      </c>
      <c r="X168" s="103">
        <f>if(S168,if(and(hour(S168+X$7)&gt;9.5,(hour(S168+X$7)&lt;19.5)),S168+X$7,_xlfn.workday.intl(int(S168),1,"0000001",Holidays!A:A)+hour(S168+X$7-$B$1)/24+minute(S168)/1440),"")</f>
        <v>46136.79794</v>
      </c>
      <c r="Y168" s="104">
        <v>46136.527378900464</v>
      </c>
      <c r="Z168" s="105" t="s">
        <v>14</v>
      </c>
      <c r="AA168" s="111">
        <f t="shared" si="4"/>
        <v>0</v>
      </c>
      <c r="AB168" s="110" t="str">
        <f t="shared" si="5"/>
        <v>EMP0237 Swarnendu Chakraborty</v>
      </c>
      <c r="AC168" s="103">
        <f>if(X168,_xlfn.WORKDAY.INTL(X168,AC$7,"0000001",Holidays!A:A)+hour(X168)/24+MINUTE(X168)/1440,"")</f>
        <v>46137.79792</v>
      </c>
      <c r="AD168" s="104">
        <v>46137.41777488426</v>
      </c>
      <c r="AE168" s="105" t="s">
        <v>14</v>
      </c>
      <c r="AF168" s="111">
        <f t="shared" si="6"/>
        <v>0</v>
      </c>
      <c r="AG168" s="110" t="str">
        <f t="shared" si="7"/>
        <v>EMP0237 Swarnendu Chakraborty</v>
      </c>
      <c r="AH168" s="103">
        <f>if(AC168,if(and(hour(AC168+AH$7)&gt;9.5,(hour(AC168+AH$7)&lt;19.5)),AC168+AH$7,_xlfn.workday.intl(int(AC168),1,"0000001",Holidays!A:A)+hour(AC168+AH$7-$B$1)/24+minute(AC168)/1440),"")</f>
        <v>46139.42292</v>
      </c>
      <c r="AI168" s="104">
        <v>46137.417801724536</v>
      </c>
      <c r="AJ168" s="105" t="s">
        <v>14</v>
      </c>
      <c r="AK168" s="111">
        <f t="shared" si="8"/>
        <v>0</v>
      </c>
      <c r="AL168" s="112" t="str">
        <f t="shared" si="9"/>
        <v>EMP0237 Swarnendu Chakraborty</v>
      </c>
      <c r="AM168" s="113"/>
      <c r="AN168" s="114" t="s">
        <v>672</v>
      </c>
      <c r="AO168" s="115"/>
      <c r="AP168" s="115"/>
      <c r="AQ168" s="115"/>
      <c r="AR168" s="115"/>
      <c r="AS168" s="115"/>
      <c r="AT168" s="115"/>
      <c r="AU168" s="115"/>
      <c r="AV168" s="115"/>
      <c r="AW168" s="115"/>
      <c r="AX168" s="115"/>
      <c r="AY168" s="115"/>
    </row>
    <row r="169">
      <c r="A169" s="95">
        <f t="shared" si="11"/>
        <v>5120</v>
      </c>
      <c r="B169" s="96">
        <v>46136.521452071756</v>
      </c>
      <c r="C169" s="97" t="s">
        <v>460</v>
      </c>
      <c r="D169" s="97" t="s">
        <v>106</v>
      </c>
      <c r="E169" s="98" t="s">
        <v>1083</v>
      </c>
      <c r="F169" s="98" t="s">
        <v>1089</v>
      </c>
      <c r="G169" s="97" t="s">
        <v>1085</v>
      </c>
      <c r="H169" s="99" t="s">
        <v>62</v>
      </c>
      <c r="I169" s="100" t="s">
        <v>64</v>
      </c>
      <c r="J169" s="101" t="s">
        <v>332</v>
      </c>
      <c r="K169" s="100"/>
      <c r="L169" s="102" t="s">
        <v>1086</v>
      </c>
      <c r="M169" s="103">
        <f>if(B169,if(and(hour(B169+M$7)&gt;9.5,(hour(B169+M$7)&lt;19.5)),B169+M$7,_xlfn.workday.intl(int(B169),1,"0000001",Holidays!A:A)+hour(B169+M$7-$B$1)/24+minute(B169)/1440),"")</f>
        <v>46136.68812</v>
      </c>
      <c r="N169" s="104">
        <v>46136.52692600695</v>
      </c>
      <c r="O169" s="105" t="s">
        <v>14</v>
      </c>
      <c r="P169" s="106">
        <f t="shared" si="1"/>
        <v>0</v>
      </c>
      <c r="Q169" s="107" t="s">
        <v>72</v>
      </c>
      <c r="R169" s="108" t="s">
        <v>434</v>
      </c>
      <c r="S169" s="103">
        <f>if(M169,if(and(hour(M169+S$7)&gt;9.5,(hour(M169+S$7)&lt;19.5)),M169+S$7,_xlfn.workday.intl(int(M169),1,"0000001",Holidays!A:A)+hour(M169+S$7-$B$1)/24+minute(M169)/1440),"")</f>
        <v>46136.69506</v>
      </c>
      <c r="T169" s="104">
        <v>46136.52703599537</v>
      </c>
      <c r="U169" s="105" t="s">
        <v>14</v>
      </c>
      <c r="V169" s="109">
        <f t="shared" si="2"/>
        <v>0</v>
      </c>
      <c r="W169" s="110" t="str">
        <f t="shared" si="3"/>
        <v>EMP5009 Rup Kumar Mandal</v>
      </c>
      <c r="X169" s="103">
        <f>if(S169,if(and(hour(S169+X$7)&gt;9.5,(hour(S169+X$7)&lt;19.5)),S169+X$7,_xlfn.workday.intl(int(S169),1,"0000001",Holidays!A:A)+hour(S169+X$7-$B$1)/24+minute(S169)/1440),"")</f>
        <v>46136.79923</v>
      </c>
      <c r="Y169" s="104">
        <v>46136.52706232639</v>
      </c>
      <c r="Z169" s="105" t="s">
        <v>14</v>
      </c>
      <c r="AA169" s="111">
        <f t="shared" si="4"/>
        <v>0</v>
      </c>
      <c r="AB169" s="110" t="str">
        <f t="shared" si="5"/>
        <v>EMP5009 Rup Kumar Mandal</v>
      </c>
      <c r="AC169" s="103">
        <f>if(X169,_xlfn.WORKDAY.INTL(X169,AC$7,"0000001",Holidays!A:A)+hour(X169)/24+MINUTE(X169)/1440,"")</f>
        <v>46137.79861</v>
      </c>
      <c r="AD169" s="104">
        <v>46137.409486979166</v>
      </c>
      <c r="AE169" s="105" t="s">
        <v>14</v>
      </c>
      <c r="AF169" s="111">
        <f t="shared" si="6"/>
        <v>0</v>
      </c>
      <c r="AG169" s="110" t="str">
        <f t="shared" si="7"/>
        <v>EMP5009 Rup Kumar Mandal</v>
      </c>
      <c r="AH169" s="103">
        <f>if(AC169,if(and(hour(AC169+AH$7)&gt;9.5,(hour(AC169+AH$7)&lt;19.5)),AC169+AH$7,_xlfn.workday.intl(int(AC169),1,"0000001",Holidays!A:A)+hour(AC169+AH$7-$B$1)/24+minute(AC169)/1440),"")</f>
        <v>46139.42361</v>
      </c>
      <c r="AI169" s="104">
        <v>46137.40952365741</v>
      </c>
      <c r="AJ169" s="105" t="s">
        <v>14</v>
      </c>
      <c r="AK169" s="111">
        <f t="shared" si="8"/>
        <v>0</v>
      </c>
      <c r="AL169" s="112" t="str">
        <f t="shared" si="9"/>
        <v>EMP5009 Rup Kumar Mandal</v>
      </c>
      <c r="AM169" s="113"/>
      <c r="AN169" s="114" t="s">
        <v>672</v>
      </c>
      <c r="AO169" s="115"/>
      <c r="AP169" s="115"/>
      <c r="AQ169" s="115"/>
      <c r="AR169" s="115"/>
      <c r="AS169" s="115"/>
      <c r="AT169" s="115"/>
      <c r="AU169" s="115"/>
      <c r="AV169" s="115"/>
      <c r="AW169" s="115"/>
      <c r="AX169" s="115"/>
      <c r="AY169" s="115"/>
    </row>
    <row r="170">
      <c r="A170" s="95">
        <f t="shared" si="11"/>
        <v>5121</v>
      </c>
      <c r="B170" s="96">
        <v>46136.523647071765</v>
      </c>
      <c r="C170" s="97" t="s">
        <v>790</v>
      </c>
      <c r="D170" s="97" t="s">
        <v>106</v>
      </c>
      <c r="E170" s="98" t="s">
        <v>1092</v>
      </c>
      <c r="F170" s="97"/>
      <c r="G170" s="97" t="s">
        <v>345</v>
      </c>
      <c r="H170" s="99" t="s">
        <v>62</v>
      </c>
      <c r="I170" s="100" t="s">
        <v>64</v>
      </c>
      <c r="J170" s="101" t="s">
        <v>332</v>
      </c>
      <c r="K170" s="100"/>
      <c r="L170" s="102" t="s">
        <v>1094</v>
      </c>
      <c r="M170" s="103">
        <f>if(B170,if(and(hour(B170+M$7)&gt;9.5,(hour(B170+M$7)&lt;19.5)),B170+M$7,_xlfn.workday.intl(int(B170),1,"0000001",Holidays!A:A)+hour(B170+M$7-$B$1)/24+minute(B170)/1440),"")</f>
        <v>46136.69031</v>
      </c>
      <c r="N170" s="104">
        <v>46136.52693146991</v>
      </c>
      <c r="O170" s="105" t="s">
        <v>14</v>
      </c>
      <c r="P170" s="106">
        <f t="shared" si="1"/>
        <v>0</v>
      </c>
      <c r="Q170" s="107" t="s">
        <v>72</v>
      </c>
      <c r="R170" s="108" t="s">
        <v>434</v>
      </c>
      <c r="S170" s="103">
        <f>if(M170,if(and(hour(M170+S$7)&gt;9.5,(hour(M170+S$7)&lt;19.5)),M170+S$7,_xlfn.workday.intl(int(M170),1,"0000001",Holidays!A:A)+hour(M170+S$7-$B$1)/24+minute(M170)/1440),"")</f>
        <v>46136.69726</v>
      </c>
      <c r="T170" s="104">
        <v>46136.54545730324</v>
      </c>
      <c r="U170" s="105" t="s">
        <v>14</v>
      </c>
      <c r="V170" s="109">
        <f t="shared" si="2"/>
        <v>0</v>
      </c>
      <c r="W170" s="110" t="str">
        <f t="shared" si="3"/>
        <v>EMP5009 Rup Kumar Mandal</v>
      </c>
      <c r="X170" s="103">
        <f>if(S170,if(and(hour(S170+X$7)&gt;9.5,(hour(S170+X$7)&lt;19.5)),S170+X$7,_xlfn.workday.intl(int(S170),1,"0000001",Holidays!A:A)+hour(S170+X$7-$B$1)/24+minute(S170)/1440),"")</f>
        <v>46136.80142</v>
      </c>
      <c r="Y170" s="104">
        <v>46136.54554697916</v>
      </c>
      <c r="Z170" s="105" t="s">
        <v>14</v>
      </c>
      <c r="AA170" s="111">
        <f t="shared" si="4"/>
        <v>0</v>
      </c>
      <c r="AB170" s="110" t="str">
        <f t="shared" si="5"/>
        <v>EMP5009 Rup Kumar Mandal</v>
      </c>
      <c r="AC170" s="103">
        <f>if(X170,_xlfn.WORKDAY.INTL(X170,AC$7,"0000001",Holidays!A:A)+hour(X170)/24+MINUTE(X170)/1440,"")</f>
        <v>46137.80139</v>
      </c>
      <c r="AD170" s="104">
        <v>46137.409190798615</v>
      </c>
      <c r="AE170" s="105" t="s">
        <v>14</v>
      </c>
      <c r="AF170" s="111">
        <f t="shared" si="6"/>
        <v>0</v>
      </c>
      <c r="AG170" s="110" t="str">
        <f t="shared" si="7"/>
        <v>EMP5009 Rup Kumar Mandal</v>
      </c>
      <c r="AH170" s="103">
        <f>if(AC170,if(and(hour(AC170+AH$7)&gt;9.5,(hour(AC170+AH$7)&lt;19.5)),AC170+AH$7,_xlfn.workday.intl(int(AC170),1,"0000001",Holidays!A:A)+hour(AC170+AH$7-$B$1)/24+minute(AC170)/1440),"")</f>
        <v>46139.42639</v>
      </c>
      <c r="AI170" s="104">
        <v>46137.72048320602</v>
      </c>
      <c r="AJ170" s="105" t="s">
        <v>14</v>
      </c>
      <c r="AK170" s="111">
        <f t="shared" si="8"/>
        <v>0</v>
      </c>
      <c r="AL170" s="112" t="str">
        <f t="shared" si="9"/>
        <v>EMP5009 Rup Kumar Mandal</v>
      </c>
      <c r="AM170" s="113"/>
      <c r="AN170" s="114" t="s">
        <v>672</v>
      </c>
      <c r="AO170" s="115"/>
      <c r="AP170" s="115"/>
      <c r="AQ170" s="115"/>
      <c r="AR170" s="115"/>
      <c r="AS170" s="115"/>
      <c r="AT170" s="115"/>
      <c r="AU170" s="115"/>
      <c r="AV170" s="115"/>
      <c r="AW170" s="115"/>
      <c r="AX170" s="115"/>
      <c r="AY170" s="115"/>
    </row>
    <row r="171">
      <c r="A171" s="95">
        <f t="shared" si="11"/>
        <v>5122</v>
      </c>
      <c r="B171" s="96">
        <v>46136.54016413195</v>
      </c>
      <c r="C171" s="97" t="s">
        <v>792</v>
      </c>
      <c r="D171" s="97" t="s">
        <v>106</v>
      </c>
      <c r="E171" s="98" t="s">
        <v>1097</v>
      </c>
      <c r="F171" s="97"/>
      <c r="G171" s="97" t="s">
        <v>117</v>
      </c>
      <c r="H171" s="99" t="s">
        <v>62</v>
      </c>
      <c r="I171" s="100" t="s">
        <v>64</v>
      </c>
      <c r="J171" s="101" t="s">
        <v>332</v>
      </c>
      <c r="K171" s="100"/>
      <c r="L171" s="102" t="s">
        <v>1099</v>
      </c>
      <c r="M171" s="103">
        <f>if(B171,if(and(hour(B171+M$7)&gt;9.5,(hour(B171+M$7)&lt;19.5)),B171+M$7,_xlfn.workday.intl(int(B171),1,"0000001",Holidays!A:A)+hour(B171+M$7-$B$1)/24+minute(B171)/1440),"")</f>
        <v>46136.70683</v>
      </c>
      <c r="N171" s="104">
        <v>46136.5451287037</v>
      </c>
      <c r="O171" s="105" t="s">
        <v>14</v>
      </c>
      <c r="P171" s="106">
        <f t="shared" si="1"/>
        <v>0</v>
      </c>
      <c r="Q171" s="107" t="s">
        <v>72</v>
      </c>
      <c r="R171" s="108" t="s">
        <v>434</v>
      </c>
      <c r="S171" s="103">
        <f>if(M171,if(and(hour(M171+S$7)&gt;9.5,(hour(M171+S$7)&lt;19.5)),M171+S$7,_xlfn.workday.intl(int(M171),1,"0000001",Holidays!A:A)+hour(M171+S$7-$B$1)/24+minute(M171)/1440),"")</f>
        <v>46136.71378</v>
      </c>
      <c r="T171" s="104">
        <v>46136.545328692126</v>
      </c>
      <c r="U171" s="105" t="s">
        <v>14</v>
      </c>
      <c r="V171" s="109">
        <f t="shared" si="2"/>
        <v>0</v>
      </c>
      <c r="W171" s="110" t="str">
        <f t="shared" si="3"/>
        <v>EMP5009 Rup Kumar Mandal</v>
      </c>
      <c r="X171" s="103">
        <f>if(S171,if(and(hour(S171+X$7)&gt;9.5,(hour(S171+X$7)&lt;19.5)),S171+X$7,_xlfn.workday.intl(int(S171),1,"0000001",Holidays!A:A)+hour(S171+X$7-$B$1)/24+minute(S171)/1440),"")</f>
        <v>46136.81794</v>
      </c>
      <c r="Y171" s="104">
        <v>46136.54555815972</v>
      </c>
      <c r="Z171" s="105" t="s">
        <v>14</v>
      </c>
      <c r="AA171" s="111">
        <f t="shared" si="4"/>
        <v>0</v>
      </c>
      <c r="AB171" s="110" t="str">
        <f t="shared" si="5"/>
        <v>EMP5009 Rup Kumar Mandal</v>
      </c>
      <c r="AC171" s="103">
        <f>if(X171,_xlfn.WORKDAY.INTL(X171,AC$7,"0000001",Holidays!A:A)+hour(X171)/24+MINUTE(X171)/1440,"")</f>
        <v>46137.81736</v>
      </c>
      <c r="AD171" s="104">
        <v>46137.40921733796</v>
      </c>
      <c r="AE171" s="105" t="s">
        <v>14</v>
      </c>
      <c r="AF171" s="111">
        <f t="shared" si="6"/>
        <v>0</v>
      </c>
      <c r="AG171" s="110" t="str">
        <f t="shared" si="7"/>
        <v>EMP5009 Rup Kumar Mandal</v>
      </c>
      <c r="AH171" s="103">
        <f>if(AC171,if(and(hour(AC171+AH$7)&gt;9.5,(hour(AC171+AH$7)&lt;19.5)),AC171+AH$7,_xlfn.workday.intl(int(AC171),1,"0000001",Holidays!A:A)+hour(AC171+AH$7-$B$1)/24+minute(AC171)/1440),"")</f>
        <v>46139.44236</v>
      </c>
      <c r="AI171" s="104">
        <v>46137.72046034722</v>
      </c>
      <c r="AJ171" s="105" t="s">
        <v>14</v>
      </c>
      <c r="AK171" s="111">
        <f t="shared" si="8"/>
        <v>0</v>
      </c>
      <c r="AL171" s="112" t="str">
        <f t="shared" si="9"/>
        <v>EMP5009 Rup Kumar Mandal</v>
      </c>
      <c r="AM171" s="113"/>
      <c r="AN171" s="114" t="s">
        <v>672</v>
      </c>
      <c r="AO171" s="115"/>
      <c r="AP171" s="115"/>
      <c r="AQ171" s="115"/>
      <c r="AR171" s="115"/>
      <c r="AS171" s="115"/>
      <c r="AT171" s="115"/>
      <c r="AU171" s="115"/>
      <c r="AV171" s="115"/>
      <c r="AW171" s="115"/>
      <c r="AX171" s="115"/>
      <c r="AY171" s="115"/>
    </row>
    <row r="172">
      <c r="A172" s="95">
        <f t="shared" si="11"/>
        <v>5123</v>
      </c>
      <c r="B172" s="96">
        <v>46139.51735393518</v>
      </c>
      <c r="C172" s="97" t="s">
        <v>796</v>
      </c>
      <c r="D172" s="97" t="s">
        <v>49</v>
      </c>
      <c r="E172" s="98" t="s">
        <v>1100</v>
      </c>
      <c r="F172" s="97"/>
      <c r="G172" s="97" t="s">
        <v>60</v>
      </c>
      <c r="H172" s="99" t="s">
        <v>126</v>
      </c>
      <c r="I172" s="100" t="s">
        <v>64</v>
      </c>
      <c r="J172" s="101" t="s">
        <v>47</v>
      </c>
      <c r="K172" s="100"/>
      <c r="L172" s="102" t="s">
        <v>1105</v>
      </c>
      <c r="M172" s="103">
        <f>if(B172,if(and(hour(B172+M$7)&gt;9.5,(hour(B172+M$7)&lt;19.5)),B172+M$7,_xlfn.workday.intl(int(B172),1,"0000001",Holidays!A:A)+hour(B172+M$7-$B$1)/24+minute(B172)/1440),"")</f>
        <v>46139.68402</v>
      </c>
      <c r="N172" s="104">
        <v>46139.54267685185</v>
      </c>
      <c r="O172" s="105" t="s">
        <v>14</v>
      </c>
      <c r="P172" s="106">
        <f t="shared" si="1"/>
        <v>0</v>
      </c>
      <c r="Q172" s="107" t="s">
        <v>61</v>
      </c>
      <c r="R172" s="108" t="s">
        <v>434</v>
      </c>
      <c r="S172" s="103">
        <f>if(M172,if(and(hour(M172+S$7)&gt;9.5,(hour(M172+S$7)&lt;19.5)),M172+S$7,_xlfn.workday.intl(int(M172),1,"0000001",Holidays!A:A)+hour(M172+S$7-$B$1)/24+minute(M172)/1440),"")</f>
        <v>46139.69097</v>
      </c>
      <c r="T172" s="104">
        <v>46139.54272333333</v>
      </c>
      <c r="U172" s="105" t="s">
        <v>14</v>
      </c>
      <c r="V172" s="109">
        <f t="shared" si="2"/>
        <v>0</v>
      </c>
      <c r="W172" s="110" t="str">
        <f t="shared" si="3"/>
        <v>EMP0021 Tamanna Dewangan</v>
      </c>
      <c r="X172" s="103">
        <f>if(S172,if(and(hour(S172+X$7)&gt;9.5,(hour(S172+X$7)&lt;19.5)),S172+X$7,_xlfn.workday.intl(int(S172),1,"0000001",Holidays!A:A)+hour(S172+X$7-$B$1)/24+minute(S172)/1440),"")</f>
        <v>46139.79513</v>
      </c>
      <c r="Y172" s="104">
        <v>46139.54276237269</v>
      </c>
      <c r="Z172" s="105" t="s">
        <v>14</v>
      </c>
      <c r="AA172" s="111">
        <f t="shared" si="4"/>
        <v>0</v>
      </c>
      <c r="AB172" s="110" t="str">
        <f t="shared" si="5"/>
        <v>EMP0021 Tamanna Dewangan</v>
      </c>
      <c r="AC172" s="103">
        <f>if(X172,_xlfn.WORKDAY.INTL(X172,AC$7,"0000001",Holidays!A:A)+hour(X172)/24+MINUTE(X172)/1440,"")</f>
        <v>46140.79444</v>
      </c>
      <c r="AD172" s="104">
        <v>46140.77613945602</v>
      </c>
      <c r="AE172" s="105" t="s">
        <v>14</v>
      </c>
      <c r="AF172" s="111">
        <f t="shared" si="6"/>
        <v>0</v>
      </c>
      <c r="AG172" s="110" t="str">
        <f t="shared" si="7"/>
        <v>EMP0021 Tamanna Dewangan</v>
      </c>
      <c r="AH172" s="118">
        <v>46141.46111111111</v>
      </c>
      <c r="AI172" s="104">
        <v>46141.43787678241</v>
      </c>
      <c r="AJ172" s="105" t="s">
        <v>14</v>
      </c>
      <c r="AK172" s="111">
        <f t="shared" si="8"/>
        <v>0</v>
      </c>
      <c r="AL172" s="112" t="str">
        <f t="shared" si="9"/>
        <v>EMP0021 Tamanna Dewangan</v>
      </c>
      <c r="AM172" s="113"/>
      <c r="AN172" s="114" t="s">
        <v>672</v>
      </c>
      <c r="AO172" s="115"/>
      <c r="AP172" s="115"/>
      <c r="AQ172" s="115"/>
      <c r="AR172" s="115"/>
      <c r="AS172" s="115"/>
      <c r="AT172" s="115"/>
      <c r="AU172" s="115"/>
      <c r="AV172" s="115"/>
      <c r="AW172" s="115"/>
      <c r="AX172" s="115"/>
      <c r="AY172" s="115"/>
    </row>
    <row r="173">
      <c r="A173" s="95">
        <f t="shared" si="11"/>
        <v>5124</v>
      </c>
      <c r="B173" s="96">
        <v>46139.53897920139</v>
      </c>
      <c r="C173" s="97" t="s">
        <v>800</v>
      </c>
      <c r="D173" s="97" t="s">
        <v>186</v>
      </c>
      <c r="E173" s="98" t="s">
        <v>1108</v>
      </c>
      <c r="F173" s="98" t="s">
        <v>1113</v>
      </c>
      <c r="G173" s="97" t="s">
        <v>1111</v>
      </c>
      <c r="H173" s="99" t="s">
        <v>147</v>
      </c>
      <c r="I173" s="100" t="s">
        <v>64</v>
      </c>
      <c r="J173" s="101" t="s">
        <v>303</v>
      </c>
      <c r="K173" s="100"/>
      <c r="L173" s="102" t="s">
        <v>1112</v>
      </c>
      <c r="M173" s="103">
        <f>if(B173,if(and(hour(B173+M$7)&gt;9.5,(hour(B173+M$7)&lt;19.5)),B173+M$7,_xlfn.workday.intl(int(B173),1,"0000001",Holidays!A:A)+hour(B173+M$7-$B$1)/24+minute(B173)/1440),"")</f>
        <v>46139.70565</v>
      </c>
      <c r="N173" s="104">
        <v>46139.61749239583</v>
      </c>
      <c r="O173" s="105" t="s">
        <v>14</v>
      </c>
      <c r="P173" s="106">
        <f t="shared" si="1"/>
        <v>0</v>
      </c>
      <c r="Q173" s="107" t="s">
        <v>15</v>
      </c>
      <c r="R173" s="108" t="s">
        <v>434</v>
      </c>
      <c r="S173" s="103">
        <f>if(M173,if(and(hour(M173+S$7)&gt;9.5,(hour(M173+S$7)&lt;19.5)),M173+S$7,_xlfn.workday.intl(int(M173),1,"0000001",Holidays!A:A)+hour(M173+S$7-$B$1)/24+minute(M173)/1440),"")</f>
        <v>46139.71259</v>
      </c>
      <c r="T173" s="104">
        <v>46139.61758666667</v>
      </c>
      <c r="U173" s="105" t="s">
        <v>14</v>
      </c>
      <c r="V173" s="109">
        <f t="shared" si="2"/>
        <v>0</v>
      </c>
      <c r="W173" s="110" t="str">
        <f t="shared" si="3"/>
        <v>EMP0042 HULESHWAR KUMAR SAHU</v>
      </c>
      <c r="X173" s="103">
        <f>if(S173,if(and(hour(S173+X$7)&gt;9.5,(hour(S173+X$7)&lt;19.5)),S173+X$7,_xlfn.workday.intl(int(S173),1,"0000001",Holidays!A:A)+hour(S173+X$7-$B$1)/24+minute(S173)/1440),"")</f>
        <v>46139.81676</v>
      </c>
      <c r="Y173" s="104">
        <v>46139.61772505787</v>
      </c>
      <c r="Z173" s="105" t="s">
        <v>14</v>
      </c>
      <c r="AA173" s="111">
        <f t="shared" si="4"/>
        <v>0</v>
      </c>
      <c r="AB173" s="110" t="str">
        <f t="shared" si="5"/>
        <v>EMP0042 HULESHWAR KUMAR SAHU</v>
      </c>
      <c r="AC173" s="103">
        <f>if(X173,_xlfn.WORKDAY.INTL(X173,AC$7,"0000001",Holidays!A:A)+hour(X173)/24+MINUTE(X173)/1440,"")</f>
        <v>46140.81667</v>
      </c>
      <c r="AD173" s="104">
        <v>46139.76939743056</v>
      </c>
      <c r="AE173" s="105" t="s">
        <v>14</v>
      </c>
      <c r="AF173" s="111">
        <f t="shared" si="6"/>
        <v>0</v>
      </c>
      <c r="AG173" s="110" t="str">
        <f t="shared" si="7"/>
        <v>EMP0042 HULESHWAR KUMAR SAHU</v>
      </c>
      <c r="AH173" s="103">
        <f>if(AC173,if(and(hour(AC173+AH$7)&gt;9.5,(hour(AC173+AH$7)&lt;19.5)),AC173+AH$7,_xlfn.workday.intl(int(AC173),1,"0000001",Holidays!A:A)+hour(AC173+AH$7-$B$1)/24+minute(AC173)/1440),"")</f>
        <v>46141.44167</v>
      </c>
      <c r="AI173" s="104">
        <v>46139.76942469907</v>
      </c>
      <c r="AJ173" s="105" t="s">
        <v>14</v>
      </c>
      <c r="AK173" s="111">
        <f t="shared" si="8"/>
        <v>0</v>
      </c>
      <c r="AL173" s="112" t="str">
        <f t="shared" si="9"/>
        <v>EMP0042 HULESHWAR KUMAR SAHU</v>
      </c>
      <c r="AM173" s="113"/>
      <c r="AN173" s="114" t="s">
        <v>672</v>
      </c>
      <c r="AO173" s="115"/>
      <c r="AP173" s="115"/>
      <c r="AQ173" s="115"/>
      <c r="AR173" s="115"/>
      <c r="AS173" s="115"/>
      <c r="AT173" s="115"/>
      <c r="AU173" s="115"/>
      <c r="AV173" s="115"/>
      <c r="AW173" s="115"/>
      <c r="AX173" s="115"/>
      <c r="AY173" s="115"/>
    </row>
    <row r="174">
      <c r="A174" s="95">
        <f t="shared" si="11"/>
        <v>5125</v>
      </c>
      <c r="B174" s="96">
        <v>46139.7474075</v>
      </c>
      <c r="C174" s="97" t="s">
        <v>803</v>
      </c>
      <c r="D174" s="97" t="s">
        <v>255</v>
      </c>
      <c r="E174" s="98" t="s">
        <v>1116</v>
      </c>
      <c r="F174" s="97"/>
      <c r="G174" s="97" t="s">
        <v>1121</v>
      </c>
      <c r="H174" s="99" t="s">
        <v>62</v>
      </c>
      <c r="I174" s="100" t="s">
        <v>64</v>
      </c>
      <c r="J174" s="101" t="s">
        <v>513</v>
      </c>
      <c r="K174" s="100"/>
      <c r="L174" s="102" t="s">
        <v>518</v>
      </c>
      <c r="M174" s="103">
        <f>if(B174,if(and(hour(B174+M$7)&gt;9.5,(hour(B174+M$7)&lt;19.5)),B174+M$7,_xlfn.workday.intl(int(B174),1,"0000001",Holidays!A:A)+hour(B174+M$7-$B$1)/24+minute(B174)/1440),"")</f>
        <v>46140.49722</v>
      </c>
      <c r="N174" s="104">
        <v>46139.76895681713</v>
      </c>
      <c r="O174" s="105" t="s">
        <v>14</v>
      </c>
      <c r="P174" s="106">
        <f t="shared" si="1"/>
        <v>0</v>
      </c>
      <c r="Q174" s="107" t="s">
        <v>72</v>
      </c>
      <c r="R174" s="108" t="s">
        <v>434</v>
      </c>
      <c r="S174" s="103">
        <f>if(M174,if(and(hour(M174+S$7)&gt;9.5,(hour(M174+S$7)&lt;19.5)),M174+S$7,_xlfn.workday.intl(int(M174),1,"0000001",Holidays!A:A)+hour(M174+S$7-$B$1)/24+minute(M174)/1440),"")</f>
        <v>46140.50417</v>
      </c>
      <c r="T174" s="104">
        <v>46139.76918833333</v>
      </c>
      <c r="U174" s="105" t="s">
        <v>14</v>
      </c>
      <c r="V174" s="109">
        <f t="shared" si="2"/>
        <v>0</v>
      </c>
      <c r="W174" s="110" t="str">
        <f t="shared" si="3"/>
        <v>EMP5009 Rup Kumar Mandal</v>
      </c>
      <c r="X174" s="103">
        <f>if(S174,if(and(hour(S174+X$7)&gt;9.5,(hour(S174+X$7)&lt;19.5)),S174+X$7,_xlfn.workday.intl(int(S174),1,"0000001",Holidays!A:A)+hour(S174+X$7-$B$1)/24+minute(S174)/1440),"")</f>
        <v>46140.60833</v>
      </c>
      <c r="Y174" s="104">
        <v>46139.76929520833</v>
      </c>
      <c r="Z174" s="105" t="s">
        <v>14</v>
      </c>
      <c r="AA174" s="111">
        <f t="shared" si="4"/>
        <v>0</v>
      </c>
      <c r="AB174" s="110" t="str">
        <f t="shared" si="5"/>
        <v>EMP5009 Rup Kumar Mandal</v>
      </c>
      <c r="AC174" s="103">
        <f>if(X174,_xlfn.WORKDAY.INTL(X174,AC$7,"0000001",Holidays!A:A)+hour(X174)/24+MINUTE(X174)/1440,"")</f>
        <v>46141.60833</v>
      </c>
      <c r="AD174" s="104">
        <v>46140.43073136574</v>
      </c>
      <c r="AE174" s="105" t="s">
        <v>14</v>
      </c>
      <c r="AF174" s="111">
        <f t="shared" si="6"/>
        <v>0</v>
      </c>
      <c r="AG174" s="110" t="str">
        <f t="shared" si="7"/>
        <v>EMP5009 Rup Kumar Mandal</v>
      </c>
      <c r="AH174" s="103">
        <f>if(AC174,if(and(hour(AC174+AH$7)&gt;9.5,(hour(AC174+AH$7)&lt;19.5)),AC174+AH$7,_xlfn.workday.intl(int(AC174),1,"0000001",Holidays!A:A)+hour(AC174+AH$7-$B$1)/24+minute(AC174)/1440),"")</f>
        <v>46141.65</v>
      </c>
      <c r="AI174" s="104">
        <v>46140.61367341435</v>
      </c>
      <c r="AJ174" s="105" t="s">
        <v>14</v>
      </c>
      <c r="AK174" s="111">
        <f t="shared" si="8"/>
        <v>0</v>
      </c>
      <c r="AL174" s="112" t="str">
        <f t="shared" si="9"/>
        <v>EMP5009 Rup Kumar Mandal</v>
      </c>
      <c r="AM174" s="113"/>
      <c r="AN174" s="114" t="s">
        <v>672</v>
      </c>
      <c r="AO174" s="115"/>
      <c r="AP174" s="115"/>
      <c r="AQ174" s="115"/>
      <c r="AR174" s="115"/>
      <c r="AS174" s="115"/>
      <c r="AT174" s="115"/>
      <c r="AU174" s="115"/>
      <c r="AV174" s="115"/>
      <c r="AW174" s="115"/>
      <c r="AX174" s="115"/>
      <c r="AY174" s="115"/>
    </row>
    <row r="175">
      <c r="A175" s="95">
        <f t="shared" si="11"/>
        <v>5126</v>
      </c>
      <c r="B175" s="96">
        <v>46139.74832550926</v>
      </c>
      <c r="C175" s="97" t="s">
        <v>807</v>
      </c>
      <c r="D175" s="97" t="s">
        <v>255</v>
      </c>
      <c r="E175" s="98" t="s">
        <v>1122</v>
      </c>
      <c r="F175" s="97"/>
      <c r="G175" s="97" t="s">
        <v>1121</v>
      </c>
      <c r="H175" s="99" t="s">
        <v>147</v>
      </c>
      <c r="I175" s="100" t="s">
        <v>64</v>
      </c>
      <c r="J175" s="101" t="s">
        <v>513</v>
      </c>
      <c r="K175" s="100"/>
      <c r="L175" s="102" t="s">
        <v>1125</v>
      </c>
      <c r="M175" s="103">
        <f>if(B175,if(and(hour(B175+M$7)&gt;9.5,(hour(B175+M$7)&lt;19.5)),B175+M$7,_xlfn.workday.intl(int(B175),1,"0000001",Holidays!A:A)+hour(B175+M$7-$B$1)/24+minute(B175)/1440),"")</f>
        <v>46140.49792</v>
      </c>
      <c r="N175" s="104">
        <v>46139.76898298611</v>
      </c>
      <c r="O175" s="105" t="s">
        <v>14</v>
      </c>
      <c r="P175" s="106">
        <f t="shared" si="1"/>
        <v>0</v>
      </c>
      <c r="Q175" s="107" t="s">
        <v>72</v>
      </c>
      <c r="R175" s="108" t="s">
        <v>434</v>
      </c>
      <c r="S175" s="103">
        <f>if(M175,if(and(hour(M175+S$7)&gt;9.5,(hour(M175+S$7)&lt;19.5)),M175+S$7,_xlfn.workday.intl(int(M175),1,"0000001",Holidays!A:A)+hour(M175+S$7-$B$1)/24+minute(M175)/1440),"")</f>
        <v>46140.50486</v>
      </c>
      <c r="T175" s="104">
        <v>46139.76920954861</v>
      </c>
      <c r="U175" s="105" t="s">
        <v>14</v>
      </c>
      <c r="V175" s="109">
        <f t="shared" si="2"/>
        <v>0</v>
      </c>
      <c r="W175" s="110" t="str">
        <f t="shared" si="3"/>
        <v>EMP5009 Rup Kumar Mandal</v>
      </c>
      <c r="X175" s="103">
        <f>if(S175,if(and(hour(S175+X$7)&gt;9.5,(hour(S175+X$7)&lt;19.5)),S175+X$7,_xlfn.workday.intl(int(S175),1,"0000001",Holidays!A:A)+hour(S175+X$7-$B$1)/24+minute(S175)/1440),"")</f>
        <v>46140.60903</v>
      </c>
      <c r="Y175" s="104">
        <v>46139.76931395833</v>
      </c>
      <c r="Z175" s="105" t="s">
        <v>14</v>
      </c>
      <c r="AA175" s="111">
        <f t="shared" si="4"/>
        <v>0</v>
      </c>
      <c r="AB175" s="110" t="str">
        <f t="shared" si="5"/>
        <v>EMP5009 Rup Kumar Mandal</v>
      </c>
      <c r="AC175" s="103">
        <f>if(X175,_xlfn.WORKDAY.INTL(X175,AC$7,"0000001",Holidays!A:A)+hour(X175)/24+MINUTE(X175)/1440,"")</f>
        <v>46141.60903</v>
      </c>
      <c r="AD175" s="104">
        <v>46140.43074696759</v>
      </c>
      <c r="AE175" s="105" t="s">
        <v>14</v>
      </c>
      <c r="AF175" s="111">
        <f t="shared" si="6"/>
        <v>0</v>
      </c>
      <c r="AG175" s="110" t="str">
        <f t="shared" si="7"/>
        <v>EMP5009 Rup Kumar Mandal</v>
      </c>
      <c r="AH175" s="103">
        <f>if(AC175,if(and(hour(AC175+AH$7)&gt;9.5,(hour(AC175+AH$7)&lt;19.5)),AC175+AH$7,_xlfn.workday.intl(int(AC175),1,"0000001",Holidays!A:A)+hour(AC175+AH$7-$B$1)/24+minute(AC175)/1440),"")</f>
        <v>46141.65069</v>
      </c>
      <c r="AI175" s="104">
        <v>46140.61371023148</v>
      </c>
      <c r="AJ175" s="105" t="s">
        <v>14</v>
      </c>
      <c r="AK175" s="111">
        <f t="shared" si="8"/>
        <v>0</v>
      </c>
      <c r="AL175" s="112" t="str">
        <f t="shared" si="9"/>
        <v>EMP5009 Rup Kumar Mandal</v>
      </c>
      <c r="AM175" s="113"/>
      <c r="AN175" s="114" t="s">
        <v>672</v>
      </c>
      <c r="AO175" s="115"/>
      <c r="AP175" s="115"/>
      <c r="AQ175" s="115"/>
      <c r="AR175" s="115"/>
      <c r="AS175" s="115"/>
      <c r="AT175" s="115"/>
      <c r="AU175" s="115"/>
      <c r="AV175" s="115"/>
      <c r="AW175" s="115"/>
      <c r="AX175" s="115"/>
      <c r="AY175" s="115"/>
    </row>
    <row r="176">
      <c r="A176" s="95">
        <f t="shared" si="11"/>
        <v>5127</v>
      </c>
      <c r="B176" s="96">
        <v>46142.53239299769</v>
      </c>
      <c r="C176" s="97" t="s">
        <v>811</v>
      </c>
      <c r="D176" s="97" t="s">
        <v>277</v>
      </c>
      <c r="E176" s="98" t="s">
        <v>1126</v>
      </c>
      <c r="F176" s="97"/>
      <c r="G176" s="97" t="s">
        <v>1129</v>
      </c>
      <c r="H176" s="99" t="s">
        <v>138</v>
      </c>
      <c r="I176" s="100" t="s">
        <v>64</v>
      </c>
      <c r="J176" s="101" t="s">
        <v>67</v>
      </c>
      <c r="K176" s="100"/>
      <c r="L176" s="102" t="s">
        <v>1130</v>
      </c>
      <c r="M176" s="103">
        <f>if(B176,if(and(hour(B176+M$7)&gt;9.5,(hour(B176+M$7)&lt;19.5)),B176+M$7,_xlfn.workday.intl(int(B176),1,"0000001",Holidays!A:A)+hour(B176+M$7-$B$1)/24+minute(B176)/1440),"")</f>
        <v>46142.69906</v>
      </c>
      <c r="N176" s="104">
        <v>46142.539442187495</v>
      </c>
      <c r="O176" s="105" t="s">
        <v>14</v>
      </c>
      <c r="P176" s="106">
        <f t="shared" si="1"/>
        <v>0</v>
      </c>
      <c r="Q176" s="107" t="s">
        <v>48</v>
      </c>
      <c r="R176" s="108" t="s">
        <v>434</v>
      </c>
      <c r="S176" s="103">
        <f>if(M176,if(and(hour(M176+S$7)&gt;9.5,(hour(M176+S$7)&lt;19.5)),M176+S$7,_xlfn.workday.intl(int(M176),1,"0000001",Holidays!A:A)+hour(M176+S$7-$B$1)/24+minute(M176)/1440),"")</f>
        <v>46142.706</v>
      </c>
      <c r="T176" s="104">
        <v>46142.53955613426</v>
      </c>
      <c r="U176" s="105" t="s">
        <v>14</v>
      </c>
      <c r="V176" s="109">
        <f t="shared" si="2"/>
        <v>0</v>
      </c>
      <c r="W176" s="110" t="str">
        <f t="shared" si="3"/>
        <v>EMP0237 Swarnendu Chakraborty</v>
      </c>
      <c r="X176" s="103">
        <f>if(S176,if(and(hour(S176+X$7)&gt;9.5,(hour(S176+X$7)&lt;19.5)),S176+X$7,_xlfn.workday.intl(int(S176),1,"0000001",Holidays!A:A)+hour(S176+X$7-$B$1)/24+minute(S176)/1440),"")</f>
        <v>46142.81017</v>
      </c>
      <c r="Y176" s="104">
        <v>46142.539633148146</v>
      </c>
      <c r="Z176" s="105" t="s">
        <v>14</v>
      </c>
      <c r="AA176" s="111">
        <f t="shared" si="4"/>
        <v>0</v>
      </c>
      <c r="AB176" s="110" t="str">
        <f t="shared" si="5"/>
        <v>EMP0237 Swarnendu Chakraborty</v>
      </c>
      <c r="AC176" s="103">
        <f>if(X176,_xlfn.WORKDAY.INTL(X176,AC$7,"0000001",Holidays!A:A)+hour(X176)/24+MINUTE(X176)/1440,"")</f>
        <v>46143.80972</v>
      </c>
      <c r="AD176" s="104">
        <v>46143.44628753472</v>
      </c>
      <c r="AE176" s="105" t="s">
        <v>14</v>
      </c>
      <c r="AF176" s="111">
        <f t="shared" si="6"/>
        <v>0</v>
      </c>
      <c r="AG176" s="110" t="str">
        <f t="shared" si="7"/>
        <v>EMP0237 Swarnendu Chakraborty</v>
      </c>
      <c r="AH176" s="103">
        <f>if(AC176,if(and(hour(AC176+AH$7)&gt;9.5,(hour(AC176+AH$7)&lt;19.5)),AC176+AH$7,_xlfn.workday.intl(int(AC176),1,"0000001",Holidays!A:A)+hour(AC176+AH$7-$B$1)/24+minute(AC176)/1440),"")</f>
        <v>46144.43472</v>
      </c>
      <c r="AI176" s="104">
        <v>46143.446376168984</v>
      </c>
      <c r="AJ176" s="105" t="s">
        <v>14</v>
      </c>
      <c r="AK176" s="111">
        <f t="shared" si="8"/>
        <v>0</v>
      </c>
      <c r="AL176" s="112" t="str">
        <f t="shared" si="9"/>
        <v>EMP0237 Swarnendu Chakraborty</v>
      </c>
      <c r="AM176" s="113"/>
      <c r="AN176" s="114" t="s">
        <v>672</v>
      </c>
      <c r="AO176" s="115"/>
      <c r="AP176" s="115"/>
      <c r="AQ176" s="115"/>
      <c r="AR176" s="115"/>
      <c r="AS176" s="115"/>
      <c r="AT176" s="115"/>
      <c r="AU176" s="115"/>
      <c r="AV176" s="115"/>
      <c r="AW176" s="115"/>
      <c r="AX176" s="115"/>
      <c r="AY176" s="115"/>
    </row>
    <row r="177">
      <c r="A177" s="95">
        <f t="shared" si="11"/>
        <v>5128</v>
      </c>
      <c r="B177" s="96">
        <v>46143.5422737037</v>
      </c>
      <c r="C177" s="97" t="s">
        <v>109</v>
      </c>
      <c r="D177" s="97" t="s">
        <v>142</v>
      </c>
      <c r="E177" s="98" t="s">
        <v>1131</v>
      </c>
      <c r="F177" s="97"/>
      <c r="G177" s="97" t="s">
        <v>1133</v>
      </c>
      <c r="H177" s="99" t="s">
        <v>147</v>
      </c>
      <c r="I177" s="100" t="s">
        <v>64</v>
      </c>
      <c r="J177" s="101" t="s">
        <v>141</v>
      </c>
      <c r="K177" s="100"/>
      <c r="L177" s="102" t="s">
        <v>253</v>
      </c>
      <c r="M177" s="103">
        <f>if(B177,if(and(hour(B177+M$7)&gt;9.5,(hour(B177+M$7)&lt;19.5)),B177+M$7,_xlfn.workday.intl(int(B177),1,"0000001",Holidays!A:A)+hour(B177+M$7-$B$1)/24+minute(B177)/1440),"")</f>
        <v>46143.70894</v>
      </c>
      <c r="N177" s="104">
        <v>46143.615031215275</v>
      </c>
      <c r="O177" s="105" t="s">
        <v>14</v>
      </c>
      <c r="P177" s="106">
        <f t="shared" si="1"/>
        <v>0</v>
      </c>
      <c r="Q177" s="107" t="s">
        <v>15</v>
      </c>
      <c r="R177" s="108" t="s">
        <v>434</v>
      </c>
      <c r="S177" s="103">
        <f>if(M177,if(and(hour(M177+S$7)&gt;9.5,(hour(M177+S$7)&lt;19.5)),M177+S$7,_xlfn.workday.intl(int(M177),1,"0000001",Holidays!A:A)+hour(M177+S$7-$B$1)/24+minute(M177)/1440),"")</f>
        <v>46143.71588</v>
      </c>
      <c r="T177" s="104">
        <v>46143.61509229167</v>
      </c>
      <c r="U177" s="105" t="s">
        <v>14</v>
      </c>
      <c r="V177" s="109">
        <f t="shared" si="2"/>
        <v>0</v>
      </c>
      <c r="W177" s="110" t="str">
        <f t="shared" si="3"/>
        <v>EMP0042 HULESHWAR KUMAR SAHU</v>
      </c>
      <c r="X177" s="103">
        <f>if(S177,if(and(hour(S177+X$7)&gt;9.5,(hour(S177+X$7)&lt;19.5)),S177+X$7,_xlfn.workday.intl(int(S177),1,"0000001",Holidays!A:A)+hour(S177+X$7-$B$1)/24+minute(S177)/1440),"")</f>
        <v>46143.82005</v>
      </c>
      <c r="Y177" s="104">
        <v>46143.61519614584</v>
      </c>
      <c r="Z177" s="105" t="s">
        <v>14</v>
      </c>
      <c r="AA177" s="111">
        <f t="shared" si="4"/>
        <v>0</v>
      </c>
      <c r="AB177" s="110" t="str">
        <f t="shared" si="5"/>
        <v>EMP0042 HULESHWAR KUMAR SAHU</v>
      </c>
      <c r="AC177" s="103">
        <f>if(X177,_xlfn.WORKDAY.INTL(X177,AC$7,"0000001",Holidays!A:A)+hour(X177)/24+MINUTE(X177)/1440,"")</f>
        <v>46144.81944</v>
      </c>
      <c r="AD177" s="104">
        <v>46143.61536449074</v>
      </c>
      <c r="AE177" s="105" t="s">
        <v>14</v>
      </c>
      <c r="AF177" s="111">
        <f t="shared" si="6"/>
        <v>0</v>
      </c>
      <c r="AG177" s="110" t="str">
        <f t="shared" si="7"/>
        <v>EMP0042 HULESHWAR KUMAR SAHU</v>
      </c>
      <c r="AH177" s="103">
        <f>if(AC177,if(and(hour(AC177+AH$7)&gt;9.5,(hour(AC177+AH$7)&lt;19.5)),AC177+AH$7,_xlfn.workday.intl(int(AC177),1,"0000001",Holidays!A:A)+hour(AC177+AH$7-$B$1)/24+minute(AC177)/1440),"")</f>
        <v>46146.44444</v>
      </c>
      <c r="AI177" s="104">
        <v>46143.63476144676</v>
      </c>
      <c r="AJ177" s="105" t="s">
        <v>14</v>
      </c>
      <c r="AK177" s="111">
        <f t="shared" si="8"/>
        <v>0</v>
      </c>
      <c r="AL177" s="112" t="str">
        <f t="shared" si="9"/>
        <v>EMP0042 HULESHWAR KUMAR SAHU</v>
      </c>
      <c r="AM177" s="113"/>
      <c r="AN177" s="114" t="s">
        <v>672</v>
      </c>
      <c r="AO177" s="115"/>
      <c r="AP177" s="115"/>
      <c r="AQ177" s="115"/>
      <c r="AR177" s="115"/>
      <c r="AS177" s="115"/>
      <c r="AT177" s="115"/>
      <c r="AU177" s="115"/>
      <c r="AV177" s="115"/>
      <c r="AW177" s="115"/>
      <c r="AX177" s="115"/>
      <c r="AY177" s="115"/>
    </row>
    <row r="178">
      <c r="A178" s="95">
        <f t="shared" si="11"/>
        <v>5129</v>
      </c>
      <c r="B178" s="96">
        <v>46143.6146306713</v>
      </c>
      <c r="C178" s="97" t="s">
        <v>818</v>
      </c>
      <c r="D178" s="97" t="s">
        <v>133</v>
      </c>
      <c r="E178" s="98" t="s">
        <v>1134</v>
      </c>
      <c r="F178" s="97"/>
      <c r="G178" s="97" t="s">
        <v>1139</v>
      </c>
      <c r="H178" s="99" t="s">
        <v>138</v>
      </c>
      <c r="I178" s="100" t="s">
        <v>237</v>
      </c>
      <c r="J178" s="101" t="s">
        <v>132</v>
      </c>
      <c r="K178" s="100"/>
      <c r="L178" s="102" t="s">
        <v>1140</v>
      </c>
      <c r="M178" s="103">
        <f>if(B178,if(and(hour(B178+M$7)&gt;9.5,(hour(B178+M$7)&lt;19.5)),B178+M$7,_xlfn.workday.intl(int(B178),1,"0000001",Holidays!A:A)+hour(B178+M$7-$B$1)/24+minute(B178)/1440),"")</f>
        <v>46143.7813</v>
      </c>
      <c r="N178" s="104">
        <v>46143.615048067135</v>
      </c>
      <c r="O178" s="105" t="s">
        <v>14</v>
      </c>
      <c r="P178" s="106">
        <f t="shared" si="1"/>
        <v>0</v>
      </c>
      <c r="Q178" s="107" t="s">
        <v>61</v>
      </c>
      <c r="R178" s="108" t="s">
        <v>434</v>
      </c>
      <c r="S178" s="103">
        <f>if(M178,if(and(hour(M178+S$7)&gt;9.5,(hour(M178+S$7)&lt;19.5)),M178+S$7,_xlfn.workday.intl(int(M178),1,"0000001",Holidays!A:A)+hour(M178+S$7-$B$1)/24+minute(M178)/1440),"")</f>
        <v>46143.78824</v>
      </c>
      <c r="T178" s="104">
        <v>46143.61511521991</v>
      </c>
      <c r="U178" s="105" t="s">
        <v>14</v>
      </c>
      <c r="V178" s="109">
        <f t="shared" si="2"/>
        <v>0</v>
      </c>
      <c r="W178" s="110" t="str">
        <f t="shared" si="3"/>
        <v>EMP0021 Tamanna Dewangan</v>
      </c>
      <c r="X178" s="103">
        <f>if(S178,if(and(hour(S178+X$7)&gt;9.5,(hour(S178+X$7)&lt;19.5)),S178+X$7,_xlfn.workday.intl(int(S178),1,"0000001",Holidays!A:A)+hour(S178+X$7-$B$1)/24+minute(S178)/1440),"")</f>
        <v>46144.49653</v>
      </c>
      <c r="Y178" s="104">
        <v>46143.61525001157</v>
      </c>
      <c r="Z178" s="105" t="s">
        <v>14</v>
      </c>
      <c r="AA178" s="111">
        <f t="shared" si="4"/>
        <v>0</v>
      </c>
      <c r="AB178" s="110" t="str">
        <f t="shared" si="5"/>
        <v>EMP0021 Tamanna Dewangan</v>
      </c>
      <c r="AC178" s="103">
        <f>if(X178,_xlfn.WORKDAY.INTL(X178,AC$7,"0000001",Holidays!A:A)+hour(X178)/24+MINUTE(X178)/1440,"")</f>
        <v>46146.49653</v>
      </c>
      <c r="AD178" s="104">
        <v>46143.61542028935</v>
      </c>
      <c r="AE178" s="105" t="s">
        <v>14</v>
      </c>
      <c r="AF178" s="111">
        <f t="shared" si="6"/>
        <v>0</v>
      </c>
      <c r="AG178" s="110" t="str">
        <f t="shared" si="7"/>
        <v>EMP0021 Tamanna Dewangan</v>
      </c>
      <c r="AH178" s="103">
        <f>if(AC178,if(and(hour(AC178+AH$7)&gt;9.5,(hour(AC178+AH$7)&lt;19.5)),AC178+AH$7,_xlfn.workday.intl(int(AC178),1,"0000001",Holidays!A:A)+hour(AC178+AH$7-$B$1)/24+minute(AC178)/1440),"")</f>
        <v>46146.53819</v>
      </c>
      <c r="AI178" s="104">
        <v>46143.802597291666</v>
      </c>
      <c r="AJ178" s="105" t="s">
        <v>14</v>
      </c>
      <c r="AK178" s="111">
        <f t="shared" si="8"/>
        <v>0</v>
      </c>
      <c r="AL178" s="112" t="str">
        <f t="shared" si="9"/>
        <v>EMP0021 Tamanna Dewangan</v>
      </c>
      <c r="AM178" s="113"/>
      <c r="AN178" s="114" t="s">
        <v>672</v>
      </c>
      <c r="AO178" s="115"/>
      <c r="AP178" s="115"/>
      <c r="AQ178" s="115"/>
      <c r="AR178" s="115"/>
      <c r="AS178" s="115"/>
      <c r="AT178" s="115"/>
      <c r="AU178" s="115"/>
      <c r="AV178" s="115"/>
      <c r="AW178" s="115"/>
      <c r="AX178" s="115"/>
      <c r="AY178" s="115"/>
    </row>
    <row r="179">
      <c r="A179" s="95">
        <f t="shared" si="11"/>
        <v>5130</v>
      </c>
      <c r="B179" s="96">
        <v>46143.6444681713</v>
      </c>
      <c r="C179" s="97" t="s">
        <v>761</v>
      </c>
      <c r="D179" s="97" t="s">
        <v>142</v>
      </c>
      <c r="E179" s="98" t="s">
        <v>1141</v>
      </c>
      <c r="F179" s="97"/>
      <c r="G179" s="97" t="s">
        <v>146</v>
      </c>
      <c r="H179" s="99" t="s">
        <v>1144</v>
      </c>
      <c r="I179" s="100" t="s">
        <v>64</v>
      </c>
      <c r="J179" s="101" t="s">
        <v>141</v>
      </c>
      <c r="K179" s="100"/>
      <c r="L179" s="102" t="s">
        <v>1048</v>
      </c>
      <c r="M179" s="103">
        <f>if(B179,if(and(hour(B179+M$7)&gt;9.5,(hour(B179+M$7)&lt;19.5)),B179+M$7,_xlfn.workday.intl(int(B179),1,"0000001",Holidays!A:A)+hour(B179+M$7-$B$1)/24+minute(B179)/1440),"")</f>
        <v>46143.81113</v>
      </c>
      <c r="N179" s="104">
        <v>46143.66634364583</v>
      </c>
      <c r="O179" s="105" t="s">
        <v>14</v>
      </c>
      <c r="P179" s="106">
        <f t="shared" si="1"/>
        <v>0</v>
      </c>
      <c r="Q179" s="107" t="s">
        <v>15</v>
      </c>
      <c r="R179" s="108" t="s">
        <v>434</v>
      </c>
      <c r="S179" s="103">
        <f>if(M179,if(and(hour(M179+S$7)&gt;9.5,(hour(M179+S$7)&lt;19.5)),M179+S$7,_xlfn.workday.intl(int(M179),1,"0000001",Holidays!A:A)+hour(M179+S$7-$B$1)/24+minute(M179)/1440),"")</f>
        <v>46143.81808</v>
      </c>
      <c r="T179" s="104">
        <v>46143.666465347225</v>
      </c>
      <c r="U179" s="105" t="s">
        <v>14</v>
      </c>
      <c r="V179" s="109">
        <f t="shared" si="2"/>
        <v>0</v>
      </c>
      <c r="W179" s="110" t="str">
        <f t="shared" si="3"/>
        <v>EMP0042 HULESHWAR KUMAR SAHU</v>
      </c>
      <c r="X179" s="103">
        <f>if(S179,if(and(hour(S179+X$7)&gt;9.5,(hour(S179+X$7)&lt;19.5)),S179+X$7,_xlfn.workday.intl(int(S179),1,"0000001",Holidays!A:A)+hour(S179+X$7-$B$1)/24+minute(S179)/1440),"")</f>
        <v>46144.52639</v>
      </c>
      <c r="Y179" s="104">
        <v>46143.66654177083</v>
      </c>
      <c r="Z179" s="105" t="s">
        <v>14</v>
      </c>
      <c r="AA179" s="111">
        <f t="shared" si="4"/>
        <v>0</v>
      </c>
      <c r="AB179" s="110" t="str">
        <f t="shared" si="5"/>
        <v>EMP0042 HULESHWAR KUMAR SAHU</v>
      </c>
      <c r="AC179" s="103">
        <f>if(X179,_xlfn.WORKDAY.INTL(X179,AC$7,"0000001",Holidays!A:A)+hour(X179)/24+MINUTE(X179)/1440,"")</f>
        <v>46146.52639</v>
      </c>
      <c r="AD179" s="104">
        <v>46143.802529849534</v>
      </c>
      <c r="AE179" s="105" t="s">
        <v>14</v>
      </c>
      <c r="AF179" s="111">
        <f t="shared" si="6"/>
        <v>0</v>
      </c>
      <c r="AG179" s="110" t="str">
        <f t="shared" si="7"/>
        <v>EMP0042 HULESHWAR KUMAR SAHU</v>
      </c>
      <c r="AH179" s="103">
        <f>if(AC179,if(and(hour(AC179+AH$7)&gt;9.5,(hour(AC179+AH$7)&lt;19.5)),AC179+AH$7,_xlfn.workday.intl(int(AC179),1,"0000001",Holidays!A:A)+hour(AC179+AH$7-$B$1)/24+minute(AC179)/1440),"")</f>
        <v>46146.56806</v>
      </c>
      <c r="AI179" s="104">
        <v>46146.42504501157</v>
      </c>
      <c r="AJ179" s="105" t="s">
        <v>14</v>
      </c>
      <c r="AK179" s="111">
        <f t="shared" si="8"/>
        <v>0</v>
      </c>
      <c r="AL179" s="112" t="str">
        <f t="shared" si="9"/>
        <v>EMP0042 HULESHWAR KUMAR SAHU</v>
      </c>
      <c r="AM179" s="113"/>
      <c r="AN179" s="114" t="s">
        <v>672</v>
      </c>
      <c r="AO179" s="115"/>
      <c r="AP179" s="115"/>
      <c r="AQ179" s="115"/>
      <c r="AR179" s="115"/>
      <c r="AS179" s="115"/>
      <c r="AT179" s="115"/>
      <c r="AU179" s="115"/>
      <c r="AV179" s="115"/>
      <c r="AW179" s="115"/>
      <c r="AX179" s="115"/>
      <c r="AY179" s="115"/>
    </row>
    <row r="180">
      <c r="A180" s="95">
        <f t="shared" si="11"/>
        <v>5131</v>
      </c>
      <c r="B180" s="96">
        <v>46143.70594945602</v>
      </c>
      <c r="C180" s="97" t="s">
        <v>825</v>
      </c>
      <c r="D180" s="97" t="s">
        <v>255</v>
      </c>
      <c r="E180" s="98" t="s">
        <v>1145</v>
      </c>
      <c r="F180" s="97"/>
      <c r="G180" s="97" t="s">
        <v>1149</v>
      </c>
      <c r="H180" s="99" t="s">
        <v>147</v>
      </c>
      <c r="I180" s="100" t="s">
        <v>64</v>
      </c>
      <c r="J180" s="101" t="s">
        <v>513</v>
      </c>
      <c r="K180" s="100"/>
      <c r="L180" s="102" t="s">
        <v>518</v>
      </c>
      <c r="M180" s="103">
        <f>if(B180,if(and(hour(B180+M$7)&gt;9.5,(hour(B180+M$7)&lt;19.5)),B180+M$7,_xlfn.workday.intl(int(B180),1,"0000001",Holidays!A:A)+hour(B180+M$7-$B$1)/24+minute(B180)/1440),"")</f>
        <v>46144.45556</v>
      </c>
      <c r="N180" s="104">
        <v>46143.77840005787</v>
      </c>
      <c r="O180" s="105" t="s">
        <v>14</v>
      </c>
      <c r="P180" s="106">
        <f t="shared" si="1"/>
        <v>0</v>
      </c>
      <c r="Q180" s="107" t="s">
        <v>48</v>
      </c>
      <c r="R180" s="108" t="s">
        <v>434</v>
      </c>
      <c r="S180" s="103">
        <f>if(M180,if(and(hour(M180+S$7)&gt;9.5,(hour(M180+S$7)&lt;19.5)),M180+S$7,_xlfn.workday.intl(int(M180),1,"0000001",Holidays!A:A)+hour(M180+S$7-$B$1)/24+minute(M180)/1440),"")</f>
        <v>46144.4625</v>
      </c>
      <c r="T180" s="104">
        <v>46143.77852409722</v>
      </c>
      <c r="U180" s="105" t="s">
        <v>14</v>
      </c>
      <c r="V180" s="109">
        <f t="shared" si="2"/>
        <v>0</v>
      </c>
      <c r="W180" s="110" t="str">
        <f t="shared" si="3"/>
        <v>EMP0237 Swarnendu Chakraborty</v>
      </c>
      <c r="X180" s="103">
        <f>if(S180,if(and(hour(S180+X$7)&gt;9.5,(hour(S180+X$7)&lt;19.5)),S180+X$7,_xlfn.workday.intl(int(S180),1,"0000001",Holidays!A:A)+hour(S180+X$7-$B$1)/24+minute(S180)/1440),"")</f>
        <v>46144.56667</v>
      </c>
      <c r="Y180" s="104">
        <v>46143.778711493054</v>
      </c>
      <c r="Z180" s="105" t="s">
        <v>14</v>
      </c>
      <c r="AA180" s="111">
        <f t="shared" si="4"/>
        <v>0</v>
      </c>
      <c r="AB180" s="110" t="str">
        <f t="shared" si="5"/>
        <v>EMP0237 Swarnendu Chakraborty</v>
      </c>
      <c r="AC180" s="103">
        <f>if(X180,_xlfn.WORKDAY.INTL(X180,AC$7,"0000001",Holidays!A:A)+hour(X180)/24+MINUTE(X180)/1440,"")</f>
        <v>46146.56667</v>
      </c>
      <c r="AD180" s="104">
        <v>46144.61231201389</v>
      </c>
      <c r="AE180" s="105" t="s">
        <v>14</v>
      </c>
      <c r="AF180" s="111">
        <f t="shared" si="6"/>
        <v>0</v>
      </c>
      <c r="AG180" s="110" t="str">
        <f t="shared" si="7"/>
        <v>EMP0237 Swarnendu Chakraborty</v>
      </c>
      <c r="AH180" s="103">
        <f>if(AC180,if(and(hour(AC180+AH$7)&gt;9.5,(hour(AC180+AH$7)&lt;19.5)),AC180+AH$7,_xlfn.workday.intl(int(AC180),1,"0000001",Holidays!A:A)+hour(AC180+AH$7-$B$1)/24+minute(AC180)/1440),"")</f>
        <v>46146.60833</v>
      </c>
      <c r="AI180" s="104">
        <v>46146.42511489583</v>
      </c>
      <c r="AJ180" s="105" t="s">
        <v>14</v>
      </c>
      <c r="AK180" s="111">
        <f t="shared" si="8"/>
        <v>0</v>
      </c>
      <c r="AL180" s="112" t="str">
        <f t="shared" si="9"/>
        <v>EMP0237 Swarnendu Chakraborty</v>
      </c>
      <c r="AM180" s="113"/>
      <c r="AN180" s="114" t="s">
        <v>672</v>
      </c>
      <c r="AO180" s="115"/>
      <c r="AP180" s="115"/>
      <c r="AQ180" s="115"/>
      <c r="AR180" s="115"/>
      <c r="AS180" s="115"/>
      <c r="AT180" s="115"/>
      <c r="AU180" s="115"/>
      <c r="AV180" s="115"/>
      <c r="AW180" s="115"/>
      <c r="AX180" s="115"/>
      <c r="AY180" s="115"/>
    </row>
    <row r="181">
      <c r="A181" s="95">
        <f t="shared" si="11"/>
        <v>5132</v>
      </c>
      <c r="B181" s="96">
        <v>46144.48973072917</v>
      </c>
      <c r="C181" s="97" t="s">
        <v>830</v>
      </c>
      <c r="D181" s="97" t="s">
        <v>142</v>
      </c>
      <c r="E181" s="98" t="s">
        <v>1150</v>
      </c>
      <c r="F181" s="97"/>
      <c r="G181" s="97" t="s">
        <v>168</v>
      </c>
      <c r="H181" s="99" t="s">
        <v>147</v>
      </c>
      <c r="I181" s="100" t="s">
        <v>64</v>
      </c>
      <c r="J181" s="101" t="s">
        <v>141</v>
      </c>
      <c r="K181" s="100"/>
      <c r="L181" s="102" t="s">
        <v>1153</v>
      </c>
      <c r="M181" s="103">
        <f>if(B181,if(and(hour(B181+M$7)&gt;9.5,(hour(B181+M$7)&lt;19.5)),B181+M$7,_xlfn.workday.intl(int(B181),1,"0000001",Holidays!A:A)+hour(B181+M$7-$B$1)/24+minute(B181)/1440),"")</f>
        <v>46144.6564</v>
      </c>
      <c r="N181" s="104">
        <v>46144.57651920139</v>
      </c>
      <c r="O181" s="105" t="s">
        <v>14</v>
      </c>
      <c r="P181" s="106">
        <f t="shared" si="1"/>
        <v>0</v>
      </c>
      <c r="Q181" s="107" t="s">
        <v>15</v>
      </c>
      <c r="R181" s="108" t="s">
        <v>434</v>
      </c>
      <c r="S181" s="103">
        <f>if(M181,if(and(hour(M181+S$7)&gt;9.5,(hour(M181+S$7)&lt;19.5)),M181+S$7,_xlfn.workday.intl(int(M181),1,"0000001",Holidays!A:A)+hour(M181+S$7-$B$1)/24+minute(M181)/1440),"")</f>
        <v>46144.66334</v>
      </c>
      <c r="T181" s="104">
        <v>46144.57673548612</v>
      </c>
      <c r="U181" s="105" t="s">
        <v>14</v>
      </c>
      <c r="V181" s="109">
        <f t="shared" si="2"/>
        <v>0</v>
      </c>
      <c r="W181" s="110" t="str">
        <f t="shared" si="3"/>
        <v>EMP0042 HULESHWAR KUMAR SAHU</v>
      </c>
      <c r="X181" s="103">
        <f>if(S181,if(and(hour(S181+X$7)&gt;9.5,(hour(S181+X$7)&lt;19.5)),S181+X$7,_xlfn.workday.intl(int(S181),1,"0000001",Holidays!A:A)+hour(S181+X$7-$B$1)/24+minute(S181)/1440),"")</f>
        <v>46144.76751</v>
      </c>
      <c r="Y181" s="104">
        <v>46144.57677861111</v>
      </c>
      <c r="Z181" s="105" t="s">
        <v>14</v>
      </c>
      <c r="AA181" s="111">
        <f t="shared" si="4"/>
        <v>0</v>
      </c>
      <c r="AB181" s="110" t="str">
        <f t="shared" si="5"/>
        <v>EMP0042 HULESHWAR KUMAR SAHU</v>
      </c>
      <c r="AC181" s="103">
        <f>if(X181,_xlfn.WORKDAY.INTL(X181,AC$7,"0000001",Holidays!A:A)+hour(X181)/24+MINUTE(X181)/1440,"")</f>
        <v>46146.76736</v>
      </c>
      <c r="AD181" s="104">
        <v>46144.61238359954</v>
      </c>
      <c r="AE181" s="105" t="s">
        <v>14</v>
      </c>
      <c r="AF181" s="111">
        <f t="shared" si="6"/>
        <v>0</v>
      </c>
      <c r="AG181" s="110" t="str">
        <f t="shared" si="7"/>
        <v>EMP0042 HULESHWAR KUMAR SAHU</v>
      </c>
      <c r="AH181" s="103">
        <f>if(AC181,if(and(hour(AC181+AH$7)&gt;9.5,(hour(AC181+AH$7)&lt;19.5)),AC181+AH$7,_xlfn.workday.intl(int(AC181),1,"0000001",Holidays!A:A)+hour(AC181+AH$7-$B$1)/24+minute(AC181)/1440),"")</f>
        <v>46146.80903</v>
      </c>
      <c r="AI181" s="104">
        <v>46146.46831694445</v>
      </c>
      <c r="AJ181" s="105" t="s">
        <v>14</v>
      </c>
      <c r="AK181" s="111">
        <f t="shared" si="8"/>
        <v>0</v>
      </c>
      <c r="AL181" s="112" t="str">
        <f t="shared" si="9"/>
        <v>EMP0042 HULESHWAR KUMAR SAHU</v>
      </c>
      <c r="AM181" s="113"/>
      <c r="AN181" s="114" t="s">
        <v>672</v>
      </c>
      <c r="AO181" s="115"/>
      <c r="AP181" s="115"/>
      <c r="AQ181" s="115"/>
      <c r="AR181" s="115"/>
      <c r="AS181" s="115"/>
      <c r="AT181" s="115"/>
      <c r="AU181" s="115"/>
      <c r="AV181" s="115"/>
      <c r="AW181" s="115"/>
      <c r="AX181" s="115"/>
      <c r="AY181" s="115"/>
    </row>
    <row r="182">
      <c r="A182" s="95">
        <f t="shared" si="11"/>
        <v>5133</v>
      </c>
      <c r="B182" s="96">
        <v>46144.52227152778</v>
      </c>
      <c r="C182" s="97" t="s">
        <v>833</v>
      </c>
      <c r="D182" s="97" t="s">
        <v>207</v>
      </c>
      <c r="E182" s="98" t="s">
        <v>1154</v>
      </c>
      <c r="F182" s="97"/>
      <c r="G182" s="97" t="s">
        <v>1159</v>
      </c>
      <c r="H182" s="99" t="s">
        <v>126</v>
      </c>
      <c r="I182" s="100" t="s">
        <v>64</v>
      </c>
      <c r="J182" s="101" t="s">
        <v>206</v>
      </c>
      <c r="K182" s="100"/>
      <c r="L182" s="102" t="s">
        <v>1160</v>
      </c>
      <c r="M182" s="103">
        <f>if(B182,if(and(hour(B182+M$7)&gt;9.5,(hour(B182+M$7)&lt;19.5)),B182+M$7,_xlfn.workday.intl(int(B182),1,"0000001",Holidays!A:A)+hour(B182+M$7-$B$1)/24+minute(B182)/1440),"")</f>
        <v>46144.68894</v>
      </c>
      <c r="N182" s="104">
        <v>46144.57635005787</v>
      </c>
      <c r="O182" s="105" t="s">
        <v>14</v>
      </c>
      <c r="P182" s="106">
        <f t="shared" si="1"/>
        <v>0</v>
      </c>
      <c r="Q182" s="107" t="s">
        <v>48</v>
      </c>
      <c r="R182" s="108" t="s">
        <v>434</v>
      </c>
      <c r="S182" s="103">
        <f>if(M182,if(and(hour(M182+S$7)&gt;9.5,(hour(M182+S$7)&lt;19.5)),M182+S$7,_xlfn.workday.intl(int(M182),1,"0000001",Holidays!A:A)+hour(M182+S$7-$B$1)/24+minute(M182)/1440),"")</f>
        <v>46144.69588</v>
      </c>
      <c r="T182" s="104">
        <v>46144.57659174768</v>
      </c>
      <c r="U182" s="105" t="s">
        <v>14</v>
      </c>
      <c r="V182" s="109">
        <f t="shared" si="2"/>
        <v>0</v>
      </c>
      <c r="W182" s="110" t="str">
        <f t="shared" si="3"/>
        <v>EMP0237 Swarnendu Chakraborty</v>
      </c>
      <c r="X182" s="103">
        <f>if(S182,if(and(hour(S182+X$7)&gt;9.5,(hour(S182+X$7)&lt;19.5)),S182+X$7,_xlfn.workday.intl(int(S182),1,"0000001",Holidays!A:A)+hour(S182+X$7-$B$1)/24+minute(S182)/1440),"")</f>
        <v>46144.80005</v>
      </c>
      <c r="Y182" s="104">
        <v>46144.576673449075</v>
      </c>
      <c r="Z182" s="105" t="s">
        <v>14</v>
      </c>
      <c r="AA182" s="111">
        <f t="shared" si="4"/>
        <v>0</v>
      </c>
      <c r="AB182" s="110" t="str">
        <f t="shared" si="5"/>
        <v>EMP0237 Swarnendu Chakraborty</v>
      </c>
      <c r="AC182" s="103">
        <f>if(X182,_xlfn.WORKDAY.INTL(X182,AC$7,"0000001",Holidays!A:A)+hour(X182)/24+MINUTE(X182)/1440,"")</f>
        <v>46146.8</v>
      </c>
      <c r="AD182" s="104">
        <v>46144.6124194213</v>
      </c>
      <c r="AE182" s="105" t="s">
        <v>14</v>
      </c>
      <c r="AF182" s="111">
        <f t="shared" si="6"/>
        <v>0</v>
      </c>
      <c r="AG182" s="110" t="str">
        <f t="shared" si="7"/>
        <v>EMP0237 Swarnendu Chakraborty</v>
      </c>
      <c r="AH182" s="103">
        <f>if(AC182,if(and(hour(AC182+AH$7)&gt;9.5,(hour(AC182+AH$7)&lt;19.5)),AC182+AH$7,_xlfn.workday.intl(int(AC182),1,"0000001",Holidays!A:A)+hour(AC182+AH$7-$B$1)/24+minute(AC182)/1440),"")</f>
        <v>46147.425</v>
      </c>
      <c r="AI182" s="104">
        <v>46144.710143344906</v>
      </c>
      <c r="AJ182" s="105" t="s">
        <v>14</v>
      </c>
      <c r="AK182" s="111">
        <f t="shared" si="8"/>
        <v>0</v>
      </c>
      <c r="AL182" s="112" t="str">
        <f t="shared" si="9"/>
        <v>EMP0237 Swarnendu Chakraborty</v>
      </c>
      <c r="AM182" s="113"/>
      <c r="AN182" s="114" t="s">
        <v>672</v>
      </c>
      <c r="AO182" s="115"/>
      <c r="AP182" s="115"/>
      <c r="AQ182" s="115"/>
      <c r="AR182" s="115"/>
      <c r="AS182" s="115"/>
      <c r="AT182" s="115"/>
      <c r="AU182" s="115"/>
      <c r="AV182" s="115"/>
      <c r="AW182" s="115"/>
      <c r="AX182" s="115"/>
      <c r="AY182" s="115"/>
    </row>
    <row r="183">
      <c r="A183" s="95">
        <f t="shared" si="11"/>
        <v>5134</v>
      </c>
      <c r="B183" s="96">
        <v>46144.5648090625</v>
      </c>
      <c r="C183" s="97" t="s">
        <v>838</v>
      </c>
      <c r="D183" s="97" t="s">
        <v>1162</v>
      </c>
      <c r="E183" s="98" t="s">
        <v>1163</v>
      </c>
      <c r="F183" s="97"/>
      <c r="G183" s="97" t="s">
        <v>1166</v>
      </c>
      <c r="H183" s="99" t="s">
        <v>138</v>
      </c>
      <c r="I183" s="100" t="s">
        <v>139</v>
      </c>
      <c r="J183" s="101" t="s">
        <v>1161</v>
      </c>
      <c r="K183" s="100"/>
      <c r="L183" s="102" t="s">
        <v>1167</v>
      </c>
      <c r="M183" s="103">
        <f>if(B183,if(and(hour(B183+M$7)&gt;9.5,(hour(B183+M$7)&lt;19.5)),B183+M$7,_xlfn.workday.intl(int(B183),1,"0000001",Holidays!A:A)+hour(B183+M$7-$B$1)/24+minute(B183)/1440),"")</f>
        <v>46144.73148</v>
      </c>
      <c r="N183" s="104">
        <v>46144.57693045139</v>
      </c>
      <c r="O183" s="105" t="s">
        <v>14</v>
      </c>
      <c r="P183" s="106">
        <f t="shared" si="1"/>
        <v>0</v>
      </c>
      <c r="Q183" s="107" t="s">
        <v>61</v>
      </c>
      <c r="R183" s="108" t="s">
        <v>434</v>
      </c>
      <c r="S183" s="103">
        <f>if(M183,if(and(hour(M183+S$7)&gt;9.5,(hour(M183+S$7)&lt;19.5)),M183+S$7,_xlfn.workday.intl(int(M183),1,"0000001",Holidays!A:A)+hour(M183+S$7-$B$1)/24+minute(M183)/1440),"")</f>
        <v>46144.73842</v>
      </c>
      <c r="T183" s="104">
        <v>46144.57697115741</v>
      </c>
      <c r="U183" s="105" t="s">
        <v>14</v>
      </c>
      <c r="V183" s="109">
        <f t="shared" si="2"/>
        <v>0</v>
      </c>
      <c r="W183" s="110" t="str">
        <f t="shared" si="3"/>
        <v>EMP0021 Tamanna Dewangan</v>
      </c>
      <c r="X183" s="103">
        <f>if(S183,if(and(hour(S183+X$7)&gt;9.5,(hour(S183+X$7)&lt;19.5)),S183+X$7,_xlfn.workday.intl(int(S183),1,"0000001",Holidays!A:A)+hour(S183+X$7-$B$1)/24+minute(S183)/1440),"")</f>
        <v>46146.44653</v>
      </c>
      <c r="Y183" s="104">
        <v>46144.57707326389</v>
      </c>
      <c r="Z183" s="105" t="s">
        <v>14</v>
      </c>
      <c r="AA183" s="111">
        <f t="shared" si="4"/>
        <v>0</v>
      </c>
      <c r="AB183" s="110" t="str">
        <f t="shared" si="5"/>
        <v>EMP0021 Tamanna Dewangan</v>
      </c>
      <c r="AC183" s="103">
        <f>if(X183,_xlfn.WORKDAY.INTL(X183,AC$7,"0000001",Holidays!A:A)+hour(X183)/24+MINUTE(X183)/1440,"")</f>
        <v>46147.44653</v>
      </c>
      <c r="AD183" s="104">
        <v>46144.612449328706</v>
      </c>
      <c r="AE183" s="105" t="s">
        <v>14</v>
      </c>
      <c r="AF183" s="111">
        <f t="shared" si="6"/>
        <v>0</v>
      </c>
      <c r="AG183" s="110" t="str">
        <f t="shared" si="7"/>
        <v>EMP0021 Tamanna Dewangan</v>
      </c>
      <c r="AH183" s="103">
        <f>if(AC183,if(and(hour(AC183+AH$7)&gt;9.5,(hour(AC183+AH$7)&lt;19.5)),AC183+AH$7,_xlfn.workday.intl(int(AC183),1,"0000001",Holidays!A:A)+hour(AC183+AH$7-$B$1)/24+minute(AC183)/1440),"")</f>
        <v>46147.48819</v>
      </c>
      <c r="AI183" s="104">
        <v>46144.71497850695</v>
      </c>
      <c r="AJ183" s="105" t="s">
        <v>14</v>
      </c>
      <c r="AK183" s="111">
        <f t="shared" si="8"/>
        <v>0</v>
      </c>
      <c r="AL183" s="112" t="str">
        <f t="shared" si="9"/>
        <v>EMP0021 Tamanna Dewangan</v>
      </c>
      <c r="AM183" s="113"/>
      <c r="AN183" s="114" t="s">
        <v>672</v>
      </c>
      <c r="AO183" s="115"/>
      <c r="AP183" s="115"/>
      <c r="AQ183" s="115"/>
      <c r="AR183" s="115"/>
      <c r="AS183" s="115"/>
      <c r="AT183" s="115"/>
      <c r="AU183" s="115"/>
      <c r="AV183" s="115"/>
      <c r="AW183" s="115"/>
      <c r="AX183" s="115"/>
      <c r="AY183" s="115"/>
    </row>
    <row r="184">
      <c r="A184" s="95">
        <f t="shared" si="11"/>
        <v>5135</v>
      </c>
      <c r="B184" s="96">
        <v>46146.63851618055</v>
      </c>
      <c r="C184" s="97" t="s">
        <v>840</v>
      </c>
      <c r="D184" s="97" t="s">
        <v>1162</v>
      </c>
      <c r="E184" s="98" t="s">
        <v>1169</v>
      </c>
      <c r="F184" s="97"/>
      <c r="G184" s="97" t="s">
        <v>1171</v>
      </c>
      <c r="H184" s="99" t="s">
        <v>138</v>
      </c>
      <c r="I184" s="100" t="s">
        <v>139</v>
      </c>
      <c r="J184" s="101" t="s">
        <v>1161</v>
      </c>
      <c r="K184" s="100"/>
      <c r="L184" s="102" t="s">
        <v>1167</v>
      </c>
      <c r="M184" s="103">
        <f>if(B184,if(and(hour(B184+M$7)&gt;9.5,(hour(B184+M$7)&lt;19.5)),B184+M$7,_xlfn.workday.intl(int(B184),1,"0000001",Holidays!A:A)+hour(B184+M$7-$B$1)/24+minute(B184)/1440),"")</f>
        <v>46146.80518</v>
      </c>
      <c r="N184" s="104">
        <v>46146.646682997685</v>
      </c>
      <c r="O184" s="105" t="s">
        <v>14</v>
      </c>
      <c r="P184" s="106">
        <f t="shared" si="1"/>
        <v>0</v>
      </c>
      <c r="Q184" s="107" t="s">
        <v>15</v>
      </c>
      <c r="R184" s="108" t="s">
        <v>434</v>
      </c>
      <c r="S184" s="103">
        <f>if(M184,if(and(hour(M184+S$7)&gt;9.5,(hour(M184+S$7)&lt;19.5)),M184+S$7,_xlfn.workday.intl(int(M184),1,"0000001",Holidays!A:A)+hour(M184+S$7-$B$1)/24+minute(M184)/1440),"")</f>
        <v>46146.81213</v>
      </c>
      <c r="T184" s="104">
        <v>46146.64671240741</v>
      </c>
      <c r="U184" s="105" t="s">
        <v>14</v>
      </c>
      <c r="V184" s="109">
        <f t="shared" si="2"/>
        <v>0</v>
      </c>
      <c r="W184" s="110" t="str">
        <f t="shared" si="3"/>
        <v>EMP0042 HULESHWAR KUMAR SAHU</v>
      </c>
      <c r="X184" s="103">
        <f>if(S184,if(and(hour(S184+X$7)&gt;9.5,(hour(S184+X$7)&lt;19.5)),S184+X$7,_xlfn.workday.intl(int(S184),1,"0000001",Holidays!A:A)+hour(S184+X$7-$B$1)/24+minute(S184)/1440),"")</f>
        <v>46147.47847</v>
      </c>
      <c r="Y184" s="104">
        <v>46146.65496550926</v>
      </c>
      <c r="Z184" s="105" t="s">
        <v>14</v>
      </c>
      <c r="AA184" s="111">
        <f t="shared" si="4"/>
        <v>0</v>
      </c>
      <c r="AB184" s="110" t="str">
        <f t="shared" si="5"/>
        <v>EMP0042 HULESHWAR KUMAR SAHU</v>
      </c>
      <c r="AC184" s="103">
        <f>if(X184,_xlfn.WORKDAY.INTL(X184,AC$7,"0000001",Holidays!A:A)+hour(X184)/24+MINUTE(X184)/1440,"")</f>
        <v>46148.47847</v>
      </c>
      <c r="AD184" s="104">
        <v>46146.664448738426</v>
      </c>
      <c r="AE184" s="105" t="s">
        <v>14</v>
      </c>
      <c r="AF184" s="111">
        <f t="shared" si="6"/>
        <v>0</v>
      </c>
      <c r="AG184" s="110" t="str">
        <f t="shared" si="7"/>
        <v>EMP0042 HULESHWAR KUMAR SAHU</v>
      </c>
      <c r="AH184" s="103">
        <f>if(AC184,if(and(hour(AC184+AH$7)&gt;9.5,(hour(AC184+AH$7)&lt;19.5)),AC184+AH$7,_xlfn.workday.intl(int(AC184),1,"0000001",Holidays!A:A)+hour(AC184+AH$7-$B$1)/24+minute(AC184)/1440),"")</f>
        <v>46148.52014</v>
      </c>
      <c r="AI184" s="104">
        <v>46146.66448181713</v>
      </c>
      <c r="AJ184" s="105" t="s">
        <v>14</v>
      </c>
      <c r="AK184" s="111">
        <f t="shared" si="8"/>
        <v>0</v>
      </c>
      <c r="AL184" s="112" t="str">
        <f t="shared" si="9"/>
        <v>EMP0042 HULESHWAR KUMAR SAHU</v>
      </c>
      <c r="AM184" s="113"/>
      <c r="AN184" s="114" t="s">
        <v>672</v>
      </c>
      <c r="AO184" s="115"/>
      <c r="AP184" s="115"/>
      <c r="AQ184" s="115"/>
      <c r="AR184" s="115"/>
      <c r="AS184" s="115"/>
      <c r="AT184" s="115"/>
      <c r="AU184" s="115"/>
      <c r="AV184" s="115"/>
      <c r="AW184" s="115"/>
      <c r="AX184" s="115"/>
      <c r="AY184" s="115"/>
    </row>
    <row r="185">
      <c r="A185" s="95">
        <f t="shared" si="11"/>
        <v>5136</v>
      </c>
      <c r="B185" s="96">
        <v>46146.688686608795</v>
      </c>
      <c r="C185" s="97" t="s">
        <v>845</v>
      </c>
      <c r="D185" s="97" t="s">
        <v>215</v>
      </c>
      <c r="E185" s="98" t="s">
        <v>1173</v>
      </c>
      <c r="F185" s="97"/>
      <c r="G185" s="97" t="s">
        <v>1176</v>
      </c>
      <c r="H185" s="99" t="s">
        <v>147</v>
      </c>
      <c r="I185" s="100" t="s">
        <v>64</v>
      </c>
      <c r="J185" s="101" t="s">
        <v>974</v>
      </c>
      <c r="K185" s="100"/>
      <c r="L185" s="102" t="s">
        <v>1177</v>
      </c>
      <c r="M185" s="103">
        <f>if(B185,if(and(hour(B185+M$7)&gt;9.5,(hour(B185+M$7)&lt;19.5)),B185+M$7,_xlfn.workday.intl(int(B185),1,"0000001",Holidays!A:A)+hour(B185+M$7-$B$1)/24+minute(B185)/1440),"")</f>
        <v>46147.43819</v>
      </c>
      <c r="N185" s="104">
        <v>46146.71610637732</v>
      </c>
      <c r="O185" s="105" t="s">
        <v>14</v>
      </c>
      <c r="P185" s="106">
        <f t="shared" si="1"/>
        <v>0</v>
      </c>
      <c r="Q185" s="107" t="s">
        <v>61</v>
      </c>
      <c r="R185" s="108" t="s">
        <v>434</v>
      </c>
      <c r="S185" s="103">
        <f>if(M185,if(and(hour(M185+S$7)&gt;9.5,(hour(M185+S$7)&lt;19.5)),M185+S$7,_xlfn.workday.intl(int(M185),1,"0000001",Holidays!A:A)+hour(M185+S$7-$B$1)/24+minute(M185)/1440),"")</f>
        <v>46147.44514</v>
      </c>
      <c r="T185" s="104">
        <v>46146.71616011574</v>
      </c>
      <c r="U185" s="105" t="s">
        <v>14</v>
      </c>
      <c r="V185" s="109">
        <f t="shared" si="2"/>
        <v>0</v>
      </c>
      <c r="W185" s="110" t="str">
        <f t="shared" si="3"/>
        <v>EMP0021 Tamanna Dewangan</v>
      </c>
      <c r="X185" s="103">
        <f>if(S185,if(and(hour(S185+X$7)&gt;9.5,(hour(S185+X$7)&lt;19.5)),S185+X$7,_xlfn.workday.intl(int(S185),1,"0000001",Holidays!A:A)+hour(S185+X$7-$B$1)/24+minute(S185)/1440),"")</f>
        <v>46147.54931</v>
      </c>
      <c r="Y185" s="104">
        <v>46146.71602716435</v>
      </c>
      <c r="Z185" s="105" t="s">
        <v>14</v>
      </c>
      <c r="AA185" s="111">
        <f t="shared" si="4"/>
        <v>0</v>
      </c>
      <c r="AB185" s="110" t="str">
        <f t="shared" si="5"/>
        <v>EMP0021 Tamanna Dewangan</v>
      </c>
      <c r="AC185" s="103">
        <f>if(X185,_xlfn.WORKDAY.INTL(X185,AC$7,"0000001",Holidays!A:A)+hour(X185)/24+MINUTE(X185)/1440,"")</f>
        <v>46148.54931</v>
      </c>
      <c r="AD185" s="104">
        <v>46146.750244062496</v>
      </c>
      <c r="AE185" s="105" t="s">
        <v>14</v>
      </c>
      <c r="AF185" s="111">
        <f t="shared" si="6"/>
        <v>0</v>
      </c>
      <c r="AG185" s="110" t="str">
        <f t="shared" si="7"/>
        <v>EMP0021 Tamanna Dewangan</v>
      </c>
      <c r="AH185" s="103">
        <f>if(AC185,if(and(hour(AC185+AH$7)&gt;9.5,(hour(AC185+AH$7)&lt;19.5)),AC185+AH$7,_xlfn.workday.intl(int(AC185),1,"0000001",Holidays!A:A)+hour(AC185+AH$7-$B$1)/24+minute(AC185)/1440),"")</f>
        <v>46148.59097</v>
      </c>
      <c r="AI185" s="104">
        <v>46146.75045133102</v>
      </c>
      <c r="AJ185" s="105" t="s">
        <v>14</v>
      </c>
      <c r="AK185" s="111">
        <f t="shared" si="8"/>
        <v>0</v>
      </c>
      <c r="AL185" s="112" t="str">
        <f t="shared" si="9"/>
        <v>EMP0021 Tamanna Dewangan</v>
      </c>
      <c r="AM185" s="113"/>
      <c r="AN185" s="114" t="s">
        <v>672</v>
      </c>
      <c r="AO185" s="115"/>
      <c r="AP185" s="115"/>
      <c r="AQ185" s="115"/>
      <c r="AR185" s="115"/>
      <c r="AS185" s="115"/>
      <c r="AT185" s="115"/>
      <c r="AU185" s="115"/>
      <c r="AV185" s="115"/>
      <c r="AW185" s="115"/>
      <c r="AX185" s="115"/>
      <c r="AY185" s="115"/>
    </row>
    <row r="186">
      <c r="A186" s="95">
        <f t="shared" si="11"/>
        <v>5137</v>
      </c>
      <c r="B186" s="96">
        <v>46146.71806738426</v>
      </c>
      <c r="C186" s="97" t="s">
        <v>800</v>
      </c>
      <c r="D186" s="97" t="s">
        <v>186</v>
      </c>
      <c r="E186" s="98" t="s">
        <v>1179</v>
      </c>
      <c r="F186" s="98" t="s">
        <v>1183</v>
      </c>
      <c r="G186" s="97" t="s">
        <v>1181</v>
      </c>
      <c r="H186" s="99" t="s">
        <v>126</v>
      </c>
      <c r="I186" s="100" t="s">
        <v>64</v>
      </c>
      <c r="J186" s="101" t="s">
        <v>1178</v>
      </c>
      <c r="K186" s="100"/>
      <c r="L186" s="102" t="s">
        <v>1182</v>
      </c>
      <c r="M186" s="103">
        <f>if(B186,if(and(hour(B186+M$7)&gt;9.5,(hour(B186+M$7)&lt;19.5)),B186+M$7,_xlfn.workday.intl(int(B186),1,"0000001",Holidays!A:A)+hour(B186+M$7-$B$1)/24+minute(B186)/1440),"")</f>
        <v>46147.46806</v>
      </c>
      <c r="N186" s="104">
        <v>46146.75003333333</v>
      </c>
      <c r="O186" s="105" t="s">
        <v>14</v>
      </c>
      <c r="P186" s="106">
        <f t="shared" si="1"/>
        <v>0</v>
      </c>
      <c r="Q186" s="107" t="s">
        <v>15</v>
      </c>
      <c r="R186" s="108" t="s">
        <v>434</v>
      </c>
      <c r="S186" s="103">
        <f>if(M186,if(and(hour(M186+S$7)&gt;9.5,(hour(M186+S$7)&lt;19.5)),M186+S$7,_xlfn.workday.intl(int(M186),1,"0000001",Holidays!A:A)+hour(M186+S$7-$B$1)/24+minute(M186)/1440),"")</f>
        <v>46147.475</v>
      </c>
      <c r="T186" s="104">
        <v>46146.75009994213</v>
      </c>
      <c r="U186" s="105" t="s">
        <v>14</v>
      </c>
      <c r="V186" s="109">
        <f t="shared" si="2"/>
        <v>0</v>
      </c>
      <c r="W186" s="110" t="str">
        <f t="shared" si="3"/>
        <v>EMP0042 HULESHWAR KUMAR SAHU</v>
      </c>
      <c r="X186" s="103">
        <f>if(S186,if(and(hour(S186+X$7)&gt;9.5,(hour(S186+X$7)&lt;19.5)),S186+X$7,_xlfn.workday.intl(int(S186),1,"0000001",Holidays!A:A)+hour(S186+X$7-$B$1)/24+minute(S186)/1440),"")</f>
        <v>46147.57917</v>
      </c>
      <c r="Y186" s="104">
        <v>46146.75016163195</v>
      </c>
      <c r="Z186" s="105" t="s">
        <v>14</v>
      </c>
      <c r="AA186" s="111">
        <f t="shared" si="4"/>
        <v>0</v>
      </c>
      <c r="AB186" s="110" t="str">
        <f t="shared" si="5"/>
        <v>EMP0042 HULESHWAR KUMAR SAHU</v>
      </c>
      <c r="AC186" s="103">
        <f>if(X186,_xlfn.WORKDAY.INTL(X186,AC$7,"0000001",Holidays!A:A)+hour(X186)/24+MINUTE(X186)/1440,"")</f>
        <v>46148.57917</v>
      </c>
      <c r="AD186" s="104">
        <v>46146.75032684028</v>
      </c>
      <c r="AE186" s="105" t="s">
        <v>14</v>
      </c>
      <c r="AF186" s="111">
        <f t="shared" si="6"/>
        <v>0</v>
      </c>
      <c r="AG186" s="110" t="str">
        <f t="shared" si="7"/>
        <v>EMP0042 HULESHWAR KUMAR SAHU</v>
      </c>
      <c r="AH186" s="103">
        <f>if(AC186,if(and(hour(AC186+AH$7)&gt;9.5,(hour(AC186+AH$7)&lt;19.5)),AC186+AH$7,_xlfn.workday.intl(int(AC186),1,"0000001",Holidays!A:A)+hour(AC186+AH$7-$B$1)/24+minute(AC186)/1440),"")</f>
        <v>46148.62083</v>
      </c>
      <c r="AI186" s="104">
        <v>46146.758682581014</v>
      </c>
      <c r="AJ186" s="105" t="s">
        <v>14</v>
      </c>
      <c r="AK186" s="111">
        <f t="shared" si="8"/>
        <v>0</v>
      </c>
      <c r="AL186" s="112" t="str">
        <f t="shared" si="9"/>
        <v>EMP0042 HULESHWAR KUMAR SAHU</v>
      </c>
      <c r="AM186" s="113"/>
      <c r="AN186" s="114" t="s">
        <v>672</v>
      </c>
      <c r="AO186" s="115"/>
      <c r="AP186" s="115"/>
      <c r="AQ186" s="115"/>
      <c r="AR186" s="115"/>
      <c r="AS186" s="115"/>
      <c r="AT186" s="115"/>
      <c r="AU186" s="115"/>
      <c r="AV186" s="115"/>
      <c r="AW186" s="115"/>
      <c r="AX186" s="115"/>
      <c r="AY186" s="115"/>
    </row>
    <row r="187">
      <c r="A187" s="95">
        <f t="shared" si="11"/>
        <v>5138</v>
      </c>
      <c r="B187" s="96">
        <v>46147.482001006945</v>
      </c>
      <c r="C187" s="97" t="s">
        <v>1191</v>
      </c>
      <c r="D187" s="97" t="s">
        <v>186</v>
      </c>
      <c r="E187" s="98" t="s">
        <v>1187</v>
      </c>
      <c r="F187" s="98" t="s">
        <v>1192</v>
      </c>
      <c r="G187" s="97" t="s">
        <v>1189</v>
      </c>
      <c r="H187" s="99" t="s">
        <v>147</v>
      </c>
      <c r="I187" s="100" t="s">
        <v>64</v>
      </c>
      <c r="J187" s="101" t="s">
        <v>303</v>
      </c>
      <c r="K187" s="100"/>
      <c r="L187" s="102" t="s">
        <v>1190</v>
      </c>
      <c r="M187" s="103">
        <f>if(B187,if(and(hour(B187+M$7)&gt;9.5,(hour(B187+M$7)&lt;19.5)),B187+M$7,_xlfn.workday.intl(int(B187),1,"0000001",Holidays!A:A)+hour(B187+M$7-$B$1)/24+minute(B187)/1440),"")</f>
        <v>46147.64867</v>
      </c>
      <c r="N187" s="104">
        <v>46147.494600034726</v>
      </c>
      <c r="O187" s="105" t="s">
        <v>14</v>
      </c>
      <c r="P187" s="106">
        <f t="shared" si="1"/>
        <v>0</v>
      </c>
      <c r="Q187" s="107" t="s">
        <v>61</v>
      </c>
      <c r="R187" s="108" t="s">
        <v>434</v>
      </c>
      <c r="S187" s="103">
        <f>if(M187,if(and(hour(M187+S$7)&gt;9.5,(hour(M187+S$7)&lt;19.5)),M187+S$7,_xlfn.workday.intl(int(M187),1,"0000001",Holidays!A:A)+hour(M187+S$7-$B$1)/24+minute(M187)/1440),"")</f>
        <v>46147.65561</v>
      </c>
      <c r="T187" s="104">
        <v>46147.4946566088</v>
      </c>
      <c r="U187" s="105" t="s">
        <v>14</v>
      </c>
      <c r="V187" s="109">
        <f t="shared" si="2"/>
        <v>0</v>
      </c>
      <c r="W187" s="110" t="str">
        <f t="shared" si="3"/>
        <v>EMP0021 Tamanna Dewangan</v>
      </c>
      <c r="X187" s="103">
        <f>if(S187,if(and(hour(S187+X$7)&gt;9.5,(hour(S187+X$7)&lt;19.5)),S187+X$7,_xlfn.workday.intl(int(S187),1,"0000001",Holidays!A:A)+hour(S187+X$7-$B$1)/24+minute(S187)/1440),"")</f>
        <v>46147.75978</v>
      </c>
      <c r="Y187" s="104">
        <v>46147.50832601852</v>
      </c>
      <c r="Z187" s="105" t="s">
        <v>14</v>
      </c>
      <c r="AA187" s="111">
        <f t="shared" si="4"/>
        <v>0</v>
      </c>
      <c r="AB187" s="110" t="str">
        <f t="shared" si="5"/>
        <v>EMP0021 Tamanna Dewangan</v>
      </c>
      <c r="AC187" s="103">
        <f>if(X187,_xlfn.WORKDAY.INTL(X187,AC$7,"0000001",Holidays!A:A)+hour(X187)/24+MINUTE(X187)/1440,"")</f>
        <v>46148.75972</v>
      </c>
      <c r="AD187" s="104">
        <v>46147.560338738425</v>
      </c>
      <c r="AE187" s="105" t="s">
        <v>14</v>
      </c>
      <c r="AF187" s="111">
        <f t="shared" si="6"/>
        <v>0</v>
      </c>
      <c r="AG187" s="110" t="str">
        <f t="shared" si="7"/>
        <v>EMP0021 Tamanna Dewangan</v>
      </c>
      <c r="AH187" s="103">
        <f>if(AC187,if(and(hour(AC187+AH$7)&gt;9.5,(hour(AC187+AH$7)&lt;19.5)),AC187+AH$7,_xlfn.workday.intl(int(AC187),1,"0000001",Holidays!A:A)+hour(AC187+AH$7-$B$1)/24+minute(AC187)/1440),"")</f>
        <v>46148.80139</v>
      </c>
      <c r="AI187" s="104">
        <v>46147.5603924537</v>
      </c>
      <c r="AJ187" s="105" t="s">
        <v>14</v>
      </c>
      <c r="AK187" s="111">
        <f t="shared" si="8"/>
        <v>0</v>
      </c>
      <c r="AL187" s="112" t="str">
        <f t="shared" si="9"/>
        <v>EMP0021 Tamanna Dewangan</v>
      </c>
      <c r="AM187" s="113"/>
      <c r="AN187" s="114" t="s">
        <v>672</v>
      </c>
      <c r="AO187" s="115"/>
      <c r="AP187" s="115"/>
      <c r="AQ187" s="115"/>
      <c r="AR187" s="115"/>
      <c r="AS187" s="115"/>
      <c r="AT187" s="115"/>
      <c r="AU187" s="115"/>
      <c r="AV187" s="115"/>
      <c r="AW187" s="115"/>
      <c r="AX187" s="115"/>
      <c r="AY187" s="115"/>
    </row>
    <row r="188">
      <c r="A188" s="95">
        <f t="shared" si="11"/>
        <v>5139</v>
      </c>
      <c r="B188" s="96">
        <v>46148.55552652778</v>
      </c>
      <c r="C188" s="97" t="s">
        <v>856</v>
      </c>
      <c r="D188" s="97" t="s">
        <v>334</v>
      </c>
      <c r="E188" s="98" t="s">
        <v>1195</v>
      </c>
      <c r="F188" s="98" t="s">
        <v>1197</v>
      </c>
      <c r="G188" s="97" t="s">
        <v>856</v>
      </c>
      <c r="H188" s="99" t="s">
        <v>62</v>
      </c>
      <c r="I188" s="100" t="s">
        <v>324</v>
      </c>
      <c r="J188" s="101" t="s">
        <v>1194</v>
      </c>
      <c r="K188" s="100"/>
      <c r="L188" s="102" t="s">
        <v>683</v>
      </c>
      <c r="M188" s="103">
        <f>if(B188,if(and(hour(B188+M$7)&gt;9.5,(hour(B188+M$7)&lt;19.5)),B188+M$7,_xlfn.workday.intl(int(B188),1,"0000001",Holidays!A:A)+hour(B188+M$7-$B$1)/24+minute(B188)/1440),"")</f>
        <v>46148.72219</v>
      </c>
      <c r="N188" s="104">
        <v>46148.63930930555</v>
      </c>
      <c r="O188" s="105" t="s">
        <v>14</v>
      </c>
      <c r="P188" s="106">
        <f t="shared" si="1"/>
        <v>0</v>
      </c>
      <c r="Q188" s="107" t="s">
        <v>72</v>
      </c>
      <c r="R188" s="108" t="s">
        <v>434</v>
      </c>
      <c r="S188" s="103">
        <f>if(M188,if(and(hour(M188+S$7)&gt;9.5,(hour(M188+S$7)&lt;19.5)),M188+S$7,_xlfn.workday.intl(int(M188),1,"0000001",Holidays!A:A)+hour(M188+S$7-$B$1)/24+minute(M188)/1440),"")</f>
        <v>46148.72914</v>
      </c>
      <c r="T188" s="104">
        <v>46148.63942479166</v>
      </c>
      <c r="U188" s="105" t="s">
        <v>14</v>
      </c>
      <c r="V188" s="109">
        <f t="shared" si="2"/>
        <v>0</v>
      </c>
      <c r="W188" s="110" t="str">
        <f t="shared" si="3"/>
        <v>EMP5009 Rup Kumar Mandal</v>
      </c>
      <c r="X188" s="103">
        <f>if(S188,if(and(hour(S188+X$7)&gt;9.5,(hour(S188+X$7)&lt;19.5)),S188+X$7,_xlfn.workday.intl(int(S188),1,"0000001",Holidays!A:A)+hour(S188+X$7-$B$1)/24+minute(S188)/1440),"")</f>
        <v>46148.8333</v>
      </c>
      <c r="Y188" s="104">
        <v>46148.639481666665</v>
      </c>
      <c r="Z188" s="105" t="s">
        <v>14</v>
      </c>
      <c r="AA188" s="111">
        <f t="shared" si="4"/>
        <v>0</v>
      </c>
      <c r="AB188" s="110" t="str">
        <f t="shared" si="5"/>
        <v>EMP5009 Rup Kumar Mandal</v>
      </c>
      <c r="AC188" s="103">
        <f>if(X188,_xlfn.WORKDAY.INTL(X188,AC$7,"0000001",Holidays!A:A)+hour(X188)/24+MINUTE(X188)/1440,"")</f>
        <v>46149.83264</v>
      </c>
      <c r="AD188" s="104">
        <v>46148.768174826386</v>
      </c>
      <c r="AE188" s="105" t="s">
        <v>14</v>
      </c>
      <c r="AF188" s="111">
        <f t="shared" si="6"/>
        <v>0</v>
      </c>
      <c r="AG188" s="110" t="str">
        <f t="shared" si="7"/>
        <v>EMP5009 Rup Kumar Mandal</v>
      </c>
      <c r="AH188" s="103">
        <f>if(AC188,if(and(hour(AC188+AH$7)&gt;9.5,(hour(AC188+AH$7)&lt;19.5)),AC188+AH$7,_xlfn.workday.intl(int(AC188),1,"0000001",Holidays!A:A)+hour(AC188+AH$7-$B$1)/24+minute(AC188)/1440),"")</f>
        <v>46150.45764</v>
      </c>
      <c r="AI188" s="104">
        <v>46150.41437233797</v>
      </c>
      <c r="AJ188" s="105" t="s">
        <v>14</v>
      </c>
      <c r="AK188" s="111">
        <f t="shared" si="8"/>
        <v>0</v>
      </c>
      <c r="AL188" s="112" t="str">
        <f t="shared" si="9"/>
        <v>EMP5009 Rup Kumar Mandal</v>
      </c>
      <c r="AM188" s="113"/>
      <c r="AN188" s="114" t="s">
        <v>672</v>
      </c>
      <c r="AO188" s="115"/>
      <c r="AP188" s="115"/>
      <c r="AQ188" s="115"/>
      <c r="AR188" s="115"/>
      <c r="AS188" s="115"/>
      <c r="AT188" s="115"/>
      <c r="AU188" s="115"/>
      <c r="AV188" s="115"/>
      <c r="AW188" s="115"/>
      <c r="AX188" s="115"/>
      <c r="AY188" s="115"/>
    </row>
    <row r="189">
      <c r="A189" s="95">
        <f t="shared" si="11"/>
        <v>5140</v>
      </c>
      <c r="B189" s="96">
        <v>46148.70090059028</v>
      </c>
      <c r="C189" s="97" t="s">
        <v>859</v>
      </c>
      <c r="D189" s="97" t="s">
        <v>1202</v>
      </c>
      <c r="E189" s="98" t="s">
        <v>1203</v>
      </c>
      <c r="F189" s="98" t="s">
        <v>1208</v>
      </c>
      <c r="G189" s="97" t="s">
        <v>1206</v>
      </c>
      <c r="H189" s="99" t="s">
        <v>62</v>
      </c>
      <c r="I189" s="100" t="s">
        <v>64</v>
      </c>
      <c r="J189" s="101" t="s">
        <v>1201</v>
      </c>
      <c r="K189" s="100"/>
      <c r="L189" s="102" t="s">
        <v>1207</v>
      </c>
      <c r="M189" s="103">
        <f>if(B189,if(and(hour(B189+M$7)&gt;9.5,(hour(B189+M$7)&lt;19.5)),B189+M$7,_xlfn.workday.intl(int(B189),1,"0000001",Holidays!A:A)+hour(B189+M$7-$B$1)/24+minute(B189)/1440),"")</f>
        <v>46149.45069</v>
      </c>
      <c r="N189" s="104">
        <v>46148.720070104166</v>
      </c>
      <c r="O189" s="105" t="s">
        <v>14</v>
      </c>
      <c r="P189" s="106">
        <f t="shared" si="1"/>
        <v>0</v>
      </c>
      <c r="Q189" s="107" t="s">
        <v>15</v>
      </c>
      <c r="R189" s="108" t="s">
        <v>434</v>
      </c>
      <c r="S189" s="103">
        <f>if(M189,if(and(hour(M189+S$7)&gt;9.5,(hour(M189+S$7)&lt;19.5)),M189+S$7,_xlfn.workday.intl(int(M189),1,"0000001",Holidays!A:A)+hour(M189+S$7-$B$1)/24+minute(M189)/1440),"")</f>
        <v>46149.45764</v>
      </c>
      <c r="T189" s="104">
        <v>46148.72016142361</v>
      </c>
      <c r="U189" s="105" t="s">
        <v>14</v>
      </c>
      <c r="V189" s="109">
        <f t="shared" si="2"/>
        <v>0</v>
      </c>
      <c r="W189" s="110" t="str">
        <f t="shared" si="3"/>
        <v>EMP0042 HULESHWAR KUMAR SAHU</v>
      </c>
      <c r="X189" s="103">
        <f>if(S189,if(and(hour(S189+X$7)&gt;9.5,(hour(S189+X$7)&lt;19.5)),S189+X$7,_xlfn.workday.intl(int(S189),1,"0000001",Holidays!A:A)+hour(S189+X$7-$B$1)/24+minute(S189)/1440),"")</f>
        <v>46149.56181</v>
      </c>
      <c r="Y189" s="104">
        <v>46148.76812836806</v>
      </c>
      <c r="Z189" s="105" t="s">
        <v>14</v>
      </c>
      <c r="AA189" s="111">
        <f t="shared" si="4"/>
        <v>0</v>
      </c>
      <c r="AB189" s="110" t="str">
        <f t="shared" si="5"/>
        <v>EMP0042 HULESHWAR KUMAR SAHU</v>
      </c>
      <c r="AC189" s="103">
        <f>if(X189,_xlfn.WORKDAY.INTL(X189,AC$7,"0000001",Holidays!A:A)+hour(X189)/24+MINUTE(X189)/1440,"")</f>
        <v>46150.56181</v>
      </c>
      <c r="AD189" s="104">
        <v>46148.768132916666</v>
      </c>
      <c r="AE189" s="105" t="s">
        <v>14</v>
      </c>
      <c r="AF189" s="111">
        <f t="shared" si="6"/>
        <v>0</v>
      </c>
      <c r="AG189" s="110" t="str">
        <f t="shared" si="7"/>
        <v>EMP0042 HULESHWAR KUMAR SAHU</v>
      </c>
      <c r="AH189" s="103">
        <f>if(AC189,if(and(hour(AC189+AH$7)&gt;9.5,(hour(AC189+AH$7)&lt;19.5)),AC189+AH$7,_xlfn.workday.intl(int(AC189),1,"0000001",Holidays!A:A)+hour(AC189+AH$7-$B$1)/24+minute(AC189)/1440),"")</f>
        <v>46150.60347</v>
      </c>
      <c r="AI189" s="104">
        <v>46148.78011685185</v>
      </c>
      <c r="AJ189" s="105" t="s">
        <v>14</v>
      </c>
      <c r="AK189" s="111">
        <f t="shared" si="8"/>
        <v>0</v>
      </c>
      <c r="AL189" s="112" t="str">
        <f t="shared" si="9"/>
        <v>EMP0042 HULESHWAR KUMAR SAHU</v>
      </c>
      <c r="AM189" s="113"/>
      <c r="AN189" s="114" t="s">
        <v>672</v>
      </c>
      <c r="AO189" s="115"/>
      <c r="AP189" s="115"/>
      <c r="AQ189" s="115"/>
      <c r="AR189" s="115"/>
      <c r="AS189" s="115"/>
      <c r="AT189" s="115"/>
      <c r="AU189" s="115"/>
      <c r="AV189" s="115"/>
      <c r="AW189" s="115"/>
      <c r="AX189" s="115"/>
      <c r="AY189" s="115"/>
    </row>
    <row r="190">
      <c r="A190" s="95">
        <f t="shared" si="11"/>
        <v>5141</v>
      </c>
      <c r="B190" s="96">
        <v>46149.67264616898</v>
      </c>
      <c r="C190" s="97" t="s">
        <v>864</v>
      </c>
      <c r="D190" s="97" t="s">
        <v>1212</v>
      </c>
      <c r="E190" s="98" t="s">
        <v>1213</v>
      </c>
      <c r="F190" s="97"/>
      <c r="G190" s="97" t="s">
        <v>1216</v>
      </c>
      <c r="H190" s="99" t="s">
        <v>147</v>
      </c>
      <c r="I190" s="100" t="s">
        <v>64</v>
      </c>
      <c r="J190" s="101" t="s">
        <v>1211</v>
      </c>
      <c r="K190" s="100"/>
      <c r="L190" s="102" t="s">
        <v>391</v>
      </c>
      <c r="M190" s="103">
        <f>if(B190,if(and(hour(B190+M$7)&gt;9.5,(hour(B190+M$7)&lt;19.5)),B190+M$7,_xlfn.workday.intl(int(B190),1,"0000001",Holidays!A:A)+hour(B190+M$7-$B$1)/24+minute(B190)/1440),"")</f>
        <v>46150.42222</v>
      </c>
      <c r="N190" s="104">
        <v>46149.944227581014</v>
      </c>
      <c r="O190" s="105" t="s">
        <v>14</v>
      </c>
      <c r="P190" s="106">
        <f t="shared" si="1"/>
        <v>0</v>
      </c>
      <c r="Q190" s="107" t="s">
        <v>61</v>
      </c>
      <c r="R190" s="108" t="s">
        <v>434</v>
      </c>
      <c r="S190" s="103">
        <f>if(M190,if(and(hour(M190+S$7)&gt;9.5,(hour(M190+S$7)&lt;19.5)),M190+S$7,_xlfn.workday.intl(int(M190),1,"0000001",Holidays!A:A)+hour(M190+S$7-$B$1)/24+minute(M190)/1440),"")</f>
        <v>46150.42917</v>
      </c>
      <c r="T190" s="104">
        <v>46149.94462204861</v>
      </c>
      <c r="U190" s="105" t="s">
        <v>14</v>
      </c>
      <c r="V190" s="109">
        <f t="shared" si="2"/>
        <v>0</v>
      </c>
      <c r="W190" s="110" t="str">
        <f t="shared" si="3"/>
        <v>EMP0021 Tamanna Dewangan</v>
      </c>
      <c r="X190" s="103">
        <f>if(S190,if(and(hour(S190+X$7)&gt;9.5,(hour(S190+X$7)&lt;19.5)),S190+X$7,_xlfn.workday.intl(int(S190),1,"0000001",Holidays!A:A)+hour(S190+X$7-$B$1)/24+minute(S190)/1440),"")</f>
        <v>46150.53333</v>
      </c>
      <c r="Y190" s="104">
        <v>46150.47943765046</v>
      </c>
      <c r="Z190" s="105" t="s">
        <v>14</v>
      </c>
      <c r="AA190" s="111">
        <f t="shared" si="4"/>
        <v>0</v>
      </c>
      <c r="AB190" s="110" t="str">
        <f t="shared" si="5"/>
        <v>EMP0021 Tamanna Dewangan</v>
      </c>
      <c r="AC190" s="103">
        <f>if(X190,_xlfn.WORKDAY.INTL(X190,AC$7,"0000001",Holidays!A:A)+hour(X190)/24+MINUTE(X190)/1440,"")</f>
        <v>46151.53333</v>
      </c>
      <c r="AD190" s="104">
        <v>46150.47947859953</v>
      </c>
      <c r="AE190" s="105" t="s">
        <v>14</v>
      </c>
      <c r="AF190" s="111">
        <f t="shared" si="6"/>
        <v>0</v>
      </c>
      <c r="AG190" s="110" t="str">
        <f t="shared" si="7"/>
        <v>EMP0021 Tamanna Dewangan</v>
      </c>
      <c r="AH190" s="103">
        <f>if(AC190,if(and(hour(AC190+AH$7)&gt;9.5,(hour(AC190+AH$7)&lt;19.5)),AC190+AH$7,_xlfn.workday.intl(int(AC190),1,"0000001",Holidays!A:A)+hour(AC190+AH$7-$B$1)/24+minute(AC190)/1440),"")</f>
        <v>46151.575</v>
      </c>
      <c r="AI190" s="104">
        <v>46150.47956375</v>
      </c>
      <c r="AJ190" s="105" t="s">
        <v>14</v>
      </c>
      <c r="AK190" s="111">
        <f t="shared" si="8"/>
        <v>0</v>
      </c>
      <c r="AL190" s="112" t="str">
        <f t="shared" si="9"/>
        <v>EMP0021 Tamanna Dewangan</v>
      </c>
      <c r="AM190" s="113"/>
      <c r="AN190" s="114" t="s">
        <v>672</v>
      </c>
      <c r="AO190" s="115"/>
      <c r="AP190" s="115"/>
      <c r="AQ190" s="115"/>
      <c r="AR190" s="115"/>
      <c r="AS190" s="115"/>
      <c r="AT190" s="115"/>
      <c r="AU190" s="115"/>
      <c r="AV190" s="115"/>
      <c r="AW190" s="115"/>
      <c r="AX190" s="115"/>
      <c r="AY190" s="115"/>
    </row>
    <row r="191" ht="66.75" customHeight="1">
      <c r="A191" s="95">
        <f t="shared" si="11"/>
        <v>5142</v>
      </c>
      <c r="B191" s="96">
        <v>46149.7028496875</v>
      </c>
      <c r="C191" s="97" t="s">
        <v>705</v>
      </c>
      <c r="D191" s="97" t="s">
        <v>186</v>
      </c>
      <c r="E191" s="98" t="s">
        <v>1218</v>
      </c>
      <c r="F191" s="97"/>
      <c r="G191" s="97" t="s">
        <v>1221</v>
      </c>
      <c r="H191" s="99" t="s">
        <v>126</v>
      </c>
      <c r="I191" s="100" t="s">
        <v>64</v>
      </c>
      <c r="J191" s="101" t="s">
        <v>303</v>
      </c>
      <c r="K191" s="100"/>
      <c r="L191" s="102" t="s">
        <v>1222</v>
      </c>
      <c r="M191" s="103">
        <f>if(B191,if(and(hour(B191+M$7)&gt;9.5,(hour(B191+M$7)&lt;19.5)),B191+M$7,_xlfn.workday.intl(int(B191),1,"0000001",Holidays!A:A)+hour(B191+M$7-$B$1)/24+minute(B191)/1440),"")</f>
        <v>46150.45278</v>
      </c>
      <c r="N191" s="104">
        <v>46149.94425422454</v>
      </c>
      <c r="O191" s="105" t="s">
        <v>14</v>
      </c>
      <c r="P191" s="106">
        <f t="shared" si="1"/>
        <v>0</v>
      </c>
      <c r="Q191" s="107" t="s">
        <v>15</v>
      </c>
      <c r="R191" s="108" t="s">
        <v>434</v>
      </c>
      <c r="S191" s="103">
        <f>if(M191,if(and(hour(M191+S$7)&gt;9.5,(hour(M191+S$7)&lt;19.5)),M191+S$7,_xlfn.workday.intl(int(M191),1,"0000001",Holidays!A:A)+hour(M191+S$7-$B$1)/24+minute(M191)/1440),"")</f>
        <v>46150.45972</v>
      </c>
      <c r="T191" s="104">
        <v>46149.94466574074</v>
      </c>
      <c r="U191" s="105" t="s">
        <v>14</v>
      </c>
      <c r="V191" s="109">
        <f t="shared" si="2"/>
        <v>0</v>
      </c>
      <c r="W191" s="110" t="str">
        <f t="shared" si="3"/>
        <v>EMP0042 HULESHWAR KUMAR SAHU</v>
      </c>
      <c r="X191" s="103">
        <f>if(S191,if(and(hour(S191+X$7)&gt;9.5,(hour(S191+X$7)&lt;19.5)),S191+X$7,_xlfn.workday.intl(int(S191),1,"0000001",Holidays!A:A)+hour(S191+X$7-$B$1)/24+minute(S191)/1440),"")</f>
        <v>46150.56389</v>
      </c>
      <c r="Y191" s="104">
        <v>46150.47945788194</v>
      </c>
      <c r="Z191" s="105" t="s">
        <v>14</v>
      </c>
      <c r="AA191" s="111">
        <f t="shared" si="4"/>
        <v>0</v>
      </c>
      <c r="AB191" s="110" t="str">
        <f t="shared" si="5"/>
        <v>EMP0042 HULESHWAR KUMAR SAHU</v>
      </c>
      <c r="AC191" s="103">
        <f>if(X191,_xlfn.WORKDAY.INTL(X191,AC$7,"0000001",Holidays!A:A)+hour(X191)/24+MINUTE(X191)/1440,"")</f>
        <v>46151.56389</v>
      </c>
      <c r="AD191" s="104">
        <v>46150.479497175926</v>
      </c>
      <c r="AE191" s="105" t="s">
        <v>14</v>
      </c>
      <c r="AF191" s="111">
        <f t="shared" si="6"/>
        <v>0</v>
      </c>
      <c r="AG191" s="110" t="str">
        <f t="shared" si="7"/>
        <v>EMP0042 HULESHWAR KUMAR SAHU</v>
      </c>
      <c r="AH191" s="103">
        <f>if(AC191,if(and(hour(AC191+AH$7)&gt;9.5,(hour(AC191+AH$7)&lt;19.5)),AC191+AH$7,_xlfn.workday.intl(int(AC191),1,"0000001",Holidays!A:A)+hour(AC191+AH$7-$B$1)/24+minute(AC191)/1440),"")</f>
        <v>46151.60556</v>
      </c>
      <c r="AI191" s="104">
        <v>46150.4795850463</v>
      </c>
      <c r="AJ191" s="105" t="s">
        <v>14</v>
      </c>
      <c r="AK191" s="111">
        <f t="shared" si="8"/>
        <v>0</v>
      </c>
      <c r="AL191" s="112" t="str">
        <f t="shared" si="9"/>
        <v>EMP0042 HULESHWAR KUMAR SAHU</v>
      </c>
      <c r="AM191" s="113"/>
      <c r="AN191" s="114" t="s">
        <v>672</v>
      </c>
      <c r="AO191" s="115"/>
      <c r="AP191" s="115"/>
      <c r="AQ191" s="115"/>
      <c r="AR191" s="115"/>
      <c r="AS191" s="115"/>
      <c r="AT191" s="115"/>
      <c r="AU191" s="115"/>
      <c r="AV191" s="115"/>
      <c r="AW191" s="115"/>
      <c r="AX191" s="115"/>
      <c r="AY191" s="115"/>
    </row>
    <row r="192">
      <c r="A192" s="95">
        <f t="shared" si="11"/>
        <v>5143</v>
      </c>
      <c r="B192" s="96">
        <v>46150.73620893518</v>
      </c>
      <c r="C192" s="97" t="s">
        <v>869</v>
      </c>
      <c r="D192" s="97" t="s">
        <v>142</v>
      </c>
      <c r="E192" s="98" t="s">
        <v>1224</v>
      </c>
      <c r="F192" s="97"/>
      <c r="G192" s="97" t="s">
        <v>1226</v>
      </c>
      <c r="H192" s="99" t="s">
        <v>62</v>
      </c>
      <c r="I192" s="100" t="s">
        <v>324</v>
      </c>
      <c r="J192" s="101" t="s">
        <v>1223</v>
      </c>
      <c r="K192" s="100"/>
      <c r="L192" s="102" t="s">
        <v>1227</v>
      </c>
      <c r="M192" s="103">
        <f>if(B192,if(and(hour(B192+M$7)&gt;9.5,(hour(B192+M$7)&lt;19.5)),B192+M$7,_xlfn.workday.intl(int(B192),1,"0000001",Holidays!A:A)+hour(B192+M$7-$B$1)/24+minute(B192)/1440),"")</f>
        <v>46151.48611</v>
      </c>
      <c r="N192" s="104">
        <v>46151.45458355324</v>
      </c>
      <c r="O192" s="105" t="s">
        <v>14</v>
      </c>
      <c r="P192" s="106">
        <f t="shared" si="1"/>
        <v>0</v>
      </c>
      <c r="Q192" s="107" t="s">
        <v>15</v>
      </c>
      <c r="R192" s="108" t="s">
        <v>434</v>
      </c>
      <c r="S192" s="103">
        <f>if(M192,if(and(hour(M192+S$7)&gt;9.5,(hour(M192+S$7)&lt;19.5)),M192+S$7,_xlfn.workday.intl(int(M192),1,"0000001",Holidays!A:A)+hour(M192+S$7-$B$1)/24+minute(M192)/1440),"")</f>
        <v>46151.49306</v>
      </c>
      <c r="T192" s="104">
        <v>46151.45465157407</v>
      </c>
      <c r="U192" s="105" t="s">
        <v>14</v>
      </c>
      <c r="V192" s="109">
        <f t="shared" si="2"/>
        <v>0</v>
      </c>
      <c r="W192" s="110" t="str">
        <f t="shared" si="3"/>
        <v>EMP0042 HULESHWAR KUMAR SAHU</v>
      </c>
      <c r="X192" s="103">
        <f>if(S192,if(and(hour(S192+X$7)&gt;9.5,(hour(S192+X$7)&lt;19.5)),S192+X$7,_xlfn.workday.intl(int(S192),1,"0000001",Holidays!A:A)+hour(S192+X$7-$B$1)/24+minute(S192)/1440),"")</f>
        <v>46151.59722</v>
      </c>
      <c r="Y192" s="104">
        <v>46151.45468303241</v>
      </c>
      <c r="Z192" s="105" t="s">
        <v>14</v>
      </c>
      <c r="AA192" s="111">
        <f t="shared" si="4"/>
        <v>0</v>
      </c>
      <c r="AB192" s="110" t="str">
        <f t="shared" si="5"/>
        <v>EMP0042 HULESHWAR KUMAR SAHU</v>
      </c>
      <c r="AC192" s="103">
        <f>if(X192,_xlfn.WORKDAY.INTL(X192,AC$7,"0000001",Holidays!A:A)+hour(X192)/24+MINUTE(X192)/1440,"")</f>
        <v>46153.59722</v>
      </c>
      <c r="AD192" s="104">
        <v>46151.522719201384</v>
      </c>
      <c r="AE192" s="105" t="s">
        <v>14</v>
      </c>
      <c r="AF192" s="111">
        <f t="shared" si="6"/>
        <v>0</v>
      </c>
      <c r="AG192" s="110" t="str">
        <f t="shared" si="7"/>
        <v>EMP0042 HULESHWAR KUMAR SAHU</v>
      </c>
      <c r="AH192" s="103">
        <f>if(AC192,if(and(hour(AC192+AH$7)&gt;9.5,(hour(AC192+AH$7)&lt;19.5)),AC192+AH$7,_xlfn.workday.intl(int(AC192),1,"0000001",Holidays!A:A)+hour(AC192+AH$7-$B$1)/24+minute(AC192)/1440),"")</f>
        <v>46153.63889</v>
      </c>
      <c r="AI192" s="104">
        <v>46151.52275831018</v>
      </c>
      <c r="AJ192" s="105" t="s">
        <v>14</v>
      </c>
      <c r="AK192" s="111">
        <f t="shared" si="8"/>
        <v>0</v>
      </c>
      <c r="AL192" s="112" t="str">
        <f t="shared" si="9"/>
        <v>EMP0042 HULESHWAR KUMAR SAHU</v>
      </c>
      <c r="AM192" s="113"/>
      <c r="AN192" s="114" t="s">
        <v>672</v>
      </c>
      <c r="AO192" s="115"/>
      <c r="AP192" s="115"/>
      <c r="AQ192" s="115"/>
      <c r="AR192" s="115"/>
      <c r="AS192" s="115"/>
      <c r="AT192" s="115"/>
      <c r="AU192" s="115"/>
      <c r="AV192" s="115"/>
      <c r="AW192" s="115"/>
      <c r="AX192" s="115"/>
      <c r="AY192" s="115"/>
    </row>
    <row r="193">
      <c r="A193" s="95">
        <f t="shared" si="11"/>
        <v>5144</v>
      </c>
      <c r="B193" s="96">
        <v>46150.73694364583</v>
      </c>
      <c r="C193" s="97" t="s">
        <v>869</v>
      </c>
      <c r="D193" s="97" t="s">
        <v>142</v>
      </c>
      <c r="E193" s="98" t="s">
        <v>1229</v>
      </c>
      <c r="F193" s="97"/>
      <c r="G193" s="97" t="s">
        <v>1231</v>
      </c>
      <c r="H193" s="99" t="s">
        <v>62</v>
      </c>
      <c r="I193" s="100" t="s">
        <v>324</v>
      </c>
      <c r="J193" s="101" t="s">
        <v>1223</v>
      </c>
      <c r="K193" s="100"/>
      <c r="L193" s="102" t="s">
        <v>1231</v>
      </c>
      <c r="M193" s="103">
        <f>if(B193,if(and(hour(B193+M$7)&gt;9.5,(hour(B193+M$7)&lt;19.5)),B193+M$7,_xlfn.workday.intl(int(B193),1,"0000001",Holidays!A:A)+hour(B193+M$7-$B$1)/24+minute(B193)/1440),"")</f>
        <v>46151.48681</v>
      </c>
      <c r="N193" s="104">
        <v>46151.45458355324</v>
      </c>
      <c r="O193" s="105" t="s">
        <v>14</v>
      </c>
      <c r="P193" s="106">
        <f t="shared" si="1"/>
        <v>0</v>
      </c>
      <c r="Q193" s="107" t="s">
        <v>15</v>
      </c>
      <c r="R193" s="108" t="s">
        <v>434</v>
      </c>
      <c r="S193" s="103">
        <f>if(M193,if(and(hour(M193+S$7)&gt;9.5,(hour(M193+S$7)&lt;19.5)),M193+S$7,_xlfn.workday.intl(int(M193),1,"0000001",Holidays!A:A)+hour(M193+S$7-$B$1)/24+minute(M193)/1440),"")</f>
        <v>46151.49375</v>
      </c>
      <c r="T193" s="104">
        <v>46151.499323125</v>
      </c>
      <c r="U193" s="105" t="s">
        <v>14</v>
      </c>
      <c r="V193" s="109">
        <f t="shared" si="2"/>
        <v>0.005573124996</v>
      </c>
      <c r="W193" s="110" t="str">
        <f t="shared" si="3"/>
        <v>EMP0042 HULESHWAR KUMAR SAHU</v>
      </c>
      <c r="X193" s="103">
        <f>if(S193,if(and(hour(S193+X$7)&gt;9.5,(hour(S193+X$7)&lt;19.5)),S193+X$7,_xlfn.workday.intl(int(S193),1,"0000001",Holidays!A:A)+hour(S193+X$7-$B$1)/24+minute(S193)/1440),"")</f>
        <v>46151.59792</v>
      </c>
      <c r="Y193" s="104">
        <v>46151.499323125</v>
      </c>
      <c r="Z193" s="105" t="s">
        <v>14</v>
      </c>
      <c r="AA193" s="111">
        <f t="shared" si="4"/>
        <v>0</v>
      </c>
      <c r="AB193" s="110" t="str">
        <f t="shared" si="5"/>
        <v>EMP0042 HULESHWAR KUMAR SAHU</v>
      </c>
      <c r="AC193" s="103">
        <f>if(X193,_xlfn.WORKDAY.INTL(X193,AC$7,"0000001",Holidays!A:A)+hour(X193)/24+MINUTE(X193)/1440,"")</f>
        <v>46153.59792</v>
      </c>
      <c r="AD193" s="104">
        <v>46151.52272543982</v>
      </c>
      <c r="AE193" s="105" t="s">
        <v>14</v>
      </c>
      <c r="AF193" s="111">
        <f t="shared" si="6"/>
        <v>0</v>
      </c>
      <c r="AG193" s="110" t="str">
        <f t="shared" si="7"/>
        <v>EMP0042 HULESHWAR KUMAR SAHU</v>
      </c>
      <c r="AH193" s="103">
        <f>if(AC193,if(and(hour(AC193+AH$7)&gt;9.5,(hour(AC193+AH$7)&lt;19.5)),AC193+AH$7,_xlfn.workday.intl(int(AC193),1,"0000001",Holidays!A:A)+hour(AC193+AH$7-$B$1)/24+minute(AC193)/1440),"")</f>
        <v>46153.63958</v>
      </c>
      <c r="AI193" s="104">
        <v>46151.52277787037</v>
      </c>
      <c r="AJ193" s="105" t="s">
        <v>14</v>
      </c>
      <c r="AK193" s="111">
        <f t="shared" si="8"/>
        <v>0</v>
      </c>
      <c r="AL193" s="112" t="str">
        <f t="shared" si="9"/>
        <v>EMP0042 HULESHWAR KUMAR SAHU</v>
      </c>
      <c r="AM193" s="113"/>
      <c r="AN193" s="114" t="s">
        <v>672</v>
      </c>
      <c r="AO193" s="115"/>
      <c r="AP193" s="115"/>
      <c r="AQ193" s="115"/>
      <c r="AR193" s="115"/>
      <c r="AS193" s="115"/>
      <c r="AT193" s="115"/>
      <c r="AU193" s="115"/>
      <c r="AV193" s="115"/>
      <c r="AW193" s="115"/>
      <c r="AX193" s="115"/>
      <c r="AY193" s="115"/>
    </row>
    <row r="194">
      <c r="A194" s="95">
        <f t="shared" si="11"/>
        <v>5145</v>
      </c>
      <c r="B194" s="96">
        <v>46151.61580866898</v>
      </c>
      <c r="C194" s="97" t="s">
        <v>875</v>
      </c>
      <c r="D194" s="97" t="s">
        <v>1232</v>
      </c>
      <c r="E194" s="98" t="s">
        <v>1234</v>
      </c>
      <c r="F194" s="97"/>
      <c r="G194" s="97" t="s">
        <v>674</v>
      </c>
      <c r="H194" s="99" t="s">
        <v>62</v>
      </c>
      <c r="I194" s="100" t="s">
        <v>64</v>
      </c>
      <c r="J194" s="101" t="s">
        <v>662</v>
      </c>
      <c r="K194" s="100"/>
      <c r="L194" s="102" t="s">
        <v>1235</v>
      </c>
      <c r="M194" s="103">
        <f>if(B194,if(and(hour(B194+M$7)&gt;9.5,(hour(B194+M$7)&lt;19.5)),B194+M$7,_xlfn.workday.intl(int(B194),1,"0000001",Holidays!A:A)+hour(B194+M$7-$B$1)/24+minute(B194)/1440),"")</f>
        <v>46151.78248</v>
      </c>
      <c r="N194" s="104">
        <v>46151.6256359838</v>
      </c>
      <c r="O194" s="105" t="s">
        <v>14</v>
      </c>
      <c r="P194" s="106">
        <f t="shared" si="1"/>
        <v>0</v>
      </c>
      <c r="Q194" s="107" t="s">
        <v>72</v>
      </c>
      <c r="R194" s="108" t="s">
        <v>434</v>
      </c>
      <c r="S194" s="103">
        <f>if(M194,if(and(hour(M194+S$7)&gt;9.5,(hour(M194+S$7)&lt;19.5)),M194+S$7,_xlfn.workday.intl(int(M194),1,"0000001",Holidays!A:A)+hour(M194+S$7-$B$1)/24+minute(M194)/1440),"")</f>
        <v>46151.78942</v>
      </c>
      <c r="T194" s="104">
        <v>46151.62569976852</v>
      </c>
      <c r="U194" s="105" t="s">
        <v>14</v>
      </c>
      <c r="V194" s="109">
        <f t="shared" si="2"/>
        <v>0</v>
      </c>
      <c r="W194" s="110" t="str">
        <f t="shared" si="3"/>
        <v>EMP5009 Rup Kumar Mandal</v>
      </c>
      <c r="X194" s="103">
        <f>if(S194,if(and(hour(S194+X$7)&gt;9.5,(hour(S194+X$7)&lt;19.5)),S194+X$7,_xlfn.workday.intl(int(S194),1,"0000001",Holidays!A:A)+hour(S194+X$7-$B$1)/24+minute(S194)/1440),"")</f>
        <v>46153.49722</v>
      </c>
      <c r="Y194" s="104">
        <v>46151.625737800925</v>
      </c>
      <c r="Z194" s="105" t="s">
        <v>14</v>
      </c>
      <c r="AA194" s="111">
        <f t="shared" si="4"/>
        <v>0</v>
      </c>
      <c r="AB194" s="110" t="str">
        <f t="shared" si="5"/>
        <v>EMP5009 Rup Kumar Mandal</v>
      </c>
      <c r="AC194" s="103">
        <f>if(X194,_xlfn.WORKDAY.INTL(X194,AC$7,"0000001",Holidays!A:A)+hour(X194)/24+MINUTE(X194)/1440,"")</f>
        <v>46154.49722</v>
      </c>
      <c r="AD194" s="104">
        <v>46151.62577782407</v>
      </c>
      <c r="AE194" s="105" t="s">
        <v>14</v>
      </c>
      <c r="AF194" s="111">
        <f t="shared" si="6"/>
        <v>0</v>
      </c>
      <c r="AG194" s="110" t="str">
        <f t="shared" si="7"/>
        <v>EMP5009 Rup Kumar Mandal</v>
      </c>
      <c r="AH194" s="103">
        <f>if(AC194,if(and(hour(AC194+AH$7)&gt;9.5,(hour(AC194+AH$7)&lt;19.5)),AC194+AH$7,_xlfn.workday.intl(int(AC194),1,"0000001",Holidays!A:A)+hour(AC194+AH$7-$B$1)/24+minute(AC194)/1440),"")</f>
        <v>46154.53889</v>
      </c>
      <c r="AI194" s="104">
        <v>46153.4439403125</v>
      </c>
      <c r="AJ194" s="105" t="s">
        <v>14</v>
      </c>
      <c r="AK194" s="111">
        <f t="shared" si="8"/>
        <v>0</v>
      </c>
      <c r="AL194" s="112" t="str">
        <f t="shared" si="9"/>
        <v>EMP5009 Rup Kumar Mandal</v>
      </c>
      <c r="AM194" s="113"/>
      <c r="AN194" s="114" t="s">
        <v>672</v>
      </c>
      <c r="AO194" s="115"/>
      <c r="AP194" s="115"/>
      <c r="AQ194" s="115"/>
      <c r="AR194" s="115"/>
      <c r="AS194" s="115"/>
      <c r="AT194" s="115"/>
      <c r="AU194" s="115"/>
      <c r="AV194" s="115"/>
      <c r="AW194" s="115"/>
      <c r="AX194" s="115"/>
      <c r="AY194" s="115"/>
    </row>
    <row r="195">
      <c r="A195" s="95">
        <f t="shared" si="11"/>
        <v>5146</v>
      </c>
      <c r="B195" s="96">
        <v>46151.61723533565</v>
      </c>
      <c r="C195" s="97" t="s">
        <v>1242</v>
      </c>
      <c r="D195" s="97" t="s">
        <v>1232</v>
      </c>
      <c r="E195" s="98" t="s">
        <v>1238</v>
      </c>
      <c r="F195" s="97"/>
      <c r="G195" s="97" t="s">
        <v>644</v>
      </c>
      <c r="H195" s="99" t="s">
        <v>668</v>
      </c>
      <c r="I195" s="100" t="s">
        <v>64</v>
      </c>
      <c r="J195" s="101" t="s">
        <v>662</v>
      </c>
      <c r="K195" s="100"/>
      <c r="L195" s="102" t="s">
        <v>1241</v>
      </c>
      <c r="M195" s="103">
        <f>if(B195,if(and(hour(B195+M$7)&gt;9.5,(hour(B195+M$7)&lt;19.5)),B195+M$7,_xlfn.workday.intl(int(B195),1,"0000001",Holidays!A:A)+hour(B195+M$7-$B$1)/24+minute(B195)/1440),"")</f>
        <v>46151.7839</v>
      </c>
      <c r="N195" s="104">
        <v>46151.6256359838</v>
      </c>
      <c r="O195" s="105" t="s">
        <v>14</v>
      </c>
      <c r="P195" s="106">
        <f t="shared" si="1"/>
        <v>0</v>
      </c>
      <c r="Q195" s="107" t="s">
        <v>72</v>
      </c>
      <c r="R195" s="108" t="s">
        <v>434</v>
      </c>
      <c r="S195" s="103">
        <f>if(M195,if(and(hour(M195+S$7)&gt;9.5,(hour(M195+S$7)&lt;19.5)),M195+S$7,_xlfn.workday.intl(int(M195),1,"0000001",Holidays!A:A)+hour(M195+S$7-$B$1)/24+minute(M195)/1440),"")</f>
        <v>46151.79085</v>
      </c>
      <c r="T195" s="104">
        <v>46151.62569976852</v>
      </c>
      <c r="U195" s="105" t="s">
        <v>14</v>
      </c>
      <c r="V195" s="109">
        <f t="shared" si="2"/>
        <v>0</v>
      </c>
      <c r="W195" s="110" t="str">
        <f t="shared" si="3"/>
        <v>EMP5009 Rup Kumar Mandal</v>
      </c>
      <c r="X195" s="103">
        <f>if(S195,if(and(hour(S195+X$7)&gt;9.5,(hour(S195+X$7)&lt;19.5)),S195+X$7,_xlfn.workday.intl(int(S195),1,"0000001",Holidays!A:A)+hour(S195+X$7-$B$1)/24+minute(S195)/1440),"")</f>
        <v>46153.49861</v>
      </c>
      <c r="Y195" s="104">
        <v>46151.6257447338</v>
      </c>
      <c r="Z195" s="105" t="s">
        <v>14</v>
      </c>
      <c r="AA195" s="111">
        <f t="shared" si="4"/>
        <v>0</v>
      </c>
      <c r="AB195" s="110" t="str">
        <f t="shared" si="5"/>
        <v>EMP5009 Rup Kumar Mandal</v>
      </c>
      <c r="AC195" s="103">
        <f>if(X195,_xlfn.WORKDAY.INTL(X195,AC$7,"0000001",Holidays!A:A)+hour(X195)/24+MINUTE(X195)/1440,"")</f>
        <v>46154.49861</v>
      </c>
      <c r="AD195" s="104">
        <v>46151.62578960648</v>
      </c>
      <c r="AE195" s="105" t="s">
        <v>14</v>
      </c>
      <c r="AF195" s="111">
        <f t="shared" si="6"/>
        <v>0</v>
      </c>
      <c r="AG195" s="110" t="str">
        <f t="shared" si="7"/>
        <v>EMP5009 Rup Kumar Mandal</v>
      </c>
      <c r="AH195" s="103">
        <f>if(AC195,if(and(hour(AC195+AH$7)&gt;9.5,(hour(AC195+AH$7)&lt;19.5)),AC195+AH$7,_xlfn.workday.intl(int(AC195),1,"0000001",Holidays!A:A)+hour(AC195+AH$7-$B$1)/24+minute(AC195)/1440),"")</f>
        <v>46154.54028</v>
      </c>
      <c r="AI195" s="104">
        <v>46153.4439472338</v>
      </c>
      <c r="AJ195" s="105" t="s">
        <v>14</v>
      </c>
      <c r="AK195" s="111">
        <f t="shared" si="8"/>
        <v>0</v>
      </c>
      <c r="AL195" s="112" t="str">
        <f t="shared" si="9"/>
        <v>EMP5009 Rup Kumar Mandal</v>
      </c>
      <c r="AM195" s="113"/>
      <c r="AN195" s="114" t="s">
        <v>672</v>
      </c>
      <c r="AO195" s="115"/>
      <c r="AP195" s="115"/>
      <c r="AQ195" s="115"/>
      <c r="AR195" s="115"/>
      <c r="AS195" s="115"/>
      <c r="AT195" s="115"/>
      <c r="AU195" s="115"/>
      <c r="AV195" s="115"/>
      <c r="AW195" s="115"/>
      <c r="AX195" s="115"/>
      <c r="AY195" s="115"/>
    </row>
    <row r="196">
      <c r="A196" s="95">
        <f t="shared" si="11"/>
        <v>5147</v>
      </c>
      <c r="B196" s="96">
        <v>46151.70705739583</v>
      </c>
      <c r="C196" s="97" t="s">
        <v>1249</v>
      </c>
      <c r="D196" s="97" t="s">
        <v>186</v>
      </c>
      <c r="E196" s="98" t="s">
        <v>1243</v>
      </c>
      <c r="F196" s="98" t="s">
        <v>1250</v>
      </c>
      <c r="G196" s="97" t="s">
        <v>1246</v>
      </c>
      <c r="H196" s="99" t="s">
        <v>1247</v>
      </c>
      <c r="I196" s="100" t="s">
        <v>64</v>
      </c>
      <c r="J196" s="101" t="s">
        <v>303</v>
      </c>
      <c r="K196" s="100"/>
      <c r="L196" s="102" t="s">
        <v>1248</v>
      </c>
      <c r="M196" s="103">
        <f>if(B196,if(and(hour(B196+M$7)&gt;9.5,(hour(B196+M$7)&lt;19.5)),B196+M$7,_xlfn.workday.intl(int(B196),1,"0000001",Holidays!A:A)+hour(B196+M$7-$B$1)/24+minute(B196)/1440),"")</f>
        <v>46153.45694</v>
      </c>
      <c r="N196" s="104">
        <v>46153.44402101852</v>
      </c>
      <c r="O196" s="105" t="s">
        <v>14</v>
      </c>
      <c r="P196" s="106">
        <f t="shared" si="1"/>
        <v>0</v>
      </c>
      <c r="Q196" s="107" t="s">
        <v>15</v>
      </c>
      <c r="R196" s="108" t="s">
        <v>434</v>
      </c>
      <c r="S196" s="103">
        <f>if(M196,if(and(hour(M196+S$7)&gt;9.5,(hour(M196+S$7)&lt;19.5)),M196+S$7,_xlfn.workday.intl(int(M196),1,"0000001",Holidays!A:A)+hour(M196+S$7-$B$1)/24+minute(M196)/1440),"")</f>
        <v>46153.46389</v>
      </c>
      <c r="T196" s="104">
        <v>46153.444108020834</v>
      </c>
      <c r="U196" s="105" t="s">
        <v>14</v>
      </c>
      <c r="V196" s="109">
        <f t="shared" si="2"/>
        <v>0</v>
      </c>
      <c r="W196" s="110" t="str">
        <f t="shared" si="3"/>
        <v>EMP0042 HULESHWAR KUMAR SAHU</v>
      </c>
      <c r="X196" s="103">
        <f>if(S196,if(and(hour(S196+X$7)&gt;9.5,(hour(S196+X$7)&lt;19.5)),S196+X$7,_xlfn.workday.intl(int(S196),1,"0000001",Holidays!A:A)+hour(S196+X$7-$B$1)/24+minute(S196)/1440),"")</f>
        <v>46153.56806</v>
      </c>
      <c r="Y196" s="104">
        <v>46153.46864644676</v>
      </c>
      <c r="Z196" s="105" t="s">
        <v>14</v>
      </c>
      <c r="AA196" s="111">
        <f t="shared" si="4"/>
        <v>0</v>
      </c>
      <c r="AB196" s="110" t="str">
        <f t="shared" si="5"/>
        <v>EMP0042 HULESHWAR KUMAR SAHU</v>
      </c>
      <c r="AC196" s="103">
        <f>if(X196,_xlfn.WORKDAY.INTL(X196,AC$7,"0000001",Holidays!A:A)+hour(X196)/24+MINUTE(X196)/1440,"")</f>
        <v>46154.56806</v>
      </c>
      <c r="AD196" s="104">
        <v>46153.46872547454</v>
      </c>
      <c r="AE196" s="105" t="s">
        <v>14</v>
      </c>
      <c r="AF196" s="111">
        <f t="shared" si="6"/>
        <v>0</v>
      </c>
      <c r="AG196" s="110" t="str">
        <f t="shared" si="7"/>
        <v>EMP0042 HULESHWAR KUMAR SAHU</v>
      </c>
      <c r="AH196" s="103">
        <f>if(AC196,if(and(hour(AC196+AH$7)&gt;9.5,(hour(AC196+AH$7)&lt;19.5)),AC196+AH$7,_xlfn.workday.intl(int(AC196),1,"0000001",Holidays!A:A)+hour(AC196+AH$7-$B$1)/24+minute(AC196)/1440),"")</f>
        <v>46154.60972</v>
      </c>
      <c r="AI196" s="104">
        <v>46153.468762442135</v>
      </c>
      <c r="AJ196" s="105" t="s">
        <v>14</v>
      </c>
      <c r="AK196" s="111">
        <f t="shared" si="8"/>
        <v>0</v>
      </c>
      <c r="AL196" s="112" t="str">
        <f t="shared" si="9"/>
        <v>EMP0042 HULESHWAR KUMAR SAHU</v>
      </c>
      <c r="AM196" s="113"/>
      <c r="AN196" s="114" t="s">
        <v>672</v>
      </c>
      <c r="AO196" s="115"/>
      <c r="AP196" s="115"/>
      <c r="AQ196" s="115"/>
      <c r="AR196" s="115"/>
      <c r="AS196" s="115"/>
      <c r="AT196" s="115"/>
      <c r="AU196" s="115"/>
      <c r="AV196" s="115"/>
      <c r="AW196" s="115"/>
      <c r="AX196" s="115"/>
      <c r="AY196" s="115"/>
    </row>
    <row r="197">
      <c r="A197" s="95">
        <f t="shared" si="11"/>
        <v>5148</v>
      </c>
      <c r="B197" s="96">
        <v>46153.49407373843</v>
      </c>
      <c r="C197" s="97" t="s">
        <v>886</v>
      </c>
      <c r="D197" s="97" t="s">
        <v>357</v>
      </c>
      <c r="E197" s="98" t="s">
        <v>1254</v>
      </c>
      <c r="F197" s="97"/>
      <c r="G197" s="97" t="s">
        <v>1256</v>
      </c>
      <c r="H197" s="99" t="s">
        <v>147</v>
      </c>
      <c r="I197" s="100" t="s">
        <v>64</v>
      </c>
      <c r="J197" s="101" t="s">
        <v>1253</v>
      </c>
      <c r="K197" s="100"/>
      <c r="L197" s="102" t="s">
        <v>1257</v>
      </c>
      <c r="M197" s="103">
        <f>if(B197,if(and(hour(B197+M$7)&gt;9.5,(hour(B197+M$7)&lt;19.5)),B197+M$7,_xlfn.workday.intl(int(B197),1,"0000001",Holidays!A:A)+hour(B197+M$7-$B$1)/24+minute(B197)/1440),"")</f>
        <v>46153.66074</v>
      </c>
      <c r="N197" s="104">
        <v>46153.65225694444</v>
      </c>
      <c r="O197" s="105" t="s">
        <v>14</v>
      </c>
      <c r="P197" s="106">
        <f t="shared" si="1"/>
        <v>0</v>
      </c>
      <c r="Q197" s="107" t="s">
        <v>48</v>
      </c>
      <c r="R197" s="108" t="s">
        <v>434</v>
      </c>
      <c r="S197" s="103">
        <f>if(M197,if(and(hour(M197+S$7)&gt;9.5,(hour(M197+S$7)&lt;19.5)),M197+S$7,_xlfn.workday.intl(int(M197),1,"0000001",Holidays!A:A)+hour(M197+S$7-$B$1)/24+minute(M197)/1440),"")</f>
        <v>46153.66768</v>
      </c>
      <c r="T197" s="104">
        <v>46153.652280092596</v>
      </c>
      <c r="U197" s="105" t="s">
        <v>14</v>
      </c>
      <c r="V197" s="109">
        <f t="shared" si="2"/>
        <v>0</v>
      </c>
      <c r="W197" s="110" t="str">
        <f t="shared" si="3"/>
        <v>EMP0237 Swarnendu Chakraborty</v>
      </c>
      <c r="X197" s="103">
        <f>if(S197,if(and(hour(S197+X$7)&gt;9.5,(hour(S197+X$7)&lt;19.5)),S197+X$7,_xlfn.workday.intl(int(S197),1,"0000001",Holidays!A:A)+hour(S197+X$7-$B$1)/24+minute(S197)/1440),"")</f>
        <v>46153.77185</v>
      </c>
      <c r="Y197" s="104">
        <v>46153.694055127315</v>
      </c>
      <c r="Z197" s="105" t="s">
        <v>14</v>
      </c>
      <c r="AA197" s="111">
        <f t="shared" si="4"/>
        <v>0</v>
      </c>
      <c r="AB197" s="110" t="str">
        <f t="shared" si="5"/>
        <v>EMP0237 Swarnendu Chakraborty</v>
      </c>
      <c r="AC197" s="103">
        <f>if(X197,_xlfn.WORKDAY.INTL(X197,AC$7,"0000001",Holidays!A:A)+hour(X197)/24+MINUTE(X197)/1440,"")</f>
        <v>46154.77153</v>
      </c>
      <c r="AD197" s="104">
        <v>46153.69407453704</v>
      </c>
      <c r="AE197" s="105" t="s">
        <v>14</v>
      </c>
      <c r="AF197" s="111">
        <f t="shared" si="6"/>
        <v>0</v>
      </c>
      <c r="AG197" s="110" t="str">
        <f t="shared" si="7"/>
        <v>EMP0237 Swarnendu Chakraborty</v>
      </c>
      <c r="AH197" s="103">
        <f>if(AC197,if(and(hour(AC197+AH$7)&gt;9.5,(hour(AC197+AH$7)&lt;19.5)),AC197+AH$7,_xlfn.workday.intl(int(AC197),1,"0000001",Holidays!A:A)+hour(AC197+AH$7-$B$1)/24+minute(AC197)/1440),"")</f>
        <v>46154.81319</v>
      </c>
      <c r="AI197" s="104">
        <v>46154.640967534724</v>
      </c>
      <c r="AJ197" s="105" t="s">
        <v>14</v>
      </c>
      <c r="AK197" s="111">
        <f t="shared" si="8"/>
        <v>0</v>
      </c>
      <c r="AL197" s="112" t="str">
        <f t="shared" si="9"/>
        <v>EMP0237 Swarnendu Chakraborty</v>
      </c>
      <c r="AM197" s="113"/>
      <c r="AN197" s="114" t="s">
        <v>672</v>
      </c>
      <c r="AO197" s="115"/>
      <c r="AP197" s="115"/>
      <c r="AQ197" s="115"/>
      <c r="AR197" s="115"/>
      <c r="AS197" s="115"/>
      <c r="AT197" s="115"/>
      <c r="AU197" s="115"/>
      <c r="AV197" s="115"/>
      <c r="AW197" s="115"/>
      <c r="AX197" s="115"/>
      <c r="AY197" s="115"/>
    </row>
    <row r="198" ht="45.0" customHeight="1">
      <c r="A198" s="95">
        <f t="shared" si="11"/>
        <v>5149</v>
      </c>
      <c r="B198" s="96">
        <v>46154.64773019676</v>
      </c>
      <c r="C198" s="97" t="s">
        <v>1261</v>
      </c>
      <c r="D198" s="97" t="s">
        <v>186</v>
      </c>
      <c r="E198" s="98" t="s">
        <v>1258</v>
      </c>
      <c r="F198" s="98" t="s">
        <v>1263</v>
      </c>
      <c r="G198" s="97" t="s">
        <v>1259</v>
      </c>
      <c r="H198" s="99" t="s">
        <v>126</v>
      </c>
      <c r="I198" s="100" t="s">
        <v>64</v>
      </c>
      <c r="J198" s="101" t="s">
        <v>303</v>
      </c>
      <c r="K198" s="100"/>
      <c r="L198" s="102" t="s">
        <v>1260</v>
      </c>
      <c r="M198" s="103">
        <f>if(B198,if(and(hour(B198+M$7)&gt;9.5,(hour(B198+M$7)&lt;19.5)),B198+M$7,_xlfn.workday.intl(int(B198),1,"0000001",Holidays!A:A)+hour(B198+M$7-$B$1)/24+minute(B198)/1440),"")</f>
        <v>46154.8144</v>
      </c>
      <c r="N198" s="104">
        <v>46154.6672953125</v>
      </c>
      <c r="O198" s="105" t="s">
        <v>14</v>
      </c>
      <c r="P198" s="106">
        <f t="shared" si="1"/>
        <v>0</v>
      </c>
      <c r="Q198" s="107" t="s">
        <v>15</v>
      </c>
      <c r="R198" s="108" t="s">
        <v>434</v>
      </c>
      <c r="S198" s="103">
        <f>if(M198,if(and(hour(M198+S$7)&gt;9.5,(hour(M198+S$7)&lt;19.5)),M198+S$7,_xlfn.workday.intl(int(M198),1,"0000001",Holidays!A:A)+hour(M198+S$7-$B$1)/24+minute(M198)/1440),"")</f>
        <v>46154.82134</v>
      </c>
      <c r="T198" s="104">
        <v>46154.667386898145</v>
      </c>
      <c r="U198" s="105" t="s">
        <v>14</v>
      </c>
      <c r="V198" s="109">
        <f t="shared" si="2"/>
        <v>0</v>
      </c>
      <c r="W198" s="110" t="str">
        <f t="shared" si="3"/>
        <v>EMP0042 HULESHWAR KUMAR SAHU</v>
      </c>
      <c r="X198" s="103">
        <f>if(S198,if(and(hour(S198+X$7)&gt;9.5,(hour(S198+X$7)&lt;19.5)),S198+X$7,_xlfn.workday.intl(int(S198),1,"0000001",Holidays!A:A)+hour(S198+X$7-$B$1)/24+minute(S198)/1440),"")</f>
        <v>46155.52917</v>
      </c>
      <c r="Y198" s="104">
        <v>46154.667426747685</v>
      </c>
      <c r="Z198" s="105" t="s">
        <v>14</v>
      </c>
      <c r="AA198" s="111">
        <f t="shared" si="4"/>
        <v>0</v>
      </c>
      <c r="AB198" s="110" t="str">
        <f t="shared" si="5"/>
        <v>EMP0042 HULESHWAR KUMAR SAHU</v>
      </c>
      <c r="AC198" s="103">
        <f>if(X198,_xlfn.WORKDAY.INTL(X198,AC$7,"0000001",Holidays!A:A)+hour(X198)/24+MINUTE(X198)/1440,"")</f>
        <v>46156.52917</v>
      </c>
      <c r="AD198" s="104">
        <v>46154.67519113426</v>
      </c>
      <c r="AE198" s="105" t="s">
        <v>14</v>
      </c>
      <c r="AF198" s="111">
        <f t="shared" si="6"/>
        <v>0</v>
      </c>
      <c r="AG198" s="110" t="str">
        <f t="shared" si="7"/>
        <v>EMP0042 HULESHWAR KUMAR SAHU</v>
      </c>
      <c r="AH198" s="103">
        <f>if(AC198,if(and(hour(AC198+AH$7)&gt;9.5,(hour(AC198+AH$7)&lt;19.5)),AC198+AH$7,_xlfn.workday.intl(int(AC198),1,"0000001",Holidays!A:A)+hour(AC198+AH$7-$B$1)/24+minute(AC198)/1440),"")</f>
        <v>46156.57083</v>
      </c>
      <c r="AI198" s="104">
        <v>46154.67523842593</v>
      </c>
      <c r="AJ198" s="105" t="s">
        <v>14</v>
      </c>
      <c r="AK198" s="111">
        <f t="shared" si="8"/>
        <v>0</v>
      </c>
      <c r="AL198" s="112" t="str">
        <f t="shared" si="9"/>
        <v>EMP0042 HULESHWAR KUMAR SAHU</v>
      </c>
      <c r="AM198" s="113"/>
      <c r="AN198" s="114" t="s">
        <v>672</v>
      </c>
      <c r="AO198" s="115"/>
      <c r="AP198" s="115"/>
      <c r="AQ198" s="115"/>
      <c r="AR198" s="115"/>
      <c r="AS198" s="115"/>
      <c r="AT198" s="115"/>
      <c r="AU198" s="115"/>
      <c r="AV198" s="115"/>
      <c r="AW198" s="115"/>
      <c r="AX198" s="115"/>
      <c r="AY198" s="115"/>
    </row>
    <row r="199">
      <c r="A199" s="95">
        <f t="shared" si="11"/>
        <v>5150</v>
      </c>
      <c r="B199" s="96">
        <v>46154.650738125</v>
      </c>
      <c r="C199" s="97" t="s">
        <v>894</v>
      </c>
      <c r="D199" s="97" t="s">
        <v>186</v>
      </c>
      <c r="E199" s="98" t="s">
        <v>1265</v>
      </c>
      <c r="F199" s="97"/>
      <c r="G199" s="97" t="s">
        <v>1266</v>
      </c>
      <c r="H199" s="99" t="s">
        <v>138</v>
      </c>
      <c r="I199" s="100" t="s">
        <v>64</v>
      </c>
      <c r="J199" s="101" t="s">
        <v>303</v>
      </c>
      <c r="K199" s="100"/>
      <c r="L199" s="102" t="s">
        <v>1267</v>
      </c>
      <c r="M199" s="103">
        <f>if(B199,if(and(hour(B199+M$7)&gt;9.5,(hour(B199+M$7)&lt;19.5)),B199+M$7,_xlfn.workday.intl(int(B199),1,"0000001",Holidays!A:A)+hour(B199+M$7-$B$1)/24+minute(B199)/1440),"")</f>
        <v>46154.8174</v>
      </c>
      <c r="N199" s="104">
        <v>46154.66729525463</v>
      </c>
      <c r="O199" s="105" t="s">
        <v>14</v>
      </c>
      <c r="P199" s="106">
        <f t="shared" si="1"/>
        <v>0</v>
      </c>
      <c r="Q199" s="107" t="s">
        <v>15</v>
      </c>
      <c r="R199" s="108" t="s">
        <v>434</v>
      </c>
      <c r="S199" s="103">
        <f>if(M199,if(and(hour(M199+S$7)&gt;9.5,(hour(M199+S$7)&lt;19.5)),M199+S$7,_xlfn.workday.intl(int(M199),1,"0000001",Holidays!A:A)+hour(M199+S$7-$B$1)/24+minute(M199)/1440),"")</f>
        <v>46154.82435</v>
      </c>
      <c r="T199" s="104">
        <v>46154.667442881946</v>
      </c>
      <c r="U199" s="105" t="s">
        <v>14</v>
      </c>
      <c r="V199" s="109">
        <f t="shared" si="2"/>
        <v>0</v>
      </c>
      <c r="W199" s="110" t="str">
        <f t="shared" si="3"/>
        <v>EMP0042 HULESHWAR KUMAR SAHU</v>
      </c>
      <c r="X199" s="103">
        <f>if(S199,if(and(hour(S199+X$7)&gt;9.5,(hour(S199+X$7)&lt;19.5)),S199+X$7,_xlfn.workday.intl(int(S199),1,"0000001",Holidays!A:A)+hour(S199+X$7-$B$1)/24+minute(S199)/1440),"")</f>
        <v>46155.53264</v>
      </c>
      <c r="Y199" s="104">
        <v>46154.667442881946</v>
      </c>
      <c r="Z199" s="105" t="s">
        <v>14</v>
      </c>
      <c r="AA199" s="111">
        <f t="shared" si="4"/>
        <v>0</v>
      </c>
      <c r="AB199" s="110" t="str">
        <f t="shared" si="5"/>
        <v>EMP0042 HULESHWAR KUMAR SAHU</v>
      </c>
      <c r="AC199" s="103">
        <f>if(X199,_xlfn.WORKDAY.INTL(X199,AC$7,"0000001",Holidays!A:A)+hour(X199)/24+MINUTE(X199)/1440,"")</f>
        <v>46156.53264</v>
      </c>
      <c r="AD199" s="104">
        <v>46155.52170217593</v>
      </c>
      <c r="AE199" s="105" t="s">
        <v>14</v>
      </c>
      <c r="AF199" s="111">
        <f t="shared" si="6"/>
        <v>0</v>
      </c>
      <c r="AG199" s="110" t="str">
        <f t="shared" si="7"/>
        <v>EMP0042 HULESHWAR KUMAR SAHU</v>
      </c>
      <c r="AH199" s="103">
        <f>if(AC199,if(and(hour(AC199+AH$7)&gt;9.5,(hour(AC199+AH$7)&lt;19.5)),AC199+AH$7,_xlfn.workday.intl(int(AC199),1,"0000001",Holidays!A:A)+hour(AC199+AH$7-$B$1)/24+minute(AC199)/1440),"")</f>
        <v>46156.57431</v>
      </c>
      <c r="AI199" s="104">
        <v>46156.49759827546</v>
      </c>
      <c r="AJ199" s="105" t="s">
        <v>14</v>
      </c>
      <c r="AK199" s="111">
        <f t="shared" si="8"/>
        <v>0</v>
      </c>
      <c r="AL199" s="112" t="str">
        <f t="shared" si="9"/>
        <v>EMP0042 HULESHWAR KUMAR SAHU</v>
      </c>
      <c r="AM199" s="113"/>
      <c r="AN199" s="114" t="s">
        <v>672</v>
      </c>
      <c r="AO199" s="115"/>
      <c r="AP199" s="115"/>
      <c r="AQ199" s="115"/>
      <c r="AR199" s="115"/>
      <c r="AS199" s="115"/>
      <c r="AT199" s="115"/>
      <c r="AU199" s="115"/>
      <c r="AV199" s="115"/>
      <c r="AW199" s="115"/>
      <c r="AX199" s="115"/>
      <c r="AY199" s="115"/>
    </row>
    <row r="200">
      <c r="A200" s="95">
        <f t="shared" si="11"/>
        <v>5151</v>
      </c>
      <c r="B200" s="96">
        <v>46154.7034228125</v>
      </c>
      <c r="C200" s="97" t="s">
        <v>898</v>
      </c>
      <c r="D200" s="97" t="s">
        <v>1270</v>
      </c>
      <c r="E200" s="98" t="s">
        <v>1271</v>
      </c>
      <c r="F200" s="98" t="s">
        <v>1273</v>
      </c>
      <c r="G200" s="97" t="s">
        <v>986</v>
      </c>
      <c r="H200" s="99" t="s">
        <v>62</v>
      </c>
      <c r="I200" s="100" t="s">
        <v>324</v>
      </c>
      <c r="J200" s="101" t="s">
        <v>1269</v>
      </c>
      <c r="K200" s="100"/>
      <c r="L200" s="102" t="s">
        <v>701</v>
      </c>
      <c r="M200" s="103">
        <f>if(B200,if(and(hour(B200+M$7)&gt;9.5,(hour(B200+M$7)&lt;19.5)),B200+M$7,_xlfn.workday.intl(int(B200),1,"0000001",Holidays!A:A)+hour(B200+M$7-$B$1)/24+minute(B200)/1440),"")</f>
        <v>46155.45278</v>
      </c>
      <c r="N200" s="104">
        <v>46155.43822916667</v>
      </c>
      <c r="O200" s="105" t="s">
        <v>14</v>
      </c>
      <c r="P200" s="106">
        <f t="shared" si="1"/>
        <v>0</v>
      </c>
      <c r="Q200" s="107" t="s">
        <v>15</v>
      </c>
      <c r="R200" s="108" t="s">
        <v>434</v>
      </c>
      <c r="S200" s="103">
        <f>if(M200,if(and(hour(M200+S$7)&gt;9.5,(hour(M200+S$7)&lt;19.5)),M200+S$7,_xlfn.workday.intl(int(M200),1,"0000001",Holidays!A:A)+hour(M200+S$7-$B$1)/24+minute(M200)/1440),"")</f>
        <v>46155.45972</v>
      </c>
      <c r="T200" s="104">
        <v>46155.43832175926</v>
      </c>
      <c r="U200" s="105" t="s">
        <v>14</v>
      </c>
      <c r="V200" s="109">
        <f t="shared" si="2"/>
        <v>0</v>
      </c>
      <c r="W200" s="110" t="str">
        <f t="shared" si="3"/>
        <v>EMP0042 HULESHWAR KUMAR SAHU</v>
      </c>
      <c r="X200" s="103">
        <f>if(S200,if(and(hour(S200+X$7)&gt;9.5,(hour(S200+X$7)&lt;19.5)),S200+X$7,_xlfn.workday.intl(int(S200),1,"0000001",Holidays!A:A)+hour(S200+X$7-$B$1)/24+minute(S200)/1440),"")</f>
        <v>46155.56389</v>
      </c>
      <c r="Y200" s="104">
        <v>46155.521666712964</v>
      </c>
      <c r="Z200" s="105" t="s">
        <v>14</v>
      </c>
      <c r="AA200" s="111">
        <f t="shared" si="4"/>
        <v>0</v>
      </c>
      <c r="AB200" s="110" t="str">
        <f t="shared" si="5"/>
        <v>EMP0042 HULESHWAR KUMAR SAHU</v>
      </c>
      <c r="AC200" s="103">
        <f>if(X200,_xlfn.WORKDAY.INTL(X200,AC$7,"0000001",Holidays!A:A)+hour(X200)/24+MINUTE(X200)/1440,"")</f>
        <v>46156.56389</v>
      </c>
      <c r="AD200" s="104">
        <v>46155.52272306713</v>
      </c>
      <c r="AE200" s="105" t="s">
        <v>14</v>
      </c>
      <c r="AF200" s="111">
        <f t="shared" si="6"/>
        <v>0</v>
      </c>
      <c r="AG200" s="110" t="str">
        <f t="shared" si="7"/>
        <v>EMP0042 HULESHWAR KUMAR SAHU</v>
      </c>
      <c r="AH200" s="103">
        <f>if(AC200,if(and(hour(AC200+AH$7)&gt;9.5,(hour(AC200+AH$7)&lt;19.5)),AC200+AH$7,_xlfn.workday.intl(int(AC200),1,"0000001",Holidays!A:A)+hour(AC200+AH$7-$B$1)/24+minute(AC200)/1440),"")</f>
        <v>46156.60556</v>
      </c>
      <c r="AI200" s="104">
        <v>46155.52286697917</v>
      </c>
      <c r="AJ200" s="105" t="s">
        <v>14</v>
      </c>
      <c r="AK200" s="111">
        <f t="shared" si="8"/>
        <v>0</v>
      </c>
      <c r="AL200" s="112" t="str">
        <f t="shared" si="9"/>
        <v>EMP0042 HULESHWAR KUMAR SAHU</v>
      </c>
      <c r="AM200" s="113"/>
      <c r="AN200" s="114" t="s">
        <v>672</v>
      </c>
      <c r="AO200" s="115"/>
      <c r="AP200" s="115"/>
      <c r="AQ200" s="115"/>
      <c r="AR200" s="115"/>
      <c r="AS200" s="115"/>
      <c r="AT200" s="115"/>
      <c r="AU200" s="115"/>
      <c r="AV200" s="115"/>
      <c r="AW200" s="115"/>
      <c r="AX200" s="115"/>
      <c r="AY200" s="115"/>
    </row>
    <row r="201">
      <c r="A201" s="95">
        <f t="shared" si="11"/>
        <v>5152</v>
      </c>
      <c r="B201" s="96">
        <v>46156.6766552662</v>
      </c>
      <c r="C201" s="97" t="s">
        <v>905</v>
      </c>
      <c r="D201" s="97" t="s">
        <v>49</v>
      </c>
      <c r="E201" s="98" t="s">
        <v>1275</v>
      </c>
      <c r="F201" s="97"/>
      <c r="G201" s="97" t="s">
        <v>1276</v>
      </c>
      <c r="H201" s="99" t="s">
        <v>62</v>
      </c>
      <c r="I201" s="100" t="s">
        <v>64</v>
      </c>
      <c r="J201" s="101" t="s">
        <v>47</v>
      </c>
      <c r="K201" s="100"/>
      <c r="L201" s="102" t="s">
        <v>1277</v>
      </c>
      <c r="M201" s="103">
        <f>if(B201,if(and(hour(B201+M$7)&gt;9.5,(hour(B201+M$7)&lt;19.5)),B201+M$7,_xlfn.workday.intl(int(B201),1,"0000001",Holidays!A:A)+hour(B201+M$7-$B$1)/24+minute(B201)/1440),"")</f>
        <v>46157.42639</v>
      </c>
      <c r="N201" s="104">
        <v>46156.68101962963</v>
      </c>
      <c r="O201" s="105" t="s">
        <v>14</v>
      </c>
      <c r="P201" s="106">
        <f t="shared" si="1"/>
        <v>0</v>
      </c>
      <c r="Q201" s="107" t="s">
        <v>15</v>
      </c>
      <c r="R201" s="108" t="s">
        <v>434</v>
      </c>
      <c r="S201" s="103">
        <f>if(M201,if(and(hour(M201+S$7)&gt;9.5,(hour(M201+S$7)&lt;19.5)),M201+S$7,_xlfn.workday.intl(int(M201),1,"0000001",Holidays!A:A)+hour(M201+S$7-$B$1)/24+minute(M201)/1440),"")</f>
        <v>46157.43333</v>
      </c>
      <c r="T201" s="104">
        <v>46156.68116489583</v>
      </c>
      <c r="U201" s="105" t="s">
        <v>14</v>
      </c>
      <c r="V201" s="109">
        <f t="shared" si="2"/>
        <v>0</v>
      </c>
      <c r="W201" s="110" t="str">
        <f t="shared" si="3"/>
        <v>EMP0042 HULESHWAR KUMAR SAHU</v>
      </c>
      <c r="X201" s="103">
        <f>if(S201,if(and(hour(S201+X$7)&gt;9.5,(hour(S201+X$7)&lt;19.5)),S201+X$7,_xlfn.workday.intl(int(S201),1,"0000001",Holidays!A:A)+hour(S201+X$7-$B$1)/24+minute(S201)/1440),"")</f>
        <v>46157.5375</v>
      </c>
      <c r="Y201" s="104">
        <v>46156.68261871528</v>
      </c>
      <c r="Z201" s="105" t="s">
        <v>14</v>
      </c>
      <c r="AA201" s="111">
        <f t="shared" si="4"/>
        <v>0</v>
      </c>
      <c r="AB201" s="110" t="str">
        <f t="shared" si="5"/>
        <v>EMP0042 HULESHWAR KUMAR SAHU</v>
      </c>
      <c r="AC201" s="103">
        <f>if(X201,_xlfn.WORKDAY.INTL(X201,AC$7,"0000001",Holidays!A:A)+hour(X201)/24+MINUTE(X201)/1440,"")</f>
        <v>46158.5375</v>
      </c>
      <c r="AD201" s="104">
        <v>46156.76127070602</v>
      </c>
      <c r="AE201" s="105" t="s">
        <v>14</v>
      </c>
      <c r="AF201" s="111">
        <f t="shared" si="6"/>
        <v>0</v>
      </c>
      <c r="AG201" s="110" t="str">
        <f t="shared" si="7"/>
        <v>EMP0042 HULESHWAR KUMAR SAHU</v>
      </c>
      <c r="AH201" s="103">
        <f>if(AC201,if(and(hour(AC201+AH$7)&gt;9.5,(hour(AC201+AH$7)&lt;19.5)),AC201+AH$7,_xlfn.workday.intl(int(AC201),1,"0000001",Holidays!A:A)+hour(AC201+AH$7-$B$1)/24+minute(AC201)/1440),"")</f>
        <v>46158.57917</v>
      </c>
      <c r="AI201" s="104">
        <v>46156.76137357639</v>
      </c>
      <c r="AJ201" s="105" t="s">
        <v>14</v>
      </c>
      <c r="AK201" s="111">
        <f t="shared" si="8"/>
        <v>0</v>
      </c>
      <c r="AL201" s="112" t="str">
        <f t="shared" si="9"/>
        <v>EMP0042 HULESHWAR KUMAR SAHU</v>
      </c>
      <c r="AM201" s="113"/>
      <c r="AN201" s="114" t="s">
        <v>672</v>
      </c>
      <c r="AO201" s="115"/>
      <c r="AP201" s="115"/>
      <c r="AQ201" s="115"/>
      <c r="AR201" s="115"/>
      <c r="AS201" s="115"/>
      <c r="AT201" s="115"/>
      <c r="AU201" s="115"/>
      <c r="AV201" s="115"/>
      <c r="AW201" s="115"/>
      <c r="AX201" s="115"/>
      <c r="AY201" s="115"/>
    </row>
    <row r="202">
      <c r="A202" s="95">
        <f t="shared" si="11"/>
        <v>5153</v>
      </c>
      <c r="B202" s="96">
        <v>46156.67850476852</v>
      </c>
      <c r="C202" s="97" t="s">
        <v>910</v>
      </c>
      <c r="D202" s="97" t="s">
        <v>49</v>
      </c>
      <c r="E202" s="98" t="s">
        <v>1280</v>
      </c>
      <c r="F202" s="97"/>
      <c r="G202" s="97" t="s">
        <v>1281</v>
      </c>
      <c r="H202" s="99" t="s">
        <v>62</v>
      </c>
      <c r="I202" s="100" t="s">
        <v>64</v>
      </c>
      <c r="J202" s="101" t="s">
        <v>47</v>
      </c>
      <c r="K202" s="100"/>
      <c r="L202" s="102" t="s">
        <v>1277</v>
      </c>
      <c r="M202" s="103">
        <f>if(B202,if(and(hour(B202+M$7)&gt;9.5,(hour(B202+M$7)&lt;19.5)),B202+M$7,_xlfn.workday.intl(int(B202),1,"0000001",Holidays!A:A)+hour(B202+M$7-$B$1)/24+minute(B202)/1440),"")</f>
        <v>46157.42847</v>
      </c>
      <c r="N202" s="104">
        <v>46156.68105452546</v>
      </c>
      <c r="O202" s="105" t="s">
        <v>14</v>
      </c>
      <c r="P202" s="106">
        <f t="shared" si="1"/>
        <v>0</v>
      </c>
      <c r="Q202" s="107" t="s">
        <v>61</v>
      </c>
      <c r="R202" s="108" t="s">
        <v>434</v>
      </c>
      <c r="S202" s="103">
        <f>if(M202,if(and(hour(M202+S$7)&gt;9.5,(hour(M202+S$7)&lt;19.5)),M202+S$7,_xlfn.workday.intl(int(M202),1,"0000001",Holidays!A:A)+hour(M202+S$7-$B$1)/24+minute(M202)/1440),"")</f>
        <v>46157.43542</v>
      </c>
      <c r="T202" s="104">
        <v>46156.68116658565</v>
      </c>
      <c r="U202" s="105" t="s">
        <v>14</v>
      </c>
      <c r="V202" s="109">
        <f t="shared" si="2"/>
        <v>0</v>
      </c>
      <c r="W202" s="110" t="str">
        <f t="shared" si="3"/>
        <v>EMP0021 Tamanna Dewangan</v>
      </c>
      <c r="X202" s="103">
        <f>if(S202,if(and(hour(S202+X$7)&gt;9.5,(hour(S202+X$7)&lt;19.5)),S202+X$7,_xlfn.workday.intl(int(S202),1,"0000001",Holidays!A:A)+hour(S202+X$7-$B$1)/24+minute(S202)/1440),"")</f>
        <v>46157.53958</v>
      </c>
      <c r="Y202" s="104">
        <v>46156.68249474537</v>
      </c>
      <c r="Z202" s="105" t="s">
        <v>14</v>
      </c>
      <c r="AA202" s="111">
        <f t="shared" si="4"/>
        <v>0</v>
      </c>
      <c r="AB202" s="110" t="str">
        <f t="shared" si="5"/>
        <v>EMP0021 Tamanna Dewangan</v>
      </c>
      <c r="AC202" s="103">
        <f>if(X202,_xlfn.WORKDAY.INTL(X202,AC$7,"0000001",Holidays!A:A)+hour(X202)/24+MINUTE(X202)/1440,"")</f>
        <v>46158.53958</v>
      </c>
      <c r="AD202" s="104">
        <v>46156.76127209491</v>
      </c>
      <c r="AE202" s="105" t="s">
        <v>14</v>
      </c>
      <c r="AF202" s="111">
        <f t="shared" si="6"/>
        <v>0</v>
      </c>
      <c r="AG202" s="110" t="str">
        <f t="shared" si="7"/>
        <v>EMP0021 Tamanna Dewangan</v>
      </c>
      <c r="AH202" s="103">
        <f>if(AC202,if(and(hour(AC202+AH$7)&gt;9.5,(hour(AC202+AH$7)&lt;19.5)),AC202+AH$7,_xlfn.workday.intl(int(AC202),1,"0000001",Holidays!A:A)+hour(AC202+AH$7-$B$1)/24+minute(AC202)/1440),"")</f>
        <v>46158.58125</v>
      </c>
      <c r="AI202" s="104">
        <v>46156.76136739583</v>
      </c>
      <c r="AJ202" s="105" t="s">
        <v>14</v>
      </c>
      <c r="AK202" s="111">
        <f t="shared" si="8"/>
        <v>0</v>
      </c>
      <c r="AL202" s="112" t="str">
        <f t="shared" si="9"/>
        <v>EMP0021 Tamanna Dewangan</v>
      </c>
      <c r="AM202" s="113"/>
      <c r="AN202" s="114" t="s">
        <v>672</v>
      </c>
      <c r="AO202" s="115"/>
      <c r="AP202" s="115"/>
      <c r="AQ202" s="115"/>
      <c r="AR202" s="115"/>
      <c r="AS202" s="115"/>
      <c r="AT202" s="115"/>
      <c r="AU202" s="115"/>
      <c r="AV202" s="115"/>
      <c r="AW202" s="115"/>
      <c r="AX202" s="115"/>
      <c r="AY202" s="115"/>
    </row>
    <row r="203">
      <c r="A203" s="95">
        <f t="shared" si="11"/>
        <v>5154</v>
      </c>
      <c r="B203" s="96">
        <v>46156.70150758102</v>
      </c>
      <c r="C203" s="97" t="s">
        <v>913</v>
      </c>
      <c r="D203" s="97" t="s">
        <v>207</v>
      </c>
      <c r="E203" s="98" t="s">
        <v>1284</v>
      </c>
      <c r="F203" s="97"/>
      <c r="G203" s="97" t="s">
        <v>211</v>
      </c>
      <c r="H203" s="99" t="s">
        <v>126</v>
      </c>
      <c r="I203" s="100" t="s">
        <v>64</v>
      </c>
      <c r="J203" s="101" t="s">
        <v>206</v>
      </c>
      <c r="K203" s="100"/>
      <c r="L203" s="102" t="s">
        <v>1286</v>
      </c>
      <c r="M203" s="103">
        <f>if(B203,if(and(hour(B203+M$7)&gt;9.5,(hour(B203+M$7)&lt;19.5)),B203+M$7,_xlfn.workday.intl(int(B203),1,"0000001",Holidays!A:A)+hour(B203+M$7-$B$1)/24+minute(B203)/1440),"")</f>
        <v>46157.45139</v>
      </c>
      <c r="N203" s="104">
        <v>46156.7173687037</v>
      </c>
      <c r="O203" s="105" t="s">
        <v>14</v>
      </c>
      <c r="P203" s="106">
        <f t="shared" si="1"/>
        <v>0</v>
      </c>
      <c r="Q203" s="107" t="s">
        <v>61</v>
      </c>
      <c r="R203" s="108" t="s">
        <v>434</v>
      </c>
      <c r="S203" s="103">
        <f>if(M203,if(and(hour(M203+S$7)&gt;9.5,(hour(M203+S$7)&lt;19.5)),M203+S$7,_xlfn.workday.intl(int(M203),1,"0000001",Holidays!A:A)+hour(M203+S$7-$B$1)/24+minute(M203)/1440),"")</f>
        <v>46157.45833</v>
      </c>
      <c r="T203" s="104">
        <v>46156.71749892361</v>
      </c>
      <c r="U203" s="105" t="s">
        <v>14</v>
      </c>
      <c r="V203" s="109">
        <f t="shared" si="2"/>
        <v>0</v>
      </c>
      <c r="W203" s="110" t="str">
        <f t="shared" si="3"/>
        <v>EMP0021 Tamanna Dewangan</v>
      </c>
      <c r="X203" s="103">
        <f>if(S203,if(and(hour(S203+X$7)&gt;9.5,(hour(S203+X$7)&lt;19.5)),S203+X$7,_xlfn.workday.intl(int(S203),1,"0000001",Holidays!A:A)+hour(S203+X$7-$B$1)/24+minute(S203)/1440),"")</f>
        <v>46157.5625</v>
      </c>
      <c r="Y203" s="104">
        <v>46157.46470377315</v>
      </c>
      <c r="Z203" s="105" t="s">
        <v>14</v>
      </c>
      <c r="AA203" s="111">
        <f t="shared" si="4"/>
        <v>0</v>
      </c>
      <c r="AB203" s="110" t="str">
        <f t="shared" si="5"/>
        <v>EMP0021 Tamanna Dewangan</v>
      </c>
      <c r="AC203" s="103">
        <f>if(X203,_xlfn.WORKDAY.INTL(X203,AC$7,"0000001",Holidays!A:A)+hour(X203)/24+MINUTE(X203)/1440,"")</f>
        <v>46158.5625</v>
      </c>
      <c r="AD203" s="104">
        <v>46157.67723128472</v>
      </c>
      <c r="AE203" s="105" t="s">
        <v>14</v>
      </c>
      <c r="AF203" s="111">
        <f t="shared" si="6"/>
        <v>0</v>
      </c>
      <c r="AG203" s="110" t="str">
        <f t="shared" si="7"/>
        <v>EMP0021 Tamanna Dewangan</v>
      </c>
      <c r="AH203" s="103">
        <f>if(AC203,if(and(hour(AC203+AH$7)&gt;9.5,(hour(AC203+AH$7)&lt;19.5)),AC203+AH$7,_xlfn.workday.intl(int(AC203),1,"0000001",Holidays!A:A)+hour(AC203+AH$7-$B$1)/24+minute(AC203)/1440),"")</f>
        <v>46158.60417</v>
      </c>
      <c r="AI203" s="104">
        <v>46157.67739686342</v>
      </c>
      <c r="AJ203" s="105" t="s">
        <v>14</v>
      </c>
      <c r="AK203" s="111">
        <f t="shared" si="8"/>
        <v>0</v>
      </c>
      <c r="AL203" s="112" t="str">
        <f t="shared" si="9"/>
        <v>EMP0021 Tamanna Dewangan</v>
      </c>
      <c r="AM203" s="113"/>
      <c r="AN203" s="114" t="s">
        <v>672</v>
      </c>
      <c r="AO203" s="115"/>
      <c r="AP203" s="115"/>
      <c r="AQ203" s="115"/>
      <c r="AR203" s="115"/>
      <c r="AS203" s="115"/>
      <c r="AT203" s="115"/>
      <c r="AU203" s="115"/>
      <c r="AV203" s="115"/>
      <c r="AW203" s="115"/>
      <c r="AX203" s="115"/>
      <c r="AY203" s="115"/>
    </row>
    <row r="204">
      <c r="A204" s="95">
        <f t="shared" si="11"/>
        <v>5155</v>
      </c>
      <c r="B204" s="96">
        <v>46156.70327225694</v>
      </c>
      <c r="C204" s="97" t="s">
        <v>918</v>
      </c>
      <c r="D204" s="97" t="s">
        <v>982</v>
      </c>
      <c r="E204" s="98" t="s">
        <v>1288</v>
      </c>
      <c r="F204" s="98" t="s">
        <v>1293</v>
      </c>
      <c r="G204" s="97" t="s">
        <v>1291</v>
      </c>
      <c r="H204" s="99" t="s">
        <v>62</v>
      </c>
      <c r="I204" s="100" t="s">
        <v>324</v>
      </c>
      <c r="J204" s="101" t="s">
        <v>1269</v>
      </c>
      <c r="K204" s="100"/>
      <c r="L204" s="102" t="s">
        <v>1292</v>
      </c>
      <c r="M204" s="103">
        <f>if(B204,if(and(hour(B204+M$7)&gt;9.5,(hour(B204+M$7)&lt;19.5)),B204+M$7,_xlfn.workday.intl(int(B204),1,"0000001",Holidays!A:A)+hour(B204+M$7-$B$1)/24+minute(B204)/1440),"")</f>
        <v>46157.45278</v>
      </c>
      <c r="N204" s="104">
        <v>46156.71702295139</v>
      </c>
      <c r="O204" s="105" t="s">
        <v>14</v>
      </c>
      <c r="P204" s="106">
        <f t="shared" si="1"/>
        <v>0</v>
      </c>
      <c r="Q204" s="107" t="s">
        <v>15</v>
      </c>
      <c r="R204" s="108" t="s">
        <v>434</v>
      </c>
      <c r="S204" s="103">
        <f>if(M204,if(and(hour(M204+S$7)&gt;9.5,(hour(M204+S$7)&lt;19.5)),M204+S$7,_xlfn.workday.intl(int(M204),1,"0000001",Holidays!A:A)+hour(M204+S$7-$B$1)/24+minute(M204)/1440),"")</f>
        <v>46157.45972</v>
      </c>
      <c r="T204" s="104">
        <v>46156.71714987268</v>
      </c>
      <c r="U204" s="105" t="s">
        <v>14</v>
      </c>
      <c r="V204" s="109">
        <f t="shared" si="2"/>
        <v>0</v>
      </c>
      <c r="W204" s="110" t="str">
        <f t="shared" si="3"/>
        <v>EMP0042 HULESHWAR KUMAR SAHU</v>
      </c>
      <c r="X204" s="103">
        <f>if(S204,if(and(hour(S204+X$7)&gt;9.5,(hour(S204+X$7)&lt;19.5)),S204+X$7,_xlfn.workday.intl(int(S204),1,"0000001",Holidays!A:A)+hour(S204+X$7-$B$1)/24+minute(S204)/1440),"")</f>
        <v>46157.56389</v>
      </c>
      <c r="Y204" s="104">
        <v>46157.46472189815</v>
      </c>
      <c r="Z204" s="105" t="s">
        <v>14</v>
      </c>
      <c r="AA204" s="111">
        <f t="shared" si="4"/>
        <v>0</v>
      </c>
      <c r="AB204" s="110" t="str">
        <f t="shared" si="5"/>
        <v>EMP0042 HULESHWAR KUMAR SAHU</v>
      </c>
      <c r="AC204" s="103">
        <f>if(X204,_xlfn.WORKDAY.INTL(X204,AC$7,"0000001",Holidays!A:A)+hour(X204)/24+MINUTE(X204)/1440,"")</f>
        <v>46158.56389</v>
      </c>
      <c r="AD204" s="104">
        <v>46157.467050625</v>
      </c>
      <c r="AE204" s="105" t="s">
        <v>14</v>
      </c>
      <c r="AF204" s="111">
        <f t="shared" si="6"/>
        <v>0</v>
      </c>
      <c r="AG204" s="110" t="str">
        <f t="shared" si="7"/>
        <v>EMP0042 HULESHWAR KUMAR SAHU</v>
      </c>
      <c r="AH204" s="103">
        <f>if(AC204,if(and(hour(AC204+AH$7)&gt;9.5,(hour(AC204+AH$7)&lt;19.5)),AC204+AH$7,_xlfn.workday.intl(int(AC204),1,"0000001",Holidays!A:A)+hour(AC204+AH$7-$B$1)/24+minute(AC204)/1440),"")</f>
        <v>46158.60556</v>
      </c>
      <c r="AI204" s="104">
        <v>46157.80309100694</v>
      </c>
      <c r="AJ204" s="105" t="s">
        <v>14</v>
      </c>
      <c r="AK204" s="111">
        <f t="shared" si="8"/>
        <v>0</v>
      </c>
      <c r="AL204" s="112" t="str">
        <f t="shared" si="9"/>
        <v>EMP0042 HULESHWAR KUMAR SAHU</v>
      </c>
      <c r="AM204" s="113"/>
      <c r="AN204" s="114" t="s">
        <v>672</v>
      </c>
      <c r="AO204" s="115"/>
      <c r="AP204" s="115"/>
      <c r="AQ204" s="115"/>
      <c r="AR204" s="115"/>
      <c r="AS204" s="115"/>
      <c r="AT204" s="115"/>
      <c r="AU204" s="115"/>
      <c r="AV204" s="115"/>
      <c r="AW204" s="115"/>
      <c r="AX204" s="115"/>
      <c r="AY204" s="115"/>
    </row>
    <row r="205">
      <c r="A205" s="95">
        <f t="shared" si="11"/>
        <v>5156</v>
      </c>
      <c r="B205" s="96">
        <v>46158.506623865745</v>
      </c>
      <c r="C205" s="97" t="s">
        <v>1299</v>
      </c>
      <c r="D205" s="97" t="s">
        <v>357</v>
      </c>
      <c r="E205" s="98" t="s">
        <v>1296</v>
      </c>
      <c r="F205" s="97"/>
      <c r="G205" s="97" t="s">
        <v>1298</v>
      </c>
      <c r="H205" s="99" t="s">
        <v>147</v>
      </c>
      <c r="I205" s="100" t="s">
        <v>64</v>
      </c>
      <c r="J205" s="101" t="s">
        <v>1253</v>
      </c>
      <c r="K205" s="100"/>
      <c r="L205" s="102" t="s">
        <v>492</v>
      </c>
      <c r="M205" s="103">
        <f>if(B205,if(and(hour(B205+M$7)&gt;9.5,(hour(B205+M$7)&lt;19.5)),B205+M$7,_xlfn.workday.intl(int(B205),1,"0000001",Holidays!A:A)+hour(B205+M$7-$B$1)/24+minute(B205)/1440),"")</f>
        <v>46158.67329</v>
      </c>
      <c r="N205" s="104">
        <v>46158.51603991898</v>
      </c>
      <c r="O205" s="105" t="s">
        <v>14</v>
      </c>
      <c r="P205" s="106">
        <f t="shared" si="1"/>
        <v>0</v>
      </c>
      <c r="Q205" s="107" t="s">
        <v>48</v>
      </c>
      <c r="R205" s="108" t="s">
        <v>434</v>
      </c>
      <c r="S205" s="103">
        <f>if(M205,if(and(hour(M205+S$7)&gt;9.5,(hour(M205+S$7)&lt;19.5)),M205+S$7,_xlfn.workday.intl(int(M205),1,"0000001",Holidays!A:A)+hour(M205+S$7-$B$1)/24+minute(M205)/1440),"")</f>
        <v>46158.68023</v>
      </c>
      <c r="T205" s="104">
        <v>46158.516111018514</v>
      </c>
      <c r="U205" s="105" t="s">
        <v>14</v>
      </c>
      <c r="V205" s="109">
        <f t="shared" si="2"/>
        <v>0</v>
      </c>
      <c r="W205" s="110" t="str">
        <f t="shared" si="3"/>
        <v>EMP0237 Swarnendu Chakraborty</v>
      </c>
      <c r="X205" s="103">
        <f>if(S205,if(and(hour(S205+X$7)&gt;9.5,(hour(S205+X$7)&lt;19.5)),S205+X$7,_xlfn.workday.intl(int(S205),1,"0000001",Holidays!A:A)+hour(S205+X$7-$B$1)/24+minute(S205)/1440),"")</f>
        <v>46158.7844</v>
      </c>
      <c r="Y205" s="104">
        <v>46158.51643396991</v>
      </c>
      <c r="Z205" s="105" t="s">
        <v>14</v>
      </c>
      <c r="AA205" s="111">
        <f t="shared" si="4"/>
        <v>0</v>
      </c>
      <c r="AB205" s="110" t="str">
        <f t="shared" si="5"/>
        <v>EMP0237 Swarnendu Chakraborty</v>
      </c>
      <c r="AC205" s="103">
        <f>if(X205,_xlfn.WORKDAY.INTL(X205,AC$7,"0000001",Holidays!A:A)+hour(X205)/24+MINUTE(X205)/1440,"")</f>
        <v>46160.78403</v>
      </c>
      <c r="AD205" s="104">
        <v>46160.45695798611</v>
      </c>
      <c r="AE205" s="105" t="s">
        <v>14</v>
      </c>
      <c r="AF205" s="111">
        <f t="shared" si="6"/>
        <v>0</v>
      </c>
      <c r="AG205" s="110" t="str">
        <f t="shared" si="7"/>
        <v>EMP0237 Swarnendu Chakraborty</v>
      </c>
      <c r="AH205" s="103">
        <f>if(AC205,if(and(hour(AC205+AH$7)&gt;9.5,(hour(AC205+AH$7)&lt;19.5)),AC205+AH$7,_xlfn.workday.intl(int(AC205),1,"0000001",Holidays!A:A)+hour(AC205+AH$7-$B$1)/24+minute(AC205)/1440),"")</f>
        <v>46160.82569</v>
      </c>
      <c r="AI205" s="104">
        <v>46160.45700524306</v>
      </c>
      <c r="AJ205" s="105" t="s">
        <v>14</v>
      </c>
      <c r="AK205" s="111">
        <f t="shared" si="8"/>
        <v>0</v>
      </c>
      <c r="AL205" s="112" t="str">
        <f t="shared" si="9"/>
        <v>EMP0237 Swarnendu Chakraborty</v>
      </c>
      <c r="AM205" s="113"/>
      <c r="AN205" s="114" t="s">
        <v>672</v>
      </c>
      <c r="AO205" s="115"/>
      <c r="AP205" s="115"/>
      <c r="AQ205" s="115"/>
      <c r="AR205" s="115"/>
      <c r="AS205" s="115"/>
      <c r="AT205" s="115"/>
      <c r="AU205" s="115"/>
      <c r="AV205" s="115"/>
      <c r="AW205" s="115"/>
      <c r="AX205" s="115"/>
      <c r="AY205" s="115"/>
    </row>
    <row r="206">
      <c r="A206" s="95">
        <f t="shared" si="11"/>
        <v>5157</v>
      </c>
      <c r="B206" s="96">
        <v>46158.599096122685</v>
      </c>
      <c r="C206" s="97" t="s">
        <v>924</v>
      </c>
      <c r="D206" s="97" t="s">
        <v>1300</v>
      </c>
      <c r="E206" s="98" t="s">
        <v>1301</v>
      </c>
      <c r="F206" s="97"/>
      <c r="G206" s="97" t="s">
        <v>1304</v>
      </c>
      <c r="H206" s="99" t="s">
        <v>1144</v>
      </c>
      <c r="I206" s="100" t="s">
        <v>64</v>
      </c>
      <c r="J206" s="101" t="s">
        <v>662</v>
      </c>
      <c r="K206" s="100"/>
      <c r="L206" s="102" t="s">
        <v>1305</v>
      </c>
      <c r="M206" s="103">
        <f>if(B206,if(and(hour(B206+M$7)&gt;9.5,(hour(B206+M$7)&lt;19.5)),B206+M$7,_xlfn.workday.intl(int(B206),1,"0000001",Holidays!A:A)+hour(B206+M$7-$B$1)/24+minute(B206)/1440),"")</f>
        <v>46158.76576</v>
      </c>
      <c r="N206" s="104">
        <v>46158.61087724537</v>
      </c>
      <c r="O206" s="105" t="s">
        <v>14</v>
      </c>
      <c r="P206" s="106">
        <f t="shared" si="1"/>
        <v>0</v>
      </c>
      <c r="Q206" s="107" t="s">
        <v>72</v>
      </c>
      <c r="R206" s="108" t="s">
        <v>434</v>
      </c>
      <c r="S206" s="103">
        <f>if(M206,if(and(hour(M206+S$7)&gt;9.5,(hour(M206+S$7)&lt;19.5)),M206+S$7,_xlfn.workday.intl(int(M206),1,"0000001",Holidays!A:A)+hour(M206+S$7-$B$1)/24+minute(M206)/1440),"")</f>
        <v>46158.77271</v>
      </c>
      <c r="T206" s="104">
        <v>46158.6114674537</v>
      </c>
      <c r="U206" s="105" t="s">
        <v>14</v>
      </c>
      <c r="V206" s="109">
        <f t="shared" si="2"/>
        <v>0</v>
      </c>
      <c r="W206" s="110" t="str">
        <f t="shared" si="3"/>
        <v>EMP5009 Rup Kumar Mandal</v>
      </c>
      <c r="X206" s="103">
        <f>if(S206,if(and(hour(S206+X$7)&gt;9.5,(hour(S206+X$7)&lt;19.5)),S206+X$7,_xlfn.workday.intl(int(S206),1,"0000001",Holidays!A:A)+hour(S206+X$7-$B$1)/24+minute(S206)/1440),"")</f>
        <v>46160.48056</v>
      </c>
      <c r="Y206" s="104">
        <v>46158.671946111106</v>
      </c>
      <c r="Z206" s="105" t="s">
        <v>14</v>
      </c>
      <c r="AA206" s="111">
        <f t="shared" si="4"/>
        <v>0</v>
      </c>
      <c r="AB206" s="110" t="str">
        <f t="shared" si="5"/>
        <v>EMP5009 Rup Kumar Mandal</v>
      </c>
      <c r="AC206" s="103">
        <f>if(X206,_xlfn.WORKDAY.INTL(X206,AC$7,"0000001",Holidays!A:A)+hour(X206)/24+MINUTE(X206)/1440,"")</f>
        <v>46161.48056</v>
      </c>
      <c r="AD206" s="104">
        <v>46160.452872002315</v>
      </c>
      <c r="AE206" s="105" t="s">
        <v>14</v>
      </c>
      <c r="AF206" s="111">
        <f t="shared" si="6"/>
        <v>0</v>
      </c>
      <c r="AG206" s="110" t="str">
        <f t="shared" si="7"/>
        <v>EMP5009 Rup Kumar Mandal</v>
      </c>
      <c r="AH206" s="103">
        <f>if(AC206,if(and(hour(AC206+AH$7)&gt;9.5,(hour(AC206+AH$7)&lt;19.5)),AC206+AH$7,_xlfn.workday.intl(int(AC206),1,"0000001",Holidays!A:A)+hour(AC206+AH$7-$B$1)/24+minute(AC206)/1440),"")</f>
        <v>46161.52222</v>
      </c>
      <c r="AI206" s="104">
        <v>46161.464068009256</v>
      </c>
      <c r="AJ206" s="105" t="s">
        <v>14</v>
      </c>
      <c r="AK206" s="111">
        <f t="shared" si="8"/>
        <v>0</v>
      </c>
      <c r="AL206" s="112" t="str">
        <f t="shared" si="9"/>
        <v>EMP5009 Rup Kumar Mandal</v>
      </c>
      <c r="AM206" s="113"/>
      <c r="AN206" s="114" t="s">
        <v>672</v>
      </c>
      <c r="AO206" s="115"/>
      <c r="AP206" s="115"/>
      <c r="AQ206" s="115"/>
      <c r="AR206" s="115"/>
      <c r="AS206" s="115"/>
      <c r="AT206" s="115"/>
      <c r="AU206" s="115"/>
      <c r="AV206" s="115"/>
      <c r="AW206" s="115"/>
      <c r="AX206" s="115"/>
      <c r="AY206" s="115"/>
    </row>
    <row r="207">
      <c r="A207" s="95">
        <f t="shared" si="11"/>
        <v>5158</v>
      </c>
      <c r="B207" s="96">
        <v>46158.60197505787</v>
      </c>
      <c r="C207" s="97" t="s">
        <v>96</v>
      </c>
      <c r="D207" s="97" t="s">
        <v>1300</v>
      </c>
      <c r="E207" s="98" t="s">
        <v>1306</v>
      </c>
      <c r="F207" s="97"/>
      <c r="G207" s="97" t="s">
        <v>1309</v>
      </c>
      <c r="H207" s="99" t="s">
        <v>62</v>
      </c>
      <c r="I207" s="100" t="s">
        <v>237</v>
      </c>
      <c r="J207" s="101" t="s">
        <v>662</v>
      </c>
      <c r="K207" s="100"/>
      <c r="L207" s="102" t="s">
        <v>1310</v>
      </c>
      <c r="M207" s="103">
        <f>if(B207,if(and(hour(B207+M$7)&gt;9.5,(hour(B207+M$7)&lt;19.5)),B207+M$7,_xlfn.workday.intl(int(B207),1,"0000001",Holidays!A:A)+hour(B207+M$7-$B$1)/24+minute(B207)/1440),"")</f>
        <v>46158.76864</v>
      </c>
      <c r="N207" s="104">
        <v>46158.61087724537</v>
      </c>
      <c r="O207" s="105" t="s">
        <v>14</v>
      </c>
      <c r="P207" s="106">
        <f t="shared" si="1"/>
        <v>0</v>
      </c>
      <c r="Q207" s="107" t="s">
        <v>72</v>
      </c>
      <c r="R207" s="108" t="s">
        <v>434</v>
      </c>
      <c r="S207" s="103">
        <f>if(M207,if(and(hour(M207+S$7)&gt;9.5,(hour(M207+S$7)&lt;19.5)),M207+S$7,_xlfn.workday.intl(int(M207),1,"0000001",Holidays!A:A)+hour(M207+S$7-$B$1)/24+minute(M207)/1440),"")</f>
        <v>46158.77559</v>
      </c>
      <c r="T207" s="104">
        <v>46158.6114674537</v>
      </c>
      <c r="U207" s="105" t="s">
        <v>14</v>
      </c>
      <c r="V207" s="109">
        <f t="shared" si="2"/>
        <v>0</v>
      </c>
      <c r="W207" s="110" t="str">
        <f t="shared" si="3"/>
        <v>EMP5009 Rup Kumar Mandal</v>
      </c>
      <c r="X207" s="103">
        <f>if(S207,if(and(hour(S207+X$7)&gt;9.5,(hour(S207+X$7)&lt;19.5)),S207+X$7,_xlfn.workday.intl(int(S207),1,"0000001",Holidays!A:A)+hour(S207+X$7-$B$1)/24+minute(S207)/1440),"")</f>
        <v>46160.48333</v>
      </c>
      <c r="Y207" s="104">
        <v>46158.671946111106</v>
      </c>
      <c r="Z207" s="105" t="s">
        <v>14</v>
      </c>
      <c r="AA207" s="111">
        <f t="shared" si="4"/>
        <v>0</v>
      </c>
      <c r="AB207" s="110" t="str">
        <f t="shared" si="5"/>
        <v>EMP5009 Rup Kumar Mandal</v>
      </c>
      <c r="AC207" s="103">
        <f>if(X207,_xlfn.WORKDAY.INTL(X207,AC$7,"0000001",Holidays!A:A)+hour(X207)/24+MINUTE(X207)/1440,"")</f>
        <v>46161.48333</v>
      </c>
      <c r="AD207" s="104">
        <v>46160.452881944446</v>
      </c>
      <c r="AE207" s="105" t="s">
        <v>14</v>
      </c>
      <c r="AF207" s="111">
        <f t="shared" si="6"/>
        <v>0</v>
      </c>
      <c r="AG207" s="110" t="str">
        <f t="shared" si="7"/>
        <v>EMP5009 Rup Kumar Mandal</v>
      </c>
      <c r="AH207" s="103">
        <f>if(AC207,if(and(hour(AC207+AH$7)&gt;9.5,(hour(AC207+AH$7)&lt;19.5)),AC207+AH$7,_xlfn.workday.intl(int(AC207),1,"0000001",Holidays!A:A)+hour(AC207+AH$7-$B$1)/24+minute(AC207)/1440),"")</f>
        <v>46161.525</v>
      </c>
      <c r="AI207" s="104">
        <v>46161.49422519676</v>
      </c>
      <c r="AJ207" s="105" t="s">
        <v>14</v>
      </c>
      <c r="AK207" s="111">
        <f t="shared" si="8"/>
        <v>0</v>
      </c>
      <c r="AL207" s="112" t="str">
        <f t="shared" si="9"/>
        <v>EMP5009 Rup Kumar Mandal</v>
      </c>
      <c r="AM207" s="113"/>
      <c r="AN207" s="114" t="s">
        <v>672</v>
      </c>
      <c r="AO207" s="115"/>
      <c r="AP207" s="115"/>
      <c r="AQ207" s="115"/>
      <c r="AR207" s="115"/>
      <c r="AS207" s="115"/>
      <c r="AT207" s="115"/>
      <c r="AU207" s="115"/>
      <c r="AV207" s="115"/>
      <c r="AW207" s="115"/>
      <c r="AX207" s="115"/>
      <c r="AY207" s="115"/>
    </row>
    <row r="208">
      <c r="A208" s="95">
        <f t="shared" si="11"/>
        <v>5159</v>
      </c>
      <c r="B208" s="96">
        <v>46158.60298231481</v>
      </c>
      <c r="C208" s="97" t="s">
        <v>931</v>
      </c>
      <c r="D208" s="97" t="s">
        <v>1300</v>
      </c>
      <c r="E208" s="98" t="s">
        <v>1311</v>
      </c>
      <c r="F208" s="97"/>
      <c r="G208" s="97" t="s">
        <v>644</v>
      </c>
      <c r="H208" s="99" t="s">
        <v>62</v>
      </c>
      <c r="I208" s="100" t="s">
        <v>64</v>
      </c>
      <c r="J208" s="101" t="s">
        <v>662</v>
      </c>
      <c r="K208" s="100"/>
      <c r="L208" s="102" t="s">
        <v>1313</v>
      </c>
      <c r="M208" s="103">
        <f>if(B208,if(and(hour(B208+M$7)&gt;9.5,(hour(B208+M$7)&lt;19.5)),B208+M$7,_xlfn.workday.intl(int(B208),1,"0000001",Holidays!A:A)+hour(B208+M$7-$B$1)/24+minute(B208)/1440),"")</f>
        <v>46158.76965</v>
      </c>
      <c r="N208" s="104">
        <v>46158.610886145834</v>
      </c>
      <c r="O208" s="105" t="s">
        <v>14</v>
      </c>
      <c r="P208" s="106">
        <f t="shared" si="1"/>
        <v>0</v>
      </c>
      <c r="Q208" s="107" t="s">
        <v>72</v>
      </c>
      <c r="R208" s="108" t="s">
        <v>434</v>
      </c>
      <c r="S208" s="103">
        <f>if(M208,if(and(hour(M208+S$7)&gt;9.5,(hour(M208+S$7)&lt;19.5)),M208+S$7,_xlfn.workday.intl(int(M208),1,"0000001",Holidays!A:A)+hour(M208+S$7-$B$1)/24+minute(M208)/1440),"")</f>
        <v>46158.77659</v>
      </c>
      <c r="T208" s="104">
        <v>46158.611474247686</v>
      </c>
      <c r="U208" s="105" t="s">
        <v>14</v>
      </c>
      <c r="V208" s="109">
        <f t="shared" si="2"/>
        <v>0</v>
      </c>
      <c r="W208" s="110" t="str">
        <f t="shared" si="3"/>
        <v>EMP5009 Rup Kumar Mandal</v>
      </c>
      <c r="X208" s="103">
        <f>if(S208,if(and(hour(S208+X$7)&gt;9.5,(hour(S208+X$7)&lt;19.5)),S208+X$7,_xlfn.workday.intl(int(S208),1,"0000001",Holidays!A:A)+hour(S208+X$7-$B$1)/24+minute(S208)/1440),"")</f>
        <v>46160.48472</v>
      </c>
      <c r="Y208" s="104">
        <v>46158.67195393518</v>
      </c>
      <c r="Z208" s="105" t="s">
        <v>14</v>
      </c>
      <c r="AA208" s="111">
        <f t="shared" si="4"/>
        <v>0</v>
      </c>
      <c r="AB208" s="110" t="str">
        <f t="shared" si="5"/>
        <v>EMP5009 Rup Kumar Mandal</v>
      </c>
      <c r="AC208" s="103">
        <f>if(X208,_xlfn.WORKDAY.INTL(X208,AC$7,"0000001",Holidays!A:A)+hour(X208)/24+MINUTE(X208)/1440,"")</f>
        <v>46161.48472</v>
      </c>
      <c r="AD208" s="104">
        <v>46160.452836666664</v>
      </c>
      <c r="AE208" s="105" t="s">
        <v>14</v>
      </c>
      <c r="AF208" s="111">
        <f t="shared" si="6"/>
        <v>0</v>
      </c>
      <c r="AG208" s="110" t="str">
        <f t="shared" si="7"/>
        <v>EMP5009 Rup Kumar Mandal</v>
      </c>
      <c r="AH208" s="103">
        <f>if(AC208,if(and(hour(AC208+AH$7)&gt;9.5,(hour(AC208+AH$7)&lt;19.5)),AC208+AH$7,_xlfn.workday.intl(int(AC208),1,"0000001",Holidays!A:A)+hour(AC208+AH$7-$B$1)/24+minute(AC208)/1440),"")</f>
        <v>46161.52639</v>
      </c>
      <c r="AI208" s="104">
        <v>46161.464095625</v>
      </c>
      <c r="AJ208" s="105" t="s">
        <v>14</v>
      </c>
      <c r="AK208" s="111">
        <f t="shared" si="8"/>
        <v>0</v>
      </c>
      <c r="AL208" s="112" t="str">
        <f t="shared" si="9"/>
        <v>EMP5009 Rup Kumar Mandal</v>
      </c>
      <c r="AM208" s="113"/>
      <c r="AN208" s="114" t="s">
        <v>672</v>
      </c>
      <c r="AO208" s="115"/>
      <c r="AP208" s="115"/>
      <c r="AQ208" s="115"/>
      <c r="AR208" s="115"/>
      <c r="AS208" s="115"/>
      <c r="AT208" s="115"/>
      <c r="AU208" s="115"/>
      <c r="AV208" s="115"/>
      <c r="AW208" s="115"/>
      <c r="AX208" s="115"/>
      <c r="AY208" s="115"/>
    </row>
    <row r="209">
      <c r="A209" s="95">
        <f t="shared" si="11"/>
        <v>5160</v>
      </c>
      <c r="B209" s="96">
        <v>46158.604578125</v>
      </c>
      <c r="C209" s="97" t="s">
        <v>936</v>
      </c>
      <c r="D209" s="97" t="s">
        <v>1300</v>
      </c>
      <c r="E209" s="98" t="s">
        <v>1314</v>
      </c>
      <c r="F209" s="97"/>
      <c r="G209" s="97" t="s">
        <v>1309</v>
      </c>
      <c r="H209" s="99" t="s">
        <v>62</v>
      </c>
      <c r="I209" s="100" t="s">
        <v>64</v>
      </c>
      <c r="J209" s="101" t="s">
        <v>662</v>
      </c>
      <c r="K209" s="100"/>
      <c r="L209" s="102" t="s">
        <v>1316</v>
      </c>
      <c r="M209" s="103">
        <f>if(B209,if(and(hour(B209+M$7)&gt;9.5,(hour(B209+M$7)&lt;19.5)),B209+M$7,_xlfn.workday.intl(int(B209),1,"0000001",Holidays!A:A)+hour(B209+M$7-$B$1)/24+minute(B209)/1440),"")</f>
        <v>46158.77124</v>
      </c>
      <c r="N209" s="104">
        <v>46158.61090137732</v>
      </c>
      <c r="O209" s="105" t="s">
        <v>14</v>
      </c>
      <c r="P209" s="106">
        <f t="shared" si="1"/>
        <v>0</v>
      </c>
      <c r="Q209" s="107" t="s">
        <v>72</v>
      </c>
      <c r="R209" s="108" t="s">
        <v>434</v>
      </c>
      <c r="S209" s="103">
        <f>if(M209,if(and(hour(M209+S$7)&gt;9.5,(hour(M209+S$7)&lt;19.5)),M209+S$7,_xlfn.workday.intl(int(M209),1,"0000001",Holidays!A:A)+hour(M209+S$7-$B$1)/24+minute(M209)/1440),"")</f>
        <v>46158.77819</v>
      </c>
      <c r="T209" s="104">
        <v>46158.611474247686</v>
      </c>
      <c r="U209" s="105" t="s">
        <v>14</v>
      </c>
      <c r="V209" s="109">
        <f t="shared" si="2"/>
        <v>0</v>
      </c>
      <c r="W209" s="110" t="str">
        <f t="shared" si="3"/>
        <v>EMP5009 Rup Kumar Mandal</v>
      </c>
      <c r="X209" s="103">
        <f>if(S209,if(and(hour(S209+X$7)&gt;9.5,(hour(S209+X$7)&lt;19.5)),S209+X$7,_xlfn.workday.intl(int(S209),1,"0000001",Holidays!A:A)+hour(S209+X$7-$B$1)/24+minute(S209)/1440),"")</f>
        <v>46160.48611</v>
      </c>
      <c r="Y209" s="104">
        <v>46158.67195393518</v>
      </c>
      <c r="Z209" s="105" t="s">
        <v>14</v>
      </c>
      <c r="AA209" s="111">
        <f t="shared" si="4"/>
        <v>0</v>
      </c>
      <c r="AB209" s="110" t="str">
        <f t="shared" si="5"/>
        <v>EMP5009 Rup Kumar Mandal</v>
      </c>
      <c r="AC209" s="103">
        <f>if(X209,_xlfn.WORKDAY.INTL(X209,AC$7,"0000001",Holidays!A:A)+hour(X209)/24+MINUTE(X209)/1440,"")</f>
        <v>46161.48611</v>
      </c>
      <c r="AD209" s="104">
        <v>46160.4529449074</v>
      </c>
      <c r="AE209" s="105" t="s">
        <v>14</v>
      </c>
      <c r="AF209" s="111">
        <f t="shared" si="6"/>
        <v>0</v>
      </c>
      <c r="AG209" s="110" t="str">
        <f t="shared" si="7"/>
        <v>EMP5009 Rup Kumar Mandal</v>
      </c>
      <c r="AH209" s="103">
        <f>if(AC209,if(and(hour(AC209+AH$7)&gt;9.5,(hour(AC209+AH$7)&lt;19.5)),AC209+AH$7,_xlfn.workday.intl(int(AC209),1,"0000001",Holidays!A:A)+hour(AC209+AH$7-$B$1)/24+minute(AC209)/1440),"")</f>
        <v>46161.52778</v>
      </c>
      <c r="AI209" s="104">
        <v>46161.49433174769</v>
      </c>
      <c r="AJ209" s="105" t="s">
        <v>14</v>
      </c>
      <c r="AK209" s="111">
        <f t="shared" si="8"/>
        <v>0</v>
      </c>
      <c r="AL209" s="112" t="str">
        <f t="shared" si="9"/>
        <v>EMP5009 Rup Kumar Mandal</v>
      </c>
      <c r="AM209" s="113"/>
      <c r="AN209" s="114" t="s">
        <v>672</v>
      </c>
      <c r="AO209" s="115"/>
      <c r="AP209" s="115"/>
      <c r="AQ209" s="115"/>
      <c r="AR209" s="115"/>
      <c r="AS209" s="115"/>
      <c r="AT209" s="115"/>
      <c r="AU209" s="115"/>
      <c r="AV209" s="115"/>
      <c r="AW209" s="115"/>
      <c r="AX209" s="115"/>
      <c r="AY209" s="115"/>
    </row>
    <row r="210">
      <c r="A210" s="95">
        <f t="shared" si="11"/>
        <v>5161</v>
      </c>
      <c r="B210" s="96">
        <v>46158.60554762732</v>
      </c>
      <c r="C210" s="97" t="s">
        <v>1309</v>
      </c>
      <c r="D210" s="97" t="s">
        <v>1300</v>
      </c>
      <c r="E210" s="98" t="s">
        <v>1317</v>
      </c>
      <c r="F210" s="97"/>
      <c r="G210" s="97" t="s">
        <v>941</v>
      </c>
      <c r="H210" s="99" t="s">
        <v>62</v>
      </c>
      <c r="I210" s="100" t="s">
        <v>64</v>
      </c>
      <c r="J210" s="101" t="s">
        <v>662</v>
      </c>
      <c r="K210" s="100"/>
      <c r="L210" s="102" t="s">
        <v>1316</v>
      </c>
      <c r="M210" s="103">
        <f>if(B210,if(and(hour(B210+M$7)&gt;9.5,(hour(B210+M$7)&lt;19.5)),B210+M$7,_xlfn.workday.intl(int(B210),1,"0000001",Holidays!A:A)+hour(B210+M$7-$B$1)/24+minute(B210)/1440),"")</f>
        <v>46158.77221</v>
      </c>
      <c r="N210" s="104">
        <v>46158.61090137732</v>
      </c>
      <c r="O210" s="105" t="s">
        <v>14</v>
      </c>
      <c r="P210" s="106">
        <f t="shared" si="1"/>
        <v>0</v>
      </c>
      <c r="Q210" s="107" t="s">
        <v>72</v>
      </c>
      <c r="R210" s="108" t="s">
        <v>434</v>
      </c>
      <c r="S210" s="103">
        <f>if(M210,if(and(hour(M210+S$7)&gt;9.5,(hour(M210+S$7)&lt;19.5)),M210+S$7,_xlfn.workday.intl(int(M210),1,"0000001",Holidays!A:A)+hour(M210+S$7-$B$1)/24+minute(M210)/1440),"")</f>
        <v>46158.77916</v>
      </c>
      <c r="T210" s="104">
        <v>46158.61148451389</v>
      </c>
      <c r="U210" s="105" t="s">
        <v>14</v>
      </c>
      <c r="V210" s="109">
        <f t="shared" si="2"/>
        <v>0</v>
      </c>
      <c r="W210" s="110" t="str">
        <f t="shared" si="3"/>
        <v>EMP5009 Rup Kumar Mandal</v>
      </c>
      <c r="X210" s="103">
        <f>if(S210,if(and(hour(S210+X$7)&gt;9.5,(hour(S210+X$7)&lt;19.5)),S210+X$7,_xlfn.workday.intl(int(S210),1,"0000001",Holidays!A:A)+hour(S210+X$7-$B$1)/24+minute(S210)/1440),"")</f>
        <v>46160.48681</v>
      </c>
      <c r="Y210" s="104">
        <v>46158.671965208334</v>
      </c>
      <c r="Z210" s="105" t="s">
        <v>14</v>
      </c>
      <c r="AA210" s="111">
        <f t="shared" si="4"/>
        <v>0</v>
      </c>
      <c r="AB210" s="110" t="str">
        <f t="shared" si="5"/>
        <v>EMP5009 Rup Kumar Mandal</v>
      </c>
      <c r="AC210" s="103">
        <f>if(X210,_xlfn.WORKDAY.INTL(X210,AC$7,"0000001",Holidays!A:A)+hour(X210)/24+MINUTE(X210)/1440,"")</f>
        <v>46161.48681</v>
      </c>
      <c r="AD210" s="104">
        <v>46160.452976203705</v>
      </c>
      <c r="AE210" s="105" t="s">
        <v>14</v>
      </c>
      <c r="AF210" s="111">
        <f t="shared" si="6"/>
        <v>0</v>
      </c>
      <c r="AG210" s="110" t="str">
        <f t="shared" si="7"/>
        <v>EMP5009 Rup Kumar Mandal</v>
      </c>
      <c r="AH210" s="103">
        <f>if(AC210,if(and(hour(AC210+AH$7)&gt;9.5,(hour(AC210+AH$7)&lt;19.5)),AC210+AH$7,_xlfn.workday.intl(int(AC210),1,"0000001",Holidays!A:A)+hour(AC210+AH$7-$B$1)/24+minute(AC210)/1440),"")</f>
        <v>46161.52847</v>
      </c>
      <c r="AI210" s="104">
        <v>46161.46411269676</v>
      </c>
      <c r="AJ210" s="105" t="s">
        <v>14</v>
      </c>
      <c r="AK210" s="111">
        <f t="shared" si="8"/>
        <v>0</v>
      </c>
      <c r="AL210" s="112" t="str">
        <f t="shared" si="9"/>
        <v>EMP5009 Rup Kumar Mandal</v>
      </c>
      <c r="AM210" s="113"/>
      <c r="AN210" s="114" t="s">
        <v>672</v>
      </c>
      <c r="AO210" s="115"/>
      <c r="AP210" s="115"/>
      <c r="AQ210" s="115"/>
      <c r="AR210" s="115"/>
      <c r="AS210" s="115"/>
      <c r="AT210" s="115"/>
      <c r="AU210" s="115"/>
      <c r="AV210" s="115"/>
      <c r="AW210" s="115"/>
      <c r="AX210" s="115"/>
      <c r="AY210" s="115"/>
    </row>
    <row r="211">
      <c r="A211" s="95">
        <f t="shared" si="11"/>
        <v>5162</v>
      </c>
      <c r="B211" s="96">
        <v>46160.54952479167</v>
      </c>
      <c r="C211" s="97" t="s">
        <v>90</v>
      </c>
      <c r="D211" s="97" t="s">
        <v>142</v>
      </c>
      <c r="E211" s="98" t="s">
        <v>1319</v>
      </c>
      <c r="F211" s="97"/>
      <c r="G211" s="97" t="s">
        <v>168</v>
      </c>
      <c r="H211" s="99" t="s">
        <v>138</v>
      </c>
      <c r="I211" s="100" t="s">
        <v>64</v>
      </c>
      <c r="J211" s="101" t="s">
        <v>141</v>
      </c>
      <c r="K211" s="100"/>
      <c r="L211" s="102" t="s">
        <v>1322</v>
      </c>
      <c r="M211" s="103">
        <f>if(B211,if(and(hour(B211+M$7)&gt;9.5,(hour(B211+M$7)&lt;19.5)),B211+M$7,_xlfn.workday.intl(int(B211),1,"0000001",Holidays!A:A)+hour(B211+M$7-$B$1)/24+minute(B211)/1440),"")</f>
        <v>46160.71619</v>
      </c>
      <c r="N211" s="104">
        <v>46160.62245579861</v>
      </c>
      <c r="O211" s="105" t="s">
        <v>14</v>
      </c>
      <c r="P211" s="106">
        <f t="shared" si="1"/>
        <v>0</v>
      </c>
      <c r="Q211" s="107" t="s">
        <v>15</v>
      </c>
      <c r="R211" s="108" t="s">
        <v>434</v>
      </c>
      <c r="S211" s="103">
        <f>if(M211,if(and(hour(M211+S$7)&gt;9.5,(hour(M211+S$7)&lt;19.5)),M211+S$7,_xlfn.workday.intl(int(M211),1,"0000001",Holidays!A:A)+hour(M211+S$7-$B$1)/24+minute(M211)/1440),"")</f>
        <v>46160.72314</v>
      </c>
      <c r="T211" s="104">
        <v>46160.62256366898</v>
      </c>
      <c r="U211" s="105" t="s">
        <v>14</v>
      </c>
      <c r="V211" s="109">
        <f t="shared" si="2"/>
        <v>0</v>
      </c>
      <c r="W211" s="110" t="str">
        <f t="shared" si="3"/>
        <v>EMP0042 HULESHWAR KUMAR SAHU</v>
      </c>
      <c r="X211" s="103">
        <f>if(S211,if(and(hour(S211+X$7)&gt;9.5,(hour(S211+X$7)&lt;19.5)),S211+X$7,_xlfn.workday.intl(int(S211),1,"0000001",Holidays!A:A)+hour(S211+X$7-$B$1)/24+minute(S211)/1440),"")</f>
        <v>46160.8273</v>
      </c>
      <c r="Y211" s="104">
        <v>46160.62264275463</v>
      </c>
      <c r="Z211" s="105" t="s">
        <v>14</v>
      </c>
      <c r="AA211" s="111">
        <f t="shared" si="4"/>
        <v>0</v>
      </c>
      <c r="AB211" s="110" t="str">
        <f t="shared" si="5"/>
        <v>EMP0042 HULESHWAR KUMAR SAHU</v>
      </c>
      <c r="AC211" s="103">
        <f>if(X211,_xlfn.WORKDAY.INTL(X211,AC$7,"0000001",Holidays!A:A)+hour(X211)/24+MINUTE(X211)/1440,"")</f>
        <v>46161.82708</v>
      </c>
      <c r="AD211" s="104">
        <v>46160.622679618056</v>
      </c>
      <c r="AE211" s="105" t="s">
        <v>14</v>
      </c>
      <c r="AF211" s="111">
        <f t="shared" si="6"/>
        <v>0</v>
      </c>
      <c r="AG211" s="110" t="str">
        <f t="shared" si="7"/>
        <v>EMP0042 HULESHWAR KUMAR SAHU</v>
      </c>
      <c r="AH211" s="103">
        <f>if(AC211,if(and(hour(AC211+AH$7)&gt;9.5,(hour(AC211+AH$7)&lt;19.5)),AC211+AH$7,_xlfn.workday.intl(int(AC211),1,"0000001",Holidays!A:A)+hour(AC211+AH$7-$B$1)/24+minute(AC211)/1440),"")</f>
        <v>46162.45208</v>
      </c>
      <c r="AI211" s="104">
        <v>46160.62273956019</v>
      </c>
      <c r="AJ211" s="105" t="s">
        <v>14</v>
      </c>
      <c r="AK211" s="111">
        <f t="shared" si="8"/>
        <v>0</v>
      </c>
      <c r="AL211" s="112" t="str">
        <f t="shared" si="9"/>
        <v>EMP0042 HULESHWAR KUMAR SAHU</v>
      </c>
      <c r="AM211" s="113"/>
      <c r="AN211" s="114" t="s">
        <v>672</v>
      </c>
      <c r="AO211" s="115"/>
      <c r="AP211" s="115"/>
      <c r="AQ211" s="115"/>
      <c r="AR211" s="115"/>
      <c r="AS211" s="115"/>
      <c r="AT211" s="115"/>
      <c r="AU211" s="115"/>
      <c r="AV211" s="115"/>
      <c r="AW211" s="115"/>
      <c r="AX211" s="115"/>
      <c r="AY211" s="115"/>
    </row>
    <row r="212">
      <c r="A212" s="95">
        <f t="shared" si="11"/>
        <v>5163</v>
      </c>
      <c r="B212" s="96">
        <v>46160.73358792824</v>
      </c>
      <c r="C212" s="97" t="s">
        <v>948</v>
      </c>
      <c r="D212" s="97" t="s">
        <v>186</v>
      </c>
      <c r="E212" s="98" t="s">
        <v>1323</v>
      </c>
      <c r="F212" s="98" t="s">
        <v>1328</v>
      </c>
      <c r="G212" s="97" t="s">
        <v>1326</v>
      </c>
      <c r="H212" s="99" t="s">
        <v>147</v>
      </c>
      <c r="I212" s="100" t="s">
        <v>64</v>
      </c>
      <c r="J212" s="101" t="s">
        <v>1178</v>
      </c>
      <c r="K212" s="100"/>
      <c r="L212" s="102" t="s">
        <v>1327</v>
      </c>
      <c r="M212" s="103">
        <f>if(B212,if(and(hour(B212+M$7)&gt;9.5,(hour(B212+M$7)&lt;19.5)),B212+M$7,_xlfn.workday.intl(int(B212),1,"0000001",Holidays!A:A)+hour(B212+M$7-$B$1)/24+minute(B212)/1440),"")</f>
        <v>46161.48333</v>
      </c>
      <c r="N212" s="104">
        <v>46160.73612207176</v>
      </c>
      <c r="O212" s="105" t="s">
        <v>14</v>
      </c>
      <c r="P212" s="106">
        <f t="shared" si="1"/>
        <v>0</v>
      </c>
      <c r="Q212" s="107" t="s">
        <v>15</v>
      </c>
      <c r="R212" s="108" t="s">
        <v>434</v>
      </c>
      <c r="S212" s="103">
        <f>if(M212,if(and(hour(M212+S$7)&gt;9.5,(hour(M212+S$7)&lt;19.5)),M212+S$7,_xlfn.workday.intl(int(M212),1,"0000001",Holidays!A:A)+hour(M212+S$7-$B$1)/24+minute(M212)/1440),"")</f>
        <v>46161.49028</v>
      </c>
      <c r="T212" s="104">
        <v>46160.736227430556</v>
      </c>
      <c r="U212" s="105" t="s">
        <v>14</v>
      </c>
      <c r="V212" s="109">
        <f t="shared" si="2"/>
        <v>0</v>
      </c>
      <c r="W212" s="110" t="str">
        <f t="shared" si="3"/>
        <v>EMP0042 HULESHWAR KUMAR SAHU</v>
      </c>
      <c r="X212" s="103">
        <f>if(S212,if(and(hour(S212+X$7)&gt;9.5,(hour(S212+X$7)&lt;19.5)),S212+X$7,_xlfn.workday.intl(int(S212),1,"0000001",Holidays!A:A)+hour(S212+X$7-$B$1)/24+minute(S212)/1440),"")</f>
        <v>46161.59444</v>
      </c>
      <c r="Y212" s="104">
        <v>46160.73722372685</v>
      </c>
      <c r="Z212" s="105" t="s">
        <v>14</v>
      </c>
      <c r="AA212" s="111">
        <f t="shared" si="4"/>
        <v>0</v>
      </c>
      <c r="AB212" s="110" t="str">
        <f t="shared" si="5"/>
        <v>EMP0042 HULESHWAR KUMAR SAHU</v>
      </c>
      <c r="AC212" s="103">
        <f>if(X212,_xlfn.WORKDAY.INTL(X212,AC$7,"0000001",Holidays!A:A)+hour(X212)/24+MINUTE(X212)/1440,"")</f>
        <v>46162.59444</v>
      </c>
      <c r="AD212" s="104">
        <v>46160.81641644676</v>
      </c>
      <c r="AE212" s="105" t="s">
        <v>14</v>
      </c>
      <c r="AF212" s="111">
        <f t="shared" si="6"/>
        <v>0</v>
      </c>
      <c r="AG212" s="110" t="str">
        <f t="shared" si="7"/>
        <v>EMP0042 HULESHWAR KUMAR SAHU</v>
      </c>
      <c r="AH212" s="103">
        <f>if(AC212,if(and(hour(AC212+AH$7)&gt;9.5,(hour(AC212+AH$7)&lt;19.5)),AC212+AH$7,_xlfn.workday.intl(int(AC212),1,"0000001",Holidays!A:A)+hour(AC212+AH$7-$B$1)/24+minute(AC212)/1440),"")</f>
        <v>46162.63611</v>
      </c>
      <c r="AI212" s="104">
        <v>46161.49402996528</v>
      </c>
      <c r="AJ212" s="105" t="s">
        <v>14</v>
      </c>
      <c r="AK212" s="111">
        <f t="shared" si="8"/>
        <v>0</v>
      </c>
      <c r="AL212" s="112" t="str">
        <f t="shared" si="9"/>
        <v>EMP0042 HULESHWAR KUMAR SAHU</v>
      </c>
      <c r="AM212" s="113"/>
      <c r="AN212" s="114" t="s">
        <v>672</v>
      </c>
      <c r="AO212" s="115"/>
      <c r="AP212" s="115"/>
      <c r="AQ212" s="115"/>
      <c r="AR212" s="115"/>
      <c r="AS212" s="115"/>
      <c r="AT212" s="115"/>
      <c r="AU212" s="115"/>
      <c r="AV212" s="115"/>
      <c r="AW212" s="115"/>
      <c r="AX212" s="115"/>
      <c r="AY212" s="115"/>
    </row>
    <row r="213">
      <c r="A213" s="95">
        <f t="shared" si="11"/>
        <v>5164</v>
      </c>
      <c r="B213" s="96">
        <v>46160.73461568287</v>
      </c>
      <c r="C213" s="97" t="s">
        <v>1336</v>
      </c>
      <c r="D213" s="97" t="s">
        <v>186</v>
      </c>
      <c r="E213" s="98" t="s">
        <v>1331</v>
      </c>
      <c r="F213" s="97"/>
      <c r="G213" s="97" t="s">
        <v>1333</v>
      </c>
      <c r="H213" s="99" t="s">
        <v>147</v>
      </c>
      <c r="I213" s="100" t="s">
        <v>64</v>
      </c>
      <c r="J213" s="101" t="s">
        <v>303</v>
      </c>
      <c r="K213" s="100"/>
      <c r="L213" s="102" t="s">
        <v>1335</v>
      </c>
      <c r="M213" s="103">
        <f>if(B213,if(and(hour(B213+M$7)&gt;9.5,(hour(B213+M$7)&lt;19.5)),B213+M$7,_xlfn.workday.intl(int(B213),1,"0000001",Holidays!A:A)+hour(B213+M$7-$B$1)/24+minute(B213)/1440),"")</f>
        <v>46161.48403</v>
      </c>
      <c r="N213" s="104">
        <v>46160.737009895834</v>
      </c>
      <c r="O213" s="105" t="s">
        <v>14</v>
      </c>
      <c r="P213" s="106">
        <f t="shared" si="1"/>
        <v>0</v>
      </c>
      <c r="Q213" s="107" t="s">
        <v>15</v>
      </c>
      <c r="R213" s="108" t="s">
        <v>434</v>
      </c>
      <c r="S213" s="103">
        <f>if(M213,if(and(hour(M213+S$7)&gt;9.5,(hour(M213+S$7)&lt;19.5)),M213+S$7,_xlfn.workday.intl(int(M213),1,"0000001",Holidays!A:A)+hour(M213+S$7-$B$1)/24+minute(M213)/1440),"")</f>
        <v>46161.49097</v>
      </c>
      <c r="T213" s="104">
        <v>46160.73709981481</v>
      </c>
      <c r="U213" s="105" t="s">
        <v>14</v>
      </c>
      <c r="V213" s="109">
        <f t="shared" si="2"/>
        <v>0</v>
      </c>
      <c r="W213" s="110" t="str">
        <f t="shared" si="3"/>
        <v>EMP0042 HULESHWAR KUMAR SAHU</v>
      </c>
      <c r="X213" s="103">
        <f>if(S213,if(and(hour(S213+X$7)&gt;9.5,(hour(S213+X$7)&lt;19.5)),S213+X$7,_xlfn.workday.intl(int(S213),1,"0000001",Holidays!A:A)+hour(S213+X$7-$B$1)/24+minute(S213)/1440),"")</f>
        <v>46161.59514</v>
      </c>
      <c r="Y213" s="104">
        <v>46160.73724631945</v>
      </c>
      <c r="Z213" s="105" t="s">
        <v>14</v>
      </c>
      <c r="AA213" s="111">
        <f t="shared" si="4"/>
        <v>0</v>
      </c>
      <c r="AB213" s="110" t="str">
        <f t="shared" si="5"/>
        <v>EMP0042 HULESHWAR KUMAR SAHU</v>
      </c>
      <c r="AC213" s="103">
        <f>if(X213,_xlfn.WORKDAY.INTL(X213,AC$7,"0000001",Holidays!A:A)+hour(X213)/24+MINUTE(X213)/1440,"")</f>
        <v>46162.59514</v>
      </c>
      <c r="AD213" s="104">
        <v>46160.75261278935</v>
      </c>
      <c r="AE213" s="105" t="s">
        <v>14</v>
      </c>
      <c r="AF213" s="111">
        <f t="shared" si="6"/>
        <v>0</v>
      </c>
      <c r="AG213" s="110" t="str">
        <f t="shared" si="7"/>
        <v>EMP0042 HULESHWAR KUMAR SAHU</v>
      </c>
      <c r="AH213" s="103">
        <f>if(AC213,if(and(hour(AC213+AH$7)&gt;9.5,(hour(AC213+AH$7)&lt;19.5)),AC213+AH$7,_xlfn.workday.intl(int(AC213),1,"0000001",Holidays!A:A)+hour(AC213+AH$7-$B$1)/24+minute(AC213)/1440),"")</f>
        <v>46162.63681</v>
      </c>
      <c r="AI213" s="104">
        <v>46160.816545231486</v>
      </c>
      <c r="AJ213" s="105" t="s">
        <v>14</v>
      </c>
      <c r="AK213" s="111">
        <f t="shared" si="8"/>
        <v>0</v>
      </c>
      <c r="AL213" s="112" t="str">
        <f t="shared" si="9"/>
        <v>EMP0042 HULESHWAR KUMAR SAHU</v>
      </c>
      <c r="AM213" s="113"/>
      <c r="AN213" s="114" t="s">
        <v>672</v>
      </c>
      <c r="AO213" s="115"/>
      <c r="AP213" s="115"/>
      <c r="AQ213" s="115"/>
      <c r="AR213" s="115"/>
      <c r="AS213" s="115"/>
      <c r="AT213" s="115"/>
      <c r="AU213" s="115"/>
      <c r="AV213" s="115"/>
      <c r="AW213" s="115"/>
      <c r="AX213" s="115"/>
      <c r="AY213" s="115"/>
    </row>
    <row r="214">
      <c r="A214" s="95">
        <f t="shared" si="11"/>
        <v>5165</v>
      </c>
      <c r="B214" s="96">
        <v>46160.75133013889</v>
      </c>
      <c r="C214" s="97" t="s">
        <v>955</v>
      </c>
      <c r="D214" s="97" t="s">
        <v>142</v>
      </c>
      <c r="E214" s="98" t="s">
        <v>1337</v>
      </c>
      <c r="F214" s="97"/>
      <c r="G214" s="97" t="s">
        <v>168</v>
      </c>
      <c r="H214" s="99" t="s">
        <v>126</v>
      </c>
      <c r="I214" s="100" t="s">
        <v>64</v>
      </c>
      <c r="J214" s="101" t="s">
        <v>141</v>
      </c>
      <c r="K214" s="100"/>
      <c r="L214" s="102" t="s">
        <v>1340</v>
      </c>
      <c r="M214" s="103">
        <f>if(B214,if(and(hour(B214+M$7)&gt;9.5,(hour(B214+M$7)&lt;19.5)),B214+M$7,_xlfn.workday.intl(int(B214),1,"0000001",Holidays!A:A)+hour(B214+M$7-$B$1)/24+minute(B214)/1440),"")</f>
        <v>46161.50069</v>
      </c>
      <c r="N214" s="104">
        <v>46160.75249068287</v>
      </c>
      <c r="O214" s="105" t="s">
        <v>14</v>
      </c>
      <c r="P214" s="106">
        <f t="shared" si="1"/>
        <v>0</v>
      </c>
      <c r="Q214" s="107" t="s">
        <v>15</v>
      </c>
      <c r="R214" s="108" t="s">
        <v>434</v>
      </c>
      <c r="S214" s="103">
        <f>if(M214,if(and(hour(M214+S$7)&gt;9.5,(hour(M214+S$7)&lt;19.5)),M214+S$7,_xlfn.workday.intl(int(M214),1,"0000001",Holidays!A:A)+hour(M214+S$7-$B$1)/24+minute(M214)/1440),"")</f>
        <v>46161.50764</v>
      </c>
      <c r="T214" s="104">
        <v>46160.752249247686</v>
      </c>
      <c r="U214" s="105" t="s">
        <v>14</v>
      </c>
      <c r="V214" s="109">
        <f t="shared" si="2"/>
        <v>0</v>
      </c>
      <c r="W214" s="110" t="str">
        <f t="shared" si="3"/>
        <v>EMP0042 HULESHWAR KUMAR SAHU</v>
      </c>
      <c r="X214" s="103">
        <f>if(S214,if(and(hour(S214+X$7)&gt;9.5,(hour(S214+X$7)&lt;19.5)),S214+X$7,_xlfn.workday.intl(int(S214),1,"0000001",Holidays!A:A)+hour(S214+X$7-$B$1)/24+minute(S214)/1440),"")</f>
        <v>46161.61181</v>
      </c>
      <c r="Y214" s="104">
        <v>46160.752212708336</v>
      </c>
      <c r="Z214" s="105" t="s">
        <v>14</v>
      </c>
      <c r="AA214" s="111">
        <f t="shared" si="4"/>
        <v>0</v>
      </c>
      <c r="AB214" s="110" t="str">
        <f t="shared" si="5"/>
        <v>EMP0042 HULESHWAR KUMAR SAHU</v>
      </c>
      <c r="AC214" s="103">
        <f>if(X214,_xlfn.WORKDAY.INTL(X214,AC$7,"0000001",Holidays!A:A)+hour(X214)/24+MINUTE(X214)/1440,"")</f>
        <v>46162.61181</v>
      </c>
      <c r="AD214" s="104">
        <v>46160.81649629629</v>
      </c>
      <c r="AE214" s="105" t="s">
        <v>14</v>
      </c>
      <c r="AF214" s="111">
        <f t="shared" si="6"/>
        <v>0</v>
      </c>
      <c r="AG214" s="110" t="str">
        <f t="shared" si="7"/>
        <v>EMP0042 HULESHWAR KUMAR SAHU</v>
      </c>
      <c r="AH214" s="103">
        <f>if(AC214,if(and(hour(AC214+AH$7)&gt;9.5,(hour(AC214+AH$7)&lt;19.5)),AC214+AH$7,_xlfn.workday.intl(int(AC214),1,"0000001",Holidays!A:A)+hour(AC214+AH$7-$B$1)/24+minute(AC214)/1440),"")</f>
        <v>46162.65347</v>
      </c>
      <c r="AI214" s="104">
        <v>46161.4944358912</v>
      </c>
      <c r="AJ214" s="105" t="s">
        <v>14</v>
      </c>
      <c r="AK214" s="111">
        <f t="shared" si="8"/>
        <v>0</v>
      </c>
      <c r="AL214" s="112" t="str">
        <f t="shared" si="9"/>
        <v>EMP0042 HULESHWAR KUMAR SAHU</v>
      </c>
      <c r="AM214" s="113"/>
      <c r="AN214" s="114" t="s">
        <v>672</v>
      </c>
      <c r="AO214" s="115"/>
      <c r="AP214" s="115"/>
      <c r="AQ214" s="115"/>
      <c r="AR214" s="115"/>
      <c r="AS214" s="115"/>
      <c r="AT214" s="115"/>
      <c r="AU214" s="115"/>
      <c r="AV214" s="115"/>
      <c r="AW214" s="115"/>
      <c r="AX214" s="115"/>
      <c r="AY214" s="115"/>
    </row>
    <row r="215">
      <c r="A215" s="95">
        <f t="shared" si="11"/>
        <v>5166</v>
      </c>
      <c r="B215" s="96">
        <v>46161.46429532407</v>
      </c>
      <c r="C215" s="97" t="s">
        <v>913</v>
      </c>
      <c r="D215" s="97" t="s">
        <v>207</v>
      </c>
      <c r="E215" s="98" t="s">
        <v>1341</v>
      </c>
      <c r="F215" s="97"/>
      <c r="G215" s="97" t="s">
        <v>211</v>
      </c>
      <c r="H215" s="99" t="s">
        <v>62</v>
      </c>
      <c r="I215" s="100" t="s">
        <v>64</v>
      </c>
      <c r="J215" s="101" t="s">
        <v>206</v>
      </c>
      <c r="K215" s="100"/>
      <c r="L215" s="102" t="s">
        <v>1344</v>
      </c>
      <c r="M215" s="103">
        <f>if(B215,if(and(hour(B215+M$7)&gt;9.5,(hour(B215+M$7)&lt;19.5)),B215+M$7,_xlfn.workday.intl(int(B215),1,"0000001",Holidays!A:A)+hour(B215+M$7-$B$1)/24+minute(B215)/1440),"")</f>
        <v>46161.63096</v>
      </c>
      <c r="N215" s="104">
        <v>46161.494539444444</v>
      </c>
      <c r="O215" s="105" t="s">
        <v>14</v>
      </c>
      <c r="P215" s="106">
        <f t="shared" si="1"/>
        <v>0</v>
      </c>
      <c r="Q215" s="107" t="s">
        <v>48</v>
      </c>
      <c r="R215" s="108" t="s">
        <v>434</v>
      </c>
      <c r="S215" s="103">
        <f>if(M215,if(and(hour(M215+S$7)&gt;9.5,(hour(M215+S$7)&lt;19.5)),M215+S$7,_xlfn.workday.intl(int(M215),1,"0000001",Holidays!A:A)+hour(M215+S$7-$B$1)/24+minute(M215)/1440),"")</f>
        <v>46161.63791</v>
      </c>
      <c r="T215" s="104">
        <v>46161.49461247685</v>
      </c>
      <c r="U215" s="105" t="s">
        <v>14</v>
      </c>
      <c r="V215" s="109">
        <f t="shared" si="2"/>
        <v>0</v>
      </c>
      <c r="W215" s="110" t="str">
        <f t="shared" si="3"/>
        <v>EMP0237 Swarnendu Chakraborty</v>
      </c>
      <c r="X215" s="103">
        <f>if(S215,if(and(hour(S215+X$7)&gt;9.5,(hour(S215+X$7)&lt;19.5)),S215+X$7,_xlfn.workday.intl(int(S215),1,"0000001",Holidays!A:A)+hour(S215+X$7-$B$1)/24+minute(S215)/1440),"")</f>
        <v>46161.74207</v>
      </c>
      <c r="Y215" s="104">
        <v>46161.521353564814</v>
      </c>
      <c r="Z215" s="105" t="s">
        <v>14</v>
      </c>
      <c r="AA215" s="111">
        <f t="shared" si="4"/>
        <v>0</v>
      </c>
      <c r="AB215" s="110" t="str">
        <f t="shared" si="5"/>
        <v>EMP0237 Swarnendu Chakraborty</v>
      </c>
      <c r="AC215" s="103">
        <f>if(X215,_xlfn.WORKDAY.INTL(X215,AC$7,"0000001",Holidays!A:A)+hour(X215)/24+MINUTE(X215)/1440,"")</f>
        <v>46162.74167</v>
      </c>
      <c r="AD215" s="104">
        <v>46162.65347858796</v>
      </c>
      <c r="AE215" s="105" t="s">
        <v>14</v>
      </c>
      <c r="AF215" s="111">
        <f t="shared" si="6"/>
        <v>0</v>
      </c>
      <c r="AG215" s="110" t="str">
        <f t="shared" si="7"/>
        <v>EMP0237 Swarnendu Chakraborty</v>
      </c>
      <c r="AH215" s="103">
        <f>if(AC215,if(and(hour(AC215+AH$7)&gt;9.5,(hour(AC215+AH$7)&lt;19.5)),AC215+AH$7,_xlfn.workday.intl(int(AC215),1,"0000001",Holidays!A:A)+hour(AC215+AH$7-$B$1)/24+minute(AC215)/1440),"")</f>
        <v>46162.78333</v>
      </c>
      <c r="AI215" s="104">
        <v>46162.65350837963</v>
      </c>
      <c r="AJ215" s="105" t="s">
        <v>14</v>
      </c>
      <c r="AK215" s="111">
        <f t="shared" si="8"/>
        <v>0</v>
      </c>
      <c r="AL215" s="112" t="str">
        <f t="shared" si="9"/>
        <v>EMP0237 Swarnendu Chakraborty</v>
      </c>
      <c r="AM215" s="113"/>
      <c r="AN215" s="114" t="s">
        <v>672</v>
      </c>
      <c r="AO215" s="115"/>
      <c r="AP215" s="115"/>
      <c r="AQ215" s="115"/>
      <c r="AR215" s="115"/>
      <c r="AS215" s="115"/>
      <c r="AT215" s="115"/>
      <c r="AU215" s="115"/>
      <c r="AV215" s="115"/>
      <c r="AW215" s="115"/>
      <c r="AX215" s="115"/>
      <c r="AY215" s="115"/>
    </row>
    <row r="216">
      <c r="A216" s="95">
        <f t="shared" si="11"/>
        <v>5167</v>
      </c>
      <c r="B216" s="96">
        <v>46161.518614016204</v>
      </c>
      <c r="C216" s="97" t="s">
        <v>166</v>
      </c>
      <c r="D216" s="97" t="s">
        <v>142</v>
      </c>
      <c r="E216" s="98" t="s">
        <v>1345</v>
      </c>
      <c r="F216" s="97"/>
      <c r="G216" s="97" t="s">
        <v>168</v>
      </c>
      <c r="H216" s="99" t="s">
        <v>103</v>
      </c>
      <c r="I216" s="100" t="s">
        <v>64</v>
      </c>
      <c r="J216" s="101" t="s">
        <v>141</v>
      </c>
      <c r="K216" s="100"/>
      <c r="L216" s="102" t="s">
        <v>1348</v>
      </c>
      <c r="M216" s="103">
        <f>if(B216,if(and(hour(B216+M$7)&gt;9.5,(hour(B216+M$7)&lt;19.5)),B216+M$7,_xlfn.workday.intl(int(B216),1,"0000001",Holidays!A:A)+hour(B216+M$7-$B$1)/24+minute(B216)/1440),"")</f>
        <v>46161.68528</v>
      </c>
      <c r="N216" s="104">
        <v>46161.5190977662</v>
      </c>
      <c r="O216" s="105" t="s">
        <v>14</v>
      </c>
      <c r="P216" s="106">
        <f t="shared" si="1"/>
        <v>0</v>
      </c>
      <c r="Q216" s="107" t="s">
        <v>15</v>
      </c>
      <c r="R216" s="108" t="s">
        <v>434</v>
      </c>
      <c r="S216" s="103">
        <f>if(M216,if(and(hour(M216+S$7)&gt;9.5,(hour(M216+S$7)&lt;19.5)),M216+S$7,_xlfn.workday.intl(int(M216),1,"0000001",Holidays!A:A)+hour(M216+S$7-$B$1)/24+minute(M216)/1440),"")</f>
        <v>46161.69223</v>
      </c>
      <c r="T216" s="104">
        <v>46161.51915778936</v>
      </c>
      <c r="U216" s="105" t="s">
        <v>14</v>
      </c>
      <c r="V216" s="109">
        <f t="shared" si="2"/>
        <v>0</v>
      </c>
      <c r="W216" s="110" t="str">
        <f t="shared" si="3"/>
        <v>EMP0042 HULESHWAR KUMAR SAHU</v>
      </c>
      <c r="X216" s="103">
        <f>if(S216,if(and(hour(S216+X$7)&gt;9.5,(hour(S216+X$7)&lt;19.5)),S216+X$7,_xlfn.workday.intl(int(S216),1,"0000001",Holidays!A:A)+hour(S216+X$7-$B$1)/24+minute(S216)/1440),"")</f>
        <v>46161.79639</v>
      </c>
      <c r="Y216" s="104">
        <v>46161.519246979165</v>
      </c>
      <c r="Z216" s="105" t="s">
        <v>14</v>
      </c>
      <c r="AA216" s="111">
        <f t="shared" si="4"/>
        <v>0</v>
      </c>
      <c r="AB216" s="110" t="str">
        <f t="shared" si="5"/>
        <v>EMP0042 HULESHWAR KUMAR SAHU</v>
      </c>
      <c r="AC216" s="103">
        <f>if(X216,_xlfn.WORKDAY.INTL(X216,AC$7,"0000001",Holidays!A:A)+hour(X216)/24+MINUTE(X216)/1440,"")</f>
        <v>46162.79583</v>
      </c>
      <c r="AD216" s="104">
        <v>46161.70373471065</v>
      </c>
      <c r="AE216" s="105" t="s">
        <v>14</v>
      </c>
      <c r="AF216" s="111">
        <f t="shared" si="6"/>
        <v>0</v>
      </c>
      <c r="AG216" s="110" t="str">
        <f t="shared" si="7"/>
        <v>EMP0042 HULESHWAR KUMAR SAHU</v>
      </c>
      <c r="AH216" s="103">
        <f>if(AC216,if(and(hour(AC216+AH$7)&gt;9.5,(hour(AC216+AH$7)&lt;19.5)),AC216+AH$7,_xlfn.workday.intl(int(AC216),1,"0000001",Holidays!A:A)+hour(AC216+AH$7-$B$1)/24+minute(AC216)/1440),"")</f>
        <v>46163.42083</v>
      </c>
      <c r="AI216" s="104">
        <v>46161.70466827546</v>
      </c>
      <c r="AJ216" s="105" t="s">
        <v>14</v>
      </c>
      <c r="AK216" s="111">
        <f t="shared" si="8"/>
        <v>0</v>
      </c>
      <c r="AL216" s="112" t="str">
        <f t="shared" si="9"/>
        <v>EMP0042 HULESHWAR KUMAR SAHU</v>
      </c>
      <c r="AM216" s="113"/>
      <c r="AN216" s="114" t="s">
        <v>672</v>
      </c>
      <c r="AO216" s="115"/>
      <c r="AP216" s="115"/>
      <c r="AQ216" s="115"/>
      <c r="AR216" s="115"/>
      <c r="AS216" s="115"/>
      <c r="AT216" s="115"/>
      <c r="AU216" s="115"/>
      <c r="AV216" s="115"/>
      <c r="AW216" s="115"/>
      <c r="AX216" s="115"/>
      <c r="AY216" s="115"/>
    </row>
    <row r="217">
      <c r="A217" s="95">
        <f t="shared" si="11"/>
        <v>5168</v>
      </c>
      <c r="B217" s="96">
        <v>46161.53412164352</v>
      </c>
      <c r="C217" s="97" t="s">
        <v>963</v>
      </c>
      <c r="D217" s="97" t="s">
        <v>215</v>
      </c>
      <c r="E217" s="98" t="s">
        <v>1350</v>
      </c>
      <c r="F217" s="97"/>
      <c r="G217" s="97" t="s">
        <v>1353</v>
      </c>
      <c r="H217" s="99" t="s">
        <v>62</v>
      </c>
      <c r="I217" s="100" t="s">
        <v>64</v>
      </c>
      <c r="J217" s="101" t="s">
        <v>1349</v>
      </c>
      <c r="K217" s="100"/>
      <c r="L217" s="102" t="s">
        <v>1354</v>
      </c>
      <c r="M217" s="103">
        <f>if(B217,if(and(hour(B217+M$7)&gt;9.5,(hour(B217+M$7)&lt;19.5)),B217+M$7,_xlfn.workday.intl(int(B217),1,"0000001",Holidays!A:A)+hour(B217+M$7-$B$1)/24+minute(B217)/1440),"")</f>
        <v>46161.70079</v>
      </c>
      <c r="N217" s="104">
        <v>46161.61566030093</v>
      </c>
      <c r="O217" s="105" t="s">
        <v>14</v>
      </c>
      <c r="P217" s="106">
        <f t="shared" si="1"/>
        <v>0</v>
      </c>
      <c r="Q217" s="107" t="s">
        <v>15</v>
      </c>
      <c r="R217" s="108" t="s">
        <v>434</v>
      </c>
      <c r="S217" s="103">
        <f>if(M217,if(and(hour(M217+S$7)&gt;9.5,(hour(M217+S$7)&lt;19.5)),M217+S$7,_xlfn.workday.intl(int(M217),1,"0000001",Holidays!A:A)+hour(M217+S$7-$B$1)/24+minute(M217)/1440),"")</f>
        <v>46161.70773</v>
      </c>
      <c r="T217" s="104">
        <v>46161.615738981476</v>
      </c>
      <c r="U217" s="105" t="s">
        <v>14</v>
      </c>
      <c r="V217" s="109">
        <f t="shared" si="2"/>
        <v>0</v>
      </c>
      <c r="W217" s="110" t="str">
        <f t="shared" si="3"/>
        <v>EMP0042 HULESHWAR KUMAR SAHU</v>
      </c>
      <c r="X217" s="103">
        <f>if(S217,if(and(hour(S217+X$7)&gt;9.5,(hour(S217+X$7)&lt;19.5)),S217+X$7,_xlfn.workday.intl(int(S217),1,"0000001",Holidays!A:A)+hour(S217+X$7-$B$1)/24+minute(S217)/1440),"")</f>
        <v>46161.8119</v>
      </c>
      <c r="Y217" s="104">
        <v>46161.61580490741</v>
      </c>
      <c r="Z217" s="105" t="s">
        <v>14</v>
      </c>
      <c r="AA217" s="111">
        <f t="shared" si="4"/>
        <v>0</v>
      </c>
      <c r="AB217" s="110" t="str">
        <f t="shared" si="5"/>
        <v>EMP0042 HULESHWAR KUMAR SAHU</v>
      </c>
      <c r="AC217" s="103">
        <f>if(X217,_xlfn.WORKDAY.INTL(X217,AC$7,"0000001",Holidays!A:A)+hour(X217)/24+MINUTE(X217)/1440,"")</f>
        <v>46162.81181</v>
      </c>
      <c r="AD217" s="104">
        <v>46162.65352475694</v>
      </c>
      <c r="AE217" s="105" t="s">
        <v>14</v>
      </c>
      <c r="AF217" s="111">
        <f t="shared" si="6"/>
        <v>0</v>
      </c>
      <c r="AG217" s="110" t="str">
        <f t="shared" si="7"/>
        <v>EMP0042 HULESHWAR KUMAR SAHU</v>
      </c>
      <c r="AH217" s="103">
        <f>if(AC217,if(and(hour(AC217+AH$7)&gt;9.5,(hour(AC217+AH$7)&lt;19.5)),AC217+AH$7,_xlfn.workday.intl(int(AC217),1,"0000001",Holidays!A:A)+hour(AC217+AH$7-$B$1)/24+minute(AC217)/1440),"")</f>
        <v>46163.43681</v>
      </c>
      <c r="AI217" s="104">
        <v>46163.43162525463</v>
      </c>
      <c r="AJ217" s="105" t="s">
        <v>14</v>
      </c>
      <c r="AK217" s="111">
        <f t="shared" si="8"/>
        <v>0</v>
      </c>
      <c r="AL217" s="112" t="str">
        <f t="shared" si="9"/>
        <v>EMP0042 HULESHWAR KUMAR SAHU</v>
      </c>
      <c r="AM217" s="113"/>
      <c r="AN217" s="114" t="s">
        <v>672</v>
      </c>
      <c r="AO217" s="115"/>
      <c r="AP217" s="115"/>
      <c r="AQ217" s="115"/>
      <c r="AR217" s="115"/>
      <c r="AS217" s="115"/>
      <c r="AT217" s="115"/>
      <c r="AU217" s="115"/>
      <c r="AV217" s="115"/>
      <c r="AW217" s="115"/>
      <c r="AX217" s="115"/>
      <c r="AY217" s="115"/>
    </row>
    <row r="218">
      <c r="A218" s="95">
        <f t="shared" si="11"/>
        <v>5169</v>
      </c>
      <c r="B218" s="96">
        <v>46161.64378273148</v>
      </c>
      <c r="C218" s="97" t="s">
        <v>761</v>
      </c>
      <c r="D218" s="97" t="s">
        <v>142</v>
      </c>
      <c r="E218" s="98" t="s">
        <v>1356</v>
      </c>
      <c r="F218" s="97"/>
      <c r="G218" s="97" t="s">
        <v>1359</v>
      </c>
      <c r="H218" s="99" t="s">
        <v>103</v>
      </c>
      <c r="I218" s="100" t="s">
        <v>64</v>
      </c>
      <c r="J218" s="101" t="s">
        <v>141</v>
      </c>
      <c r="K218" s="100"/>
      <c r="L218" s="102" t="s">
        <v>1360</v>
      </c>
      <c r="M218" s="103">
        <f>if(B218,if(and(hour(B218+M$7)&gt;9.5,(hour(B218+M$7)&lt;19.5)),B218+M$7,_xlfn.workday.intl(int(B218),1,"0000001",Holidays!A:A)+hour(B218+M$7-$B$1)/24+minute(B218)/1440),"")</f>
        <v>46161.81045</v>
      </c>
      <c r="N218" s="104">
        <v>46161.70339909723</v>
      </c>
      <c r="O218" s="105" t="s">
        <v>14</v>
      </c>
      <c r="P218" s="106">
        <f t="shared" si="1"/>
        <v>0</v>
      </c>
      <c r="Q218" s="107" t="s">
        <v>15</v>
      </c>
      <c r="R218" s="108" t="s">
        <v>434</v>
      </c>
      <c r="S218" s="103">
        <f>if(M218,if(and(hour(M218+S$7)&gt;9.5,(hour(M218+S$7)&lt;19.5)),M218+S$7,_xlfn.workday.intl(int(M218),1,"0000001",Holidays!A:A)+hour(M218+S$7-$B$1)/24+minute(M218)/1440),"")</f>
        <v>46161.81739</v>
      </c>
      <c r="T218" s="104">
        <v>46161.703485729166</v>
      </c>
      <c r="U218" s="105" t="s">
        <v>14</v>
      </c>
      <c r="V218" s="109">
        <f t="shared" si="2"/>
        <v>0</v>
      </c>
      <c r="W218" s="110" t="str">
        <f t="shared" si="3"/>
        <v>EMP0042 HULESHWAR KUMAR SAHU</v>
      </c>
      <c r="X218" s="103">
        <f>if(S218,if(and(hour(S218+X$7)&gt;9.5,(hour(S218+X$7)&lt;19.5)),S218+X$7,_xlfn.workday.intl(int(S218),1,"0000001",Holidays!A:A)+hour(S218+X$7-$B$1)/24+minute(S218)/1440),"")</f>
        <v>46162.52569</v>
      </c>
      <c r="Y218" s="104">
        <v>46161.70355693287</v>
      </c>
      <c r="Z218" s="105" t="s">
        <v>14</v>
      </c>
      <c r="AA218" s="111">
        <f t="shared" si="4"/>
        <v>0</v>
      </c>
      <c r="AB218" s="110" t="str">
        <f t="shared" si="5"/>
        <v>EMP0042 HULESHWAR KUMAR SAHU</v>
      </c>
      <c r="AC218" s="103">
        <f>if(X218,_xlfn.WORKDAY.INTL(X218,AC$7,"0000001",Holidays!A:A)+hour(X218)/24+MINUTE(X218)/1440,"")</f>
        <v>46163.52569</v>
      </c>
      <c r="AD218" s="104">
        <v>46161.70378627315</v>
      </c>
      <c r="AE218" s="105" t="s">
        <v>14</v>
      </c>
      <c r="AF218" s="111">
        <f t="shared" si="6"/>
        <v>0</v>
      </c>
      <c r="AG218" s="110" t="str">
        <f t="shared" si="7"/>
        <v>EMP0042 HULESHWAR KUMAR SAHU</v>
      </c>
      <c r="AH218" s="103">
        <f>if(AC218,if(and(hour(AC218+AH$7)&gt;9.5,(hour(AC218+AH$7)&lt;19.5)),AC218+AH$7,_xlfn.workday.intl(int(AC218),1,"0000001",Holidays!A:A)+hour(AC218+AH$7-$B$1)/24+minute(AC218)/1440),"")</f>
        <v>46163.56736</v>
      </c>
      <c r="AI218" s="104">
        <v>46161.70469079861</v>
      </c>
      <c r="AJ218" s="105" t="s">
        <v>14</v>
      </c>
      <c r="AK218" s="111">
        <f t="shared" si="8"/>
        <v>0</v>
      </c>
      <c r="AL218" s="112" t="str">
        <f t="shared" si="9"/>
        <v>EMP0042 HULESHWAR KUMAR SAHU</v>
      </c>
      <c r="AM218" s="113"/>
      <c r="AN218" s="114" t="s">
        <v>672</v>
      </c>
      <c r="AO218" s="115"/>
      <c r="AP218" s="115"/>
      <c r="AQ218" s="115"/>
      <c r="AR218" s="115"/>
      <c r="AS218" s="115"/>
      <c r="AT218" s="115"/>
      <c r="AU218" s="115"/>
      <c r="AV218" s="115"/>
      <c r="AW218" s="115"/>
      <c r="AX218" s="115"/>
      <c r="AY218" s="115"/>
    </row>
    <row r="219">
      <c r="A219" s="95">
        <f t="shared" si="11"/>
        <v>5170</v>
      </c>
      <c r="B219" s="96">
        <v>46161.74331960648</v>
      </c>
      <c r="C219" s="97" t="s">
        <v>1363</v>
      </c>
      <c r="D219" s="97" t="s">
        <v>122</v>
      </c>
      <c r="E219" s="98" t="s">
        <v>1361</v>
      </c>
      <c r="F219" s="98" t="s">
        <v>1365</v>
      </c>
      <c r="G219" s="97" t="s">
        <v>1363</v>
      </c>
      <c r="H219" s="99" t="s">
        <v>126</v>
      </c>
      <c r="I219" s="100" t="s">
        <v>64</v>
      </c>
      <c r="J219" s="101" t="s">
        <v>121</v>
      </c>
      <c r="K219" s="100"/>
      <c r="L219" s="102" t="s">
        <v>1364</v>
      </c>
      <c r="M219" s="103">
        <f>if(B219,if(and(hour(B219+M$7)&gt;9.5,(hour(B219+M$7)&lt;19.5)),B219+M$7,_xlfn.workday.intl(int(B219),1,"0000001",Holidays!A:A)+hour(B219+M$7-$B$1)/24+minute(B219)/1440),"")</f>
        <v>46162.49306</v>
      </c>
      <c r="N219" s="104">
        <v>46162.47816726852</v>
      </c>
      <c r="O219" s="105" t="s">
        <v>14</v>
      </c>
      <c r="P219" s="106">
        <f t="shared" si="1"/>
        <v>0</v>
      </c>
      <c r="Q219" s="107" t="s">
        <v>15</v>
      </c>
      <c r="R219" s="108" t="s">
        <v>434</v>
      </c>
      <c r="S219" s="103">
        <f>if(M219,if(and(hour(M219+S$7)&gt;9.5,(hour(M219+S$7)&lt;19.5)),M219+S$7,_xlfn.workday.intl(int(M219),1,"0000001",Holidays!A:A)+hour(M219+S$7-$B$1)/24+minute(M219)/1440),"")</f>
        <v>46162.5</v>
      </c>
      <c r="T219" s="104">
        <v>46162.47822131944</v>
      </c>
      <c r="U219" s="105" t="s">
        <v>14</v>
      </c>
      <c r="V219" s="109">
        <f t="shared" si="2"/>
        <v>0</v>
      </c>
      <c r="W219" s="110" t="str">
        <f t="shared" si="3"/>
        <v>EMP0042 HULESHWAR KUMAR SAHU</v>
      </c>
      <c r="X219" s="103">
        <f>if(S219,if(and(hour(S219+X$7)&gt;9.5,(hour(S219+X$7)&lt;19.5)),S219+X$7,_xlfn.workday.intl(int(S219),1,"0000001",Holidays!A:A)+hour(S219+X$7-$B$1)/24+minute(S219)/1440),"")</f>
        <v>46162.60417</v>
      </c>
      <c r="Y219" s="104">
        <v>46162.478288796294</v>
      </c>
      <c r="Z219" s="105" t="s">
        <v>14</v>
      </c>
      <c r="AA219" s="111">
        <f t="shared" si="4"/>
        <v>0</v>
      </c>
      <c r="AB219" s="110" t="str">
        <f t="shared" si="5"/>
        <v>EMP0042 HULESHWAR KUMAR SAHU</v>
      </c>
      <c r="AC219" s="103">
        <f>if(X219,_xlfn.WORKDAY.INTL(X219,AC$7,"0000001",Holidays!A:A)+hour(X219)/24+MINUTE(X219)/1440,"")</f>
        <v>46163.60417</v>
      </c>
      <c r="AD219" s="104">
        <v>46162.66981464121</v>
      </c>
      <c r="AE219" s="105" t="s">
        <v>14</v>
      </c>
      <c r="AF219" s="111">
        <f t="shared" si="6"/>
        <v>0</v>
      </c>
      <c r="AG219" s="110" t="str">
        <f t="shared" si="7"/>
        <v>EMP0042 HULESHWAR KUMAR SAHU</v>
      </c>
      <c r="AH219" s="103">
        <f>if(AC219,if(and(hour(AC219+AH$7)&gt;9.5,(hour(AC219+AH$7)&lt;19.5)),AC219+AH$7,_xlfn.workday.intl(int(AC219),1,"0000001",Holidays!A:A)+hour(AC219+AH$7-$B$1)/24+minute(AC219)/1440),"")</f>
        <v>46163.64583</v>
      </c>
      <c r="AI219" s="104">
        <v>46162.66984015046</v>
      </c>
      <c r="AJ219" s="105" t="s">
        <v>14</v>
      </c>
      <c r="AK219" s="111">
        <f t="shared" si="8"/>
        <v>0</v>
      </c>
      <c r="AL219" s="112" t="str">
        <f t="shared" si="9"/>
        <v>EMP0042 HULESHWAR KUMAR SAHU</v>
      </c>
      <c r="AM219" s="113"/>
      <c r="AN219" s="114" t="s">
        <v>672</v>
      </c>
      <c r="AO219" s="115"/>
      <c r="AP219" s="115"/>
      <c r="AQ219" s="115"/>
      <c r="AR219" s="115"/>
      <c r="AS219" s="115"/>
      <c r="AT219" s="115"/>
      <c r="AU219" s="115"/>
      <c r="AV219" s="115"/>
      <c r="AW219" s="115"/>
      <c r="AX219" s="115"/>
      <c r="AY219" s="115"/>
    </row>
    <row r="220">
      <c r="A220" s="95">
        <f t="shared" si="11"/>
        <v>5171</v>
      </c>
      <c r="B220" s="96">
        <v>46162.71379351852</v>
      </c>
      <c r="C220" s="97" t="s">
        <v>727</v>
      </c>
      <c r="D220" s="97" t="s">
        <v>357</v>
      </c>
      <c r="E220" s="98" t="s">
        <v>1368</v>
      </c>
      <c r="F220" s="97"/>
      <c r="G220" s="97" t="s">
        <v>354</v>
      </c>
      <c r="H220" s="99" t="s">
        <v>147</v>
      </c>
      <c r="I220" s="100" t="s">
        <v>64</v>
      </c>
      <c r="J220" s="101" t="s">
        <v>1367</v>
      </c>
      <c r="K220" s="100"/>
      <c r="L220" s="102" t="s">
        <v>1370</v>
      </c>
      <c r="M220" s="103">
        <f>if(B220,if(and(hour(B220+M$7)&gt;9.5,(hour(B220+M$7)&lt;19.5)),B220+M$7,_xlfn.workday.intl(int(B220),1,"0000001",Holidays!A:A)+hour(B220+M$7-$B$1)/24+minute(B220)/1440),"")</f>
        <v>46163.46319</v>
      </c>
      <c r="N220" s="104">
        <v>46163.43177461806</v>
      </c>
      <c r="O220" s="105" t="s">
        <v>14</v>
      </c>
      <c r="P220" s="106">
        <f t="shared" si="1"/>
        <v>0</v>
      </c>
      <c r="Q220" s="107" t="s">
        <v>72</v>
      </c>
      <c r="R220" s="108" t="s">
        <v>434</v>
      </c>
      <c r="S220" s="103">
        <f>if(M220,if(and(hour(M220+S$7)&gt;9.5,(hour(M220+S$7)&lt;19.5)),M220+S$7,_xlfn.workday.intl(int(M220),1,"0000001",Holidays!A:A)+hour(M220+S$7-$B$1)/24+minute(M220)/1440),"")</f>
        <v>46163.47014</v>
      </c>
      <c r="T220" s="104">
        <v>46163.431932499996</v>
      </c>
      <c r="U220" s="105" t="s">
        <v>14</v>
      </c>
      <c r="V220" s="109">
        <f t="shared" si="2"/>
        <v>0</v>
      </c>
      <c r="W220" s="110" t="str">
        <f t="shared" si="3"/>
        <v>EMP5009 Rup Kumar Mandal</v>
      </c>
      <c r="X220" s="103">
        <f>if(S220,if(and(hour(S220+X$7)&gt;9.5,(hour(S220+X$7)&lt;19.5)),S220+X$7,_xlfn.workday.intl(int(S220),1,"0000001",Holidays!A:A)+hour(S220+X$7-$B$1)/24+minute(S220)/1440),"")</f>
        <v>46163.57431</v>
      </c>
      <c r="Y220" s="104">
        <v>46163.43198136574</v>
      </c>
      <c r="Z220" s="105" t="s">
        <v>14</v>
      </c>
      <c r="AA220" s="111">
        <f t="shared" si="4"/>
        <v>0</v>
      </c>
      <c r="AB220" s="110" t="str">
        <f t="shared" si="5"/>
        <v>EMP5009 Rup Kumar Mandal</v>
      </c>
      <c r="AC220" s="103">
        <f>if(X220,_xlfn.WORKDAY.INTL(X220,AC$7,"0000001",Holidays!A:A)+hour(X220)/24+MINUTE(X220)/1440,"")</f>
        <v>46164.57431</v>
      </c>
      <c r="AD220" s="104">
        <v>46163.701839421294</v>
      </c>
      <c r="AE220" s="105" t="s">
        <v>14</v>
      </c>
      <c r="AF220" s="111">
        <f t="shared" si="6"/>
        <v>0</v>
      </c>
      <c r="AG220" s="110" t="str">
        <f t="shared" si="7"/>
        <v>EMP5009 Rup Kumar Mandal</v>
      </c>
      <c r="AH220" s="103">
        <f>if(AC220,if(and(hour(AC220+AH$7)&gt;9.5,(hour(AC220+AH$7)&lt;19.5)),AC220+AH$7,_xlfn.workday.intl(int(AC220),1,"0000001",Holidays!A:A)+hour(AC220+AH$7-$B$1)/24+minute(AC220)/1440),"")</f>
        <v>46164.61597</v>
      </c>
      <c r="AI220" s="104">
        <v>46163.70188458334</v>
      </c>
      <c r="AJ220" s="105" t="s">
        <v>14</v>
      </c>
      <c r="AK220" s="111">
        <f t="shared" si="8"/>
        <v>0</v>
      </c>
      <c r="AL220" s="112" t="str">
        <f t="shared" si="9"/>
        <v>EMP5009 Rup Kumar Mandal</v>
      </c>
      <c r="AM220" s="113"/>
      <c r="AN220" s="114" t="s">
        <v>672</v>
      </c>
      <c r="AO220" s="115"/>
      <c r="AP220" s="115"/>
      <c r="AQ220" s="115"/>
      <c r="AR220" s="115"/>
      <c r="AS220" s="115"/>
      <c r="AT220" s="115"/>
      <c r="AU220" s="115"/>
      <c r="AV220" s="115"/>
      <c r="AW220" s="115"/>
      <c r="AX220" s="115"/>
      <c r="AY220" s="115"/>
    </row>
    <row r="221">
      <c r="A221" s="95">
        <f t="shared" si="11"/>
        <v>5172</v>
      </c>
      <c r="B221" s="96">
        <v>46163.46180819444</v>
      </c>
      <c r="C221" s="97" t="s">
        <v>977</v>
      </c>
      <c r="D221" s="97" t="s">
        <v>1212</v>
      </c>
      <c r="E221" s="98" t="s">
        <v>1371</v>
      </c>
      <c r="F221" s="97"/>
      <c r="G221" s="97" t="s">
        <v>1374</v>
      </c>
      <c r="H221" s="99" t="s">
        <v>62</v>
      </c>
      <c r="I221" s="100" t="s">
        <v>64</v>
      </c>
      <c r="J221" s="101" t="s">
        <v>1211</v>
      </c>
      <c r="K221" s="100"/>
      <c r="L221" s="102" t="s">
        <v>391</v>
      </c>
      <c r="M221" s="103">
        <f>if(B221,if(and(hour(B221+M$7)&gt;9.5,(hour(B221+M$7)&lt;19.5)),B221+M$7,_xlfn.workday.intl(int(B221),1,"0000001",Holidays!A:A)+hour(B221+M$7-$B$1)/24+minute(B221)/1440),"")</f>
        <v>46163.62847</v>
      </c>
      <c r="N221" s="104">
        <v>46163.52292459491</v>
      </c>
      <c r="O221" s="105" t="s">
        <v>14</v>
      </c>
      <c r="P221" s="106">
        <f t="shared" si="1"/>
        <v>0</v>
      </c>
      <c r="Q221" s="107" t="s">
        <v>48</v>
      </c>
      <c r="R221" s="108" t="s">
        <v>434</v>
      </c>
      <c r="S221" s="103">
        <f>if(M221,if(and(hour(M221+S$7)&gt;9.5,(hour(M221+S$7)&lt;19.5)),M221+S$7,_xlfn.workday.intl(int(M221),1,"0000001",Holidays!A:A)+hour(M221+S$7-$B$1)/24+minute(M221)/1440),"")</f>
        <v>46163.63542</v>
      </c>
      <c r="T221" s="104">
        <v>46163.523149155095</v>
      </c>
      <c r="U221" s="105" t="s">
        <v>14</v>
      </c>
      <c r="V221" s="109">
        <f t="shared" si="2"/>
        <v>0</v>
      </c>
      <c r="W221" s="110" t="str">
        <f t="shared" si="3"/>
        <v>EMP0237 Swarnendu Chakraborty</v>
      </c>
      <c r="X221" s="103">
        <f>if(S221,if(and(hour(S221+X$7)&gt;9.5,(hour(S221+X$7)&lt;19.5)),S221+X$7,_xlfn.workday.intl(int(S221),1,"0000001",Holidays!A:A)+hour(S221+X$7-$B$1)/24+minute(S221)/1440),"")</f>
        <v>46163.73959</v>
      </c>
      <c r="Y221" s="104">
        <v>46163.52333157408</v>
      </c>
      <c r="Z221" s="105" t="s">
        <v>14</v>
      </c>
      <c r="AA221" s="111">
        <f t="shared" si="4"/>
        <v>0</v>
      </c>
      <c r="AB221" s="110" t="str">
        <f t="shared" si="5"/>
        <v>EMP0237 Swarnendu Chakraborty</v>
      </c>
      <c r="AC221" s="103">
        <f>if(X221,_xlfn.WORKDAY.INTL(X221,AC$7,"0000001",Holidays!A:A)+hour(X221)/24+MINUTE(X221)/1440,"")</f>
        <v>46164.73958</v>
      </c>
      <c r="AD221" s="104">
        <v>46164.48861355324</v>
      </c>
      <c r="AE221" s="105" t="s">
        <v>14</v>
      </c>
      <c r="AF221" s="111">
        <f t="shared" si="6"/>
        <v>0</v>
      </c>
      <c r="AG221" s="110" t="str">
        <f t="shared" si="7"/>
        <v>EMP0237 Swarnendu Chakraborty</v>
      </c>
      <c r="AH221" s="103">
        <f>if(AC221,if(and(hour(AC221+AH$7)&gt;9.5,(hour(AC221+AH$7)&lt;19.5)),AC221+AH$7,_xlfn.workday.intl(int(AC221),1,"0000001",Holidays!A:A)+hour(AC221+AH$7-$B$1)/24+minute(AC221)/1440),"")</f>
        <v>46164.78125</v>
      </c>
      <c r="AI221" s="104">
        <v>46164.488660138886</v>
      </c>
      <c r="AJ221" s="105" t="s">
        <v>14</v>
      </c>
      <c r="AK221" s="111">
        <f t="shared" si="8"/>
        <v>0</v>
      </c>
      <c r="AL221" s="112" t="str">
        <f t="shared" si="9"/>
        <v>EMP0237 Swarnendu Chakraborty</v>
      </c>
      <c r="AM221" s="113"/>
      <c r="AN221" s="114" t="s">
        <v>672</v>
      </c>
      <c r="AO221" s="115"/>
      <c r="AP221" s="115"/>
      <c r="AQ221" s="115"/>
      <c r="AR221" s="115"/>
      <c r="AS221" s="115"/>
      <c r="AT221" s="115"/>
      <c r="AU221" s="115"/>
      <c r="AV221" s="115"/>
      <c r="AW221" s="115"/>
      <c r="AX221" s="115"/>
      <c r="AY221" s="115"/>
    </row>
    <row r="222">
      <c r="A222" s="95">
        <f t="shared" si="11"/>
        <v>5173</v>
      </c>
      <c r="B222" s="96">
        <v>46163.52710212963</v>
      </c>
      <c r="C222" s="97" t="s">
        <v>142</v>
      </c>
      <c r="D222" s="97" t="s">
        <v>142</v>
      </c>
      <c r="E222" s="98" t="s">
        <v>1375</v>
      </c>
      <c r="F222" s="97"/>
      <c r="G222" s="97" t="s">
        <v>1378</v>
      </c>
      <c r="H222" s="99" t="s">
        <v>62</v>
      </c>
      <c r="I222" s="100" t="s">
        <v>324</v>
      </c>
      <c r="J222" s="101" t="s">
        <v>1223</v>
      </c>
      <c r="K222" s="100"/>
      <c r="L222" s="102" t="s">
        <v>1378</v>
      </c>
      <c r="M222" s="103">
        <f>if(B222,if(and(hour(B222+M$7)&gt;9.5,(hour(B222+M$7)&lt;19.5)),B222+M$7,_xlfn.workday.intl(int(B222),1,"0000001",Holidays!A:A)+hour(B222+M$7-$B$1)/24+minute(B222)/1440),"")</f>
        <v>46163.69377</v>
      </c>
      <c r="N222" s="104">
        <v>46163.55700689815</v>
      </c>
      <c r="O222" s="105" t="s">
        <v>14</v>
      </c>
      <c r="P222" s="106">
        <f t="shared" si="1"/>
        <v>0</v>
      </c>
      <c r="Q222" s="107" t="s">
        <v>15</v>
      </c>
      <c r="R222" s="108" t="s">
        <v>434</v>
      </c>
      <c r="S222" s="103">
        <f>if(M222,if(and(hour(M222+S$7)&gt;9.5,(hour(M222+S$7)&lt;19.5)),M222+S$7,_xlfn.workday.intl(int(M222),1,"0000001",Holidays!A:A)+hour(M222+S$7-$B$1)/24+minute(M222)/1440),"")</f>
        <v>46163.70071</v>
      </c>
      <c r="T222" s="104">
        <v>46163.557141122685</v>
      </c>
      <c r="U222" s="105" t="s">
        <v>14</v>
      </c>
      <c r="V222" s="109">
        <f t="shared" si="2"/>
        <v>0</v>
      </c>
      <c r="W222" s="110" t="str">
        <f t="shared" si="3"/>
        <v>EMP0042 HULESHWAR KUMAR SAHU</v>
      </c>
      <c r="X222" s="103">
        <f>if(S222,if(and(hour(S222+X$7)&gt;9.5,(hour(S222+X$7)&lt;19.5)),S222+X$7,_xlfn.workday.intl(int(S222),1,"0000001",Holidays!A:A)+hour(S222+X$7-$B$1)/24+minute(S222)/1440),"")</f>
        <v>46163.80488</v>
      </c>
      <c r="Y222" s="104">
        <v>46163.557550763886</v>
      </c>
      <c r="Z222" s="105" t="s">
        <v>14</v>
      </c>
      <c r="AA222" s="111">
        <f t="shared" si="4"/>
        <v>0</v>
      </c>
      <c r="AB222" s="110" t="str">
        <f t="shared" si="5"/>
        <v>EMP0042 HULESHWAR KUMAR SAHU</v>
      </c>
      <c r="AC222" s="103">
        <f>if(X222,_xlfn.WORKDAY.INTL(X222,AC$7,"0000001",Holidays!A:A)+hour(X222)/24+MINUTE(X222)/1440,"")</f>
        <v>46164.80486</v>
      </c>
      <c r="AD222" s="104">
        <v>46163.65130957176</v>
      </c>
      <c r="AE222" s="105" t="s">
        <v>14</v>
      </c>
      <c r="AF222" s="111">
        <f t="shared" si="6"/>
        <v>0</v>
      </c>
      <c r="AG222" s="110" t="str">
        <f t="shared" si="7"/>
        <v>EMP0042 HULESHWAR KUMAR SAHU</v>
      </c>
      <c r="AH222" s="103">
        <f>if(AC222,if(and(hour(AC222+AH$7)&gt;9.5,(hour(AC222+AH$7)&lt;19.5)),AC222+AH$7,_xlfn.workday.intl(int(AC222),1,"0000001",Holidays!A:A)+hour(AC222+AH$7-$B$1)/24+minute(AC222)/1440),"")</f>
        <v>46165.42986</v>
      </c>
      <c r="AI222" s="104">
        <v>46163.65139806713</v>
      </c>
      <c r="AJ222" s="105" t="s">
        <v>14</v>
      </c>
      <c r="AK222" s="111">
        <f t="shared" si="8"/>
        <v>0</v>
      </c>
      <c r="AL222" s="112" t="str">
        <f t="shared" si="9"/>
        <v>EMP0042 HULESHWAR KUMAR SAHU</v>
      </c>
      <c r="AM222" s="113"/>
      <c r="AN222" s="114" t="s">
        <v>672</v>
      </c>
      <c r="AO222" s="115"/>
      <c r="AP222" s="115"/>
      <c r="AQ222" s="115"/>
      <c r="AR222" s="115"/>
      <c r="AS222" s="115"/>
      <c r="AT222" s="115"/>
      <c r="AU222" s="115"/>
      <c r="AV222" s="115"/>
      <c r="AW222" s="115"/>
      <c r="AX222" s="115"/>
      <c r="AY222" s="115"/>
    </row>
    <row r="223">
      <c r="A223" s="95">
        <f t="shared" si="11"/>
        <v>5174</v>
      </c>
      <c r="B223" s="96">
        <v>46163.54087226852</v>
      </c>
      <c r="C223" s="97" t="s">
        <v>109</v>
      </c>
      <c r="D223" s="97" t="s">
        <v>142</v>
      </c>
      <c r="E223" s="98" t="s">
        <v>1379</v>
      </c>
      <c r="F223" s="97"/>
      <c r="G223" s="97" t="s">
        <v>168</v>
      </c>
      <c r="H223" s="99" t="s">
        <v>147</v>
      </c>
      <c r="I223" s="100" t="s">
        <v>64</v>
      </c>
      <c r="J223" s="101" t="s">
        <v>141</v>
      </c>
      <c r="K223" s="100"/>
      <c r="L223" s="102" t="s">
        <v>1382</v>
      </c>
      <c r="M223" s="103">
        <f>if(B223,if(and(hour(B223+M$7)&gt;9.5,(hour(B223+M$7)&lt;19.5)),B223+M$7,_xlfn.workday.intl(int(B223),1,"0000001",Holidays!A:A)+hour(B223+M$7-$B$1)/24+minute(B223)/1440),"")</f>
        <v>46163.70754</v>
      </c>
      <c r="N223" s="104">
        <v>46163.55703486111</v>
      </c>
      <c r="O223" s="105" t="s">
        <v>14</v>
      </c>
      <c r="P223" s="106">
        <f t="shared" si="1"/>
        <v>0</v>
      </c>
      <c r="Q223" s="107" t="s">
        <v>15</v>
      </c>
      <c r="R223" s="108" t="s">
        <v>434</v>
      </c>
      <c r="S223" s="103">
        <f>if(M223,if(and(hour(M223+S$7)&gt;9.5,(hour(M223+S$7)&lt;19.5)),M223+S$7,_xlfn.workday.intl(int(M223),1,"0000001",Holidays!A:A)+hour(M223+S$7-$B$1)/24+minute(M223)/1440),"")</f>
        <v>46163.71448</v>
      </c>
      <c r="T223" s="104">
        <v>46163.557154305556</v>
      </c>
      <c r="U223" s="105" t="s">
        <v>14</v>
      </c>
      <c r="V223" s="109">
        <f t="shared" si="2"/>
        <v>0</v>
      </c>
      <c r="W223" s="110" t="str">
        <f t="shared" si="3"/>
        <v>EMP0042 HULESHWAR KUMAR SAHU</v>
      </c>
      <c r="X223" s="103">
        <f>if(S223,if(and(hour(S223+X$7)&gt;9.5,(hour(S223+X$7)&lt;19.5)),S223+X$7,_xlfn.workday.intl(int(S223),1,"0000001",Holidays!A:A)+hour(S223+X$7-$B$1)/24+minute(S223)/1440),"")</f>
        <v>46163.81865</v>
      </c>
      <c r="Y223" s="104">
        <v>46163.55753464121</v>
      </c>
      <c r="Z223" s="105" t="s">
        <v>14</v>
      </c>
      <c r="AA223" s="111">
        <f t="shared" si="4"/>
        <v>0</v>
      </c>
      <c r="AB223" s="110" t="str">
        <f t="shared" si="5"/>
        <v>EMP0042 HULESHWAR KUMAR SAHU</v>
      </c>
      <c r="AC223" s="103">
        <f>if(X223,_xlfn.WORKDAY.INTL(X223,AC$7,"0000001",Holidays!A:A)+hour(X223)/24+MINUTE(X223)/1440,"")</f>
        <v>46164.81806</v>
      </c>
      <c r="AD223" s="104">
        <v>46163.65132449074</v>
      </c>
      <c r="AE223" s="105" t="s">
        <v>14</v>
      </c>
      <c r="AF223" s="111">
        <f t="shared" si="6"/>
        <v>0</v>
      </c>
      <c r="AG223" s="110" t="str">
        <f t="shared" si="7"/>
        <v>EMP0042 HULESHWAR KUMAR SAHU</v>
      </c>
      <c r="AH223" s="103">
        <f>if(AC223,if(and(hour(AC223+AH$7)&gt;9.5,(hour(AC223+AH$7)&lt;19.5)),AC223+AH$7,_xlfn.workday.intl(int(AC223),1,"0000001",Holidays!A:A)+hour(AC223+AH$7-$B$1)/24+minute(AC223)/1440),"")</f>
        <v>46165.44306</v>
      </c>
      <c r="AI223" s="104">
        <v>46164.446637824076</v>
      </c>
      <c r="AJ223" s="105" t="s">
        <v>14</v>
      </c>
      <c r="AK223" s="111">
        <f t="shared" si="8"/>
        <v>0</v>
      </c>
      <c r="AL223" s="112" t="str">
        <f t="shared" si="9"/>
        <v>EMP0042 HULESHWAR KUMAR SAHU</v>
      </c>
      <c r="AM223" s="113"/>
      <c r="AN223" s="114" t="s">
        <v>672</v>
      </c>
      <c r="AO223" s="115"/>
      <c r="AP223" s="115"/>
      <c r="AQ223" s="115"/>
      <c r="AR223" s="115"/>
      <c r="AS223" s="115"/>
      <c r="AT223" s="115"/>
      <c r="AU223" s="115"/>
      <c r="AV223" s="115"/>
      <c r="AW223" s="115"/>
      <c r="AX223" s="115"/>
      <c r="AY223" s="115"/>
    </row>
    <row r="224" ht="57.75" customHeight="1">
      <c r="A224" s="95">
        <f t="shared" si="11"/>
        <v>5175</v>
      </c>
      <c r="B224" s="96">
        <v>46163.55016320602</v>
      </c>
      <c r="C224" s="97" t="s">
        <v>52</v>
      </c>
      <c r="D224" s="97" t="s">
        <v>207</v>
      </c>
      <c r="E224" s="98" t="s">
        <v>1384</v>
      </c>
      <c r="F224" s="97"/>
      <c r="G224" s="97" t="s">
        <v>354</v>
      </c>
      <c r="H224" s="99" t="s">
        <v>62</v>
      </c>
      <c r="I224" s="100" t="s">
        <v>64</v>
      </c>
      <c r="J224" s="101" t="s">
        <v>206</v>
      </c>
      <c r="K224" s="100"/>
      <c r="L224" s="102" t="s">
        <v>1386</v>
      </c>
      <c r="M224" s="103">
        <f>if(B224,if(and(hour(B224+M$7)&gt;9.5,(hour(B224+M$7)&lt;19.5)),B224+M$7,_xlfn.workday.intl(int(B224),1,"0000001",Holidays!A:A)+hour(B224+M$7-$B$1)/24+minute(B224)/1440),"")</f>
        <v>46163.71683</v>
      </c>
      <c r="N224" s="104">
        <v>46163.55721028935</v>
      </c>
      <c r="O224" s="105" t="s">
        <v>14</v>
      </c>
      <c r="P224" s="106">
        <f t="shared" si="1"/>
        <v>0</v>
      </c>
      <c r="Q224" s="107" t="s">
        <v>48</v>
      </c>
      <c r="R224" s="108" t="s">
        <v>434</v>
      </c>
      <c r="S224" s="103">
        <f>if(M224,if(and(hour(M224+S$7)&gt;9.5,(hour(M224+S$7)&lt;19.5)),M224+S$7,_xlfn.workday.intl(int(M224),1,"0000001",Holidays!A:A)+hour(M224+S$7-$B$1)/24+minute(M224)/1440),"")</f>
        <v>46163.72377</v>
      </c>
      <c r="T224" s="104">
        <v>46163.55727723379</v>
      </c>
      <c r="U224" s="105" t="s">
        <v>14</v>
      </c>
      <c r="V224" s="109">
        <f t="shared" si="2"/>
        <v>0</v>
      </c>
      <c r="W224" s="110" t="str">
        <f t="shared" si="3"/>
        <v>EMP0237 Swarnendu Chakraborty</v>
      </c>
      <c r="X224" s="103">
        <f>if(S224,if(and(hour(S224+X$7)&gt;9.5,(hour(S224+X$7)&lt;19.5)),S224+X$7,_xlfn.workday.intl(int(S224),1,"0000001",Holidays!A:A)+hour(S224+X$7-$B$1)/24+minute(S224)/1440),"")</f>
        <v>46163.82794</v>
      </c>
      <c r="Y224" s="104">
        <v>46163.557515196764</v>
      </c>
      <c r="Z224" s="105" t="s">
        <v>14</v>
      </c>
      <c r="AA224" s="111">
        <f t="shared" si="4"/>
        <v>0</v>
      </c>
      <c r="AB224" s="110" t="str">
        <f t="shared" si="5"/>
        <v>EMP0237 Swarnendu Chakraborty</v>
      </c>
      <c r="AC224" s="103">
        <f>if(X224,_xlfn.WORKDAY.INTL(X224,AC$7,"0000001",Holidays!A:A)+hour(X224)/24+MINUTE(X224)/1440,"")</f>
        <v>46164.82778</v>
      </c>
      <c r="AD224" s="104">
        <v>46164.48870826389</v>
      </c>
      <c r="AE224" s="105" t="s">
        <v>14</v>
      </c>
      <c r="AF224" s="111">
        <f t="shared" si="6"/>
        <v>0</v>
      </c>
      <c r="AG224" s="110" t="str">
        <f t="shared" si="7"/>
        <v>EMP0237 Swarnendu Chakraborty</v>
      </c>
      <c r="AH224" s="103">
        <f>if(AC224,if(and(hour(AC224+AH$7)&gt;9.5,(hour(AC224+AH$7)&lt;19.5)),AC224+AH$7,_xlfn.workday.intl(int(AC224),1,"0000001",Holidays!A:A)+hour(AC224+AH$7-$B$1)/24+minute(AC224)/1440),"")</f>
        <v>46165.45278</v>
      </c>
      <c r="AI224" s="104">
        <v>46164.48873629629</v>
      </c>
      <c r="AJ224" s="105" t="s">
        <v>14</v>
      </c>
      <c r="AK224" s="111">
        <f t="shared" si="8"/>
        <v>0</v>
      </c>
      <c r="AL224" s="112" t="str">
        <f t="shared" si="9"/>
        <v>EMP0237 Swarnendu Chakraborty</v>
      </c>
      <c r="AM224" s="113"/>
      <c r="AN224" s="114" t="s">
        <v>672</v>
      </c>
      <c r="AO224" s="115"/>
      <c r="AP224" s="115"/>
      <c r="AQ224" s="115"/>
      <c r="AR224" s="115"/>
      <c r="AS224" s="115"/>
      <c r="AT224" s="115"/>
      <c r="AU224" s="115"/>
      <c r="AV224" s="115"/>
      <c r="AW224" s="115"/>
      <c r="AX224" s="115"/>
      <c r="AY224" s="115"/>
    </row>
    <row r="225">
      <c r="A225" s="95">
        <f t="shared" si="11"/>
        <v>5176</v>
      </c>
      <c r="B225" s="96">
        <v>46163.550371562495</v>
      </c>
      <c r="C225" s="97" t="s">
        <v>1393</v>
      </c>
      <c r="D225" s="97" t="s">
        <v>1388</v>
      </c>
      <c r="E225" s="98" t="s">
        <v>1389</v>
      </c>
      <c r="F225" s="97"/>
      <c r="G225" s="97" t="s">
        <v>1391</v>
      </c>
      <c r="H225" s="99" t="s">
        <v>62</v>
      </c>
      <c r="I225" s="100" t="s">
        <v>64</v>
      </c>
      <c r="J225" s="101" t="s">
        <v>1387</v>
      </c>
      <c r="K225" s="100"/>
      <c r="L225" s="102" t="s">
        <v>1392</v>
      </c>
      <c r="M225" s="103">
        <f>if(B225,if(and(hour(B225+M$7)&gt;9.5,(hour(B225+M$7)&lt;19.5)),B225+M$7,_xlfn.workday.intl(int(B225),1,"0000001",Holidays!A:A)+hour(B225+M$7-$B$1)/24+minute(B225)/1440),"")</f>
        <v>46163.71704</v>
      </c>
      <c r="N225" s="104">
        <v>46163.55735351852</v>
      </c>
      <c r="O225" s="105" t="s">
        <v>14</v>
      </c>
      <c r="P225" s="106">
        <f t="shared" si="1"/>
        <v>0</v>
      </c>
      <c r="Q225" s="107" t="s">
        <v>15</v>
      </c>
      <c r="R225" s="108" t="s">
        <v>434</v>
      </c>
      <c r="S225" s="103">
        <f>if(M225,if(and(hour(M225+S$7)&gt;9.5,(hour(M225+S$7)&lt;19.5)),M225+S$7,_xlfn.workday.intl(int(M225),1,"0000001",Holidays!A:A)+hour(M225+S$7-$B$1)/24+minute(M225)/1440),"")</f>
        <v>46163.72398</v>
      </c>
      <c r="T225" s="104">
        <v>46163.55743826389</v>
      </c>
      <c r="U225" s="105" t="s">
        <v>14</v>
      </c>
      <c r="V225" s="109">
        <f t="shared" si="2"/>
        <v>0</v>
      </c>
      <c r="W225" s="110" t="str">
        <f t="shared" si="3"/>
        <v>EMP0042 HULESHWAR KUMAR SAHU</v>
      </c>
      <c r="X225" s="103">
        <f>if(S225,if(and(hour(S225+X$7)&gt;9.5,(hour(S225+X$7)&lt;19.5)),S225+X$7,_xlfn.workday.intl(int(S225),1,"0000001",Holidays!A:A)+hour(S225+X$7-$B$1)/24+minute(S225)/1440),"")</f>
        <v>46163.82815</v>
      </c>
      <c r="Y225" s="104">
        <v>46163.55749180556</v>
      </c>
      <c r="Z225" s="105" t="s">
        <v>14</v>
      </c>
      <c r="AA225" s="111">
        <f t="shared" si="4"/>
        <v>0</v>
      </c>
      <c r="AB225" s="110" t="str">
        <f t="shared" si="5"/>
        <v>EMP0042 HULESHWAR KUMAR SAHU</v>
      </c>
      <c r="AC225" s="103">
        <f>if(X225,_xlfn.WORKDAY.INTL(X225,AC$7,"0000001",Holidays!A:A)+hour(X225)/24+MINUTE(X225)/1440,"")</f>
        <v>46164.82778</v>
      </c>
      <c r="AD225" s="104">
        <v>46163.651269236114</v>
      </c>
      <c r="AE225" s="105" t="s">
        <v>14</v>
      </c>
      <c r="AF225" s="111">
        <f t="shared" si="6"/>
        <v>0</v>
      </c>
      <c r="AG225" s="110" t="str">
        <f t="shared" si="7"/>
        <v>EMP0042 HULESHWAR KUMAR SAHU</v>
      </c>
      <c r="AH225" s="103">
        <f>if(AC225,if(and(hour(AC225+AH$7)&gt;9.5,(hour(AC225+AH$7)&lt;19.5)),AC225+AH$7,_xlfn.workday.intl(int(AC225),1,"0000001",Holidays!A:A)+hour(AC225+AH$7-$B$1)/24+minute(AC225)/1440),"")</f>
        <v>46165.45278</v>
      </c>
      <c r="AI225" s="104">
        <v>46163.65141716435</v>
      </c>
      <c r="AJ225" s="105" t="s">
        <v>14</v>
      </c>
      <c r="AK225" s="111">
        <f t="shared" si="8"/>
        <v>0</v>
      </c>
      <c r="AL225" s="112" t="str">
        <f t="shared" si="9"/>
        <v>EMP0042 HULESHWAR KUMAR SAHU</v>
      </c>
      <c r="AM225" s="113"/>
      <c r="AN225" s="114" t="s">
        <v>672</v>
      </c>
      <c r="AO225" s="115"/>
      <c r="AP225" s="115"/>
      <c r="AQ225" s="115"/>
      <c r="AR225" s="115"/>
      <c r="AS225" s="115"/>
      <c r="AT225" s="115"/>
      <c r="AU225" s="115"/>
      <c r="AV225" s="115"/>
      <c r="AW225" s="115"/>
      <c r="AX225" s="115"/>
      <c r="AY225" s="115"/>
    </row>
    <row r="226">
      <c r="A226" s="95">
        <f t="shared" si="11"/>
        <v>5177</v>
      </c>
      <c r="B226" s="96">
        <v>46163.68439527778</v>
      </c>
      <c r="C226" s="97" t="s">
        <v>125</v>
      </c>
      <c r="D226" s="97" t="s">
        <v>106</v>
      </c>
      <c r="E226" s="98" t="s">
        <v>1395</v>
      </c>
      <c r="F226" s="98" t="s">
        <v>1401</v>
      </c>
      <c r="G226" s="97" t="s">
        <v>1398</v>
      </c>
      <c r="H226" s="99" t="s">
        <v>1399</v>
      </c>
      <c r="I226" s="100" t="s">
        <v>64</v>
      </c>
      <c r="J226" s="101" t="s">
        <v>105</v>
      </c>
      <c r="K226" s="100"/>
      <c r="L226" s="102" t="s">
        <v>1400</v>
      </c>
      <c r="M226" s="103">
        <f>if(B226,if(and(hour(B226+M$7)&gt;9.5,(hour(B226+M$7)&lt;19.5)),B226+M$7,_xlfn.workday.intl(int(B226),1,"0000001",Holidays!A:A)+hour(B226+M$7-$B$1)/24+minute(B226)/1440),"")</f>
        <v>46164.43403</v>
      </c>
      <c r="N226" s="104">
        <v>46163.70153856481</v>
      </c>
      <c r="O226" s="105" t="s">
        <v>14</v>
      </c>
      <c r="P226" s="106">
        <f t="shared" si="1"/>
        <v>0</v>
      </c>
      <c r="Q226" s="107" t="s">
        <v>72</v>
      </c>
      <c r="R226" s="108" t="s">
        <v>434</v>
      </c>
      <c r="S226" s="103">
        <f>if(M226,if(and(hour(M226+S$7)&gt;9.5,(hour(M226+S$7)&lt;19.5)),M226+S$7,_xlfn.workday.intl(int(M226),1,"0000001",Holidays!A:A)+hour(M226+S$7-$B$1)/24+minute(M226)/1440),"")</f>
        <v>46164.44097</v>
      </c>
      <c r="T226" s="104">
        <v>46163.70168079861</v>
      </c>
      <c r="U226" s="105" t="s">
        <v>14</v>
      </c>
      <c r="V226" s="109">
        <f t="shared" si="2"/>
        <v>0</v>
      </c>
      <c r="W226" s="110" t="str">
        <f t="shared" si="3"/>
        <v>EMP5009 Rup Kumar Mandal</v>
      </c>
      <c r="X226" s="103">
        <f>if(S226,if(and(hour(S226+X$7)&gt;9.5,(hour(S226+X$7)&lt;19.5)),S226+X$7,_xlfn.workday.intl(int(S226),1,"0000001",Holidays!A:A)+hour(S226+X$7-$B$1)/24+minute(S226)/1440),"")</f>
        <v>46164.54514</v>
      </c>
      <c r="Y226" s="104">
        <v>46163.70171496528</v>
      </c>
      <c r="Z226" s="105" t="s">
        <v>14</v>
      </c>
      <c r="AA226" s="111">
        <f t="shared" si="4"/>
        <v>0</v>
      </c>
      <c r="AB226" s="110" t="str">
        <f t="shared" si="5"/>
        <v>EMP5009 Rup Kumar Mandal</v>
      </c>
      <c r="AC226" s="103">
        <f>if(X226,_xlfn.WORKDAY.INTL(X226,AC$7,"0000001",Holidays!A:A)+hour(X226)/24+MINUTE(X226)/1440,"")</f>
        <v>46165.54514</v>
      </c>
      <c r="AD226" s="104">
        <v>46163.799596550925</v>
      </c>
      <c r="AE226" s="105" t="s">
        <v>14</v>
      </c>
      <c r="AF226" s="111">
        <f t="shared" si="6"/>
        <v>0</v>
      </c>
      <c r="AG226" s="110" t="str">
        <f t="shared" si="7"/>
        <v>EMP5009 Rup Kumar Mandal</v>
      </c>
      <c r="AH226" s="103">
        <f>if(AC226,if(and(hour(AC226+AH$7)&gt;9.5,(hour(AC226+AH$7)&lt;19.5)),AC226+AH$7,_xlfn.workday.intl(int(AC226),1,"0000001",Holidays!A:A)+hour(AC226+AH$7-$B$1)/24+minute(AC226)/1440),"")</f>
        <v>46165.58681</v>
      </c>
      <c r="AI226" s="104">
        <v>46164.42407569445</v>
      </c>
      <c r="AJ226" s="105" t="s">
        <v>14</v>
      </c>
      <c r="AK226" s="111">
        <f t="shared" si="8"/>
        <v>0</v>
      </c>
      <c r="AL226" s="112" t="str">
        <f t="shared" si="9"/>
        <v>EMP5009 Rup Kumar Mandal</v>
      </c>
      <c r="AM226" s="113"/>
      <c r="AN226" s="114" t="s">
        <v>672</v>
      </c>
      <c r="AO226" s="115"/>
      <c r="AP226" s="115"/>
      <c r="AQ226" s="115"/>
      <c r="AR226" s="115"/>
      <c r="AS226" s="115"/>
      <c r="AT226" s="115"/>
      <c r="AU226" s="115"/>
      <c r="AV226" s="115"/>
      <c r="AW226" s="115"/>
      <c r="AX226" s="115"/>
      <c r="AY226" s="115"/>
    </row>
    <row r="227">
      <c r="A227" s="95">
        <f t="shared" si="11"/>
        <v>5178</v>
      </c>
      <c r="B227" s="96">
        <v>46163.685991782404</v>
      </c>
      <c r="C227" s="97" t="s">
        <v>996</v>
      </c>
      <c r="D227" s="97" t="s">
        <v>106</v>
      </c>
      <c r="E227" s="98" t="s">
        <v>1404</v>
      </c>
      <c r="F227" s="98" t="s">
        <v>1411</v>
      </c>
      <c r="G227" s="97" t="s">
        <v>1407</v>
      </c>
      <c r="H227" s="99" t="s">
        <v>62</v>
      </c>
      <c r="I227" s="100" t="s">
        <v>64</v>
      </c>
      <c r="J227" s="101" t="s">
        <v>105</v>
      </c>
      <c r="K227" s="100"/>
      <c r="L227" s="102" t="s">
        <v>1409</v>
      </c>
      <c r="M227" s="103">
        <f>if(B227,if(and(hour(B227+M$7)&gt;9.5,(hour(B227+M$7)&lt;19.5)),B227+M$7,_xlfn.workday.intl(int(B227),1,"0000001",Holidays!A:A)+hour(B227+M$7-$B$1)/24+minute(B227)/1440),"")</f>
        <v>46164.43542</v>
      </c>
      <c r="N227" s="104">
        <v>46163.70154789352</v>
      </c>
      <c r="O227" s="105" t="s">
        <v>14</v>
      </c>
      <c r="P227" s="106">
        <f t="shared" si="1"/>
        <v>0</v>
      </c>
      <c r="Q227" s="107" t="s">
        <v>72</v>
      </c>
      <c r="R227" s="108" t="s">
        <v>434</v>
      </c>
      <c r="S227" s="103">
        <f>if(M227,if(and(hour(M227+S$7)&gt;9.5,(hour(M227+S$7)&lt;19.5)),M227+S$7,_xlfn.workday.intl(int(M227),1,"0000001",Holidays!A:A)+hour(M227+S$7-$B$1)/24+minute(M227)/1440),"")</f>
        <v>46164.44236</v>
      </c>
      <c r="T227" s="104">
        <v>46163.70169041667</v>
      </c>
      <c r="U227" s="105" t="s">
        <v>14</v>
      </c>
      <c r="V227" s="109">
        <f t="shared" si="2"/>
        <v>0</v>
      </c>
      <c r="W227" s="110" t="str">
        <f t="shared" si="3"/>
        <v>EMP5009 Rup Kumar Mandal</v>
      </c>
      <c r="X227" s="103">
        <f>if(S227,if(and(hour(S227+X$7)&gt;9.5,(hour(S227+X$7)&lt;19.5)),S227+X$7,_xlfn.workday.intl(int(S227),1,"0000001",Holidays!A:A)+hour(S227+X$7-$B$1)/24+minute(S227)/1440),"")</f>
        <v>46164.54653</v>
      </c>
      <c r="Y227" s="104">
        <v>46164.44635886574</v>
      </c>
      <c r="Z227" s="105" t="s">
        <v>14</v>
      </c>
      <c r="AA227" s="111">
        <f t="shared" si="4"/>
        <v>0</v>
      </c>
      <c r="AB227" s="110" t="str">
        <f t="shared" si="5"/>
        <v>EMP5009 Rup Kumar Mandal</v>
      </c>
      <c r="AC227" s="103">
        <f>if(X227,_xlfn.WORKDAY.INTL(X227,AC$7,"0000001",Holidays!A:A)+hour(X227)/24+MINUTE(X227)/1440,"")</f>
        <v>46165.54653</v>
      </c>
      <c r="AD227" s="104">
        <v>46163.79955898148</v>
      </c>
      <c r="AE227" s="105" t="s">
        <v>14</v>
      </c>
      <c r="AF227" s="111">
        <f t="shared" si="6"/>
        <v>0</v>
      </c>
      <c r="AG227" s="110" t="str">
        <f t="shared" si="7"/>
        <v>EMP5009 Rup Kumar Mandal</v>
      </c>
      <c r="AH227" s="103">
        <f>if(AC227,if(and(hour(AC227+AH$7)&gt;9.5,(hour(AC227+AH$7)&lt;19.5)),AC227+AH$7,_xlfn.workday.intl(int(AC227),1,"0000001",Holidays!A:A)+hour(AC227+AH$7-$B$1)/24+minute(AC227)/1440),"")</f>
        <v>46165.58819</v>
      </c>
      <c r="AI227" s="104">
        <v>46164.42409100695</v>
      </c>
      <c r="AJ227" s="105" t="s">
        <v>14</v>
      </c>
      <c r="AK227" s="111">
        <f t="shared" si="8"/>
        <v>0</v>
      </c>
      <c r="AL227" s="112" t="str">
        <f t="shared" si="9"/>
        <v>EMP5009 Rup Kumar Mandal</v>
      </c>
      <c r="AM227" s="113"/>
      <c r="AN227" s="114" t="s">
        <v>672</v>
      </c>
      <c r="AO227" s="115"/>
      <c r="AP227" s="115"/>
      <c r="AQ227" s="115"/>
      <c r="AR227" s="115"/>
      <c r="AS227" s="115"/>
      <c r="AT227" s="115"/>
      <c r="AU227" s="115"/>
      <c r="AV227" s="115"/>
      <c r="AW227" s="115"/>
      <c r="AX227" s="115"/>
      <c r="AY227" s="115"/>
    </row>
    <row r="228">
      <c r="A228" s="95">
        <f t="shared" si="11"/>
        <v>5179</v>
      </c>
      <c r="B228" s="96">
        <v>46163.706183773145</v>
      </c>
      <c r="C228" s="97" t="s">
        <v>1000</v>
      </c>
      <c r="D228" s="97" t="s">
        <v>1414</v>
      </c>
      <c r="E228" s="98" t="s">
        <v>1415</v>
      </c>
      <c r="F228" s="97"/>
      <c r="G228" s="97" t="s">
        <v>1418</v>
      </c>
      <c r="H228" s="99" t="s">
        <v>126</v>
      </c>
      <c r="I228" s="100" t="s">
        <v>64</v>
      </c>
      <c r="J228" s="101" t="s">
        <v>1178</v>
      </c>
      <c r="K228" s="100"/>
      <c r="L228" s="102" t="s">
        <v>1419</v>
      </c>
      <c r="M228" s="103">
        <f>if(B228,if(and(hour(B228+M$7)&gt;9.5,(hour(B228+M$7)&lt;19.5)),B228+M$7,_xlfn.workday.intl(int(B228),1,"0000001",Holidays!A:A)+hour(B228+M$7-$B$1)/24+minute(B228)/1440),"")</f>
        <v>46164.45556</v>
      </c>
      <c r="N228" s="104">
        <v>46163.746767743054</v>
      </c>
      <c r="O228" s="105" t="s">
        <v>14</v>
      </c>
      <c r="P228" s="106">
        <f t="shared" si="1"/>
        <v>0</v>
      </c>
      <c r="Q228" s="107" t="s">
        <v>15</v>
      </c>
      <c r="R228" s="108" t="s">
        <v>434</v>
      </c>
      <c r="S228" s="103">
        <f>if(M228,if(and(hour(M228+S$7)&gt;9.5,(hour(M228+S$7)&lt;19.5)),M228+S$7,_xlfn.workday.intl(int(M228),1,"0000001",Holidays!A:A)+hour(M228+S$7-$B$1)/24+minute(M228)/1440),"")</f>
        <v>46164.4625</v>
      </c>
      <c r="T228" s="104">
        <v>46163.74683670139</v>
      </c>
      <c r="U228" s="105" t="s">
        <v>14</v>
      </c>
      <c r="V228" s="109">
        <f t="shared" si="2"/>
        <v>0</v>
      </c>
      <c r="W228" s="110" t="str">
        <f t="shared" si="3"/>
        <v>EMP0042 HULESHWAR KUMAR SAHU</v>
      </c>
      <c r="X228" s="103">
        <f>if(S228,if(and(hour(S228+X$7)&gt;9.5,(hour(S228+X$7)&lt;19.5)),S228+X$7,_xlfn.workday.intl(int(S228),1,"0000001",Holidays!A:A)+hour(S228+X$7-$B$1)/24+minute(S228)/1440),"")</f>
        <v>46164.56667</v>
      </c>
      <c r="Y228" s="104">
        <v>46163.74686762731</v>
      </c>
      <c r="Z228" s="105" t="s">
        <v>14</v>
      </c>
      <c r="AA228" s="111">
        <f t="shared" si="4"/>
        <v>0</v>
      </c>
      <c r="AB228" s="110" t="str">
        <f t="shared" si="5"/>
        <v>EMP0042 HULESHWAR KUMAR SAHU</v>
      </c>
      <c r="AC228" s="103">
        <f>if(X228,_xlfn.WORKDAY.INTL(X228,AC$7,"0000001",Holidays!A:A)+hour(X228)/24+MINUTE(X228)/1440,"")</f>
        <v>46165.56667</v>
      </c>
      <c r="AD228" s="104">
        <v>46163.80844681713</v>
      </c>
      <c r="AE228" s="105" t="s">
        <v>14</v>
      </c>
      <c r="AF228" s="111">
        <f t="shared" si="6"/>
        <v>0</v>
      </c>
      <c r="AG228" s="110" t="str">
        <f t="shared" si="7"/>
        <v>EMP0042 HULESHWAR KUMAR SAHU</v>
      </c>
      <c r="AH228" s="103">
        <f>if(AC228,if(and(hour(AC228+AH$7)&gt;9.5,(hour(AC228+AH$7)&lt;19.5)),AC228+AH$7,_xlfn.workday.intl(int(AC228),1,"0000001",Holidays!A:A)+hour(AC228+AH$7-$B$1)/24+minute(AC228)/1440),"")</f>
        <v>46165.60833</v>
      </c>
      <c r="AI228" s="104">
        <v>46163.808476087965</v>
      </c>
      <c r="AJ228" s="105" t="s">
        <v>14</v>
      </c>
      <c r="AK228" s="111">
        <f t="shared" si="8"/>
        <v>0</v>
      </c>
      <c r="AL228" s="112" t="str">
        <f t="shared" si="9"/>
        <v>EMP0042 HULESHWAR KUMAR SAHU</v>
      </c>
      <c r="AM228" s="113"/>
      <c r="AN228" s="114" t="s">
        <v>672</v>
      </c>
      <c r="AO228" s="115"/>
      <c r="AP228" s="115"/>
      <c r="AQ228" s="115"/>
      <c r="AR228" s="115"/>
      <c r="AS228" s="115"/>
      <c r="AT228" s="115"/>
      <c r="AU228" s="115"/>
      <c r="AV228" s="115"/>
      <c r="AW228" s="115"/>
      <c r="AX228" s="115"/>
      <c r="AY228" s="115"/>
    </row>
    <row r="229">
      <c r="A229" s="95">
        <f t="shared" si="11"/>
        <v>5180</v>
      </c>
      <c r="B229" s="96">
        <v>46163.7570021412</v>
      </c>
      <c r="C229" s="97" t="s">
        <v>1003</v>
      </c>
      <c r="D229" s="97" t="s">
        <v>186</v>
      </c>
      <c r="E229" s="98" t="s">
        <v>1421</v>
      </c>
      <c r="F229" s="97"/>
      <c r="G229" s="97" t="s">
        <v>1426</v>
      </c>
      <c r="H229" s="99" t="s">
        <v>62</v>
      </c>
      <c r="I229" s="100" t="s">
        <v>139</v>
      </c>
      <c r="J229" s="101" t="s">
        <v>1420</v>
      </c>
      <c r="K229" s="100"/>
      <c r="L229" s="102" t="s">
        <v>1003</v>
      </c>
      <c r="M229" s="103">
        <f>if(B229,if(and(hour(B229+M$7)&gt;9.5,(hour(B229+M$7)&lt;19.5)),B229+M$7,_xlfn.workday.intl(int(B229),1,"0000001",Holidays!A:A)+hour(B229+M$7-$B$1)/24+minute(B229)/1440),"")</f>
        <v>46164.50694</v>
      </c>
      <c r="N229" s="104">
        <v>46163.79924601852</v>
      </c>
      <c r="O229" s="105" t="s">
        <v>14</v>
      </c>
      <c r="P229" s="106">
        <f t="shared" si="1"/>
        <v>0</v>
      </c>
      <c r="Q229" s="107" t="s">
        <v>72</v>
      </c>
      <c r="R229" s="108" t="s">
        <v>434</v>
      </c>
      <c r="S229" s="103">
        <f>if(M229,if(and(hour(M229+S$7)&gt;9.5,(hour(M229+S$7)&lt;19.5)),M229+S$7,_xlfn.workday.intl(int(M229),1,"0000001",Holidays!A:A)+hour(M229+S$7-$B$1)/24+minute(M229)/1440),"")</f>
        <v>46164.51389</v>
      </c>
      <c r="T229" s="104">
        <v>46163.79938041666</v>
      </c>
      <c r="U229" s="105" t="s">
        <v>14</v>
      </c>
      <c r="V229" s="109">
        <f t="shared" si="2"/>
        <v>0</v>
      </c>
      <c r="W229" s="110" t="str">
        <f t="shared" si="3"/>
        <v>EMP5009 Rup Kumar Mandal</v>
      </c>
      <c r="X229" s="103">
        <f>if(S229,if(and(hour(S229+X$7)&gt;9.5,(hour(S229+X$7)&lt;19.5)),S229+X$7,_xlfn.workday.intl(int(S229),1,"0000001",Holidays!A:A)+hour(S229+X$7-$B$1)/24+minute(S229)/1440),"")</f>
        <v>46164.61806</v>
      </c>
      <c r="Y229" s="104">
        <v>46163.799453113425</v>
      </c>
      <c r="Z229" s="105" t="s">
        <v>14</v>
      </c>
      <c r="AA229" s="111">
        <f t="shared" si="4"/>
        <v>0</v>
      </c>
      <c r="AB229" s="110" t="str">
        <f t="shared" si="5"/>
        <v>EMP5009 Rup Kumar Mandal</v>
      </c>
      <c r="AC229" s="103">
        <f>if(X229,_xlfn.WORKDAY.INTL(X229,AC$7,"0000001",Holidays!A:A)+hour(X229)/24+MINUTE(X229)/1440,"")</f>
        <v>46165.61806</v>
      </c>
      <c r="AD229" s="104">
        <v>46163.79949480324</v>
      </c>
      <c r="AE229" s="105" t="s">
        <v>14</v>
      </c>
      <c r="AF229" s="111">
        <f t="shared" si="6"/>
        <v>0</v>
      </c>
      <c r="AG229" s="110" t="str">
        <f t="shared" si="7"/>
        <v>EMP5009 Rup Kumar Mandal</v>
      </c>
      <c r="AH229" s="103">
        <f>if(AC229,if(and(hour(AC229+AH$7)&gt;9.5,(hour(AC229+AH$7)&lt;19.5)),AC229+AH$7,_xlfn.workday.intl(int(AC229),1,"0000001",Holidays!A:A)+hour(AC229+AH$7-$B$1)/24+minute(AC229)/1440),"")</f>
        <v>46165.65972</v>
      </c>
      <c r="AI229" s="104">
        <v>46164.42414809028</v>
      </c>
      <c r="AJ229" s="105" t="s">
        <v>14</v>
      </c>
      <c r="AK229" s="111">
        <f t="shared" si="8"/>
        <v>0</v>
      </c>
      <c r="AL229" s="112" t="str">
        <f t="shared" si="9"/>
        <v>EMP5009 Rup Kumar Mandal</v>
      </c>
      <c r="AM229" s="113"/>
      <c r="AN229" s="114" t="s">
        <v>672</v>
      </c>
      <c r="AO229" s="115"/>
      <c r="AP229" s="115"/>
      <c r="AQ229" s="115"/>
      <c r="AR229" s="115"/>
      <c r="AS229" s="115"/>
      <c r="AT229" s="115"/>
      <c r="AU229" s="115"/>
      <c r="AV229" s="115"/>
      <c r="AW229" s="115"/>
      <c r="AX229" s="115"/>
      <c r="AY229" s="115"/>
    </row>
    <row r="230">
      <c r="A230" s="95">
        <f t="shared" si="11"/>
        <v>5181</v>
      </c>
      <c r="B230" s="96">
        <v>46163.79504473379</v>
      </c>
      <c r="C230" s="97" t="s">
        <v>1008</v>
      </c>
      <c r="D230" s="97" t="s">
        <v>122</v>
      </c>
      <c r="E230" s="98" t="s">
        <v>1428</v>
      </c>
      <c r="F230" s="98" t="s">
        <v>1432</v>
      </c>
      <c r="G230" s="97" t="s">
        <v>1008</v>
      </c>
      <c r="H230" s="99" t="s">
        <v>147</v>
      </c>
      <c r="I230" s="100" t="s">
        <v>64</v>
      </c>
      <c r="J230" s="101" t="s">
        <v>121</v>
      </c>
      <c r="K230" s="100"/>
      <c r="L230" s="102" t="s">
        <v>1431</v>
      </c>
      <c r="M230" s="103">
        <f>if(B230,if(and(hour(B230+M$7)&gt;9.5,(hour(B230+M$7)&lt;19.5)),B230+M$7,_xlfn.workday.intl(int(B230),1,"0000001",Holidays!A:A)+hour(B230+M$7-$B$1)/24+minute(B230)/1440),"")</f>
        <v>46164.54444</v>
      </c>
      <c r="N230" s="104">
        <v>46163.807949525464</v>
      </c>
      <c r="O230" s="105" t="s">
        <v>14</v>
      </c>
      <c r="P230" s="106">
        <f t="shared" si="1"/>
        <v>0</v>
      </c>
      <c r="Q230" s="107" t="s">
        <v>15</v>
      </c>
      <c r="R230" s="108" t="s">
        <v>434</v>
      </c>
      <c r="S230" s="103">
        <f>if(M230,if(and(hour(M230+S$7)&gt;9.5,(hour(M230+S$7)&lt;19.5)),M230+S$7,_xlfn.workday.intl(int(M230),1,"0000001",Holidays!A:A)+hour(M230+S$7-$B$1)/24+minute(M230)/1440),"")</f>
        <v>46164.55139</v>
      </c>
      <c r="T230" s="104">
        <v>46163.80800751157</v>
      </c>
      <c r="U230" s="105" t="s">
        <v>14</v>
      </c>
      <c r="V230" s="109">
        <f t="shared" si="2"/>
        <v>0</v>
      </c>
      <c r="W230" s="110" t="str">
        <f t="shared" si="3"/>
        <v>EMP0042 HULESHWAR KUMAR SAHU</v>
      </c>
      <c r="X230" s="103">
        <f>if(S230,if(and(hour(S230+X$7)&gt;9.5,(hour(S230+X$7)&lt;19.5)),S230+X$7,_xlfn.workday.intl(int(S230),1,"0000001",Holidays!A:A)+hour(S230+X$7-$B$1)/24+minute(S230)/1440),"")</f>
        <v>46164.65556</v>
      </c>
      <c r="Y230" s="104">
        <v>46163.80807886574</v>
      </c>
      <c r="Z230" s="105" t="s">
        <v>14</v>
      </c>
      <c r="AA230" s="111">
        <f t="shared" si="4"/>
        <v>0</v>
      </c>
      <c r="AB230" s="110" t="str">
        <f t="shared" si="5"/>
        <v>EMP0042 HULESHWAR KUMAR SAHU</v>
      </c>
      <c r="AC230" s="103">
        <f>if(X230,_xlfn.WORKDAY.INTL(X230,AC$7,"0000001",Holidays!A:A)+hour(X230)/24+MINUTE(X230)/1440,"")</f>
        <v>46165.65556</v>
      </c>
      <c r="AD230" s="104">
        <v>46163.808176666666</v>
      </c>
      <c r="AE230" s="105" t="s">
        <v>14</v>
      </c>
      <c r="AF230" s="111">
        <f t="shared" si="6"/>
        <v>0</v>
      </c>
      <c r="AG230" s="110" t="str">
        <f t="shared" si="7"/>
        <v>EMP0042 HULESHWAR KUMAR SAHU</v>
      </c>
      <c r="AH230" s="103">
        <f>if(AC230,if(and(hour(AC230+AH$7)&gt;9.5,(hour(AC230+AH$7)&lt;19.5)),AC230+AH$7,_xlfn.workday.intl(int(AC230),1,"0000001",Holidays!A:A)+hour(AC230+AH$7-$B$1)/24+minute(AC230)/1440),"")</f>
        <v>46165.69722</v>
      </c>
      <c r="AI230" s="104">
        <v>46163.80849431713</v>
      </c>
      <c r="AJ230" s="105" t="s">
        <v>14</v>
      </c>
      <c r="AK230" s="111">
        <f t="shared" si="8"/>
        <v>0</v>
      </c>
      <c r="AL230" s="112" t="str">
        <f t="shared" si="9"/>
        <v>EMP0042 HULESHWAR KUMAR SAHU</v>
      </c>
      <c r="AM230" s="113"/>
      <c r="AN230" s="114" t="s">
        <v>672</v>
      </c>
      <c r="AO230" s="115"/>
      <c r="AP230" s="115"/>
      <c r="AQ230" s="115"/>
      <c r="AR230" s="115"/>
      <c r="AS230" s="115"/>
      <c r="AT230" s="115"/>
      <c r="AU230" s="115"/>
      <c r="AV230" s="115"/>
      <c r="AW230" s="115"/>
      <c r="AX230" s="115"/>
      <c r="AY230" s="115"/>
    </row>
    <row r="231">
      <c r="A231" s="95">
        <f t="shared" si="11"/>
        <v>5182</v>
      </c>
      <c r="B231" s="96">
        <v>46164.49989491898</v>
      </c>
      <c r="C231" s="97" t="s">
        <v>52</v>
      </c>
      <c r="D231" s="97" t="s">
        <v>207</v>
      </c>
      <c r="E231" s="98" t="s">
        <v>1435</v>
      </c>
      <c r="F231" s="98" t="s">
        <v>1439</v>
      </c>
      <c r="G231" s="97" t="s">
        <v>211</v>
      </c>
      <c r="H231" s="99" t="s">
        <v>147</v>
      </c>
      <c r="I231" s="100" t="s">
        <v>64</v>
      </c>
      <c r="J231" s="101" t="s">
        <v>206</v>
      </c>
      <c r="K231" s="100"/>
      <c r="L231" s="102" t="s">
        <v>1438</v>
      </c>
      <c r="M231" s="103">
        <f>if(B231,if(and(hour(B231+M$7)&gt;9.5,(hour(B231+M$7)&lt;19.5)),B231+M$7,_xlfn.workday.intl(int(B231),1,"0000001",Holidays!A:A)+hour(B231+M$7-$B$1)/24+minute(B231)/1440),"")</f>
        <v>46164.66656</v>
      </c>
      <c r="N231" s="104">
        <v>46164.60374734954</v>
      </c>
      <c r="O231" s="105" t="s">
        <v>14</v>
      </c>
      <c r="P231" s="106">
        <f t="shared" si="1"/>
        <v>0</v>
      </c>
      <c r="Q231" s="107" t="s">
        <v>48</v>
      </c>
      <c r="R231" s="108" t="s">
        <v>434</v>
      </c>
      <c r="S231" s="103">
        <f>if(M231,if(and(hour(M231+S$7)&gt;9.5,(hour(M231+S$7)&lt;19.5)),M231+S$7,_xlfn.workday.intl(int(M231),1,"0000001",Holidays!A:A)+hour(M231+S$7-$B$1)/24+minute(M231)/1440),"")</f>
        <v>46164.67351</v>
      </c>
      <c r="T231" s="104">
        <v>46164.60382798611</v>
      </c>
      <c r="U231" s="105" t="s">
        <v>14</v>
      </c>
      <c r="V231" s="109">
        <f t="shared" si="2"/>
        <v>0</v>
      </c>
      <c r="W231" s="110" t="str">
        <f t="shared" si="3"/>
        <v>EMP0237 Swarnendu Chakraborty</v>
      </c>
      <c r="X231" s="103">
        <f>if(S231,if(and(hour(S231+X$7)&gt;9.5,(hour(S231+X$7)&lt;19.5)),S231+X$7,_xlfn.workday.intl(int(S231),1,"0000001",Holidays!A:A)+hour(S231+X$7-$B$1)/24+minute(S231)/1440),"")</f>
        <v>46164.77767</v>
      </c>
      <c r="Y231" s="104">
        <v>46164.603925752315</v>
      </c>
      <c r="Z231" s="105" t="s">
        <v>14</v>
      </c>
      <c r="AA231" s="111">
        <f t="shared" si="4"/>
        <v>0</v>
      </c>
      <c r="AB231" s="110" t="str">
        <f t="shared" si="5"/>
        <v>EMP0237 Swarnendu Chakraborty</v>
      </c>
      <c r="AC231" s="118">
        <v>46167.48541666667</v>
      </c>
      <c r="AD231" s="104">
        <v>46167.443592905096</v>
      </c>
      <c r="AE231" s="105" t="s">
        <v>14</v>
      </c>
      <c r="AF231" s="111">
        <f t="shared" si="6"/>
        <v>0</v>
      </c>
      <c r="AG231" s="110" t="str">
        <f t="shared" si="7"/>
        <v>EMP0237 Swarnendu Chakraborty</v>
      </c>
      <c r="AH231" s="103">
        <f>if(AC231,if(and(hour(AC231+AH$7)&gt;9.5,(hour(AC231+AH$7)&lt;19.5)),AC231+AH$7,_xlfn.workday.intl(int(AC231),1,"0000001",Holidays!A:A)+hour(AC231+AH$7-$B$1)/24+minute(AC231)/1440),"")</f>
        <v>46167.52708</v>
      </c>
      <c r="AI231" s="104">
        <v>46167.44362553241</v>
      </c>
      <c r="AJ231" s="105" t="s">
        <v>14</v>
      </c>
      <c r="AK231" s="111">
        <f t="shared" si="8"/>
        <v>0</v>
      </c>
      <c r="AL231" s="112" t="str">
        <f t="shared" si="9"/>
        <v>EMP0237 Swarnendu Chakraborty</v>
      </c>
      <c r="AM231" s="113"/>
      <c r="AN231" s="114" t="s">
        <v>672</v>
      </c>
      <c r="AO231" s="115"/>
      <c r="AP231" s="115"/>
      <c r="AQ231" s="115"/>
      <c r="AR231" s="115"/>
      <c r="AS231" s="115"/>
      <c r="AT231" s="115"/>
      <c r="AU231" s="115"/>
      <c r="AV231" s="115"/>
      <c r="AW231" s="115"/>
      <c r="AX231" s="115"/>
      <c r="AY231" s="115"/>
    </row>
    <row r="232">
      <c r="A232" s="95">
        <f t="shared" si="11"/>
        <v>5183</v>
      </c>
      <c r="B232" s="96">
        <v>46164.65107033565</v>
      </c>
      <c r="C232" s="97" t="s">
        <v>1447</v>
      </c>
      <c r="D232" s="97" t="s">
        <v>186</v>
      </c>
      <c r="E232" s="98" t="s">
        <v>1442</v>
      </c>
      <c r="F232" s="97"/>
      <c r="G232" s="97" t="s">
        <v>1445</v>
      </c>
      <c r="H232" s="99" t="s">
        <v>126</v>
      </c>
      <c r="I232" s="100" t="s">
        <v>64</v>
      </c>
      <c r="J232" s="101" t="s">
        <v>303</v>
      </c>
      <c r="K232" s="100"/>
      <c r="L232" s="102" t="s">
        <v>1446</v>
      </c>
      <c r="M232" s="103">
        <f>if(B232,if(and(hour(B232+M$7)&gt;9.5,(hour(B232+M$7)&lt;19.5)),B232+M$7,_xlfn.workday.intl(int(B232),1,"0000001",Holidays!A:A)+hour(B232+M$7-$B$1)/24+minute(B232)/1440),"")</f>
        <v>46164.81774</v>
      </c>
      <c r="N232" s="104">
        <v>46164.755703055554</v>
      </c>
      <c r="O232" s="105" t="s">
        <v>14</v>
      </c>
      <c r="P232" s="106">
        <f t="shared" si="1"/>
        <v>0</v>
      </c>
      <c r="Q232" s="107" t="s">
        <v>15</v>
      </c>
      <c r="R232" s="108" t="s">
        <v>434</v>
      </c>
      <c r="S232" s="103">
        <f>if(M232,if(and(hour(M232+S$7)&gt;9.5,(hour(M232+S$7)&lt;19.5)),M232+S$7,_xlfn.workday.intl(int(M232),1,"0000001",Holidays!A:A)+hour(M232+S$7-$B$1)/24+minute(M232)/1440),"")</f>
        <v>46164.82468</v>
      </c>
      <c r="T232" s="104">
        <v>46164.75580333333</v>
      </c>
      <c r="U232" s="105" t="s">
        <v>14</v>
      </c>
      <c r="V232" s="109">
        <f t="shared" si="2"/>
        <v>0</v>
      </c>
      <c r="W232" s="110" t="str">
        <f t="shared" si="3"/>
        <v>EMP0042 HULESHWAR KUMAR SAHU</v>
      </c>
      <c r="X232" s="103">
        <f>if(S232,if(and(hour(S232+X$7)&gt;9.5,(hour(S232+X$7)&lt;19.5)),S232+X$7,_xlfn.workday.intl(int(S232),1,"0000001",Holidays!A:A)+hour(S232+X$7-$B$1)/24+minute(S232)/1440),"")</f>
        <v>46165.53264</v>
      </c>
      <c r="Y232" s="104">
        <v>46164.755871030095</v>
      </c>
      <c r="Z232" s="105" t="s">
        <v>14</v>
      </c>
      <c r="AA232" s="111">
        <f t="shared" si="4"/>
        <v>0</v>
      </c>
      <c r="AB232" s="110" t="str">
        <f t="shared" si="5"/>
        <v>EMP0042 HULESHWAR KUMAR SAHU</v>
      </c>
      <c r="AC232" s="103">
        <f>if(X232,_xlfn.WORKDAY.INTL(X232,AC$7,"0000001",Holidays!A:A)+hour(X232)/24+MINUTE(X232)/1440,"")</f>
        <v>46167.53264</v>
      </c>
      <c r="AD232" s="104">
        <v>46164.75604501157</v>
      </c>
      <c r="AE232" s="105" t="s">
        <v>14</v>
      </c>
      <c r="AF232" s="111">
        <f t="shared" si="6"/>
        <v>0</v>
      </c>
      <c r="AG232" s="110" t="str">
        <f t="shared" si="7"/>
        <v>EMP0042 HULESHWAR KUMAR SAHU</v>
      </c>
      <c r="AH232" s="103">
        <f>if(AC232,if(and(hour(AC232+AH$7)&gt;9.5,(hour(AC232+AH$7)&lt;19.5)),AC232+AH$7,_xlfn.workday.intl(int(AC232),1,"0000001",Holidays!A:A)+hour(AC232+AH$7-$B$1)/24+minute(AC232)/1440),"")</f>
        <v>46167.57431</v>
      </c>
      <c r="AI232" s="104">
        <v>46164.756105567125</v>
      </c>
      <c r="AJ232" s="105" t="s">
        <v>14</v>
      </c>
      <c r="AK232" s="111">
        <f t="shared" si="8"/>
        <v>0</v>
      </c>
      <c r="AL232" s="112" t="str">
        <f t="shared" si="9"/>
        <v>EMP0042 HULESHWAR KUMAR SAHU</v>
      </c>
      <c r="AM232" s="113"/>
      <c r="AN232" s="114" t="s">
        <v>672</v>
      </c>
      <c r="AO232" s="115"/>
      <c r="AP232" s="115"/>
      <c r="AQ232" s="115"/>
      <c r="AR232" s="115"/>
      <c r="AS232" s="115"/>
      <c r="AT232" s="115"/>
      <c r="AU232" s="115"/>
      <c r="AV232" s="115"/>
      <c r="AW232" s="115"/>
      <c r="AX232" s="115"/>
      <c r="AY232" s="115"/>
    </row>
    <row r="233">
      <c r="A233" s="95">
        <f t="shared" si="11"/>
        <v>5184</v>
      </c>
      <c r="B233" s="96">
        <v>46164.66358166667</v>
      </c>
      <c r="C233" s="97" t="s">
        <v>1018</v>
      </c>
      <c r="D233" s="97" t="s">
        <v>1300</v>
      </c>
      <c r="E233" s="98" t="s">
        <v>1450</v>
      </c>
      <c r="F233" s="97"/>
      <c r="G233" s="97" t="s">
        <v>1309</v>
      </c>
      <c r="H233" s="99" t="s">
        <v>103</v>
      </c>
      <c r="I233" s="100" t="s">
        <v>64</v>
      </c>
      <c r="J233" s="101" t="s">
        <v>662</v>
      </c>
      <c r="K233" s="100"/>
      <c r="L233" s="102" t="s">
        <v>1453</v>
      </c>
      <c r="M233" s="103">
        <f>if(B233,if(and(hour(B233+M$7)&gt;9.5,(hour(B233+M$7)&lt;19.5)),B233+M$7,_xlfn.workday.intl(int(B233),1,"0000001",Holidays!A:A)+hour(B233+M$7-$B$1)/24+minute(B233)/1440),"")</f>
        <v>46164.83025</v>
      </c>
      <c r="N233" s="104">
        <v>46164.6908425463</v>
      </c>
      <c r="O233" s="105" t="s">
        <v>14</v>
      </c>
      <c r="P233" s="106">
        <f t="shared" si="1"/>
        <v>0</v>
      </c>
      <c r="Q233" s="107" t="s">
        <v>72</v>
      </c>
      <c r="R233" s="108" t="s">
        <v>434</v>
      </c>
      <c r="S233" s="103">
        <f>if(M233,if(and(hour(M233+S$7)&gt;9.5,(hour(M233+S$7)&lt;19.5)),M233+S$7,_xlfn.workday.intl(int(M233),1,"0000001",Holidays!A:A)+hour(M233+S$7-$B$1)/24+minute(M233)/1440),"")</f>
        <v>46165.45486</v>
      </c>
      <c r="T233" s="104">
        <v>46164.69114805556</v>
      </c>
      <c r="U233" s="105" t="s">
        <v>14</v>
      </c>
      <c r="V233" s="109">
        <f t="shared" si="2"/>
        <v>0</v>
      </c>
      <c r="W233" s="110" t="str">
        <f t="shared" si="3"/>
        <v>EMP5009 Rup Kumar Mandal</v>
      </c>
      <c r="X233" s="103">
        <f>if(S233,if(and(hour(S233+X$7)&gt;9.5,(hour(S233+X$7)&lt;19.5)),S233+X$7,_xlfn.workday.intl(int(S233),1,"0000001",Holidays!A:A)+hour(S233+X$7-$B$1)/24+minute(S233)/1440),"")</f>
        <v>46165.55903</v>
      </c>
      <c r="Y233" s="104">
        <v>46164.691309270835</v>
      </c>
      <c r="Z233" s="105" t="s">
        <v>14</v>
      </c>
      <c r="AA233" s="111">
        <f t="shared" si="4"/>
        <v>0</v>
      </c>
      <c r="AB233" s="110" t="str">
        <f t="shared" si="5"/>
        <v>EMP5009 Rup Kumar Mandal</v>
      </c>
      <c r="AC233" s="103">
        <f>if(X233,_xlfn.WORKDAY.INTL(X233,AC$7,"0000001",Holidays!A:A)+hour(X233)/24+MINUTE(X233)/1440,"")</f>
        <v>46167.55903</v>
      </c>
      <c r="AD233" s="104">
        <v>46165.4616687963</v>
      </c>
      <c r="AE233" s="105" t="s">
        <v>14</v>
      </c>
      <c r="AF233" s="111">
        <f t="shared" si="6"/>
        <v>0</v>
      </c>
      <c r="AG233" s="110" t="str">
        <f t="shared" si="7"/>
        <v>EMP5009 Rup Kumar Mandal</v>
      </c>
      <c r="AH233" s="103">
        <f>if(AC233,if(and(hour(AC233+AH$7)&gt;9.5,(hour(AC233+AH$7)&lt;19.5)),AC233+AH$7,_xlfn.workday.intl(int(AC233),1,"0000001",Holidays!A:A)+hour(AC233+AH$7-$B$1)/24+minute(AC233)/1440),"")</f>
        <v>46167.60069</v>
      </c>
      <c r="AI233" s="104">
        <v>46165.46175820602</v>
      </c>
      <c r="AJ233" s="105" t="s">
        <v>14</v>
      </c>
      <c r="AK233" s="111">
        <f t="shared" si="8"/>
        <v>0</v>
      </c>
      <c r="AL233" s="112" t="str">
        <f t="shared" si="9"/>
        <v>EMP5009 Rup Kumar Mandal</v>
      </c>
      <c r="AM233" s="113"/>
      <c r="AN233" s="114" t="s">
        <v>672</v>
      </c>
      <c r="AO233" s="115"/>
      <c r="AP233" s="115"/>
      <c r="AQ233" s="115"/>
      <c r="AR233" s="115"/>
      <c r="AS233" s="115"/>
      <c r="AT233" s="115"/>
      <c r="AU233" s="115"/>
      <c r="AV233" s="115"/>
      <c r="AW233" s="115"/>
      <c r="AX233" s="115"/>
      <c r="AY233" s="115"/>
    </row>
    <row r="234">
      <c r="A234" s="95">
        <f t="shared" si="11"/>
        <v>5185</v>
      </c>
      <c r="B234" s="96">
        <v>46164.66527032407</v>
      </c>
      <c r="C234" s="97" t="s">
        <v>1021</v>
      </c>
      <c r="D234" s="97" t="s">
        <v>207</v>
      </c>
      <c r="E234" s="98" t="s">
        <v>1454</v>
      </c>
      <c r="F234" s="98" t="s">
        <v>1458</v>
      </c>
      <c r="G234" s="97" t="s">
        <v>211</v>
      </c>
      <c r="H234" s="99" t="s">
        <v>62</v>
      </c>
      <c r="I234" s="100" t="s">
        <v>64</v>
      </c>
      <c r="J234" s="101" t="s">
        <v>206</v>
      </c>
      <c r="K234" s="100"/>
      <c r="L234" s="102" t="s">
        <v>1457</v>
      </c>
      <c r="M234" s="103">
        <f>if(B234,if(and(hour(B234+M$7)&gt;9.5,(hour(B234+M$7)&lt;19.5)),B234+M$7,_xlfn.workday.intl(int(B234),1,"0000001",Holidays!A:A)+hour(B234+M$7-$B$1)/24+minute(B234)/1440),"")</f>
        <v>46164.83194</v>
      </c>
      <c r="N234" s="104">
        <v>46164.69085648148</v>
      </c>
      <c r="O234" s="105" t="s">
        <v>14</v>
      </c>
      <c r="P234" s="106">
        <f t="shared" si="1"/>
        <v>0</v>
      </c>
      <c r="Q234" s="107" t="s">
        <v>72</v>
      </c>
      <c r="R234" s="108" t="s">
        <v>434</v>
      </c>
      <c r="S234" s="103">
        <f>if(M234,if(and(hour(M234+S$7)&gt;9.5,(hour(M234+S$7)&lt;19.5)),M234+S$7,_xlfn.workday.intl(int(M234),1,"0000001",Holidays!A:A)+hour(M234+S$7-$B$1)/24+minute(M234)/1440),"")</f>
        <v>46165.45625</v>
      </c>
      <c r="T234" s="104">
        <v>46164.69114805556</v>
      </c>
      <c r="U234" s="105" t="s">
        <v>14</v>
      </c>
      <c r="V234" s="109">
        <f t="shared" si="2"/>
        <v>0</v>
      </c>
      <c r="W234" s="110" t="str">
        <f t="shared" si="3"/>
        <v>EMP5009 Rup Kumar Mandal</v>
      </c>
      <c r="X234" s="103">
        <f>if(S234,if(and(hour(S234+X$7)&gt;9.5,(hour(S234+X$7)&lt;19.5)),S234+X$7,_xlfn.workday.intl(int(S234),1,"0000001",Holidays!A:A)+hour(S234+X$7-$B$1)/24+minute(S234)/1440),"")</f>
        <v>46165.56042</v>
      </c>
      <c r="Y234" s="104">
        <v>46164.691309444446</v>
      </c>
      <c r="Z234" s="105" t="s">
        <v>14</v>
      </c>
      <c r="AA234" s="111">
        <f t="shared" si="4"/>
        <v>0</v>
      </c>
      <c r="AB234" s="110" t="str">
        <f t="shared" si="5"/>
        <v>EMP5009 Rup Kumar Mandal</v>
      </c>
      <c r="AC234" s="103">
        <f>if(X234,_xlfn.WORKDAY.INTL(X234,AC$7,"0000001",Holidays!A:A)+hour(X234)/24+MINUTE(X234)/1440,"")</f>
        <v>46167.56042</v>
      </c>
      <c r="AD234" s="104">
        <v>46165.46168548611</v>
      </c>
      <c r="AE234" s="105" t="s">
        <v>14</v>
      </c>
      <c r="AF234" s="111">
        <f t="shared" si="6"/>
        <v>0</v>
      </c>
      <c r="AG234" s="110" t="str">
        <f t="shared" si="7"/>
        <v>EMP5009 Rup Kumar Mandal</v>
      </c>
      <c r="AH234" s="103">
        <f>if(AC234,if(and(hour(AC234+AH$7)&gt;9.5,(hour(AC234+AH$7)&lt;19.5)),AC234+AH$7,_xlfn.workday.intl(int(AC234),1,"0000001",Holidays!A:A)+hour(AC234+AH$7-$B$1)/24+minute(AC234)/1440),"")</f>
        <v>46167.60208</v>
      </c>
      <c r="AI234" s="104">
        <v>46165.46175820602</v>
      </c>
      <c r="AJ234" s="105" t="s">
        <v>14</v>
      </c>
      <c r="AK234" s="111">
        <f t="shared" si="8"/>
        <v>0</v>
      </c>
      <c r="AL234" s="112" t="str">
        <f t="shared" si="9"/>
        <v>EMP5009 Rup Kumar Mandal</v>
      </c>
      <c r="AM234" s="113"/>
      <c r="AN234" s="114" t="s">
        <v>672</v>
      </c>
      <c r="AO234" s="115"/>
      <c r="AP234" s="115"/>
      <c r="AQ234" s="115"/>
      <c r="AR234" s="115"/>
      <c r="AS234" s="115"/>
      <c r="AT234" s="115"/>
      <c r="AU234" s="115"/>
      <c r="AV234" s="115"/>
      <c r="AW234" s="115"/>
      <c r="AX234" s="115"/>
      <c r="AY234" s="115"/>
    </row>
    <row r="235">
      <c r="A235" s="95">
        <f t="shared" si="11"/>
        <v>5186</v>
      </c>
      <c r="B235" s="96">
        <v>46164.66583699074</v>
      </c>
      <c r="C235" s="97" t="s">
        <v>1464</v>
      </c>
      <c r="D235" s="97" t="s">
        <v>1300</v>
      </c>
      <c r="E235" s="98" t="s">
        <v>1460</v>
      </c>
      <c r="F235" s="97"/>
      <c r="G235" s="97" t="s">
        <v>941</v>
      </c>
      <c r="H235" s="99" t="s">
        <v>147</v>
      </c>
      <c r="I235" s="100" t="s">
        <v>64</v>
      </c>
      <c r="J235" s="101" t="s">
        <v>662</v>
      </c>
      <c r="K235" s="100"/>
      <c r="L235" s="102" t="s">
        <v>1463</v>
      </c>
      <c r="M235" s="103">
        <f>if(B235,if(and(hour(B235+M$7)&gt;9.5,(hour(B235+M$7)&lt;19.5)),B235+M$7,_xlfn.workday.intl(int(B235),1,"0000001",Holidays!A:A)+hour(B235+M$7-$B$1)/24+minute(B235)/1440),"")</f>
        <v>46164.8325</v>
      </c>
      <c r="N235" s="104">
        <v>46164.69086989583</v>
      </c>
      <c r="O235" s="105" t="s">
        <v>14</v>
      </c>
      <c r="P235" s="106">
        <f t="shared" si="1"/>
        <v>0</v>
      </c>
      <c r="Q235" s="107" t="s">
        <v>72</v>
      </c>
      <c r="R235" s="108" t="s">
        <v>434</v>
      </c>
      <c r="S235" s="103">
        <f>if(M235,if(and(hour(M235+S$7)&gt;9.5,(hour(M235+S$7)&lt;19.5)),M235+S$7,_xlfn.workday.intl(int(M235),1,"0000001",Holidays!A:A)+hour(M235+S$7-$B$1)/24+minute(M235)/1440),"")</f>
        <v>46165.45694</v>
      </c>
      <c r="T235" s="104">
        <v>46164.69114805556</v>
      </c>
      <c r="U235" s="105" t="s">
        <v>14</v>
      </c>
      <c r="V235" s="109">
        <f t="shared" si="2"/>
        <v>0</v>
      </c>
      <c r="W235" s="110" t="str">
        <f t="shared" si="3"/>
        <v>EMP5009 Rup Kumar Mandal</v>
      </c>
      <c r="X235" s="103">
        <f>if(S235,if(and(hour(S235+X$7)&gt;9.5,(hour(S235+X$7)&lt;19.5)),S235+X$7,_xlfn.workday.intl(int(S235),1,"0000001",Holidays!A:A)+hour(S235+X$7-$B$1)/24+minute(S235)/1440),"")</f>
        <v>46165.56111</v>
      </c>
      <c r="Y235" s="104">
        <v>46164.691309444446</v>
      </c>
      <c r="Z235" s="105" t="s">
        <v>14</v>
      </c>
      <c r="AA235" s="111">
        <f t="shared" si="4"/>
        <v>0</v>
      </c>
      <c r="AB235" s="110" t="str">
        <f t="shared" si="5"/>
        <v>EMP5009 Rup Kumar Mandal</v>
      </c>
      <c r="AC235" s="103">
        <f>if(X235,_xlfn.WORKDAY.INTL(X235,AC$7,"0000001",Holidays!A:A)+hour(X235)/24+MINUTE(X235)/1440,"")</f>
        <v>46167.56111</v>
      </c>
      <c r="AD235" s="104">
        <v>46165.49507925926</v>
      </c>
      <c r="AE235" s="105" t="s">
        <v>14</v>
      </c>
      <c r="AF235" s="111">
        <f t="shared" si="6"/>
        <v>0</v>
      </c>
      <c r="AG235" s="110" t="str">
        <f t="shared" si="7"/>
        <v>EMP5009 Rup Kumar Mandal</v>
      </c>
      <c r="AH235" s="103">
        <f>if(AC235,if(and(hour(AC235+AH$7)&gt;9.5,(hour(AC235+AH$7)&lt;19.5)),AC235+AH$7,_xlfn.workday.intl(int(AC235),1,"0000001",Holidays!A:A)+hour(AC235+AH$7-$B$1)/24+minute(AC235)/1440),"")</f>
        <v>46167.60278</v>
      </c>
      <c r="AI235" s="104">
        <v>46165.46175820602</v>
      </c>
      <c r="AJ235" s="105" t="s">
        <v>14</v>
      </c>
      <c r="AK235" s="111">
        <f t="shared" si="8"/>
        <v>0</v>
      </c>
      <c r="AL235" s="112" t="str">
        <f t="shared" si="9"/>
        <v>EMP5009 Rup Kumar Mandal</v>
      </c>
      <c r="AM235" s="113"/>
      <c r="AN235" s="114" t="s">
        <v>672</v>
      </c>
      <c r="AO235" s="115"/>
      <c r="AP235" s="115"/>
      <c r="AQ235" s="115"/>
      <c r="AR235" s="115"/>
      <c r="AS235" s="115"/>
      <c r="AT235" s="115"/>
      <c r="AU235" s="115"/>
      <c r="AV235" s="115"/>
      <c r="AW235" s="115"/>
      <c r="AX235" s="115"/>
      <c r="AY235" s="115"/>
    </row>
    <row r="236">
      <c r="A236" s="95">
        <f t="shared" si="11"/>
        <v>5187</v>
      </c>
      <c r="B236" s="96">
        <v>46164.67012203704</v>
      </c>
      <c r="C236" s="97" t="s">
        <v>1027</v>
      </c>
      <c r="D236" s="97" t="s">
        <v>1300</v>
      </c>
      <c r="E236" s="98" t="s">
        <v>1465</v>
      </c>
      <c r="F236" s="97"/>
      <c r="G236" s="97" t="s">
        <v>1468</v>
      </c>
      <c r="H236" s="99" t="s">
        <v>103</v>
      </c>
      <c r="I236" s="100" t="s">
        <v>64</v>
      </c>
      <c r="J236" s="101" t="s">
        <v>662</v>
      </c>
      <c r="K236" s="100"/>
      <c r="L236" s="102" t="s">
        <v>1469</v>
      </c>
      <c r="M236" s="103">
        <f>if(B236,if(and(hour(B236+M$7)&gt;9.5,(hour(B236+M$7)&lt;19.5)),B236+M$7,_xlfn.workday.intl(int(B236),1,"0000001",Holidays!A:A)+hour(B236+M$7-$B$1)/24+minute(B236)/1440),"")</f>
        <v>46165.41944</v>
      </c>
      <c r="N236" s="104">
        <v>46164.69086989583</v>
      </c>
      <c r="O236" s="105" t="s">
        <v>14</v>
      </c>
      <c r="P236" s="106">
        <f t="shared" si="1"/>
        <v>0</v>
      </c>
      <c r="Q236" s="107" t="s">
        <v>72</v>
      </c>
      <c r="R236" s="108" t="s">
        <v>434</v>
      </c>
      <c r="S236" s="103">
        <f>if(M236,if(and(hour(M236+S$7)&gt;9.5,(hour(M236+S$7)&lt;19.5)),M236+S$7,_xlfn.workday.intl(int(M236),1,"0000001",Holidays!A:A)+hour(M236+S$7-$B$1)/24+minute(M236)/1440),"")</f>
        <v>46165.42639</v>
      </c>
      <c r="T236" s="104">
        <v>46164.69114805556</v>
      </c>
      <c r="U236" s="105" t="s">
        <v>14</v>
      </c>
      <c r="V236" s="109">
        <f t="shared" si="2"/>
        <v>0</v>
      </c>
      <c r="W236" s="110" t="str">
        <f t="shared" si="3"/>
        <v>EMP5009 Rup Kumar Mandal</v>
      </c>
      <c r="X236" s="103">
        <f>if(S236,if(and(hour(S236+X$7)&gt;9.5,(hour(S236+X$7)&lt;19.5)),S236+X$7,_xlfn.workday.intl(int(S236),1,"0000001",Holidays!A:A)+hour(S236+X$7-$B$1)/24+minute(S236)/1440),"")</f>
        <v>46165.53056</v>
      </c>
      <c r="Y236" s="104">
        <v>46164.691309444446</v>
      </c>
      <c r="Z236" s="105" t="s">
        <v>14</v>
      </c>
      <c r="AA236" s="111">
        <f t="shared" si="4"/>
        <v>0</v>
      </c>
      <c r="AB236" s="110" t="str">
        <f t="shared" si="5"/>
        <v>EMP5009 Rup Kumar Mandal</v>
      </c>
      <c r="AC236" s="103">
        <f>if(X236,_xlfn.WORKDAY.INTL(X236,AC$7,"0000001",Holidays!A:A)+hour(X236)/24+MINUTE(X236)/1440,"")</f>
        <v>46167.53056</v>
      </c>
      <c r="AD236" s="104">
        <v>46165.495086423616</v>
      </c>
      <c r="AE236" s="105" t="s">
        <v>14</v>
      </c>
      <c r="AF236" s="111">
        <f t="shared" si="6"/>
        <v>0</v>
      </c>
      <c r="AG236" s="110" t="str">
        <f t="shared" si="7"/>
        <v>EMP5009 Rup Kumar Mandal</v>
      </c>
      <c r="AH236" s="103">
        <f>if(AC236,if(and(hour(AC236+AH$7)&gt;9.5,(hour(AC236+AH$7)&lt;19.5)),AC236+AH$7,_xlfn.workday.intl(int(AC236),1,"0000001",Holidays!A:A)+hour(AC236+AH$7-$B$1)/24+minute(AC236)/1440),"")</f>
        <v>46167.57222</v>
      </c>
      <c r="AI236" s="104">
        <v>46165.461766238426</v>
      </c>
      <c r="AJ236" s="105" t="s">
        <v>14</v>
      </c>
      <c r="AK236" s="111">
        <f t="shared" si="8"/>
        <v>0</v>
      </c>
      <c r="AL236" s="112" t="str">
        <f t="shared" si="9"/>
        <v>EMP5009 Rup Kumar Mandal</v>
      </c>
      <c r="AM236" s="113"/>
      <c r="AN236" s="114" t="s">
        <v>672</v>
      </c>
      <c r="AO236" s="115"/>
      <c r="AP236" s="115"/>
      <c r="AQ236" s="115"/>
      <c r="AR236" s="115"/>
      <c r="AS236" s="115"/>
      <c r="AT236" s="115"/>
      <c r="AU236" s="115"/>
      <c r="AV236" s="115"/>
      <c r="AW236" s="115"/>
      <c r="AX236" s="115"/>
      <c r="AY236" s="115"/>
    </row>
    <row r="237">
      <c r="A237" s="95">
        <f t="shared" si="11"/>
        <v>5188</v>
      </c>
      <c r="B237" s="96">
        <v>46164.67168168981</v>
      </c>
      <c r="C237" s="97" t="s">
        <v>1027</v>
      </c>
      <c r="D237" s="97" t="s">
        <v>1300</v>
      </c>
      <c r="E237" s="98" t="s">
        <v>1472</v>
      </c>
      <c r="F237" s="97"/>
      <c r="G237" s="97" t="s">
        <v>644</v>
      </c>
      <c r="H237" s="99" t="s">
        <v>62</v>
      </c>
      <c r="I237" s="100" t="s">
        <v>64</v>
      </c>
      <c r="J237" s="101" t="s">
        <v>662</v>
      </c>
      <c r="K237" s="100"/>
      <c r="L237" s="102" t="s">
        <v>1474</v>
      </c>
      <c r="M237" s="103">
        <f>if(B237,if(and(hour(B237+M$7)&gt;9.5,(hour(B237+M$7)&lt;19.5)),B237+M$7,_xlfn.workday.intl(int(B237),1,"0000001",Holidays!A:A)+hour(B237+M$7-$B$1)/24+minute(B237)/1440),"")</f>
        <v>46165.42153</v>
      </c>
      <c r="N237" s="104">
        <v>46164.69086989583</v>
      </c>
      <c r="O237" s="105" t="s">
        <v>14</v>
      </c>
      <c r="P237" s="106">
        <f t="shared" si="1"/>
        <v>0</v>
      </c>
      <c r="Q237" s="107" t="s">
        <v>72</v>
      </c>
      <c r="R237" s="108" t="s">
        <v>434</v>
      </c>
      <c r="S237" s="103">
        <f>if(M237,if(and(hour(M237+S$7)&gt;9.5,(hour(M237+S$7)&lt;19.5)),M237+S$7,_xlfn.workday.intl(int(M237),1,"0000001",Holidays!A:A)+hour(M237+S$7-$B$1)/24+minute(M237)/1440),"")</f>
        <v>46165.42847</v>
      </c>
      <c r="T237" s="104">
        <v>46164.69116174769</v>
      </c>
      <c r="U237" s="105" t="s">
        <v>14</v>
      </c>
      <c r="V237" s="109">
        <f t="shared" si="2"/>
        <v>0</v>
      </c>
      <c r="W237" s="110" t="str">
        <f t="shared" si="3"/>
        <v>EMP5009 Rup Kumar Mandal</v>
      </c>
      <c r="X237" s="103">
        <f>if(S237,if(and(hour(S237+X$7)&gt;9.5,(hour(S237+X$7)&lt;19.5)),S237+X$7,_xlfn.workday.intl(int(S237),1,"0000001",Holidays!A:A)+hour(S237+X$7-$B$1)/24+minute(S237)/1440),"")</f>
        <v>46165.53264</v>
      </c>
      <c r="Y237" s="104">
        <v>46164.691309444446</v>
      </c>
      <c r="Z237" s="105" t="s">
        <v>14</v>
      </c>
      <c r="AA237" s="111">
        <f t="shared" si="4"/>
        <v>0</v>
      </c>
      <c r="AB237" s="110" t="str">
        <f t="shared" si="5"/>
        <v>EMP5009 Rup Kumar Mandal</v>
      </c>
      <c r="AC237" s="103">
        <f>if(X237,_xlfn.WORKDAY.INTL(X237,AC$7,"0000001",Holidays!A:A)+hour(X237)/24+MINUTE(X237)/1440,"")</f>
        <v>46167.53264</v>
      </c>
      <c r="AD237" s="104">
        <v>46165.46170341435</v>
      </c>
      <c r="AE237" s="105" t="s">
        <v>14</v>
      </c>
      <c r="AF237" s="111">
        <f t="shared" si="6"/>
        <v>0</v>
      </c>
      <c r="AG237" s="110" t="str">
        <f t="shared" si="7"/>
        <v>EMP5009 Rup Kumar Mandal</v>
      </c>
      <c r="AH237" s="103">
        <f>if(AC237,if(and(hour(AC237+AH$7)&gt;9.5,(hour(AC237+AH$7)&lt;19.5)),AC237+AH$7,_xlfn.workday.intl(int(AC237),1,"0000001",Holidays!A:A)+hour(AC237+AH$7-$B$1)/24+minute(AC237)/1440),"")</f>
        <v>46167.57431</v>
      </c>
      <c r="AI237" s="104">
        <v>46165.461766238426</v>
      </c>
      <c r="AJ237" s="105" t="s">
        <v>14</v>
      </c>
      <c r="AK237" s="111">
        <f t="shared" si="8"/>
        <v>0</v>
      </c>
      <c r="AL237" s="112" t="str">
        <f t="shared" si="9"/>
        <v>EMP5009 Rup Kumar Mandal</v>
      </c>
      <c r="AM237" s="113"/>
      <c r="AN237" s="114" t="s">
        <v>672</v>
      </c>
      <c r="AO237" s="115"/>
      <c r="AP237" s="115"/>
      <c r="AQ237" s="115"/>
      <c r="AR237" s="115"/>
      <c r="AS237" s="115"/>
      <c r="AT237" s="115"/>
      <c r="AU237" s="115"/>
      <c r="AV237" s="115"/>
      <c r="AW237" s="115"/>
      <c r="AX237" s="115"/>
      <c r="AY237" s="115"/>
    </row>
    <row r="238">
      <c r="A238" s="95">
        <f t="shared" si="11"/>
        <v>5189</v>
      </c>
      <c r="B238" s="96">
        <v>46164.67395311342</v>
      </c>
      <c r="C238" s="97" t="s">
        <v>96</v>
      </c>
      <c r="D238" s="97" t="s">
        <v>1300</v>
      </c>
      <c r="E238" s="98" t="s">
        <v>1475</v>
      </c>
      <c r="F238" s="97"/>
      <c r="G238" s="97" t="s">
        <v>674</v>
      </c>
      <c r="H238" s="99" t="s">
        <v>147</v>
      </c>
      <c r="I238" s="100" t="s">
        <v>64</v>
      </c>
      <c r="J238" s="101" t="s">
        <v>662</v>
      </c>
      <c r="K238" s="100"/>
      <c r="L238" s="102" t="s">
        <v>1477</v>
      </c>
      <c r="M238" s="103">
        <f>if(B238,if(and(hour(B238+M$7)&gt;9.5,(hour(B238+M$7)&lt;19.5)),B238+M$7,_xlfn.workday.intl(int(B238),1,"0000001",Holidays!A:A)+hour(B238+M$7-$B$1)/24+minute(B238)/1440),"")</f>
        <v>46165.42361</v>
      </c>
      <c r="N238" s="104">
        <v>46164.69086989583</v>
      </c>
      <c r="O238" s="105" t="s">
        <v>14</v>
      </c>
      <c r="P238" s="106">
        <f t="shared" si="1"/>
        <v>0</v>
      </c>
      <c r="Q238" s="107" t="s">
        <v>72</v>
      </c>
      <c r="R238" s="108" t="s">
        <v>434</v>
      </c>
      <c r="S238" s="103">
        <f>if(M238,if(and(hour(M238+S$7)&gt;9.5,(hour(M238+S$7)&lt;19.5)),M238+S$7,_xlfn.workday.intl(int(M238),1,"0000001",Holidays!A:A)+hour(M238+S$7-$B$1)/24+minute(M238)/1440),"")</f>
        <v>46165.43056</v>
      </c>
      <c r="T238" s="104">
        <v>46164.69119167824</v>
      </c>
      <c r="U238" s="105" t="s">
        <v>14</v>
      </c>
      <c r="V238" s="109">
        <f t="shared" si="2"/>
        <v>0</v>
      </c>
      <c r="W238" s="110" t="str">
        <f t="shared" si="3"/>
        <v>EMP5009 Rup Kumar Mandal</v>
      </c>
      <c r="X238" s="103">
        <f>if(S238,if(and(hour(S238+X$7)&gt;9.5,(hour(S238+X$7)&lt;19.5)),S238+X$7,_xlfn.workday.intl(int(S238),1,"0000001",Holidays!A:A)+hour(S238+X$7-$B$1)/24+minute(S238)/1440),"")</f>
        <v>46165.53472</v>
      </c>
      <c r="Y238" s="104">
        <v>46164.691309444446</v>
      </c>
      <c r="Z238" s="105" t="s">
        <v>14</v>
      </c>
      <c r="AA238" s="111">
        <f t="shared" si="4"/>
        <v>0</v>
      </c>
      <c r="AB238" s="110" t="str">
        <f t="shared" si="5"/>
        <v>EMP5009 Rup Kumar Mandal</v>
      </c>
      <c r="AC238" s="103">
        <f>if(X238,_xlfn.WORKDAY.INTL(X238,AC$7,"0000001",Holidays!A:A)+hour(X238)/24+MINUTE(X238)/1440,"")</f>
        <v>46167.53472</v>
      </c>
      <c r="AD238" s="104">
        <v>46165.49510583333</v>
      </c>
      <c r="AE238" s="105" t="s">
        <v>14</v>
      </c>
      <c r="AF238" s="111">
        <f t="shared" si="6"/>
        <v>0</v>
      </c>
      <c r="AG238" s="110" t="str">
        <f t="shared" si="7"/>
        <v>EMP5009 Rup Kumar Mandal</v>
      </c>
      <c r="AH238" s="103">
        <f>if(AC238,if(and(hour(AC238+AH$7)&gt;9.5,(hour(AC238+AH$7)&lt;19.5)),AC238+AH$7,_xlfn.workday.intl(int(AC238),1,"0000001",Holidays!A:A)+hour(AC238+AH$7-$B$1)/24+minute(AC238)/1440),"")</f>
        <v>46167.57639</v>
      </c>
      <c r="AI238" s="104">
        <v>46165.461766238426</v>
      </c>
      <c r="AJ238" s="105" t="s">
        <v>14</v>
      </c>
      <c r="AK238" s="111">
        <f t="shared" si="8"/>
        <v>0</v>
      </c>
      <c r="AL238" s="112" t="str">
        <f t="shared" si="9"/>
        <v>EMP5009 Rup Kumar Mandal</v>
      </c>
      <c r="AM238" s="113"/>
      <c r="AN238" s="114" t="s">
        <v>672</v>
      </c>
      <c r="AO238" s="115"/>
      <c r="AP238" s="115"/>
      <c r="AQ238" s="115"/>
      <c r="AR238" s="115"/>
      <c r="AS238" s="115"/>
      <c r="AT238" s="115"/>
      <c r="AU238" s="115"/>
      <c r="AV238" s="115"/>
      <c r="AW238" s="115"/>
      <c r="AX238" s="115"/>
      <c r="AY238" s="115"/>
    </row>
    <row r="239">
      <c r="A239" s="95">
        <f t="shared" si="11"/>
        <v>5190</v>
      </c>
      <c r="B239" s="96">
        <v>46164.68086972222</v>
      </c>
      <c r="C239" s="97" t="s">
        <v>1036</v>
      </c>
      <c r="D239" s="97" t="s">
        <v>1300</v>
      </c>
      <c r="E239" s="98" t="s">
        <v>1478</v>
      </c>
      <c r="F239" s="97"/>
      <c r="G239" s="97" t="s">
        <v>674</v>
      </c>
      <c r="H239" s="99" t="s">
        <v>1144</v>
      </c>
      <c r="I239" s="100" t="s">
        <v>64</v>
      </c>
      <c r="J239" s="101" t="s">
        <v>662</v>
      </c>
      <c r="K239" s="100"/>
      <c r="L239" s="102" t="s">
        <v>1481</v>
      </c>
      <c r="M239" s="103">
        <f>if(B239,if(and(hour(B239+M$7)&gt;9.5,(hour(B239+M$7)&lt;19.5)),B239+M$7,_xlfn.workday.intl(int(B239),1,"0000001",Holidays!A:A)+hour(B239+M$7-$B$1)/24+minute(B239)/1440),"")</f>
        <v>46165.43056</v>
      </c>
      <c r="N239" s="104">
        <v>46164.69088552083</v>
      </c>
      <c r="O239" s="105" t="s">
        <v>14</v>
      </c>
      <c r="P239" s="106">
        <f t="shared" si="1"/>
        <v>0</v>
      </c>
      <c r="Q239" s="107" t="s">
        <v>72</v>
      </c>
      <c r="R239" s="108" t="s">
        <v>434</v>
      </c>
      <c r="S239" s="103">
        <f>if(M239,if(and(hour(M239+S$7)&gt;9.5,(hour(M239+S$7)&lt;19.5)),M239+S$7,_xlfn.workday.intl(int(M239),1,"0000001",Holidays!A:A)+hour(M239+S$7-$B$1)/24+minute(M239)/1440),"")</f>
        <v>46165.4375</v>
      </c>
      <c r="T239" s="104">
        <v>46164.691198506946</v>
      </c>
      <c r="U239" s="105" t="s">
        <v>14</v>
      </c>
      <c r="V239" s="109">
        <f t="shared" si="2"/>
        <v>0</v>
      </c>
      <c r="W239" s="110" t="str">
        <f t="shared" si="3"/>
        <v>EMP5009 Rup Kumar Mandal</v>
      </c>
      <c r="X239" s="103">
        <f>if(S239,if(and(hour(S239+X$7)&gt;9.5,(hour(S239+X$7)&lt;19.5)),S239+X$7,_xlfn.workday.intl(int(S239),1,"0000001",Holidays!A:A)+hour(S239+X$7-$B$1)/24+minute(S239)/1440),"")</f>
        <v>46165.54167</v>
      </c>
      <c r="Y239" s="104">
        <v>46164.691309444446</v>
      </c>
      <c r="Z239" s="105" t="s">
        <v>14</v>
      </c>
      <c r="AA239" s="111">
        <f t="shared" si="4"/>
        <v>0</v>
      </c>
      <c r="AB239" s="110" t="str">
        <f t="shared" si="5"/>
        <v>EMP5009 Rup Kumar Mandal</v>
      </c>
      <c r="AC239" s="103">
        <f>if(X239,_xlfn.WORKDAY.INTL(X239,AC$7,"0000001",Holidays!A:A)+hour(X239)/24+MINUTE(X239)/1440,"")</f>
        <v>46167.54167</v>
      </c>
      <c r="AD239" s="104">
        <v>46165.49511614583</v>
      </c>
      <c r="AE239" s="105" t="s">
        <v>14</v>
      </c>
      <c r="AF239" s="111">
        <f t="shared" si="6"/>
        <v>0</v>
      </c>
      <c r="AG239" s="110" t="str">
        <f t="shared" si="7"/>
        <v>EMP5009 Rup Kumar Mandal</v>
      </c>
      <c r="AH239" s="103">
        <f>if(AC239,if(and(hour(AC239+AH$7)&gt;9.5,(hour(AC239+AH$7)&lt;19.5)),AC239+AH$7,_xlfn.workday.intl(int(AC239),1,"0000001",Holidays!A:A)+hour(AC239+AH$7-$B$1)/24+minute(AC239)/1440),"")</f>
        <v>46167.58333</v>
      </c>
      <c r="AI239" s="104">
        <v>46165.461774386575</v>
      </c>
      <c r="AJ239" s="105" t="s">
        <v>14</v>
      </c>
      <c r="AK239" s="111">
        <f t="shared" si="8"/>
        <v>0</v>
      </c>
      <c r="AL239" s="112" t="str">
        <f t="shared" si="9"/>
        <v>EMP5009 Rup Kumar Mandal</v>
      </c>
      <c r="AM239" s="113"/>
      <c r="AN239" s="114" t="s">
        <v>672</v>
      </c>
      <c r="AO239" s="115"/>
      <c r="AP239" s="115"/>
      <c r="AQ239" s="115"/>
      <c r="AR239" s="115"/>
      <c r="AS239" s="115"/>
      <c r="AT239" s="115"/>
      <c r="AU239" s="115"/>
      <c r="AV239" s="115"/>
      <c r="AW239" s="115"/>
      <c r="AX239" s="115"/>
      <c r="AY239" s="115"/>
    </row>
    <row r="240">
      <c r="A240" s="95">
        <f t="shared" si="11"/>
        <v>5191</v>
      </c>
      <c r="B240" s="96">
        <v>46164.68218055555</v>
      </c>
      <c r="C240" s="97" t="s">
        <v>1041</v>
      </c>
      <c r="D240" s="97" t="s">
        <v>1300</v>
      </c>
      <c r="E240" s="98" t="s">
        <v>1482</v>
      </c>
      <c r="F240" s="97"/>
      <c r="G240" s="97" t="s">
        <v>674</v>
      </c>
      <c r="H240" s="99" t="s">
        <v>1144</v>
      </c>
      <c r="I240" s="100" t="s">
        <v>324</v>
      </c>
      <c r="J240" s="101" t="s">
        <v>662</v>
      </c>
      <c r="K240" s="100"/>
      <c r="L240" s="102" t="s">
        <v>1487</v>
      </c>
      <c r="M240" s="103">
        <f>if(B240,if(and(hour(B240+M$7)&gt;9.5,(hour(B240+M$7)&lt;19.5)),B240+M$7,_xlfn.workday.intl(int(B240),1,"0000001",Holidays!A:A)+hour(B240+M$7-$B$1)/24+minute(B240)/1440),"")</f>
        <v>46165.43194</v>
      </c>
      <c r="N240" s="104">
        <v>46164.69089398148</v>
      </c>
      <c r="O240" s="105" t="s">
        <v>14</v>
      </c>
      <c r="P240" s="106">
        <f t="shared" si="1"/>
        <v>0</v>
      </c>
      <c r="Q240" s="107" t="s">
        <v>72</v>
      </c>
      <c r="R240" s="108" t="s">
        <v>434</v>
      </c>
      <c r="S240" s="103">
        <f>if(M240,if(and(hour(M240+S$7)&gt;9.5,(hour(M240+S$7)&lt;19.5)),M240+S$7,_xlfn.workday.intl(int(M240),1,"0000001",Holidays!A:A)+hour(M240+S$7-$B$1)/24+minute(M240)/1440),"")</f>
        <v>46165.43889</v>
      </c>
      <c r="T240" s="104">
        <v>46164.69117899306</v>
      </c>
      <c r="U240" s="105" t="s">
        <v>14</v>
      </c>
      <c r="V240" s="109">
        <f t="shared" si="2"/>
        <v>0</v>
      </c>
      <c r="W240" s="110" t="str">
        <f t="shared" si="3"/>
        <v>EMP5009 Rup Kumar Mandal</v>
      </c>
      <c r="X240" s="103">
        <f>if(S240,if(and(hour(S240+X$7)&gt;9.5,(hour(S240+X$7)&lt;19.5)),S240+X$7,_xlfn.workday.intl(int(S240),1,"0000001",Holidays!A:A)+hour(S240+X$7-$B$1)/24+minute(S240)/1440),"")</f>
        <v>46165.54306</v>
      </c>
      <c r="Y240" s="104">
        <v>46164.691309444446</v>
      </c>
      <c r="Z240" s="105" t="s">
        <v>14</v>
      </c>
      <c r="AA240" s="111">
        <f t="shared" si="4"/>
        <v>0</v>
      </c>
      <c r="AB240" s="110" t="str">
        <f t="shared" si="5"/>
        <v>EMP5009 Rup Kumar Mandal</v>
      </c>
      <c r="AC240" s="103">
        <f>if(X240,_xlfn.WORKDAY.INTL(X240,AC$7,"0000001",Holidays!A:A)+hour(X240)/24+MINUTE(X240)/1440,"")</f>
        <v>46167.54306</v>
      </c>
      <c r="AD240" s="104">
        <v>46165.49512197917</v>
      </c>
      <c r="AE240" s="105" t="s">
        <v>14</v>
      </c>
      <c r="AF240" s="111">
        <f t="shared" si="6"/>
        <v>0</v>
      </c>
      <c r="AG240" s="110" t="str">
        <f t="shared" si="7"/>
        <v>EMP5009 Rup Kumar Mandal</v>
      </c>
      <c r="AH240" s="103">
        <f>if(AC240,if(and(hour(AC240+AH$7)&gt;9.5,(hour(AC240+AH$7)&lt;19.5)),AC240+AH$7,_xlfn.workday.intl(int(AC240),1,"0000001",Holidays!A:A)+hour(AC240+AH$7-$B$1)/24+minute(AC240)/1440),"")</f>
        <v>46167.58472</v>
      </c>
      <c r="AI240" s="104">
        <v>46165.461774386575</v>
      </c>
      <c r="AJ240" s="105" t="s">
        <v>14</v>
      </c>
      <c r="AK240" s="111">
        <f t="shared" si="8"/>
        <v>0</v>
      </c>
      <c r="AL240" s="112" t="str">
        <f t="shared" si="9"/>
        <v>EMP5009 Rup Kumar Mandal</v>
      </c>
      <c r="AM240" s="113"/>
      <c r="AN240" s="114" t="s">
        <v>672</v>
      </c>
      <c r="AO240" s="115"/>
      <c r="AP240" s="115"/>
      <c r="AQ240" s="115"/>
      <c r="AR240" s="115"/>
      <c r="AS240" s="115"/>
      <c r="AT240" s="115"/>
      <c r="AU240" s="115"/>
      <c r="AV240" s="115"/>
      <c r="AW240" s="115"/>
      <c r="AX240" s="115"/>
      <c r="AY240" s="115"/>
    </row>
    <row r="241">
      <c r="A241" s="95">
        <f t="shared" si="11"/>
        <v>5192</v>
      </c>
      <c r="B241" s="96">
        <v>46164.683950289356</v>
      </c>
      <c r="C241" s="97" t="s">
        <v>1043</v>
      </c>
      <c r="D241" s="97" t="s">
        <v>1300</v>
      </c>
      <c r="E241" s="98" t="s">
        <v>1488</v>
      </c>
      <c r="F241" s="97"/>
      <c r="G241" s="97" t="s">
        <v>941</v>
      </c>
      <c r="H241" s="99" t="s">
        <v>1144</v>
      </c>
      <c r="I241" s="100" t="s">
        <v>64</v>
      </c>
      <c r="J241" s="101" t="s">
        <v>662</v>
      </c>
      <c r="K241" s="100"/>
      <c r="L241" s="102" t="s">
        <v>1491</v>
      </c>
      <c r="M241" s="103">
        <f>if(B241,if(and(hour(B241+M$7)&gt;9.5,(hour(B241+M$7)&lt;19.5)),B241+M$7,_xlfn.workday.intl(int(B241),1,"0000001",Holidays!A:A)+hour(B241+M$7-$B$1)/24+minute(B241)/1440),"")</f>
        <v>46165.43333</v>
      </c>
      <c r="N241" s="104">
        <v>46164.69090271991</v>
      </c>
      <c r="O241" s="105" t="s">
        <v>14</v>
      </c>
      <c r="P241" s="106">
        <f t="shared" si="1"/>
        <v>0</v>
      </c>
      <c r="Q241" s="107" t="s">
        <v>72</v>
      </c>
      <c r="R241" s="108" t="s">
        <v>434</v>
      </c>
      <c r="S241" s="103">
        <f>if(M241,if(and(hour(M241+S$7)&gt;9.5,(hour(M241+S$7)&lt;19.5)),M241+S$7,_xlfn.workday.intl(int(M241),1,"0000001",Holidays!A:A)+hour(M241+S$7-$B$1)/24+minute(M241)/1440),"")</f>
        <v>46165.44028</v>
      </c>
      <c r="T241" s="104">
        <v>46164.691242870365</v>
      </c>
      <c r="U241" s="105" t="s">
        <v>14</v>
      </c>
      <c r="V241" s="109">
        <f t="shared" si="2"/>
        <v>0</v>
      </c>
      <c r="W241" s="110" t="str">
        <f t="shared" si="3"/>
        <v>EMP5009 Rup Kumar Mandal</v>
      </c>
      <c r="X241" s="103">
        <f>if(S241,if(and(hour(S241+X$7)&gt;9.5,(hour(S241+X$7)&lt;19.5)),S241+X$7,_xlfn.workday.intl(int(S241),1,"0000001",Holidays!A:A)+hour(S241+X$7-$B$1)/24+minute(S241)/1440),"")</f>
        <v>46165.54444</v>
      </c>
      <c r="Y241" s="104">
        <v>46164.69133581019</v>
      </c>
      <c r="Z241" s="105" t="s">
        <v>14</v>
      </c>
      <c r="AA241" s="111">
        <f t="shared" si="4"/>
        <v>0</v>
      </c>
      <c r="AB241" s="110" t="str">
        <f t="shared" si="5"/>
        <v>EMP5009 Rup Kumar Mandal</v>
      </c>
      <c r="AC241" s="103">
        <f>if(X241,_xlfn.WORKDAY.INTL(X241,AC$7,"0000001",Holidays!A:A)+hour(X241)/24+MINUTE(X241)/1440,"")</f>
        <v>46167.54444</v>
      </c>
      <c r="AD241" s="104">
        <v>46165.49518143518</v>
      </c>
      <c r="AE241" s="105" t="s">
        <v>14</v>
      </c>
      <c r="AF241" s="111">
        <f t="shared" si="6"/>
        <v>0</v>
      </c>
      <c r="AG241" s="110" t="str">
        <f t="shared" si="7"/>
        <v>EMP5009 Rup Kumar Mandal</v>
      </c>
      <c r="AH241" s="103">
        <f>if(AC241,if(and(hour(AC241+AH$7)&gt;9.5,(hour(AC241+AH$7)&lt;19.5)),AC241+AH$7,_xlfn.workday.intl(int(AC241),1,"0000001",Holidays!A:A)+hour(AC241+AH$7-$B$1)/24+minute(AC241)/1440),"")</f>
        <v>46167.58611</v>
      </c>
      <c r="AI241" s="104">
        <v>46165.461782592596</v>
      </c>
      <c r="AJ241" s="105" t="s">
        <v>14</v>
      </c>
      <c r="AK241" s="111">
        <f t="shared" si="8"/>
        <v>0</v>
      </c>
      <c r="AL241" s="112" t="str">
        <f t="shared" si="9"/>
        <v>EMP5009 Rup Kumar Mandal</v>
      </c>
      <c r="AM241" s="113"/>
      <c r="AN241" s="114" t="s">
        <v>672</v>
      </c>
      <c r="AO241" s="115"/>
      <c r="AP241" s="115"/>
      <c r="AQ241" s="115"/>
      <c r="AR241" s="115"/>
      <c r="AS241" s="115"/>
      <c r="AT241" s="115"/>
      <c r="AU241" s="115"/>
      <c r="AV241" s="115"/>
      <c r="AW241" s="115"/>
      <c r="AX241" s="115"/>
      <c r="AY241" s="115"/>
    </row>
    <row r="242">
      <c r="A242" s="95">
        <f t="shared" si="11"/>
        <v>5193</v>
      </c>
      <c r="B242" s="96">
        <v>46164.70794980324</v>
      </c>
      <c r="C242" s="97" t="s">
        <v>1498</v>
      </c>
      <c r="D242" s="97" t="s">
        <v>982</v>
      </c>
      <c r="E242" s="98" t="s">
        <v>1494</v>
      </c>
      <c r="F242" s="98" t="s">
        <v>1500</v>
      </c>
      <c r="G242" s="97" t="s">
        <v>1497</v>
      </c>
      <c r="H242" s="99" t="s">
        <v>62</v>
      </c>
      <c r="I242" s="100" t="s">
        <v>324</v>
      </c>
      <c r="J242" s="101" t="s">
        <v>1269</v>
      </c>
      <c r="K242" s="100"/>
      <c r="L242" s="102" t="s">
        <v>1292</v>
      </c>
      <c r="M242" s="103">
        <f>if(B242,if(and(hour(B242+M$7)&gt;9.5,(hour(B242+M$7)&lt;19.5)),B242+M$7,_xlfn.workday.intl(int(B242),1,"0000001",Holidays!A:A)+hour(B242+M$7-$B$1)/24+minute(B242)/1440),"")</f>
        <v>46165.45764</v>
      </c>
      <c r="N242" s="104">
        <v>46164.742656574075</v>
      </c>
      <c r="O242" s="105" t="s">
        <v>14</v>
      </c>
      <c r="P242" s="106">
        <f t="shared" si="1"/>
        <v>0</v>
      </c>
      <c r="Q242" s="107" t="s">
        <v>15</v>
      </c>
      <c r="R242" s="108" t="s">
        <v>434</v>
      </c>
      <c r="S242" s="103">
        <f>if(M242,if(and(hour(M242+S$7)&gt;9.5,(hour(M242+S$7)&lt;19.5)),M242+S$7,_xlfn.workday.intl(int(M242),1,"0000001",Holidays!A:A)+hour(M242+S$7-$B$1)/24+minute(M242)/1440),"")</f>
        <v>46165.46458</v>
      </c>
      <c r="T242" s="104">
        <v>46164.74303194444</v>
      </c>
      <c r="U242" s="105" t="s">
        <v>14</v>
      </c>
      <c r="V242" s="109">
        <f t="shared" si="2"/>
        <v>0</v>
      </c>
      <c r="W242" s="110" t="str">
        <f t="shared" si="3"/>
        <v>EMP0042 HULESHWAR KUMAR SAHU</v>
      </c>
      <c r="X242" s="103">
        <f>if(S242,if(and(hour(S242+X$7)&gt;9.5,(hour(S242+X$7)&lt;19.5)),S242+X$7,_xlfn.workday.intl(int(S242),1,"0000001",Holidays!A:A)+hour(S242+X$7-$B$1)/24+minute(S242)/1440),"")</f>
        <v>46165.56875</v>
      </c>
      <c r="Y242" s="104">
        <v>46164.75546489583</v>
      </c>
      <c r="Z242" s="105" t="s">
        <v>14</v>
      </c>
      <c r="AA242" s="111">
        <f t="shared" si="4"/>
        <v>0</v>
      </c>
      <c r="AB242" s="110" t="str">
        <f t="shared" si="5"/>
        <v>EMP0042 HULESHWAR KUMAR SAHU</v>
      </c>
      <c r="AC242" s="103">
        <f>if(X242,_xlfn.WORKDAY.INTL(X242,AC$7,"0000001",Holidays!A:A)+hour(X242)/24+MINUTE(X242)/1440,"")</f>
        <v>46167.56875</v>
      </c>
      <c r="AD242" s="104">
        <v>46164.75552230324</v>
      </c>
      <c r="AE242" s="105" t="s">
        <v>14</v>
      </c>
      <c r="AF242" s="111">
        <f t="shared" si="6"/>
        <v>0</v>
      </c>
      <c r="AG242" s="110" t="str">
        <f t="shared" si="7"/>
        <v>EMP0042 HULESHWAR KUMAR SAHU</v>
      </c>
      <c r="AH242" s="103">
        <f>if(AC242,if(and(hour(AC242+AH$7)&gt;9.5,(hour(AC242+AH$7)&lt;19.5)),AC242+AH$7,_xlfn.workday.intl(int(AC242),1,"0000001",Holidays!A:A)+hour(AC242+AH$7-$B$1)/24+minute(AC242)/1440),"")</f>
        <v>46167.61042</v>
      </c>
      <c r="AI242" s="104">
        <v>46164.75555621528</v>
      </c>
      <c r="AJ242" s="105" t="s">
        <v>14</v>
      </c>
      <c r="AK242" s="111">
        <f t="shared" si="8"/>
        <v>0</v>
      </c>
      <c r="AL242" s="112" t="str">
        <f t="shared" si="9"/>
        <v>EMP0042 HULESHWAR KUMAR SAHU</v>
      </c>
      <c r="AM242" s="113"/>
      <c r="AN242" s="114" t="s">
        <v>672</v>
      </c>
      <c r="AO242" s="115"/>
      <c r="AP242" s="115"/>
      <c r="AQ242" s="115"/>
      <c r="AR242" s="115"/>
      <c r="AS242" s="115"/>
      <c r="AT242" s="115"/>
      <c r="AU242" s="115"/>
      <c r="AV242" s="115"/>
      <c r="AW242" s="115"/>
      <c r="AX242" s="115"/>
      <c r="AY242" s="115"/>
    </row>
    <row r="243">
      <c r="A243" s="95">
        <f t="shared" si="11"/>
        <v>5194</v>
      </c>
      <c r="B243" s="96">
        <v>46164.716135254625</v>
      </c>
      <c r="C243" s="97" t="s">
        <v>1050</v>
      </c>
      <c r="D243" s="97" t="s">
        <v>1300</v>
      </c>
      <c r="E243" s="98" t="s">
        <v>1502</v>
      </c>
      <c r="F243" s="97"/>
      <c r="G243" s="97" t="s">
        <v>1507</v>
      </c>
      <c r="H243" s="99" t="s">
        <v>62</v>
      </c>
      <c r="I243" s="100" t="s">
        <v>64</v>
      </c>
      <c r="J243" s="101" t="s">
        <v>662</v>
      </c>
      <c r="K243" s="100"/>
      <c r="L243" s="102" t="s">
        <v>1508</v>
      </c>
      <c r="M243" s="103">
        <f>if(B243,if(and(hour(B243+M$7)&gt;9.5,(hour(B243+M$7)&lt;19.5)),B243+M$7,_xlfn.workday.intl(int(B243),1,"0000001",Holidays!A:A)+hour(B243+M$7-$B$1)/24+minute(B243)/1440),"")</f>
        <v>46165.46597</v>
      </c>
      <c r="N243" s="104">
        <v>46164.74267346065</v>
      </c>
      <c r="O243" s="105" t="s">
        <v>14</v>
      </c>
      <c r="P243" s="106">
        <f t="shared" si="1"/>
        <v>0</v>
      </c>
      <c r="Q243" s="107" t="s">
        <v>72</v>
      </c>
      <c r="R243" s="108" t="s">
        <v>434</v>
      </c>
      <c r="S243" s="103">
        <f>if(M243,if(and(hour(M243+S$7)&gt;9.5,(hour(M243+S$7)&lt;19.5)),M243+S$7,_xlfn.workday.intl(int(M243),1,"0000001",Holidays!A:A)+hour(M243+S$7-$B$1)/24+minute(M243)/1440),"")</f>
        <v>46165.47292</v>
      </c>
      <c r="T243" s="104">
        <v>46164.743083622685</v>
      </c>
      <c r="U243" s="105" t="s">
        <v>14</v>
      </c>
      <c r="V243" s="109">
        <f t="shared" si="2"/>
        <v>0</v>
      </c>
      <c r="W243" s="110" t="str">
        <f t="shared" si="3"/>
        <v>EMP5009 Rup Kumar Mandal</v>
      </c>
      <c r="X243" s="103">
        <f>if(S243,if(and(hour(S243+X$7)&gt;9.5,(hour(S243+X$7)&lt;19.5)),S243+X$7,_xlfn.workday.intl(int(S243),1,"0000001",Holidays!A:A)+hour(S243+X$7-$B$1)/24+minute(S243)/1440),"")</f>
        <v>46165.57708</v>
      </c>
      <c r="Y243" s="104">
        <v>46164.756316053245</v>
      </c>
      <c r="Z243" s="105" t="s">
        <v>14</v>
      </c>
      <c r="AA243" s="111">
        <f t="shared" si="4"/>
        <v>0</v>
      </c>
      <c r="AB243" s="110" t="str">
        <f t="shared" si="5"/>
        <v>EMP5009 Rup Kumar Mandal</v>
      </c>
      <c r="AC243" s="103">
        <f>if(X243,_xlfn.WORKDAY.INTL(X243,AC$7,"0000001",Holidays!A:A)+hour(X243)/24+MINUTE(X243)/1440,"")</f>
        <v>46167.57708</v>
      </c>
      <c r="AD243" s="104">
        <v>46165.49522548611</v>
      </c>
      <c r="AE243" s="105" t="s">
        <v>14</v>
      </c>
      <c r="AF243" s="111">
        <f t="shared" si="6"/>
        <v>0</v>
      </c>
      <c r="AG243" s="110" t="str">
        <f t="shared" si="7"/>
        <v>EMP5009 Rup Kumar Mandal</v>
      </c>
      <c r="AH243" s="103">
        <f>if(AC243,if(and(hour(AC243+AH$7)&gt;9.5,(hour(AC243+AH$7)&lt;19.5)),AC243+AH$7,_xlfn.workday.intl(int(AC243),1,"0000001",Holidays!A:A)+hour(AC243+AH$7-$B$1)/24+minute(AC243)/1440),"")</f>
        <v>46167.61875</v>
      </c>
      <c r="AI243" s="104">
        <v>46167.429681388894</v>
      </c>
      <c r="AJ243" s="105" t="s">
        <v>14</v>
      </c>
      <c r="AK243" s="111">
        <f t="shared" si="8"/>
        <v>0</v>
      </c>
      <c r="AL243" s="112" t="str">
        <f t="shared" si="9"/>
        <v>EMP5009 Rup Kumar Mandal</v>
      </c>
      <c r="AM243" s="113"/>
      <c r="AN243" s="114" t="s">
        <v>672</v>
      </c>
      <c r="AO243" s="115"/>
      <c r="AP243" s="115"/>
      <c r="AQ243" s="115"/>
      <c r="AR243" s="115"/>
      <c r="AS243" s="115"/>
      <c r="AT243" s="115"/>
      <c r="AU243" s="115"/>
      <c r="AV243" s="115"/>
      <c r="AW243" s="115"/>
      <c r="AX243" s="115"/>
      <c r="AY243" s="115"/>
    </row>
    <row r="244">
      <c r="A244" s="95">
        <f t="shared" si="11"/>
        <v>5195</v>
      </c>
      <c r="B244" s="96">
        <v>46164.724969930554</v>
      </c>
      <c r="C244" s="97" t="s">
        <v>1053</v>
      </c>
      <c r="D244" s="97" t="s">
        <v>921</v>
      </c>
      <c r="E244" s="98" t="s">
        <v>1509</v>
      </c>
      <c r="F244" s="97"/>
      <c r="G244" s="97" t="s">
        <v>674</v>
      </c>
      <c r="H244" s="99" t="s">
        <v>62</v>
      </c>
      <c r="I244" s="100" t="s">
        <v>64</v>
      </c>
      <c r="J244" s="101" t="s">
        <v>662</v>
      </c>
      <c r="K244" s="100"/>
      <c r="L244" s="102" t="s">
        <v>1511</v>
      </c>
      <c r="M244" s="103">
        <f>if(B244,if(and(hour(B244+M$7)&gt;9.5,(hour(B244+M$7)&lt;19.5)),B244+M$7,_xlfn.workday.intl(int(B244),1,"0000001",Holidays!A:A)+hour(B244+M$7-$B$1)/24+minute(B244)/1440),"")</f>
        <v>46165.47431</v>
      </c>
      <c r="N244" s="104">
        <v>46164.74271090278</v>
      </c>
      <c r="O244" s="105" t="s">
        <v>14</v>
      </c>
      <c r="P244" s="106">
        <f t="shared" si="1"/>
        <v>0</v>
      </c>
      <c r="Q244" s="107" t="s">
        <v>72</v>
      </c>
      <c r="R244" s="108" t="s">
        <v>434</v>
      </c>
      <c r="S244" s="103">
        <f>if(M244,if(and(hour(M244+S$7)&gt;9.5,(hour(M244+S$7)&lt;19.5)),M244+S$7,_xlfn.workday.intl(int(M244),1,"0000001",Holidays!A:A)+hour(M244+S$7-$B$1)/24+minute(M244)/1440),"")</f>
        <v>46165.48125</v>
      </c>
      <c r="T244" s="104">
        <v>46164.74306949074</v>
      </c>
      <c r="U244" s="105" t="s">
        <v>14</v>
      </c>
      <c r="V244" s="109">
        <f t="shared" si="2"/>
        <v>0</v>
      </c>
      <c r="W244" s="110" t="str">
        <f t="shared" si="3"/>
        <v>EMP5009 Rup Kumar Mandal</v>
      </c>
      <c r="X244" s="103">
        <f>if(S244,if(and(hour(S244+X$7)&gt;9.5,(hour(S244+X$7)&lt;19.5)),S244+X$7,_xlfn.workday.intl(int(S244),1,"0000001",Holidays!A:A)+hour(S244+X$7-$B$1)/24+minute(S244)/1440),"")</f>
        <v>46165.58542</v>
      </c>
      <c r="Y244" s="104">
        <v>46164.75632988426</v>
      </c>
      <c r="Z244" s="105" t="s">
        <v>14</v>
      </c>
      <c r="AA244" s="111">
        <f t="shared" si="4"/>
        <v>0</v>
      </c>
      <c r="AB244" s="110" t="str">
        <f t="shared" si="5"/>
        <v>EMP5009 Rup Kumar Mandal</v>
      </c>
      <c r="AC244" s="103">
        <f>if(X244,_xlfn.WORKDAY.INTL(X244,AC$7,"0000001",Holidays!A:A)+hour(X244)/24+MINUTE(X244)/1440,"")</f>
        <v>46167.58542</v>
      </c>
      <c r="AD244" s="104">
        <v>46165.49528498843</v>
      </c>
      <c r="AE244" s="105" t="s">
        <v>14</v>
      </c>
      <c r="AF244" s="111">
        <f t="shared" si="6"/>
        <v>0</v>
      </c>
      <c r="AG244" s="110" t="str">
        <f t="shared" si="7"/>
        <v>EMP5009 Rup Kumar Mandal</v>
      </c>
      <c r="AH244" s="103">
        <f>if(AC244,if(and(hour(AC244+AH$7)&gt;9.5,(hour(AC244+AH$7)&lt;19.5)),AC244+AH$7,_xlfn.workday.intl(int(AC244),1,"0000001",Holidays!A:A)+hour(AC244+AH$7-$B$1)/24+minute(AC244)/1440),"")</f>
        <v>46167.62708</v>
      </c>
      <c r="AI244" s="104">
        <v>46167.4297019213</v>
      </c>
      <c r="AJ244" s="105" t="s">
        <v>14</v>
      </c>
      <c r="AK244" s="111">
        <f t="shared" si="8"/>
        <v>0</v>
      </c>
      <c r="AL244" s="112" t="str">
        <f t="shared" si="9"/>
        <v>EMP5009 Rup Kumar Mandal</v>
      </c>
      <c r="AM244" s="113"/>
      <c r="AN244" s="114" t="s">
        <v>672</v>
      </c>
      <c r="AO244" s="115"/>
      <c r="AP244" s="115"/>
      <c r="AQ244" s="115"/>
      <c r="AR244" s="115"/>
      <c r="AS244" s="115"/>
      <c r="AT244" s="115"/>
      <c r="AU244" s="115"/>
      <c r="AV244" s="115"/>
      <c r="AW244" s="115"/>
      <c r="AX244" s="115"/>
      <c r="AY244" s="115"/>
    </row>
    <row r="245">
      <c r="A245" s="95">
        <f t="shared" si="11"/>
        <v>5196</v>
      </c>
      <c r="B245" s="96">
        <v>46165.38757057871</v>
      </c>
      <c r="C245" s="97" t="s">
        <v>1056</v>
      </c>
      <c r="D245" s="97" t="s">
        <v>186</v>
      </c>
      <c r="E245" s="98" t="s">
        <v>1512</v>
      </c>
      <c r="F245" s="97"/>
      <c r="G245" s="97" t="s">
        <v>1515</v>
      </c>
      <c r="H245" s="99" t="s">
        <v>126</v>
      </c>
      <c r="I245" s="100" t="s">
        <v>64</v>
      </c>
      <c r="J245" s="101" t="s">
        <v>1178</v>
      </c>
      <c r="K245" s="100"/>
      <c r="L245" s="102" t="s">
        <v>1516</v>
      </c>
      <c r="M245" s="103">
        <f>if(B245,if(and(hour(B245+M$7)&gt;9.5,(hour(B245+M$7)&lt;19.5)),B245+M$7,_xlfn.workday.intl(int(B245),1,"0000001",Holidays!A:A)+hour(B245+M$7-$B$1)/24+minute(B245)/1440),"")</f>
        <v>46165.55424</v>
      </c>
      <c r="N245" s="104">
        <v>46165.46217777778</v>
      </c>
      <c r="O245" s="105" t="s">
        <v>14</v>
      </c>
      <c r="P245" s="106">
        <f t="shared" si="1"/>
        <v>0</v>
      </c>
      <c r="Q245" s="107" t="s">
        <v>15</v>
      </c>
      <c r="R245" s="108" t="s">
        <v>434</v>
      </c>
      <c r="S245" s="103">
        <f>if(M245,if(and(hour(M245+S$7)&gt;9.5,(hour(M245+S$7)&lt;19.5)),M245+S$7,_xlfn.workday.intl(int(M245),1,"0000001",Holidays!A:A)+hour(M245+S$7-$B$1)/24+minute(M245)/1440),"")</f>
        <v>46165.56118</v>
      </c>
      <c r="T245" s="104">
        <v>46165.46223936343</v>
      </c>
      <c r="U245" s="105" t="s">
        <v>14</v>
      </c>
      <c r="V245" s="109">
        <f t="shared" si="2"/>
        <v>0</v>
      </c>
      <c r="W245" s="110" t="str">
        <f t="shared" si="3"/>
        <v>EMP0042 HULESHWAR KUMAR SAHU</v>
      </c>
      <c r="X245" s="103">
        <f>if(S245,if(and(hour(S245+X$7)&gt;9.5,(hour(S245+X$7)&lt;19.5)),S245+X$7,_xlfn.workday.intl(int(S245),1,"0000001",Holidays!A:A)+hour(S245+X$7-$B$1)/24+minute(S245)/1440),"")</f>
        <v>46165.66535</v>
      </c>
      <c r="Y245" s="104">
        <v>46165.462258680556</v>
      </c>
      <c r="Z245" s="105" t="s">
        <v>14</v>
      </c>
      <c r="AA245" s="111">
        <f t="shared" si="4"/>
        <v>0</v>
      </c>
      <c r="AB245" s="110" t="str">
        <f t="shared" si="5"/>
        <v>EMP0042 HULESHWAR KUMAR SAHU</v>
      </c>
      <c r="AC245" s="103">
        <f>if(X245,_xlfn.WORKDAY.INTL(X245,AC$7,"0000001",Holidays!A:A)+hour(X245)/24+MINUTE(X245)/1440,"")</f>
        <v>46167.66528</v>
      </c>
      <c r="AD245" s="104">
        <v>46165.46228739583</v>
      </c>
      <c r="AE245" s="105" t="s">
        <v>14</v>
      </c>
      <c r="AF245" s="111">
        <f t="shared" si="6"/>
        <v>0</v>
      </c>
      <c r="AG245" s="110" t="str">
        <f t="shared" si="7"/>
        <v>EMP0042 HULESHWAR KUMAR SAHU</v>
      </c>
      <c r="AH245" s="103">
        <f>if(AC245,if(and(hour(AC245+AH$7)&gt;9.5,(hour(AC245+AH$7)&lt;19.5)),AC245+AH$7,_xlfn.workday.intl(int(AC245),1,"0000001",Holidays!A:A)+hour(AC245+AH$7-$B$1)/24+minute(AC245)/1440),"")</f>
        <v>46167.70694</v>
      </c>
      <c r="AI245" s="104">
        <v>46165.46233693287</v>
      </c>
      <c r="AJ245" s="105" t="s">
        <v>14</v>
      </c>
      <c r="AK245" s="111">
        <f t="shared" si="8"/>
        <v>0</v>
      </c>
      <c r="AL245" s="112" t="str">
        <f t="shared" si="9"/>
        <v>EMP0042 HULESHWAR KUMAR SAHU</v>
      </c>
      <c r="AM245" s="113"/>
      <c r="AN245" s="114" t="s">
        <v>672</v>
      </c>
      <c r="AO245" s="115"/>
      <c r="AP245" s="115"/>
      <c r="AQ245" s="115"/>
      <c r="AR245" s="115"/>
      <c r="AS245" s="115"/>
      <c r="AT245" s="115"/>
      <c r="AU245" s="115"/>
      <c r="AV245" s="115"/>
      <c r="AW245" s="115"/>
      <c r="AX245" s="115"/>
      <c r="AY245" s="115"/>
    </row>
    <row r="246">
      <c r="A246" s="95">
        <f t="shared" si="11"/>
        <v>5197</v>
      </c>
      <c r="B246" s="96">
        <v>46165.63787533565</v>
      </c>
      <c r="C246" s="97" t="s">
        <v>986</v>
      </c>
      <c r="D246" s="97" t="s">
        <v>982</v>
      </c>
      <c r="E246" s="98" t="s">
        <v>1518</v>
      </c>
      <c r="F246" s="98" t="s">
        <v>1522</v>
      </c>
      <c r="G246" s="97" t="s">
        <v>1520</v>
      </c>
      <c r="H246" s="99" t="s">
        <v>62</v>
      </c>
      <c r="I246" s="100" t="s">
        <v>324</v>
      </c>
      <c r="J246" s="101" t="s">
        <v>1269</v>
      </c>
      <c r="K246" s="100"/>
      <c r="L246" s="102" t="s">
        <v>1521</v>
      </c>
      <c r="M246" s="118">
        <v>46167.4712037037</v>
      </c>
      <c r="N246" s="104">
        <v>46165.67224480324</v>
      </c>
      <c r="O246" s="105" t="s">
        <v>14</v>
      </c>
      <c r="P246" s="106">
        <f t="shared" si="1"/>
        <v>0</v>
      </c>
      <c r="Q246" s="107" t="s">
        <v>15</v>
      </c>
      <c r="R246" s="108" t="s">
        <v>434</v>
      </c>
      <c r="S246" s="103">
        <f>if(M246,if(and(hour(M246+S$7)&gt;9.5,(hour(M246+S$7)&lt;19.5)),M246+S$7,_xlfn.workday.intl(int(M246),1,"0000001",Holidays!A:A)+hour(M246+S$7-$B$1)/24+minute(M246)/1440),"")</f>
        <v>46167.47815</v>
      </c>
      <c r="T246" s="104">
        <v>46165.67232672454</v>
      </c>
      <c r="U246" s="105" t="s">
        <v>14</v>
      </c>
      <c r="V246" s="109">
        <f t="shared" si="2"/>
        <v>0</v>
      </c>
      <c r="W246" s="110" t="str">
        <f t="shared" si="3"/>
        <v>EMP0042 HULESHWAR KUMAR SAHU</v>
      </c>
      <c r="X246" s="103">
        <f>if(S246,if(and(hour(S246+X$7)&gt;9.5,(hour(S246+X$7)&lt;19.5)),S246+X$7,_xlfn.workday.intl(int(S246),1,"0000001",Holidays!A:A)+hour(S246+X$7-$B$1)/24+minute(S246)/1440),"")</f>
        <v>46167.58231</v>
      </c>
      <c r="Y246" s="104">
        <v>46165.67241472223</v>
      </c>
      <c r="Z246" s="105" t="s">
        <v>14</v>
      </c>
      <c r="AA246" s="111">
        <f t="shared" si="4"/>
        <v>0</v>
      </c>
      <c r="AB246" s="110" t="str">
        <f t="shared" si="5"/>
        <v>EMP0042 HULESHWAR KUMAR SAHU</v>
      </c>
      <c r="AC246" s="103">
        <f>if(X246,_xlfn.WORKDAY.INTL(X246,AC$7,"0000001",Holidays!A:A)+hour(X246)/24+MINUTE(X246)/1440,"")</f>
        <v>46168.58194</v>
      </c>
      <c r="AD246" s="104">
        <v>46165.68420146991</v>
      </c>
      <c r="AE246" s="105" t="s">
        <v>14</v>
      </c>
      <c r="AF246" s="111">
        <f t="shared" si="6"/>
        <v>0</v>
      </c>
      <c r="AG246" s="110" t="str">
        <f t="shared" si="7"/>
        <v>EMP0042 HULESHWAR KUMAR SAHU</v>
      </c>
      <c r="AH246" s="103">
        <f>if(AC246,if(and(hour(AC246+AH$7)&gt;9.5,(hour(AC246+AH$7)&lt;19.5)),AC246+AH$7,_xlfn.workday.intl(int(AC246),1,"0000001",Holidays!A:A)+hour(AC246+AH$7-$B$1)/24+minute(AC246)/1440),"")</f>
        <v>46168.62361</v>
      </c>
      <c r="AI246" s="104">
        <v>46165.684228680555</v>
      </c>
      <c r="AJ246" s="105" t="s">
        <v>14</v>
      </c>
      <c r="AK246" s="111">
        <f t="shared" si="8"/>
        <v>0</v>
      </c>
      <c r="AL246" s="112" t="str">
        <f t="shared" si="9"/>
        <v>EMP0042 HULESHWAR KUMAR SAHU</v>
      </c>
      <c r="AM246" s="113"/>
      <c r="AN246" s="114" t="s">
        <v>672</v>
      </c>
      <c r="AO246" s="115"/>
      <c r="AP246" s="115"/>
      <c r="AQ246" s="115"/>
      <c r="AR246" s="115"/>
      <c r="AS246" s="115"/>
      <c r="AT246" s="115"/>
      <c r="AU246" s="115"/>
      <c r="AV246" s="115"/>
      <c r="AW246" s="115"/>
      <c r="AX246" s="115"/>
      <c r="AY246" s="115"/>
    </row>
    <row r="247">
      <c r="A247" s="95">
        <f t="shared" si="11"/>
        <v>5198</v>
      </c>
      <c r="B247" s="96">
        <v>46167.507025983796</v>
      </c>
      <c r="C247" s="97" t="s">
        <v>1062</v>
      </c>
      <c r="D247" s="97" t="s">
        <v>215</v>
      </c>
      <c r="E247" s="98" t="s">
        <v>1527</v>
      </c>
      <c r="F247" s="97"/>
      <c r="G247" s="97">
        <v>163.0</v>
      </c>
      <c r="H247" s="99" t="s">
        <v>138</v>
      </c>
      <c r="I247" s="100" t="s">
        <v>64</v>
      </c>
      <c r="J247" s="101" t="s">
        <v>974</v>
      </c>
      <c r="K247" s="100"/>
      <c r="L247" s="102" t="s">
        <v>1530</v>
      </c>
      <c r="M247" s="103">
        <f>if(B247,if(and(hour(B247+M$7)&gt;9.5,(hour(B247+M$7)&lt;19.5)),B247+M$7,_xlfn.workday.intl(int(B247),1,"0000001",Holidays!A:A)+hour(B247+M$7-$B$1)/24+minute(B247)/1440),"")</f>
        <v>46167.67369</v>
      </c>
      <c r="N247" s="104">
        <v>46167.55479247685</v>
      </c>
      <c r="O247" s="105" t="s">
        <v>14</v>
      </c>
      <c r="P247" s="106">
        <f t="shared" si="1"/>
        <v>0</v>
      </c>
      <c r="Q247" s="107" t="s">
        <v>15</v>
      </c>
      <c r="R247" s="108" t="s">
        <v>434</v>
      </c>
      <c r="S247" s="103">
        <f>if(M247,if(and(hour(M247+S$7)&gt;9.5,(hour(M247+S$7)&lt;19.5)),M247+S$7,_xlfn.workday.intl(int(M247),1,"0000001",Holidays!A:A)+hour(M247+S$7-$B$1)/24+minute(M247)/1440),"")</f>
        <v>46167.68064</v>
      </c>
      <c r="T247" s="104">
        <v>46167.554864398146</v>
      </c>
      <c r="U247" s="105" t="s">
        <v>14</v>
      </c>
      <c r="V247" s="109">
        <f t="shared" si="2"/>
        <v>0</v>
      </c>
      <c r="W247" s="110" t="str">
        <f t="shared" si="3"/>
        <v>EMP0042 HULESHWAR KUMAR SAHU</v>
      </c>
      <c r="X247" s="103">
        <f>if(S247,if(and(hour(S247+X$7)&gt;9.5,(hour(S247+X$7)&lt;19.5)),S247+X$7,_xlfn.workday.intl(int(S247),1,"0000001",Holidays!A:A)+hour(S247+X$7-$B$1)/24+minute(S247)/1440),"")</f>
        <v>46167.7848</v>
      </c>
      <c r="Y247" s="104">
        <v>46167.554885543985</v>
      </c>
      <c r="Z247" s="105" t="s">
        <v>14</v>
      </c>
      <c r="AA247" s="111">
        <f t="shared" si="4"/>
        <v>0</v>
      </c>
      <c r="AB247" s="110" t="str">
        <f t="shared" si="5"/>
        <v>EMP0042 HULESHWAR KUMAR SAHU</v>
      </c>
      <c r="AC247" s="103">
        <f>if(X247,_xlfn.WORKDAY.INTL(X247,AC$7,"0000001",Holidays!A:A)+hour(X247)/24+MINUTE(X247)/1440,"")</f>
        <v>46168.78472</v>
      </c>
      <c r="AD247" s="104">
        <v>46167.554950694444</v>
      </c>
      <c r="AE247" s="105" t="s">
        <v>14</v>
      </c>
      <c r="AF247" s="111">
        <f t="shared" si="6"/>
        <v>0</v>
      </c>
      <c r="AG247" s="110" t="str">
        <f t="shared" si="7"/>
        <v>EMP0042 HULESHWAR KUMAR SAHU</v>
      </c>
      <c r="AH247" s="103">
        <f>if(AC247,if(and(hour(AC247+AH$7)&gt;9.5,(hour(AC247+AH$7)&lt;19.5)),AC247+AH$7,_xlfn.workday.intl(int(AC247),1,"0000001",Holidays!A:A)+hour(AC247+AH$7-$B$1)/24+minute(AC247)/1440),"")</f>
        <v>46168.82639</v>
      </c>
      <c r="AI247" s="104">
        <v>46168.008889861114</v>
      </c>
      <c r="AJ247" s="105" t="s">
        <v>14</v>
      </c>
      <c r="AK247" s="111">
        <f t="shared" si="8"/>
        <v>0</v>
      </c>
      <c r="AL247" s="112" t="str">
        <f t="shared" si="9"/>
        <v>EMP0042 HULESHWAR KUMAR SAHU</v>
      </c>
      <c r="AM247" s="113"/>
      <c r="AN247" s="114" t="s">
        <v>672</v>
      </c>
      <c r="AO247" s="115"/>
      <c r="AP247" s="115"/>
      <c r="AQ247" s="115"/>
      <c r="AR247" s="115"/>
      <c r="AS247" s="115"/>
      <c r="AT247" s="115"/>
      <c r="AU247" s="115"/>
      <c r="AV247" s="115"/>
      <c r="AW247" s="115"/>
      <c r="AX247" s="115"/>
      <c r="AY247" s="115"/>
    </row>
    <row r="248">
      <c r="A248" s="95">
        <f t="shared" si="11"/>
        <v>5199</v>
      </c>
      <c r="B248" s="96">
        <v>46167.70544952546</v>
      </c>
      <c r="C248" s="97" t="s">
        <v>894</v>
      </c>
      <c r="D248" s="97" t="s">
        <v>186</v>
      </c>
      <c r="E248" s="98" t="s">
        <v>1533</v>
      </c>
      <c r="F248" s="97"/>
      <c r="G248" s="97" t="s">
        <v>1536</v>
      </c>
      <c r="H248" s="99" t="s">
        <v>147</v>
      </c>
      <c r="I248" s="100" t="s">
        <v>64</v>
      </c>
      <c r="J248" s="101" t="s">
        <v>1178</v>
      </c>
      <c r="K248" s="100"/>
      <c r="L248" s="102" t="s">
        <v>1537</v>
      </c>
      <c r="M248" s="103">
        <f>if(B248,if(and(hour(B248+M$7)&gt;9.5,(hour(B248+M$7)&lt;19.5)),B248+M$7,_xlfn.workday.intl(int(B248),1,"0000001",Holidays!A:A)+hour(B248+M$7-$B$1)/24+minute(B248)/1440),"")</f>
        <v>46168.45486</v>
      </c>
      <c r="N248" s="104">
        <v>46167.72818637731</v>
      </c>
      <c r="O248" s="105" t="s">
        <v>14</v>
      </c>
      <c r="P248" s="106">
        <f t="shared" si="1"/>
        <v>0</v>
      </c>
      <c r="Q248" s="107" t="s">
        <v>15</v>
      </c>
      <c r="R248" s="108" t="s">
        <v>434</v>
      </c>
      <c r="S248" s="103">
        <f>if(M248,if(and(hour(M248+S$7)&gt;9.5,(hour(M248+S$7)&lt;19.5)),M248+S$7,_xlfn.workday.intl(int(M248),1,"0000001",Holidays!A:A)+hour(M248+S$7-$B$1)/24+minute(M248)/1440),"")</f>
        <v>46168.46181</v>
      </c>
      <c r="T248" s="104">
        <v>46167.72942982639</v>
      </c>
      <c r="U248" s="105" t="s">
        <v>14</v>
      </c>
      <c r="V248" s="109">
        <f t="shared" si="2"/>
        <v>0</v>
      </c>
      <c r="W248" s="110" t="str">
        <f t="shared" si="3"/>
        <v>EMP0042 HULESHWAR KUMAR SAHU</v>
      </c>
      <c r="X248" s="103">
        <f>if(S248,if(and(hour(S248+X$7)&gt;9.5,(hour(S248+X$7)&lt;19.5)),S248+X$7,_xlfn.workday.intl(int(S248),1,"0000001",Holidays!A:A)+hour(S248+X$7-$B$1)/24+minute(S248)/1440),"")</f>
        <v>46168.56597</v>
      </c>
      <c r="Y248" s="104">
        <v>46168.00876737268</v>
      </c>
      <c r="Z248" s="105" t="s">
        <v>14</v>
      </c>
      <c r="AA248" s="111">
        <f t="shared" si="4"/>
        <v>0</v>
      </c>
      <c r="AB248" s="110" t="str">
        <f t="shared" si="5"/>
        <v>EMP0042 HULESHWAR KUMAR SAHU</v>
      </c>
      <c r="AC248" s="103">
        <f>if(X248,_xlfn.WORKDAY.INTL(X248,AC$7,"0000001",Holidays!A:A)+hour(X248)/24+MINUTE(X248)/1440,"")</f>
        <v>46169.56597</v>
      </c>
      <c r="AD248" s="104">
        <v>46169.510197361116</v>
      </c>
      <c r="AE248" s="105" t="s">
        <v>14</v>
      </c>
      <c r="AF248" s="111">
        <f t="shared" si="6"/>
        <v>0</v>
      </c>
      <c r="AG248" s="110" t="str">
        <f t="shared" si="7"/>
        <v>EMP0042 HULESHWAR KUMAR SAHU</v>
      </c>
      <c r="AH248" s="103">
        <f>if(AC248,if(and(hour(AC248+AH$7)&gt;9.5,(hour(AC248+AH$7)&lt;19.5)),AC248+AH$7,_xlfn.workday.intl(int(AC248),1,"0000001",Holidays!A:A)+hour(AC248+AH$7-$B$1)/24+minute(AC248)/1440),"")</f>
        <v>46169.60764</v>
      </c>
      <c r="AI248" s="104">
        <v>46169.56001527778</v>
      </c>
      <c r="AJ248" s="105" t="s">
        <v>14</v>
      </c>
      <c r="AK248" s="111">
        <f t="shared" si="8"/>
        <v>0</v>
      </c>
      <c r="AL248" s="112" t="str">
        <f t="shared" si="9"/>
        <v>EMP0042 HULESHWAR KUMAR SAHU</v>
      </c>
      <c r="AM248" s="113"/>
      <c r="AN248" s="114" t="s">
        <v>672</v>
      </c>
      <c r="AO248" s="115"/>
      <c r="AP248" s="115"/>
      <c r="AQ248" s="115"/>
      <c r="AR248" s="115"/>
      <c r="AS248" s="115"/>
      <c r="AT248" s="115"/>
      <c r="AU248" s="115"/>
      <c r="AV248" s="115"/>
      <c r="AW248" s="115"/>
      <c r="AX248" s="115"/>
      <c r="AY248" s="115"/>
    </row>
    <row r="249">
      <c r="A249" s="95">
        <f t="shared" si="11"/>
        <v>5200</v>
      </c>
      <c r="B249" s="96">
        <v>46167.71408464121</v>
      </c>
      <c r="C249" s="97" t="s">
        <v>1068</v>
      </c>
      <c r="D249" s="97" t="s">
        <v>1539</v>
      </c>
      <c r="E249" s="98" t="s">
        <v>1540</v>
      </c>
      <c r="F249" s="97"/>
      <c r="G249" s="97" t="s">
        <v>1543</v>
      </c>
      <c r="H249" s="99" t="s">
        <v>62</v>
      </c>
      <c r="I249" s="100" t="s">
        <v>64</v>
      </c>
      <c r="J249" s="101" t="s">
        <v>1538</v>
      </c>
      <c r="K249" s="100"/>
      <c r="L249" s="102" t="s">
        <v>1544</v>
      </c>
      <c r="M249" s="103">
        <f>if(B249,if(and(hour(B249+M$7)&gt;9.5,(hour(B249+M$7)&lt;19.5)),B249+M$7,_xlfn.workday.intl(int(B249),1,"0000001",Holidays!A:A)+hour(B249+M$7-$B$1)/24+minute(B249)/1440),"")</f>
        <v>46168.46389</v>
      </c>
      <c r="N249" s="104">
        <v>46167.72820915509</v>
      </c>
      <c r="O249" s="105" t="s">
        <v>14</v>
      </c>
      <c r="P249" s="106">
        <f t="shared" si="1"/>
        <v>0</v>
      </c>
      <c r="Q249" s="107" t="s">
        <v>72</v>
      </c>
      <c r="R249" s="108" t="s">
        <v>434</v>
      </c>
      <c r="S249" s="103">
        <f>if(M249,if(and(hour(M249+S$7)&gt;9.5,(hour(M249+S$7)&lt;19.5)),M249+S$7,_xlfn.workday.intl(int(M249),1,"0000001",Holidays!A:A)+hour(M249+S$7-$B$1)/24+minute(M249)/1440),"")</f>
        <v>46168.47083</v>
      </c>
      <c r="T249" s="104">
        <v>46167.72937908565</v>
      </c>
      <c r="U249" s="105" t="s">
        <v>14</v>
      </c>
      <c r="V249" s="109">
        <f t="shared" si="2"/>
        <v>0</v>
      </c>
      <c r="W249" s="110" t="str">
        <f t="shared" si="3"/>
        <v>EMP5009 Rup Kumar Mandal</v>
      </c>
      <c r="X249" s="103">
        <f>if(S249,if(and(hour(S249+X$7)&gt;9.5,(hour(S249+X$7)&lt;19.5)),S249+X$7,_xlfn.workday.intl(int(S249),1,"0000001",Holidays!A:A)+hour(S249+X$7-$B$1)/24+minute(S249)/1440),"")</f>
        <v>46168.575</v>
      </c>
      <c r="Y249" s="104">
        <v>46167.729455</v>
      </c>
      <c r="Z249" s="105" t="s">
        <v>14</v>
      </c>
      <c r="AA249" s="111">
        <f t="shared" si="4"/>
        <v>0</v>
      </c>
      <c r="AB249" s="110" t="str">
        <f t="shared" si="5"/>
        <v>EMP5009 Rup Kumar Mandal</v>
      </c>
      <c r="AC249" s="103">
        <f>if(X249,_xlfn.WORKDAY.INTL(X249,AC$7,"0000001",Holidays!A:A)+hour(X249)/24+MINUTE(X249)/1440,"")</f>
        <v>46169.575</v>
      </c>
      <c r="AD249" s="104">
        <v>46168.44572545138</v>
      </c>
      <c r="AE249" s="105" t="s">
        <v>14</v>
      </c>
      <c r="AF249" s="111">
        <f t="shared" si="6"/>
        <v>0</v>
      </c>
      <c r="AG249" s="110" t="str">
        <f t="shared" si="7"/>
        <v>EMP5009 Rup Kumar Mandal</v>
      </c>
      <c r="AH249" s="103">
        <f>if(AC249,if(and(hour(AC249+AH$7)&gt;9.5,(hour(AC249+AH$7)&lt;19.5)),AC249+AH$7,_xlfn.workday.intl(int(AC249),1,"0000001",Holidays!A:A)+hour(AC249+AH$7-$B$1)/24+minute(AC249)/1440),"")</f>
        <v>46169.61667</v>
      </c>
      <c r="AI249" s="104">
        <v>46168.44589578704</v>
      </c>
      <c r="AJ249" s="105" t="s">
        <v>14</v>
      </c>
      <c r="AK249" s="111">
        <f t="shared" si="8"/>
        <v>0</v>
      </c>
      <c r="AL249" s="112" t="str">
        <f t="shared" si="9"/>
        <v>EMP5009 Rup Kumar Mandal</v>
      </c>
      <c r="AM249" s="113"/>
      <c r="AN249" s="114" t="s">
        <v>672</v>
      </c>
      <c r="AO249" s="115"/>
      <c r="AP249" s="115"/>
      <c r="AQ249" s="115"/>
      <c r="AR249" s="115"/>
      <c r="AS249" s="115"/>
      <c r="AT249" s="115"/>
      <c r="AU249" s="115"/>
      <c r="AV249" s="115"/>
      <c r="AW249" s="115"/>
      <c r="AX249" s="115"/>
      <c r="AY249" s="115"/>
    </row>
    <row r="250">
      <c r="A250" s="95">
        <f t="shared" si="11"/>
        <v>5201</v>
      </c>
      <c r="B250" s="96">
        <v>46167.72474950232</v>
      </c>
      <c r="C250" s="97" t="s">
        <v>1070</v>
      </c>
      <c r="D250" s="97" t="s">
        <v>670</v>
      </c>
      <c r="E250" s="98" t="s">
        <v>1546</v>
      </c>
      <c r="F250" s="97"/>
      <c r="G250" s="97" t="s">
        <v>644</v>
      </c>
      <c r="H250" s="99" t="s">
        <v>62</v>
      </c>
      <c r="I250" s="100" t="s">
        <v>64</v>
      </c>
      <c r="J250" s="101" t="s">
        <v>662</v>
      </c>
      <c r="K250" s="100"/>
      <c r="L250" s="102" t="s">
        <v>1548</v>
      </c>
      <c r="M250" s="103">
        <f>if(B250,if(and(hour(B250+M$7)&gt;9.5,(hour(B250+M$7)&lt;19.5)),B250+M$7,_xlfn.workday.intl(int(B250),1,"0000001",Holidays!A:A)+hour(B250+M$7-$B$1)/24+minute(B250)/1440),"")</f>
        <v>46168.47431</v>
      </c>
      <c r="N250" s="104">
        <v>46167.72817391204</v>
      </c>
      <c r="O250" s="105" t="s">
        <v>14</v>
      </c>
      <c r="P250" s="106">
        <f t="shared" si="1"/>
        <v>0</v>
      </c>
      <c r="Q250" s="107" t="s">
        <v>72</v>
      </c>
      <c r="R250" s="108" t="s">
        <v>434</v>
      </c>
      <c r="S250" s="103">
        <f>if(M250,if(and(hour(M250+S$7)&gt;9.5,(hour(M250+S$7)&lt;19.5)),M250+S$7,_xlfn.workday.intl(int(M250),1,"0000001",Holidays!A:A)+hour(M250+S$7-$B$1)/24+minute(M250)/1440),"")</f>
        <v>46168.48125</v>
      </c>
      <c r="T250" s="104">
        <v>46167.72937908565</v>
      </c>
      <c r="U250" s="105" t="s">
        <v>14</v>
      </c>
      <c r="V250" s="109">
        <f t="shared" si="2"/>
        <v>0</v>
      </c>
      <c r="W250" s="110" t="str">
        <f t="shared" si="3"/>
        <v>EMP5009 Rup Kumar Mandal</v>
      </c>
      <c r="X250" s="103">
        <f>if(S250,if(and(hour(S250+X$7)&gt;9.5,(hour(S250+X$7)&lt;19.5)),S250+X$7,_xlfn.workday.intl(int(S250),1,"0000001",Holidays!A:A)+hour(S250+X$7-$B$1)/24+minute(S250)/1440),"")</f>
        <v>46168.58542</v>
      </c>
      <c r="Y250" s="104">
        <v>46167.72946041667</v>
      </c>
      <c r="Z250" s="105" t="s">
        <v>14</v>
      </c>
      <c r="AA250" s="111">
        <f t="shared" si="4"/>
        <v>0</v>
      </c>
      <c r="AB250" s="110" t="str">
        <f t="shared" si="5"/>
        <v>EMP5009 Rup Kumar Mandal</v>
      </c>
      <c r="AC250" s="103">
        <f>if(X250,_xlfn.WORKDAY.INTL(X250,AC$7,"0000001",Holidays!A:A)+hour(X250)/24+MINUTE(X250)/1440,"")</f>
        <v>46169.58542</v>
      </c>
      <c r="AD250" s="104">
        <v>46168.44572545138</v>
      </c>
      <c r="AE250" s="105" t="s">
        <v>14</v>
      </c>
      <c r="AF250" s="111">
        <f t="shared" si="6"/>
        <v>0</v>
      </c>
      <c r="AG250" s="110" t="str">
        <f t="shared" si="7"/>
        <v>EMP5009 Rup Kumar Mandal</v>
      </c>
      <c r="AH250" s="103">
        <f>if(AC250,if(and(hour(AC250+AH$7)&gt;9.5,(hour(AC250+AH$7)&lt;19.5)),AC250+AH$7,_xlfn.workday.intl(int(AC250),1,"0000001",Holidays!A:A)+hour(AC250+AH$7-$B$1)/24+minute(AC250)/1440),"")</f>
        <v>46169.62708</v>
      </c>
      <c r="AI250" s="104">
        <v>46168.44590208333</v>
      </c>
      <c r="AJ250" s="105" t="s">
        <v>14</v>
      </c>
      <c r="AK250" s="111">
        <f t="shared" si="8"/>
        <v>0</v>
      </c>
      <c r="AL250" s="112" t="str">
        <f t="shared" si="9"/>
        <v>EMP5009 Rup Kumar Mandal</v>
      </c>
      <c r="AM250" s="113"/>
      <c r="AN250" s="114" t="s">
        <v>672</v>
      </c>
      <c r="AO250" s="115"/>
      <c r="AP250" s="115"/>
      <c r="AQ250" s="115"/>
      <c r="AR250" s="115"/>
      <c r="AS250" s="115"/>
      <c r="AT250" s="115"/>
      <c r="AU250" s="115"/>
      <c r="AV250" s="115"/>
      <c r="AW250" s="115"/>
      <c r="AX250" s="115"/>
      <c r="AY250" s="115"/>
    </row>
    <row r="251">
      <c r="A251" s="95">
        <f t="shared" si="11"/>
        <v>5202</v>
      </c>
      <c r="B251" s="96">
        <v>46167.72639287037</v>
      </c>
      <c r="C251" s="97" t="s">
        <v>1070</v>
      </c>
      <c r="D251" s="97" t="s">
        <v>1549</v>
      </c>
      <c r="E251" s="98" t="s">
        <v>1552</v>
      </c>
      <c r="F251" s="97"/>
      <c r="G251" s="97" t="s">
        <v>674</v>
      </c>
      <c r="H251" s="99" t="s">
        <v>62</v>
      </c>
      <c r="I251" s="100" t="s">
        <v>237</v>
      </c>
      <c r="J251" s="101" t="s">
        <v>662</v>
      </c>
      <c r="K251" s="100"/>
      <c r="L251" s="102" t="s">
        <v>1555</v>
      </c>
      <c r="M251" s="103">
        <f>if(B251,if(and(hour(B251+M$7)&gt;9.5,(hour(B251+M$7)&lt;19.5)),B251+M$7,_xlfn.workday.intl(int(B251),1,"0000001",Holidays!A:A)+hour(B251+M$7-$B$1)/24+minute(B251)/1440),"")</f>
        <v>46168.47639</v>
      </c>
      <c r="N251" s="104">
        <v>46167.72817391204</v>
      </c>
      <c r="O251" s="105" t="s">
        <v>14</v>
      </c>
      <c r="P251" s="106">
        <f t="shared" si="1"/>
        <v>0</v>
      </c>
      <c r="Q251" s="107" t="s">
        <v>72</v>
      </c>
      <c r="R251" s="108" t="s">
        <v>434</v>
      </c>
      <c r="S251" s="103">
        <f>if(M251,if(and(hour(M251+S$7)&gt;9.5,(hour(M251+S$7)&lt;19.5)),M251+S$7,_xlfn.workday.intl(int(M251),1,"0000001",Holidays!A:A)+hour(M251+S$7-$B$1)/24+minute(M251)/1440),"")</f>
        <v>46168.48333</v>
      </c>
      <c r="T251" s="104">
        <v>46167.72938414352</v>
      </c>
      <c r="U251" s="105" t="s">
        <v>14</v>
      </c>
      <c r="V251" s="109">
        <f t="shared" si="2"/>
        <v>0</v>
      </c>
      <c r="W251" s="110" t="str">
        <f t="shared" si="3"/>
        <v>EMP5009 Rup Kumar Mandal</v>
      </c>
      <c r="X251" s="103">
        <f>if(S251,if(and(hour(S251+X$7)&gt;9.5,(hour(S251+X$7)&lt;19.5)),S251+X$7,_xlfn.workday.intl(int(S251),1,"0000001",Holidays!A:A)+hour(S251+X$7-$B$1)/24+minute(S251)/1440),"")</f>
        <v>46168.5875</v>
      </c>
      <c r="Y251" s="104">
        <v>46167.729469328704</v>
      </c>
      <c r="Z251" s="105" t="s">
        <v>14</v>
      </c>
      <c r="AA251" s="111">
        <f t="shared" si="4"/>
        <v>0</v>
      </c>
      <c r="AB251" s="110" t="str">
        <f t="shared" si="5"/>
        <v>EMP5009 Rup Kumar Mandal</v>
      </c>
      <c r="AC251" s="103">
        <f>if(X251,_xlfn.WORKDAY.INTL(X251,AC$7,"0000001",Holidays!A:A)+hour(X251)/24+MINUTE(X251)/1440,"")</f>
        <v>46169.5875</v>
      </c>
      <c r="AD251" s="104">
        <v>46168.44573202546</v>
      </c>
      <c r="AE251" s="105" t="s">
        <v>14</v>
      </c>
      <c r="AF251" s="111">
        <f t="shared" si="6"/>
        <v>0</v>
      </c>
      <c r="AG251" s="110" t="str">
        <f t="shared" si="7"/>
        <v>EMP5009 Rup Kumar Mandal</v>
      </c>
      <c r="AH251" s="103">
        <f>if(AC251,if(and(hour(AC251+AH$7)&gt;9.5,(hour(AC251+AH$7)&lt;19.5)),AC251+AH$7,_xlfn.workday.intl(int(AC251),1,"0000001",Holidays!A:A)+hour(AC251+AH$7-$B$1)/24+minute(AC251)/1440),"")</f>
        <v>46169.62917</v>
      </c>
      <c r="AI251" s="104">
        <v>46168.44590208333</v>
      </c>
      <c r="AJ251" s="105" t="s">
        <v>14</v>
      </c>
      <c r="AK251" s="111">
        <f t="shared" si="8"/>
        <v>0</v>
      </c>
      <c r="AL251" s="112" t="str">
        <f t="shared" si="9"/>
        <v>EMP5009 Rup Kumar Mandal</v>
      </c>
      <c r="AM251" s="113"/>
      <c r="AN251" s="114" t="s">
        <v>672</v>
      </c>
      <c r="AO251" s="115"/>
      <c r="AP251" s="115"/>
      <c r="AQ251" s="115"/>
      <c r="AR251" s="115"/>
      <c r="AS251" s="115"/>
      <c r="AT251" s="115"/>
      <c r="AU251" s="115"/>
      <c r="AV251" s="115"/>
      <c r="AW251" s="115"/>
      <c r="AX251" s="115"/>
      <c r="AY251" s="115"/>
    </row>
    <row r="252">
      <c r="A252" s="95">
        <f t="shared" si="11"/>
        <v>5203</v>
      </c>
      <c r="B252" s="96">
        <v>46167.73668128472</v>
      </c>
      <c r="C252" s="97" t="s">
        <v>1076</v>
      </c>
      <c r="D252" s="97" t="s">
        <v>769</v>
      </c>
      <c r="E252" s="98" t="s">
        <v>1556</v>
      </c>
      <c r="F252" s="97"/>
      <c r="G252" s="97" t="s">
        <v>1559</v>
      </c>
      <c r="H252" s="99" t="s">
        <v>62</v>
      </c>
      <c r="I252" s="100" t="s">
        <v>64</v>
      </c>
      <c r="J252" s="101" t="s">
        <v>768</v>
      </c>
      <c r="K252" s="100"/>
      <c r="L252" s="102" t="s">
        <v>518</v>
      </c>
      <c r="M252" s="103">
        <f>if(B252,if(and(hour(B252+M$7)&gt;9.5,(hour(B252+M$7)&lt;19.5)),B252+M$7,_xlfn.workday.intl(int(B252),1,"0000001",Holidays!A:A)+hour(B252+M$7-$B$1)/24+minute(B252)/1440),"")</f>
        <v>46168.48611</v>
      </c>
      <c r="N252" s="104">
        <v>46167.7409350463</v>
      </c>
      <c r="O252" s="105" t="s">
        <v>14</v>
      </c>
      <c r="P252" s="106">
        <f t="shared" si="1"/>
        <v>0</v>
      </c>
      <c r="Q252" s="107" t="s">
        <v>72</v>
      </c>
      <c r="R252" s="108" t="s">
        <v>434</v>
      </c>
      <c r="S252" s="103">
        <f>if(M252,if(and(hour(M252+S$7)&gt;9.5,(hour(M252+S$7)&lt;19.5)),M252+S$7,_xlfn.workday.intl(int(M252),1,"0000001",Holidays!A:A)+hour(M252+S$7-$B$1)/24+minute(M252)/1440),"")</f>
        <v>46168.49306</v>
      </c>
      <c r="T252" s="104">
        <v>46167.74098606482</v>
      </c>
      <c r="U252" s="105" t="s">
        <v>14</v>
      </c>
      <c r="V252" s="109">
        <f t="shared" si="2"/>
        <v>0</v>
      </c>
      <c r="W252" s="110" t="str">
        <f t="shared" si="3"/>
        <v>EMP5009 Rup Kumar Mandal</v>
      </c>
      <c r="X252" s="103">
        <f>if(S252,if(and(hour(S252+X$7)&gt;9.5,(hour(S252+X$7)&lt;19.5)),S252+X$7,_xlfn.workday.intl(int(S252),1,"0000001",Holidays!A:A)+hour(S252+X$7-$B$1)/24+minute(S252)/1440),"")</f>
        <v>46168.59722</v>
      </c>
      <c r="Y252" s="104">
        <v>46167.74102458333</v>
      </c>
      <c r="Z252" s="105" t="s">
        <v>14</v>
      </c>
      <c r="AA252" s="111">
        <f t="shared" si="4"/>
        <v>0</v>
      </c>
      <c r="AB252" s="110" t="str">
        <f t="shared" si="5"/>
        <v>EMP5009 Rup Kumar Mandal</v>
      </c>
      <c r="AC252" s="103">
        <f>if(X252,_xlfn.WORKDAY.INTL(X252,AC$7,"0000001",Holidays!A:A)+hour(X252)/24+MINUTE(X252)/1440,"")</f>
        <v>46169.59722</v>
      </c>
      <c r="AD252" s="104">
        <v>46168.44573202546</v>
      </c>
      <c r="AE252" s="105" t="s">
        <v>14</v>
      </c>
      <c r="AF252" s="111">
        <f t="shared" si="6"/>
        <v>0</v>
      </c>
      <c r="AG252" s="110" t="str">
        <f t="shared" si="7"/>
        <v>EMP5009 Rup Kumar Mandal</v>
      </c>
      <c r="AH252" s="103">
        <f>if(AC252,if(and(hour(AC252+AH$7)&gt;9.5,(hour(AC252+AH$7)&lt;19.5)),AC252+AH$7,_xlfn.workday.intl(int(AC252),1,"0000001",Holidays!A:A)+hour(AC252+AH$7-$B$1)/24+minute(AC252)/1440),"")</f>
        <v>46169.63889</v>
      </c>
      <c r="AI252" s="104">
        <v>46168.44590896991</v>
      </c>
      <c r="AJ252" s="105" t="s">
        <v>14</v>
      </c>
      <c r="AK252" s="111">
        <f t="shared" si="8"/>
        <v>0</v>
      </c>
      <c r="AL252" s="112" t="str">
        <f t="shared" si="9"/>
        <v>EMP5009 Rup Kumar Mandal</v>
      </c>
      <c r="AM252" s="113"/>
      <c r="AN252" s="114" t="s">
        <v>672</v>
      </c>
      <c r="AO252" s="115"/>
      <c r="AP252" s="115"/>
      <c r="AQ252" s="115"/>
      <c r="AR252" s="115"/>
      <c r="AS252" s="115"/>
      <c r="AT252" s="115"/>
      <c r="AU252" s="115"/>
      <c r="AV252" s="115"/>
      <c r="AW252" s="115"/>
      <c r="AX252" s="115"/>
      <c r="AY252" s="115"/>
    </row>
    <row r="253">
      <c r="A253" s="95">
        <f t="shared" si="11"/>
        <v>5204</v>
      </c>
      <c r="B253" s="96">
        <v>46167.781177997684</v>
      </c>
      <c r="C253" s="97">
        <v>5231.0</v>
      </c>
      <c r="D253" s="97" t="s">
        <v>1561</v>
      </c>
      <c r="E253" s="98" t="s">
        <v>1562</v>
      </c>
      <c r="F253" s="97"/>
      <c r="G253" s="97" t="s">
        <v>1565</v>
      </c>
      <c r="H253" s="99" t="s">
        <v>62</v>
      </c>
      <c r="I253" s="100" t="s">
        <v>64</v>
      </c>
      <c r="J253" s="101" t="s">
        <v>1560</v>
      </c>
      <c r="K253" s="100"/>
      <c r="L253" s="102" t="s">
        <v>1566</v>
      </c>
      <c r="M253" s="103">
        <f>if(B253,if(and(hour(B253+M$7)&gt;9.5,(hour(B253+M$7)&lt;19.5)),B253+M$7,_xlfn.workday.intl(int(B253),1,"0000001",Holidays!A:A)+hour(B253+M$7-$B$1)/24+minute(B253)/1440),"")</f>
        <v>46168.53056</v>
      </c>
      <c r="N253" s="104">
        <v>46168.44553158565</v>
      </c>
      <c r="O253" s="105" t="s">
        <v>14</v>
      </c>
      <c r="P253" s="106">
        <f t="shared" si="1"/>
        <v>0</v>
      </c>
      <c r="Q253" s="107" t="s">
        <v>72</v>
      </c>
      <c r="R253" s="108" t="s">
        <v>434</v>
      </c>
      <c r="S253" s="103">
        <f>if(M253,if(and(hour(M253+S$7)&gt;9.5,(hour(M253+S$7)&lt;19.5)),M253+S$7,_xlfn.workday.intl(int(M253),1,"0000001",Holidays!A:A)+hour(M253+S$7-$B$1)/24+minute(M253)/1440),"")</f>
        <v>46168.5375</v>
      </c>
      <c r="T253" s="104">
        <v>46168.4456090625</v>
      </c>
      <c r="U253" s="105" t="s">
        <v>14</v>
      </c>
      <c r="V253" s="109">
        <f t="shared" si="2"/>
        <v>0</v>
      </c>
      <c r="W253" s="110" t="str">
        <f t="shared" si="3"/>
        <v>EMP5009 Rup Kumar Mandal</v>
      </c>
      <c r="X253" s="103">
        <f>if(S253,if(and(hour(S253+X$7)&gt;9.5,(hour(S253+X$7)&lt;19.5)),S253+X$7,_xlfn.workday.intl(int(S253),1,"0000001",Holidays!A:A)+hour(S253+X$7-$B$1)/24+minute(S253)/1440),"")</f>
        <v>46168.64167</v>
      </c>
      <c r="Y253" s="104">
        <v>46168.4457625463</v>
      </c>
      <c r="Z253" s="105" t="s">
        <v>14</v>
      </c>
      <c r="AA253" s="111">
        <f t="shared" si="4"/>
        <v>0</v>
      </c>
      <c r="AB253" s="110" t="str">
        <f t="shared" si="5"/>
        <v>EMP5009 Rup Kumar Mandal</v>
      </c>
      <c r="AC253" s="103">
        <f>if(X253,_xlfn.WORKDAY.INTL(X253,AC$7,"0000001",Holidays!A:A)+hour(X253)/24+MINUTE(X253)/1440,"")</f>
        <v>46169.64167</v>
      </c>
      <c r="AD253" s="104">
        <v>46168.44584193287</v>
      </c>
      <c r="AE253" s="105" t="s">
        <v>14</v>
      </c>
      <c r="AF253" s="111">
        <f t="shared" si="6"/>
        <v>0</v>
      </c>
      <c r="AG253" s="110" t="str">
        <f t="shared" si="7"/>
        <v>EMP5009 Rup Kumar Mandal</v>
      </c>
      <c r="AH253" s="103">
        <f>if(AC253,if(and(hour(AC253+AH$7)&gt;9.5,(hour(AC253+AH$7)&lt;19.5)),AC253+AH$7,_xlfn.workday.intl(int(AC253),1,"0000001",Holidays!A:A)+hour(AC253+AH$7-$B$1)/24+minute(AC253)/1440),"")</f>
        <v>46169.68333</v>
      </c>
      <c r="AI253" s="104">
        <v>46168.77994445602</v>
      </c>
      <c r="AJ253" s="105" t="s">
        <v>14</v>
      </c>
      <c r="AK253" s="111">
        <f t="shared" si="8"/>
        <v>0</v>
      </c>
      <c r="AL253" s="112" t="str">
        <f t="shared" si="9"/>
        <v>EMP5009 Rup Kumar Mandal</v>
      </c>
      <c r="AM253" s="113"/>
      <c r="AN253" s="114" t="s">
        <v>672</v>
      </c>
      <c r="AO253" s="115"/>
      <c r="AP253" s="115"/>
      <c r="AQ253" s="115"/>
      <c r="AR253" s="115"/>
      <c r="AS253" s="115"/>
      <c r="AT253" s="115"/>
      <c r="AU253" s="115"/>
      <c r="AV253" s="115"/>
      <c r="AW253" s="115"/>
      <c r="AX253" s="115"/>
      <c r="AY253" s="115"/>
    </row>
    <row r="254">
      <c r="A254" s="95">
        <f t="shared" si="11"/>
        <v>5205</v>
      </c>
      <c r="B254" s="96">
        <v>46167.78192983796</v>
      </c>
      <c r="C254" s="97">
        <v>5190.0</v>
      </c>
      <c r="D254" s="97" t="s">
        <v>1561</v>
      </c>
      <c r="E254" s="98" t="s">
        <v>1568</v>
      </c>
      <c r="F254" s="97"/>
      <c r="G254" s="97" t="s">
        <v>1565</v>
      </c>
      <c r="H254" s="99" t="s">
        <v>62</v>
      </c>
      <c r="I254" s="100" t="s">
        <v>64</v>
      </c>
      <c r="J254" s="101" t="s">
        <v>1560</v>
      </c>
      <c r="K254" s="100"/>
      <c r="L254" s="102" t="s">
        <v>1566</v>
      </c>
      <c r="M254" s="103">
        <f>if(B254,if(and(hour(B254+M$7)&gt;9.5,(hour(B254+M$7)&lt;19.5)),B254+M$7,_xlfn.workday.intl(int(B254),1,"0000001",Holidays!A:A)+hour(B254+M$7-$B$1)/24+minute(B254)/1440),"")</f>
        <v>46168.53125</v>
      </c>
      <c r="N254" s="104">
        <v>46168.44553158565</v>
      </c>
      <c r="O254" s="105" t="s">
        <v>14</v>
      </c>
      <c r="P254" s="106">
        <f t="shared" si="1"/>
        <v>0</v>
      </c>
      <c r="Q254" s="107" t="s">
        <v>72</v>
      </c>
      <c r="R254" s="108" t="s">
        <v>434</v>
      </c>
      <c r="S254" s="103">
        <f>if(M254,if(and(hour(M254+S$7)&gt;9.5,(hour(M254+S$7)&lt;19.5)),M254+S$7,_xlfn.workday.intl(int(M254),1,"0000001",Holidays!A:A)+hour(M254+S$7-$B$1)/24+minute(M254)/1440),"")</f>
        <v>46168.53819</v>
      </c>
      <c r="T254" s="104">
        <v>46168.44562929399</v>
      </c>
      <c r="U254" s="105" t="s">
        <v>14</v>
      </c>
      <c r="V254" s="109">
        <f t="shared" si="2"/>
        <v>0</v>
      </c>
      <c r="W254" s="110" t="str">
        <f t="shared" si="3"/>
        <v>EMP5009 Rup Kumar Mandal</v>
      </c>
      <c r="X254" s="103">
        <f>if(S254,if(and(hour(S254+X$7)&gt;9.5,(hour(S254+X$7)&lt;19.5)),S254+X$7,_xlfn.workday.intl(int(S254),1,"0000001",Holidays!A:A)+hour(S254+X$7-$B$1)/24+minute(S254)/1440),"")</f>
        <v>46168.64236</v>
      </c>
      <c r="Y254" s="104">
        <v>46168.4457625463</v>
      </c>
      <c r="Z254" s="105" t="s">
        <v>14</v>
      </c>
      <c r="AA254" s="111">
        <f t="shared" si="4"/>
        <v>0</v>
      </c>
      <c r="AB254" s="110" t="str">
        <f t="shared" si="5"/>
        <v>EMP5009 Rup Kumar Mandal</v>
      </c>
      <c r="AC254" s="103">
        <f>if(X254,_xlfn.WORKDAY.INTL(X254,AC$7,"0000001",Holidays!A:A)+hour(X254)/24+MINUTE(X254)/1440,"")</f>
        <v>46169.64236</v>
      </c>
      <c r="AD254" s="104">
        <v>46168.44584193287</v>
      </c>
      <c r="AE254" s="105" t="s">
        <v>14</v>
      </c>
      <c r="AF254" s="111">
        <f t="shared" si="6"/>
        <v>0</v>
      </c>
      <c r="AG254" s="110" t="str">
        <f t="shared" si="7"/>
        <v>EMP5009 Rup Kumar Mandal</v>
      </c>
      <c r="AH254" s="103">
        <f>if(AC254,if(and(hour(AC254+AH$7)&gt;9.5,(hour(AC254+AH$7)&lt;19.5)),AC254+AH$7,_xlfn.workday.intl(int(AC254),1,"0000001",Holidays!A:A)+hour(AC254+AH$7-$B$1)/24+minute(AC254)/1440),"")</f>
        <v>46169.68403</v>
      </c>
      <c r="AI254" s="104">
        <v>46169.44505513889</v>
      </c>
      <c r="AJ254" s="105" t="s">
        <v>14</v>
      </c>
      <c r="AK254" s="111">
        <f t="shared" si="8"/>
        <v>0</v>
      </c>
      <c r="AL254" s="112" t="str">
        <f t="shared" si="9"/>
        <v>EMP5009 Rup Kumar Mandal</v>
      </c>
      <c r="AM254" s="113"/>
      <c r="AN254" s="114" t="s">
        <v>672</v>
      </c>
      <c r="AO254" s="115"/>
      <c r="AP254" s="115"/>
      <c r="AQ254" s="115"/>
      <c r="AR254" s="115"/>
      <c r="AS254" s="115"/>
      <c r="AT254" s="115"/>
      <c r="AU254" s="115"/>
      <c r="AV254" s="115"/>
      <c r="AW254" s="115"/>
      <c r="AX254" s="115"/>
      <c r="AY254" s="115"/>
    </row>
    <row r="255">
      <c r="A255" s="95">
        <f t="shared" si="11"/>
        <v>5206</v>
      </c>
      <c r="B255" s="96">
        <v>46167.782791018515</v>
      </c>
      <c r="C255" s="97">
        <v>5189.0</v>
      </c>
      <c r="D255" s="97" t="s">
        <v>1561</v>
      </c>
      <c r="E255" s="98" t="s">
        <v>1570</v>
      </c>
      <c r="F255" s="97"/>
      <c r="G255" s="97" t="s">
        <v>1565</v>
      </c>
      <c r="H255" s="99" t="s">
        <v>62</v>
      </c>
      <c r="I255" s="100" t="s">
        <v>64</v>
      </c>
      <c r="J255" s="101" t="s">
        <v>1560</v>
      </c>
      <c r="K255" s="100"/>
      <c r="L255" s="102" t="s">
        <v>1566</v>
      </c>
      <c r="M255" s="103">
        <f>if(B255,if(and(hour(B255+M$7)&gt;9.5,(hour(B255+M$7)&lt;19.5)),B255+M$7,_xlfn.workday.intl(int(B255),1,"0000001",Holidays!A:A)+hour(B255+M$7-$B$1)/24+minute(B255)/1440),"")</f>
        <v>46168.53264</v>
      </c>
      <c r="N255" s="104">
        <v>46168.44554137731</v>
      </c>
      <c r="O255" s="105" t="s">
        <v>14</v>
      </c>
      <c r="P255" s="106">
        <f t="shared" si="1"/>
        <v>0</v>
      </c>
      <c r="Q255" s="107" t="s">
        <v>72</v>
      </c>
      <c r="R255" s="108" t="s">
        <v>434</v>
      </c>
      <c r="S255" s="103">
        <f>if(M255,if(and(hour(M255+S$7)&gt;9.5,(hour(M255+S$7)&lt;19.5)),M255+S$7,_xlfn.workday.intl(int(M255),1,"0000001",Holidays!A:A)+hour(M255+S$7-$B$1)/24+minute(M255)/1440),"")</f>
        <v>46168.53958</v>
      </c>
      <c r="T255" s="104">
        <v>46168.44562929399</v>
      </c>
      <c r="U255" s="105" t="s">
        <v>14</v>
      </c>
      <c r="V255" s="109">
        <f t="shared" si="2"/>
        <v>0</v>
      </c>
      <c r="W255" s="110" t="str">
        <f t="shared" si="3"/>
        <v>EMP5009 Rup Kumar Mandal</v>
      </c>
      <c r="X255" s="103">
        <f>if(S255,if(and(hour(S255+X$7)&gt;9.5,(hour(S255+X$7)&lt;19.5)),S255+X$7,_xlfn.workday.intl(int(S255),1,"0000001",Holidays!A:A)+hour(S255+X$7-$B$1)/24+minute(S255)/1440),"")</f>
        <v>46168.64375</v>
      </c>
      <c r="Y255" s="104">
        <v>46168.44577392361</v>
      </c>
      <c r="Z255" s="105" t="s">
        <v>14</v>
      </c>
      <c r="AA255" s="111">
        <f t="shared" si="4"/>
        <v>0</v>
      </c>
      <c r="AB255" s="110" t="str">
        <f t="shared" si="5"/>
        <v>EMP5009 Rup Kumar Mandal</v>
      </c>
      <c r="AC255" s="103">
        <f>if(X255,_xlfn.WORKDAY.INTL(X255,AC$7,"0000001",Holidays!A:A)+hour(X255)/24+MINUTE(X255)/1440,"")</f>
        <v>46169.64375</v>
      </c>
      <c r="AD255" s="104">
        <v>46168.44584655092</v>
      </c>
      <c r="AE255" s="105" t="s">
        <v>14</v>
      </c>
      <c r="AF255" s="111">
        <f t="shared" si="6"/>
        <v>0</v>
      </c>
      <c r="AG255" s="110" t="str">
        <f t="shared" si="7"/>
        <v>EMP5009 Rup Kumar Mandal</v>
      </c>
      <c r="AH255" s="103">
        <f>if(AC255,if(and(hour(AC255+AH$7)&gt;9.5,(hour(AC255+AH$7)&lt;19.5)),AC255+AH$7,_xlfn.workday.intl(int(AC255),1,"0000001",Holidays!A:A)+hour(AC255+AH$7-$B$1)/24+minute(AC255)/1440),"")</f>
        <v>46169.68542</v>
      </c>
      <c r="AI255" s="104">
        <v>46168.779955590275</v>
      </c>
      <c r="AJ255" s="105" t="s">
        <v>14</v>
      </c>
      <c r="AK255" s="111">
        <f t="shared" si="8"/>
        <v>0</v>
      </c>
      <c r="AL255" s="112" t="str">
        <f t="shared" si="9"/>
        <v>EMP5009 Rup Kumar Mandal</v>
      </c>
      <c r="AM255" s="113"/>
      <c r="AN255" s="114" t="s">
        <v>672</v>
      </c>
      <c r="AO255" s="115"/>
      <c r="AP255" s="115"/>
      <c r="AQ255" s="115"/>
      <c r="AR255" s="115"/>
      <c r="AS255" s="115"/>
      <c r="AT255" s="115"/>
      <c r="AU255" s="115"/>
      <c r="AV255" s="115"/>
      <c r="AW255" s="115"/>
      <c r="AX255" s="115"/>
      <c r="AY255" s="115"/>
    </row>
    <row r="256">
      <c r="A256" s="95">
        <f t="shared" si="11"/>
        <v>5207</v>
      </c>
      <c r="B256" s="96">
        <v>46168.68008413195</v>
      </c>
      <c r="C256" s="97" t="s">
        <v>1088</v>
      </c>
      <c r="D256" s="97" t="s">
        <v>769</v>
      </c>
      <c r="E256" s="98" t="s">
        <v>1572</v>
      </c>
      <c r="F256" s="97"/>
      <c r="G256" s="97" t="s">
        <v>1575</v>
      </c>
      <c r="H256" s="99" t="s">
        <v>62</v>
      </c>
      <c r="I256" s="100" t="s">
        <v>64</v>
      </c>
      <c r="J256" s="101" t="s">
        <v>768</v>
      </c>
      <c r="K256" s="100"/>
      <c r="L256" s="102" t="s">
        <v>1578</v>
      </c>
      <c r="M256" s="103">
        <f>if(B256,if(and(hour(B256+M$7)&gt;9.5,(hour(B256+M$7)&lt;19.5)),B256+M$7,_xlfn.workday.intl(int(B256),1,"0000001",Holidays!A:A)+hour(B256+M$7-$B$1)/24+minute(B256)/1440),"")</f>
        <v>46169.42986</v>
      </c>
      <c r="N256" s="104">
        <v>46168.68581084491</v>
      </c>
      <c r="O256" s="105" t="s">
        <v>14</v>
      </c>
      <c r="P256" s="106">
        <f t="shared" si="1"/>
        <v>0</v>
      </c>
      <c r="Q256" s="107" t="s">
        <v>72</v>
      </c>
      <c r="R256" s="108" t="s">
        <v>434</v>
      </c>
      <c r="S256" s="103">
        <f>if(M256,if(and(hour(M256+S$7)&gt;9.5,(hour(M256+S$7)&lt;19.5)),M256+S$7,_xlfn.workday.intl(int(M256),1,"0000001",Holidays!A:A)+hour(M256+S$7-$B$1)/24+minute(M256)/1440),"")</f>
        <v>46169.43681</v>
      </c>
      <c r="T256" s="104">
        <v>46168.68594658565</v>
      </c>
      <c r="U256" s="105" t="s">
        <v>14</v>
      </c>
      <c r="V256" s="109">
        <f t="shared" si="2"/>
        <v>0</v>
      </c>
      <c r="W256" s="110" t="str">
        <f t="shared" si="3"/>
        <v>EMP5009 Rup Kumar Mandal</v>
      </c>
      <c r="X256" s="103">
        <f>if(S256,if(and(hour(S256+X$7)&gt;9.5,(hour(S256+X$7)&lt;19.5)),S256+X$7,_xlfn.workday.intl(int(S256),1,"0000001",Holidays!A:A)+hour(S256+X$7-$B$1)/24+minute(S256)/1440),"")</f>
        <v>46169.54097</v>
      </c>
      <c r="Y256" s="104">
        <v>46168.68597341435</v>
      </c>
      <c r="Z256" s="105" t="s">
        <v>14</v>
      </c>
      <c r="AA256" s="111">
        <f t="shared" si="4"/>
        <v>0</v>
      </c>
      <c r="AB256" s="110" t="str">
        <f t="shared" si="5"/>
        <v>EMP5009 Rup Kumar Mandal</v>
      </c>
      <c r="AC256" s="103">
        <f>if(X256,_xlfn.WORKDAY.INTL(X256,AC$7,"0000001",Holidays!A:A)+hour(X256)/24+MINUTE(X256)/1440,"")</f>
        <v>46170.54097</v>
      </c>
      <c r="AD256" s="104">
        <v>46168.77991702546</v>
      </c>
      <c r="AE256" s="105" t="s">
        <v>14</v>
      </c>
      <c r="AF256" s="111">
        <f t="shared" si="6"/>
        <v>0</v>
      </c>
      <c r="AG256" s="110" t="str">
        <f t="shared" si="7"/>
        <v>EMP5009 Rup Kumar Mandal</v>
      </c>
      <c r="AH256" s="103">
        <f>if(AC256,if(and(hour(AC256+AH$7)&gt;9.5,(hour(AC256+AH$7)&lt;19.5)),AC256+AH$7,_xlfn.workday.intl(int(AC256),1,"0000001",Holidays!A:A)+hour(AC256+AH$7-$B$1)/24+minute(AC256)/1440),"")</f>
        <v>46170.58264</v>
      </c>
      <c r="AI256" s="104">
        <v>46169.44506262732</v>
      </c>
      <c r="AJ256" s="105" t="s">
        <v>14</v>
      </c>
      <c r="AK256" s="111">
        <f t="shared" si="8"/>
        <v>0</v>
      </c>
      <c r="AL256" s="112" t="str">
        <f t="shared" si="9"/>
        <v>EMP5009 Rup Kumar Mandal</v>
      </c>
      <c r="AM256" s="113"/>
      <c r="AN256" s="114" t="s">
        <v>672</v>
      </c>
      <c r="AO256" s="115"/>
      <c r="AP256" s="115"/>
      <c r="AQ256" s="115"/>
      <c r="AR256" s="115"/>
      <c r="AS256" s="115"/>
      <c r="AT256" s="115"/>
      <c r="AU256" s="115"/>
      <c r="AV256" s="115"/>
      <c r="AW256" s="115"/>
      <c r="AX256" s="115"/>
      <c r="AY256" s="115"/>
    </row>
    <row r="257">
      <c r="A257" s="95">
        <f t="shared" si="11"/>
        <v>5208</v>
      </c>
      <c r="B257" s="96">
        <v>46169.510110787036</v>
      </c>
      <c r="C257" s="97" t="s">
        <v>1091</v>
      </c>
      <c r="D257" s="97" t="s">
        <v>1580</v>
      </c>
      <c r="E257" s="98" t="s">
        <v>1581</v>
      </c>
      <c r="F257" s="97"/>
      <c r="G257" s="97" t="s">
        <v>1584</v>
      </c>
      <c r="H257" s="99" t="s">
        <v>147</v>
      </c>
      <c r="I257" s="100" t="s">
        <v>64</v>
      </c>
      <c r="J257" s="101" t="s">
        <v>1579</v>
      </c>
      <c r="K257" s="100"/>
      <c r="L257" s="102" t="s">
        <v>1585</v>
      </c>
      <c r="M257" s="103">
        <f>if(B257,if(and(hour(B257+M$7)&gt;9.5,(hour(B257+M$7)&lt;19.5)),B257+M$7,_xlfn.workday.intl(int(B257),1,"0000001",Holidays!A:A)+hour(B257+M$7-$B$1)/24+minute(B257)/1440),"")</f>
        <v>46169.67678</v>
      </c>
      <c r="N257" s="104">
        <v>46169.53720892361</v>
      </c>
      <c r="O257" s="105" t="s">
        <v>14</v>
      </c>
      <c r="P257" s="106">
        <f t="shared" si="1"/>
        <v>0</v>
      </c>
      <c r="Q257" s="107" t="s">
        <v>15</v>
      </c>
      <c r="R257" s="108" t="s">
        <v>434</v>
      </c>
      <c r="S257" s="103">
        <f>if(M257,if(and(hour(M257+S$7)&gt;9.5,(hour(M257+S$7)&lt;19.5)),M257+S$7,_xlfn.workday.intl(int(M257),1,"0000001",Holidays!A:A)+hour(M257+S$7-$B$1)/24+minute(M257)/1440),"")</f>
        <v>46169.68372</v>
      </c>
      <c r="T257" s="104">
        <v>46169.53728614583</v>
      </c>
      <c r="U257" s="105" t="s">
        <v>14</v>
      </c>
      <c r="V257" s="109">
        <f t="shared" si="2"/>
        <v>0</v>
      </c>
      <c r="W257" s="110" t="str">
        <f t="shared" si="3"/>
        <v>EMP0042 HULESHWAR KUMAR SAHU</v>
      </c>
      <c r="X257" s="103">
        <f>if(S257,if(and(hour(S257+X$7)&gt;9.5,(hour(S257+X$7)&lt;19.5)),S257+X$7,_xlfn.workday.intl(int(S257),1,"0000001",Holidays!A:A)+hour(S257+X$7-$B$1)/24+minute(S257)/1440),"")</f>
        <v>46169.78789</v>
      </c>
      <c r="Y257" s="104">
        <v>46169.53741751157</v>
      </c>
      <c r="Z257" s="105" t="s">
        <v>14</v>
      </c>
      <c r="AA257" s="111">
        <f t="shared" si="4"/>
        <v>0</v>
      </c>
      <c r="AB257" s="110" t="str">
        <f t="shared" si="5"/>
        <v>EMP0042 HULESHWAR KUMAR SAHU</v>
      </c>
      <c r="AC257" s="103">
        <f>if(X257,_xlfn.WORKDAY.INTL(X257,AC$7,"0000001",Holidays!A:A)+hour(X257)/24+MINUTE(X257)/1440,"")</f>
        <v>46170.7875</v>
      </c>
      <c r="AD257" s="104">
        <v>46169.79532038195</v>
      </c>
      <c r="AE257" s="105" t="s">
        <v>14</v>
      </c>
      <c r="AF257" s="111">
        <f t="shared" si="6"/>
        <v>0</v>
      </c>
      <c r="AG257" s="110" t="str">
        <f t="shared" si="7"/>
        <v>EMP0042 HULESHWAR KUMAR SAHU</v>
      </c>
      <c r="AH257" s="103">
        <f>if(AC257,if(and(hour(AC257+AH$7)&gt;9.5,(hour(AC257+AH$7)&lt;19.5)),AC257+AH$7,_xlfn.workday.intl(int(AC257),1,"0000001",Holidays!A:A)+hour(AC257+AH$7-$B$1)/24+minute(AC257)/1440),"")</f>
        <v>46170.82917</v>
      </c>
      <c r="AI257" s="104">
        <v>46170.67021181713</v>
      </c>
      <c r="AJ257" s="105" t="s">
        <v>14</v>
      </c>
      <c r="AK257" s="111">
        <f t="shared" si="8"/>
        <v>0</v>
      </c>
      <c r="AL257" s="112" t="str">
        <f t="shared" si="9"/>
        <v>EMP0042 HULESHWAR KUMAR SAHU</v>
      </c>
      <c r="AM257" s="113"/>
      <c r="AN257" s="114" t="s">
        <v>672</v>
      </c>
      <c r="AO257" s="115"/>
      <c r="AP257" s="115"/>
      <c r="AQ257" s="115"/>
      <c r="AR257" s="115"/>
      <c r="AS257" s="115"/>
      <c r="AT257" s="115"/>
      <c r="AU257" s="115"/>
      <c r="AV257" s="115"/>
      <c r="AW257" s="115"/>
      <c r="AX257" s="115"/>
      <c r="AY257" s="115"/>
    </row>
    <row r="258">
      <c r="A258" s="95">
        <f t="shared" si="11"/>
        <v>5209</v>
      </c>
      <c r="B258" s="96">
        <v>46169.65238561343</v>
      </c>
      <c r="C258" s="97" t="s">
        <v>318</v>
      </c>
      <c r="D258" s="97" t="s">
        <v>1587</v>
      </c>
      <c r="E258" s="98" t="s">
        <v>1588</v>
      </c>
      <c r="F258" s="97"/>
      <c r="G258" s="97" t="s">
        <v>674</v>
      </c>
      <c r="H258" s="99" t="s">
        <v>62</v>
      </c>
      <c r="I258" s="100" t="s">
        <v>64</v>
      </c>
      <c r="J258" s="101" t="s">
        <v>662</v>
      </c>
      <c r="K258" s="100"/>
      <c r="L258" s="102" t="s">
        <v>1591</v>
      </c>
      <c r="M258" s="103">
        <f>if(B258,if(and(hour(B258+M$7)&gt;9.5,(hour(B258+M$7)&lt;19.5)),B258+M$7,_xlfn.workday.intl(int(B258),1,"0000001",Holidays!A:A)+hour(B258+M$7-$B$1)/24+minute(B258)/1440),"")</f>
        <v>46169.81905</v>
      </c>
      <c r="N258" s="104">
        <v>46169.73813858796</v>
      </c>
      <c r="O258" s="105" t="s">
        <v>14</v>
      </c>
      <c r="P258" s="106">
        <f t="shared" si="1"/>
        <v>0</v>
      </c>
      <c r="Q258" s="107" t="s">
        <v>72</v>
      </c>
      <c r="R258" s="108" t="s">
        <v>434</v>
      </c>
      <c r="S258" s="103">
        <f>if(M258,if(and(hour(M258+S$7)&gt;9.5,(hour(M258+S$7)&lt;19.5)),M258+S$7,_xlfn.workday.intl(int(M258),1,"0000001",Holidays!A:A)+hour(M258+S$7-$B$1)/24+minute(M258)/1440),"")</f>
        <v>46169.826</v>
      </c>
      <c r="T258" s="104">
        <v>46169.73827003472</v>
      </c>
      <c r="U258" s="105" t="s">
        <v>14</v>
      </c>
      <c r="V258" s="109">
        <f t="shared" si="2"/>
        <v>0</v>
      </c>
      <c r="W258" s="110" t="str">
        <f t="shared" si="3"/>
        <v>EMP5009 Rup Kumar Mandal</v>
      </c>
      <c r="X258" s="103">
        <f>if(S258,if(and(hour(S258+X$7)&gt;9.5,(hour(S258+X$7)&lt;19.5)),S258+X$7,_xlfn.workday.intl(int(S258),1,"0000001",Holidays!A:A)+hour(S258+X$7-$B$1)/24+minute(S258)/1440),"")</f>
        <v>46170.53403</v>
      </c>
      <c r="Y258" s="104">
        <v>46169.76092881944</v>
      </c>
      <c r="Z258" s="105" t="s">
        <v>14</v>
      </c>
      <c r="AA258" s="111">
        <f t="shared" si="4"/>
        <v>0</v>
      </c>
      <c r="AB258" s="110" t="str">
        <f t="shared" si="5"/>
        <v>EMP5009 Rup Kumar Mandal</v>
      </c>
      <c r="AC258" s="103">
        <f>if(X258,_xlfn.WORKDAY.INTL(X258,AC$7,"0000001",Holidays!A:A)+hour(X258)/24+MINUTE(X258)/1440,"")</f>
        <v>46171.53403</v>
      </c>
      <c r="AD258" s="104">
        <v>46170.57608835648</v>
      </c>
      <c r="AE258" s="105" t="s">
        <v>14</v>
      </c>
      <c r="AF258" s="111">
        <f t="shared" si="6"/>
        <v>0</v>
      </c>
      <c r="AG258" s="110" t="str">
        <f t="shared" si="7"/>
        <v>EMP5009 Rup Kumar Mandal</v>
      </c>
      <c r="AH258" s="103">
        <f>if(AC258,if(and(hour(AC258+AH$7)&gt;9.5,(hour(AC258+AH$7)&lt;19.5)),AC258+AH$7,_xlfn.workday.intl(int(AC258),1,"0000001",Holidays!A:A)+hour(AC258+AH$7-$B$1)/24+minute(AC258)/1440),"")</f>
        <v>46171.57569</v>
      </c>
      <c r="AI258" s="104">
        <v>46170.57615689815</v>
      </c>
      <c r="AJ258" s="105" t="s">
        <v>14</v>
      </c>
      <c r="AK258" s="111">
        <f t="shared" si="8"/>
        <v>0</v>
      </c>
      <c r="AL258" s="112" t="str">
        <f t="shared" si="9"/>
        <v>EMP5009 Rup Kumar Mandal</v>
      </c>
      <c r="AM258" s="113"/>
      <c r="AN258" s="114" t="s">
        <v>672</v>
      </c>
      <c r="AO258" s="115"/>
      <c r="AP258" s="115"/>
      <c r="AQ258" s="115"/>
      <c r="AR258" s="115"/>
      <c r="AS258" s="115"/>
      <c r="AT258" s="115"/>
      <c r="AU258" s="115"/>
      <c r="AV258" s="115"/>
      <c r="AW258" s="115"/>
      <c r="AX258" s="115"/>
      <c r="AY258" s="115"/>
    </row>
    <row r="259">
      <c r="A259" s="95">
        <f t="shared" si="11"/>
        <v>5210</v>
      </c>
      <c r="B259" s="96">
        <v>46169.72956866898</v>
      </c>
      <c r="C259" s="97" t="s">
        <v>1096</v>
      </c>
      <c r="D259" s="97" t="s">
        <v>49</v>
      </c>
      <c r="E259" s="98" t="s">
        <v>1592</v>
      </c>
      <c r="F259" s="97"/>
      <c r="G259" s="97" t="s">
        <v>60</v>
      </c>
      <c r="H259" s="99" t="s">
        <v>62</v>
      </c>
      <c r="I259" s="100" t="s">
        <v>64</v>
      </c>
      <c r="J259" s="101" t="s">
        <v>47</v>
      </c>
      <c r="K259" s="100"/>
      <c r="L259" s="102" t="s">
        <v>1595</v>
      </c>
      <c r="M259" s="103">
        <f>if(B259,if(and(hour(B259+M$7)&gt;9.5,(hour(B259+M$7)&lt;19.5)),B259+M$7,_xlfn.workday.intl(int(B259),1,"0000001",Holidays!A:A)+hour(B259+M$7-$B$1)/24+minute(B259)/1440),"")</f>
        <v>46170.47917</v>
      </c>
      <c r="N259" s="104">
        <v>46169.7381171875</v>
      </c>
      <c r="O259" s="105" t="s">
        <v>14</v>
      </c>
      <c r="P259" s="106">
        <f t="shared" si="1"/>
        <v>0</v>
      </c>
      <c r="Q259" s="107" t="s">
        <v>61</v>
      </c>
      <c r="R259" s="108" t="s">
        <v>434</v>
      </c>
      <c r="S259" s="103">
        <f>if(M259,if(and(hour(M259+S$7)&gt;9.5,(hour(M259+S$7)&lt;19.5)),M259+S$7,_xlfn.workday.intl(int(M259),1,"0000001",Holidays!A:A)+hour(M259+S$7-$B$1)/24+minute(M259)/1440),"")</f>
        <v>46170.48611</v>
      </c>
      <c r="T259" s="104">
        <v>46169.73845030092</v>
      </c>
      <c r="U259" s="105" t="s">
        <v>14</v>
      </c>
      <c r="V259" s="109">
        <f t="shared" si="2"/>
        <v>0</v>
      </c>
      <c r="W259" s="110" t="str">
        <f t="shared" si="3"/>
        <v>EMP0021 Tamanna Dewangan</v>
      </c>
      <c r="X259" s="103">
        <f>if(S259,if(and(hour(S259+X$7)&gt;9.5,(hour(S259+X$7)&lt;19.5)),S259+X$7,_xlfn.workday.intl(int(S259),1,"0000001",Holidays!A:A)+hour(S259+X$7-$B$1)/24+minute(S259)/1440),"")</f>
        <v>46170.59028</v>
      </c>
      <c r="Y259" s="104">
        <v>46169.76094436343</v>
      </c>
      <c r="Z259" s="105" t="s">
        <v>14</v>
      </c>
      <c r="AA259" s="111">
        <f t="shared" si="4"/>
        <v>0</v>
      </c>
      <c r="AB259" s="110" t="str">
        <f t="shared" si="5"/>
        <v>EMP0021 Tamanna Dewangan</v>
      </c>
      <c r="AC259" s="103">
        <f>if(X259,_xlfn.WORKDAY.INTL(X259,AC$7,"0000001",Holidays!A:A)+hour(X259)/24+MINUTE(X259)/1440,"")</f>
        <v>46171.59028</v>
      </c>
      <c r="AD259" s="104">
        <v>46169.761047002314</v>
      </c>
      <c r="AE259" s="105" t="s">
        <v>14</v>
      </c>
      <c r="AF259" s="111">
        <f t="shared" si="6"/>
        <v>0</v>
      </c>
      <c r="AG259" s="110" t="str">
        <f t="shared" si="7"/>
        <v>EMP0021 Tamanna Dewangan</v>
      </c>
      <c r="AH259" s="103">
        <f>if(AC259,if(and(hour(AC259+AH$7)&gt;9.5,(hour(AC259+AH$7)&lt;19.5)),AC259+AH$7,_xlfn.workday.intl(int(AC259),1,"0000001",Holidays!A:A)+hour(AC259+AH$7-$B$1)/24+minute(AC259)/1440),"")</f>
        <v>46171.63194</v>
      </c>
      <c r="AI259" s="104">
        <v>46169.76111846065</v>
      </c>
      <c r="AJ259" s="105" t="s">
        <v>14</v>
      </c>
      <c r="AK259" s="111">
        <f t="shared" si="8"/>
        <v>0</v>
      </c>
      <c r="AL259" s="112" t="str">
        <f t="shared" si="9"/>
        <v>EMP0021 Tamanna Dewangan</v>
      </c>
      <c r="AM259" s="113"/>
      <c r="AN259" s="114" t="s">
        <v>672</v>
      </c>
      <c r="AO259" s="115"/>
      <c r="AP259" s="115"/>
      <c r="AQ259" s="115"/>
      <c r="AR259" s="115"/>
      <c r="AS259" s="115"/>
      <c r="AT259" s="115"/>
      <c r="AU259" s="115"/>
      <c r="AV259" s="115"/>
      <c r="AW259" s="115"/>
      <c r="AX259" s="115"/>
      <c r="AY259" s="115"/>
    </row>
    <row r="260">
      <c r="A260" s="95">
        <f t="shared" si="11"/>
        <v>5211</v>
      </c>
      <c r="B260" s="96">
        <v>46169.73123204861</v>
      </c>
      <c r="C260" s="97" t="s">
        <v>166</v>
      </c>
      <c r="D260" s="97" t="s">
        <v>49</v>
      </c>
      <c r="E260" s="98" t="s">
        <v>1596</v>
      </c>
      <c r="F260" s="97"/>
      <c r="G260" s="97" t="s">
        <v>378</v>
      </c>
      <c r="H260" s="99" t="s">
        <v>62</v>
      </c>
      <c r="I260" s="100" t="s">
        <v>64</v>
      </c>
      <c r="J260" s="101" t="s">
        <v>47</v>
      </c>
      <c r="K260" s="100"/>
      <c r="L260" s="102" t="s">
        <v>1598</v>
      </c>
      <c r="M260" s="103">
        <f>if(B260,if(and(hour(B260+M$7)&gt;9.5,(hour(B260+M$7)&lt;19.5)),B260+M$7,_xlfn.workday.intl(int(B260),1,"0000001",Holidays!A:A)+hour(B260+M$7-$B$1)/24+minute(B260)/1440),"")</f>
        <v>46170.48056</v>
      </c>
      <c r="N260" s="104">
        <v>46169.73810449074</v>
      </c>
      <c r="O260" s="105" t="s">
        <v>14</v>
      </c>
      <c r="P260" s="106">
        <f t="shared" si="1"/>
        <v>0</v>
      </c>
      <c r="Q260" s="107" t="s">
        <v>15</v>
      </c>
      <c r="R260" s="108" t="s">
        <v>434</v>
      </c>
      <c r="S260" s="103">
        <f>if(M260,if(and(hour(M260+S$7)&gt;9.5,(hour(M260+S$7)&lt;19.5)),M260+S$7,_xlfn.workday.intl(int(M260),1,"0000001",Holidays!A:A)+hour(M260+S$7-$B$1)/24+minute(M260)/1440),"")</f>
        <v>46170.4875</v>
      </c>
      <c r="T260" s="104">
        <v>46169.73827858796</v>
      </c>
      <c r="U260" s="105" t="s">
        <v>14</v>
      </c>
      <c r="V260" s="109">
        <f t="shared" si="2"/>
        <v>0</v>
      </c>
      <c r="W260" s="110" t="str">
        <f t="shared" si="3"/>
        <v>EMP0042 HULESHWAR KUMAR SAHU</v>
      </c>
      <c r="X260" s="103">
        <f>if(S260,if(and(hour(S260+X$7)&gt;9.5,(hour(S260+X$7)&lt;19.5)),S260+X$7,_xlfn.workday.intl(int(S260),1,"0000001",Holidays!A:A)+hour(S260+X$7-$B$1)/24+minute(S260)/1440),"")</f>
        <v>46170.59167</v>
      </c>
      <c r="Y260" s="104">
        <v>46169.760960162035</v>
      </c>
      <c r="Z260" s="105" t="s">
        <v>14</v>
      </c>
      <c r="AA260" s="111">
        <f t="shared" si="4"/>
        <v>0</v>
      </c>
      <c r="AB260" s="110" t="str">
        <f t="shared" si="5"/>
        <v>EMP0042 HULESHWAR KUMAR SAHU</v>
      </c>
      <c r="AC260" s="103">
        <f>if(X260,_xlfn.WORKDAY.INTL(X260,AC$7,"0000001",Holidays!A:A)+hour(X260)/24+MINUTE(X260)/1440,"")</f>
        <v>46171.59167</v>
      </c>
      <c r="AD260" s="104">
        <v>46169.795219629625</v>
      </c>
      <c r="AE260" s="105" t="s">
        <v>14</v>
      </c>
      <c r="AF260" s="111">
        <f t="shared" si="6"/>
        <v>0</v>
      </c>
      <c r="AG260" s="110" t="str">
        <f t="shared" si="7"/>
        <v>EMP0042 HULESHWAR KUMAR SAHU</v>
      </c>
      <c r="AH260" s="103">
        <f>if(AC260,if(and(hour(AC260+AH$7)&gt;9.5,(hour(AC260+AH$7)&lt;19.5)),AC260+AH$7,_xlfn.workday.intl(int(AC260),1,"0000001",Holidays!A:A)+hour(AC260+AH$7-$B$1)/24+minute(AC260)/1440),"")</f>
        <v>46171.63333</v>
      </c>
      <c r="AI260" s="104">
        <v>46169.7952534838</v>
      </c>
      <c r="AJ260" s="105" t="s">
        <v>14</v>
      </c>
      <c r="AK260" s="111">
        <f t="shared" si="8"/>
        <v>0</v>
      </c>
      <c r="AL260" s="112" t="str">
        <f t="shared" si="9"/>
        <v>EMP0042 HULESHWAR KUMAR SAHU</v>
      </c>
      <c r="AM260" s="113"/>
      <c r="AN260" s="114" t="s">
        <v>672</v>
      </c>
      <c r="AO260" s="115"/>
      <c r="AP260" s="115"/>
      <c r="AQ260" s="115"/>
      <c r="AR260" s="115"/>
      <c r="AS260" s="115"/>
      <c r="AT260" s="115"/>
      <c r="AU260" s="115"/>
      <c r="AV260" s="115"/>
      <c r="AW260" s="115"/>
      <c r="AX260" s="115"/>
      <c r="AY260" s="115"/>
    </row>
    <row r="261">
      <c r="A261" s="95">
        <f t="shared" si="11"/>
        <v>5212</v>
      </c>
      <c r="B261" s="96">
        <v>46170.53666405093</v>
      </c>
      <c r="C261" s="97" t="s">
        <v>1102</v>
      </c>
      <c r="D261" s="97" t="s">
        <v>1601</v>
      </c>
      <c r="E261" s="98" t="s">
        <v>1602</v>
      </c>
      <c r="F261" s="97"/>
      <c r="G261" s="97" t="s">
        <v>1605</v>
      </c>
      <c r="H261" s="99" t="s">
        <v>126</v>
      </c>
      <c r="I261" s="100" t="s">
        <v>324</v>
      </c>
      <c r="J261" s="101" t="s">
        <v>141</v>
      </c>
      <c r="K261" s="100"/>
      <c r="L261" s="102" t="s">
        <v>1606</v>
      </c>
      <c r="M261" s="103">
        <f>if(B261,if(and(hour(B261+M$7)&gt;9.5,(hour(B261+M$7)&lt;19.5)),B261+M$7,_xlfn.workday.intl(int(B261),1,"0000001",Holidays!A:A)+hour(B261+M$7-$B$1)/24+minute(B261)/1440),"")</f>
        <v>46170.70333</v>
      </c>
      <c r="N261" s="104">
        <v>46170.588698368054</v>
      </c>
      <c r="O261" s="105" t="s">
        <v>14</v>
      </c>
      <c r="P261" s="106">
        <f t="shared" si="1"/>
        <v>0</v>
      </c>
      <c r="Q261" s="107" t="s">
        <v>15</v>
      </c>
      <c r="R261" s="108" t="s">
        <v>434</v>
      </c>
      <c r="S261" s="103">
        <f>if(M261,if(and(hour(M261+S$7)&gt;9.5,(hour(M261+S$7)&lt;19.5)),M261+S$7,_xlfn.workday.intl(int(M261),1,"0000001",Holidays!A:A)+hour(M261+S$7-$B$1)/24+minute(M261)/1440),"")</f>
        <v>46170.71028</v>
      </c>
      <c r="T261" s="104">
        <v>46170.588804224535</v>
      </c>
      <c r="U261" s="105" t="s">
        <v>14</v>
      </c>
      <c r="V261" s="109">
        <f t="shared" si="2"/>
        <v>0</v>
      </c>
      <c r="W261" s="110" t="str">
        <f t="shared" si="3"/>
        <v>EMP0042 HULESHWAR KUMAR SAHU</v>
      </c>
      <c r="X261" s="103">
        <f>if(S261,if(and(hour(S261+X$7)&gt;9.5,(hour(S261+X$7)&lt;19.5)),S261+X$7,_xlfn.workday.intl(int(S261),1,"0000001",Holidays!A:A)+hour(S261+X$7-$B$1)/24+minute(S261)/1440),"")</f>
        <v>46170.81444</v>
      </c>
      <c r="Y261" s="104">
        <v>46170.58884268519</v>
      </c>
      <c r="Z261" s="105" t="s">
        <v>14</v>
      </c>
      <c r="AA261" s="111">
        <f t="shared" si="4"/>
        <v>0</v>
      </c>
      <c r="AB261" s="110" t="str">
        <f t="shared" si="5"/>
        <v>EMP0042 HULESHWAR KUMAR SAHU</v>
      </c>
      <c r="AC261" s="103">
        <f>if(X261,_xlfn.WORKDAY.INTL(X261,AC$7,"0000001",Holidays!A:A)+hour(X261)/24+MINUTE(X261)/1440,"")</f>
        <v>46171.81389</v>
      </c>
      <c r="AD261" s="104">
        <v>46170.67010292824</v>
      </c>
      <c r="AE261" s="105" t="s">
        <v>14</v>
      </c>
      <c r="AF261" s="111">
        <f t="shared" si="6"/>
        <v>0</v>
      </c>
      <c r="AG261" s="110" t="str">
        <f t="shared" si="7"/>
        <v>EMP0042 HULESHWAR KUMAR SAHU</v>
      </c>
      <c r="AH261" s="103">
        <f>if(AC261,if(and(hour(AC261+AH$7)&gt;9.5,(hour(AC261+AH$7)&lt;19.5)),AC261+AH$7,_xlfn.workday.intl(int(AC261),1,"0000001",Holidays!A:A)+hour(AC261+AH$7-$B$1)/24+minute(AC261)/1440),"")</f>
        <v>46172.43889</v>
      </c>
      <c r="AI261" s="104">
        <v>46170.67013951389</v>
      </c>
      <c r="AJ261" s="105" t="s">
        <v>14</v>
      </c>
      <c r="AK261" s="111">
        <f t="shared" si="8"/>
        <v>0</v>
      </c>
      <c r="AL261" s="112" t="str">
        <f t="shared" si="9"/>
        <v>EMP0042 HULESHWAR KUMAR SAHU</v>
      </c>
      <c r="AM261" s="113"/>
      <c r="AN261" s="114" t="s">
        <v>672</v>
      </c>
      <c r="AO261" s="115"/>
      <c r="AP261" s="115"/>
      <c r="AQ261" s="115"/>
      <c r="AR261" s="115"/>
      <c r="AS261" s="115"/>
      <c r="AT261" s="115"/>
      <c r="AU261" s="115"/>
      <c r="AV261" s="115"/>
      <c r="AW261" s="115"/>
      <c r="AX261" s="115"/>
      <c r="AY261" s="115"/>
    </row>
    <row r="262">
      <c r="A262" s="95">
        <f t="shared" si="11"/>
        <v>5213</v>
      </c>
      <c r="B262" s="96">
        <v>46170.62025702547</v>
      </c>
      <c r="C262" s="97" t="s">
        <v>1104</v>
      </c>
      <c r="D262" s="97" t="s">
        <v>49</v>
      </c>
      <c r="E262" s="98" t="s">
        <v>1607</v>
      </c>
      <c r="F262" s="97"/>
      <c r="G262" s="97" t="s">
        <v>60</v>
      </c>
      <c r="H262" s="99" t="s">
        <v>62</v>
      </c>
      <c r="I262" s="100" t="s">
        <v>64</v>
      </c>
      <c r="J262" s="101" t="s">
        <v>47</v>
      </c>
      <c r="K262" s="100"/>
      <c r="L262" s="102" t="s">
        <v>1610</v>
      </c>
      <c r="M262" s="103">
        <f>if(B262,if(and(hour(B262+M$7)&gt;9.5,(hour(B262+M$7)&lt;19.5)),B262+M$7,_xlfn.workday.intl(int(B262),1,"0000001",Holidays!A:A)+hour(B262+M$7-$B$1)/24+minute(B262)/1440),"")</f>
        <v>46170.78692</v>
      </c>
      <c r="N262" s="104">
        <v>46170.66955385417</v>
      </c>
      <c r="O262" s="105" t="s">
        <v>14</v>
      </c>
      <c r="P262" s="106">
        <f t="shared" si="1"/>
        <v>0</v>
      </c>
      <c r="Q262" s="107" t="s">
        <v>72</v>
      </c>
      <c r="R262" s="108" t="s">
        <v>434</v>
      </c>
      <c r="S262" s="103">
        <f>if(M262,if(and(hour(M262+S$7)&gt;9.5,(hour(M262+S$7)&lt;19.5)),M262+S$7,_xlfn.workday.intl(int(M262),1,"0000001",Holidays!A:A)+hour(M262+S$7-$B$1)/24+minute(M262)/1440),"")</f>
        <v>46170.79387</v>
      </c>
      <c r="T262" s="104">
        <v>46170.66992032407</v>
      </c>
      <c r="U262" s="105" t="s">
        <v>14</v>
      </c>
      <c r="V262" s="109">
        <f t="shared" si="2"/>
        <v>0</v>
      </c>
      <c r="W262" s="110" t="str">
        <f t="shared" si="3"/>
        <v>EMP5009 Rup Kumar Mandal</v>
      </c>
      <c r="X262" s="103">
        <f>if(S262,if(and(hour(S262+X$7)&gt;9.5,(hour(S262+X$7)&lt;19.5)),S262+X$7,_xlfn.workday.intl(int(S262),1,"0000001",Holidays!A:A)+hour(S262+X$7-$B$1)/24+minute(S262)/1440),"")</f>
        <v>46171.46042</v>
      </c>
      <c r="Y262" s="104">
        <v>46170.72437193287</v>
      </c>
      <c r="Z262" s="105" t="s">
        <v>14</v>
      </c>
      <c r="AA262" s="111">
        <f t="shared" si="4"/>
        <v>0</v>
      </c>
      <c r="AB262" s="110" t="str">
        <f t="shared" si="5"/>
        <v>EMP5009 Rup Kumar Mandal</v>
      </c>
      <c r="AC262" s="103">
        <f>if(X262,_xlfn.WORKDAY.INTL(X262,AC$7,"0000001",Holidays!A:A)+hour(X262)/24+MINUTE(X262)/1440,"")</f>
        <v>46172.46042</v>
      </c>
      <c r="AD262" s="104">
        <v>46170.7245165625</v>
      </c>
      <c r="AE262" s="105" t="s">
        <v>14</v>
      </c>
      <c r="AF262" s="111">
        <f t="shared" si="6"/>
        <v>0</v>
      </c>
      <c r="AG262" s="110" t="str">
        <f t="shared" si="7"/>
        <v>EMP5009 Rup Kumar Mandal</v>
      </c>
      <c r="AH262" s="103">
        <f>if(AC262,if(and(hour(AC262+AH$7)&gt;9.5,(hour(AC262+AH$7)&lt;19.5)),AC262+AH$7,_xlfn.workday.intl(int(AC262),1,"0000001",Holidays!A:A)+hour(AC262+AH$7-$B$1)/24+minute(AC262)/1440),"")</f>
        <v>46172.50208</v>
      </c>
      <c r="AI262" s="104">
        <v>46170.67013951389</v>
      </c>
      <c r="AJ262" s="105" t="s">
        <v>14</v>
      </c>
      <c r="AK262" s="111">
        <f t="shared" si="8"/>
        <v>0</v>
      </c>
      <c r="AL262" s="112" t="str">
        <f t="shared" si="9"/>
        <v>EMP5009 Rup Kumar Mandal</v>
      </c>
      <c r="AM262" s="113"/>
      <c r="AN262" s="114" t="s">
        <v>672</v>
      </c>
      <c r="AO262" s="115"/>
      <c r="AP262" s="115"/>
      <c r="AQ262" s="115"/>
      <c r="AR262" s="115"/>
      <c r="AS262" s="115"/>
      <c r="AT262" s="115"/>
      <c r="AU262" s="115"/>
      <c r="AV262" s="115"/>
      <c r="AW262" s="115"/>
      <c r="AX262" s="115"/>
      <c r="AY262" s="115"/>
    </row>
    <row r="263">
      <c r="A263" s="95">
        <f t="shared" si="11"/>
        <v>5214</v>
      </c>
      <c r="B263" s="96">
        <v>46170.621270069445</v>
      </c>
      <c r="C263" s="97" t="s">
        <v>1107</v>
      </c>
      <c r="D263" s="97" t="s">
        <v>49</v>
      </c>
      <c r="E263" s="98" t="s">
        <v>1613</v>
      </c>
      <c r="F263" s="97"/>
      <c r="G263" s="97" t="s">
        <v>60</v>
      </c>
      <c r="H263" s="99" t="s">
        <v>62</v>
      </c>
      <c r="I263" s="100" t="s">
        <v>64</v>
      </c>
      <c r="J263" s="101" t="s">
        <v>47</v>
      </c>
      <c r="K263" s="100"/>
      <c r="L263" s="102" t="s">
        <v>1614</v>
      </c>
      <c r="M263" s="103">
        <f>if(B263,if(and(hour(B263+M$7)&gt;9.5,(hour(B263+M$7)&lt;19.5)),B263+M$7,_xlfn.workday.intl(int(B263),1,"0000001",Holidays!A:A)+hour(B263+M$7-$B$1)/24+minute(B263)/1440),"")</f>
        <v>46170.78794</v>
      </c>
      <c r="N263" s="104">
        <v>46170.66959333333</v>
      </c>
      <c r="O263" s="105" t="s">
        <v>14</v>
      </c>
      <c r="P263" s="106">
        <f t="shared" si="1"/>
        <v>0</v>
      </c>
      <c r="Q263" s="107" t="s">
        <v>72</v>
      </c>
      <c r="R263" s="108" t="s">
        <v>434</v>
      </c>
      <c r="S263" s="103">
        <f>if(M263,if(and(hour(M263+S$7)&gt;9.5,(hour(M263+S$7)&lt;19.5)),M263+S$7,_xlfn.workday.intl(int(M263),1,"0000001",Holidays!A:A)+hour(M263+S$7-$B$1)/24+minute(M263)/1440),"")</f>
        <v>46170.79488</v>
      </c>
      <c r="T263" s="104">
        <v>46170.6699396412</v>
      </c>
      <c r="U263" s="105" t="s">
        <v>14</v>
      </c>
      <c r="V263" s="109">
        <f t="shared" si="2"/>
        <v>0</v>
      </c>
      <c r="W263" s="110" t="str">
        <f t="shared" si="3"/>
        <v>EMP5009 Rup Kumar Mandal</v>
      </c>
      <c r="X263" s="103">
        <f>if(S263,if(and(hour(S263+X$7)&gt;9.5,(hour(S263+X$7)&lt;19.5)),S263+X$7,_xlfn.workday.intl(int(S263),1,"0000001",Holidays!A:A)+hour(S263+X$7-$B$1)/24+minute(S263)/1440),"")</f>
        <v>46171.46111</v>
      </c>
      <c r="Y263" s="104">
        <v>46170.72437193287</v>
      </c>
      <c r="Z263" s="105" t="s">
        <v>14</v>
      </c>
      <c r="AA263" s="111">
        <f t="shared" si="4"/>
        <v>0</v>
      </c>
      <c r="AB263" s="110" t="str">
        <f t="shared" si="5"/>
        <v>EMP5009 Rup Kumar Mandal</v>
      </c>
      <c r="AC263" s="103">
        <f>if(X263,_xlfn.WORKDAY.INTL(X263,AC$7,"0000001",Holidays!A:A)+hour(X263)/24+MINUTE(X263)/1440,"")</f>
        <v>46172.46111</v>
      </c>
      <c r="AD263" s="104">
        <v>46170.724521620374</v>
      </c>
      <c r="AE263" s="105" t="s">
        <v>14</v>
      </c>
      <c r="AF263" s="111">
        <f t="shared" si="6"/>
        <v>0</v>
      </c>
      <c r="AG263" s="110" t="str">
        <f t="shared" si="7"/>
        <v>EMP5009 Rup Kumar Mandal</v>
      </c>
      <c r="AH263" s="103">
        <f>if(AC263,if(and(hour(AC263+AH$7)&gt;9.5,(hour(AC263+AH$7)&lt;19.5)),AC263+AH$7,_xlfn.workday.intl(int(AC263),1,"0000001",Holidays!A:A)+hour(AC263+AH$7-$B$1)/24+minute(AC263)/1440),"")</f>
        <v>46172.50278</v>
      </c>
      <c r="AI263" s="104">
        <v>46172.46915538194</v>
      </c>
      <c r="AJ263" s="105" t="s">
        <v>14</v>
      </c>
      <c r="AK263" s="111">
        <f t="shared" si="8"/>
        <v>0</v>
      </c>
      <c r="AL263" s="112" t="str">
        <f t="shared" si="9"/>
        <v>EMP5009 Rup Kumar Mandal</v>
      </c>
      <c r="AM263" s="113"/>
      <c r="AN263" s="114" t="s">
        <v>672</v>
      </c>
      <c r="AO263" s="115"/>
      <c r="AP263" s="115"/>
      <c r="AQ263" s="115"/>
      <c r="AR263" s="115"/>
      <c r="AS263" s="115"/>
      <c r="AT263" s="115"/>
      <c r="AU263" s="115"/>
      <c r="AV263" s="115"/>
      <c r="AW263" s="115"/>
      <c r="AX263" s="115"/>
      <c r="AY263" s="115"/>
    </row>
    <row r="264">
      <c r="A264" s="95">
        <f t="shared" si="11"/>
        <v>5215</v>
      </c>
      <c r="B264" s="96">
        <v>46170.62205199074</v>
      </c>
      <c r="C264" s="97" t="s">
        <v>1110</v>
      </c>
      <c r="D264" s="97" t="s">
        <v>610</v>
      </c>
      <c r="E264" s="98" t="s">
        <v>1617</v>
      </c>
      <c r="F264" s="97"/>
      <c r="G264" s="97" t="s">
        <v>60</v>
      </c>
      <c r="H264" s="99" t="s">
        <v>62</v>
      </c>
      <c r="I264" s="100" t="s">
        <v>64</v>
      </c>
      <c r="J264" s="101" t="s">
        <v>47</v>
      </c>
      <c r="K264" s="100"/>
      <c r="L264" s="102" t="s">
        <v>1619</v>
      </c>
      <c r="M264" s="103">
        <f>if(B264,if(and(hour(B264+M$7)&gt;9.5,(hour(B264+M$7)&lt;19.5)),B264+M$7,_xlfn.workday.intl(int(B264),1,"0000001",Holidays!A:A)+hour(B264+M$7-$B$1)/24+minute(B264)/1440),"")</f>
        <v>46170.78872</v>
      </c>
      <c r="N264" s="104">
        <v>46170.6704921875</v>
      </c>
      <c r="O264" s="105" t="s">
        <v>14</v>
      </c>
      <c r="P264" s="106">
        <f t="shared" si="1"/>
        <v>0</v>
      </c>
      <c r="Q264" s="107" t="s">
        <v>61</v>
      </c>
      <c r="R264" s="108" t="s">
        <v>434</v>
      </c>
      <c r="S264" s="103">
        <f>if(M264,if(and(hour(M264+S$7)&gt;9.5,(hour(M264+S$7)&lt;19.5)),M264+S$7,_xlfn.workday.intl(int(M264),1,"0000001",Holidays!A:A)+hour(M264+S$7-$B$1)/24+minute(M264)/1440),"")</f>
        <v>46170.79566</v>
      </c>
      <c r="T264" s="104">
        <v>46170.66995984953</v>
      </c>
      <c r="U264" s="105" t="s">
        <v>14</v>
      </c>
      <c r="V264" s="109">
        <f t="shared" si="2"/>
        <v>0</v>
      </c>
      <c r="W264" s="110" t="str">
        <f t="shared" si="3"/>
        <v>EMP0021 Tamanna Dewangan</v>
      </c>
      <c r="X264" s="103">
        <f>if(S264,if(and(hour(S264+X$7)&gt;9.5,(hour(S264+X$7)&lt;19.5)),S264+X$7,_xlfn.workday.intl(int(S264),1,"0000001",Holidays!A:A)+hour(S264+X$7-$B$1)/24+minute(S264)/1440),"")</f>
        <v>46171.46181</v>
      </c>
      <c r="Y264" s="104">
        <v>46170.724375046295</v>
      </c>
      <c r="Z264" s="105" t="s">
        <v>14</v>
      </c>
      <c r="AA264" s="111">
        <f t="shared" si="4"/>
        <v>0</v>
      </c>
      <c r="AB264" s="110" t="str">
        <f t="shared" si="5"/>
        <v>EMP0021 Tamanna Dewangan</v>
      </c>
      <c r="AC264" s="103">
        <f>if(X264,_xlfn.WORKDAY.INTL(X264,AC$7,"0000001",Holidays!A:A)+hour(X264)/24+MINUTE(X264)/1440,"")</f>
        <v>46172.46181</v>
      </c>
      <c r="AD264" s="104">
        <v>46171.66247686342</v>
      </c>
      <c r="AE264" s="105" t="s">
        <v>14</v>
      </c>
      <c r="AF264" s="111">
        <f t="shared" si="6"/>
        <v>0</v>
      </c>
      <c r="AG264" s="110" t="str">
        <f t="shared" si="7"/>
        <v>EMP0021 Tamanna Dewangan</v>
      </c>
      <c r="AH264" s="103">
        <f>if(AC264,if(and(hour(AC264+AH$7)&gt;9.5,(hour(AC264+AH$7)&lt;19.5)),AC264+AH$7,_xlfn.workday.intl(int(AC264),1,"0000001",Holidays!A:A)+hour(AC264+AH$7-$B$1)/24+minute(AC264)/1440),"")</f>
        <v>46172.50347</v>
      </c>
      <c r="AI264" s="104">
        <v>46172.46917302083</v>
      </c>
      <c r="AJ264" s="105" t="s">
        <v>14</v>
      </c>
      <c r="AK264" s="111">
        <f t="shared" si="8"/>
        <v>0</v>
      </c>
      <c r="AL264" s="112" t="str">
        <f t="shared" si="9"/>
        <v>EMP0021 Tamanna Dewangan</v>
      </c>
      <c r="AM264" s="113"/>
      <c r="AN264" s="114" t="s">
        <v>672</v>
      </c>
      <c r="AO264" s="115"/>
      <c r="AP264" s="115"/>
      <c r="AQ264" s="115"/>
      <c r="AR264" s="115"/>
      <c r="AS264" s="115"/>
      <c r="AT264" s="115"/>
      <c r="AU264" s="115"/>
      <c r="AV264" s="115"/>
      <c r="AW264" s="115"/>
      <c r="AX264" s="115"/>
      <c r="AY264" s="115"/>
    </row>
    <row r="265">
      <c r="A265" s="95">
        <f t="shared" si="11"/>
        <v>5216</v>
      </c>
      <c r="B265" s="96">
        <v>46170.652770127315</v>
      </c>
      <c r="C265" s="97" t="s">
        <v>1115</v>
      </c>
      <c r="D265" s="97" t="s">
        <v>1601</v>
      </c>
      <c r="E265" s="98" t="s">
        <v>1620</v>
      </c>
      <c r="F265" s="97"/>
      <c r="G265" s="97" t="s">
        <v>1605</v>
      </c>
      <c r="H265" s="99" t="s">
        <v>126</v>
      </c>
      <c r="I265" s="100" t="s">
        <v>324</v>
      </c>
      <c r="J265" s="101" t="s">
        <v>141</v>
      </c>
      <c r="K265" s="100"/>
      <c r="L265" s="102" t="s">
        <v>1623</v>
      </c>
      <c r="M265" s="103">
        <f>if(B265,if(and(hour(B265+M$7)&gt;9.5,(hour(B265+M$7)&lt;19.5)),B265+M$7,_xlfn.workday.intl(int(B265),1,"0000001",Holidays!A:A)+hour(B265+M$7-$B$1)/24+minute(B265)/1440),"")</f>
        <v>46170.81944</v>
      </c>
      <c r="N265" s="104">
        <v>46170.669613252314</v>
      </c>
      <c r="O265" s="105" t="s">
        <v>14</v>
      </c>
      <c r="P265" s="106">
        <f t="shared" si="1"/>
        <v>0</v>
      </c>
      <c r="Q265" s="107" t="s">
        <v>15</v>
      </c>
      <c r="R265" s="108" t="s">
        <v>434</v>
      </c>
      <c r="S265" s="103">
        <f>if(M265,if(and(hour(M265+S$7)&gt;9.5,(hour(M265+S$7)&lt;19.5)),M265+S$7,_xlfn.workday.intl(int(M265),1,"0000001",Holidays!A:A)+hour(M265+S$7-$B$1)/24+minute(M265)/1440),"")</f>
        <v>46170.82638</v>
      </c>
      <c r="T265" s="104">
        <v>46170.6699940625</v>
      </c>
      <c r="U265" s="105" t="s">
        <v>14</v>
      </c>
      <c r="V265" s="109">
        <f t="shared" si="2"/>
        <v>0</v>
      </c>
      <c r="W265" s="110" t="str">
        <f t="shared" si="3"/>
        <v>EMP0042 HULESHWAR KUMAR SAHU</v>
      </c>
      <c r="X265" s="103">
        <f>if(S265,if(and(hour(S265+X$7)&gt;9.5,(hour(S265+X$7)&lt;19.5)),S265+X$7,_xlfn.workday.intl(int(S265),1,"0000001",Holidays!A:A)+hour(S265+X$7-$B$1)/24+minute(S265)/1440),"")</f>
        <v>46171.53403</v>
      </c>
      <c r="Y265" s="104">
        <v>46170.724375046295</v>
      </c>
      <c r="Z265" s="105" t="s">
        <v>14</v>
      </c>
      <c r="AA265" s="111">
        <f t="shared" si="4"/>
        <v>0</v>
      </c>
      <c r="AB265" s="110" t="str">
        <f t="shared" si="5"/>
        <v>EMP0042 HULESHWAR KUMAR SAHU</v>
      </c>
      <c r="AC265" s="103">
        <f>if(X265,_xlfn.WORKDAY.INTL(X265,AC$7,"0000001",Holidays!A:A)+hour(X265)/24+MINUTE(X265)/1440,"")</f>
        <v>46172.53403</v>
      </c>
      <c r="AD265" s="104">
        <v>46171.66232478009</v>
      </c>
      <c r="AE265" s="105" t="s">
        <v>14</v>
      </c>
      <c r="AF265" s="111">
        <f t="shared" si="6"/>
        <v>0</v>
      </c>
      <c r="AG265" s="110" t="str">
        <f t="shared" si="7"/>
        <v>EMP0042 HULESHWAR KUMAR SAHU</v>
      </c>
      <c r="AH265" s="103">
        <f>if(AC265,if(and(hour(AC265+AH$7)&gt;9.5,(hour(AC265+AH$7)&lt;19.5)),AC265+AH$7,_xlfn.workday.intl(int(AC265),1,"0000001",Holidays!A:A)+hour(AC265+AH$7-$B$1)/24+minute(AC265)/1440),"")</f>
        <v>46172.57569</v>
      </c>
      <c r="AI265" s="104">
        <v>46171.66237039352</v>
      </c>
      <c r="AJ265" s="105" t="s">
        <v>14</v>
      </c>
      <c r="AK265" s="111">
        <f t="shared" si="8"/>
        <v>0</v>
      </c>
      <c r="AL265" s="112" t="str">
        <f t="shared" si="9"/>
        <v>EMP0042 HULESHWAR KUMAR SAHU</v>
      </c>
      <c r="AM265" s="113"/>
      <c r="AN265" s="114" t="s">
        <v>672</v>
      </c>
      <c r="AO265" s="115"/>
      <c r="AP265" s="115"/>
      <c r="AQ265" s="115"/>
      <c r="AR265" s="115"/>
      <c r="AS265" s="115"/>
      <c r="AT265" s="115"/>
      <c r="AU265" s="115"/>
      <c r="AV265" s="115"/>
      <c r="AW265" s="115"/>
      <c r="AX265" s="115"/>
      <c r="AY265" s="115"/>
    </row>
    <row r="266">
      <c r="A266" s="95">
        <f t="shared" si="11"/>
        <v>5217</v>
      </c>
      <c r="B266" s="96">
        <v>46170.70538297454</v>
      </c>
      <c r="C266" s="97" t="s">
        <v>1118</v>
      </c>
      <c r="D266" s="97" t="s">
        <v>1300</v>
      </c>
      <c r="E266" s="98" t="s">
        <v>1624</v>
      </c>
      <c r="F266" s="97"/>
      <c r="G266" s="97" t="s">
        <v>674</v>
      </c>
      <c r="H266" s="99" t="s">
        <v>62</v>
      </c>
      <c r="I266" s="100" t="s">
        <v>64</v>
      </c>
      <c r="J266" s="101" t="s">
        <v>662</v>
      </c>
      <c r="K266" s="100"/>
      <c r="L266" s="102" t="s">
        <v>1627</v>
      </c>
      <c r="M266" s="103">
        <f>if(B266,if(and(hour(B266+M$7)&gt;9.5,(hour(B266+M$7)&lt;19.5)),B266+M$7,_xlfn.workday.intl(int(B266),1,"0000001",Holidays!A:A)+hour(B266+M$7-$B$1)/24+minute(B266)/1440),"")</f>
        <v>46171.45486</v>
      </c>
      <c r="N266" s="104">
        <v>46170.72411729167</v>
      </c>
      <c r="O266" s="105" t="s">
        <v>14</v>
      </c>
      <c r="P266" s="106">
        <f t="shared" si="1"/>
        <v>0</v>
      </c>
      <c r="Q266" s="107" t="s">
        <v>72</v>
      </c>
      <c r="R266" s="108" t="s">
        <v>434</v>
      </c>
      <c r="S266" s="103">
        <f>if(M266,if(and(hour(M266+S$7)&gt;9.5,(hour(M266+S$7)&lt;19.5)),M266+S$7,_xlfn.workday.intl(int(M266),1,"0000001",Holidays!A:A)+hour(M266+S$7-$B$1)/24+minute(M266)/1440),"")</f>
        <v>46171.46181</v>
      </c>
      <c r="T266" s="104">
        <v>46170.724300891205</v>
      </c>
      <c r="U266" s="105" t="s">
        <v>14</v>
      </c>
      <c r="V266" s="109">
        <f t="shared" si="2"/>
        <v>0</v>
      </c>
      <c r="W266" s="110" t="str">
        <f t="shared" si="3"/>
        <v>EMP5009 Rup Kumar Mandal</v>
      </c>
      <c r="X266" s="103">
        <f>if(S266,if(and(hour(S266+X$7)&gt;9.5,(hour(S266+X$7)&lt;19.5)),S266+X$7,_xlfn.workday.intl(int(S266),1,"0000001",Holidays!A:A)+hour(S266+X$7-$B$1)/24+minute(S266)/1440),"")</f>
        <v>46171.56597</v>
      </c>
      <c r="Y266" s="104">
        <v>46170.72438048611</v>
      </c>
      <c r="Z266" s="105" t="s">
        <v>14</v>
      </c>
      <c r="AA266" s="111">
        <f t="shared" si="4"/>
        <v>0</v>
      </c>
      <c r="AB266" s="110" t="str">
        <f t="shared" si="5"/>
        <v>EMP5009 Rup Kumar Mandal</v>
      </c>
      <c r="AC266" s="103">
        <f>if(X266,_xlfn.WORKDAY.INTL(X266,AC$7,"0000001",Holidays!A:A)+hour(X266)/24+MINUTE(X266)/1440,"")</f>
        <v>46172.56597</v>
      </c>
      <c r="AD266" s="104">
        <v>46170.72454613426</v>
      </c>
      <c r="AE266" s="105" t="s">
        <v>14</v>
      </c>
      <c r="AF266" s="111">
        <f t="shared" si="6"/>
        <v>0</v>
      </c>
      <c r="AG266" s="110" t="str">
        <f t="shared" si="7"/>
        <v>EMP5009 Rup Kumar Mandal</v>
      </c>
      <c r="AH266" s="103">
        <f>if(AC266,if(and(hour(AC266+AH$7)&gt;9.5,(hour(AC266+AH$7)&lt;19.5)),AC266+AH$7,_xlfn.workday.intl(int(AC266),1,"0000001",Holidays!A:A)+hour(AC266+AH$7-$B$1)/24+minute(AC266)/1440),"")</f>
        <v>46172.60764</v>
      </c>
      <c r="AI266" s="104">
        <v>46172.469193576384</v>
      </c>
      <c r="AJ266" s="105" t="s">
        <v>14</v>
      </c>
      <c r="AK266" s="111">
        <f t="shared" si="8"/>
        <v>0</v>
      </c>
      <c r="AL266" s="112" t="str">
        <f t="shared" si="9"/>
        <v>EMP5009 Rup Kumar Mandal</v>
      </c>
      <c r="AM266" s="113"/>
      <c r="AN266" s="114" t="s">
        <v>672</v>
      </c>
      <c r="AO266" s="115"/>
      <c r="AP266" s="115"/>
      <c r="AQ266" s="115"/>
      <c r="AR266" s="115"/>
      <c r="AS266" s="115"/>
      <c r="AT266" s="115"/>
      <c r="AU266" s="115"/>
      <c r="AV266" s="115"/>
      <c r="AW266" s="115"/>
      <c r="AX266" s="115"/>
      <c r="AY266" s="115"/>
    </row>
    <row r="267">
      <c r="A267" s="95">
        <f t="shared" si="11"/>
        <v>5218</v>
      </c>
      <c r="B267" s="96">
        <v>46170.708115312504</v>
      </c>
      <c r="C267" s="97" t="s">
        <v>1120</v>
      </c>
      <c r="D267" s="97" t="s">
        <v>1300</v>
      </c>
      <c r="E267" s="98" t="s">
        <v>1628</v>
      </c>
      <c r="F267" s="97"/>
      <c r="G267" s="97" t="s">
        <v>648</v>
      </c>
      <c r="H267" s="99" t="s">
        <v>62</v>
      </c>
      <c r="I267" s="100" t="s">
        <v>64</v>
      </c>
      <c r="J267" s="101" t="s">
        <v>662</v>
      </c>
      <c r="K267" s="100"/>
      <c r="L267" s="102" t="s">
        <v>1631</v>
      </c>
      <c r="M267" s="103">
        <f>if(B267,if(and(hour(B267+M$7)&gt;9.5,(hour(B267+M$7)&lt;19.5)),B267+M$7,_xlfn.workday.intl(int(B267),1,"0000001",Holidays!A:A)+hour(B267+M$7-$B$1)/24+minute(B267)/1440),"")</f>
        <v>46171.45764</v>
      </c>
      <c r="N267" s="104">
        <v>46170.72411729167</v>
      </c>
      <c r="O267" s="105" t="s">
        <v>14</v>
      </c>
      <c r="P267" s="106">
        <f t="shared" si="1"/>
        <v>0</v>
      </c>
      <c r="Q267" s="107" t="s">
        <v>72</v>
      </c>
      <c r="R267" s="108" t="s">
        <v>434</v>
      </c>
      <c r="S267" s="103">
        <f>if(M267,if(and(hour(M267+S$7)&gt;9.5,(hour(M267+S$7)&lt;19.5)),M267+S$7,_xlfn.workday.intl(int(M267),1,"0000001",Holidays!A:A)+hour(M267+S$7-$B$1)/24+minute(M267)/1440),"")</f>
        <v>46171.46458</v>
      </c>
      <c r="T267" s="104">
        <v>46170.724300891205</v>
      </c>
      <c r="U267" s="105" t="s">
        <v>14</v>
      </c>
      <c r="V267" s="109">
        <f t="shared" si="2"/>
        <v>0</v>
      </c>
      <c r="W267" s="110" t="str">
        <f t="shared" si="3"/>
        <v>EMP5009 Rup Kumar Mandal</v>
      </c>
      <c r="X267" s="103">
        <f>if(S267,if(and(hour(S267+X$7)&gt;9.5,(hour(S267+X$7)&lt;19.5)),S267+X$7,_xlfn.workday.intl(int(S267),1,"0000001",Holidays!A:A)+hour(S267+X$7-$B$1)/24+minute(S267)/1440),"")</f>
        <v>46171.56875</v>
      </c>
      <c r="Y267" s="104">
        <v>46170.72438048611</v>
      </c>
      <c r="Z267" s="105" t="s">
        <v>14</v>
      </c>
      <c r="AA267" s="111">
        <f t="shared" si="4"/>
        <v>0</v>
      </c>
      <c r="AB267" s="110" t="str">
        <f t="shared" si="5"/>
        <v>EMP5009 Rup Kumar Mandal</v>
      </c>
      <c r="AC267" s="103">
        <f>if(X267,_xlfn.WORKDAY.INTL(X267,AC$7,"0000001",Holidays!A:A)+hour(X267)/24+MINUTE(X267)/1440,"")</f>
        <v>46172.56875</v>
      </c>
      <c r="AD267" s="104">
        <v>46170.72454982639</v>
      </c>
      <c r="AE267" s="105" t="s">
        <v>14</v>
      </c>
      <c r="AF267" s="111">
        <f t="shared" si="6"/>
        <v>0</v>
      </c>
      <c r="AG267" s="110" t="str">
        <f t="shared" si="7"/>
        <v>EMP5009 Rup Kumar Mandal</v>
      </c>
      <c r="AH267" s="103">
        <f>if(AC267,if(and(hour(AC267+AH$7)&gt;9.5,(hour(AC267+AH$7)&lt;19.5)),AC267+AH$7,_xlfn.workday.intl(int(AC267),1,"0000001",Holidays!A:A)+hour(AC267+AH$7-$B$1)/24+minute(AC267)/1440),"")</f>
        <v>46172.61042</v>
      </c>
      <c r="AI267" s="104">
        <v>46172.469208877315</v>
      </c>
      <c r="AJ267" s="105" t="s">
        <v>14</v>
      </c>
      <c r="AK267" s="111">
        <f t="shared" si="8"/>
        <v>0</v>
      </c>
      <c r="AL267" s="112" t="str">
        <f t="shared" si="9"/>
        <v>EMP5009 Rup Kumar Mandal</v>
      </c>
      <c r="AM267" s="113"/>
      <c r="AN267" s="114" t="s">
        <v>672</v>
      </c>
      <c r="AO267" s="115"/>
      <c r="AP267" s="115"/>
      <c r="AQ267" s="115"/>
      <c r="AR267" s="115"/>
      <c r="AS267" s="115"/>
      <c r="AT267" s="115"/>
      <c r="AU267" s="115"/>
      <c r="AV267" s="115"/>
      <c r="AW267" s="115"/>
      <c r="AX267" s="115"/>
      <c r="AY267" s="115"/>
    </row>
    <row r="268">
      <c r="A268" s="95">
        <f t="shared" si="11"/>
        <v>5219</v>
      </c>
      <c r="B268" s="96">
        <v>46170.71023064815</v>
      </c>
      <c r="C268" s="97" t="s">
        <v>1124</v>
      </c>
      <c r="D268" s="97" t="s">
        <v>1300</v>
      </c>
      <c r="E268" s="98" t="s">
        <v>1633</v>
      </c>
      <c r="F268" s="97"/>
      <c r="G268" s="97" t="s">
        <v>674</v>
      </c>
      <c r="H268" s="99" t="s">
        <v>62</v>
      </c>
      <c r="I268" s="100" t="s">
        <v>64</v>
      </c>
      <c r="J268" s="101" t="s">
        <v>662</v>
      </c>
      <c r="K268" s="100"/>
      <c r="L268" s="102" t="s">
        <v>1635</v>
      </c>
      <c r="M268" s="103">
        <f>if(B268,if(and(hour(B268+M$7)&gt;9.5,(hour(B268+M$7)&lt;19.5)),B268+M$7,_xlfn.workday.intl(int(B268),1,"0000001",Holidays!A:A)+hour(B268+M$7-$B$1)/24+minute(B268)/1440),"")</f>
        <v>46171.45972</v>
      </c>
      <c r="N268" s="104">
        <v>46170.72414792824</v>
      </c>
      <c r="O268" s="105" t="s">
        <v>14</v>
      </c>
      <c r="P268" s="106">
        <f t="shared" si="1"/>
        <v>0</v>
      </c>
      <c r="Q268" s="107" t="s">
        <v>72</v>
      </c>
      <c r="R268" s="108" t="s">
        <v>434</v>
      </c>
      <c r="S268" s="103">
        <f>if(M268,if(and(hour(M268+S$7)&gt;9.5,(hour(M268+S$7)&lt;19.5)),M268+S$7,_xlfn.workday.intl(int(M268),1,"0000001",Holidays!A:A)+hour(M268+S$7-$B$1)/24+minute(M268)/1440),"")</f>
        <v>46171.46667</v>
      </c>
      <c r="T268" s="104">
        <v>46170.7243059375</v>
      </c>
      <c r="U268" s="105" t="s">
        <v>14</v>
      </c>
      <c r="V268" s="109">
        <f t="shared" si="2"/>
        <v>0</v>
      </c>
      <c r="W268" s="110" t="str">
        <f t="shared" si="3"/>
        <v>EMP5009 Rup Kumar Mandal</v>
      </c>
      <c r="X268" s="103">
        <f>if(S268,if(and(hour(S268+X$7)&gt;9.5,(hour(S268+X$7)&lt;19.5)),S268+X$7,_xlfn.workday.intl(int(S268),1,"0000001",Holidays!A:A)+hour(S268+X$7-$B$1)/24+minute(S268)/1440),"")</f>
        <v>46171.57083</v>
      </c>
      <c r="Y268" s="104">
        <v>46170.72438407407</v>
      </c>
      <c r="Z268" s="105" t="s">
        <v>14</v>
      </c>
      <c r="AA268" s="111">
        <f t="shared" si="4"/>
        <v>0</v>
      </c>
      <c r="AB268" s="110" t="str">
        <f t="shared" si="5"/>
        <v>EMP5009 Rup Kumar Mandal</v>
      </c>
      <c r="AC268" s="103">
        <f>if(X268,_xlfn.WORKDAY.INTL(X268,AC$7,"0000001",Holidays!A:A)+hour(X268)/24+MINUTE(X268)/1440,"")</f>
        <v>46172.57083</v>
      </c>
      <c r="AD268" s="104">
        <v>46170.724559953705</v>
      </c>
      <c r="AE268" s="105" t="s">
        <v>14</v>
      </c>
      <c r="AF268" s="111">
        <f t="shared" si="6"/>
        <v>0</v>
      </c>
      <c r="AG268" s="110" t="str">
        <f t="shared" si="7"/>
        <v>EMP5009 Rup Kumar Mandal</v>
      </c>
      <c r="AH268" s="103">
        <f>if(AC268,if(and(hour(AC268+AH$7)&gt;9.5,(hour(AC268+AH$7)&lt;19.5)),AC268+AH$7,_xlfn.workday.intl(int(AC268),1,"0000001",Holidays!A:A)+hour(AC268+AH$7-$B$1)/24+minute(AC268)/1440),"")</f>
        <v>46172.6125</v>
      </c>
      <c r="AI268" s="104">
        <v>46172.46920717593</v>
      </c>
      <c r="AJ268" s="105" t="s">
        <v>14</v>
      </c>
      <c r="AK268" s="111">
        <f t="shared" si="8"/>
        <v>0</v>
      </c>
      <c r="AL268" s="112" t="str">
        <f t="shared" si="9"/>
        <v>EMP5009 Rup Kumar Mandal</v>
      </c>
      <c r="AM268" s="113"/>
      <c r="AN268" s="114" t="s">
        <v>672</v>
      </c>
      <c r="AO268" s="115"/>
      <c r="AP268" s="115"/>
      <c r="AQ268" s="115"/>
      <c r="AR268" s="115"/>
      <c r="AS268" s="115"/>
      <c r="AT268" s="115"/>
      <c r="AU268" s="115"/>
      <c r="AV268" s="115"/>
      <c r="AW268" s="115"/>
      <c r="AX268" s="115"/>
      <c r="AY268" s="115"/>
    </row>
    <row r="269">
      <c r="A269" s="95">
        <f t="shared" si="11"/>
        <v>5220</v>
      </c>
      <c r="B269" s="96">
        <v>46170.789301805555</v>
      </c>
      <c r="C269" s="97" t="s">
        <v>1128</v>
      </c>
      <c r="D269" s="97" t="s">
        <v>225</v>
      </c>
      <c r="E269" s="98" t="s">
        <v>1637</v>
      </c>
      <c r="F269" s="97"/>
      <c r="G269" s="97" t="s">
        <v>1639</v>
      </c>
      <c r="H269" s="99" t="s">
        <v>138</v>
      </c>
      <c r="I269" s="100" t="s">
        <v>64</v>
      </c>
      <c r="J269" s="101" t="s">
        <v>223</v>
      </c>
      <c r="K269" s="100"/>
      <c r="L269" s="102" t="s">
        <v>1640</v>
      </c>
      <c r="M269" s="103">
        <f>if(B269,if(and(hour(B269+M$7)&gt;9.5,(hour(B269+M$7)&lt;19.5)),B269+M$7,_xlfn.workday.intl(int(B269),1,"0000001",Holidays!A:A)+hour(B269+M$7-$B$1)/24+minute(B269)/1440),"")</f>
        <v>46171.53889</v>
      </c>
      <c r="N269" s="104">
        <v>46171.458450983795</v>
      </c>
      <c r="O269" s="105" t="s">
        <v>14</v>
      </c>
      <c r="P269" s="106">
        <f t="shared" si="1"/>
        <v>0</v>
      </c>
      <c r="Q269" s="107" t="s">
        <v>61</v>
      </c>
      <c r="R269" s="108" t="s">
        <v>434</v>
      </c>
      <c r="S269" s="103">
        <f>if(M269,if(and(hour(M269+S$7)&gt;9.5,(hour(M269+S$7)&lt;19.5)),M269+S$7,_xlfn.workday.intl(int(M269),1,"0000001",Holidays!A:A)+hour(M269+S$7-$B$1)/24+minute(M269)/1440),"")</f>
        <v>46171.54583</v>
      </c>
      <c r="T269" s="104">
        <v>46171.45849925926</v>
      </c>
      <c r="U269" s="105" t="s">
        <v>14</v>
      </c>
      <c r="V269" s="109">
        <f t="shared" si="2"/>
        <v>0</v>
      </c>
      <c r="W269" s="110" t="str">
        <f t="shared" si="3"/>
        <v>EMP0021 Tamanna Dewangan</v>
      </c>
      <c r="X269" s="103">
        <f>if(S269,if(and(hour(S269+X$7)&gt;9.5,(hour(S269+X$7)&lt;19.5)),S269+X$7,_xlfn.workday.intl(int(S269),1,"0000001",Holidays!A:A)+hour(S269+X$7-$B$1)/24+minute(S269)/1440),"")</f>
        <v>46171.65</v>
      </c>
      <c r="Y269" s="104">
        <v>46171.45851795139</v>
      </c>
      <c r="Z269" s="105" t="s">
        <v>14</v>
      </c>
      <c r="AA269" s="111">
        <f t="shared" si="4"/>
        <v>0</v>
      </c>
      <c r="AB269" s="110" t="str">
        <f t="shared" si="5"/>
        <v>EMP0021 Tamanna Dewangan</v>
      </c>
      <c r="AC269" s="103">
        <f>if(X269,_xlfn.WORKDAY.INTL(X269,AC$7,"0000001",Holidays!A:A)+hour(X269)/24+MINUTE(X269)/1440,"")</f>
        <v>46172.65</v>
      </c>
      <c r="AD269" s="104">
        <v>46172.46927556713</v>
      </c>
      <c r="AE269" s="105" t="s">
        <v>14</v>
      </c>
      <c r="AF269" s="111">
        <f t="shared" si="6"/>
        <v>0</v>
      </c>
      <c r="AG269" s="110" t="str">
        <f t="shared" si="7"/>
        <v>EMP0021 Tamanna Dewangan</v>
      </c>
      <c r="AH269" s="103">
        <f>if(AC269,if(and(hour(AC269+AH$7)&gt;9.5,(hour(AC269+AH$7)&lt;19.5)),AC269+AH$7,_xlfn.workday.intl(int(AC269),1,"0000001",Holidays!A:A)+hour(AC269+AH$7-$B$1)/24+minute(AC269)/1440),"")</f>
        <v>46172.69167</v>
      </c>
      <c r="AI269" s="104">
        <v>46172.46930376157</v>
      </c>
      <c r="AJ269" s="105" t="s">
        <v>14</v>
      </c>
      <c r="AK269" s="111">
        <f t="shared" si="8"/>
        <v>0</v>
      </c>
      <c r="AL269" s="112" t="str">
        <f t="shared" si="9"/>
        <v>EMP0021 Tamanna Dewangan</v>
      </c>
      <c r="AM269" s="113"/>
      <c r="AN269" s="114" t="s">
        <v>672</v>
      </c>
      <c r="AO269" s="115"/>
      <c r="AP269" s="115"/>
      <c r="AQ269" s="115"/>
      <c r="AR269" s="115"/>
      <c r="AS269" s="115"/>
      <c r="AT269" s="115"/>
      <c r="AU269" s="115"/>
      <c r="AV269" s="115"/>
      <c r="AW269" s="115"/>
      <c r="AX269" s="115"/>
      <c r="AY269" s="115"/>
    </row>
    <row r="270">
      <c r="A270" s="95">
        <f t="shared" si="11"/>
        <v>5221</v>
      </c>
      <c r="B270" s="96">
        <v>46171.466751423606</v>
      </c>
      <c r="C270" s="97" t="s">
        <v>790</v>
      </c>
      <c r="D270" s="97" t="s">
        <v>106</v>
      </c>
      <c r="E270" s="98" t="s">
        <v>1641</v>
      </c>
      <c r="F270" s="98" t="s">
        <v>1645</v>
      </c>
      <c r="G270" s="97" t="s">
        <v>117</v>
      </c>
      <c r="H270" s="99" t="s">
        <v>62</v>
      </c>
      <c r="I270" s="100" t="s">
        <v>64</v>
      </c>
      <c r="J270" s="101" t="s">
        <v>105</v>
      </c>
      <c r="K270" s="100"/>
      <c r="L270" s="102" t="s">
        <v>1644</v>
      </c>
      <c r="M270" s="103">
        <f>if(B270,if(and(hour(B270+M$7)&gt;9.5,(hour(B270+M$7)&lt;19.5)),B270+M$7,_xlfn.workday.intl(int(B270),1,"0000001",Holidays!A:A)+hour(B270+M$7-$B$1)/24+minute(B270)/1440),"")</f>
        <v>46171.63342</v>
      </c>
      <c r="N270" s="104">
        <v>46171.47692677083</v>
      </c>
      <c r="O270" s="105" t="s">
        <v>14</v>
      </c>
      <c r="P270" s="106">
        <f t="shared" si="1"/>
        <v>0</v>
      </c>
      <c r="Q270" s="107" t="s">
        <v>72</v>
      </c>
      <c r="R270" s="108" t="s">
        <v>434</v>
      </c>
      <c r="S270" s="103">
        <f>if(M270,if(and(hour(M270+S$7)&gt;9.5,(hour(M270+S$7)&lt;19.5)),M270+S$7,_xlfn.workday.intl(int(M270),1,"0000001",Holidays!A:A)+hour(M270+S$7-$B$1)/24+minute(M270)/1440),"")</f>
        <v>46171.64036</v>
      </c>
      <c r="T270" s="104">
        <v>46171.477008877315</v>
      </c>
      <c r="U270" s="105" t="s">
        <v>14</v>
      </c>
      <c r="V270" s="109">
        <f t="shared" si="2"/>
        <v>0</v>
      </c>
      <c r="W270" s="110" t="str">
        <f t="shared" si="3"/>
        <v>EMP5009 Rup Kumar Mandal</v>
      </c>
      <c r="X270" s="103">
        <f>if(S270,if(and(hour(S270+X$7)&gt;9.5,(hour(S270+X$7)&lt;19.5)),S270+X$7,_xlfn.workday.intl(int(S270),1,"0000001",Holidays!A:A)+hour(S270+X$7-$B$1)/24+minute(S270)/1440),"")</f>
        <v>46171.74453</v>
      </c>
      <c r="Y270" s="104">
        <v>46171.47707981482</v>
      </c>
      <c r="Z270" s="105" t="s">
        <v>14</v>
      </c>
      <c r="AA270" s="111">
        <f t="shared" si="4"/>
        <v>0</v>
      </c>
      <c r="AB270" s="110" t="str">
        <f t="shared" si="5"/>
        <v>EMP5009 Rup Kumar Mandal</v>
      </c>
      <c r="AC270" s="103">
        <f>if(X270,_xlfn.WORKDAY.INTL(X270,AC$7,"0000001",Holidays!A:A)+hour(X270)/24+MINUTE(X270)/1440,"")</f>
        <v>46172.74444</v>
      </c>
      <c r="AD270" s="104">
        <v>46172.469330821754</v>
      </c>
      <c r="AE270" s="105" t="s">
        <v>14</v>
      </c>
      <c r="AF270" s="111">
        <f t="shared" si="6"/>
        <v>0</v>
      </c>
      <c r="AG270" s="110" t="str">
        <f t="shared" si="7"/>
        <v>EMP5009 Rup Kumar Mandal</v>
      </c>
      <c r="AH270" s="103">
        <f>if(AC270,if(and(hour(AC270+AH$7)&gt;9.5,(hour(AC270+AH$7)&lt;19.5)),AC270+AH$7,_xlfn.workday.intl(int(AC270),1,"0000001",Holidays!A:A)+hour(AC270+AH$7-$B$1)/24+minute(AC270)/1440),"")</f>
        <v>46172.78611</v>
      </c>
      <c r="AI270" s="104">
        <v>46172.46949971065</v>
      </c>
      <c r="AJ270" s="105" t="s">
        <v>14</v>
      </c>
      <c r="AK270" s="111">
        <f t="shared" si="8"/>
        <v>0</v>
      </c>
      <c r="AL270" s="112" t="str">
        <f t="shared" si="9"/>
        <v>EMP5009 Rup Kumar Mandal</v>
      </c>
      <c r="AM270" s="113"/>
      <c r="AN270" s="114" t="s">
        <v>672</v>
      </c>
      <c r="AO270" s="115"/>
      <c r="AP270" s="115"/>
      <c r="AQ270" s="115"/>
      <c r="AR270" s="115"/>
      <c r="AS270" s="115"/>
      <c r="AT270" s="115"/>
      <c r="AU270" s="115"/>
      <c r="AV270" s="115"/>
      <c r="AW270" s="115"/>
      <c r="AX270" s="115"/>
      <c r="AY270" s="115"/>
    </row>
    <row r="271">
      <c r="A271" s="95">
        <f t="shared" si="11"/>
        <v>5222</v>
      </c>
      <c r="B271" s="96">
        <v>46171.49364061342</v>
      </c>
      <c r="C271" s="97" t="s">
        <v>1136</v>
      </c>
      <c r="D271" s="97" t="s">
        <v>1580</v>
      </c>
      <c r="E271" s="98" t="s">
        <v>1649</v>
      </c>
      <c r="F271" s="97"/>
      <c r="G271" s="97" t="s">
        <v>1651</v>
      </c>
      <c r="H271" s="99" t="s">
        <v>668</v>
      </c>
      <c r="I271" s="100" t="s">
        <v>64</v>
      </c>
      <c r="J271" s="101" t="s">
        <v>1648</v>
      </c>
      <c r="K271" s="100"/>
      <c r="L271" s="102" t="s">
        <v>1652</v>
      </c>
      <c r="M271" s="103">
        <f>if(B271,if(and(hour(B271+M$7)&gt;9.5,(hour(B271+M$7)&lt;19.5)),B271+M$7,_xlfn.workday.intl(int(B271),1,"0000001",Holidays!A:A)+hour(B271+M$7-$B$1)/24+minute(B271)/1440),"")</f>
        <v>46171.66031</v>
      </c>
      <c r="N271" s="104">
        <v>46171.52664614584</v>
      </c>
      <c r="O271" s="105" t="s">
        <v>14</v>
      </c>
      <c r="P271" s="106">
        <f t="shared" si="1"/>
        <v>0</v>
      </c>
      <c r="Q271" s="107" t="s">
        <v>72</v>
      </c>
      <c r="R271" s="108" t="s">
        <v>434</v>
      </c>
      <c r="S271" s="103">
        <f>if(M271,if(and(hour(M271+S$7)&gt;9.5,(hour(M271+S$7)&lt;19.5)),M271+S$7,_xlfn.workday.intl(int(M271),1,"0000001",Holidays!A:A)+hour(M271+S$7-$B$1)/24+minute(M271)/1440),"")</f>
        <v>46171.66725</v>
      </c>
      <c r="T271" s="104">
        <v>46171.52672976852</v>
      </c>
      <c r="U271" s="105" t="s">
        <v>14</v>
      </c>
      <c r="V271" s="109">
        <f t="shared" si="2"/>
        <v>0</v>
      </c>
      <c r="W271" s="110" t="str">
        <f t="shared" si="3"/>
        <v>EMP5009 Rup Kumar Mandal</v>
      </c>
      <c r="X271" s="103">
        <f>if(S271,if(and(hour(S271+X$7)&gt;9.5,(hour(S271+X$7)&lt;19.5)),S271+X$7,_xlfn.workday.intl(int(S271),1,"0000001",Holidays!A:A)+hour(S271+X$7-$B$1)/24+minute(S271)/1440),"")</f>
        <v>46171.77142</v>
      </c>
      <c r="Y271" s="104">
        <v>46171.52675989583</v>
      </c>
      <c r="Z271" s="105" t="s">
        <v>14</v>
      </c>
      <c r="AA271" s="111">
        <f t="shared" si="4"/>
        <v>0</v>
      </c>
      <c r="AB271" s="110" t="str">
        <f t="shared" si="5"/>
        <v>EMP5009 Rup Kumar Mandal</v>
      </c>
      <c r="AC271" s="103">
        <f>if(X271,_xlfn.WORKDAY.INTL(X271,AC$7,"0000001",Holidays!A:A)+hour(X271)/24+MINUTE(X271)/1440,"")</f>
        <v>46172.77083</v>
      </c>
      <c r="AD271" s="104">
        <v>46172.48049277777</v>
      </c>
      <c r="AE271" s="105" t="s">
        <v>14</v>
      </c>
      <c r="AF271" s="111">
        <f t="shared" si="6"/>
        <v>0</v>
      </c>
      <c r="AG271" s="110" t="str">
        <f t="shared" si="7"/>
        <v>EMP5009 Rup Kumar Mandal</v>
      </c>
      <c r="AH271" s="103">
        <f>if(AC271,if(and(hour(AC271+AH$7)&gt;9.5,(hour(AC271+AH$7)&lt;19.5)),AC271+AH$7,_xlfn.workday.intl(int(AC271),1,"0000001",Holidays!A:A)+hour(AC271+AH$7-$B$1)/24+minute(AC271)/1440),"")</f>
        <v>46172.8125</v>
      </c>
      <c r="AI271" s="104">
        <v>46172.469505497684</v>
      </c>
      <c r="AJ271" s="105" t="s">
        <v>14</v>
      </c>
      <c r="AK271" s="111">
        <f t="shared" si="8"/>
        <v>0</v>
      </c>
      <c r="AL271" s="112" t="str">
        <f t="shared" si="9"/>
        <v>EMP5009 Rup Kumar Mandal</v>
      </c>
      <c r="AM271" s="113"/>
      <c r="AN271" s="114" t="s">
        <v>672</v>
      </c>
      <c r="AO271" s="115"/>
      <c r="AP271" s="115"/>
      <c r="AQ271" s="115"/>
      <c r="AR271" s="115"/>
      <c r="AS271" s="115"/>
      <c r="AT271" s="115"/>
      <c r="AU271" s="115"/>
      <c r="AV271" s="115"/>
      <c r="AW271" s="115"/>
      <c r="AX271" s="115"/>
      <c r="AY271" s="115"/>
    </row>
    <row r="272">
      <c r="A272" s="95">
        <f t="shared" si="11"/>
        <v>5223</v>
      </c>
      <c r="B272" s="96">
        <v>46171.644178194445</v>
      </c>
      <c r="C272" s="97" t="s">
        <v>1138</v>
      </c>
      <c r="D272" s="97" t="s">
        <v>215</v>
      </c>
      <c r="E272" s="98" t="s">
        <v>1654</v>
      </c>
      <c r="F272" s="97"/>
      <c r="G272" s="97" t="s">
        <v>1353</v>
      </c>
      <c r="H272" s="99" t="s">
        <v>62</v>
      </c>
      <c r="I272" s="100" t="s">
        <v>64</v>
      </c>
      <c r="J272" s="101" t="s">
        <v>1349</v>
      </c>
      <c r="K272" s="100"/>
      <c r="L272" s="102" t="s">
        <v>1657</v>
      </c>
      <c r="M272" s="103">
        <f>if(B272,if(and(hour(B272+M$7)&gt;9.5,(hour(B272+M$7)&lt;19.5)),B272+M$7,_xlfn.workday.intl(int(B272),1,"0000001",Holidays!A:A)+hour(B272+M$7-$B$1)/24+minute(B272)/1440),"")</f>
        <v>46171.81084</v>
      </c>
      <c r="N272" s="104">
        <v>46171.662059027774</v>
      </c>
      <c r="O272" s="105" t="s">
        <v>14</v>
      </c>
      <c r="P272" s="106">
        <f t="shared" si="1"/>
        <v>0</v>
      </c>
      <c r="Q272" s="107" t="s">
        <v>15</v>
      </c>
      <c r="R272" s="108" t="s">
        <v>434</v>
      </c>
      <c r="S272" s="103">
        <f>if(M272,if(and(hour(M272+S$7)&gt;9.5,(hour(M272+S$7)&lt;19.5)),M272+S$7,_xlfn.workday.intl(int(M272),1,"0000001",Holidays!A:A)+hour(M272+S$7-$B$1)/24+minute(M272)/1440),"")</f>
        <v>46171.81779</v>
      </c>
      <c r="T272" s="104">
        <v>46171.66214738426</v>
      </c>
      <c r="U272" s="105" t="s">
        <v>14</v>
      </c>
      <c r="V272" s="109">
        <f t="shared" si="2"/>
        <v>0</v>
      </c>
      <c r="W272" s="110" t="str">
        <f t="shared" si="3"/>
        <v>EMP0042 HULESHWAR KUMAR SAHU</v>
      </c>
      <c r="X272" s="103">
        <f>if(S272,if(and(hour(S272+X$7)&gt;9.5,(hour(S272+X$7)&lt;19.5)),S272+X$7,_xlfn.workday.intl(int(S272),1,"0000001",Holidays!A:A)+hour(S272+X$7-$B$1)/24+minute(S272)/1440),"")</f>
        <v>46172.52569</v>
      </c>
      <c r="Y272" s="104">
        <v>46171.66218743056</v>
      </c>
      <c r="Z272" s="105" t="s">
        <v>14</v>
      </c>
      <c r="AA272" s="111">
        <f t="shared" si="4"/>
        <v>0</v>
      </c>
      <c r="AB272" s="110" t="str">
        <f t="shared" si="5"/>
        <v>EMP0042 HULESHWAR KUMAR SAHU</v>
      </c>
      <c r="AC272" s="103">
        <f>if(X272,_xlfn.WORKDAY.INTL(X272,AC$7,"0000001",Holidays!A:A)+hour(X272)/24+MINUTE(X272)/1440,"")</f>
        <v>46174.52569</v>
      </c>
      <c r="AD272" s="104">
        <v>46171.737132442126</v>
      </c>
      <c r="AE272" s="105" t="s">
        <v>14</v>
      </c>
      <c r="AF272" s="111">
        <f t="shared" si="6"/>
        <v>0</v>
      </c>
      <c r="AG272" s="110" t="str">
        <f t="shared" si="7"/>
        <v>EMP0042 HULESHWAR KUMAR SAHU</v>
      </c>
      <c r="AH272" s="103">
        <f>if(AC272,if(and(hour(AC272+AH$7)&gt;9.5,(hour(AC272+AH$7)&lt;19.5)),AC272+AH$7,_xlfn.workday.intl(int(AC272),1,"0000001",Holidays!A:A)+hour(AC272+AH$7-$B$1)/24+minute(AC272)/1440),"")</f>
        <v>46174.56736</v>
      </c>
      <c r="AI272" s="104">
        <v>46171.73716633102</v>
      </c>
      <c r="AJ272" s="105" t="s">
        <v>14</v>
      </c>
      <c r="AK272" s="111">
        <f t="shared" si="8"/>
        <v>0</v>
      </c>
      <c r="AL272" s="112" t="str">
        <f t="shared" si="9"/>
        <v>EMP0042 HULESHWAR KUMAR SAHU</v>
      </c>
      <c r="AM272" s="113"/>
      <c r="AN272" s="114" t="s">
        <v>672</v>
      </c>
      <c r="AO272" s="115"/>
      <c r="AP272" s="115"/>
      <c r="AQ272" s="115"/>
      <c r="AR272" s="115"/>
      <c r="AS272" s="115"/>
      <c r="AT272" s="115"/>
      <c r="AU272" s="115"/>
      <c r="AV272" s="115"/>
      <c r="AW272" s="115"/>
      <c r="AX272" s="115"/>
      <c r="AY272" s="115"/>
    </row>
    <row r="273">
      <c r="A273" s="95">
        <f t="shared" si="11"/>
        <v>5224</v>
      </c>
      <c r="B273" s="96">
        <v>46171.684929780095</v>
      </c>
      <c r="C273" s="97" t="s">
        <v>1143</v>
      </c>
      <c r="D273" s="97" t="s">
        <v>225</v>
      </c>
      <c r="E273" s="98" t="s">
        <v>1658</v>
      </c>
      <c r="F273" s="97"/>
      <c r="G273" s="97" t="s">
        <v>1662</v>
      </c>
      <c r="H273" s="99" t="s">
        <v>138</v>
      </c>
      <c r="I273" s="100" t="s">
        <v>64</v>
      </c>
      <c r="J273" s="101" t="s">
        <v>223</v>
      </c>
      <c r="K273" s="100"/>
      <c r="L273" s="102" t="s">
        <v>1663</v>
      </c>
      <c r="M273" s="103">
        <f>if(B273,if(and(hour(B273+M$7)&gt;9.5,(hour(B273+M$7)&lt;19.5)),B273+M$7,_xlfn.workday.intl(int(B273),1,"0000001",Holidays!A:A)+hour(B273+M$7-$B$1)/24+minute(B273)/1440),"")</f>
        <v>46172.43472</v>
      </c>
      <c r="N273" s="104">
        <v>46171.736904143516</v>
      </c>
      <c r="O273" s="105" t="s">
        <v>14</v>
      </c>
      <c r="P273" s="106">
        <f t="shared" si="1"/>
        <v>0</v>
      </c>
      <c r="Q273" s="107" t="s">
        <v>72</v>
      </c>
      <c r="R273" s="108" t="s">
        <v>434</v>
      </c>
      <c r="S273" s="103">
        <f>if(M273,if(and(hour(M273+S$7)&gt;9.5,(hour(M273+S$7)&lt;19.5)),M273+S$7,_xlfn.workday.intl(int(M273),1,"0000001",Holidays!A:A)+hour(M273+S$7-$B$1)/24+minute(M273)/1440),"")</f>
        <v>46172.44167</v>
      </c>
      <c r="T273" s="104">
        <v>46171.736995370375</v>
      </c>
      <c r="U273" s="105" t="s">
        <v>14</v>
      </c>
      <c r="V273" s="109">
        <f t="shared" si="2"/>
        <v>0</v>
      </c>
      <c r="W273" s="110" t="str">
        <f t="shared" si="3"/>
        <v>EMP5009 Rup Kumar Mandal</v>
      </c>
      <c r="X273" s="103">
        <f>if(S273,if(and(hour(S273+X$7)&gt;9.5,(hour(S273+X$7)&lt;19.5)),S273+X$7,_xlfn.workday.intl(int(S273),1,"0000001",Holidays!A:A)+hour(S273+X$7-$B$1)/24+minute(S273)/1440),"")</f>
        <v>46172.54583</v>
      </c>
      <c r="Y273" s="104">
        <v>46171.737043194444</v>
      </c>
      <c r="Z273" s="105" t="s">
        <v>14</v>
      </c>
      <c r="AA273" s="111">
        <f t="shared" si="4"/>
        <v>0</v>
      </c>
      <c r="AB273" s="110" t="str">
        <f t="shared" si="5"/>
        <v>EMP5009 Rup Kumar Mandal</v>
      </c>
      <c r="AC273" s="103">
        <f>if(X273,_xlfn.WORKDAY.INTL(X273,AC$7,"0000001",Holidays!A:A)+hour(X273)/24+MINUTE(X273)/1440,"")</f>
        <v>46174.54583</v>
      </c>
      <c r="AD273" s="104">
        <v>46174.534212962964</v>
      </c>
      <c r="AE273" s="105" t="s">
        <v>14</v>
      </c>
      <c r="AF273" s="111">
        <f t="shared" si="6"/>
        <v>0</v>
      </c>
      <c r="AG273" s="110" t="str">
        <f t="shared" si="7"/>
        <v>EMP5009 Rup Kumar Mandal</v>
      </c>
      <c r="AH273" s="103">
        <f>if(AC273,if(and(hour(AC273+AH$7)&gt;9.5,(hour(AC273+AH$7)&lt;19.5)),AC273+AH$7,_xlfn.workday.intl(int(AC273),1,"0000001",Holidays!A:A)+hour(AC273+AH$7-$B$1)/24+minute(AC273)/1440),"")</f>
        <v>46174.5875</v>
      </c>
      <c r="AI273" s="104">
        <v>46174.534467592595</v>
      </c>
      <c r="AJ273" s="105" t="s">
        <v>14</v>
      </c>
      <c r="AK273" s="111">
        <f t="shared" si="8"/>
        <v>0</v>
      </c>
      <c r="AL273" s="112" t="str">
        <f t="shared" si="9"/>
        <v>EMP5009 Rup Kumar Mandal</v>
      </c>
      <c r="AM273" s="113"/>
      <c r="AN273" s="114" t="s">
        <v>672</v>
      </c>
      <c r="AO273" s="115"/>
      <c r="AP273" s="115"/>
      <c r="AQ273" s="115"/>
      <c r="AR273" s="115"/>
      <c r="AS273" s="115"/>
      <c r="AT273" s="115"/>
      <c r="AU273" s="115"/>
      <c r="AV273" s="115"/>
      <c r="AW273" s="115"/>
      <c r="AX273" s="115"/>
      <c r="AY273" s="115"/>
    </row>
    <row r="274">
      <c r="A274" s="95">
        <f t="shared" si="11"/>
        <v>5225</v>
      </c>
      <c r="B274" s="96">
        <v>46174.48728064814</v>
      </c>
      <c r="C274" s="97" t="s">
        <v>1147</v>
      </c>
      <c r="D274" s="97" t="s">
        <v>186</v>
      </c>
      <c r="E274" s="98" t="s">
        <v>1664</v>
      </c>
      <c r="F274" s="97"/>
      <c r="G274" s="97" t="s">
        <v>1667</v>
      </c>
      <c r="H274" s="99" t="s">
        <v>126</v>
      </c>
      <c r="I274" s="100" t="s">
        <v>64</v>
      </c>
      <c r="J274" s="101" t="s">
        <v>303</v>
      </c>
      <c r="K274" s="100"/>
      <c r="L274" s="102" t="s">
        <v>1668</v>
      </c>
      <c r="M274" s="103">
        <f>if(B274,if(and(hour(B274+M$7)&gt;9.5,(hour(B274+M$7)&lt;19.5)),B274+M$7,_xlfn.workday.intl(int(B274),1,"0000001",Holidays!A:A)+hour(B274+M$7-$B$1)/24+minute(B274)/1440),"")</f>
        <v>46174.65395</v>
      </c>
      <c r="N274" s="104">
        <v>46174.62059027778</v>
      </c>
      <c r="O274" s="105" t="s">
        <v>14</v>
      </c>
      <c r="P274" s="106">
        <f t="shared" si="1"/>
        <v>0</v>
      </c>
      <c r="Q274" s="107" t="s">
        <v>48</v>
      </c>
      <c r="R274" s="108" t="s">
        <v>434</v>
      </c>
      <c r="S274" s="103">
        <f>if(M274,if(and(hour(M274+S$7)&gt;9.5,(hour(M274+S$7)&lt;19.5)),M274+S$7,_xlfn.workday.intl(int(M274),1,"0000001",Holidays!A:A)+hour(M274+S$7-$B$1)/24+minute(M274)/1440),"")</f>
        <v>46174.66089</v>
      </c>
      <c r="T274" s="104">
        <v>46174.74623060186</v>
      </c>
      <c r="U274" s="105" t="s">
        <v>14</v>
      </c>
      <c r="V274" s="109">
        <f t="shared" si="2"/>
        <v>0.0853388426</v>
      </c>
      <c r="W274" s="110" t="str">
        <f t="shared" si="3"/>
        <v>EMP0237 Swarnendu Chakraborty</v>
      </c>
      <c r="X274" s="103">
        <f>if(S274,if(and(hour(S274+X$7)&gt;9.5,(hour(S274+X$7)&lt;19.5)),S274+X$7,_xlfn.workday.intl(int(S274),1,"0000001",Holidays!A:A)+hour(S274+X$7-$B$1)/24+minute(S274)/1440),"")</f>
        <v>46174.76506</v>
      </c>
      <c r="Y274" s="104">
        <v>46174.74635778935</v>
      </c>
      <c r="Z274" s="105" t="s">
        <v>14</v>
      </c>
      <c r="AA274" s="111">
        <f t="shared" si="4"/>
        <v>0</v>
      </c>
      <c r="AB274" s="110" t="str">
        <f t="shared" si="5"/>
        <v>EMP0237 Swarnendu Chakraborty</v>
      </c>
      <c r="AC274" s="103">
        <f>if(X274,_xlfn.WORKDAY.INTL(X274,AC$7,"0000001",Holidays!A:A)+hour(X274)/24+MINUTE(X274)/1440,"")</f>
        <v>46175.76458</v>
      </c>
      <c r="AD274" s="104">
        <v>46175.47078795139</v>
      </c>
      <c r="AE274" s="105" t="s">
        <v>14</v>
      </c>
      <c r="AF274" s="111">
        <f t="shared" si="6"/>
        <v>0</v>
      </c>
      <c r="AG274" s="110" t="str">
        <f t="shared" si="7"/>
        <v>EMP0237 Swarnendu Chakraborty</v>
      </c>
      <c r="AH274" s="103">
        <f>if(AC274,if(and(hour(AC274+AH$7)&gt;9.5,(hour(AC274+AH$7)&lt;19.5)),AC274+AH$7,_xlfn.workday.intl(int(AC274),1,"0000001",Holidays!A:A)+hour(AC274+AH$7-$B$1)/24+minute(AC274)/1440),"")</f>
        <v>46175.80625</v>
      </c>
      <c r="AI274" s="104">
        <v>46175.470826805555</v>
      </c>
      <c r="AJ274" s="105" t="s">
        <v>14</v>
      </c>
      <c r="AK274" s="111">
        <f t="shared" si="8"/>
        <v>0</v>
      </c>
      <c r="AL274" s="112" t="str">
        <f t="shared" si="9"/>
        <v>EMP0237 Swarnendu Chakraborty</v>
      </c>
      <c r="AM274" s="113"/>
      <c r="AN274" s="114" t="s">
        <v>672</v>
      </c>
      <c r="AO274" s="115"/>
      <c r="AP274" s="115"/>
      <c r="AQ274" s="115"/>
      <c r="AR274" s="115"/>
      <c r="AS274" s="115"/>
      <c r="AT274" s="115"/>
      <c r="AU274" s="115"/>
      <c r="AV274" s="115"/>
      <c r="AW274" s="115"/>
      <c r="AX274" s="115"/>
      <c r="AY274" s="115"/>
    </row>
    <row r="275">
      <c r="A275" s="95">
        <f t="shared" si="11"/>
        <v>5226</v>
      </c>
      <c r="B275" s="96">
        <v>46174.51074362268</v>
      </c>
      <c r="C275" s="97" t="s">
        <v>136</v>
      </c>
      <c r="D275" s="97" t="s">
        <v>214</v>
      </c>
      <c r="E275" s="98" t="s">
        <v>1669</v>
      </c>
      <c r="F275" s="97"/>
      <c r="G275" s="97" t="s">
        <v>1671</v>
      </c>
      <c r="H275" s="99" t="s">
        <v>62</v>
      </c>
      <c r="I275" s="100" t="s">
        <v>64</v>
      </c>
      <c r="J275" s="101" t="s">
        <v>214</v>
      </c>
      <c r="K275" s="100"/>
      <c r="L275" s="102" t="s">
        <v>1672</v>
      </c>
      <c r="M275" s="103">
        <f>if(B275,if(and(hour(B275+M$7)&gt;9.5,(hour(B275+M$7)&lt;19.5)),B275+M$7,_xlfn.workday.intl(int(B275),1,"0000001",Holidays!A:A)+hour(B275+M$7-$B$1)/24+minute(B275)/1440),"")</f>
        <v>46174.67741</v>
      </c>
      <c r="N275" s="104">
        <v>46174.62059027778</v>
      </c>
      <c r="O275" s="105" t="s">
        <v>14</v>
      </c>
      <c r="P275" s="106">
        <f t="shared" si="1"/>
        <v>0</v>
      </c>
      <c r="Q275" s="107" t="s">
        <v>48</v>
      </c>
      <c r="R275" s="108" t="s">
        <v>434</v>
      </c>
      <c r="S275" s="103">
        <f>if(M275,if(and(hour(M275+S$7)&gt;9.5,(hour(M275+S$7)&lt;19.5)),M275+S$7,_xlfn.workday.intl(int(M275),1,"0000001",Holidays!A:A)+hour(M275+S$7-$B$1)/24+minute(M275)/1440),"")</f>
        <v>46174.68435</v>
      </c>
      <c r="T275" s="104">
        <v>46174.74625189815</v>
      </c>
      <c r="U275" s="105" t="s">
        <v>14</v>
      </c>
      <c r="V275" s="109">
        <f t="shared" si="2"/>
        <v>0.06189716436</v>
      </c>
      <c r="W275" s="110" t="str">
        <f t="shared" si="3"/>
        <v>EMP0237 Swarnendu Chakraborty</v>
      </c>
      <c r="X275" s="103">
        <f>if(S275,if(and(hour(S275+X$7)&gt;9.5,(hour(S275+X$7)&lt;19.5)),S275+X$7,_xlfn.workday.intl(int(S275),1,"0000001",Holidays!A:A)+hour(S275+X$7-$B$1)/24+minute(S275)/1440),"")</f>
        <v>46174.78852</v>
      </c>
      <c r="Y275" s="104">
        <v>46174.74638309028</v>
      </c>
      <c r="Z275" s="105" t="s">
        <v>14</v>
      </c>
      <c r="AA275" s="111">
        <f t="shared" si="4"/>
        <v>0</v>
      </c>
      <c r="AB275" s="110" t="str">
        <f t="shared" si="5"/>
        <v>EMP0237 Swarnendu Chakraborty</v>
      </c>
      <c r="AC275" s="103">
        <f>if(X275,_xlfn.WORKDAY.INTL(X275,AC$7,"0000001",Holidays!A:A)+hour(X275)/24+MINUTE(X275)/1440,"")</f>
        <v>46175.78819</v>
      </c>
      <c r="AD275" s="104">
        <v>46175.66738799769</v>
      </c>
      <c r="AE275" s="105" t="s">
        <v>14</v>
      </c>
      <c r="AF275" s="111">
        <f t="shared" si="6"/>
        <v>0</v>
      </c>
      <c r="AG275" s="110" t="str">
        <f t="shared" si="7"/>
        <v>EMP0237 Swarnendu Chakraborty</v>
      </c>
      <c r="AH275" s="103">
        <f>if(AC275,if(and(hour(AC275+AH$7)&gt;9.5,(hour(AC275+AH$7)&lt;19.5)),AC275+AH$7,_xlfn.workday.intl(int(AC275),1,"0000001",Holidays!A:A)+hour(AC275+AH$7-$B$1)/24+minute(AC275)/1440),"")</f>
        <v>46175.82986</v>
      </c>
      <c r="AI275" s="104">
        <v>46175.66741340278</v>
      </c>
      <c r="AJ275" s="105" t="s">
        <v>14</v>
      </c>
      <c r="AK275" s="111">
        <f t="shared" si="8"/>
        <v>0</v>
      </c>
      <c r="AL275" s="112" t="str">
        <f t="shared" si="9"/>
        <v>EMP0237 Swarnendu Chakraborty</v>
      </c>
      <c r="AM275" s="113"/>
      <c r="AN275" s="114" t="s">
        <v>672</v>
      </c>
      <c r="AO275" s="115"/>
      <c r="AP275" s="115"/>
      <c r="AQ275" s="115"/>
      <c r="AR275" s="115"/>
      <c r="AS275" s="115"/>
      <c r="AT275" s="115"/>
      <c r="AU275" s="115"/>
      <c r="AV275" s="115"/>
      <c r="AW275" s="115"/>
      <c r="AX275" s="115"/>
      <c r="AY275" s="115"/>
    </row>
    <row r="276">
      <c r="A276" s="95">
        <f t="shared" si="11"/>
        <v>5227</v>
      </c>
      <c r="B276" s="96">
        <v>46175.65674640046</v>
      </c>
      <c r="C276" s="97" t="s">
        <v>1152</v>
      </c>
      <c r="D276" s="97" t="s">
        <v>122</v>
      </c>
      <c r="E276" s="98" t="s">
        <v>1673</v>
      </c>
      <c r="F276" s="98" t="s">
        <v>1675</v>
      </c>
      <c r="G276" s="97" t="s">
        <v>1152</v>
      </c>
      <c r="H276" s="99" t="s">
        <v>138</v>
      </c>
      <c r="I276" s="100" t="s">
        <v>64</v>
      </c>
      <c r="J276" s="101" t="s">
        <v>121</v>
      </c>
      <c r="K276" s="100"/>
      <c r="L276" s="102" t="s">
        <v>175</v>
      </c>
      <c r="M276" s="103">
        <f>if(B276,if(and(hour(B276+M$7)&gt;9.5,(hour(B276+M$7)&lt;19.5)),B276+M$7,_xlfn.workday.intl(int(B276),1,"0000001",Holidays!A:A)+hour(B276+M$7-$B$1)/24+minute(B276)/1440),"")</f>
        <v>46175.82341</v>
      </c>
      <c r="N276" s="104">
        <v>46175.667029606484</v>
      </c>
      <c r="O276" s="105" t="s">
        <v>14</v>
      </c>
      <c r="P276" s="106">
        <f t="shared" si="1"/>
        <v>0</v>
      </c>
      <c r="Q276" s="107" t="s">
        <v>72</v>
      </c>
      <c r="R276" s="108" t="s">
        <v>434</v>
      </c>
      <c r="S276" s="103">
        <f>if(M276,if(and(hour(M276+S$7)&gt;9.5,(hour(M276+S$7)&lt;19.5)),M276+S$7,_xlfn.workday.intl(int(M276),1,"0000001",Holidays!A:A)+hour(M276+S$7-$B$1)/24+minute(M276)/1440),"")</f>
        <v>46175.83036</v>
      </c>
      <c r="T276" s="104">
        <v>46175.66715138889</v>
      </c>
      <c r="U276" s="105" t="s">
        <v>14</v>
      </c>
      <c r="V276" s="109">
        <f t="shared" si="2"/>
        <v>0</v>
      </c>
      <c r="W276" s="110" t="str">
        <f t="shared" si="3"/>
        <v>EMP5009 Rup Kumar Mandal</v>
      </c>
      <c r="X276" s="103">
        <f>if(S276,if(and(hour(S276+X$7)&gt;9.5,(hour(S276+X$7)&lt;19.5)),S276+X$7,_xlfn.workday.intl(int(S276),1,"0000001",Holidays!A:A)+hour(S276+X$7-$B$1)/24+minute(S276)/1440),"")</f>
        <v>46176.53819</v>
      </c>
      <c r="Y276" s="104">
        <v>46175.667229548606</v>
      </c>
      <c r="Z276" s="105" t="s">
        <v>14</v>
      </c>
      <c r="AA276" s="111">
        <f t="shared" si="4"/>
        <v>0</v>
      </c>
      <c r="AB276" s="110" t="str">
        <f t="shared" si="5"/>
        <v>EMP5009 Rup Kumar Mandal</v>
      </c>
      <c r="AC276" s="103">
        <f>if(X276,_xlfn.WORKDAY.INTL(X276,AC$7,"0000001",Holidays!A:A)+hour(X276)/24+MINUTE(X276)/1440,"")</f>
        <v>46177.53819</v>
      </c>
      <c r="AD276" s="104">
        <v>46175.66726431713</v>
      </c>
      <c r="AE276" s="105" t="s">
        <v>14</v>
      </c>
      <c r="AF276" s="111">
        <f t="shared" si="6"/>
        <v>0</v>
      </c>
      <c r="AG276" s="110" t="str">
        <f t="shared" si="7"/>
        <v>EMP5009 Rup Kumar Mandal</v>
      </c>
      <c r="AH276" s="103">
        <f>if(AC276,if(and(hour(AC276+AH$7)&gt;9.5,(hour(AC276+AH$7)&lt;19.5)),AC276+AH$7,_xlfn.workday.intl(int(AC276),1,"0000001",Holidays!A:A)+hour(AC276+AH$7-$B$1)/24+minute(AC276)/1440),"")</f>
        <v>46177.57986</v>
      </c>
      <c r="AI276" s="104">
        <v>46175.676983831014</v>
      </c>
      <c r="AJ276" s="105" t="s">
        <v>14</v>
      </c>
      <c r="AK276" s="111">
        <f t="shared" si="8"/>
        <v>0</v>
      </c>
      <c r="AL276" s="112" t="str">
        <f t="shared" si="9"/>
        <v>EMP5009 Rup Kumar Mandal</v>
      </c>
      <c r="AM276" s="113"/>
      <c r="AN276" s="114" t="s">
        <v>672</v>
      </c>
      <c r="AO276" s="115"/>
      <c r="AP276" s="115"/>
      <c r="AQ276" s="115"/>
      <c r="AR276" s="115"/>
      <c r="AS276" s="115"/>
      <c r="AT276" s="115"/>
      <c r="AU276" s="115"/>
      <c r="AV276" s="115"/>
      <c r="AW276" s="115"/>
      <c r="AX276" s="115"/>
      <c r="AY276" s="115"/>
    </row>
    <row r="277">
      <c r="A277" s="95">
        <f t="shared" si="11"/>
        <v>5228</v>
      </c>
      <c r="B277" s="96">
        <v>46175.670599641206</v>
      </c>
      <c r="C277" s="97" t="s">
        <v>1156</v>
      </c>
      <c r="D277" s="97" t="s">
        <v>1677</v>
      </c>
      <c r="E277" s="98" t="s">
        <v>1678</v>
      </c>
      <c r="F277" s="97"/>
      <c r="G277" s="97" t="s">
        <v>1426</v>
      </c>
      <c r="H277" s="99" t="s">
        <v>138</v>
      </c>
      <c r="I277" s="100" t="s">
        <v>139</v>
      </c>
      <c r="J277" s="101" t="s">
        <v>1420</v>
      </c>
      <c r="K277" s="100"/>
      <c r="L277" s="102" t="s">
        <v>1156</v>
      </c>
      <c r="M277" s="103">
        <f>if(B277,if(and(hour(B277+M$7)&gt;9.5,(hour(B277+M$7)&lt;19.5)),B277+M$7,_xlfn.workday.intl(int(B277),1,"0000001",Holidays!A:A)+hour(B277+M$7-$B$1)/24+minute(B277)/1440),"")</f>
        <v>46176.42014</v>
      </c>
      <c r="N277" s="104">
        <v>46175.67672747685</v>
      </c>
      <c r="O277" s="105" t="s">
        <v>14</v>
      </c>
      <c r="P277" s="106">
        <f t="shared" si="1"/>
        <v>0</v>
      </c>
      <c r="Q277" s="107" t="s">
        <v>72</v>
      </c>
      <c r="R277" s="108" t="s">
        <v>434</v>
      </c>
      <c r="S277" s="103">
        <f>if(M277,if(and(hour(M277+S$7)&gt;9.5,(hour(M277+S$7)&lt;19.5)),M277+S$7,_xlfn.workday.intl(int(M277),1,"0000001",Holidays!A:A)+hour(M277+S$7-$B$1)/24+minute(M277)/1440),"")</f>
        <v>46176.42708</v>
      </c>
      <c r="T277" s="104">
        <v>46175.67687836806</v>
      </c>
      <c r="U277" s="105" t="s">
        <v>14</v>
      </c>
      <c r="V277" s="109">
        <f t="shared" si="2"/>
        <v>0</v>
      </c>
      <c r="W277" s="110" t="str">
        <f t="shared" si="3"/>
        <v>EMP5009 Rup Kumar Mandal</v>
      </c>
      <c r="X277" s="103">
        <f>if(S277,if(and(hour(S277+X$7)&gt;9.5,(hour(S277+X$7)&lt;19.5)),S277+X$7,_xlfn.workday.intl(int(S277),1,"0000001",Holidays!A:A)+hour(S277+X$7-$B$1)/24+minute(S277)/1440),"")</f>
        <v>46176.53125</v>
      </c>
      <c r="Y277" s="104">
        <v>46175.67690568287</v>
      </c>
      <c r="Z277" s="105" t="s">
        <v>14</v>
      </c>
      <c r="AA277" s="111">
        <f t="shared" si="4"/>
        <v>0</v>
      </c>
      <c r="AB277" s="110" t="str">
        <f t="shared" si="5"/>
        <v>EMP5009 Rup Kumar Mandal</v>
      </c>
      <c r="AC277" s="103">
        <f>if(X277,_xlfn.WORKDAY.INTL(X277,AC$7,"0000001",Holidays!A:A)+hour(X277)/24+MINUTE(X277)/1440,"")</f>
        <v>46177.53125</v>
      </c>
      <c r="AD277" s="104">
        <v>46176.54623394676</v>
      </c>
      <c r="AE277" s="105" t="s">
        <v>14</v>
      </c>
      <c r="AF277" s="111">
        <f t="shared" si="6"/>
        <v>0</v>
      </c>
      <c r="AG277" s="110" t="str">
        <f t="shared" si="7"/>
        <v>EMP5009 Rup Kumar Mandal</v>
      </c>
      <c r="AH277" s="103">
        <f>if(AC277,if(and(hour(AC277+AH$7)&gt;9.5,(hour(AC277+AH$7)&lt;19.5)),AC277+AH$7,_xlfn.workday.intl(int(AC277),1,"0000001",Holidays!A:A)+hour(AC277+AH$7-$B$1)/24+minute(AC277)/1440),"")</f>
        <v>46177.57292</v>
      </c>
      <c r="AI277" s="104">
        <v>46176.54626105324</v>
      </c>
      <c r="AJ277" s="105" t="s">
        <v>14</v>
      </c>
      <c r="AK277" s="111">
        <f t="shared" si="8"/>
        <v>0</v>
      </c>
      <c r="AL277" s="112" t="str">
        <f t="shared" si="9"/>
        <v>EMP5009 Rup Kumar Mandal</v>
      </c>
      <c r="AM277" s="113"/>
      <c r="AN277" s="114" t="s">
        <v>672</v>
      </c>
      <c r="AO277" s="115"/>
      <c r="AP277" s="115"/>
      <c r="AQ277" s="115"/>
      <c r="AR277" s="115"/>
      <c r="AS277" s="115"/>
      <c r="AT277" s="115"/>
      <c r="AU277" s="115"/>
      <c r="AV277" s="115"/>
      <c r="AW277" s="115"/>
      <c r="AX277" s="115"/>
      <c r="AY277" s="115"/>
    </row>
    <row r="278">
      <c r="A278" s="95">
        <f t="shared" si="11"/>
        <v>5229</v>
      </c>
      <c r="B278" s="96">
        <v>46175.673073252314</v>
      </c>
      <c r="C278" s="97" t="s">
        <v>1158</v>
      </c>
      <c r="D278" s="97" t="s">
        <v>277</v>
      </c>
      <c r="E278" s="98" t="s">
        <v>1680</v>
      </c>
      <c r="F278" s="97"/>
      <c r="G278" s="97" t="s">
        <v>76</v>
      </c>
      <c r="H278" s="99" t="s">
        <v>62</v>
      </c>
      <c r="I278" s="100" t="s">
        <v>64</v>
      </c>
      <c r="J278" s="101" t="s">
        <v>67</v>
      </c>
      <c r="K278" s="100"/>
      <c r="L278" s="102" t="s">
        <v>76</v>
      </c>
      <c r="M278" s="103">
        <f>if(B278,if(and(hour(B278+M$7)&gt;9.5,(hour(B278+M$7)&lt;19.5)),B278+M$7,_xlfn.workday.intl(int(B278),1,"0000001",Holidays!A:A)+hour(B278+M$7-$B$1)/24+minute(B278)/1440),"")</f>
        <v>46176.42292</v>
      </c>
      <c r="N278" s="104">
        <v>46175.676725972226</v>
      </c>
      <c r="O278" s="105" t="s">
        <v>14</v>
      </c>
      <c r="P278" s="106">
        <f t="shared" si="1"/>
        <v>0</v>
      </c>
      <c r="Q278" s="107" t="s">
        <v>48</v>
      </c>
      <c r="R278" s="108" t="s">
        <v>434</v>
      </c>
      <c r="S278" s="103">
        <f>if(M278,if(and(hour(M278+S$7)&gt;9.5,(hour(M278+S$7)&lt;19.5)),M278+S$7,_xlfn.workday.intl(int(M278),1,"0000001",Holidays!A:A)+hour(M278+S$7-$B$1)/24+minute(M278)/1440),"")</f>
        <v>46176.42986</v>
      </c>
      <c r="T278" s="104">
        <v>46175.676885775465</v>
      </c>
      <c r="U278" s="105" t="s">
        <v>14</v>
      </c>
      <c r="V278" s="109">
        <f t="shared" si="2"/>
        <v>0</v>
      </c>
      <c r="W278" s="110" t="str">
        <f t="shared" si="3"/>
        <v>EMP0237 Swarnendu Chakraborty</v>
      </c>
      <c r="X278" s="103">
        <f>if(S278,if(and(hour(S278+X$7)&gt;9.5,(hour(S278+X$7)&lt;19.5)),S278+X$7,_xlfn.workday.intl(int(S278),1,"0000001",Holidays!A:A)+hour(S278+X$7-$B$1)/24+minute(S278)/1440),"")</f>
        <v>46176.53403</v>
      </c>
      <c r="Y278" s="104">
        <v>46175.67692096064</v>
      </c>
      <c r="Z278" s="105" t="s">
        <v>14</v>
      </c>
      <c r="AA278" s="111">
        <f t="shared" si="4"/>
        <v>0</v>
      </c>
      <c r="AB278" s="110" t="str">
        <f t="shared" si="5"/>
        <v>EMP0237 Swarnendu Chakraborty</v>
      </c>
      <c r="AC278" s="103">
        <f>if(X278,_xlfn.WORKDAY.INTL(X278,AC$7,"0000001",Holidays!A:A)+hour(X278)/24+MINUTE(X278)/1440,"")</f>
        <v>46177.53403</v>
      </c>
      <c r="AD278" s="104">
        <v>46177.471459374996</v>
      </c>
      <c r="AE278" s="105" t="s">
        <v>14</v>
      </c>
      <c r="AF278" s="111">
        <f t="shared" si="6"/>
        <v>0</v>
      </c>
      <c r="AG278" s="110" t="str">
        <f t="shared" si="7"/>
        <v>EMP0237 Swarnendu Chakraborty</v>
      </c>
      <c r="AH278" s="103">
        <f>if(AC278,if(and(hour(AC278+AH$7)&gt;9.5,(hour(AC278+AH$7)&lt;19.5)),AC278+AH$7,_xlfn.workday.intl(int(AC278),1,"0000001",Holidays!A:A)+hour(AC278+AH$7-$B$1)/24+minute(AC278)/1440),"")</f>
        <v>46177.57569</v>
      </c>
      <c r="AI278" s="104">
        <v>46177.4715052199</v>
      </c>
      <c r="AJ278" s="105" t="s">
        <v>14</v>
      </c>
      <c r="AK278" s="111">
        <f t="shared" si="8"/>
        <v>0</v>
      </c>
      <c r="AL278" s="112" t="str">
        <f t="shared" si="9"/>
        <v>EMP0237 Swarnendu Chakraborty</v>
      </c>
      <c r="AM278" s="113"/>
      <c r="AN278" s="114" t="s">
        <v>672</v>
      </c>
      <c r="AO278" s="115"/>
      <c r="AP278" s="115"/>
      <c r="AQ278" s="115"/>
      <c r="AR278" s="115"/>
      <c r="AS278" s="115"/>
      <c r="AT278" s="115"/>
      <c r="AU278" s="115"/>
      <c r="AV278" s="115"/>
      <c r="AW278" s="115"/>
      <c r="AX278" s="115"/>
      <c r="AY278" s="115"/>
    </row>
    <row r="279">
      <c r="A279" s="95">
        <f t="shared" si="11"/>
        <v>5230</v>
      </c>
      <c r="B279" s="96">
        <v>46176.49607032408</v>
      </c>
      <c r="C279" s="97" t="s">
        <v>166</v>
      </c>
      <c r="D279" s="97" t="s">
        <v>49</v>
      </c>
      <c r="E279" s="98" t="s">
        <v>1682</v>
      </c>
      <c r="F279" s="97"/>
      <c r="G279" s="97" t="s">
        <v>60</v>
      </c>
      <c r="H279" s="99" t="s">
        <v>62</v>
      </c>
      <c r="I279" s="100" t="s">
        <v>64</v>
      </c>
      <c r="J279" s="101" t="s">
        <v>47</v>
      </c>
      <c r="K279" s="100"/>
      <c r="L279" s="102" t="s">
        <v>1684</v>
      </c>
      <c r="M279" s="103">
        <f>if(B279,if(and(hour(B279+M$7)&gt;9.5,(hour(B279+M$7)&lt;19.5)),B279+M$7,_xlfn.workday.intl(int(B279),1,"0000001",Holidays!A:A)+hour(B279+M$7-$B$1)/24+minute(B279)/1440),"")</f>
        <v>46176.66274</v>
      </c>
      <c r="N279" s="104">
        <v>46176.50804875</v>
      </c>
      <c r="O279" s="105" t="s">
        <v>14</v>
      </c>
      <c r="P279" s="106">
        <f t="shared" si="1"/>
        <v>0</v>
      </c>
      <c r="Q279" s="107" t="s">
        <v>61</v>
      </c>
      <c r="R279" s="108" t="s">
        <v>434</v>
      </c>
      <c r="S279" s="103">
        <f>if(M279,if(and(hour(M279+S$7)&gt;9.5,(hour(M279+S$7)&lt;19.5)),M279+S$7,_xlfn.workday.intl(int(M279),1,"0000001",Holidays!A:A)+hour(M279+S$7-$B$1)/24+minute(M279)/1440),"")</f>
        <v>46176.66968</v>
      </c>
      <c r="T279" s="104">
        <v>46176.50808759259</v>
      </c>
      <c r="U279" s="105" t="s">
        <v>14</v>
      </c>
      <c r="V279" s="109">
        <f t="shared" si="2"/>
        <v>0</v>
      </c>
      <c r="W279" s="110" t="str">
        <f t="shared" si="3"/>
        <v>EMP0021 Tamanna Dewangan</v>
      </c>
      <c r="X279" s="103">
        <f>if(S279,if(and(hour(S279+X$7)&gt;9.5,(hour(S279+X$7)&lt;19.5)),S279+X$7,_xlfn.workday.intl(int(S279),1,"0000001",Holidays!A:A)+hour(S279+X$7-$B$1)/24+minute(S279)/1440),"")</f>
        <v>46176.77385</v>
      </c>
      <c r="Y279" s="104">
        <v>46176.5081762037</v>
      </c>
      <c r="Z279" s="105" t="s">
        <v>14</v>
      </c>
      <c r="AA279" s="111">
        <f t="shared" si="4"/>
        <v>0</v>
      </c>
      <c r="AB279" s="110" t="str">
        <f t="shared" si="5"/>
        <v>EMP0021 Tamanna Dewangan</v>
      </c>
      <c r="AC279" s="103">
        <f>if(X279,_xlfn.WORKDAY.INTL(X279,AC$7,"0000001",Holidays!A:A)+hour(X279)/24+MINUTE(X279)/1440,"")</f>
        <v>46177.77361</v>
      </c>
      <c r="AD279" s="104">
        <v>46177.68686707176</v>
      </c>
      <c r="AE279" s="105" t="s">
        <v>14</v>
      </c>
      <c r="AF279" s="111">
        <f t="shared" si="6"/>
        <v>0</v>
      </c>
      <c r="AG279" s="110" t="str">
        <f t="shared" si="7"/>
        <v>EMP0021 Tamanna Dewangan</v>
      </c>
      <c r="AH279" s="103">
        <f>if(AC279,if(and(hour(AC279+AH$7)&gt;9.5,(hour(AC279+AH$7)&lt;19.5)),AC279+AH$7,_xlfn.workday.intl(int(AC279),1,"0000001",Holidays!A:A)+hour(AC279+AH$7-$B$1)/24+minute(AC279)/1440),"")</f>
        <v>46177.81528</v>
      </c>
      <c r="AI279" s="104">
        <v>46177.68689777778</v>
      </c>
      <c r="AJ279" s="105" t="s">
        <v>14</v>
      </c>
      <c r="AK279" s="111">
        <f t="shared" si="8"/>
        <v>0</v>
      </c>
      <c r="AL279" s="112" t="str">
        <f t="shared" si="9"/>
        <v>EMP0021 Tamanna Dewangan</v>
      </c>
      <c r="AM279" s="113"/>
      <c r="AN279" s="114" t="s">
        <v>672</v>
      </c>
      <c r="AO279" s="115"/>
      <c r="AP279" s="115"/>
      <c r="AQ279" s="115"/>
      <c r="AR279" s="115"/>
      <c r="AS279" s="115"/>
      <c r="AT279" s="115"/>
      <c r="AU279" s="115"/>
      <c r="AV279" s="115"/>
      <c r="AW279" s="115"/>
      <c r="AX279" s="115"/>
      <c r="AY279" s="115"/>
    </row>
    <row r="280">
      <c r="A280" s="95">
        <f t="shared" si="11"/>
        <v>5231</v>
      </c>
      <c r="B280" s="96">
        <v>46176.69433517361</v>
      </c>
      <c r="C280" s="97" t="s">
        <v>125</v>
      </c>
      <c r="D280" s="97" t="s">
        <v>186</v>
      </c>
      <c r="E280" s="98" t="s">
        <v>1685</v>
      </c>
      <c r="F280" s="97"/>
      <c r="G280" s="97" t="s">
        <v>1687</v>
      </c>
      <c r="H280" s="99" t="s">
        <v>147</v>
      </c>
      <c r="I280" s="100" t="s">
        <v>64</v>
      </c>
      <c r="J280" s="101" t="s">
        <v>303</v>
      </c>
      <c r="K280" s="100"/>
      <c r="L280" s="102" t="s">
        <v>1688</v>
      </c>
      <c r="M280" s="103">
        <f>if(B280,if(and(hour(B280+M$7)&gt;9.5,(hour(B280+M$7)&lt;19.5)),B280+M$7,_xlfn.workday.intl(int(B280),1,"0000001",Holidays!A:A)+hour(B280+M$7-$B$1)/24+minute(B280)/1440),"")</f>
        <v>46177.44375</v>
      </c>
      <c r="N280" s="104">
        <v>46176.746293530094</v>
      </c>
      <c r="O280" s="105" t="s">
        <v>14</v>
      </c>
      <c r="P280" s="106">
        <f t="shared" si="1"/>
        <v>0</v>
      </c>
      <c r="Q280" s="107" t="s">
        <v>15</v>
      </c>
      <c r="R280" s="108" t="s">
        <v>434</v>
      </c>
      <c r="S280" s="103">
        <f>if(M280,if(and(hour(M280+S$7)&gt;9.5,(hour(M280+S$7)&lt;19.5)),M280+S$7,_xlfn.workday.intl(int(M280),1,"0000001",Holidays!A:A)+hour(M280+S$7-$B$1)/24+minute(M280)/1440),"")</f>
        <v>46177.45069</v>
      </c>
      <c r="T280" s="104">
        <v>46176.7465943287</v>
      </c>
      <c r="U280" s="105" t="s">
        <v>14</v>
      </c>
      <c r="V280" s="109">
        <f t="shared" si="2"/>
        <v>0</v>
      </c>
      <c r="W280" s="110" t="str">
        <f t="shared" si="3"/>
        <v>EMP0042 HULESHWAR KUMAR SAHU</v>
      </c>
      <c r="X280" s="103">
        <f>if(S280,if(and(hour(S280+X$7)&gt;9.5,(hour(S280+X$7)&lt;19.5)),S280+X$7,_xlfn.workday.intl(int(S280),1,"0000001",Holidays!A:A)+hour(S280+X$7-$B$1)/24+minute(S280)/1440),"")</f>
        <v>46177.55486</v>
      </c>
      <c r="Y280" s="104">
        <v>46176.74667511574</v>
      </c>
      <c r="Z280" s="105" t="s">
        <v>14</v>
      </c>
      <c r="AA280" s="111">
        <f t="shared" si="4"/>
        <v>0</v>
      </c>
      <c r="AB280" s="110" t="str">
        <f t="shared" si="5"/>
        <v>EMP0042 HULESHWAR KUMAR SAHU</v>
      </c>
      <c r="AC280" s="103">
        <f>if(X280,_xlfn.WORKDAY.INTL(X280,AC$7,"0000001",Holidays!A:A)+hour(X280)/24+MINUTE(X280)/1440,"")</f>
        <v>46178.55486</v>
      </c>
      <c r="AD280" s="104">
        <v>46176.79582543981</v>
      </c>
      <c r="AE280" s="105" t="s">
        <v>14</v>
      </c>
      <c r="AF280" s="111">
        <f t="shared" si="6"/>
        <v>0</v>
      </c>
      <c r="AG280" s="110" t="str">
        <f t="shared" si="7"/>
        <v>EMP0042 HULESHWAR KUMAR SAHU</v>
      </c>
      <c r="AH280" s="103">
        <f>if(AC280,if(and(hour(AC280+AH$7)&gt;9.5,(hour(AC280+AH$7)&lt;19.5)),AC280+AH$7,_xlfn.workday.intl(int(AC280),1,"0000001",Holidays!A:A)+hour(AC280+AH$7-$B$1)/24+minute(AC280)/1440),"")</f>
        <v>46178.59653</v>
      </c>
      <c r="AI280" s="104">
        <v>46176.79600832176</v>
      </c>
      <c r="AJ280" s="105" t="s">
        <v>14</v>
      </c>
      <c r="AK280" s="111">
        <f t="shared" si="8"/>
        <v>0</v>
      </c>
      <c r="AL280" s="112" t="str">
        <f t="shared" si="9"/>
        <v>EMP0042 HULESHWAR KUMAR SAHU</v>
      </c>
      <c r="AM280" s="113"/>
      <c r="AN280" s="114" t="s">
        <v>672</v>
      </c>
      <c r="AO280" s="115"/>
      <c r="AP280" s="115"/>
      <c r="AQ280" s="115"/>
      <c r="AR280" s="115"/>
      <c r="AS280" s="115"/>
      <c r="AT280" s="115"/>
      <c r="AU280" s="115"/>
      <c r="AV280" s="115"/>
      <c r="AW280" s="115"/>
      <c r="AX280" s="115"/>
      <c r="AY280" s="115"/>
    </row>
    <row r="281">
      <c r="A281" s="95">
        <f t="shared" si="11"/>
        <v>5232</v>
      </c>
      <c r="B281" s="96">
        <v>46176.69666822917</v>
      </c>
      <c r="C281" s="97" t="s">
        <v>660</v>
      </c>
      <c r="D281" s="97" t="s">
        <v>186</v>
      </c>
      <c r="E281" s="98" t="s">
        <v>1689</v>
      </c>
      <c r="F281" s="97"/>
      <c r="G281" s="97" t="s">
        <v>1691</v>
      </c>
      <c r="H281" s="99" t="s">
        <v>138</v>
      </c>
      <c r="I281" s="100" t="s">
        <v>64</v>
      </c>
      <c r="J281" s="101" t="s">
        <v>303</v>
      </c>
      <c r="K281" s="100"/>
      <c r="L281" s="102" t="s">
        <v>1692</v>
      </c>
      <c r="M281" s="103">
        <f>if(B281,if(and(hour(B281+M$7)&gt;9.5,(hour(B281+M$7)&lt;19.5)),B281+M$7,_xlfn.workday.intl(int(B281),1,"0000001",Holidays!A:A)+hour(B281+M$7-$B$1)/24+minute(B281)/1440),"")</f>
        <v>46177.44653</v>
      </c>
      <c r="N281" s="104">
        <v>46176.7463712037</v>
      </c>
      <c r="O281" s="105" t="s">
        <v>14</v>
      </c>
      <c r="P281" s="106">
        <f t="shared" si="1"/>
        <v>0</v>
      </c>
      <c r="Q281" s="107" t="s">
        <v>15</v>
      </c>
      <c r="R281" s="108" t="s">
        <v>434</v>
      </c>
      <c r="S281" s="103">
        <f>if(M281,if(and(hour(M281+S$7)&gt;9.5,(hour(M281+S$7)&lt;19.5)),M281+S$7,_xlfn.workday.intl(int(M281),1,"0000001",Holidays!A:A)+hour(M281+S$7-$B$1)/24+minute(M281)/1440),"")</f>
        <v>46177.45347</v>
      </c>
      <c r="T281" s="104">
        <v>46176.7466092824</v>
      </c>
      <c r="U281" s="105" t="s">
        <v>14</v>
      </c>
      <c r="V281" s="109">
        <f t="shared" si="2"/>
        <v>0</v>
      </c>
      <c r="W281" s="110" t="str">
        <f t="shared" si="3"/>
        <v>EMP0042 HULESHWAR KUMAR SAHU</v>
      </c>
      <c r="X281" s="103">
        <f>if(S281,if(and(hour(S281+X$7)&gt;9.5,(hour(S281+X$7)&lt;19.5)),S281+X$7,_xlfn.workday.intl(int(S281),1,"0000001",Holidays!A:A)+hour(S281+X$7-$B$1)/24+minute(S281)/1440),"")</f>
        <v>46177.55764</v>
      </c>
      <c r="Y281" s="104">
        <v>46176.74669175926</v>
      </c>
      <c r="Z281" s="105" t="s">
        <v>14</v>
      </c>
      <c r="AA281" s="111">
        <f t="shared" si="4"/>
        <v>0</v>
      </c>
      <c r="AB281" s="110" t="str">
        <f t="shared" si="5"/>
        <v>EMP0042 HULESHWAR KUMAR SAHU</v>
      </c>
      <c r="AC281" s="103">
        <f>if(X281,_xlfn.WORKDAY.INTL(X281,AC$7,"0000001",Holidays!A:A)+hour(X281)/24+MINUTE(X281)/1440,"")</f>
        <v>46178.55764</v>
      </c>
      <c r="AD281" s="104">
        <v>46176.795913877315</v>
      </c>
      <c r="AE281" s="105" t="s">
        <v>14</v>
      </c>
      <c r="AF281" s="111">
        <f t="shared" si="6"/>
        <v>0</v>
      </c>
      <c r="AG281" s="110" t="str">
        <f t="shared" si="7"/>
        <v>EMP0042 HULESHWAR KUMAR SAHU</v>
      </c>
      <c r="AH281" s="103">
        <f>if(AC281,if(and(hour(AC281+AH$7)&gt;9.5,(hour(AC281+AH$7)&lt;19.5)),AC281+AH$7,_xlfn.workday.intl(int(AC281),1,"0000001",Holidays!A:A)+hour(AC281+AH$7-$B$1)/24+minute(AC281)/1440),"")</f>
        <v>46178.59931</v>
      </c>
      <c r="AI281" s="104">
        <v>46176.79602815972</v>
      </c>
      <c r="AJ281" s="105" t="s">
        <v>14</v>
      </c>
      <c r="AK281" s="111">
        <f t="shared" si="8"/>
        <v>0</v>
      </c>
      <c r="AL281" s="112" t="str">
        <f t="shared" si="9"/>
        <v>EMP0042 HULESHWAR KUMAR SAHU</v>
      </c>
      <c r="AM281" s="113"/>
      <c r="AN281" s="114" t="s">
        <v>672</v>
      </c>
      <c r="AO281" s="115"/>
      <c r="AP281" s="115"/>
      <c r="AQ281" s="115"/>
      <c r="AR281" s="115"/>
      <c r="AS281" s="115"/>
      <c r="AT281" s="115"/>
      <c r="AU281" s="115"/>
      <c r="AV281" s="115"/>
      <c r="AW281" s="115"/>
      <c r="AX281" s="115"/>
      <c r="AY281" s="115"/>
    </row>
    <row r="282">
      <c r="A282" s="95">
        <f t="shared" si="11"/>
        <v>5233</v>
      </c>
      <c r="B282" s="96">
        <v>46176.7041972338</v>
      </c>
      <c r="C282" s="97" t="s">
        <v>705</v>
      </c>
      <c r="D282" s="97" t="s">
        <v>186</v>
      </c>
      <c r="E282" s="98" t="s">
        <v>1693</v>
      </c>
      <c r="F282" s="98" t="s">
        <v>1697</v>
      </c>
      <c r="G282" s="97" t="s">
        <v>1695</v>
      </c>
      <c r="H282" s="99" t="s">
        <v>138</v>
      </c>
      <c r="I282" s="100" t="s">
        <v>64</v>
      </c>
      <c r="J282" s="101" t="s">
        <v>303</v>
      </c>
      <c r="K282" s="100"/>
      <c r="L282" s="102" t="s">
        <v>1696</v>
      </c>
      <c r="M282" s="103">
        <f>if(B282,if(and(hour(B282+M$7)&gt;9.5,(hour(B282+M$7)&lt;19.5)),B282+M$7,_xlfn.workday.intl(int(B282),1,"0000001",Holidays!A:A)+hour(B282+M$7-$B$1)/24+minute(B282)/1440),"")</f>
        <v>46177.45417</v>
      </c>
      <c r="N282" s="104">
        <v>46176.74647474537</v>
      </c>
      <c r="O282" s="105" t="s">
        <v>14</v>
      </c>
      <c r="P282" s="106">
        <f t="shared" si="1"/>
        <v>0</v>
      </c>
      <c r="Q282" s="107" t="s">
        <v>48</v>
      </c>
      <c r="R282" s="108" t="s">
        <v>434</v>
      </c>
      <c r="S282" s="103">
        <f>if(M282,if(and(hour(M282+S$7)&gt;9.5,(hour(M282+S$7)&lt;19.5)),M282+S$7,_xlfn.workday.intl(int(M282),1,"0000001",Holidays!A:A)+hour(M282+S$7-$B$1)/24+minute(M282)/1440),"")</f>
        <v>46177.46111</v>
      </c>
      <c r="T282" s="104">
        <v>46176.74663422453</v>
      </c>
      <c r="U282" s="105" t="s">
        <v>14</v>
      </c>
      <c r="V282" s="109">
        <f t="shared" si="2"/>
        <v>0</v>
      </c>
      <c r="W282" s="110" t="str">
        <f t="shared" si="3"/>
        <v>EMP0237 Swarnendu Chakraborty</v>
      </c>
      <c r="X282" s="103">
        <f>if(S282,if(and(hour(S282+X$7)&gt;9.5,(hour(S282+X$7)&lt;19.5)),S282+X$7,_xlfn.workday.intl(int(S282),1,"0000001",Holidays!A:A)+hour(S282+X$7-$B$1)/24+minute(S282)/1440),"")</f>
        <v>46177.56528</v>
      </c>
      <c r="Y282" s="104">
        <v>46176.74671172454</v>
      </c>
      <c r="Z282" s="105" t="s">
        <v>14</v>
      </c>
      <c r="AA282" s="111">
        <f t="shared" si="4"/>
        <v>0</v>
      </c>
      <c r="AB282" s="110" t="str">
        <f t="shared" si="5"/>
        <v>EMP0237 Swarnendu Chakraborty</v>
      </c>
      <c r="AC282" s="103">
        <f>if(X282,_xlfn.WORKDAY.INTL(X282,AC$7,"0000001",Holidays!A:A)+hour(X282)/24+MINUTE(X282)/1440,"")</f>
        <v>46178.56528</v>
      </c>
      <c r="AD282" s="104">
        <v>46177.471666087964</v>
      </c>
      <c r="AE282" s="105" t="s">
        <v>14</v>
      </c>
      <c r="AF282" s="111">
        <f t="shared" si="6"/>
        <v>0</v>
      </c>
      <c r="AG282" s="110" t="str">
        <f t="shared" si="7"/>
        <v>EMP0237 Swarnendu Chakraborty</v>
      </c>
      <c r="AH282" s="103">
        <f>if(AC282,if(and(hour(AC282+AH$7)&gt;9.5,(hour(AC282+AH$7)&lt;19.5)),AC282+AH$7,_xlfn.workday.intl(int(AC282),1,"0000001",Holidays!A:A)+hour(AC282+AH$7-$B$1)/24+minute(AC282)/1440),"")</f>
        <v>46178.60694</v>
      </c>
      <c r="AI282" s="104">
        <v>46177.47169015046</v>
      </c>
      <c r="AJ282" s="105" t="s">
        <v>14</v>
      </c>
      <c r="AK282" s="111">
        <f t="shared" si="8"/>
        <v>0</v>
      </c>
      <c r="AL282" s="112" t="str">
        <f t="shared" si="9"/>
        <v>EMP0237 Swarnendu Chakraborty</v>
      </c>
      <c r="AM282" s="113"/>
      <c r="AN282" s="114" t="s">
        <v>672</v>
      </c>
      <c r="AO282" s="115"/>
      <c r="AP282" s="115"/>
      <c r="AQ282" s="115"/>
      <c r="AR282" s="115"/>
      <c r="AS282" s="115"/>
      <c r="AT282" s="115"/>
      <c r="AU282" s="115"/>
      <c r="AV282" s="115"/>
      <c r="AW282" s="115"/>
      <c r="AX282" s="115"/>
      <c r="AY282" s="115"/>
    </row>
    <row r="283">
      <c r="A283" s="95">
        <f t="shared" si="11"/>
        <v>5234</v>
      </c>
      <c r="B283" s="96">
        <v>46177.646974675925</v>
      </c>
      <c r="C283" s="97" t="s">
        <v>1175</v>
      </c>
      <c r="D283" s="97" t="s">
        <v>769</v>
      </c>
      <c r="E283" s="98" t="s">
        <v>1700</v>
      </c>
      <c r="F283" s="97"/>
      <c r="G283" s="97" t="s">
        <v>1703</v>
      </c>
      <c r="H283" s="99" t="s">
        <v>147</v>
      </c>
      <c r="I283" s="100" t="s">
        <v>64</v>
      </c>
      <c r="J283" s="101" t="s">
        <v>768</v>
      </c>
      <c r="K283" s="100"/>
      <c r="L283" s="102" t="s">
        <v>518</v>
      </c>
      <c r="M283" s="103">
        <f>if(B283,if(and(hour(B283+M$7)&gt;9.5,(hour(B283+M$7)&lt;19.5)),B283+M$7,_xlfn.workday.intl(int(B283),1,"0000001",Holidays!A:A)+hour(B283+M$7-$B$1)/24+minute(B283)/1440),"")</f>
        <v>46177.81364</v>
      </c>
      <c r="N283" s="104">
        <v>46177.68716957176</v>
      </c>
      <c r="O283" s="105" t="s">
        <v>14</v>
      </c>
      <c r="P283" s="106">
        <f t="shared" si="1"/>
        <v>0</v>
      </c>
      <c r="Q283" s="107" t="s">
        <v>61</v>
      </c>
      <c r="R283" s="108" t="s">
        <v>434</v>
      </c>
      <c r="S283" s="103">
        <f>if(M283,if(and(hour(M283+S$7)&gt;9.5,(hour(M283+S$7)&lt;19.5)),M283+S$7,_xlfn.workday.intl(int(M283),1,"0000001",Holidays!A:A)+hour(M283+S$7-$B$1)/24+minute(M283)/1440),"")</f>
        <v>46177.82059</v>
      </c>
      <c r="T283" s="104">
        <v>46177.68726092593</v>
      </c>
      <c r="U283" s="105" t="s">
        <v>14</v>
      </c>
      <c r="V283" s="109">
        <f t="shared" si="2"/>
        <v>0</v>
      </c>
      <c r="W283" s="110" t="str">
        <f t="shared" si="3"/>
        <v>EMP0021 Tamanna Dewangan</v>
      </c>
      <c r="X283" s="103">
        <f>if(S283,if(and(hour(S283+X$7)&gt;9.5,(hour(S283+X$7)&lt;19.5)),S283+X$7,_xlfn.workday.intl(int(S283),1,"0000001",Holidays!A:A)+hour(S283+X$7-$B$1)/24+minute(S283)/1440),"")</f>
        <v>46178.52847</v>
      </c>
      <c r="Y283" s="104">
        <v>46177.720631909724</v>
      </c>
      <c r="Z283" s="105" t="s">
        <v>14</v>
      </c>
      <c r="AA283" s="111">
        <f t="shared" si="4"/>
        <v>0</v>
      </c>
      <c r="AB283" s="110" t="str">
        <f t="shared" si="5"/>
        <v>EMP0021 Tamanna Dewangan</v>
      </c>
      <c r="AC283" s="103">
        <f>if(X283,_xlfn.WORKDAY.INTL(X283,AC$7,"0000001",Holidays!A:A)+hour(X283)/24+MINUTE(X283)/1440,"")</f>
        <v>46179.52847</v>
      </c>
      <c r="AD283" s="104">
        <v>46178.556758425926</v>
      </c>
      <c r="AE283" s="105" t="s">
        <v>14</v>
      </c>
      <c r="AF283" s="111">
        <f t="shared" si="6"/>
        <v>0</v>
      </c>
      <c r="AG283" s="110" t="str">
        <f t="shared" si="7"/>
        <v>EMP0021 Tamanna Dewangan</v>
      </c>
      <c r="AH283" s="103">
        <f>if(AC283,if(and(hour(AC283+AH$7)&gt;9.5,(hour(AC283+AH$7)&lt;19.5)),AC283+AH$7,_xlfn.workday.intl(int(AC283),1,"0000001",Holidays!A:A)+hour(AC283+AH$7-$B$1)/24+minute(AC283)/1440),"")</f>
        <v>46179.57014</v>
      </c>
      <c r="AI283" s="104">
        <v>46178.55677601852</v>
      </c>
      <c r="AJ283" s="105" t="s">
        <v>14</v>
      </c>
      <c r="AK283" s="111">
        <f t="shared" si="8"/>
        <v>0</v>
      </c>
      <c r="AL283" s="112" t="str">
        <f t="shared" si="9"/>
        <v>EMP0021 Tamanna Dewangan</v>
      </c>
      <c r="AM283" s="113"/>
      <c r="AN283" s="114" t="s">
        <v>672</v>
      </c>
      <c r="AO283" s="115"/>
      <c r="AP283" s="115"/>
      <c r="AQ283" s="115"/>
      <c r="AR283" s="115"/>
      <c r="AS283" s="115"/>
      <c r="AT283" s="115"/>
      <c r="AU283" s="115"/>
      <c r="AV283" s="115"/>
      <c r="AW283" s="115"/>
      <c r="AX283" s="115"/>
      <c r="AY283" s="115"/>
    </row>
    <row r="284">
      <c r="A284" s="95">
        <f t="shared" si="11"/>
        <v>5235</v>
      </c>
      <c r="B284" s="96">
        <v>46178.47439923611</v>
      </c>
      <c r="C284" s="97" t="s">
        <v>986</v>
      </c>
      <c r="D284" s="97" t="s">
        <v>982</v>
      </c>
      <c r="E284" s="98" t="s">
        <v>1704</v>
      </c>
      <c r="F284" s="98" t="s">
        <v>1710</v>
      </c>
      <c r="G284" s="97" t="s">
        <v>1708</v>
      </c>
      <c r="H284" s="99" t="s">
        <v>62</v>
      </c>
      <c r="I284" s="100" t="s">
        <v>324</v>
      </c>
      <c r="J284" s="101" t="s">
        <v>1269</v>
      </c>
      <c r="K284" s="100"/>
      <c r="L284" s="102" t="s">
        <v>1709</v>
      </c>
      <c r="M284" s="103">
        <f>if(B284,if(and(hour(B284+M$7)&gt;9.5,(hour(B284+M$7)&lt;19.5)),B284+M$7,_xlfn.workday.intl(int(B284),1,"0000001",Holidays!A:A)+hour(B284+M$7-$B$1)/24+minute(B284)/1440),"")</f>
        <v>46178.64107</v>
      </c>
      <c r="N284" s="104">
        <v>46178.50721402778</v>
      </c>
      <c r="O284" s="105" t="s">
        <v>14</v>
      </c>
      <c r="P284" s="106">
        <f t="shared" si="1"/>
        <v>0</v>
      </c>
      <c r="Q284" s="107" t="s">
        <v>15</v>
      </c>
      <c r="R284" s="108" t="s">
        <v>434</v>
      </c>
      <c r="S284" s="103">
        <f>if(M284,if(and(hour(M284+S$7)&gt;9.5,(hour(M284+S$7)&lt;19.5)),M284+S$7,_xlfn.workday.intl(int(M284),1,"0000001",Holidays!A:A)+hour(M284+S$7-$B$1)/24+minute(M284)/1440),"")</f>
        <v>46178.64801</v>
      </c>
      <c r="T284" s="104">
        <v>46178.50725210649</v>
      </c>
      <c r="U284" s="105" t="s">
        <v>14</v>
      </c>
      <c r="V284" s="109">
        <f t="shared" si="2"/>
        <v>0</v>
      </c>
      <c r="W284" s="110" t="str">
        <f t="shared" si="3"/>
        <v>EMP0042 HULESHWAR KUMAR SAHU</v>
      </c>
      <c r="X284" s="103">
        <f>if(S284,if(and(hour(S284+X$7)&gt;9.5,(hour(S284+X$7)&lt;19.5)),S284+X$7,_xlfn.workday.intl(int(S284),1,"0000001",Holidays!A:A)+hour(S284+X$7-$B$1)/24+minute(S284)/1440),"")</f>
        <v>46178.75218</v>
      </c>
      <c r="Y284" s="104">
        <v>46178.60946715278</v>
      </c>
      <c r="Z284" s="105" t="s">
        <v>14</v>
      </c>
      <c r="AA284" s="111">
        <f t="shared" si="4"/>
        <v>0</v>
      </c>
      <c r="AB284" s="110" t="str">
        <f t="shared" si="5"/>
        <v>EMP0042 HULESHWAR KUMAR SAHU</v>
      </c>
      <c r="AC284" s="103">
        <f>if(X284,_xlfn.WORKDAY.INTL(X284,AC$7,"0000001",Holidays!A:A)+hour(X284)/24+MINUTE(X284)/1440,"")</f>
        <v>46179.75208</v>
      </c>
      <c r="AD284" s="104">
        <v>46179.45394684028</v>
      </c>
      <c r="AE284" s="105" t="s">
        <v>14</v>
      </c>
      <c r="AF284" s="111">
        <f t="shared" si="6"/>
        <v>0</v>
      </c>
      <c r="AG284" s="110" t="str">
        <f t="shared" si="7"/>
        <v>EMP0042 HULESHWAR KUMAR SAHU</v>
      </c>
      <c r="AH284" s="103">
        <f>if(AC284,if(and(hour(AC284+AH$7)&gt;9.5,(hour(AC284+AH$7)&lt;19.5)),AC284+AH$7,_xlfn.workday.intl(int(AC284),1,"0000001",Holidays!A:A)+hour(AC284+AH$7-$B$1)/24+minute(AC284)/1440),"")</f>
        <v>46179.79375</v>
      </c>
      <c r="AI284" s="104">
        <v>46179.6731158912</v>
      </c>
      <c r="AJ284" s="105" t="s">
        <v>14</v>
      </c>
      <c r="AK284" s="111">
        <f t="shared" si="8"/>
        <v>0</v>
      </c>
      <c r="AL284" s="112" t="str">
        <f t="shared" si="9"/>
        <v>EMP0042 HULESHWAR KUMAR SAHU</v>
      </c>
      <c r="AM284" s="113"/>
      <c r="AN284" s="114" t="s">
        <v>672</v>
      </c>
      <c r="AO284" s="115"/>
      <c r="AP284" s="115"/>
      <c r="AQ284" s="115"/>
      <c r="AR284" s="115"/>
      <c r="AS284" s="115"/>
      <c r="AT284" s="115"/>
      <c r="AU284" s="115"/>
      <c r="AV284" s="115"/>
      <c r="AW284" s="115"/>
      <c r="AX284" s="115"/>
      <c r="AY284" s="115"/>
    </row>
    <row r="285">
      <c r="A285" s="95">
        <f t="shared" si="11"/>
        <v>5236</v>
      </c>
      <c r="B285" s="96">
        <v>46178.67497782408</v>
      </c>
      <c r="C285" s="97" t="s">
        <v>1185</v>
      </c>
      <c r="D285" s="97" t="s">
        <v>1300</v>
      </c>
      <c r="E285" s="98" t="s">
        <v>1713</v>
      </c>
      <c r="F285" s="97"/>
      <c r="G285" s="97" t="s">
        <v>941</v>
      </c>
      <c r="H285" s="99" t="s">
        <v>668</v>
      </c>
      <c r="I285" s="100" t="s">
        <v>64</v>
      </c>
      <c r="J285" s="101" t="s">
        <v>662</v>
      </c>
      <c r="K285" s="100"/>
      <c r="L285" s="102" t="s">
        <v>1715</v>
      </c>
      <c r="M285" s="103">
        <f>if(B285,if(and(hour(B285+M$7)&gt;9.5,(hour(B285+M$7)&lt;19.5)),B285+M$7,_xlfn.workday.intl(int(B285),1,"0000001",Holidays!A:A)+hour(B285+M$7-$B$1)/24+minute(B285)/1440),"")</f>
        <v>46179.42431</v>
      </c>
      <c r="N285" s="104">
        <v>46178.72100986111</v>
      </c>
      <c r="O285" s="105" t="s">
        <v>14</v>
      </c>
      <c r="P285" s="106">
        <f t="shared" si="1"/>
        <v>0</v>
      </c>
      <c r="Q285" s="107" t="s">
        <v>61</v>
      </c>
      <c r="R285" s="108" t="s">
        <v>434</v>
      </c>
      <c r="S285" s="103">
        <f>if(M285,if(and(hour(M285+S$7)&gt;9.5,(hour(M285+S$7)&lt;19.5)),M285+S$7,_xlfn.workday.intl(int(M285),1,"0000001",Holidays!A:A)+hour(M285+S$7-$B$1)/24+minute(M285)/1440),"")</f>
        <v>46179.43125</v>
      </c>
      <c r="T285" s="104">
        <v>46178.72110650463</v>
      </c>
      <c r="U285" s="105" t="s">
        <v>14</v>
      </c>
      <c r="V285" s="109">
        <f t="shared" si="2"/>
        <v>0</v>
      </c>
      <c r="W285" s="110" t="str">
        <f t="shared" si="3"/>
        <v>EMP0021 Tamanna Dewangan</v>
      </c>
      <c r="X285" s="103">
        <f>if(S285,if(and(hour(S285+X$7)&gt;9.5,(hour(S285+X$7)&lt;19.5)),S285+X$7,_xlfn.workday.intl(int(S285),1,"0000001",Holidays!A:A)+hour(S285+X$7-$B$1)/24+minute(S285)/1440),"")</f>
        <v>46179.53542</v>
      </c>
      <c r="Y285" s="104">
        <v>46178.72155402778</v>
      </c>
      <c r="Z285" s="105" t="s">
        <v>14</v>
      </c>
      <c r="AA285" s="111">
        <f t="shared" si="4"/>
        <v>0</v>
      </c>
      <c r="AB285" s="110" t="str">
        <f t="shared" si="5"/>
        <v>EMP0021 Tamanna Dewangan</v>
      </c>
      <c r="AC285" s="103">
        <f>if(X285,_xlfn.WORKDAY.INTL(X285,AC$7,"0000001",Holidays!A:A)+hour(X285)/24+MINUTE(X285)/1440,"")</f>
        <v>46181.53542</v>
      </c>
      <c r="AD285" s="104">
        <v>46179.454014918985</v>
      </c>
      <c r="AE285" s="105" t="s">
        <v>14</v>
      </c>
      <c r="AF285" s="111">
        <f t="shared" si="6"/>
        <v>0</v>
      </c>
      <c r="AG285" s="110" t="str">
        <f t="shared" si="7"/>
        <v>EMP0021 Tamanna Dewangan</v>
      </c>
      <c r="AH285" s="103">
        <f>if(AC285,if(and(hour(AC285+AH$7)&gt;9.5,(hour(AC285+AH$7)&lt;19.5)),AC285+AH$7,_xlfn.workday.intl(int(AC285),1,"0000001",Holidays!A:A)+hour(AC285+AH$7-$B$1)/24+minute(AC285)/1440),"")</f>
        <v>46181.57708</v>
      </c>
      <c r="AI285" s="104">
        <v>46181.45615974537</v>
      </c>
      <c r="AJ285" s="105" t="s">
        <v>14</v>
      </c>
      <c r="AK285" s="111">
        <f t="shared" si="8"/>
        <v>0</v>
      </c>
      <c r="AL285" s="112" t="str">
        <f t="shared" si="9"/>
        <v>EMP0021 Tamanna Dewangan</v>
      </c>
      <c r="AM285" s="113"/>
      <c r="AN285" s="114" t="s">
        <v>672</v>
      </c>
      <c r="AO285" s="115"/>
      <c r="AP285" s="115"/>
      <c r="AQ285" s="115"/>
      <c r="AR285" s="115"/>
      <c r="AS285" s="115"/>
      <c r="AT285" s="115"/>
      <c r="AU285" s="115"/>
      <c r="AV285" s="115"/>
      <c r="AW285" s="115"/>
      <c r="AX285" s="115"/>
      <c r="AY285" s="115"/>
    </row>
    <row r="286">
      <c r="A286" s="95">
        <f t="shared" si="11"/>
        <v>5237</v>
      </c>
      <c r="B286" s="96">
        <v>46178.678047141206</v>
      </c>
      <c r="C286" s="97" t="s">
        <v>1720</v>
      </c>
      <c r="D286" s="97" t="s">
        <v>1300</v>
      </c>
      <c r="E286" s="98" t="s">
        <v>1717</v>
      </c>
      <c r="F286" s="97"/>
      <c r="G286" s="97" t="s">
        <v>674</v>
      </c>
      <c r="H286" s="99" t="s">
        <v>1144</v>
      </c>
      <c r="I286" s="100" t="s">
        <v>64</v>
      </c>
      <c r="J286" s="101" t="s">
        <v>662</v>
      </c>
      <c r="K286" s="100"/>
      <c r="L286" s="102" t="s">
        <v>1718</v>
      </c>
      <c r="M286" s="103">
        <f>if(B286,if(and(hour(B286+M$7)&gt;9.5,(hour(B286+M$7)&lt;19.5)),B286+M$7,_xlfn.workday.intl(int(B286),1,"0000001",Holidays!A:A)+hour(B286+M$7-$B$1)/24+minute(B286)/1440),"")</f>
        <v>46179.42778</v>
      </c>
      <c r="N286" s="104">
        <v>46178.7210272338</v>
      </c>
      <c r="O286" s="105" t="s">
        <v>14</v>
      </c>
      <c r="P286" s="106">
        <f t="shared" si="1"/>
        <v>0</v>
      </c>
      <c r="Q286" s="107" t="s">
        <v>72</v>
      </c>
      <c r="R286" s="108" t="s">
        <v>434</v>
      </c>
      <c r="S286" s="103">
        <f>if(M286,if(and(hour(M286+S$7)&gt;9.5,(hour(M286+S$7)&lt;19.5)),M286+S$7,_xlfn.workday.intl(int(M286),1,"0000001",Holidays!A:A)+hour(M286+S$7-$B$1)/24+minute(M286)/1440),"")</f>
        <v>46179.43472</v>
      </c>
      <c r="T286" s="104">
        <v>46178.72112505787</v>
      </c>
      <c r="U286" s="105" t="s">
        <v>14</v>
      </c>
      <c r="V286" s="109">
        <f t="shared" si="2"/>
        <v>0</v>
      </c>
      <c r="W286" s="110" t="str">
        <f t="shared" si="3"/>
        <v>EMP5009 Rup Kumar Mandal</v>
      </c>
      <c r="X286" s="103">
        <f>if(S286,if(and(hour(S286+X$7)&gt;9.5,(hour(S286+X$7)&lt;19.5)),S286+X$7,_xlfn.workday.intl(int(S286),1,"0000001",Holidays!A:A)+hour(S286+X$7-$B$1)/24+minute(S286)/1440),"")</f>
        <v>46179.53889</v>
      </c>
      <c r="Y286" s="104">
        <v>46178.72157152778</v>
      </c>
      <c r="Z286" s="105" t="s">
        <v>14</v>
      </c>
      <c r="AA286" s="111">
        <f t="shared" si="4"/>
        <v>0</v>
      </c>
      <c r="AB286" s="110" t="str">
        <f t="shared" si="5"/>
        <v>EMP5009 Rup Kumar Mandal</v>
      </c>
      <c r="AC286" s="103">
        <f>if(X286,_xlfn.WORKDAY.INTL(X286,AC$7,"0000001",Holidays!A:A)+hour(X286)/24+MINUTE(X286)/1440,"")</f>
        <v>46181.53889</v>
      </c>
      <c r="AD286" s="104">
        <v>46179.68807767361</v>
      </c>
      <c r="AE286" s="105" t="s">
        <v>14</v>
      </c>
      <c r="AF286" s="111">
        <f t="shared" si="6"/>
        <v>0</v>
      </c>
      <c r="AG286" s="110" t="str">
        <f t="shared" si="7"/>
        <v>EMP5009 Rup Kumar Mandal</v>
      </c>
      <c r="AH286" s="103">
        <f>if(AC286,if(and(hour(AC286+AH$7)&gt;9.5,(hour(AC286+AH$7)&lt;19.5)),AC286+AH$7,_xlfn.workday.intl(int(AC286),1,"0000001",Holidays!A:A)+hour(AC286+AH$7-$B$1)/24+minute(AC286)/1440),"")</f>
        <v>46181.58056</v>
      </c>
      <c r="AI286" s="104">
        <v>46181.456108240745</v>
      </c>
      <c r="AJ286" s="105" t="s">
        <v>14</v>
      </c>
      <c r="AK286" s="111">
        <f t="shared" si="8"/>
        <v>0</v>
      </c>
      <c r="AL286" s="112" t="str">
        <f t="shared" si="9"/>
        <v>EMP5009 Rup Kumar Mandal</v>
      </c>
      <c r="AM286" s="113"/>
      <c r="AN286" s="114" t="s">
        <v>672</v>
      </c>
      <c r="AO286" s="115"/>
      <c r="AP286" s="115"/>
      <c r="AQ286" s="115"/>
      <c r="AR286" s="115"/>
      <c r="AS286" s="115"/>
      <c r="AT286" s="115"/>
      <c r="AU286" s="115"/>
      <c r="AV286" s="115"/>
      <c r="AW286" s="115"/>
      <c r="AX286" s="115"/>
      <c r="AY286" s="115"/>
    </row>
    <row r="287">
      <c r="A287" s="95">
        <f t="shared" si="11"/>
        <v>5238</v>
      </c>
      <c r="B287" s="96">
        <v>46179.676665266205</v>
      </c>
      <c r="C287" s="97" t="s">
        <v>166</v>
      </c>
      <c r="D287" s="97" t="s">
        <v>1721</v>
      </c>
      <c r="E287" s="98" t="s">
        <v>1722</v>
      </c>
      <c r="F287" s="97"/>
      <c r="G287" s="97" t="s">
        <v>1723</v>
      </c>
      <c r="H287" s="99" t="s">
        <v>62</v>
      </c>
      <c r="I287" s="100" t="s">
        <v>64</v>
      </c>
      <c r="J287" s="101" t="s">
        <v>513</v>
      </c>
      <c r="K287" s="100"/>
      <c r="L287" s="102" t="s">
        <v>518</v>
      </c>
      <c r="M287" s="103">
        <f>if(B287,if(and(hour(B287+M$7)&gt;9.5,(hour(B287+M$7)&lt;19.5)),B287+M$7,_xlfn.workday.intl(int(B287),1,"0000001",Holidays!A:A)+hour(B287+M$7-$B$1)/24+minute(B287)/1440),"")</f>
        <v>46181.42639</v>
      </c>
      <c r="N287" s="104">
        <v>46179.68797653935</v>
      </c>
      <c r="O287" s="105" t="s">
        <v>14</v>
      </c>
      <c r="P287" s="106">
        <f t="shared" si="1"/>
        <v>0</v>
      </c>
      <c r="Q287" s="107" t="s">
        <v>72</v>
      </c>
      <c r="R287" s="108" t="s">
        <v>434</v>
      </c>
      <c r="S287" s="103">
        <f>if(M287,if(and(hour(M287+S$7)&gt;9.5,(hour(M287+S$7)&lt;19.5)),M287+S$7,_xlfn.workday.intl(int(M287),1,"0000001",Holidays!A:A)+hour(M287+S$7-$B$1)/24+minute(M287)/1440),"")</f>
        <v>46181.43333</v>
      </c>
      <c r="T287" s="104">
        <v>46179.68802206019</v>
      </c>
      <c r="U287" s="105" t="s">
        <v>14</v>
      </c>
      <c r="V287" s="109">
        <f t="shared" si="2"/>
        <v>0</v>
      </c>
      <c r="W287" s="110" t="str">
        <f t="shared" si="3"/>
        <v>EMP5009 Rup Kumar Mandal</v>
      </c>
      <c r="X287" s="103">
        <f>if(S287,if(and(hour(S287+X$7)&gt;9.5,(hour(S287+X$7)&lt;19.5)),S287+X$7,_xlfn.workday.intl(int(S287),1,"0000001",Holidays!A:A)+hour(S287+X$7-$B$1)/24+minute(S287)/1440),"")</f>
        <v>46181.5375</v>
      </c>
      <c r="Y287" s="104">
        <v>46179.68803859953</v>
      </c>
      <c r="Z287" s="105" t="s">
        <v>14</v>
      </c>
      <c r="AA287" s="111">
        <f t="shared" si="4"/>
        <v>0</v>
      </c>
      <c r="AB287" s="110" t="str">
        <f t="shared" si="5"/>
        <v>EMP5009 Rup Kumar Mandal</v>
      </c>
      <c r="AC287" s="103">
        <f>if(X287,_xlfn.WORKDAY.INTL(X287,AC$7,"0000001",Holidays!A:A)+hour(X287)/24+MINUTE(X287)/1440,"")</f>
        <v>46182.5375</v>
      </c>
      <c r="AD287" s="104">
        <v>46179.68807767361</v>
      </c>
      <c r="AE287" s="105" t="s">
        <v>14</v>
      </c>
      <c r="AF287" s="111">
        <f t="shared" si="6"/>
        <v>0</v>
      </c>
      <c r="AG287" s="110" t="str">
        <f t="shared" si="7"/>
        <v>EMP5009 Rup Kumar Mandal</v>
      </c>
      <c r="AH287" s="103">
        <f>if(AC287,if(and(hour(AC287+AH$7)&gt;9.5,(hour(AC287+AH$7)&lt;19.5)),AC287+AH$7,_xlfn.workday.intl(int(AC287),1,"0000001",Holidays!A:A)+hour(AC287+AH$7-$B$1)/24+minute(AC287)/1440),"")</f>
        <v>46182.57917</v>
      </c>
      <c r="AI287" s="104">
        <v>46181.45614226852</v>
      </c>
      <c r="AJ287" s="105" t="s">
        <v>14</v>
      </c>
      <c r="AK287" s="111">
        <f t="shared" si="8"/>
        <v>0</v>
      </c>
      <c r="AL287" s="112" t="str">
        <f t="shared" si="9"/>
        <v>EMP5009 Rup Kumar Mandal</v>
      </c>
      <c r="AM287" s="113"/>
      <c r="AN287" s="114" t="s">
        <v>672</v>
      </c>
      <c r="AO287" s="115"/>
      <c r="AP287" s="115"/>
      <c r="AQ287" s="115"/>
      <c r="AR287" s="115"/>
      <c r="AS287" s="115"/>
      <c r="AT287" s="115"/>
      <c r="AU287" s="115"/>
      <c r="AV287" s="115"/>
      <c r="AW287" s="115"/>
      <c r="AX287" s="115"/>
      <c r="AY287" s="115"/>
    </row>
    <row r="288">
      <c r="A288" s="95">
        <f t="shared" si="11"/>
        <v>5239</v>
      </c>
      <c r="B288" s="96">
        <v>46181.670400393516</v>
      </c>
      <c r="C288" s="97" t="s">
        <v>882</v>
      </c>
      <c r="D288" s="97" t="s">
        <v>186</v>
      </c>
      <c r="E288" s="98" t="s">
        <v>1724</v>
      </c>
      <c r="F288" s="97"/>
      <c r="G288" s="97" t="s">
        <v>1726</v>
      </c>
      <c r="H288" s="99" t="s">
        <v>138</v>
      </c>
      <c r="I288" s="100" t="s">
        <v>64</v>
      </c>
      <c r="J288" s="101" t="s">
        <v>303</v>
      </c>
      <c r="K288" s="100"/>
      <c r="L288" s="102" t="s">
        <v>1727</v>
      </c>
      <c r="M288" s="103">
        <f>if(B288,if(and(hour(B288+M$7)&gt;9.5,(hour(B288+M$7)&lt;19.5)),B288+M$7,_xlfn.workday.intl(int(B288),1,"0000001",Holidays!A:A)+hour(B288+M$7-$B$1)/24+minute(B288)/1440),"")</f>
        <v>46182.42014</v>
      </c>
      <c r="N288" s="104">
        <v>46181.679712349534</v>
      </c>
      <c r="O288" s="105" t="s">
        <v>14</v>
      </c>
      <c r="P288" s="106">
        <f t="shared" si="1"/>
        <v>0</v>
      </c>
      <c r="Q288" s="107" t="s">
        <v>15</v>
      </c>
      <c r="R288" s="108" t="s">
        <v>434</v>
      </c>
      <c r="S288" s="103">
        <f>if(M288,if(and(hour(M288+S$7)&gt;9.5,(hour(M288+S$7)&lt;19.5)),M288+S$7,_xlfn.workday.intl(int(M288),1,"0000001",Holidays!A:A)+hour(M288+S$7-$B$1)/24+minute(M288)/1440),"")+1/24</f>
        <v>46182.46875</v>
      </c>
      <c r="T288" s="104">
        <v>46182.45254142361</v>
      </c>
      <c r="U288" s="105" t="s">
        <v>14</v>
      </c>
      <c r="V288" s="109">
        <f t="shared" si="2"/>
        <v>0</v>
      </c>
      <c r="W288" s="110" t="str">
        <f t="shared" si="3"/>
        <v>EMP0042 HULESHWAR KUMAR SAHU</v>
      </c>
      <c r="X288" s="103">
        <f>if(S288,if(and(hour(S288+X$7)&gt;9.5,(hour(S288+X$7)&lt;19.5)),S288+X$7,_xlfn.workday.intl(int(S288),1,"0000001",Holidays!A:A)+hour(S288+X$7-$B$1)/24+minute(S288)/1440),"")+1/24</f>
        <v>46182.61458</v>
      </c>
      <c r="Y288" s="104">
        <v>46182.45258262732</v>
      </c>
      <c r="Z288" s="105" t="s">
        <v>14</v>
      </c>
      <c r="AA288" s="111">
        <f t="shared" si="4"/>
        <v>0</v>
      </c>
      <c r="AB288" s="110" t="str">
        <f t="shared" si="5"/>
        <v>EMP0042 HULESHWAR KUMAR SAHU</v>
      </c>
      <c r="AC288" s="103">
        <f>if(X288,_xlfn.WORKDAY.INTL(X288,AC$7,"0000001",Holidays!A:A)+hour(X288)/24+MINUTE(X288)/1440,"")</f>
        <v>46183.61458</v>
      </c>
      <c r="AD288" s="104">
        <v>46182.45270850694</v>
      </c>
      <c r="AE288" s="105" t="s">
        <v>14</v>
      </c>
      <c r="AF288" s="111">
        <f t="shared" si="6"/>
        <v>0</v>
      </c>
      <c r="AG288" s="110" t="str">
        <f t="shared" si="7"/>
        <v>EMP0042 HULESHWAR KUMAR SAHU</v>
      </c>
      <c r="AH288" s="103">
        <f>if(AC288,if(and(hour(AC288+AH$7)&gt;9.5,(hour(AC288+AH$7)&lt;19.5)),AC288+AH$7,_xlfn.workday.intl(int(AC288),1,"0000001",Holidays!A:A)+hour(AC288+AH$7-$B$1)/24+minute(AC288)/1440),"")</f>
        <v>46183.65625</v>
      </c>
      <c r="AI288" s="104">
        <v>46182.7212709375</v>
      </c>
      <c r="AJ288" s="105" t="s">
        <v>14</v>
      </c>
      <c r="AK288" s="111">
        <f t="shared" si="8"/>
        <v>0</v>
      </c>
      <c r="AL288" s="112" t="str">
        <f t="shared" si="9"/>
        <v>EMP0042 HULESHWAR KUMAR SAHU</v>
      </c>
      <c r="AM288" s="113"/>
      <c r="AN288" s="114" t="s">
        <v>672</v>
      </c>
      <c r="AO288" s="115"/>
      <c r="AP288" s="115"/>
      <c r="AQ288" s="115"/>
      <c r="AR288" s="115"/>
      <c r="AS288" s="115"/>
      <c r="AT288" s="115"/>
      <c r="AU288" s="115"/>
      <c r="AV288" s="115"/>
      <c r="AW288" s="115"/>
      <c r="AX288" s="115"/>
      <c r="AY288" s="115"/>
    </row>
    <row r="289">
      <c r="A289" s="95">
        <f t="shared" si="11"/>
        <v>5240</v>
      </c>
      <c r="B289" s="96">
        <v>46181.69820428241</v>
      </c>
      <c r="C289" s="97" t="s">
        <v>74</v>
      </c>
      <c r="D289" s="97" t="s">
        <v>1728</v>
      </c>
      <c r="E289" s="98" t="s">
        <v>1729</v>
      </c>
      <c r="F289" s="97"/>
      <c r="G289" s="97" t="s">
        <v>360</v>
      </c>
      <c r="H289" s="99" t="s">
        <v>668</v>
      </c>
      <c r="I289" s="100" t="s">
        <v>64</v>
      </c>
      <c r="J289" s="101" t="s">
        <v>356</v>
      </c>
      <c r="K289" s="100"/>
      <c r="L289" s="102" t="s">
        <v>1732</v>
      </c>
      <c r="M289" s="103">
        <f>if(B289,if(and(hour(B289+M$7)&gt;9.5,(hour(B289+M$7)&lt;19.5)),B289+M$7,_xlfn.workday.intl(int(B289),1,"0000001",Holidays!A:A)+hour(B289+M$7-$B$1)/24+minute(B289)/1440),"")+1/24</f>
        <v>46182.48958</v>
      </c>
      <c r="N289" s="104">
        <v>46182.45240017361</v>
      </c>
      <c r="O289" s="105" t="s">
        <v>14</v>
      </c>
      <c r="P289" s="106">
        <f t="shared" si="1"/>
        <v>0</v>
      </c>
      <c r="Q289" s="107" t="s">
        <v>15</v>
      </c>
      <c r="R289" s="108" t="s">
        <v>434</v>
      </c>
      <c r="S289" s="103">
        <f>if(M289,if(and(hour(M289+S$7)&gt;9.5,(hour(M289+S$7)&lt;19.5)),M289+S$7,_xlfn.workday.intl(int(M289),1,"0000001",Holidays!A:A)+hour(M289+S$7-$B$1)/24+minute(M289)/1440),"")</f>
        <v>46182.49653</v>
      </c>
      <c r="T289" s="104">
        <v>46182.4525531713</v>
      </c>
      <c r="U289" s="105" t="s">
        <v>14</v>
      </c>
      <c r="V289" s="109">
        <f t="shared" si="2"/>
        <v>0</v>
      </c>
      <c r="W289" s="110" t="str">
        <f t="shared" si="3"/>
        <v>EMP0042 HULESHWAR KUMAR SAHU</v>
      </c>
      <c r="X289" s="103">
        <f>if(S289,if(and(hour(S289+X$7)&gt;9.5,(hour(S289+X$7)&lt;19.5)),S289+X$7,_xlfn.workday.intl(int(S289),1,"0000001",Holidays!A:A)+hour(S289+X$7-$B$1)/24+minute(S289)/1440),"")</f>
        <v>46182.60069</v>
      </c>
      <c r="Y289" s="104">
        <v>46182.452595254625</v>
      </c>
      <c r="Z289" s="105" t="s">
        <v>14</v>
      </c>
      <c r="AA289" s="111">
        <f t="shared" si="4"/>
        <v>0</v>
      </c>
      <c r="AB289" s="110" t="str">
        <f t="shared" si="5"/>
        <v>EMP0042 HULESHWAR KUMAR SAHU</v>
      </c>
      <c r="AC289" s="103">
        <f>if(X289,_xlfn.WORKDAY.INTL(X289,AC$7,"0000001",Holidays!A:A)+hour(X289)/24+MINUTE(X289)/1440,"")</f>
        <v>46183.60069</v>
      </c>
      <c r="AD289" s="104">
        <v>46182.45271662037</v>
      </c>
      <c r="AE289" s="105" t="s">
        <v>14</v>
      </c>
      <c r="AF289" s="111">
        <f t="shared" si="6"/>
        <v>0</v>
      </c>
      <c r="AG289" s="110" t="str">
        <f t="shared" si="7"/>
        <v>EMP0042 HULESHWAR KUMAR SAHU</v>
      </c>
      <c r="AH289" s="103">
        <f>if(AC289,if(and(hour(AC289+AH$7)&gt;9.5,(hour(AC289+AH$7)&lt;19.5)),AC289+AH$7,_xlfn.workday.intl(int(AC289),1,"0000001",Holidays!A:A)+hour(AC289+AH$7-$B$1)/24+minute(AC289)/1440),"")</f>
        <v>46183.64236</v>
      </c>
      <c r="AI289" s="104">
        <v>46182.468466238424</v>
      </c>
      <c r="AJ289" s="105" t="s">
        <v>14</v>
      </c>
      <c r="AK289" s="111">
        <f t="shared" si="8"/>
        <v>0</v>
      </c>
      <c r="AL289" s="112" t="str">
        <f t="shared" si="9"/>
        <v>EMP0042 HULESHWAR KUMAR SAHU</v>
      </c>
      <c r="AM289" s="113"/>
      <c r="AN289" s="114" t="s">
        <v>672</v>
      </c>
      <c r="AO289" s="115"/>
      <c r="AP289" s="115"/>
      <c r="AQ289" s="115"/>
      <c r="AR289" s="115"/>
      <c r="AS289" s="115"/>
      <c r="AT289" s="115"/>
      <c r="AU289" s="115"/>
      <c r="AV289" s="115"/>
      <c r="AW289" s="115"/>
      <c r="AX289" s="115"/>
      <c r="AY289" s="115"/>
    </row>
    <row r="290">
      <c r="A290" s="95">
        <f t="shared" si="11"/>
        <v>5241</v>
      </c>
      <c r="B290" s="96">
        <v>46182.628929756946</v>
      </c>
      <c r="C290" s="97" t="s">
        <v>1199</v>
      </c>
      <c r="D290" s="97" t="s">
        <v>232</v>
      </c>
      <c r="E290" s="98" t="s">
        <v>1734</v>
      </c>
      <c r="F290" s="97"/>
      <c r="G290" s="97">
        <v>8.0</v>
      </c>
      <c r="H290" s="99" t="s">
        <v>147</v>
      </c>
      <c r="I290" s="100" t="s">
        <v>324</v>
      </c>
      <c r="J290" s="101" t="s">
        <v>231</v>
      </c>
      <c r="K290" s="100"/>
      <c r="L290" s="102" t="s">
        <v>1735</v>
      </c>
      <c r="M290" s="103">
        <f>if(B290,if(and(hour(B290+M$7)&gt;9.5,(hour(B290+M$7)&lt;19.5)),B290+M$7,_xlfn.workday.intl(int(B290),1,"0000001",Holidays!A:A)+hour(B290+M$7-$B$1)/24+minute(B290)/1440),"")</f>
        <v>46182.7956</v>
      </c>
      <c r="N290" s="104">
        <v>46182.71803679398</v>
      </c>
      <c r="O290" s="105" t="s">
        <v>14</v>
      </c>
      <c r="P290" s="106">
        <f t="shared" si="1"/>
        <v>0</v>
      </c>
      <c r="Q290" s="107" t="s">
        <v>61</v>
      </c>
      <c r="R290" s="108" t="s">
        <v>434</v>
      </c>
      <c r="S290" s="103">
        <f>if(M290,if(and(hour(M290+S$7)&gt;9.5,(hour(M290+S$7)&lt;19.5)),M290+S$7,_xlfn.workday.intl(int(M290),1,"0000001",Holidays!A:A)+hour(M290+S$7-$B$1)/24+minute(M290)/1440),"")</f>
        <v>46182.80254</v>
      </c>
      <c r="T290" s="104">
        <v>46182.71818336805</v>
      </c>
      <c r="U290" s="105" t="s">
        <v>14</v>
      </c>
      <c r="V290" s="109">
        <f t="shared" si="2"/>
        <v>0</v>
      </c>
      <c r="W290" s="110" t="str">
        <f t="shared" si="3"/>
        <v>EMP0021 Tamanna Dewangan</v>
      </c>
      <c r="X290" s="103">
        <f>if(S290,if(and(hour(S290+X$7)&gt;9.5,(hour(S290+X$7)&lt;19.5)),S290+X$7,_xlfn.workday.intl(int(S290),1,"0000001",Holidays!A:A)+hour(S290+X$7-$B$1)/24+minute(S290)/1440),"")</f>
        <v>46183.46875</v>
      </c>
      <c r="Y290" s="104">
        <v>46182.7182471875</v>
      </c>
      <c r="Z290" s="105" t="s">
        <v>14</v>
      </c>
      <c r="AA290" s="111">
        <f t="shared" si="4"/>
        <v>0</v>
      </c>
      <c r="AB290" s="110" t="str">
        <f t="shared" si="5"/>
        <v>EMP0021 Tamanna Dewangan</v>
      </c>
      <c r="AC290" s="103">
        <f>if(X290,_xlfn.WORKDAY.INTL(X290,AC$7,"0000001",Holidays!A:A)+hour(X290)/24+MINUTE(X290)/1440,"")</f>
        <v>46184.46875</v>
      </c>
      <c r="AD290" s="104">
        <v>46183.80051685185</v>
      </c>
      <c r="AE290" s="105" t="s">
        <v>14</v>
      </c>
      <c r="AF290" s="111">
        <f t="shared" si="6"/>
        <v>0</v>
      </c>
      <c r="AG290" s="110" t="str">
        <f t="shared" si="7"/>
        <v>EMP0021 Tamanna Dewangan</v>
      </c>
      <c r="AH290" s="103">
        <f>if(AC290,if(and(hour(AC290+AH$7)&gt;9.5,(hour(AC290+AH$7)&lt;19.5)),AC290+AH$7,_xlfn.workday.intl(int(AC290),1,"0000001",Holidays!A:A)+hour(AC290+AH$7-$B$1)/24+minute(AC290)/1440),"")</f>
        <v>46184.51042</v>
      </c>
      <c r="AI290" s="104">
        <v>46184.46471571759</v>
      </c>
      <c r="AJ290" s="105" t="s">
        <v>14</v>
      </c>
      <c r="AK290" s="111">
        <f t="shared" si="8"/>
        <v>0</v>
      </c>
      <c r="AL290" s="112" t="str">
        <f t="shared" si="9"/>
        <v>EMP0021 Tamanna Dewangan</v>
      </c>
      <c r="AM290" s="113"/>
      <c r="AN290" s="114" t="s">
        <v>672</v>
      </c>
      <c r="AO290" s="115"/>
      <c r="AP290" s="115"/>
      <c r="AQ290" s="115"/>
      <c r="AR290" s="115"/>
      <c r="AS290" s="115"/>
      <c r="AT290" s="115"/>
      <c r="AU290" s="115"/>
      <c r="AV290" s="115"/>
      <c r="AW290" s="115"/>
      <c r="AX290" s="115"/>
      <c r="AY290" s="115"/>
    </row>
    <row r="291">
      <c r="A291" s="95">
        <f t="shared" si="11"/>
        <v>5242</v>
      </c>
      <c r="B291" s="96">
        <v>46182.67198328704</v>
      </c>
      <c r="C291" s="97" t="s">
        <v>1205</v>
      </c>
      <c r="D291" s="97" t="s">
        <v>357</v>
      </c>
      <c r="E291" s="98" t="s">
        <v>1736</v>
      </c>
      <c r="F291" s="97"/>
      <c r="G291" s="97" t="s">
        <v>1739</v>
      </c>
      <c r="H291" s="99" t="s">
        <v>62</v>
      </c>
      <c r="I291" s="100" t="s">
        <v>64</v>
      </c>
      <c r="J291" s="101" t="s">
        <v>356</v>
      </c>
      <c r="K291" s="100"/>
      <c r="L291" s="102" t="s">
        <v>1740</v>
      </c>
      <c r="M291" s="103">
        <f>if(B291,if(and(hour(B291+M$7)&gt;9.5,(hour(B291+M$7)&lt;19.5)),B291+M$7,_xlfn.workday.intl(int(B291),1,"0000001",Holidays!A:A)+hour(B291+M$7-$B$1)/24+minute(B291)/1440),"")</f>
        <v>46183.42153</v>
      </c>
      <c r="N291" s="104">
        <v>46182.718111678245</v>
      </c>
      <c r="O291" s="105" t="s">
        <v>14</v>
      </c>
      <c r="P291" s="106">
        <f t="shared" si="1"/>
        <v>0</v>
      </c>
      <c r="Q291" s="107" t="s">
        <v>61</v>
      </c>
      <c r="R291" s="108" t="s">
        <v>434</v>
      </c>
      <c r="S291" s="103">
        <f>if(M291,if(and(hour(M291+S$7)&gt;9.5,(hour(M291+S$7)&lt;19.5)),M291+S$7,_xlfn.workday.intl(int(M291),1,"0000001",Holidays!A:A)+hour(M291+S$7-$B$1)/24+minute(M291)/1440),"")</f>
        <v>46183.42847</v>
      </c>
      <c r="T291" s="104">
        <v>46182.718209768514</v>
      </c>
      <c r="U291" s="105" t="s">
        <v>14</v>
      </c>
      <c r="V291" s="109">
        <f t="shared" si="2"/>
        <v>0</v>
      </c>
      <c r="W291" s="110" t="str">
        <f t="shared" si="3"/>
        <v>EMP0021 Tamanna Dewangan</v>
      </c>
      <c r="X291" s="103">
        <f>if(S291,if(and(hour(S291+X$7)&gt;9.5,(hour(S291+X$7)&lt;19.5)),S291+X$7,_xlfn.workday.intl(int(S291),1,"0000001",Holidays!A:A)+hour(S291+X$7-$B$1)/24+minute(S291)/1440),"")</f>
        <v>46183.53264</v>
      </c>
      <c r="Y291" s="104">
        <v>46182.71827121528</v>
      </c>
      <c r="Z291" s="105" t="s">
        <v>14</v>
      </c>
      <c r="AA291" s="111">
        <f t="shared" si="4"/>
        <v>0</v>
      </c>
      <c r="AB291" s="110" t="str">
        <f t="shared" si="5"/>
        <v>EMP0021 Tamanna Dewangan</v>
      </c>
      <c r="AC291" s="103">
        <f>if(X291,_xlfn.WORKDAY.INTL(X291,AC$7,"0000001",Holidays!A:A)+hour(X291)/24+MINUTE(X291)/1440,"")</f>
        <v>46184.53264</v>
      </c>
      <c r="AD291" s="104">
        <v>46182.74150001157</v>
      </c>
      <c r="AE291" s="105" t="s">
        <v>14</v>
      </c>
      <c r="AF291" s="111">
        <f t="shared" si="6"/>
        <v>0</v>
      </c>
      <c r="AG291" s="110" t="str">
        <f t="shared" si="7"/>
        <v>EMP0021 Tamanna Dewangan</v>
      </c>
      <c r="AH291" s="103">
        <f>if(AC291,if(and(hour(AC291+AH$7)&gt;9.5,(hour(AC291+AH$7)&lt;19.5)),AC291+AH$7,_xlfn.workday.intl(int(AC291),1,"0000001",Holidays!A:A)+hour(AC291+AH$7-$B$1)/24+minute(AC291)/1440),"")</f>
        <v>46184.57431</v>
      </c>
      <c r="AI291" s="104">
        <v>46182.74149842592</v>
      </c>
      <c r="AJ291" s="105" t="s">
        <v>14</v>
      </c>
      <c r="AK291" s="111">
        <f t="shared" si="8"/>
        <v>0</v>
      </c>
      <c r="AL291" s="112" t="str">
        <f t="shared" si="9"/>
        <v>EMP0021 Tamanna Dewangan</v>
      </c>
      <c r="AM291" s="113"/>
      <c r="AN291" s="114" t="s">
        <v>672</v>
      </c>
      <c r="AO291" s="115"/>
      <c r="AP291" s="115"/>
      <c r="AQ291" s="115"/>
      <c r="AR291" s="115"/>
      <c r="AS291" s="115"/>
      <c r="AT291" s="115"/>
      <c r="AU291" s="115"/>
      <c r="AV291" s="115"/>
      <c r="AW291" s="115"/>
      <c r="AX291" s="115"/>
      <c r="AY291" s="115"/>
    </row>
    <row r="292">
      <c r="A292" s="95">
        <f t="shared" si="11"/>
        <v>5243</v>
      </c>
      <c r="B292" s="96">
        <v>46183.45099982639</v>
      </c>
      <c r="C292" s="97" t="s">
        <v>1210</v>
      </c>
      <c r="D292" s="97" t="s">
        <v>232</v>
      </c>
      <c r="E292" s="98" t="s">
        <v>1742</v>
      </c>
      <c r="F292" s="97"/>
      <c r="G292" s="97" t="s">
        <v>1745</v>
      </c>
      <c r="H292" s="99" t="s">
        <v>62</v>
      </c>
      <c r="I292" s="100" t="s">
        <v>324</v>
      </c>
      <c r="J292" s="101" t="s">
        <v>1741</v>
      </c>
      <c r="K292" s="100"/>
      <c r="L292" s="102" t="s">
        <v>1745</v>
      </c>
      <c r="M292" s="103">
        <f>if(B292,if(and(hour(B292+M$7)&gt;9.5,(hour(B292+M$7)&lt;19.5)),B292+M$7,_xlfn.workday.intl(int(B292),1,"0000001",Holidays!A:A)+hour(B292+M$7-$B$1)/24+minute(B292)/1440),"")</f>
        <v>46183.61767</v>
      </c>
      <c r="N292" s="104">
        <v>46183.46534392361</v>
      </c>
      <c r="O292" s="105" t="s">
        <v>14</v>
      </c>
      <c r="P292" s="106">
        <f t="shared" si="1"/>
        <v>0</v>
      </c>
      <c r="Q292" s="107" t="s">
        <v>61</v>
      </c>
      <c r="R292" s="108" t="s">
        <v>434</v>
      </c>
      <c r="S292" s="103">
        <f>if(M292,if(and(hour(M292+S$7)&gt;9.5,(hour(M292+S$7)&lt;19.5)),M292+S$7,_xlfn.workday.intl(int(M292),1,"0000001",Holidays!A:A)+hour(M292+S$7-$B$1)/24+minute(M292)/1440),"")</f>
        <v>46183.62461</v>
      </c>
      <c r="T292" s="104">
        <v>46183.46538371527</v>
      </c>
      <c r="U292" s="105" t="s">
        <v>14</v>
      </c>
      <c r="V292" s="109">
        <f t="shared" si="2"/>
        <v>0</v>
      </c>
      <c r="W292" s="110" t="str">
        <f t="shared" si="3"/>
        <v>EMP0021 Tamanna Dewangan</v>
      </c>
      <c r="X292" s="103">
        <f>if(S292,if(and(hour(S292+X$7)&gt;9.5,(hour(S292+X$7)&lt;19.5)),S292+X$7,_xlfn.workday.intl(int(S292),1,"0000001",Holidays!A:A)+hour(S292+X$7-$B$1)/24+minute(S292)/1440),"")</f>
        <v>46183.72878</v>
      </c>
      <c r="Y292" s="104">
        <v>46183.46543189815</v>
      </c>
      <c r="Z292" s="105" t="s">
        <v>14</v>
      </c>
      <c r="AA292" s="111">
        <f t="shared" si="4"/>
        <v>0</v>
      </c>
      <c r="AB292" s="110" t="str">
        <f t="shared" si="5"/>
        <v>EMP0021 Tamanna Dewangan</v>
      </c>
      <c r="AC292" s="103">
        <f>if(X292,_xlfn.WORKDAY.INTL(X292,AC$7,"0000001",Holidays!A:A)+hour(X292)/24+MINUTE(X292)/1440,"")</f>
        <v>46184.72847</v>
      </c>
      <c r="AD292" s="104">
        <v>46183.46549431713</v>
      </c>
      <c r="AE292" s="105" t="s">
        <v>14</v>
      </c>
      <c r="AF292" s="111">
        <f t="shared" si="6"/>
        <v>0</v>
      </c>
      <c r="AG292" s="110" t="str">
        <f t="shared" si="7"/>
        <v>EMP0021 Tamanna Dewangan</v>
      </c>
      <c r="AH292" s="103">
        <f>if(AC292,if(and(hour(AC292+AH$7)&gt;9.5,(hour(AC292+AH$7)&lt;19.5)),AC292+AH$7,_xlfn.workday.intl(int(AC292),1,"0000001",Holidays!A:A)+hour(AC292+AH$7-$B$1)/24+minute(AC292)/1440),"")</f>
        <v>46184.77014</v>
      </c>
      <c r="AI292" s="104">
        <v>46183.46553752315</v>
      </c>
      <c r="AJ292" s="105" t="s">
        <v>14</v>
      </c>
      <c r="AK292" s="111">
        <f t="shared" si="8"/>
        <v>0</v>
      </c>
      <c r="AL292" s="112" t="str">
        <f t="shared" si="9"/>
        <v>EMP0021 Tamanna Dewangan</v>
      </c>
      <c r="AM292" s="113"/>
      <c r="AN292" s="114" t="s">
        <v>672</v>
      </c>
      <c r="AO292" s="115"/>
      <c r="AP292" s="115"/>
      <c r="AQ292" s="115"/>
      <c r="AR292" s="115"/>
      <c r="AS292" s="115"/>
      <c r="AT292" s="115"/>
      <c r="AU292" s="115"/>
      <c r="AV292" s="115"/>
      <c r="AW292" s="115"/>
      <c r="AX292" s="115"/>
      <c r="AY292" s="115"/>
    </row>
    <row r="293">
      <c r="A293" s="95">
        <f t="shared" si="11"/>
        <v>5244</v>
      </c>
      <c r="B293" s="96">
        <v>46183.50661232639</v>
      </c>
      <c r="C293" s="97" t="s">
        <v>1751</v>
      </c>
      <c r="D293" s="97" t="s">
        <v>186</v>
      </c>
      <c r="E293" s="98" t="s">
        <v>1746</v>
      </c>
      <c r="F293" s="98" t="s">
        <v>1752</v>
      </c>
      <c r="G293" s="97" t="s">
        <v>1749</v>
      </c>
      <c r="H293" s="99" t="s">
        <v>126</v>
      </c>
      <c r="I293" s="100" t="s">
        <v>64</v>
      </c>
      <c r="J293" s="101" t="s">
        <v>303</v>
      </c>
      <c r="K293" s="100"/>
      <c r="L293" s="102" t="s">
        <v>1750</v>
      </c>
      <c r="M293" s="103">
        <f>if(B293,if(and(hour(B293+M$7)&gt;9.5,(hour(B293+M$7)&lt;19.5)),B293+M$7,_xlfn.workday.intl(int(B293),1,"0000001",Holidays!A:A)+hour(B293+M$7-$B$1)/24+minute(B293)/1440),"")</f>
        <v>46183.67328</v>
      </c>
      <c r="N293" s="104">
        <v>46183.56470721065</v>
      </c>
      <c r="O293" s="105" t="s">
        <v>14</v>
      </c>
      <c r="P293" s="106">
        <f t="shared" si="1"/>
        <v>0</v>
      </c>
      <c r="Q293" s="107" t="s">
        <v>15</v>
      </c>
      <c r="R293" s="108" t="s">
        <v>434</v>
      </c>
      <c r="S293" s="103">
        <f>if(M293,if(and(hour(M293+S$7)&gt;9.5,(hour(M293+S$7)&lt;19.5)),M293+S$7,_xlfn.workday.intl(int(M293),1,"0000001",Holidays!A:A)+hour(M293+S$7-$B$1)/24+minute(M293)/1440),"")</f>
        <v>46183.68022</v>
      </c>
      <c r="T293" s="104">
        <v>46183.56496982639</v>
      </c>
      <c r="U293" s="105" t="s">
        <v>14</v>
      </c>
      <c r="V293" s="109">
        <f t="shared" si="2"/>
        <v>0</v>
      </c>
      <c r="W293" s="110" t="str">
        <f t="shared" si="3"/>
        <v>EMP0042 HULESHWAR KUMAR SAHU</v>
      </c>
      <c r="X293" s="103">
        <f>if(S293,if(and(hour(S293+X$7)&gt;9.5,(hour(S293+X$7)&lt;19.5)),S293+X$7,_xlfn.workday.intl(int(S293),1,"0000001",Holidays!A:A)+hour(S293+X$7-$B$1)/24+minute(S293)/1440),"")</f>
        <v>46183.78439</v>
      </c>
      <c r="Y293" s="104">
        <v>46184.50612569445</v>
      </c>
      <c r="Z293" s="105" t="s">
        <v>14</v>
      </c>
      <c r="AA293" s="111">
        <f t="shared" si="4"/>
        <v>0.7217355903</v>
      </c>
      <c r="AB293" s="110" t="str">
        <f t="shared" si="5"/>
        <v>EMP0042 HULESHWAR KUMAR SAHU</v>
      </c>
      <c r="AC293" s="103">
        <f>if(X293,_xlfn.WORKDAY.INTL(X293,AC$7,"0000001",Holidays!A:A)+hour(X293)/24+MINUTE(X293)/1440,"")</f>
        <v>46184.78403</v>
      </c>
      <c r="AD293" s="104">
        <v>46184.50615199074</v>
      </c>
      <c r="AE293" s="105" t="s">
        <v>14</v>
      </c>
      <c r="AF293" s="111">
        <f t="shared" si="6"/>
        <v>0</v>
      </c>
      <c r="AG293" s="110" t="str">
        <f t="shared" si="7"/>
        <v>EMP0042 HULESHWAR KUMAR SAHU</v>
      </c>
      <c r="AH293" s="103">
        <f>if(AC293,if(and(hour(AC293+AH$7)&gt;9.5,(hour(AC293+AH$7)&lt;19.5)),AC293+AH$7,_xlfn.workday.intl(int(AC293),1,"0000001",Holidays!A:A)+hour(AC293+AH$7-$B$1)/24+minute(AC293)/1440),"")</f>
        <v>46184.82569</v>
      </c>
      <c r="AI293" s="104">
        <v>46184.50628253473</v>
      </c>
      <c r="AJ293" s="105" t="s">
        <v>14</v>
      </c>
      <c r="AK293" s="111">
        <f t="shared" si="8"/>
        <v>0</v>
      </c>
      <c r="AL293" s="112" t="str">
        <f t="shared" si="9"/>
        <v>EMP0042 HULESHWAR KUMAR SAHU</v>
      </c>
      <c r="AM293" s="113"/>
      <c r="AN293" s="114" t="s">
        <v>672</v>
      </c>
      <c r="AO293" s="115"/>
      <c r="AP293" s="115"/>
      <c r="AQ293" s="115"/>
      <c r="AR293" s="115"/>
      <c r="AS293" s="115"/>
      <c r="AT293" s="115"/>
      <c r="AU293" s="115"/>
      <c r="AV293" s="115"/>
      <c r="AW293" s="115"/>
      <c r="AX293" s="115"/>
      <c r="AY293" s="115"/>
    </row>
    <row r="294">
      <c r="A294" s="95">
        <f t="shared" si="11"/>
        <v>5245</v>
      </c>
      <c r="B294" s="96">
        <v>46183.507657662034</v>
      </c>
      <c r="C294" s="97" t="s">
        <v>1220</v>
      </c>
      <c r="D294" s="97" t="s">
        <v>186</v>
      </c>
      <c r="E294" s="98" t="s">
        <v>1754</v>
      </c>
      <c r="F294" s="98" t="s">
        <v>1757</v>
      </c>
      <c r="G294" s="97" t="s">
        <v>1755</v>
      </c>
      <c r="H294" s="99" t="s">
        <v>126</v>
      </c>
      <c r="I294" s="100" t="s">
        <v>64</v>
      </c>
      <c r="J294" s="101" t="s">
        <v>303</v>
      </c>
      <c r="K294" s="100"/>
      <c r="L294" s="102" t="s">
        <v>1756</v>
      </c>
      <c r="M294" s="103">
        <f>if(B294,if(and(hour(B294+M$7)&gt;9.5,(hour(B294+M$7)&lt;19.5)),B294+M$7,_xlfn.workday.intl(int(B294),1,"0000001",Holidays!A:A)+hour(B294+M$7-$B$1)/24+minute(B294)/1440),"")</f>
        <v>46183.67432</v>
      </c>
      <c r="N294" s="104">
        <v>46183.56472408565</v>
      </c>
      <c r="O294" s="105" t="s">
        <v>14</v>
      </c>
      <c r="P294" s="106">
        <f t="shared" si="1"/>
        <v>0</v>
      </c>
      <c r="Q294" s="107" t="s">
        <v>15</v>
      </c>
      <c r="R294" s="108" t="s">
        <v>434</v>
      </c>
      <c r="S294" s="103">
        <f>if(M294,if(and(hour(M294+S$7)&gt;9.5,(hour(M294+S$7)&lt;19.5)),M294+S$7,_xlfn.workday.intl(int(M294),1,"0000001",Holidays!A:A)+hour(M294+S$7-$B$1)/24+minute(M294)/1440),"")</f>
        <v>46183.68127</v>
      </c>
      <c r="T294" s="104">
        <v>46183.56498623843</v>
      </c>
      <c r="U294" s="105" t="s">
        <v>14</v>
      </c>
      <c r="V294" s="109">
        <f t="shared" si="2"/>
        <v>0</v>
      </c>
      <c r="W294" s="110" t="str">
        <f t="shared" si="3"/>
        <v>EMP0042 HULESHWAR KUMAR SAHU</v>
      </c>
      <c r="X294" s="103">
        <f>if(S294,if(and(hour(S294+X$7)&gt;9.5,(hour(S294+X$7)&lt;19.5)),S294+X$7,_xlfn.workday.intl(int(S294),1,"0000001",Holidays!A:A)+hour(S294+X$7-$B$1)/24+minute(S294)/1440),"")</f>
        <v>46183.78544</v>
      </c>
      <c r="Y294" s="104">
        <v>46183.76110287037</v>
      </c>
      <c r="Z294" s="105" t="s">
        <v>14</v>
      </c>
      <c r="AA294" s="111">
        <f t="shared" si="4"/>
        <v>0</v>
      </c>
      <c r="AB294" s="110" t="str">
        <f t="shared" si="5"/>
        <v>EMP0042 HULESHWAR KUMAR SAHU</v>
      </c>
      <c r="AC294" s="103">
        <f>if(X294,_xlfn.WORKDAY.INTL(X294,AC$7,"0000001",Holidays!A:A)+hour(X294)/24+MINUTE(X294)/1440,"")</f>
        <v>46184.78542</v>
      </c>
      <c r="AD294" s="104">
        <v>46183.76112372685</v>
      </c>
      <c r="AE294" s="105" t="s">
        <v>14</v>
      </c>
      <c r="AF294" s="111">
        <f t="shared" si="6"/>
        <v>0</v>
      </c>
      <c r="AG294" s="110" t="str">
        <f t="shared" si="7"/>
        <v>EMP0042 HULESHWAR KUMAR SAHU</v>
      </c>
      <c r="AH294" s="103">
        <f>if(AC294,if(and(hour(AC294+AH$7)&gt;9.5,(hour(AC294+AH$7)&lt;19.5)),AC294+AH$7,_xlfn.workday.intl(int(AC294),1,"0000001",Holidays!A:A)+hour(AC294+AH$7-$B$1)/24+minute(AC294)/1440),"")</f>
        <v>46184.82708</v>
      </c>
      <c r="AI294" s="104">
        <v>46183.761159745365</v>
      </c>
      <c r="AJ294" s="105" t="s">
        <v>14</v>
      </c>
      <c r="AK294" s="111">
        <f t="shared" si="8"/>
        <v>0</v>
      </c>
      <c r="AL294" s="112" t="str">
        <f t="shared" si="9"/>
        <v>EMP0042 HULESHWAR KUMAR SAHU</v>
      </c>
      <c r="AM294" s="113"/>
      <c r="AN294" s="114" t="s">
        <v>672</v>
      </c>
      <c r="AO294" s="115"/>
      <c r="AP294" s="115"/>
      <c r="AQ294" s="115"/>
      <c r="AR294" s="115"/>
      <c r="AS294" s="115"/>
      <c r="AT294" s="115"/>
      <c r="AU294" s="115"/>
      <c r="AV294" s="115"/>
      <c r="AW294" s="115"/>
      <c r="AX294" s="115"/>
      <c r="AY294" s="115"/>
    </row>
    <row r="295" ht="38.25" customHeight="1">
      <c r="A295" s="95">
        <f t="shared" si="11"/>
        <v>5246</v>
      </c>
      <c r="B295" s="96">
        <v>46183.51961828704</v>
      </c>
      <c r="C295" s="97" t="s">
        <v>694</v>
      </c>
      <c r="D295" s="97" t="s">
        <v>186</v>
      </c>
      <c r="E295" s="98" t="s">
        <v>1760</v>
      </c>
      <c r="F295" s="98" t="s">
        <v>1764</v>
      </c>
      <c r="G295" s="97" t="s">
        <v>997</v>
      </c>
      <c r="H295" s="99" t="s">
        <v>138</v>
      </c>
      <c r="I295" s="100" t="s">
        <v>64</v>
      </c>
      <c r="J295" s="101" t="s">
        <v>303</v>
      </c>
      <c r="K295" s="100"/>
      <c r="L295" s="102" t="s">
        <v>1763</v>
      </c>
      <c r="M295" s="103">
        <f>if(B295,if(and(hour(B295+M$7)&gt;9.5,(hour(B295+M$7)&lt;19.5)),B295+M$7,_xlfn.workday.intl(int(B295),1,"0000001",Holidays!A:A)+hour(B295+M$7-$B$1)/24+minute(B295)/1440),"")</f>
        <v>46183.68628</v>
      </c>
      <c r="N295" s="104">
        <v>46183.564752349535</v>
      </c>
      <c r="O295" s="105" t="s">
        <v>14</v>
      </c>
      <c r="P295" s="106">
        <f t="shared" si="1"/>
        <v>0</v>
      </c>
      <c r="Q295" s="107" t="s">
        <v>15</v>
      </c>
      <c r="R295" s="108" t="s">
        <v>434</v>
      </c>
      <c r="S295" s="103">
        <f>if(M295,if(and(hour(M295+S$7)&gt;9.5,(hour(M295+S$7)&lt;19.5)),M295+S$7,_xlfn.workday.intl(int(M295),1,"0000001",Holidays!A:A)+hour(M295+S$7-$B$1)/24+minute(M295)/1440),"")</f>
        <v>46183.69323</v>
      </c>
      <c r="T295" s="104">
        <v>46183.56501200232</v>
      </c>
      <c r="U295" s="105" t="s">
        <v>14</v>
      </c>
      <c r="V295" s="109">
        <f t="shared" si="2"/>
        <v>0</v>
      </c>
      <c r="W295" s="110" t="str">
        <f t="shared" si="3"/>
        <v>EMP0042 HULESHWAR KUMAR SAHU</v>
      </c>
      <c r="X295" s="103">
        <f>if(S295,if(and(hour(S295+X$7)&gt;9.5,(hour(S295+X$7)&lt;19.5)),S295+X$7,_xlfn.workday.intl(int(S295),1,"0000001",Holidays!A:A)+hour(S295+X$7-$B$1)/24+minute(S295)/1440),"")</f>
        <v>46183.7974</v>
      </c>
      <c r="Y295" s="104">
        <v>46183.797842245374</v>
      </c>
      <c r="Z295" s="105" t="s">
        <v>14</v>
      </c>
      <c r="AA295" s="111">
        <f t="shared" si="4"/>
        <v>0.0004461805584</v>
      </c>
      <c r="AB295" s="110" t="str">
        <f t="shared" si="5"/>
        <v>EMP0042 HULESHWAR KUMAR SAHU</v>
      </c>
      <c r="AC295" s="103">
        <f>if(X295,_xlfn.WORKDAY.INTL(X295,AC$7,"0000001",Holidays!A:A)+hour(X295)/24+MINUTE(X295)/1440,"")</f>
        <v>46184.79722</v>
      </c>
      <c r="AD295" s="104">
        <v>46183.797871574076</v>
      </c>
      <c r="AE295" s="105" t="s">
        <v>14</v>
      </c>
      <c r="AF295" s="111">
        <f t="shared" si="6"/>
        <v>0</v>
      </c>
      <c r="AG295" s="110" t="str">
        <f t="shared" si="7"/>
        <v>EMP0042 HULESHWAR KUMAR SAHU</v>
      </c>
      <c r="AH295" s="103">
        <f>if(AC295,if(and(hour(AC295+AH$7)&gt;9.5,(hour(AC295+AH$7)&lt;19.5)),AC295+AH$7,_xlfn.workday.intl(int(AC295),1,"0000001",Holidays!A:A)+hour(AC295+AH$7-$B$1)/24+minute(AC295)/1440),"")</f>
        <v>46185.42222</v>
      </c>
      <c r="AI295" s="104">
        <v>46183.79790006945</v>
      </c>
      <c r="AJ295" s="105" t="s">
        <v>14</v>
      </c>
      <c r="AK295" s="111">
        <f t="shared" si="8"/>
        <v>0</v>
      </c>
      <c r="AL295" s="112" t="str">
        <f t="shared" si="9"/>
        <v>EMP0042 HULESHWAR KUMAR SAHU</v>
      </c>
      <c r="AM295" s="113"/>
      <c r="AN295" s="114" t="s">
        <v>672</v>
      </c>
      <c r="AO295" s="115"/>
      <c r="AP295" s="115"/>
      <c r="AQ295" s="115"/>
      <c r="AR295" s="115"/>
      <c r="AS295" s="115"/>
      <c r="AT295" s="115"/>
      <c r="AU295" s="115"/>
      <c r="AV295" s="115"/>
      <c r="AW295" s="115"/>
      <c r="AX295" s="115"/>
      <c r="AY295" s="115"/>
    </row>
    <row r="296">
      <c r="A296" s="95">
        <f t="shared" si="11"/>
        <v>5247</v>
      </c>
      <c r="B296" s="96">
        <v>46183.566877708334</v>
      </c>
      <c r="C296" s="97" t="s">
        <v>1773</v>
      </c>
      <c r="D296" s="97" t="s">
        <v>1767</v>
      </c>
      <c r="E296" s="98" t="s">
        <v>1768</v>
      </c>
      <c r="F296" s="97"/>
      <c r="G296" s="97" t="s">
        <v>1771</v>
      </c>
      <c r="H296" s="99" t="s">
        <v>147</v>
      </c>
      <c r="I296" s="100" t="s">
        <v>64</v>
      </c>
      <c r="J296" s="101" t="s">
        <v>1766</v>
      </c>
      <c r="K296" s="100"/>
      <c r="L296" s="102" t="s">
        <v>1772</v>
      </c>
      <c r="M296" s="103">
        <f>if(B296,if(and(hour(B296+M$7)&gt;9.5,(hour(B296+M$7)&lt;19.5)),B296+M$7,_xlfn.workday.intl(int(B296),1,"0000001",Holidays!A:A)+hour(B296+M$7-$B$1)/24+minute(B296)/1440),"")</f>
        <v>46183.73354</v>
      </c>
      <c r="N296" s="104">
        <v>46183.76053328704</v>
      </c>
      <c r="O296" s="105" t="s">
        <v>14</v>
      </c>
      <c r="P296" s="106">
        <f t="shared" si="1"/>
        <v>0.02698891204</v>
      </c>
      <c r="Q296" s="107" t="s">
        <v>15</v>
      </c>
      <c r="R296" s="108" t="s">
        <v>434</v>
      </c>
      <c r="S296" s="103">
        <f>if(M296,if(and(hour(M296+S$7)&gt;9.5,(hour(M296+S$7)&lt;19.5)),M296+S$7,_xlfn.workday.intl(int(M296),1,"0000001",Holidays!A:A)+hour(M296+S$7-$B$1)/24+minute(M296)/1440),"")</f>
        <v>46183.74049</v>
      </c>
      <c r="T296" s="104">
        <v>46183.760666145834</v>
      </c>
      <c r="U296" s="105" t="s">
        <v>14</v>
      </c>
      <c r="V296" s="109">
        <f t="shared" si="2"/>
        <v>0.02017732639</v>
      </c>
      <c r="W296" s="110" t="str">
        <f t="shared" si="3"/>
        <v>EMP0042 HULESHWAR KUMAR SAHU</v>
      </c>
      <c r="X296" s="103">
        <f>if(S296,if(and(hour(S296+X$7)&gt;9.5,(hour(S296+X$7)&lt;19.5)),S296+X$7,_xlfn.workday.intl(int(S296),1,"0000001",Holidays!A:A)+hour(S296+X$7-$B$1)/24+minute(S296)/1440),"")</f>
        <v>46184.44861</v>
      </c>
      <c r="Y296" s="104">
        <v>46183.797954803245</v>
      </c>
      <c r="Z296" s="105" t="s">
        <v>14</v>
      </c>
      <c r="AA296" s="111">
        <f t="shared" si="4"/>
        <v>0</v>
      </c>
      <c r="AB296" s="110" t="str">
        <f t="shared" si="5"/>
        <v>EMP0042 HULESHWAR KUMAR SAHU</v>
      </c>
      <c r="AC296" s="103">
        <f>if(X296,_xlfn.WORKDAY.INTL(X296,AC$7,"0000001",Holidays!A:A)+hour(X296)/24+MINUTE(X296)/1440,"")</f>
        <v>46185.44861</v>
      </c>
      <c r="AD296" s="104">
        <v>46183.79800488426</v>
      </c>
      <c r="AE296" s="105" t="s">
        <v>14</v>
      </c>
      <c r="AF296" s="111">
        <f t="shared" si="6"/>
        <v>0</v>
      </c>
      <c r="AG296" s="110" t="str">
        <f t="shared" si="7"/>
        <v>EMP0042 HULESHWAR KUMAR SAHU</v>
      </c>
      <c r="AH296" s="103">
        <f>if(AC296,if(and(hour(AC296+AH$7)&gt;9.5,(hour(AC296+AH$7)&lt;19.5)),AC296+AH$7,_xlfn.workday.intl(int(AC296),1,"0000001",Holidays!A:A)+hour(AC296+AH$7-$B$1)/24+minute(AC296)/1440),"")</f>
        <v>46185.49028</v>
      </c>
      <c r="AI296" s="104">
        <v>46185.487650497686</v>
      </c>
      <c r="AJ296" s="105" t="s">
        <v>14</v>
      </c>
      <c r="AK296" s="111">
        <f t="shared" si="8"/>
        <v>0</v>
      </c>
      <c r="AL296" s="112" t="str">
        <f t="shared" si="9"/>
        <v>EMP0042 HULESHWAR KUMAR SAHU</v>
      </c>
      <c r="AM296" s="113"/>
      <c r="AN296" s="114" t="s">
        <v>672</v>
      </c>
      <c r="AO296" s="115"/>
      <c r="AP296" s="115"/>
      <c r="AQ296" s="115"/>
      <c r="AR296" s="115"/>
      <c r="AS296" s="115"/>
      <c r="AT296" s="115"/>
      <c r="AU296" s="115"/>
      <c r="AV296" s="115"/>
      <c r="AW296" s="115"/>
      <c r="AX296" s="115"/>
      <c r="AY296" s="115"/>
    </row>
    <row r="297">
      <c r="A297" s="95">
        <f t="shared" si="11"/>
        <v>5248</v>
      </c>
      <c r="B297" s="96">
        <v>46183.60365256944</v>
      </c>
      <c r="C297" s="97" t="s">
        <v>205</v>
      </c>
      <c r="D297" s="97" t="s">
        <v>1580</v>
      </c>
      <c r="E297" s="98" t="s">
        <v>1775</v>
      </c>
      <c r="F297" s="97"/>
      <c r="G297" s="97" t="s">
        <v>1776</v>
      </c>
      <c r="H297" s="99" t="s">
        <v>138</v>
      </c>
      <c r="I297" s="100" t="s">
        <v>64</v>
      </c>
      <c r="J297" s="101" t="s">
        <v>1774</v>
      </c>
      <c r="K297" s="100"/>
      <c r="L297" s="102" t="s">
        <v>492</v>
      </c>
      <c r="M297" s="103">
        <f>if(B297,if(and(hour(B297+M$7)&gt;9.5,(hour(B297+M$7)&lt;19.5)),B297+M$7,_xlfn.workday.intl(int(B297),1,"0000001",Holidays!A:A)+hour(B297+M$7-$B$1)/24+minute(B297)/1440),"")</f>
        <v>46183.77032</v>
      </c>
      <c r="N297" s="104">
        <v>46183.760561793984</v>
      </c>
      <c r="O297" s="105" t="s">
        <v>14</v>
      </c>
      <c r="P297" s="106">
        <f t="shared" si="1"/>
        <v>0</v>
      </c>
      <c r="Q297" s="107" t="s">
        <v>72</v>
      </c>
      <c r="R297" s="108" t="s">
        <v>434</v>
      </c>
      <c r="S297" s="103">
        <f>if(M297,if(and(hour(M297+S$7)&gt;9.5,(hour(M297+S$7)&lt;19.5)),M297+S$7,_xlfn.workday.intl(int(M297),1,"0000001",Holidays!A:A)+hour(M297+S$7-$B$1)/24+minute(M297)/1440),"")</f>
        <v>46183.77726</v>
      </c>
      <c r="T297" s="104">
        <v>46183.76068738426</v>
      </c>
      <c r="U297" s="105" t="s">
        <v>14</v>
      </c>
      <c r="V297" s="109">
        <f t="shared" si="2"/>
        <v>0</v>
      </c>
      <c r="W297" s="110" t="str">
        <f t="shared" si="3"/>
        <v>EMP5009 Rup Kumar Mandal</v>
      </c>
      <c r="X297" s="103">
        <f>if(S297,if(and(hour(S297+X$7)&gt;9.5,(hour(S297+X$7)&lt;19.5)),S297+X$7,_xlfn.workday.intl(int(S297),1,"0000001",Holidays!A:A)+hour(S297+X$7-$B$1)/24+minute(S297)/1440),"")</f>
        <v>46184.48542</v>
      </c>
      <c r="Y297" s="104">
        <v>46183.79797494213</v>
      </c>
      <c r="Z297" s="105" t="s">
        <v>14</v>
      </c>
      <c r="AA297" s="111">
        <f t="shared" si="4"/>
        <v>0</v>
      </c>
      <c r="AB297" s="110" t="str">
        <f t="shared" si="5"/>
        <v>EMP5009 Rup Kumar Mandal</v>
      </c>
      <c r="AC297" s="103">
        <f>if(X297,_xlfn.WORKDAY.INTL(X297,AC$7,"0000001",Holidays!A:A)+hour(X297)/24+MINUTE(X297)/1440,"")</f>
        <v>46185.48542</v>
      </c>
      <c r="AD297" s="104">
        <v>46183.79802611111</v>
      </c>
      <c r="AE297" s="105" t="s">
        <v>14</v>
      </c>
      <c r="AF297" s="111">
        <f t="shared" si="6"/>
        <v>0</v>
      </c>
      <c r="AG297" s="110" t="str">
        <f t="shared" si="7"/>
        <v>EMP5009 Rup Kumar Mandal</v>
      </c>
      <c r="AH297" s="103">
        <f>if(AC297,if(and(hour(AC297+AH$7)&gt;9.5,(hour(AC297+AH$7)&lt;19.5)),AC297+AH$7,_xlfn.workday.intl(int(AC297),1,"0000001",Holidays!A:A)+hour(AC297+AH$7-$B$1)/24+minute(AC297)/1440),"")</f>
        <v>46185.52708</v>
      </c>
      <c r="AI297" s="104">
        <v>46185.48757657407</v>
      </c>
      <c r="AJ297" s="105" t="s">
        <v>14</v>
      </c>
      <c r="AK297" s="111">
        <f t="shared" si="8"/>
        <v>0</v>
      </c>
      <c r="AL297" s="112" t="str">
        <f t="shared" si="9"/>
        <v>EMP5009 Rup Kumar Mandal</v>
      </c>
      <c r="AM297" s="113"/>
      <c r="AN297" s="114" t="s">
        <v>672</v>
      </c>
      <c r="AO297" s="115"/>
      <c r="AP297" s="115"/>
      <c r="AQ297" s="115"/>
      <c r="AR297" s="115"/>
      <c r="AS297" s="115"/>
      <c r="AT297" s="115"/>
      <c r="AU297" s="115"/>
      <c r="AV297" s="115"/>
      <c r="AW297" s="115"/>
      <c r="AX297" s="115"/>
      <c r="AY297" s="115"/>
    </row>
    <row r="298" ht="86.25" customHeight="1">
      <c r="A298" s="95">
        <f t="shared" si="11"/>
        <v>5249</v>
      </c>
      <c r="B298" s="96">
        <v>46185.625347141206</v>
      </c>
      <c r="C298" s="97" t="s">
        <v>1237</v>
      </c>
      <c r="D298" s="97" t="s">
        <v>264</v>
      </c>
      <c r="E298" s="98" t="s">
        <v>1778</v>
      </c>
      <c r="F298" s="97"/>
      <c r="G298" s="97" t="s">
        <v>1779</v>
      </c>
      <c r="H298" s="99" t="s">
        <v>138</v>
      </c>
      <c r="I298" s="100" t="s">
        <v>64</v>
      </c>
      <c r="J298" s="101" t="s">
        <v>883</v>
      </c>
      <c r="K298" s="100"/>
      <c r="L298" s="102" t="s">
        <v>1781</v>
      </c>
      <c r="M298" s="103">
        <f>if(B298,if(and(hour(B298+M$7)&gt;9.5,(hour(B298+M$7)&lt;19.5)),B298+M$7,_xlfn.workday.intl(int(B298),1,"0000001",Holidays!A:A)+hour(B298+M$7-$B$1)/24+minute(B298)/1440),"")</f>
        <v>46185.79201</v>
      </c>
      <c r="N298" s="104">
        <v>46185.72223</v>
      </c>
      <c r="O298" s="105" t="s">
        <v>14</v>
      </c>
      <c r="P298" s="106">
        <f t="shared" si="1"/>
        <v>0</v>
      </c>
      <c r="Q298" s="107" t="s">
        <v>15</v>
      </c>
      <c r="R298" s="108" t="s">
        <v>434</v>
      </c>
      <c r="S298" s="103">
        <f>if(M298,if(and(hour(M298+S$7)&gt;9.5,(hour(M298+S$7)&lt;19.5)),M298+S$7,_xlfn.workday.intl(int(M298),1,"0000001",Holidays!A:A)+hour(M298+S$7-$B$1)/24+minute(M298)/1440),"")</f>
        <v>46185.79896</v>
      </c>
      <c r="T298" s="104">
        <v>46185.72235085648</v>
      </c>
      <c r="U298" s="105" t="s">
        <v>14</v>
      </c>
      <c r="V298" s="109">
        <f t="shared" si="2"/>
        <v>0</v>
      </c>
      <c r="W298" s="110" t="str">
        <f t="shared" si="3"/>
        <v>EMP0042 HULESHWAR KUMAR SAHU</v>
      </c>
      <c r="X298" s="103">
        <f>if(S298,if(and(hour(S298+X$7)&gt;9.5,(hour(S298+X$7)&lt;19.5)),S298+X$7,_xlfn.workday.intl(int(S298),1,"0000001",Holidays!A:A)+hour(S298+X$7-$B$1)/24+minute(S298)/1440),"")</f>
        <v>46186.46528</v>
      </c>
      <c r="Y298" s="104">
        <v>46185.72239949074</v>
      </c>
      <c r="Z298" s="105" t="s">
        <v>14</v>
      </c>
      <c r="AA298" s="111">
        <f t="shared" si="4"/>
        <v>0</v>
      </c>
      <c r="AB298" s="110" t="str">
        <f t="shared" si="5"/>
        <v>EMP0042 HULESHWAR KUMAR SAHU</v>
      </c>
      <c r="AC298" s="103">
        <f>if(X298,_xlfn.WORKDAY.INTL(X298,AC$7,"0000001",Holidays!A:A)+hour(X298)/24+MINUTE(X298)/1440,"")</f>
        <v>46188.46528</v>
      </c>
      <c r="AD298" s="104">
        <v>46187.7840115625</v>
      </c>
      <c r="AE298" s="105" t="s">
        <v>14</v>
      </c>
      <c r="AF298" s="111">
        <f t="shared" si="6"/>
        <v>0</v>
      </c>
      <c r="AG298" s="110" t="str">
        <f t="shared" si="7"/>
        <v>EMP0042 HULESHWAR KUMAR SAHU</v>
      </c>
      <c r="AH298" s="103">
        <f>if(AC298,if(and(hour(AC298+AH$7)&gt;9.5,(hour(AC298+AH$7)&lt;19.5)),AC298+AH$7,_xlfn.workday.intl(int(AC298),1,"0000001",Holidays!A:A)+hour(AC298+AH$7-$B$1)/24+minute(AC298)/1440),"")</f>
        <v>46188.50694</v>
      </c>
      <c r="AI298" s="104">
        <v>46188.34738425926</v>
      </c>
      <c r="AJ298" s="105" t="s">
        <v>14</v>
      </c>
      <c r="AK298" s="111">
        <f t="shared" si="8"/>
        <v>0</v>
      </c>
      <c r="AL298" s="112" t="str">
        <f t="shared" si="9"/>
        <v>EMP0042 HULESHWAR KUMAR SAHU</v>
      </c>
      <c r="AM298" s="113"/>
      <c r="AN298" s="114" t="s">
        <v>672</v>
      </c>
      <c r="AO298" s="115"/>
      <c r="AP298" s="115"/>
      <c r="AQ298" s="115"/>
      <c r="AR298" s="115"/>
      <c r="AS298" s="115"/>
      <c r="AT298" s="115"/>
      <c r="AU298" s="115"/>
      <c r="AV298" s="115"/>
      <c r="AW298" s="115"/>
      <c r="AX298" s="115"/>
      <c r="AY298" s="115"/>
    </row>
    <row r="299" ht="86.25" customHeight="1">
      <c r="A299" s="95">
        <f t="shared" si="11"/>
        <v>5250</v>
      </c>
      <c r="B299" s="96">
        <v>46185.62613730324</v>
      </c>
      <c r="C299" s="97" t="s">
        <v>1240</v>
      </c>
      <c r="D299" s="97" t="s">
        <v>264</v>
      </c>
      <c r="E299" s="98" t="s">
        <v>1782</v>
      </c>
      <c r="F299" s="97"/>
      <c r="G299" s="97" t="s">
        <v>360</v>
      </c>
      <c r="H299" s="99" t="s">
        <v>138</v>
      </c>
      <c r="I299" s="100" t="s">
        <v>64</v>
      </c>
      <c r="J299" s="101" t="s">
        <v>883</v>
      </c>
      <c r="K299" s="100"/>
      <c r="L299" s="102" t="s">
        <v>1781</v>
      </c>
      <c r="M299" s="103">
        <f>if(B299,if(and(hour(B299+M$7)&gt;9.5,(hour(B299+M$7)&lt;19.5)),B299+M$7,_xlfn.workday.intl(int(B299),1,"0000001",Holidays!A:A)+hour(B299+M$7-$B$1)/24+minute(B299)/1440),"")</f>
        <v>46185.7928</v>
      </c>
      <c r="N299" s="104">
        <v>46185.75891203704</v>
      </c>
      <c r="O299" s="105" t="s">
        <v>14</v>
      </c>
      <c r="P299" s="106">
        <f t="shared" si="1"/>
        <v>0</v>
      </c>
      <c r="Q299" s="107" t="s">
        <v>15</v>
      </c>
      <c r="R299" s="108" t="s">
        <v>434</v>
      </c>
      <c r="S299" s="103">
        <f>if(M299,if(and(hour(M299+S$7)&gt;9.5,(hour(M299+S$7)&lt;19.5)),M299+S$7,_xlfn.workday.intl(int(M299),1,"0000001",Holidays!A:A)+hour(M299+S$7-$B$1)/24+minute(M299)/1440),"")</f>
        <v>46185.79975</v>
      </c>
      <c r="T299" s="104">
        <v>46185.759409722225</v>
      </c>
      <c r="U299" s="105" t="s">
        <v>14</v>
      </c>
      <c r="V299" s="109">
        <f t="shared" si="2"/>
        <v>0</v>
      </c>
      <c r="W299" s="110" t="str">
        <f t="shared" si="3"/>
        <v>EMP0042 HULESHWAR KUMAR SAHU</v>
      </c>
      <c r="X299" s="103">
        <f>if(S299,if(and(hour(S299+X$7)&gt;9.5,(hour(S299+X$7)&lt;19.5)),S299+X$7,_xlfn.workday.intl(int(S299),1,"0000001",Holidays!A:A)+hour(S299+X$7-$B$1)/24+minute(S299)/1440),"")</f>
        <v>46186.46597</v>
      </c>
      <c r="Y299" s="104">
        <v>46185.84266784722</v>
      </c>
      <c r="Z299" s="105" t="s">
        <v>14</v>
      </c>
      <c r="AA299" s="111">
        <f t="shared" si="4"/>
        <v>0</v>
      </c>
      <c r="AB299" s="110" t="str">
        <f t="shared" si="5"/>
        <v>EMP0042 HULESHWAR KUMAR SAHU</v>
      </c>
      <c r="AC299" s="103">
        <f>if(X299,_xlfn.WORKDAY.INTL(X299,AC$7,"0000001",Holidays!A:A)+hour(X299)/24+MINUTE(X299)/1440,"")</f>
        <v>46188.46597</v>
      </c>
      <c r="AD299" s="104">
        <v>46187.784033159725</v>
      </c>
      <c r="AE299" s="105" t="s">
        <v>14</v>
      </c>
      <c r="AF299" s="111">
        <f t="shared" si="6"/>
        <v>0</v>
      </c>
      <c r="AG299" s="110" t="str">
        <f t="shared" si="7"/>
        <v>EMP0042 HULESHWAR KUMAR SAHU</v>
      </c>
      <c r="AH299" s="103">
        <f>if(AC299,if(and(hour(AC299+AH$7)&gt;9.5,(hour(AC299+AH$7)&lt;19.5)),AC299+AH$7,_xlfn.workday.intl(int(AC299),1,"0000001",Holidays!A:A)+hour(AC299+AH$7-$B$1)/24+minute(AC299)/1440),"")</f>
        <v>46188.50764</v>
      </c>
      <c r="AI299" s="104">
        <v>46188.50712962963</v>
      </c>
      <c r="AJ299" s="105" t="s">
        <v>14</v>
      </c>
      <c r="AK299" s="111">
        <f t="shared" si="8"/>
        <v>0</v>
      </c>
      <c r="AL299" s="112" t="str">
        <f t="shared" si="9"/>
        <v>EMP0042 HULESHWAR KUMAR SAHU</v>
      </c>
      <c r="AM299" s="113"/>
      <c r="AN299" s="114" t="s">
        <v>672</v>
      </c>
      <c r="AO299" s="115"/>
      <c r="AP299" s="115"/>
      <c r="AQ299" s="115"/>
      <c r="AR299" s="115"/>
      <c r="AS299" s="115"/>
      <c r="AT299" s="115"/>
      <c r="AU299" s="115"/>
      <c r="AV299" s="115"/>
      <c r="AW299" s="115"/>
      <c r="AX299" s="115"/>
      <c r="AY299" s="115"/>
    </row>
    <row r="300">
      <c r="A300" s="95">
        <f t="shared" si="11"/>
        <v>5251</v>
      </c>
      <c r="B300" s="96">
        <v>46185.70581454861</v>
      </c>
      <c r="C300" s="97" t="s">
        <v>1245</v>
      </c>
      <c r="D300" s="97" t="s">
        <v>186</v>
      </c>
      <c r="E300" s="98" t="s">
        <v>1785</v>
      </c>
      <c r="F300" s="97"/>
      <c r="G300" s="97" t="s">
        <v>1788</v>
      </c>
      <c r="H300" s="99" t="s">
        <v>1399</v>
      </c>
      <c r="I300" s="100" t="s">
        <v>64</v>
      </c>
      <c r="J300" s="101" t="s">
        <v>303</v>
      </c>
      <c r="K300" s="100"/>
      <c r="L300" s="102" t="s">
        <v>1789</v>
      </c>
      <c r="M300" s="103">
        <f>if(B300,if(and(hour(B300+M$7)&gt;9.5,(hour(B300+M$7)&lt;19.5)),B300+M$7,_xlfn.workday.intl(int(B300),1,"0000001",Holidays!A:A)+hour(B300+M$7-$B$1)/24+minute(B300)/1440),"")</f>
        <v>46186.45556</v>
      </c>
      <c r="N300" s="104">
        <v>46185.72224524306</v>
      </c>
      <c r="O300" s="105" t="s">
        <v>14</v>
      </c>
      <c r="P300" s="106">
        <f t="shared" si="1"/>
        <v>0</v>
      </c>
      <c r="Q300" s="107" t="s">
        <v>15</v>
      </c>
      <c r="R300" s="108" t="s">
        <v>434</v>
      </c>
      <c r="S300" s="103">
        <f>if(M300,if(and(hour(M300+S$7)&gt;9.5,(hour(M300+S$7)&lt;19.5)),M300+S$7,_xlfn.workday.intl(int(M300),1,"0000001",Holidays!A:A)+hour(M300+S$7-$B$1)/24+minute(M300)/1440),"")</f>
        <v>46186.4625</v>
      </c>
      <c r="T300" s="104">
        <v>46185.722376736114</v>
      </c>
      <c r="U300" s="105" t="s">
        <v>14</v>
      </c>
      <c r="V300" s="109">
        <f t="shared" si="2"/>
        <v>0</v>
      </c>
      <c r="W300" s="110" t="str">
        <f t="shared" si="3"/>
        <v>EMP0042 HULESHWAR KUMAR SAHU</v>
      </c>
      <c r="X300" s="103">
        <f>if(S300,if(and(hour(S300+X$7)&gt;9.5,(hour(S300+X$7)&lt;19.5)),S300+X$7,_xlfn.workday.intl(int(S300),1,"0000001",Holidays!A:A)+hour(S300+X$7-$B$1)/24+minute(S300)/1440),"")</f>
        <v>46186.56667</v>
      </c>
      <c r="Y300" s="104">
        <v>46185.72240613426</v>
      </c>
      <c r="Z300" s="105" t="s">
        <v>14</v>
      </c>
      <c r="AA300" s="111">
        <f t="shared" si="4"/>
        <v>0</v>
      </c>
      <c r="AB300" s="110" t="str">
        <f t="shared" si="5"/>
        <v>EMP0042 HULESHWAR KUMAR SAHU</v>
      </c>
      <c r="AC300" s="103">
        <f>if(X300,_xlfn.WORKDAY.INTL(X300,AC$7,"0000001",Holidays!A:A)+hour(X300)/24+MINUTE(X300)/1440,"")</f>
        <v>46188.56667</v>
      </c>
      <c r="AD300" s="104">
        <v>46188.51474549768</v>
      </c>
      <c r="AE300" s="105" t="s">
        <v>14</v>
      </c>
      <c r="AF300" s="111">
        <f t="shared" si="6"/>
        <v>0</v>
      </c>
      <c r="AG300" s="110" t="str">
        <f t="shared" si="7"/>
        <v>EMP0042 HULESHWAR KUMAR SAHU</v>
      </c>
      <c r="AH300" s="103">
        <f>if(AC300,if(and(hour(AC300+AH$7)&gt;9.5,(hour(AC300+AH$7)&lt;19.5)),AC300+AH$7,_xlfn.workday.intl(int(AC300),1,"0000001",Holidays!A:A)+hour(AC300+AH$7-$B$1)/24+minute(AC300)/1440),"")</f>
        <v>46188.60833</v>
      </c>
      <c r="AI300" s="104">
        <v>46188.59431971065</v>
      </c>
      <c r="AJ300" s="105" t="s">
        <v>14</v>
      </c>
      <c r="AK300" s="111">
        <f t="shared" si="8"/>
        <v>0</v>
      </c>
      <c r="AL300" s="112" t="str">
        <f t="shared" si="9"/>
        <v>EMP0042 HULESHWAR KUMAR SAHU</v>
      </c>
      <c r="AM300" s="113"/>
      <c r="AN300" s="114" t="s">
        <v>672</v>
      </c>
      <c r="AO300" s="115"/>
      <c r="AP300" s="115"/>
      <c r="AQ300" s="115"/>
      <c r="AR300" s="115"/>
      <c r="AS300" s="115"/>
      <c r="AT300" s="115"/>
      <c r="AU300" s="115"/>
      <c r="AV300" s="115"/>
      <c r="AW300" s="115"/>
      <c r="AX300" s="115"/>
      <c r="AY300" s="115"/>
    </row>
    <row r="301">
      <c r="A301" s="95">
        <f t="shared" si="11"/>
        <v>5252</v>
      </c>
      <c r="B301" s="96">
        <v>46186.50226824074</v>
      </c>
      <c r="C301" s="97" t="s">
        <v>1252</v>
      </c>
      <c r="D301" s="97" t="s">
        <v>142</v>
      </c>
      <c r="E301" s="98" t="s">
        <v>1791</v>
      </c>
      <c r="F301" s="97"/>
      <c r="G301" s="97" t="s">
        <v>1793</v>
      </c>
      <c r="H301" s="99" t="s">
        <v>62</v>
      </c>
      <c r="I301" s="100" t="s">
        <v>324</v>
      </c>
      <c r="J301" s="101" t="s">
        <v>1790</v>
      </c>
      <c r="K301" s="100"/>
      <c r="L301" s="102" t="s">
        <v>1793</v>
      </c>
      <c r="M301" s="103">
        <f>if(B301,if(and(hour(B301+M$7)&gt;9.5,(hour(B301+M$7)&lt;19.5)),B301+M$7,_xlfn.workday.intl(int(B301),1,"0000001",Holidays!A:A)+hour(B301+M$7-$B$1)/24+minute(B301)/1440),"")</f>
        <v>46186.66893</v>
      </c>
      <c r="N301" s="104">
        <v>46186.51332290509</v>
      </c>
      <c r="O301" s="105" t="s">
        <v>14</v>
      </c>
      <c r="P301" s="106">
        <f t="shared" si="1"/>
        <v>0</v>
      </c>
      <c r="Q301" s="107" t="s">
        <v>72</v>
      </c>
      <c r="R301" s="108" t="s">
        <v>434</v>
      </c>
      <c r="S301" s="103">
        <f>if(M301,if(and(hour(M301+S$7)&gt;9.5,(hour(M301+S$7)&lt;19.5)),M301+S$7,_xlfn.workday.intl(int(M301),1,"0000001",Holidays!A:A)+hour(M301+S$7-$B$1)/24+minute(M301)/1440),"")</f>
        <v>46186.67588</v>
      </c>
      <c r="T301" s="104">
        <v>46186.51340039352</v>
      </c>
      <c r="U301" s="105" t="s">
        <v>14</v>
      </c>
      <c r="V301" s="109">
        <f t="shared" si="2"/>
        <v>0</v>
      </c>
      <c r="W301" s="110" t="str">
        <f t="shared" si="3"/>
        <v>EMP5009 Rup Kumar Mandal</v>
      </c>
      <c r="X301" s="103">
        <f>if(S301,if(and(hour(S301+X$7)&gt;9.5,(hour(S301+X$7)&lt;19.5)),S301+X$7,_xlfn.workday.intl(int(S301),1,"0000001",Holidays!A:A)+hour(S301+X$7-$B$1)/24+minute(S301)/1440),"")</f>
        <v>46186.78005</v>
      </c>
      <c r="Y301" s="104">
        <v>46186.51342091435</v>
      </c>
      <c r="Z301" s="105" t="s">
        <v>14</v>
      </c>
      <c r="AA301" s="111">
        <f t="shared" si="4"/>
        <v>0</v>
      </c>
      <c r="AB301" s="110" t="str">
        <f t="shared" si="5"/>
        <v>EMP5009 Rup Kumar Mandal</v>
      </c>
      <c r="AC301" s="103">
        <f>if(X301,_xlfn.WORKDAY.INTL(X301,AC$7,"0000001",Holidays!A:A)+hour(X301)/24+MINUTE(X301)/1440,"")</f>
        <v>46188.77986</v>
      </c>
      <c r="AD301" s="104">
        <v>46188.51488636574</v>
      </c>
      <c r="AE301" s="105" t="s">
        <v>14</v>
      </c>
      <c r="AF301" s="111">
        <f t="shared" si="6"/>
        <v>0</v>
      </c>
      <c r="AG301" s="110" t="str">
        <f t="shared" si="7"/>
        <v>EMP5009 Rup Kumar Mandal</v>
      </c>
      <c r="AH301" s="103">
        <f>if(AC301,if(and(hour(AC301+AH$7)&gt;9.5,(hour(AC301+AH$7)&lt;19.5)),AC301+AH$7,_xlfn.workday.intl(int(AC301),1,"0000001",Holidays!A:A)+hour(AC301+AH$7-$B$1)/24+minute(AC301)/1440),"")</f>
        <v>46188.82153</v>
      </c>
      <c r="AI301" s="104">
        <v>46188.51497063658</v>
      </c>
      <c r="AJ301" s="105" t="s">
        <v>14</v>
      </c>
      <c r="AK301" s="111">
        <f t="shared" si="8"/>
        <v>0</v>
      </c>
      <c r="AL301" s="112" t="str">
        <f t="shared" si="9"/>
        <v>EMP5009 Rup Kumar Mandal</v>
      </c>
      <c r="AM301" s="113"/>
      <c r="AN301" s="114" t="s">
        <v>672</v>
      </c>
      <c r="AO301" s="115"/>
      <c r="AP301" s="115"/>
      <c r="AQ301" s="115"/>
      <c r="AR301" s="115"/>
      <c r="AS301" s="115"/>
      <c r="AT301" s="115"/>
      <c r="AU301" s="115"/>
      <c r="AV301" s="115"/>
      <c r="AW301" s="115"/>
      <c r="AX301" s="115"/>
      <c r="AY301" s="115"/>
    </row>
    <row r="302">
      <c r="A302" s="95">
        <f t="shared" si="11"/>
        <v>5253</v>
      </c>
      <c r="B302" s="96">
        <v>46186.557599374995</v>
      </c>
      <c r="C302" s="97" t="s">
        <v>986</v>
      </c>
      <c r="D302" s="97" t="s">
        <v>982</v>
      </c>
      <c r="E302" s="98" t="s">
        <v>1794</v>
      </c>
      <c r="F302" s="98" t="s">
        <v>1798</v>
      </c>
      <c r="G302" s="97" t="s">
        <v>1291</v>
      </c>
      <c r="H302" s="99" t="s">
        <v>62</v>
      </c>
      <c r="I302" s="100" t="s">
        <v>324</v>
      </c>
      <c r="J302" s="101" t="s">
        <v>1269</v>
      </c>
      <c r="K302" s="100"/>
      <c r="L302" s="102" t="s">
        <v>1797</v>
      </c>
      <c r="M302" s="103">
        <f>if(B302,if(and(hour(B302+M$7)&gt;9.5,(hour(B302+M$7)&lt;19.5)),B302+M$7,_xlfn.workday.intl(int(B302),1,"0000001",Holidays!A:A)+hour(B302+M$7-$B$1)/24+minute(B302)/1440),"")</f>
        <v>46186.72427</v>
      </c>
      <c r="N302" s="104">
        <v>46186.55878979167</v>
      </c>
      <c r="O302" s="105" t="s">
        <v>14</v>
      </c>
      <c r="P302" s="106">
        <f t="shared" si="1"/>
        <v>0</v>
      </c>
      <c r="Q302" s="107" t="s">
        <v>48</v>
      </c>
      <c r="R302" s="108" t="s">
        <v>434</v>
      </c>
      <c r="S302" s="103">
        <f>if(M302,if(and(hour(M302+S$7)&gt;9.5,(hour(M302+S$7)&lt;19.5)),M302+S$7,_xlfn.workday.intl(int(M302),1,"0000001",Holidays!A:A)+hour(M302+S$7-$B$1)/24+minute(M302)/1440),"")</f>
        <v>46186.73121</v>
      </c>
      <c r="T302" s="104">
        <v>46186.60828005787</v>
      </c>
      <c r="U302" s="105" t="s">
        <v>14</v>
      </c>
      <c r="V302" s="109">
        <f t="shared" si="2"/>
        <v>0</v>
      </c>
      <c r="W302" s="110" t="str">
        <f t="shared" si="3"/>
        <v>EMP0237 Swarnendu Chakraborty</v>
      </c>
      <c r="X302" s="103">
        <f>if(S302,if(and(hour(S302+X$7)&gt;9.5,(hour(S302+X$7)&lt;19.5)),S302+X$7,_xlfn.workday.intl(int(S302),1,"0000001",Holidays!A:A)+hour(S302+X$7-$B$1)/24+minute(S302)/1440),"")</f>
        <v>46188.43889</v>
      </c>
      <c r="Y302" s="104">
        <v>46187.50489994213</v>
      </c>
      <c r="Z302" s="105" t="s">
        <v>14</v>
      </c>
      <c r="AA302" s="111">
        <f t="shared" si="4"/>
        <v>0</v>
      </c>
      <c r="AB302" s="110" t="str">
        <f t="shared" si="5"/>
        <v>EMP0237 Swarnendu Chakraborty</v>
      </c>
      <c r="AC302" s="103">
        <f>if(X302,_xlfn.WORKDAY.INTL(X302,AC$7,"0000001",Holidays!A:A)+hour(X302)/24+MINUTE(X302)/1440,"")</f>
        <v>46189.43889</v>
      </c>
      <c r="AD302" s="104">
        <v>46188.51501653936</v>
      </c>
      <c r="AE302" s="105" t="s">
        <v>14</v>
      </c>
      <c r="AF302" s="111">
        <f t="shared" si="6"/>
        <v>0</v>
      </c>
      <c r="AG302" s="110" t="str">
        <f t="shared" si="7"/>
        <v>EMP0237 Swarnendu Chakraborty</v>
      </c>
      <c r="AH302" s="103">
        <f>if(AC302,if(and(hour(AC302+AH$7)&gt;9.5,(hour(AC302+AH$7)&lt;19.5)),AC302+AH$7,_xlfn.workday.intl(int(AC302),1,"0000001",Holidays!A:A)+hour(AC302+AH$7-$B$1)/24+minute(AC302)/1440),"")</f>
        <v>46189.48056</v>
      </c>
      <c r="AI302" s="104">
        <v>46189.43304483796</v>
      </c>
      <c r="AJ302" s="105" t="s">
        <v>14</v>
      </c>
      <c r="AK302" s="111">
        <f t="shared" si="8"/>
        <v>0</v>
      </c>
      <c r="AL302" s="112" t="str">
        <f t="shared" si="9"/>
        <v>EMP0237 Swarnendu Chakraborty</v>
      </c>
      <c r="AM302" s="113"/>
      <c r="AN302" s="114" t="s">
        <v>672</v>
      </c>
      <c r="AO302" s="115"/>
      <c r="AP302" s="115"/>
      <c r="AQ302" s="115"/>
      <c r="AR302" s="115"/>
      <c r="AS302" s="115"/>
      <c r="AT302" s="115"/>
      <c r="AU302" s="115"/>
      <c r="AV302" s="115"/>
      <c r="AW302" s="115"/>
      <c r="AX302" s="115"/>
      <c r="AY302" s="115"/>
    </row>
    <row r="303">
      <c r="A303" s="95">
        <f t="shared" si="11"/>
        <v>5254</v>
      </c>
      <c r="B303" s="96">
        <v>46186.56091569444</v>
      </c>
      <c r="C303" s="97" t="s">
        <v>986</v>
      </c>
      <c r="D303" s="97" t="s">
        <v>982</v>
      </c>
      <c r="E303" s="98" t="s">
        <v>1800</v>
      </c>
      <c r="F303" s="98" t="s">
        <v>1803</v>
      </c>
      <c r="G303" s="97" t="s">
        <v>1291</v>
      </c>
      <c r="H303" s="99" t="s">
        <v>62</v>
      </c>
      <c r="I303" s="100" t="s">
        <v>324</v>
      </c>
      <c r="J303" s="101" t="s">
        <v>1269</v>
      </c>
      <c r="K303" s="100"/>
      <c r="L303" s="102" t="s">
        <v>1797</v>
      </c>
      <c r="M303" s="103">
        <f>if(B303,if(and(hour(B303+M$7)&gt;9.5,(hour(B303+M$7)&lt;19.5)),B303+M$7,_xlfn.workday.intl(int(B303),1,"0000001",Holidays!A:A)+hour(B303+M$7-$B$1)/24+minute(B303)/1440),"")</f>
        <v>46186.72758</v>
      </c>
      <c r="N303" s="104">
        <v>46186.60767596065</v>
      </c>
      <c r="O303" s="105" t="s">
        <v>14</v>
      </c>
      <c r="P303" s="106">
        <f t="shared" si="1"/>
        <v>0</v>
      </c>
      <c r="Q303" s="107" t="s">
        <v>48</v>
      </c>
      <c r="R303" s="108" t="s">
        <v>434</v>
      </c>
      <c r="S303" s="103">
        <f>if(M303,if(and(hour(M303+S$7)&gt;9.5,(hour(M303+S$7)&lt;19.5)),M303+S$7,_xlfn.workday.intl(int(M303),1,"0000001",Holidays!A:A)+hour(M303+S$7-$B$1)/24+minute(M303)/1440),"")</f>
        <v>46186.73453</v>
      </c>
      <c r="T303" s="104">
        <v>46186.608298287036</v>
      </c>
      <c r="U303" s="105" t="s">
        <v>14</v>
      </c>
      <c r="V303" s="109">
        <f t="shared" si="2"/>
        <v>0</v>
      </c>
      <c r="W303" s="110" t="str">
        <f t="shared" si="3"/>
        <v>EMP0237 Swarnendu Chakraborty</v>
      </c>
      <c r="X303" s="103">
        <f>if(S303,if(and(hour(S303+X$7)&gt;9.5,(hour(S303+X$7)&lt;19.5)),S303+X$7,_xlfn.workday.intl(int(S303),1,"0000001",Holidays!A:A)+hour(S303+X$7-$B$1)/24+minute(S303)/1440),"")</f>
        <v>46188.44236</v>
      </c>
      <c r="Y303" s="104">
        <v>46187.5054093287</v>
      </c>
      <c r="Z303" s="105" t="s">
        <v>14</v>
      </c>
      <c r="AA303" s="111">
        <f t="shared" si="4"/>
        <v>0</v>
      </c>
      <c r="AB303" s="110" t="str">
        <f t="shared" si="5"/>
        <v>EMP0237 Swarnendu Chakraborty</v>
      </c>
      <c r="AC303" s="103">
        <f>if(X303,_xlfn.WORKDAY.INTL(X303,AC$7,"0000001",Holidays!A:A)+hour(X303)/24+MINUTE(X303)/1440,"")</f>
        <v>46189.44236</v>
      </c>
      <c r="AD303" s="104">
        <v>46188.51503090278</v>
      </c>
      <c r="AE303" s="105" t="s">
        <v>14</v>
      </c>
      <c r="AF303" s="111">
        <f t="shared" si="6"/>
        <v>0</v>
      </c>
      <c r="AG303" s="110" t="str">
        <f t="shared" si="7"/>
        <v>EMP0237 Swarnendu Chakraborty</v>
      </c>
      <c r="AH303" s="103">
        <f>if(AC303,if(and(hour(AC303+AH$7)&gt;9.5,(hour(AC303+AH$7)&lt;19.5)),AC303+AH$7,_xlfn.workday.intl(int(AC303),1,"0000001",Holidays!A:A)+hour(AC303+AH$7-$B$1)/24+minute(AC303)/1440),"")</f>
        <v>46189.48403</v>
      </c>
      <c r="AI303" s="104">
        <v>46189.433063923614</v>
      </c>
      <c r="AJ303" s="105" t="s">
        <v>14</v>
      </c>
      <c r="AK303" s="111">
        <f t="shared" si="8"/>
        <v>0</v>
      </c>
      <c r="AL303" s="112" t="str">
        <f t="shared" si="9"/>
        <v>EMP0237 Swarnendu Chakraborty</v>
      </c>
      <c r="AM303" s="113"/>
      <c r="AN303" s="114" t="s">
        <v>672</v>
      </c>
      <c r="AO303" s="115"/>
      <c r="AP303" s="115"/>
      <c r="AQ303" s="115"/>
      <c r="AR303" s="115"/>
      <c r="AS303" s="115"/>
      <c r="AT303" s="115"/>
      <c r="AU303" s="115"/>
      <c r="AV303" s="115"/>
      <c r="AW303" s="115"/>
      <c r="AX303" s="115"/>
      <c r="AY303" s="115"/>
    </row>
    <row r="304">
      <c r="A304" s="95">
        <f t="shared" si="11"/>
        <v>5255</v>
      </c>
      <c r="B304" s="96">
        <v>46186.56321681713</v>
      </c>
      <c r="C304" s="97" t="s">
        <v>986</v>
      </c>
      <c r="D304" s="97" t="s">
        <v>982</v>
      </c>
      <c r="E304" s="98" t="s">
        <v>1804</v>
      </c>
      <c r="F304" s="98" t="s">
        <v>1807</v>
      </c>
      <c r="G304" s="97" t="s">
        <v>1291</v>
      </c>
      <c r="H304" s="99" t="s">
        <v>62</v>
      </c>
      <c r="I304" s="100" t="s">
        <v>324</v>
      </c>
      <c r="J304" s="101" t="s">
        <v>1269</v>
      </c>
      <c r="K304" s="100"/>
      <c r="L304" s="102" t="s">
        <v>1797</v>
      </c>
      <c r="M304" s="103">
        <f>if(B304,if(and(hour(B304+M$7)&gt;9.5,(hour(B304+M$7)&lt;19.5)),B304+M$7,_xlfn.workday.intl(int(B304),1,"0000001",Holidays!A:A)+hour(B304+M$7-$B$1)/24+minute(B304)/1440),"")</f>
        <v>46186.72988</v>
      </c>
      <c r="N304" s="104">
        <v>46186.607712627316</v>
      </c>
      <c r="O304" s="105" t="s">
        <v>14</v>
      </c>
      <c r="P304" s="106">
        <f t="shared" si="1"/>
        <v>0</v>
      </c>
      <c r="Q304" s="107" t="s">
        <v>72</v>
      </c>
      <c r="R304" s="108" t="s">
        <v>434</v>
      </c>
      <c r="S304" s="103">
        <f>if(M304,if(and(hour(M304+S$7)&gt;9.5,(hour(M304+S$7)&lt;19.5)),M304+S$7,_xlfn.workday.intl(int(M304),1,"0000001",Holidays!A:A)+hour(M304+S$7-$B$1)/24+minute(M304)/1440),"")</f>
        <v>46186.73683</v>
      </c>
      <c r="T304" s="104">
        <v>46186.608315578706</v>
      </c>
      <c r="U304" s="105" t="s">
        <v>14</v>
      </c>
      <c r="V304" s="109">
        <f t="shared" si="2"/>
        <v>0</v>
      </c>
      <c r="W304" s="110" t="str">
        <f t="shared" si="3"/>
        <v>EMP5009 Rup Kumar Mandal</v>
      </c>
      <c r="X304" s="103">
        <f>if(S304,if(and(hour(S304+X$7)&gt;9.5,(hour(S304+X$7)&lt;19.5)),S304+X$7,_xlfn.workday.intl(int(S304),1,"0000001",Holidays!A:A)+hour(S304+X$7-$B$1)/24+minute(S304)/1440),"")</f>
        <v>46188.44514</v>
      </c>
      <c r="Y304" s="104">
        <v>46187.50526864584</v>
      </c>
      <c r="Z304" s="105" t="s">
        <v>14</v>
      </c>
      <c r="AA304" s="111">
        <f t="shared" si="4"/>
        <v>0</v>
      </c>
      <c r="AB304" s="110" t="str">
        <f t="shared" si="5"/>
        <v>EMP5009 Rup Kumar Mandal</v>
      </c>
      <c r="AC304" s="103">
        <f>if(X304,_xlfn.WORKDAY.INTL(X304,AC$7,"0000001",Holidays!A:A)+hour(X304)/24+MINUTE(X304)/1440,"")</f>
        <v>46189.44514</v>
      </c>
      <c r="AD304" s="104">
        <v>46188.517017175924</v>
      </c>
      <c r="AE304" s="105" t="s">
        <v>14</v>
      </c>
      <c r="AF304" s="111">
        <f t="shared" si="6"/>
        <v>0</v>
      </c>
      <c r="AG304" s="110" t="str">
        <f t="shared" si="7"/>
        <v>EMP5009 Rup Kumar Mandal</v>
      </c>
      <c r="AH304" s="103">
        <f>if(AC304,if(and(hour(AC304+AH$7)&gt;9.5,(hour(AC304+AH$7)&lt;19.5)),AC304+AH$7,_xlfn.workday.intl(int(AC304),1,"0000001",Holidays!A:A)+hour(AC304+AH$7-$B$1)/24+minute(AC304)/1440),"")</f>
        <v>46189.48681</v>
      </c>
      <c r="AI304" s="104">
        <v>46189.433083993055</v>
      </c>
      <c r="AJ304" s="105" t="s">
        <v>14</v>
      </c>
      <c r="AK304" s="111">
        <f t="shared" si="8"/>
        <v>0</v>
      </c>
      <c r="AL304" s="112" t="str">
        <f t="shared" si="9"/>
        <v>EMP5009 Rup Kumar Mandal</v>
      </c>
      <c r="AM304" s="113"/>
      <c r="AN304" s="114" t="s">
        <v>672</v>
      </c>
      <c r="AO304" s="115"/>
      <c r="AP304" s="115"/>
      <c r="AQ304" s="115"/>
      <c r="AR304" s="115"/>
      <c r="AS304" s="115"/>
      <c r="AT304" s="115"/>
      <c r="AU304" s="115"/>
      <c r="AV304" s="115"/>
      <c r="AW304" s="115"/>
      <c r="AX304" s="115"/>
      <c r="AY304" s="115"/>
    </row>
    <row r="305">
      <c r="A305" s="95">
        <f t="shared" si="11"/>
        <v>5256</v>
      </c>
      <c r="B305" s="96">
        <v>46186.566350995374</v>
      </c>
      <c r="C305" s="97" t="s">
        <v>986</v>
      </c>
      <c r="D305" s="97" t="s">
        <v>982</v>
      </c>
      <c r="E305" s="98" t="s">
        <v>1810</v>
      </c>
      <c r="F305" s="98" t="s">
        <v>1813</v>
      </c>
      <c r="G305" s="97" t="s">
        <v>1291</v>
      </c>
      <c r="H305" s="99" t="s">
        <v>62</v>
      </c>
      <c r="I305" s="100" t="s">
        <v>324</v>
      </c>
      <c r="J305" s="101" t="s">
        <v>1269</v>
      </c>
      <c r="K305" s="100"/>
      <c r="L305" s="102" t="s">
        <v>1797</v>
      </c>
      <c r="M305" s="103">
        <f>if(B305,if(and(hour(B305+M$7)&gt;9.5,(hour(B305+M$7)&lt;19.5)),B305+M$7,_xlfn.workday.intl(int(B305),1,"0000001",Holidays!A:A)+hour(B305+M$7-$B$1)/24+minute(B305)/1440),"")</f>
        <v>46186.73302</v>
      </c>
      <c r="N305" s="104">
        <v>46186.607726284725</v>
      </c>
      <c r="O305" s="105" t="s">
        <v>14</v>
      </c>
      <c r="P305" s="106">
        <f t="shared" si="1"/>
        <v>0</v>
      </c>
      <c r="Q305" s="107" t="s">
        <v>72</v>
      </c>
      <c r="R305" s="108" t="s">
        <v>434</v>
      </c>
      <c r="S305" s="103">
        <f>if(M305,if(and(hour(M305+S$7)&gt;9.5,(hour(M305+S$7)&lt;19.5)),M305+S$7,_xlfn.workday.intl(int(M305),1,"0000001",Holidays!A:A)+hour(M305+S$7-$B$1)/24+minute(M305)/1440),"")</f>
        <v>46186.73996</v>
      </c>
      <c r="T305" s="104">
        <v>46186.60833673611</v>
      </c>
      <c r="U305" s="105" t="s">
        <v>14</v>
      </c>
      <c r="V305" s="109">
        <f t="shared" si="2"/>
        <v>0</v>
      </c>
      <c r="W305" s="110" t="str">
        <f t="shared" si="3"/>
        <v>EMP5009 Rup Kumar Mandal</v>
      </c>
      <c r="X305" s="103">
        <f>if(S305,if(and(hour(S305+X$7)&gt;9.5,(hour(S305+X$7)&lt;19.5)),S305+X$7,_xlfn.workday.intl(int(S305),1,"0000001",Holidays!A:A)+hour(S305+X$7-$B$1)/24+minute(S305)/1440),"")</f>
        <v>46188.44792</v>
      </c>
      <c r="Y305" s="104">
        <v>46187.50528875</v>
      </c>
      <c r="Z305" s="105" t="s">
        <v>14</v>
      </c>
      <c r="AA305" s="111">
        <f t="shared" si="4"/>
        <v>0</v>
      </c>
      <c r="AB305" s="110" t="str">
        <f t="shared" si="5"/>
        <v>EMP5009 Rup Kumar Mandal</v>
      </c>
      <c r="AC305" s="103">
        <f>if(X305,_xlfn.WORKDAY.INTL(X305,AC$7,"0000001",Holidays!A:A)+hour(X305)/24+MINUTE(X305)/1440,"")</f>
        <v>46189.44792</v>
      </c>
      <c r="AD305" s="104">
        <v>46188.51703650463</v>
      </c>
      <c r="AE305" s="105" t="s">
        <v>14</v>
      </c>
      <c r="AF305" s="111">
        <f t="shared" si="6"/>
        <v>0</v>
      </c>
      <c r="AG305" s="110" t="str">
        <f t="shared" si="7"/>
        <v>EMP5009 Rup Kumar Mandal</v>
      </c>
      <c r="AH305" s="103">
        <f>if(AC305,if(and(hour(AC305+AH$7)&gt;9.5,(hour(AC305+AH$7)&lt;19.5)),AC305+AH$7,_xlfn.workday.intl(int(AC305),1,"0000001",Holidays!A:A)+hour(AC305+AH$7-$B$1)/24+minute(AC305)/1440),"")</f>
        <v>46189.48958</v>
      </c>
      <c r="AI305" s="104">
        <v>46189.43310913195</v>
      </c>
      <c r="AJ305" s="105" t="s">
        <v>14</v>
      </c>
      <c r="AK305" s="111">
        <f t="shared" si="8"/>
        <v>0</v>
      </c>
      <c r="AL305" s="112" t="str">
        <f t="shared" si="9"/>
        <v>EMP5009 Rup Kumar Mandal</v>
      </c>
      <c r="AM305" s="113"/>
      <c r="AN305" s="114" t="s">
        <v>672</v>
      </c>
      <c r="AO305" s="115"/>
      <c r="AP305" s="115"/>
      <c r="AQ305" s="115"/>
      <c r="AR305" s="115"/>
      <c r="AS305" s="115"/>
      <c r="AT305" s="115"/>
      <c r="AU305" s="115"/>
      <c r="AV305" s="115"/>
      <c r="AW305" s="115"/>
      <c r="AX305" s="115"/>
      <c r="AY305" s="115"/>
    </row>
    <row r="306">
      <c r="A306" s="95">
        <f t="shared" si="11"/>
        <v>5257</v>
      </c>
      <c r="B306" s="96">
        <v>46186.57034359954</v>
      </c>
      <c r="C306" s="97" t="s">
        <v>986</v>
      </c>
      <c r="D306" s="97" t="s">
        <v>982</v>
      </c>
      <c r="E306" s="98" t="s">
        <v>1816</v>
      </c>
      <c r="F306" s="98" t="s">
        <v>1820</v>
      </c>
      <c r="G306" s="97" t="s">
        <v>1818</v>
      </c>
      <c r="H306" s="99" t="s">
        <v>62</v>
      </c>
      <c r="I306" s="100" t="s">
        <v>324</v>
      </c>
      <c r="J306" s="101" t="s">
        <v>1269</v>
      </c>
      <c r="K306" s="100"/>
      <c r="L306" s="102" t="s">
        <v>1819</v>
      </c>
      <c r="M306" s="103">
        <f>if(B306,if(and(hour(B306+M$7)&gt;9.5,(hour(B306+M$7)&lt;19.5)),B306+M$7,_xlfn.workday.intl(int(B306),1,"0000001",Holidays!A:A)+hour(B306+M$7-$B$1)/24+minute(B306)/1440),"")</f>
        <v>46186.73701</v>
      </c>
      <c r="N306" s="104">
        <v>46186.60775069444</v>
      </c>
      <c r="O306" s="105" t="s">
        <v>14</v>
      </c>
      <c r="P306" s="106">
        <f t="shared" si="1"/>
        <v>0</v>
      </c>
      <c r="Q306" s="107" t="s">
        <v>48</v>
      </c>
      <c r="R306" s="108" t="s">
        <v>434</v>
      </c>
      <c r="S306" s="103">
        <f>if(M306,if(and(hour(M306+S$7)&gt;9.5,(hour(M306+S$7)&lt;19.5)),M306+S$7,_xlfn.workday.intl(int(M306),1,"0000001",Holidays!A:A)+hour(M306+S$7-$B$1)/24+minute(M306)/1440),"")</f>
        <v>46186.74395</v>
      </c>
      <c r="T306" s="104">
        <v>46186.60836111111</v>
      </c>
      <c r="U306" s="105" t="s">
        <v>14</v>
      </c>
      <c r="V306" s="109">
        <f t="shared" si="2"/>
        <v>0</v>
      </c>
      <c r="W306" s="110" t="str">
        <f t="shared" si="3"/>
        <v>EMP0237 Swarnendu Chakraborty</v>
      </c>
      <c r="X306" s="103">
        <f>if(S306,if(and(hour(S306+X$7)&gt;9.5,(hour(S306+X$7)&lt;19.5)),S306+X$7,_xlfn.workday.intl(int(S306),1,"0000001",Holidays!A:A)+hour(S306+X$7-$B$1)/24+minute(S306)/1440),"")</f>
        <v>46188.45208</v>
      </c>
      <c r="Y306" s="104">
        <v>46187.50531180555</v>
      </c>
      <c r="Z306" s="105" t="s">
        <v>14</v>
      </c>
      <c r="AA306" s="111">
        <f t="shared" si="4"/>
        <v>0</v>
      </c>
      <c r="AB306" s="110" t="str">
        <f t="shared" si="5"/>
        <v>EMP0237 Swarnendu Chakraborty</v>
      </c>
      <c r="AC306" s="103">
        <f>if(X306,_xlfn.WORKDAY.INTL(X306,AC$7,"0000001",Holidays!A:A)+hour(X306)/24+MINUTE(X306)/1440,"")</f>
        <v>46189.45208</v>
      </c>
      <c r="AD306" s="104">
        <v>46188.51717516204</v>
      </c>
      <c r="AE306" s="105" t="s">
        <v>14</v>
      </c>
      <c r="AF306" s="111">
        <f t="shared" si="6"/>
        <v>0</v>
      </c>
      <c r="AG306" s="110" t="str">
        <f t="shared" si="7"/>
        <v>EMP0237 Swarnendu Chakraborty</v>
      </c>
      <c r="AH306" s="103">
        <f>if(AC306,if(and(hour(AC306+AH$7)&gt;9.5,(hour(AC306+AH$7)&lt;19.5)),AC306+AH$7,_xlfn.workday.intl(int(AC306),1,"0000001",Holidays!A:A)+hour(AC306+AH$7-$B$1)/24+minute(AC306)/1440),"")</f>
        <v>46189.49375</v>
      </c>
      <c r="AI306" s="104">
        <v>46189.433125763884</v>
      </c>
      <c r="AJ306" s="105" t="s">
        <v>14</v>
      </c>
      <c r="AK306" s="111">
        <f t="shared" si="8"/>
        <v>0</v>
      </c>
      <c r="AL306" s="112" t="str">
        <f t="shared" si="9"/>
        <v>EMP0237 Swarnendu Chakraborty</v>
      </c>
      <c r="AM306" s="113"/>
      <c r="AN306" s="114" t="s">
        <v>672</v>
      </c>
      <c r="AO306" s="115"/>
      <c r="AP306" s="115"/>
      <c r="AQ306" s="115"/>
      <c r="AR306" s="115"/>
      <c r="AS306" s="115"/>
      <c r="AT306" s="115"/>
      <c r="AU306" s="115"/>
      <c r="AV306" s="115"/>
      <c r="AW306" s="115"/>
      <c r="AX306" s="115"/>
      <c r="AY306" s="115"/>
    </row>
    <row r="307">
      <c r="A307" s="95">
        <f t="shared" si="11"/>
        <v>5258</v>
      </c>
      <c r="B307" s="96">
        <v>46186.57363939815</v>
      </c>
      <c r="C307" s="97" t="s">
        <v>986</v>
      </c>
      <c r="D307" s="97" t="s">
        <v>982</v>
      </c>
      <c r="E307" s="98" t="s">
        <v>1822</v>
      </c>
      <c r="F307" s="98" t="s">
        <v>1823</v>
      </c>
      <c r="G307" s="97" t="s">
        <v>1818</v>
      </c>
      <c r="H307" s="99" t="s">
        <v>62</v>
      </c>
      <c r="I307" s="100" t="s">
        <v>237</v>
      </c>
      <c r="J307" s="101" t="s">
        <v>1269</v>
      </c>
      <c r="K307" s="100"/>
      <c r="L307" s="102" t="s">
        <v>1797</v>
      </c>
      <c r="M307" s="103">
        <f>if(B307,if(and(hour(B307+M$7)&gt;9.5,(hour(B307+M$7)&lt;19.5)),B307+M$7,_xlfn.workday.intl(int(B307),1,"0000001",Holidays!A:A)+hour(B307+M$7-$B$1)/24+minute(B307)/1440),"")</f>
        <v>46186.74031</v>
      </c>
      <c r="N307" s="104">
        <v>46186.607779618054</v>
      </c>
      <c r="O307" s="105" t="s">
        <v>14</v>
      </c>
      <c r="P307" s="106">
        <f t="shared" si="1"/>
        <v>0</v>
      </c>
      <c r="Q307" s="107" t="s">
        <v>15</v>
      </c>
      <c r="R307" s="108" t="s">
        <v>434</v>
      </c>
      <c r="S307" s="103">
        <f>if(M307,if(and(hour(M307+S$7)&gt;9.5,(hour(M307+S$7)&lt;19.5)),M307+S$7,_xlfn.workday.intl(int(M307),1,"0000001",Holidays!A:A)+hour(M307+S$7-$B$1)/24+minute(M307)/1440),"")</f>
        <v>46186.74725</v>
      </c>
      <c r="T307" s="104">
        <v>46186.60839460648</v>
      </c>
      <c r="U307" s="105" t="s">
        <v>14</v>
      </c>
      <c r="V307" s="109">
        <f t="shared" si="2"/>
        <v>0</v>
      </c>
      <c r="W307" s="110" t="str">
        <f t="shared" si="3"/>
        <v>EMP0042 HULESHWAR KUMAR SAHU</v>
      </c>
      <c r="X307" s="103">
        <f>if(S307,if(and(hour(S307+X$7)&gt;9.5,(hour(S307+X$7)&lt;19.5)),S307+X$7,_xlfn.workday.intl(int(S307),1,"0000001",Holidays!A:A)+hour(S307+X$7-$B$1)/24+minute(S307)/1440),"")</f>
        <v>46188.45556</v>
      </c>
      <c r="Y307" s="104">
        <v>46187.50533554398</v>
      </c>
      <c r="Z307" s="105" t="s">
        <v>14</v>
      </c>
      <c r="AA307" s="111">
        <f t="shared" si="4"/>
        <v>0</v>
      </c>
      <c r="AB307" s="110" t="str">
        <f t="shared" si="5"/>
        <v>EMP0042 HULESHWAR KUMAR SAHU</v>
      </c>
      <c r="AC307" s="103">
        <f>if(X307,_xlfn.WORKDAY.INTL(X307,AC$7,"0000001",Holidays!A:A)+hour(X307)/24+MINUTE(X307)/1440,"")</f>
        <v>46189.45556</v>
      </c>
      <c r="AD307" s="104">
        <v>46188.51706197917</v>
      </c>
      <c r="AE307" s="105" t="s">
        <v>14</v>
      </c>
      <c r="AF307" s="111">
        <f t="shared" si="6"/>
        <v>0</v>
      </c>
      <c r="AG307" s="110" t="str">
        <f t="shared" si="7"/>
        <v>EMP0042 HULESHWAR KUMAR SAHU</v>
      </c>
      <c r="AH307" s="103">
        <f>if(AC307,if(and(hour(AC307+AH$7)&gt;9.5,(hour(AC307+AH$7)&lt;19.5)),AC307+AH$7,_xlfn.workday.intl(int(AC307),1,"0000001",Holidays!A:A)+hour(AC307+AH$7-$B$1)/24+minute(AC307)/1440),"")</f>
        <v>46189.49722</v>
      </c>
      <c r="AI307" s="104">
        <v>46189.43314613426</v>
      </c>
      <c r="AJ307" s="105" t="s">
        <v>14</v>
      </c>
      <c r="AK307" s="111">
        <f t="shared" si="8"/>
        <v>0</v>
      </c>
      <c r="AL307" s="112" t="str">
        <f t="shared" si="9"/>
        <v>EMP0042 HULESHWAR KUMAR SAHU</v>
      </c>
      <c r="AM307" s="113"/>
      <c r="AN307" s="114" t="s">
        <v>672</v>
      </c>
      <c r="AO307" s="115"/>
      <c r="AP307" s="115"/>
      <c r="AQ307" s="115"/>
      <c r="AR307" s="115"/>
      <c r="AS307" s="115"/>
      <c r="AT307" s="115"/>
      <c r="AU307" s="115"/>
      <c r="AV307" s="115"/>
      <c r="AW307" s="115"/>
      <c r="AX307" s="115"/>
      <c r="AY307" s="115"/>
    </row>
    <row r="308">
      <c r="A308" s="95">
        <f t="shared" si="11"/>
        <v>5259</v>
      </c>
      <c r="B308" s="96">
        <v>46186.57663081019</v>
      </c>
      <c r="C308" s="97" t="s">
        <v>1279</v>
      </c>
      <c r="D308" s="97" t="s">
        <v>982</v>
      </c>
      <c r="E308" s="98" t="s">
        <v>1826</v>
      </c>
      <c r="F308" s="98" t="s">
        <v>1828</v>
      </c>
      <c r="G308" s="97" t="s">
        <v>1818</v>
      </c>
      <c r="H308" s="99" t="s">
        <v>62</v>
      </c>
      <c r="I308" s="100" t="s">
        <v>324</v>
      </c>
      <c r="J308" s="101" t="s">
        <v>1269</v>
      </c>
      <c r="K308" s="100"/>
      <c r="L308" s="102" t="s">
        <v>1797</v>
      </c>
      <c r="M308" s="103">
        <f>if(B308,if(and(hour(B308+M$7)&gt;9.5,(hour(B308+M$7)&lt;19.5)),B308+M$7,_xlfn.workday.intl(int(B308),1,"0000001",Holidays!A:A)+hour(B308+M$7-$B$1)/24+minute(B308)/1440),"")</f>
        <v>46186.7433</v>
      </c>
      <c r="N308" s="104">
        <v>46186.60779923611</v>
      </c>
      <c r="O308" s="105" t="s">
        <v>14</v>
      </c>
      <c r="P308" s="106">
        <f t="shared" si="1"/>
        <v>0</v>
      </c>
      <c r="Q308" s="107" t="s">
        <v>15</v>
      </c>
      <c r="R308" s="108" t="s">
        <v>434</v>
      </c>
      <c r="S308" s="103">
        <f>if(M308,if(and(hour(M308+S$7)&gt;9.5,(hour(M308+S$7)&lt;19.5)),M308+S$7,_xlfn.workday.intl(int(M308),1,"0000001",Holidays!A:A)+hour(M308+S$7-$B$1)/24+minute(M308)/1440),"")</f>
        <v>46186.75024</v>
      </c>
      <c r="T308" s="104">
        <v>46186.60841892361</v>
      </c>
      <c r="U308" s="105" t="s">
        <v>14</v>
      </c>
      <c r="V308" s="109">
        <f t="shared" si="2"/>
        <v>0</v>
      </c>
      <c r="W308" s="110" t="str">
        <f t="shared" si="3"/>
        <v>EMP0042 HULESHWAR KUMAR SAHU</v>
      </c>
      <c r="X308" s="103">
        <f>if(S308,if(and(hour(S308+X$7)&gt;9.5,(hour(S308+X$7)&lt;19.5)),S308+X$7,_xlfn.workday.intl(int(S308),1,"0000001",Holidays!A:A)+hour(S308+X$7-$B$1)/24+minute(S308)/1440),"")</f>
        <v>46188.41667</v>
      </c>
      <c r="Y308" s="104">
        <v>46187.50536618056</v>
      </c>
      <c r="Z308" s="105" t="s">
        <v>14</v>
      </c>
      <c r="AA308" s="111">
        <f t="shared" si="4"/>
        <v>0</v>
      </c>
      <c r="AB308" s="110" t="str">
        <f t="shared" si="5"/>
        <v>EMP0042 HULESHWAR KUMAR SAHU</v>
      </c>
      <c r="AC308" s="103">
        <f>if(X308,_xlfn.WORKDAY.INTL(X308,AC$7,"0000001",Holidays!A:A)+hour(X308)/24+MINUTE(X308)/1440,"")</f>
        <v>46189.41667</v>
      </c>
      <c r="AD308" s="104">
        <v>46188.51707869213</v>
      </c>
      <c r="AE308" s="105" t="s">
        <v>14</v>
      </c>
      <c r="AF308" s="111">
        <f t="shared" si="6"/>
        <v>0</v>
      </c>
      <c r="AG308" s="110" t="str">
        <f t="shared" si="7"/>
        <v>EMP0042 HULESHWAR KUMAR SAHU</v>
      </c>
      <c r="AH308" s="103">
        <f>if(AC308,if(and(hour(AC308+AH$7)&gt;9.5,(hour(AC308+AH$7)&lt;19.5)),AC308+AH$7,_xlfn.workday.intl(int(AC308),1,"0000001",Holidays!A:A)+hour(AC308+AH$7-$B$1)/24+minute(AC308)/1440),"")</f>
        <v>46189.45833</v>
      </c>
      <c r="AI308" s="104">
        <v>46189.433166944444</v>
      </c>
      <c r="AJ308" s="105" t="s">
        <v>14</v>
      </c>
      <c r="AK308" s="111">
        <f t="shared" si="8"/>
        <v>0</v>
      </c>
      <c r="AL308" s="112" t="str">
        <f t="shared" si="9"/>
        <v>EMP0042 HULESHWAR KUMAR SAHU</v>
      </c>
      <c r="AM308" s="113"/>
      <c r="AN308" s="114" t="s">
        <v>672</v>
      </c>
      <c r="AO308" s="115"/>
      <c r="AP308" s="115"/>
      <c r="AQ308" s="115"/>
      <c r="AR308" s="115"/>
      <c r="AS308" s="115"/>
      <c r="AT308" s="115"/>
      <c r="AU308" s="115"/>
      <c r="AV308" s="115"/>
      <c r="AW308" s="115"/>
      <c r="AX308" s="115"/>
      <c r="AY308" s="115"/>
    </row>
    <row r="309" ht="61.5" customHeight="1">
      <c r="A309" s="95">
        <f t="shared" si="11"/>
        <v>5260</v>
      </c>
      <c r="B309" s="96">
        <v>46188.392961562495</v>
      </c>
      <c r="C309" s="97" t="s">
        <v>1283</v>
      </c>
      <c r="D309" s="97" t="s">
        <v>122</v>
      </c>
      <c r="E309" s="98" t="s">
        <v>1831</v>
      </c>
      <c r="F309" s="97"/>
      <c r="G309" s="97" t="s">
        <v>1834</v>
      </c>
      <c r="H309" s="99" t="s">
        <v>126</v>
      </c>
      <c r="I309" s="100" t="s">
        <v>64</v>
      </c>
      <c r="J309" s="101" t="s">
        <v>198</v>
      </c>
      <c r="K309" s="100"/>
      <c r="L309" s="102" t="s">
        <v>1834</v>
      </c>
      <c r="M309" s="103">
        <f>if(B309,if(and(hour(B309+M$7)&gt;9.5,(hour(B309+M$7)&lt;19.5)),B309+M$7,_xlfn.workday.intl(int(B309),1,"0000001",Holidays!A:A)+hour(B309+M$7-$B$1)/24+minute(B309)/1440),"")</f>
        <v>46188.55963</v>
      </c>
      <c r="N309" s="104">
        <v>46188.46219983796</v>
      </c>
      <c r="O309" s="105" t="s">
        <v>14</v>
      </c>
      <c r="P309" s="106">
        <f t="shared" si="1"/>
        <v>0</v>
      </c>
      <c r="Q309" s="107" t="s">
        <v>15</v>
      </c>
      <c r="R309" s="108" t="s">
        <v>434</v>
      </c>
      <c r="S309" s="103">
        <f>if(M309,if(and(hour(M309+S$7)&gt;9.5,(hour(M309+S$7)&lt;19.5)),M309+S$7,_xlfn.workday.intl(int(M309),1,"0000001",Holidays!A:A)+hour(M309+S$7-$B$1)/24+minute(M309)/1440),"")</f>
        <v>46188.56657</v>
      </c>
      <c r="T309" s="104">
        <v>46188.46240071759</v>
      </c>
      <c r="U309" s="105" t="s">
        <v>14</v>
      </c>
      <c r="V309" s="109">
        <f t="shared" si="2"/>
        <v>0</v>
      </c>
      <c r="W309" s="110" t="str">
        <f t="shared" si="3"/>
        <v>EMP0042 HULESHWAR KUMAR SAHU</v>
      </c>
      <c r="X309" s="103">
        <f>if(S309,if(and(hour(S309+X$7)&gt;9.5,(hour(S309+X$7)&lt;19.5)),S309+X$7,_xlfn.workday.intl(int(S309),1,"0000001",Holidays!A:A)+hour(S309+X$7-$B$1)/24+minute(S309)/1440),"")</f>
        <v>46188.67074</v>
      </c>
      <c r="Y309" s="104">
        <v>46188.462528715274</v>
      </c>
      <c r="Z309" s="105" t="s">
        <v>14</v>
      </c>
      <c r="AA309" s="111">
        <f t="shared" si="4"/>
        <v>0</v>
      </c>
      <c r="AB309" s="110" t="str">
        <f t="shared" si="5"/>
        <v>EMP0042 HULESHWAR KUMAR SAHU</v>
      </c>
      <c r="AC309" s="103">
        <f>if(X309,_xlfn.WORKDAY.INTL(X309,AC$7,"0000001",Holidays!A:A)+hour(X309)/24+MINUTE(X309)/1440,"")</f>
        <v>46189.67014</v>
      </c>
      <c r="AD309" s="104">
        <v>46188.51682416667</v>
      </c>
      <c r="AE309" s="105" t="s">
        <v>14</v>
      </c>
      <c r="AF309" s="111">
        <f t="shared" si="6"/>
        <v>0</v>
      </c>
      <c r="AG309" s="110" t="str">
        <f t="shared" si="7"/>
        <v>EMP0042 HULESHWAR KUMAR SAHU</v>
      </c>
      <c r="AH309" s="103">
        <f>if(AC309,if(and(hour(AC309+AH$7)&gt;9.5,(hour(AC309+AH$7)&lt;19.5)),AC309+AH$7,_xlfn.workday.intl(int(AC309),1,"0000001",Holidays!A:A)+hour(AC309+AH$7-$B$1)/24+minute(AC309)/1440),"")</f>
        <v>46189.71181</v>
      </c>
      <c r="AI309" s="104">
        <v>46188.516892037034</v>
      </c>
      <c r="AJ309" s="105" t="s">
        <v>14</v>
      </c>
      <c r="AK309" s="111">
        <f t="shared" si="8"/>
        <v>0</v>
      </c>
      <c r="AL309" s="112" t="str">
        <f t="shared" si="9"/>
        <v>EMP0042 HULESHWAR KUMAR SAHU</v>
      </c>
      <c r="AM309" s="113"/>
      <c r="AN309" s="114" t="s">
        <v>672</v>
      </c>
      <c r="AO309" s="115"/>
      <c r="AP309" s="115"/>
      <c r="AQ309" s="115"/>
      <c r="AR309" s="115"/>
      <c r="AS309" s="115"/>
      <c r="AT309" s="115"/>
      <c r="AU309" s="115"/>
      <c r="AV309" s="115"/>
      <c r="AW309" s="115"/>
      <c r="AX309" s="115"/>
      <c r="AY309" s="115"/>
    </row>
    <row r="310" ht="73.5" customHeight="1">
      <c r="A310" s="95">
        <f t="shared" si="11"/>
        <v>5261</v>
      </c>
      <c r="B310" s="96">
        <v>46188.458750624995</v>
      </c>
      <c r="C310" s="97" t="s">
        <v>1287</v>
      </c>
      <c r="D310" s="97" t="s">
        <v>186</v>
      </c>
      <c r="E310" s="98" t="s">
        <v>1835</v>
      </c>
      <c r="F310" s="97"/>
      <c r="G310" s="97" t="s">
        <v>1836</v>
      </c>
      <c r="H310" s="99" t="s">
        <v>138</v>
      </c>
      <c r="I310" s="100" t="s">
        <v>64</v>
      </c>
      <c r="J310" s="101" t="s">
        <v>303</v>
      </c>
      <c r="K310" s="100"/>
      <c r="L310" s="102" t="s">
        <v>1837</v>
      </c>
      <c r="M310" s="103">
        <f>if(B310,if(and(hour(B310+M$7)&gt;9.5,(hour(B310+M$7)&lt;19.5)),B310+M$7,_xlfn.workday.intl(int(B310),1,"0000001",Holidays!A:A)+hour(B310+M$7-$B$1)/24+minute(B310)/1440),"")</f>
        <v>46188.62542</v>
      </c>
      <c r="N310" s="104">
        <v>46188.46222649305</v>
      </c>
      <c r="O310" s="105" t="s">
        <v>14</v>
      </c>
      <c r="P310" s="106">
        <f t="shared" si="1"/>
        <v>0</v>
      </c>
      <c r="Q310" s="107" t="s">
        <v>15</v>
      </c>
      <c r="R310" s="108" t="s">
        <v>434</v>
      </c>
      <c r="S310" s="103">
        <f>if(M310,if(and(hour(M310+S$7)&gt;9.5,(hour(M310+S$7)&lt;19.5)),M310+S$7,_xlfn.workday.intl(int(M310),1,"0000001",Holidays!A:A)+hour(M310+S$7-$B$1)/24+minute(M310)/1440),"")</f>
        <v>46188.63236</v>
      </c>
      <c r="T310" s="104">
        <v>46188.46239778935</v>
      </c>
      <c r="U310" s="105" t="s">
        <v>14</v>
      </c>
      <c r="V310" s="109">
        <f t="shared" si="2"/>
        <v>0</v>
      </c>
      <c r="W310" s="110" t="str">
        <f t="shared" si="3"/>
        <v>EMP0042 HULESHWAR KUMAR SAHU</v>
      </c>
      <c r="X310" s="103">
        <f>if(S310,if(and(hour(S310+X$7)&gt;9.5,(hour(S310+X$7)&lt;19.5)),S310+X$7,_xlfn.workday.intl(int(S310),1,"0000001",Holidays!A:A)+hour(S310+X$7-$B$1)/24+minute(S310)/1440),"")</f>
        <v>46188.73653</v>
      </c>
      <c r="Y310" s="104">
        <v>46188.462528715274</v>
      </c>
      <c r="Z310" s="105" t="s">
        <v>14</v>
      </c>
      <c r="AA310" s="111">
        <f t="shared" si="4"/>
        <v>0</v>
      </c>
      <c r="AB310" s="110" t="str">
        <f t="shared" si="5"/>
        <v>EMP0042 HULESHWAR KUMAR SAHU</v>
      </c>
      <c r="AC310" s="103">
        <f>if(X310,_xlfn.WORKDAY.INTL(X310,AC$7,"0000001",Holidays!A:A)+hour(X310)/24+MINUTE(X310)/1440,"")</f>
        <v>46189.73611</v>
      </c>
      <c r="AD310" s="104">
        <v>46188.516840069446</v>
      </c>
      <c r="AE310" s="105" t="s">
        <v>14</v>
      </c>
      <c r="AF310" s="111">
        <f t="shared" si="6"/>
        <v>0</v>
      </c>
      <c r="AG310" s="110" t="str">
        <f t="shared" si="7"/>
        <v>EMP0042 HULESHWAR KUMAR SAHU</v>
      </c>
      <c r="AH310" s="103">
        <f>if(AC310,if(and(hour(AC310+AH$7)&gt;9.5,(hour(AC310+AH$7)&lt;19.5)),AC310+AH$7,_xlfn.workday.intl(int(AC310),1,"0000001",Holidays!A:A)+hour(AC310+AH$7-$B$1)/24+minute(AC310)/1440),"")</f>
        <v>46189.77778</v>
      </c>
      <c r="AI310" s="104">
        <v>46188.516916782406</v>
      </c>
      <c r="AJ310" s="105" t="s">
        <v>14</v>
      </c>
      <c r="AK310" s="111">
        <f t="shared" si="8"/>
        <v>0</v>
      </c>
      <c r="AL310" s="112" t="str">
        <f t="shared" si="9"/>
        <v>EMP0042 HULESHWAR KUMAR SAHU</v>
      </c>
      <c r="AM310" s="113"/>
      <c r="AN310" s="114" t="s">
        <v>672</v>
      </c>
      <c r="AO310" s="115"/>
      <c r="AP310" s="115"/>
      <c r="AQ310" s="115"/>
      <c r="AR310" s="115"/>
      <c r="AS310" s="115"/>
      <c r="AT310" s="115"/>
      <c r="AU310" s="115"/>
      <c r="AV310" s="115"/>
      <c r="AW310" s="115"/>
      <c r="AX310" s="115"/>
      <c r="AY310" s="115"/>
    </row>
    <row r="311">
      <c r="A311" s="95">
        <f t="shared" si="11"/>
        <v>5262</v>
      </c>
      <c r="B311" s="96">
        <v>46189.45635796296</v>
      </c>
      <c r="C311" s="97" t="s">
        <v>1290</v>
      </c>
      <c r="D311" s="97" t="s">
        <v>277</v>
      </c>
      <c r="E311" s="98" t="s">
        <v>1839</v>
      </c>
      <c r="F311" s="97"/>
      <c r="G311" s="97" t="s">
        <v>75</v>
      </c>
      <c r="H311" s="99" t="s">
        <v>126</v>
      </c>
      <c r="I311" s="100" t="s">
        <v>324</v>
      </c>
      <c r="J311" s="101" t="s">
        <v>67</v>
      </c>
      <c r="K311" s="100"/>
      <c r="L311" s="102" t="s">
        <v>1840</v>
      </c>
      <c r="M311" s="103">
        <f>if(B311,if(and(hour(B311+M$7)&gt;9.5,(hour(B311+M$7)&lt;19.5)),B311+M$7,_xlfn.workday.intl(int(B311),1,"0000001",Holidays!A:A)+hour(B311+M$7-$B$1)/24+minute(B311)/1440),"")</f>
        <v>46189.62302</v>
      </c>
      <c r="N311" s="104">
        <v>46189.48472337963</v>
      </c>
      <c r="O311" s="105" t="s">
        <v>14</v>
      </c>
      <c r="P311" s="106">
        <f t="shared" si="1"/>
        <v>0</v>
      </c>
      <c r="Q311" s="107" t="s">
        <v>48</v>
      </c>
      <c r="R311" s="108" t="s">
        <v>434</v>
      </c>
      <c r="S311" s="103">
        <f>if(M311,if(and(hour(M311+S$7)&gt;9.5,(hour(M311+S$7)&lt;19.5)),M311+S$7,_xlfn.workday.intl(int(M311),1,"0000001",Holidays!A:A)+hour(M311+S$7-$B$1)/24+minute(M311)/1440),"")</f>
        <v>46189.62997</v>
      </c>
      <c r="T311" s="104">
        <v>46189.48855148148</v>
      </c>
      <c r="U311" s="105" t="s">
        <v>14</v>
      </c>
      <c r="V311" s="109">
        <f t="shared" si="2"/>
        <v>0</v>
      </c>
      <c r="W311" s="110" t="str">
        <f t="shared" si="3"/>
        <v>EMP0237 Swarnendu Chakraborty</v>
      </c>
      <c r="X311" s="103">
        <f>if(S311,if(and(hour(S311+X$7)&gt;9.5,(hour(S311+X$7)&lt;19.5)),S311+X$7,_xlfn.workday.intl(int(S311),1,"0000001",Holidays!A:A)+hour(S311+X$7-$B$1)/24+minute(S311)/1440),"")</f>
        <v>46189.73414</v>
      </c>
      <c r="Y311" s="104">
        <v>46189.5259571412</v>
      </c>
      <c r="Z311" s="105" t="s">
        <v>14</v>
      </c>
      <c r="AA311" s="111">
        <f t="shared" si="4"/>
        <v>0</v>
      </c>
      <c r="AB311" s="110" t="str">
        <f t="shared" si="5"/>
        <v>EMP0237 Swarnendu Chakraborty</v>
      </c>
      <c r="AC311" s="103">
        <f>if(X311,_xlfn.WORKDAY.INTL(X311,AC$7,"0000001",Holidays!A:A)+hour(X311)/24+MINUTE(X311)/1440,"")</f>
        <v>46190.73403</v>
      </c>
      <c r="AD311" s="104">
        <v>46190.54079517361</v>
      </c>
      <c r="AE311" s="105" t="s">
        <v>14</v>
      </c>
      <c r="AF311" s="111">
        <f t="shared" si="6"/>
        <v>0</v>
      </c>
      <c r="AG311" s="110" t="str">
        <f t="shared" si="7"/>
        <v>EMP0237 Swarnendu Chakraborty</v>
      </c>
      <c r="AH311" s="103">
        <f>if(AC311,if(and(hour(AC311+AH$7)&gt;9.5,(hour(AC311+AH$7)&lt;19.5)),AC311+AH$7,_xlfn.workday.intl(int(AC311),1,"0000001",Holidays!A:A)+hour(AC311+AH$7-$B$1)/24+minute(AC311)/1440),"")</f>
        <v>46190.77569</v>
      </c>
      <c r="AI311" s="104">
        <v>46190.54088706018</v>
      </c>
      <c r="AJ311" s="105" t="s">
        <v>14</v>
      </c>
      <c r="AK311" s="111">
        <f t="shared" si="8"/>
        <v>0</v>
      </c>
      <c r="AL311" s="112" t="str">
        <f t="shared" si="9"/>
        <v>EMP0237 Swarnendu Chakraborty</v>
      </c>
      <c r="AM311" s="113"/>
      <c r="AN311" s="114" t="s">
        <v>672</v>
      </c>
      <c r="AO311" s="115"/>
      <c r="AP311" s="115"/>
      <c r="AQ311" s="115"/>
      <c r="AR311" s="115"/>
      <c r="AS311" s="115"/>
      <c r="AT311" s="115"/>
      <c r="AU311" s="115"/>
      <c r="AV311" s="115"/>
      <c r="AW311" s="115"/>
      <c r="AX311" s="115"/>
      <c r="AY311" s="115"/>
    </row>
    <row r="312">
      <c r="A312" s="95">
        <f t="shared" si="11"/>
        <v>5263</v>
      </c>
      <c r="B312" s="96">
        <v>46189.45714300926</v>
      </c>
      <c r="C312" s="97" t="s">
        <v>1295</v>
      </c>
      <c r="D312" s="97" t="s">
        <v>277</v>
      </c>
      <c r="E312" s="98" t="s">
        <v>1843</v>
      </c>
      <c r="F312" s="97"/>
      <c r="G312" s="97" t="s">
        <v>75</v>
      </c>
      <c r="H312" s="99" t="s">
        <v>138</v>
      </c>
      <c r="I312" s="100" t="s">
        <v>64</v>
      </c>
      <c r="J312" s="101" t="s">
        <v>67</v>
      </c>
      <c r="K312" s="100"/>
      <c r="L312" s="102" t="s">
        <v>1844</v>
      </c>
      <c r="M312" s="103">
        <f>if(B312,if(and(hour(B312+M$7)&gt;9.5,(hour(B312+M$7)&lt;19.5)),B312+M$7,_xlfn.workday.intl(int(B312),1,"0000001",Holidays!A:A)+hour(B312+M$7-$B$1)/24+minute(B312)/1440),"")</f>
        <v>46189.62381</v>
      </c>
      <c r="N312" s="104">
        <v>46189.484747939816</v>
      </c>
      <c r="O312" s="105" t="s">
        <v>14</v>
      </c>
      <c r="P312" s="106">
        <f t="shared" si="1"/>
        <v>0</v>
      </c>
      <c r="Q312" s="107" t="s">
        <v>48</v>
      </c>
      <c r="R312" s="108" t="s">
        <v>434</v>
      </c>
      <c r="S312" s="103">
        <f>if(M312,if(and(hour(M312+S$7)&gt;9.5,(hour(M312+S$7)&lt;19.5)),M312+S$7,_xlfn.workday.intl(int(M312),1,"0000001",Holidays!A:A)+hour(M312+S$7-$B$1)/24+minute(M312)/1440),"")</f>
        <v>46189.63075</v>
      </c>
      <c r="T312" s="104">
        <v>46189.48856857639</v>
      </c>
      <c r="U312" s="105" t="s">
        <v>14</v>
      </c>
      <c r="V312" s="109">
        <f t="shared" si="2"/>
        <v>0</v>
      </c>
      <c r="W312" s="110" t="str">
        <f t="shared" si="3"/>
        <v>EMP0237 Swarnendu Chakraborty</v>
      </c>
      <c r="X312" s="103">
        <f>if(S312,if(and(hour(S312+X$7)&gt;9.5,(hour(S312+X$7)&lt;19.5)),S312+X$7,_xlfn.workday.intl(int(S312),1,"0000001",Holidays!A:A)+hour(S312+X$7-$B$1)/24+minute(S312)/1440),"")</f>
        <v>46189.73492</v>
      </c>
      <c r="Y312" s="104">
        <v>46189.525982638894</v>
      </c>
      <c r="Z312" s="105" t="s">
        <v>14</v>
      </c>
      <c r="AA312" s="111">
        <f t="shared" si="4"/>
        <v>0</v>
      </c>
      <c r="AB312" s="110" t="str">
        <f t="shared" si="5"/>
        <v>EMP0237 Swarnendu Chakraborty</v>
      </c>
      <c r="AC312" s="103">
        <f>if(X312,_xlfn.WORKDAY.INTL(X312,AC$7,"0000001",Holidays!A:A)+hour(X312)/24+MINUTE(X312)/1440,"")</f>
        <v>46190.73472</v>
      </c>
      <c r="AD312" s="104">
        <v>46190.54083788194</v>
      </c>
      <c r="AE312" s="105" t="s">
        <v>14</v>
      </c>
      <c r="AF312" s="111">
        <f t="shared" si="6"/>
        <v>0</v>
      </c>
      <c r="AG312" s="110" t="str">
        <f t="shared" si="7"/>
        <v>EMP0237 Swarnendu Chakraborty</v>
      </c>
      <c r="AH312" s="103">
        <f>if(AC312,if(and(hour(AC312+AH$7)&gt;9.5,(hour(AC312+AH$7)&lt;19.5)),AC312+AH$7,_xlfn.workday.intl(int(AC312),1,"0000001",Holidays!A:A)+hour(AC312+AH$7-$B$1)/24+minute(AC312)/1440),"")</f>
        <v>46190.77639</v>
      </c>
      <c r="AI312" s="104">
        <v>46190.54091016203</v>
      </c>
      <c r="AJ312" s="105" t="s">
        <v>14</v>
      </c>
      <c r="AK312" s="111">
        <f t="shared" si="8"/>
        <v>0</v>
      </c>
      <c r="AL312" s="112" t="str">
        <f t="shared" si="9"/>
        <v>EMP0237 Swarnendu Chakraborty</v>
      </c>
      <c r="AM312" s="113"/>
      <c r="AN312" s="114" t="s">
        <v>672</v>
      </c>
      <c r="AO312" s="115"/>
      <c r="AP312" s="115"/>
      <c r="AQ312" s="115"/>
      <c r="AR312" s="115"/>
      <c r="AS312" s="115"/>
      <c r="AT312" s="115"/>
      <c r="AU312" s="115"/>
      <c r="AV312" s="115"/>
      <c r="AW312" s="115"/>
      <c r="AX312" s="115"/>
      <c r="AY312" s="115"/>
    </row>
    <row r="313">
      <c r="A313" s="95">
        <f t="shared" si="11"/>
        <v>5264</v>
      </c>
      <c r="B313" s="96">
        <v>46189.459050011574</v>
      </c>
      <c r="C313" s="97" t="s">
        <v>52</v>
      </c>
      <c r="D313" s="97" t="s">
        <v>277</v>
      </c>
      <c r="E313" s="98" t="s">
        <v>1845</v>
      </c>
      <c r="F313" s="97"/>
      <c r="G313" s="97" t="s">
        <v>75</v>
      </c>
      <c r="H313" s="99" t="s">
        <v>62</v>
      </c>
      <c r="I313" s="100" t="s">
        <v>64</v>
      </c>
      <c r="J313" s="101" t="s">
        <v>67</v>
      </c>
      <c r="K313" s="100"/>
      <c r="L313" s="102" t="s">
        <v>1848</v>
      </c>
      <c r="M313" s="103">
        <f>if(B313,if(and(hour(B313+M$7)&gt;9.5,(hour(B313+M$7)&lt;19.5)),B313+M$7,_xlfn.workday.intl(int(B313),1,"0000001",Holidays!A:A)+hour(B313+M$7-$B$1)/24+minute(B313)/1440),"")</f>
        <v>46189.62572</v>
      </c>
      <c r="N313" s="104">
        <v>46189.48483611111</v>
      </c>
      <c r="O313" s="105" t="s">
        <v>14</v>
      </c>
      <c r="P313" s="106">
        <f t="shared" si="1"/>
        <v>0</v>
      </c>
      <c r="Q313" s="107" t="s">
        <v>72</v>
      </c>
      <c r="R313" s="108" t="s">
        <v>434</v>
      </c>
      <c r="S313" s="103">
        <f>if(M313,if(and(hour(M313+S$7)&gt;9.5,(hour(M313+S$7)&lt;19.5)),M313+S$7,_xlfn.workday.intl(int(M313),1,"0000001",Holidays!A:A)+hour(M313+S$7-$B$1)/24+minute(M313)/1440),"")</f>
        <v>46189.63266</v>
      </c>
      <c r="T313" s="104">
        <v>46189.48858734954</v>
      </c>
      <c r="U313" s="105" t="s">
        <v>14</v>
      </c>
      <c r="V313" s="109">
        <f t="shared" si="2"/>
        <v>0</v>
      </c>
      <c r="W313" s="110" t="str">
        <f t="shared" si="3"/>
        <v>EMP5009 Rup Kumar Mandal</v>
      </c>
      <c r="X313" s="103">
        <f>if(S313,if(and(hour(S313+X$7)&gt;9.5,(hour(S313+X$7)&lt;19.5)),S313+X$7,_xlfn.workday.intl(int(S313),1,"0000001",Holidays!A:A)+hour(S313+X$7-$B$1)/24+minute(S313)/1440),"")</f>
        <v>46189.73683</v>
      </c>
      <c r="Y313" s="104">
        <v>46189.525992083334</v>
      </c>
      <c r="Z313" s="105" t="s">
        <v>14</v>
      </c>
      <c r="AA313" s="111">
        <f t="shared" si="4"/>
        <v>0</v>
      </c>
      <c r="AB313" s="110" t="str">
        <f t="shared" si="5"/>
        <v>EMP5009 Rup Kumar Mandal</v>
      </c>
      <c r="AC313" s="103">
        <f>if(X313,_xlfn.WORKDAY.INTL(X313,AC$7,"0000001",Holidays!A:A)+hour(X313)/24+MINUTE(X313)/1440,"")</f>
        <v>46190.73681</v>
      </c>
      <c r="AD313" s="104">
        <v>46189.819448124996</v>
      </c>
      <c r="AE313" s="105" t="s">
        <v>14</v>
      </c>
      <c r="AF313" s="111">
        <f t="shared" si="6"/>
        <v>0</v>
      </c>
      <c r="AG313" s="110" t="str">
        <f t="shared" si="7"/>
        <v>EMP5009 Rup Kumar Mandal</v>
      </c>
      <c r="AH313" s="103">
        <f>if(AC313,if(and(hour(AC313+AH$7)&gt;9.5,(hour(AC313+AH$7)&lt;19.5)),AC313+AH$7,_xlfn.workday.intl(int(AC313),1,"0000001",Holidays!A:A)+hour(AC313+AH$7-$B$1)/24+minute(AC313)/1440),"")</f>
        <v>46190.77847</v>
      </c>
      <c r="AI313" s="104">
        <v>46190.54095436343</v>
      </c>
      <c r="AJ313" s="105" t="s">
        <v>14</v>
      </c>
      <c r="AK313" s="111">
        <f t="shared" si="8"/>
        <v>0</v>
      </c>
      <c r="AL313" s="112" t="str">
        <f t="shared" si="9"/>
        <v>EMP5009 Rup Kumar Mandal</v>
      </c>
      <c r="AM313" s="113"/>
      <c r="AN313" s="114" t="s">
        <v>672</v>
      </c>
      <c r="AO313" s="115"/>
      <c r="AP313" s="115"/>
      <c r="AQ313" s="115"/>
      <c r="AR313" s="115"/>
      <c r="AS313" s="115"/>
      <c r="AT313" s="115"/>
      <c r="AU313" s="115"/>
      <c r="AV313" s="115"/>
      <c r="AW313" s="115"/>
      <c r="AX313" s="115"/>
      <c r="AY313" s="115"/>
    </row>
    <row r="314">
      <c r="A314" s="95">
        <f t="shared" si="11"/>
        <v>5265</v>
      </c>
      <c r="B314" s="96">
        <v>46189.46131168981</v>
      </c>
      <c r="C314" s="97" t="s">
        <v>1303</v>
      </c>
      <c r="D314" s="97" t="s">
        <v>277</v>
      </c>
      <c r="E314" s="98" t="s">
        <v>1850</v>
      </c>
      <c r="F314" s="97"/>
      <c r="G314" s="97" t="s">
        <v>88</v>
      </c>
      <c r="H314" s="99" t="s">
        <v>126</v>
      </c>
      <c r="I314" s="100" t="s">
        <v>64</v>
      </c>
      <c r="J314" s="101" t="s">
        <v>67</v>
      </c>
      <c r="K314" s="100"/>
      <c r="L314" s="102" t="s">
        <v>1851</v>
      </c>
      <c r="M314" s="103">
        <f>if(B314,if(and(hour(B314+M$7)&gt;9.5,(hour(B314+M$7)&lt;19.5)),B314+M$7,_xlfn.workday.intl(int(B314),1,"0000001",Holidays!A:A)+hour(B314+M$7-$B$1)/24+minute(B314)/1440),"")</f>
        <v>46189.62798</v>
      </c>
      <c r="N314" s="104">
        <v>46189.48845642361</v>
      </c>
      <c r="O314" s="105" t="s">
        <v>14</v>
      </c>
      <c r="P314" s="106">
        <f t="shared" si="1"/>
        <v>0</v>
      </c>
      <c r="Q314" s="107" t="s">
        <v>72</v>
      </c>
      <c r="R314" s="108" t="s">
        <v>434</v>
      </c>
      <c r="S314" s="103">
        <f>if(M314,if(and(hour(M314+S$7)&gt;9.5,(hour(M314+S$7)&lt;19.5)),M314+S$7,_xlfn.workday.intl(int(M314),1,"0000001",Holidays!A:A)+hour(M314+S$7-$B$1)/24+minute(M314)/1440),"")</f>
        <v>46189.63492</v>
      </c>
      <c r="T314" s="104">
        <v>46189.48860670139</v>
      </c>
      <c r="U314" s="105" t="s">
        <v>14</v>
      </c>
      <c r="V314" s="109">
        <f t="shared" si="2"/>
        <v>0</v>
      </c>
      <c r="W314" s="110" t="str">
        <f t="shared" si="3"/>
        <v>EMP5009 Rup Kumar Mandal</v>
      </c>
      <c r="X314" s="103">
        <f>if(S314,if(and(hour(S314+X$7)&gt;9.5,(hour(S314+X$7)&lt;19.5)),S314+X$7,_xlfn.workday.intl(int(S314),1,"0000001",Holidays!A:A)+hour(S314+X$7-$B$1)/24+minute(S314)/1440),"")</f>
        <v>46189.73909</v>
      </c>
      <c r="Y314" s="104">
        <v>46189.5260115625</v>
      </c>
      <c r="Z314" s="105" t="s">
        <v>14</v>
      </c>
      <c r="AA314" s="111">
        <f t="shared" si="4"/>
        <v>0</v>
      </c>
      <c r="AB314" s="110" t="str">
        <f t="shared" si="5"/>
        <v>EMP5009 Rup Kumar Mandal</v>
      </c>
      <c r="AC314" s="103">
        <f>if(X314,_xlfn.WORKDAY.INTL(X314,AC$7,"0000001",Holidays!A:A)+hour(X314)/24+MINUTE(X314)/1440,"")</f>
        <v>46190.73889</v>
      </c>
      <c r="AD314" s="104">
        <v>46189.819460949075</v>
      </c>
      <c r="AE314" s="105" t="s">
        <v>14</v>
      </c>
      <c r="AF314" s="111">
        <f t="shared" si="6"/>
        <v>0</v>
      </c>
      <c r="AG314" s="110" t="str">
        <f t="shared" si="7"/>
        <v>EMP5009 Rup Kumar Mandal</v>
      </c>
      <c r="AH314" s="103">
        <f>if(AC314,if(and(hour(AC314+AH$7)&gt;9.5,(hour(AC314+AH$7)&lt;19.5)),AC314+AH$7,_xlfn.workday.intl(int(AC314),1,"0000001",Holidays!A:A)+hour(AC314+AH$7-$B$1)/24+minute(AC314)/1440),"")</f>
        <v>46190.78056</v>
      </c>
      <c r="AI314" s="104">
        <v>46190.54097707176</v>
      </c>
      <c r="AJ314" s="105" t="s">
        <v>14</v>
      </c>
      <c r="AK314" s="111">
        <f t="shared" si="8"/>
        <v>0</v>
      </c>
      <c r="AL314" s="112" t="str">
        <f t="shared" si="9"/>
        <v>EMP5009 Rup Kumar Mandal</v>
      </c>
      <c r="AM314" s="113"/>
      <c r="AN314" s="114" t="s">
        <v>672</v>
      </c>
      <c r="AO314" s="115"/>
      <c r="AP314" s="115"/>
      <c r="AQ314" s="115"/>
      <c r="AR314" s="115"/>
      <c r="AS314" s="115"/>
      <c r="AT314" s="115"/>
      <c r="AU314" s="115"/>
      <c r="AV314" s="115"/>
      <c r="AW314" s="115"/>
      <c r="AX314" s="115"/>
      <c r="AY314" s="115"/>
    </row>
    <row r="315">
      <c r="A315" s="95">
        <f t="shared" si="11"/>
        <v>5266</v>
      </c>
      <c r="B315" s="96">
        <v>46189.60130928241</v>
      </c>
      <c r="C315" s="97" t="s">
        <v>1308</v>
      </c>
      <c r="D315" s="97" t="s">
        <v>225</v>
      </c>
      <c r="E315" s="98" t="s">
        <v>1854</v>
      </c>
      <c r="F315" s="97"/>
      <c r="G315" s="97" t="s">
        <v>1855</v>
      </c>
      <c r="H315" s="99" t="s">
        <v>138</v>
      </c>
      <c r="I315" s="100" t="s">
        <v>64</v>
      </c>
      <c r="J315" s="101" t="s">
        <v>223</v>
      </c>
      <c r="K315" s="100"/>
      <c r="L315" s="102" t="s">
        <v>1856</v>
      </c>
      <c r="M315" s="103">
        <f>if(B315,if(and(hour(B315+M$7)&gt;9.5,(hour(B315+M$7)&lt;19.5)),B315+M$7,_xlfn.workday.intl(int(B315),1,"0000001",Holidays!A:A)+hour(B315+M$7-$B$1)/24+minute(B315)/1440),"")</f>
        <v>46189.76798</v>
      </c>
      <c r="N315" s="104">
        <v>46189.62555165509</v>
      </c>
      <c r="O315" s="105" t="s">
        <v>14</v>
      </c>
      <c r="P315" s="106">
        <f t="shared" si="1"/>
        <v>0</v>
      </c>
      <c r="Q315" s="107" t="s">
        <v>72</v>
      </c>
      <c r="R315" s="108" t="s">
        <v>434</v>
      </c>
      <c r="S315" s="103">
        <f>if(M315,if(and(hour(M315+S$7)&gt;9.5,(hour(M315+S$7)&lt;19.5)),M315+S$7,_xlfn.workday.intl(int(M315),1,"0000001",Holidays!A:A)+hour(M315+S$7-$B$1)/24+minute(M315)/1440),"")</f>
        <v>46189.77492</v>
      </c>
      <c r="T315" s="104">
        <v>46189.62560140046</v>
      </c>
      <c r="U315" s="105" t="s">
        <v>14</v>
      </c>
      <c r="V315" s="109">
        <f t="shared" si="2"/>
        <v>0</v>
      </c>
      <c r="W315" s="110" t="str">
        <f t="shared" si="3"/>
        <v>EMP5009 Rup Kumar Mandal</v>
      </c>
      <c r="X315" s="103">
        <f>if(S315,if(and(hour(S315+X$7)&gt;9.5,(hour(S315+X$7)&lt;19.5)),S315+X$7,_xlfn.workday.intl(int(S315),1,"0000001",Holidays!A:A)+hour(S315+X$7-$B$1)/24+minute(S315)/1440),"")</f>
        <v>46190.48264</v>
      </c>
      <c r="Y315" s="104">
        <v>46189.631185763894</v>
      </c>
      <c r="Z315" s="105" t="s">
        <v>14</v>
      </c>
      <c r="AA315" s="111">
        <f t="shared" si="4"/>
        <v>0</v>
      </c>
      <c r="AB315" s="110" t="str">
        <f t="shared" si="5"/>
        <v>EMP5009 Rup Kumar Mandal</v>
      </c>
      <c r="AC315" s="103">
        <f>if(X315,_xlfn.WORKDAY.INTL(X315,AC$7,"0000001",Holidays!A:A)+hour(X315)/24+MINUTE(X315)/1440,"")</f>
        <v>46191.48264</v>
      </c>
      <c r="AD315" s="104">
        <v>46189.63121407408</v>
      </c>
      <c r="AE315" s="105" t="s">
        <v>14</v>
      </c>
      <c r="AF315" s="111">
        <f t="shared" si="6"/>
        <v>0</v>
      </c>
      <c r="AG315" s="110" t="str">
        <f t="shared" si="7"/>
        <v>EMP5009 Rup Kumar Mandal</v>
      </c>
      <c r="AH315" s="103">
        <f>if(AC315,if(and(hour(AC315+AH$7)&gt;9.5,(hour(AC315+AH$7)&lt;19.5)),AC315+AH$7,_xlfn.workday.intl(int(AC315),1,"0000001",Holidays!A:A)+hour(AC315+AH$7-$B$1)/24+minute(AC315)/1440),"")</f>
        <v>46191.52431</v>
      </c>
      <c r="AI315" s="104">
        <v>46189.63123452546</v>
      </c>
      <c r="AJ315" s="105" t="s">
        <v>14</v>
      </c>
      <c r="AK315" s="111">
        <f t="shared" si="8"/>
        <v>0</v>
      </c>
      <c r="AL315" s="112" t="str">
        <f t="shared" si="9"/>
        <v>EMP5009 Rup Kumar Mandal</v>
      </c>
      <c r="AM315" s="113"/>
      <c r="AN315" s="114" t="s">
        <v>672</v>
      </c>
      <c r="AO315" s="115"/>
      <c r="AP315" s="115"/>
      <c r="AQ315" s="115"/>
      <c r="AR315" s="115"/>
      <c r="AS315" s="115"/>
      <c r="AT315" s="115"/>
      <c r="AU315" s="115"/>
      <c r="AV315" s="115"/>
      <c r="AW315" s="115"/>
      <c r="AX315" s="115"/>
      <c r="AY315" s="115"/>
    </row>
    <row r="316" ht="66.0" customHeight="1">
      <c r="A316" s="95">
        <f t="shared" si="11"/>
        <v>5267</v>
      </c>
      <c r="B316" s="96">
        <v>46189.693341273145</v>
      </c>
      <c r="C316" s="97" t="s">
        <v>1864</v>
      </c>
      <c r="D316" s="97" t="s">
        <v>186</v>
      </c>
      <c r="E316" s="98" t="s">
        <v>1859</v>
      </c>
      <c r="F316" s="97"/>
      <c r="G316" s="97" t="s">
        <v>1862</v>
      </c>
      <c r="H316" s="99" t="s">
        <v>147</v>
      </c>
      <c r="I316" s="100" t="s">
        <v>64</v>
      </c>
      <c r="J316" s="101" t="s">
        <v>1178</v>
      </c>
      <c r="K316" s="100"/>
      <c r="L316" s="102" t="s">
        <v>1863</v>
      </c>
      <c r="M316" s="103">
        <f>if(B316,if(and(hour(B316+M$7)&gt;9.5,(hour(B316+M$7)&lt;19.5)),B316+M$7,_xlfn.workday.intl(int(B316),1,"0000001",Holidays!A:A)+hour(B316+M$7-$B$1)/24+minute(B316)/1440),"")</f>
        <v>46190.44306</v>
      </c>
      <c r="N316" s="104">
        <v>46189.81911773148</v>
      </c>
      <c r="O316" s="105" t="s">
        <v>14</v>
      </c>
      <c r="P316" s="106">
        <f t="shared" si="1"/>
        <v>0</v>
      </c>
      <c r="Q316" s="107" t="s">
        <v>15</v>
      </c>
      <c r="R316" s="108" t="s">
        <v>434</v>
      </c>
      <c r="S316" s="103">
        <f>if(M316,if(and(hour(M316+S$7)&gt;9.5,(hour(M316+S$7)&lt;19.5)),M316+S$7,_xlfn.workday.intl(int(M316),1,"0000001",Holidays!A:A)+hour(M316+S$7-$B$1)/24+minute(M316)/1440),"")</f>
        <v>46190.45</v>
      </c>
      <c r="T316" s="104">
        <v>46189.81917236111</v>
      </c>
      <c r="U316" s="105" t="s">
        <v>14</v>
      </c>
      <c r="V316" s="109">
        <f t="shared" si="2"/>
        <v>0</v>
      </c>
      <c r="W316" s="110" t="str">
        <f t="shared" si="3"/>
        <v>EMP0042 HULESHWAR KUMAR SAHU</v>
      </c>
      <c r="X316" s="103">
        <f>if(S316,if(and(hour(S316+X$7)&gt;9.5,(hour(S316+X$7)&lt;19.5)),S316+X$7,_xlfn.workday.intl(int(S316),1,"0000001",Holidays!A:A)+hour(S316+X$7-$B$1)/24+minute(S316)/1440),"")</f>
        <v>46190.55417</v>
      </c>
      <c r="Y316" s="104">
        <v>46189.819224363426</v>
      </c>
      <c r="Z316" s="105" t="s">
        <v>14</v>
      </c>
      <c r="AA316" s="111">
        <f t="shared" si="4"/>
        <v>0</v>
      </c>
      <c r="AB316" s="110" t="str">
        <f t="shared" si="5"/>
        <v>EMP0042 HULESHWAR KUMAR SAHU</v>
      </c>
      <c r="AC316" s="103">
        <f>if(X316,_xlfn.WORKDAY.INTL(X316,AC$7,"0000001",Holidays!A:A)+hour(X316)/24+MINUTE(X316)/1440,"")</f>
        <v>46191.55417</v>
      </c>
      <c r="AD316" s="104">
        <v>46189.8192490625</v>
      </c>
      <c r="AE316" s="105" t="s">
        <v>14</v>
      </c>
      <c r="AF316" s="111">
        <f t="shared" si="6"/>
        <v>0</v>
      </c>
      <c r="AG316" s="110" t="str">
        <f t="shared" si="7"/>
        <v>EMP0042 HULESHWAR KUMAR SAHU</v>
      </c>
      <c r="AH316" s="103">
        <f>if(AC316,if(and(hour(AC316+AH$7)&gt;9.5,(hour(AC316+AH$7)&lt;19.5)),AC316+AH$7,_xlfn.workday.intl(int(AC316),1,"0000001",Holidays!A:A)+hour(AC316+AH$7-$B$1)/24+minute(AC316)/1440),"")</f>
        <v>46191.59583</v>
      </c>
      <c r="AI316" s="104">
        <v>46190.54514505787</v>
      </c>
      <c r="AJ316" s="105" t="s">
        <v>14</v>
      </c>
      <c r="AK316" s="111">
        <f t="shared" si="8"/>
        <v>0</v>
      </c>
      <c r="AL316" s="112" t="str">
        <f t="shared" si="9"/>
        <v>EMP0042 HULESHWAR KUMAR SAHU</v>
      </c>
      <c r="AM316" s="113"/>
      <c r="AN316" s="114" t="s">
        <v>672</v>
      </c>
      <c r="AO316" s="115"/>
      <c r="AP316" s="115"/>
      <c r="AQ316" s="115"/>
      <c r="AR316" s="115"/>
      <c r="AS316" s="115"/>
      <c r="AT316" s="115"/>
      <c r="AU316" s="115"/>
      <c r="AV316" s="115"/>
      <c r="AW316" s="115"/>
      <c r="AX316" s="115"/>
      <c r="AY316" s="115"/>
    </row>
    <row r="317" ht="76.5" customHeight="1">
      <c r="A317" s="95">
        <f t="shared" si="11"/>
        <v>5268</v>
      </c>
      <c r="B317" s="96">
        <v>46190.4826596412</v>
      </c>
      <c r="C317" s="97" t="s">
        <v>1287</v>
      </c>
      <c r="D317" s="97" t="s">
        <v>186</v>
      </c>
      <c r="E317" s="98" t="s">
        <v>1866</v>
      </c>
      <c r="F317" s="97"/>
      <c r="G317" s="97" t="s">
        <v>1867</v>
      </c>
      <c r="H317" s="99" t="s">
        <v>126</v>
      </c>
      <c r="I317" s="100" t="s">
        <v>64</v>
      </c>
      <c r="J317" s="101" t="s">
        <v>1865</v>
      </c>
      <c r="K317" s="100"/>
      <c r="L317" s="102" t="s">
        <v>1868</v>
      </c>
      <c r="M317" s="103">
        <f>if(B317,if(and(hour(B317+M$7)&gt;9.5,(hour(B317+M$7)&lt;19.5)),B317+M$7,_xlfn.workday.intl(int(B317),1,"0000001",Holidays!A:A)+hour(B317+M$7-$B$1)/24+minute(B317)/1440),"")</f>
        <v>46190.64933</v>
      </c>
      <c r="N317" s="104">
        <v>46190.5109540625</v>
      </c>
      <c r="O317" s="105" t="s">
        <v>14</v>
      </c>
      <c r="P317" s="106">
        <f t="shared" si="1"/>
        <v>0</v>
      </c>
      <c r="Q317" s="107" t="s">
        <v>15</v>
      </c>
      <c r="R317" s="108" t="s">
        <v>434</v>
      </c>
      <c r="S317" s="103">
        <f>if(M317,if(and(hour(M317+S$7)&gt;9.5,(hour(M317+S$7)&lt;19.5)),M317+S$7,_xlfn.workday.intl(int(M317),1,"0000001",Holidays!A:A)+hour(M317+S$7-$B$1)/24+minute(M317)/1440),"")</f>
        <v>46190.65627</v>
      </c>
      <c r="T317" s="104">
        <v>46190.51109101852</v>
      </c>
      <c r="U317" s="105" t="s">
        <v>14</v>
      </c>
      <c r="V317" s="109">
        <f t="shared" si="2"/>
        <v>0</v>
      </c>
      <c r="W317" s="110" t="str">
        <f t="shared" si="3"/>
        <v>EMP0042 HULESHWAR KUMAR SAHU</v>
      </c>
      <c r="X317" s="103">
        <f>if(S317,if(and(hour(S317+X$7)&gt;9.5,(hour(S317+X$7)&lt;19.5)),S317+X$7,_xlfn.workday.intl(int(S317),1,"0000001",Holidays!A:A)+hour(S317+X$7-$B$1)/24+minute(S317)/1440),"")</f>
        <v>46190.76044</v>
      </c>
      <c r="Y317" s="103">
        <f>if(T317,if(and(hour(T317+Y$7)&gt;9.5,(hour(T317+Y$7)&lt;19.5)),T317+Y$7,_xlfn.workday.intl(int(T317),1,"0000001",Holidays!B:B)+hour(T317+Y$7-$B$1)/24+minute(T317)/1440),"")</f>
        <v>46190.51109</v>
      </c>
      <c r="Z317" s="105" t="s">
        <v>14</v>
      </c>
      <c r="AA317" s="111">
        <f t="shared" si="4"/>
        <v>0</v>
      </c>
      <c r="AB317" s="110" t="str">
        <f t="shared" si="5"/>
        <v>EMP0042 HULESHWAR KUMAR SAHU</v>
      </c>
      <c r="AC317" s="103">
        <f>if(X317,_xlfn.WORKDAY.INTL(X317,AC$7,"0000001",Holidays!A:A)+hour(X317)/24+MINUTE(X317)/1440,"")</f>
        <v>46191.76042</v>
      </c>
      <c r="AD317" s="104">
        <v>46190.71120106481</v>
      </c>
      <c r="AE317" s="105" t="s">
        <v>14</v>
      </c>
      <c r="AF317" s="111">
        <f t="shared" si="6"/>
        <v>0</v>
      </c>
      <c r="AG317" s="110" t="str">
        <f t="shared" si="7"/>
        <v>EMP0042 HULESHWAR KUMAR SAHU</v>
      </c>
      <c r="AH317" s="103">
        <f>if(AC317,if(and(hour(AC317+AH$7)&gt;9.5,(hour(AC317+AH$7)&lt;19.5)),AC317+AH$7,_xlfn.workday.intl(int(AC317),1,"0000001",Holidays!A:A)+hour(AC317+AH$7-$B$1)/24+minute(AC317)/1440),"")</f>
        <v>46191.80208</v>
      </c>
      <c r="AI317" s="104">
        <v>46191.52180509259</v>
      </c>
      <c r="AJ317" s="105" t="s">
        <v>14</v>
      </c>
      <c r="AK317" s="111">
        <f t="shared" si="8"/>
        <v>0</v>
      </c>
      <c r="AL317" s="112" t="str">
        <f t="shared" si="9"/>
        <v>EMP0042 HULESHWAR KUMAR SAHU</v>
      </c>
      <c r="AM317" s="113"/>
      <c r="AN317" s="114" t="s">
        <v>672</v>
      </c>
      <c r="AO317" s="115"/>
      <c r="AP317" s="115"/>
      <c r="AQ317" s="115"/>
      <c r="AR317" s="115"/>
      <c r="AS317" s="115"/>
      <c r="AT317" s="115"/>
      <c r="AU317" s="115"/>
      <c r="AV317" s="115"/>
      <c r="AW317" s="115"/>
      <c r="AX317" s="115"/>
      <c r="AY317" s="115"/>
    </row>
    <row r="318">
      <c r="A318" s="95">
        <f t="shared" si="11"/>
        <v>5269</v>
      </c>
      <c r="B318" s="96">
        <v>46190.61820399306</v>
      </c>
      <c r="C318" s="289">
        <v>3.0013382E7</v>
      </c>
      <c r="D318" s="97" t="s">
        <v>255</v>
      </c>
      <c r="E318" s="98" t="s">
        <v>1871</v>
      </c>
      <c r="F318" s="97"/>
      <c r="G318" s="97" t="s">
        <v>330</v>
      </c>
      <c r="H318" s="99" t="s">
        <v>138</v>
      </c>
      <c r="I318" s="100" t="s">
        <v>64</v>
      </c>
      <c r="J318" s="101" t="s">
        <v>254</v>
      </c>
      <c r="K318" s="100"/>
      <c r="L318" s="102" t="s">
        <v>1874</v>
      </c>
      <c r="M318" s="103">
        <f>if(B318,if(and(hour(B318+M$7)&gt;9.5,(hour(B318+M$7)&lt;19.5)),B318+M$7,_xlfn.workday.intl(int(B318),1,"0000001",Holidays!A:A)+hour(B318+M$7-$B$1)/24+minute(B318)/1440),"")</f>
        <v>46190.78487</v>
      </c>
      <c r="N318" s="104">
        <v>46190.72489045138</v>
      </c>
      <c r="O318" s="105" t="s">
        <v>14</v>
      </c>
      <c r="P318" s="106">
        <f t="shared" si="1"/>
        <v>0</v>
      </c>
      <c r="Q318" s="107" t="s">
        <v>15</v>
      </c>
      <c r="R318" s="108" t="s">
        <v>434</v>
      </c>
      <c r="S318" s="103">
        <f>if(M318,if(and(hour(M318+S$7)&gt;9.5,(hour(M318+S$7)&lt;19.5)),M318+S$7,_xlfn.workday.intl(int(M318),1,"0000001",Holidays!A:A)+hour(M318+S$7-$B$1)/24+minute(M318)/1440),"")</f>
        <v>46190.79182</v>
      </c>
      <c r="T318" s="104">
        <v>46190.72508150463</v>
      </c>
      <c r="U318" s="105" t="s">
        <v>14</v>
      </c>
      <c r="V318" s="109">
        <f t="shared" si="2"/>
        <v>0</v>
      </c>
      <c r="W318" s="110" t="str">
        <f t="shared" si="3"/>
        <v>EMP0042 HULESHWAR KUMAR SAHU</v>
      </c>
      <c r="X318" s="103">
        <f>if(S318,if(and(hour(S318+X$7)&gt;9.5,(hour(S318+X$7)&lt;19.5)),S318+X$7,_xlfn.workday.intl(int(S318),1,"0000001",Holidays!A:A)+hour(S318+X$7-$B$1)/24+minute(S318)/1440),"")</f>
        <v>46191.45833</v>
      </c>
      <c r="Y318" s="104">
        <v>46191.43800925926</v>
      </c>
      <c r="Z318" s="105" t="s">
        <v>14</v>
      </c>
      <c r="AA318" s="111">
        <f t="shared" si="4"/>
        <v>0</v>
      </c>
      <c r="AB318" s="110" t="str">
        <f t="shared" si="5"/>
        <v>EMP0042 HULESHWAR KUMAR SAHU</v>
      </c>
      <c r="AC318" s="103">
        <f>if(X318,_xlfn.WORKDAY.INTL(X318,AC$7,"0000001",Holidays!A:A)+hour(X318)/24+MINUTE(X318)/1440,"")</f>
        <v>46192.45833</v>
      </c>
      <c r="AD318" s="104">
        <v>46191.521619837964</v>
      </c>
      <c r="AE318" s="105" t="s">
        <v>14</v>
      </c>
      <c r="AF318" s="111">
        <f t="shared" si="6"/>
        <v>0</v>
      </c>
      <c r="AG318" s="110" t="str">
        <f t="shared" si="7"/>
        <v>EMP0042 HULESHWAR KUMAR SAHU</v>
      </c>
      <c r="AH318" s="103">
        <f>if(AC318,if(and(hour(AC318+AH$7)&gt;9.5,(hour(AC318+AH$7)&lt;19.5)),AC318+AH$7,_xlfn.workday.intl(int(AC318),1,"0000001",Holidays!A:A)+hour(AC318+AH$7-$B$1)/24+minute(AC318)/1440),"")</f>
        <v>46192.5</v>
      </c>
      <c r="AI318" s="104">
        <v>46191.521747349536</v>
      </c>
      <c r="AJ318" s="105" t="s">
        <v>14</v>
      </c>
      <c r="AK318" s="111">
        <f t="shared" si="8"/>
        <v>0</v>
      </c>
      <c r="AL318" s="112" t="str">
        <f t="shared" si="9"/>
        <v>EMP0042 HULESHWAR KUMAR SAHU</v>
      </c>
      <c r="AM318" s="113"/>
      <c r="AN318" s="114" t="s">
        <v>672</v>
      </c>
      <c r="AO318" s="115"/>
      <c r="AP318" s="115"/>
      <c r="AQ318" s="115"/>
      <c r="AR318" s="115"/>
      <c r="AS318" s="115"/>
      <c r="AT318" s="115"/>
      <c r="AU318" s="115"/>
      <c r="AV318" s="115"/>
      <c r="AW318" s="115"/>
      <c r="AX318" s="115"/>
      <c r="AY318" s="115"/>
    </row>
    <row r="319">
      <c r="A319" s="95">
        <f t="shared" si="11"/>
        <v>5270</v>
      </c>
      <c r="B319" s="96">
        <v>46190.65294034722</v>
      </c>
      <c r="C319" s="97" t="s">
        <v>1321</v>
      </c>
      <c r="D319" s="97" t="s">
        <v>142</v>
      </c>
      <c r="E319" s="98" t="s">
        <v>1876</v>
      </c>
      <c r="F319" s="97"/>
      <c r="G319" s="97" t="s">
        <v>1878</v>
      </c>
      <c r="H319" s="99" t="s">
        <v>62</v>
      </c>
      <c r="I319" s="100" t="s">
        <v>324</v>
      </c>
      <c r="J319" s="101" t="s">
        <v>1790</v>
      </c>
      <c r="K319" s="100"/>
      <c r="L319" s="102" t="s">
        <v>1879</v>
      </c>
      <c r="M319" s="103">
        <f>if(B319,if(and(hour(B319+M$7)&gt;9.5,(hour(B319+M$7)&lt;19.5)),B319+M$7,_xlfn.workday.intl(int(B319),1,"0000001",Holidays!A:A)+hour(B319+M$7-$B$1)/24+minute(B319)/1440),"")</f>
        <v>46190.81961</v>
      </c>
      <c r="N319" s="104">
        <v>46190.724920243054</v>
      </c>
      <c r="O319" s="105" t="s">
        <v>14</v>
      </c>
      <c r="P319" s="106">
        <f t="shared" si="1"/>
        <v>0</v>
      </c>
      <c r="Q319" s="107" t="s">
        <v>15</v>
      </c>
      <c r="R319" s="108" t="s">
        <v>434</v>
      </c>
      <c r="S319" s="103">
        <f>if(M319,if(and(hour(M319+S$7)&gt;9.5,(hour(M319+S$7)&lt;19.5)),M319+S$7,_xlfn.workday.intl(int(M319),1,"0000001",Holidays!A:A)+hour(M319+S$7-$B$1)/24+minute(M319)/1440),"")</f>
        <v>46190.82655</v>
      </c>
      <c r="T319" s="104">
        <v>46190.72510083333</v>
      </c>
      <c r="U319" s="105" t="s">
        <v>14</v>
      </c>
      <c r="V319" s="109">
        <f t="shared" si="2"/>
        <v>0</v>
      </c>
      <c r="W319" s="110" t="str">
        <f t="shared" si="3"/>
        <v>EMP0042 HULESHWAR KUMAR SAHU</v>
      </c>
      <c r="X319" s="103">
        <f>if(S319,if(and(hour(S319+X$7)&gt;9.5,(hour(S319+X$7)&lt;19.5)),S319+X$7,_xlfn.workday.intl(int(S319),1,"0000001",Holidays!A:A)+hour(S319+X$7-$B$1)/24+minute(S319)/1440),"")</f>
        <v>46191.53472</v>
      </c>
      <c r="Y319" s="104">
        <v>46191.52134150463</v>
      </c>
      <c r="Z319" s="105" t="s">
        <v>14</v>
      </c>
      <c r="AA319" s="111">
        <f t="shared" si="4"/>
        <v>0</v>
      </c>
      <c r="AB319" s="110" t="str">
        <f t="shared" si="5"/>
        <v>EMP0042 HULESHWAR KUMAR SAHU</v>
      </c>
      <c r="AC319" s="103">
        <f>if(X319,_xlfn.WORKDAY.INTL(X319,AC$7,"0000001",Holidays!A:A)+hour(X319)/24+MINUTE(X319)/1440,"")</f>
        <v>46192.53472</v>
      </c>
      <c r="AD319" s="104">
        <v>46191.70963677083</v>
      </c>
      <c r="AE319" s="105" t="s">
        <v>14</v>
      </c>
      <c r="AF319" s="111">
        <f t="shared" si="6"/>
        <v>0</v>
      </c>
      <c r="AG319" s="110" t="str">
        <f t="shared" si="7"/>
        <v>EMP0042 HULESHWAR KUMAR SAHU</v>
      </c>
      <c r="AH319" s="103">
        <f>if(AC319,if(and(hour(AC319+AH$7)&gt;9.5,(hour(AC319+AH$7)&lt;19.5)),AC319+AH$7,_xlfn.workday.intl(int(AC319),1,"0000001",Holidays!A:A)+hour(AC319+AH$7-$B$1)/24+minute(AC319)/1440),"")</f>
        <v>46192.57639</v>
      </c>
      <c r="AI319" s="104">
        <v>46191.7097059838</v>
      </c>
      <c r="AJ319" s="105" t="s">
        <v>14</v>
      </c>
      <c r="AK319" s="111">
        <f t="shared" si="8"/>
        <v>0</v>
      </c>
      <c r="AL319" s="112" t="str">
        <f t="shared" si="9"/>
        <v>EMP0042 HULESHWAR KUMAR SAHU</v>
      </c>
      <c r="AM319" s="113"/>
      <c r="AN319" s="114" t="s">
        <v>672</v>
      </c>
      <c r="AO319" s="115"/>
      <c r="AP319" s="115"/>
      <c r="AQ319" s="115"/>
      <c r="AR319" s="115"/>
      <c r="AS319" s="115"/>
      <c r="AT319" s="115"/>
      <c r="AU319" s="115"/>
      <c r="AV319" s="115"/>
      <c r="AW319" s="115"/>
      <c r="AX319" s="115"/>
      <c r="AY319" s="115"/>
    </row>
    <row r="320">
      <c r="A320" s="95">
        <f t="shared" si="11"/>
        <v>5271</v>
      </c>
      <c r="B320" s="96">
        <v>46191.51223396991</v>
      </c>
      <c r="C320" s="97" t="s">
        <v>1883</v>
      </c>
      <c r="D320" s="97" t="s">
        <v>1587</v>
      </c>
      <c r="E320" s="98" t="s">
        <v>1880</v>
      </c>
      <c r="F320" s="97"/>
      <c r="G320" s="97" t="s">
        <v>648</v>
      </c>
      <c r="H320" s="99" t="s">
        <v>668</v>
      </c>
      <c r="I320" s="100" t="s">
        <v>64</v>
      </c>
      <c r="J320" s="101" t="s">
        <v>662</v>
      </c>
      <c r="K320" s="100"/>
      <c r="L320" s="102" t="s">
        <v>1882</v>
      </c>
      <c r="M320" s="103">
        <f>if(B320,if(and(hour(B320+M$7)&gt;9.5,(hour(B320+M$7)&lt;19.5)),B320+M$7,_xlfn.workday.intl(int(B320),1,"0000001",Holidays!A:A)+hour(B320+M$7-$B$1)/24+minute(B320)/1440),"")</f>
        <v>46191.6789</v>
      </c>
      <c r="N320" s="104">
        <v>46191.513196099535</v>
      </c>
      <c r="O320" s="105" t="s">
        <v>14</v>
      </c>
      <c r="P320" s="106">
        <f t="shared" si="1"/>
        <v>0</v>
      </c>
      <c r="Q320" s="107" t="s">
        <v>72</v>
      </c>
      <c r="R320" s="108" t="s">
        <v>434</v>
      </c>
      <c r="S320" s="103">
        <f>if(M320,if(and(hour(M320+S$7)&gt;9.5,(hour(M320+S$7)&lt;19.5)),M320+S$7,_xlfn.workday.intl(int(M320),1,"0000001",Holidays!A:A)+hour(M320+S$7-$B$1)/24+minute(M320)/1440),"")</f>
        <v>46191.68585</v>
      </c>
      <c r="T320" s="104">
        <v>46191.51322987268</v>
      </c>
      <c r="U320" s="105" t="s">
        <v>14</v>
      </c>
      <c r="V320" s="109">
        <f t="shared" si="2"/>
        <v>0</v>
      </c>
      <c r="W320" s="110" t="str">
        <f t="shared" si="3"/>
        <v>EMP5009 Rup Kumar Mandal</v>
      </c>
      <c r="X320" s="103">
        <f>if(S320,if(and(hour(S320+X$7)&gt;9.5,(hour(S320+X$7)&lt;19.5)),S320+X$7,_xlfn.workday.intl(int(S320),1,"0000001",Holidays!A:A)+hour(S320+X$7-$B$1)/24+minute(S320)/1440),"")</f>
        <v>46191.79001</v>
      </c>
      <c r="Y320" s="104">
        <v>46191.51324944444</v>
      </c>
      <c r="Z320" s="105" t="s">
        <v>14</v>
      </c>
      <c r="AA320" s="111">
        <f t="shared" si="4"/>
        <v>0</v>
      </c>
      <c r="AB320" s="110" t="str">
        <f t="shared" si="5"/>
        <v>EMP5009 Rup Kumar Mandal</v>
      </c>
      <c r="AC320" s="103">
        <f>if(X320,_xlfn.WORKDAY.INTL(X320,AC$7,"0000001",Holidays!A:A)+hour(X320)/24+MINUTE(X320)/1440,"")</f>
        <v>46192.78958</v>
      </c>
      <c r="AD320" s="104">
        <v>46191.51327018518</v>
      </c>
      <c r="AE320" s="105" t="s">
        <v>14</v>
      </c>
      <c r="AF320" s="111">
        <f t="shared" si="6"/>
        <v>0</v>
      </c>
      <c r="AG320" s="110" t="str">
        <f t="shared" si="7"/>
        <v>EMP5009 Rup Kumar Mandal</v>
      </c>
      <c r="AH320" s="103">
        <f>if(AC320,if(and(hour(AC320+AH$7)&gt;9.5,(hour(AC320+AH$7)&lt;19.5)),AC320+AH$7,_xlfn.workday.intl(int(AC320),1,"0000001",Holidays!A:A)+hour(AC320+AH$7-$B$1)/24+minute(AC320)/1440),"")</f>
        <v>46192.83125</v>
      </c>
      <c r="AI320" s="104">
        <v>46192.64001657408</v>
      </c>
      <c r="AJ320" s="105" t="s">
        <v>14</v>
      </c>
      <c r="AK320" s="111">
        <f t="shared" si="8"/>
        <v>0</v>
      </c>
      <c r="AL320" s="112" t="str">
        <f t="shared" si="9"/>
        <v>EMP5009 Rup Kumar Mandal</v>
      </c>
      <c r="AM320" s="113"/>
      <c r="AN320" s="114" t="s">
        <v>672</v>
      </c>
      <c r="AO320" s="115"/>
      <c r="AP320" s="115"/>
      <c r="AQ320" s="115"/>
      <c r="AR320" s="115"/>
      <c r="AS320" s="115"/>
      <c r="AT320" s="115"/>
      <c r="AU320" s="115"/>
      <c r="AV320" s="115"/>
      <c r="AW320" s="115"/>
      <c r="AX320" s="115"/>
      <c r="AY320" s="115"/>
    </row>
    <row r="321">
      <c r="A321" s="95">
        <f t="shared" si="11"/>
        <v>5272</v>
      </c>
      <c r="B321" s="96">
        <v>46191.5182169676</v>
      </c>
      <c r="C321" s="97" t="s">
        <v>1330</v>
      </c>
      <c r="D321" s="97" t="s">
        <v>1212</v>
      </c>
      <c r="E321" s="98" t="s">
        <v>1884</v>
      </c>
      <c r="F321" s="97"/>
      <c r="G321" s="97" t="s">
        <v>1886</v>
      </c>
      <c r="H321" s="99" t="s">
        <v>138</v>
      </c>
      <c r="I321" s="100" t="s">
        <v>64</v>
      </c>
      <c r="J321" s="101" t="s">
        <v>1211</v>
      </c>
      <c r="K321" s="100"/>
      <c r="L321" s="102" t="s">
        <v>452</v>
      </c>
      <c r="M321" s="103">
        <f>if(B321,if(and(hour(B321+M$7)&gt;9.5,(hour(B321+M$7)&lt;19.5)),B321+M$7,_xlfn.workday.intl(int(B321),1,"0000001",Holidays!A:A)+hour(B321+M$7-$B$1)/24+minute(B321)/1440),"")</f>
        <v>46191.68488</v>
      </c>
      <c r="N321" s="104">
        <v>46191.52100978009</v>
      </c>
      <c r="O321" s="105" t="s">
        <v>14</v>
      </c>
      <c r="P321" s="106">
        <f t="shared" si="1"/>
        <v>0</v>
      </c>
      <c r="Q321" s="107" t="s">
        <v>15</v>
      </c>
      <c r="R321" s="108" t="s">
        <v>434</v>
      </c>
      <c r="S321" s="103">
        <f>if(M321,if(and(hour(M321+S$7)&gt;9.5,(hour(M321+S$7)&lt;19.5)),M321+S$7,_xlfn.workday.intl(int(M321),1,"0000001",Holidays!A:A)+hour(M321+S$7-$B$1)/24+minute(M321)/1440),"")</f>
        <v>46191.69183</v>
      </c>
      <c r="T321" s="104">
        <v>46191.52112340278</v>
      </c>
      <c r="U321" s="105" t="s">
        <v>14</v>
      </c>
      <c r="V321" s="109">
        <f t="shared" si="2"/>
        <v>0</v>
      </c>
      <c r="W321" s="110" t="str">
        <f t="shared" si="3"/>
        <v>EMP0042 HULESHWAR KUMAR SAHU</v>
      </c>
      <c r="X321" s="103">
        <f>if(S321,if(and(hour(S321+X$7)&gt;9.5,(hour(S321+X$7)&lt;19.5)),S321+X$7,_xlfn.workday.intl(int(S321),1,"0000001",Holidays!A:A)+hour(S321+X$7-$B$1)/24+minute(S321)/1440),"")</f>
        <v>46191.79599</v>
      </c>
      <c r="Y321" s="104">
        <v>46191.521371435185</v>
      </c>
      <c r="Z321" s="105" t="s">
        <v>14</v>
      </c>
      <c r="AA321" s="111">
        <f t="shared" si="4"/>
        <v>0</v>
      </c>
      <c r="AB321" s="110" t="str">
        <f t="shared" si="5"/>
        <v>EMP0042 HULESHWAR KUMAR SAHU</v>
      </c>
      <c r="AC321" s="103">
        <f>if(X321,_xlfn.WORKDAY.INTL(X321,AC$7,"0000001",Holidays!A:A)+hour(X321)/24+MINUTE(X321)/1440,"")</f>
        <v>46192.79583</v>
      </c>
      <c r="AD321" s="104">
        <v>46191.53271075232</v>
      </c>
      <c r="AE321" s="105" t="s">
        <v>14</v>
      </c>
      <c r="AF321" s="111">
        <f t="shared" si="6"/>
        <v>0</v>
      </c>
      <c r="AG321" s="110" t="str">
        <f t="shared" si="7"/>
        <v>EMP0042 HULESHWAR KUMAR SAHU</v>
      </c>
      <c r="AH321" s="103">
        <f>if(AC321,if(and(hour(AC321+AH$7)&gt;9.5,(hour(AC321+AH$7)&lt;19.5)),AC321+AH$7,_xlfn.workday.intl(int(AC321),1,"0000001",Holidays!A:A)+hour(AC321+AH$7-$B$1)/24+minute(AC321)/1440),"")</f>
        <v>46193.42083</v>
      </c>
      <c r="AI321" s="104">
        <v>46191.53275226852</v>
      </c>
      <c r="AJ321" s="105" t="s">
        <v>14</v>
      </c>
      <c r="AK321" s="111">
        <f t="shared" si="8"/>
        <v>0</v>
      </c>
      <c r="AL321" s="112" t="str">
        <f t="shared" si="9"/>
        <v>EMP0042 HULESHWAR KUMAR SAHU</v>
      </c>
      <c r="AM321" s="113"/>
      <c r="AN321" s="114" t="s">
        <v>672</v>
      </c>
      <c r="AO321" s="115"/>
      <c r="AP321" s="115"/>
      <c r="AQ321" s="115"/>
      <c r="AR321" s="115"/>
      <c r="AS321" s="115"/>
      <c r="AT321" s="115"/>
      <c r="AU321" s="115"/>
      <c r="AV321" s="115"/>
      <c r="AW321" s="115"/>
      <c r="AX321" s="115"/>
      <c r="AY321" s="115"/>
    </row>
    <row r="322">
      <c r="A322" s="95">
        <f t="shared" si="11"/>
        <v>5273</v>
      </c>
      <c r="B322" s="96">
        <v>46191.897326412036</v>
      </c>
      <c r="C322" s="97" t="s">
        <v>1334</v>
      </c>
      <c r="D322" s="97" t="s">
        <v>1887</v>
      </c>
      <c r="E322" s="98" t="s">
        <v>1888</v>
      </c>
      <c r="F322" s="97"/>
      <c r="G322" s="97" t="s">
        <v>1890</v>
      </c>
      <c r="H322" s="99" t="s">
        <v>126</v>
      </c>
      <c r="I322" s="100" t="s">
        <v>64</v>
      </c>
      <c r="J322" s="101" t="s">
        <v>1538</v>
      </c>
      <c r="K322" s="100"/>
      <c r="L322" s="102" t="s">
        <v>1891</v>
      </c>
      <c r="M322" s="103">
        <f>if(B322,if(and(hour(B322+M$7)&gt;9.5,(hour(B322+M$7)&lt;19.5)),B322+M$7,_xlfn.workday.intl(int(B322),1,"0000001",Holidays!A:A)+hour(B322+M$7-$B$1)/24+minute(B322)/1440),"")</f>
        <v>46192.64722</v>
      </c>
      <c r="N322" s="104">
        <v>46192.490397905094</v>
      </c>
      <c r="O322" s="105" t="s">
        <v>14</v>
      </c>
      <c r="P322" s="106">
        <f t="shared" si="1"/>
        <v>0</v>
      </c>
      <c r="Q322" s="107" t="s">
        <v>72</v>
      </c>
      <c r="R322" s="108" t="s">
        <v>434</v>
      </c>
      <c r="S322" s="103">
        <f>if(M322,if(and(hour(M322+S$7)&gt;9.5,(hour(M322+S$7)&lt;19.5)),M322+S$7,_xlfn.workday.intl(int(M322),1,"0000001",Holidays!A:A)+hour(M322+S$7-$B$1)/24+minute(M322)/1440),"")</f>
        <v>46192.65417</v>
      </c>
      <c r="T322" s="104">
        <v>46192.49048350695</v>
      </c>
      <c r="U322" s="105" t="s">
        <v>14</v>
      </c>
      <c r="V322" s="109">
        <f t="shared" si="2"/>
        <v>0</v>
      </c>
      <c r="W322" s="110" t="str">
        <f t="shared" si="3"/>
        <v>EMP5009 Rup Kumar Mandal</v>
      </c>
      <c r="X322" s="103">
        <f>if(S322,if(and(hour(S322+X$7)&gt;9.5,(hour(S322+X$7)&lt;19.5)),S322+X$7,_xlfn.workday.intl(int(S322),1,"0000001",Holidays!A:A)+hour(S322+X$7-$B$1)/24+minute(S322)/1440),"")</f>
        <v>46192.75833</v>
      </c>
      <c r="Y322" s="104">
        <v>46192.51566546297</v>
      </c>
      <c r="Z322" s="105" t="s">
        <v>14</v>
      </c>
      <c r="AA322" s="111">
        <f t="shared" si="4"/>
        <v>0</v>
      </c>
      <c r="AB322" s="110" t="str">
        <f t="shared" si="5"/>
        <v>EMP5009 Rup Kumar Mandal</v>
      </c>
      <c r="AC322" s="103">
        <f>if(X322,_xlfn.WORKDAY.INTL(X322,AC$7,"0000001",Holidays!A:A)+hour(X322)/24+MINUTE(X322)/1440,"")</f>
        <v>46193.75833</v>
      </c>
      <c r="AD322" s="104">
        <v>46192.515727418984</v>
      </c>
      <c r="AE322" s="105" t="s">
        <v>14</v>
      </c>
      <c r="AF322" s="111">
        <f t="shared" si="6"/>
        <v>0</v>
      </c>
      <c r="AG322" s="110" t="str">
        <f t="shared" si="7"/>
        <v>EMP5009 Rup Kumar Mandal</v>
      </c>
      <c r="AH322" s="103">
        <f>if(AC322,if(and(hour(AC322+AH$7)&gt;9.5,(hour(AC322+AH$7)&lt;19.5)),AC322+AH$7,_xlfn.workday.intl(int(AC322),1,"0000001",Holidays!A:A)+hour(AC322+AH$7-$B$1)/24+minute(AC322)/1440),"")+2-8/24</f>
        <v>46195.46667</v>
      </c>
      <c r="AI322" s="104">
        <v>46193.65237193287</v>
      </c>
      <c r="AJ322" s="105" t="s">
        <v>14</v>
      </c>
      <c r="AK322" s="111">
        <f t="shared" si="8"/>
        <v>0</v>
      </c>
      <c r="AL322" s="112" t="str">
        <f t="shared" si="9"/>
        <v>EMP5009 Rup Kumar Mandal</v>
      </c>
      <c r="AM322" s="113"/>
      <c r="AN322" s="114" t="s">
        <v>672</v>
      </c>
      <c r="AO322" s="115"/>
      <c r="AP322" s="115"/>
      <c r="AQ322" s="115"/>
      <c r="AR322" s="115"/>
      <c r="AS322" s="115"/>
      <c r="AT322" s="115"/>
      <c r="AU322" s="115"/>
      <c r="AV322" s="115"/>
      <c r="AW322" s="115"/>
      <c r="AX322" s="115"/>
      <c r="AY322" s="115"/>
    </row>
    <row r="323">
      <c r="A323" s="95">
        <f t="shared" si="11"/>
        <v>5274</v>
      </c>
      <c r="B323" s="96">
        <v>46192.61205408565</v>
      </c>
      <c r="C323" s="97" t="s">
        <v>1897</v>
      </c>
      <c r="D323" s="97" t="s">
        <v>1767</v>
      </c>
      <c r="E323" s="98" t="s">
        <v>1893</v>
      </c>
      <c r="F323" s="97"/>
      <c r="G323" s="97" t="s">
        <v>1895</v>
      </c>
      <c r="H323" s="99" t="s">
        <v>138</v>
      </c>
      <c r="I323" s="100" t="s">
        <v>64</v>
      </c>
      <c r="J323" s="101" t="s">
        <v>1892</v>
      </c>
      <c r="K323" s="100"/>
      <c r="L323" s="102" t="s">
        <v>1896</v>
      </c>
      <c r="M323" s="103">
        <f>if(B323,if(and(hour(B323+M$7)&gt;9.5,(hour(B323+M$7)&lt;19.5)),B323+M$7,_xlfn.workday.intl(int(B323),1,"0000001",Holidays!A:A)+hour(B323+M$7-$B$1)/24+minute(B323)/1440),"")</f>
        <v>46192.77872</v>
      </c>
      <c r="N323" s="104">
        <v>46192.61469681713</v>
      </c>
      <c r="O323" s="105" t="s">
        <v>14</v>
      </c>
      <c r="P323" s="106">
        <f t="shared" si="1"/>
        <v>0</v>
      </c>
      <c r="Q323" s="107" t="s">
        <v>15</v>
      </c>
      <c r="R323" s="108" t="s">
        <v>434</v>
      </c>
      <c r="S323" s="103">
        <f>if(M323,if(and(hour(M323+S$7)&gt;9.5,(hour(M323+S$7)&lt;19.5)),M323+S$7,_xlfn.workday.intl(int(M323),1,"0000001",Holidays!A:A)+hour(M323+S$7-$B$1)/24+minute(M323)/1440),"")</f>
        <v>46192.78567</v>
      </c>
      <c r="T323" s="104">
        <v>46192.614802083335</v>
      </c>
      <c r="U323" s="105" t="s">
        <v>14</v>
      </c>
      <c r="V323" s="109">
        <f t="shared" si="2"/>
        <v>0</v>
      </c>
      <c r="W323" s="110" t="str">
        <f t="shared" si="3"/>
        <v>EMP0042 HULESHWAR KUMAR SAHU</v>
      </c>
      <c r="X323" s="103">
        <f>if(S323,if(and(hour(S323+X$7)&gt;9.5,(hour(S323+X$7)&lt;19.5)),S323+X$7,_xlfn.workday.intl(int(S323),1,"0000001",Holidays!A:A)+hour(S323+X$7-$B$1)/24+minute(S323)/1440),"")</f>
        <v>46193.49375</v>
      </c>
      <c r="Y323" s="104">
        <v>46192.614891516205</v>
      </c>
      <c r="Z323" s="105" t="s">
        <v>14</v>
      </c>
      <c r="AA323" s="111">
        <f t="shared" si="4"/>
        <v>0</v>
      </c>
      <c r="AB323" s="110" t="str">
        <f t="shared" si="5"/>
        <v>EMP0042 HULESHWAR KUMAR SAHU</v>
      </c>
      <c r="AC323" s="103">
        <f>if(X323,_xlfn.WORKDAY.INTL(X323,AC$7,"0000001",Holidays!A:A)+hour(X323)/24+MINUTE(X323)/1440,"")</f>
        <v>46195.49375</v>
      </c>
      <c r="AD323" s="104">
        <v>46192.66745674769</v>
      </c>
      <c r="AE323" s="105" t="s">
        <v>14</v>
      </c>
      <c r="AF323" s="111">
        <f t="shared" si="6"/>
        <v>0</v>
      </c>
      <c r="AG323" s="110" t="str">
        <f t="shared" si="7"/>
        <v>EMP0042 HULESHWAR KUMAR SAHU</v>
      </c>
      <c r="AH323" s="103">
        <f>if(AC323,if(and(hour(AC323+AH$7)&gt;9.5,(hour(AC323+AH$7)&lt;19.5)),AC323+AH$7,_xlfn.workday.intl(int(AC323),1,"0000001",Holidays!A:A)+hour(AC323+AH$7-$B$1)/24+minute(AC323)/1440),"")</f>
        <v>46195.53542</v>
      </c>
      <c r="AI323" s="104">
        <v>46192.66749255787</v>
      </c>
      <c r="AJ323" s="105" t="s">
        <v>14</v>
      </c>
      <c r="AK323" s="111">
        <f t="shared" si="8"/>
        <v>0</v>
      </c>
      <c r="AL323" s="112" t="str">
        <f t="shared" si="9"/>
        <v>EMP0042 HULESHWAR KUMAR SAHU</v>
      </c>
      <c r="AM323" s="113"/>
      <c r="AN323" s="114" t="s">
        <v>672</v>
      </c>
      <c r="AO323" s="115"/>
      <c r="AP323" s="115"/>
      <c r="AQ323" s="115"/>
      <c r="AR323" s="115"/>
      <c r="AS323" s="115"/>
      <c r="AT323" s="115"/>
      <c r="AU323" s="115"/>
      <c r="AV323" s="115"/>
      <c r="AW323" s="115"/>
      <c r="AX323" s="115"/>
      <c r="AY323" s="115"/>
    </row>
    <row r="324">
      <c r="A324" s="95">
        <f t="shared" si="11"/>
        <v>5275</v>
      </c>
      <c r="B324" s="96">
        <v>46192.69972228009</v>
      </c>
      <c r="C324" s="97" t="s">
        <v>1343</v>
      </c>
      <c r="D324" s="97" t="s">
        <v>142</v>
      </c>
      <c r="E324" s="98" t="s">
        <v>1898</v>
      </c>
      <c r="F324" s="97"/>
      <c r="G324" s="97" t="s">
        <v>1901</v>
      </c>
      <c r="H324" s="99" t="s">
        <v>62</v>
      </c>
      <c r="I324" s="100" t="s">
        <v>324</v>
      </c>
      <c r="J324" s="101" t="s">
        <v>1790</v>
      </c>
      <c r="K324" s="100"/>
      <c r="L324" s="102" t="s">
        <v>1902</v>
      </c>
      <c r="M324" s="103">
        <f>if(B324,if(and(hour(B324+M$7)&gt;9.5,(hour(B324+M$7)&lt;19.5)),B324+M$7,_xlfn.workday.intl(int(B324),1,"0000001",Holidays!A:A)+hour(B324+M$7-$B$1)/24+minute(B324)/1440),"")</f>
        <v>46193.44931</v>
      </c>
      <c r="N324" s="104">
        <v>46192.75037886574</v>
      </c>
      <c r="O324" s="105" t="s">
        <v>14</v>
      </c>
      <c r="P324" s="106">
        <f t="shared" si="1"/>
        <v>0</v>
      </c>
      <c r="Q324" s="107" t="s">
        <v>15</v>
      </c>
      <c r="R324" s="108" t="s">
        <v>434</v>
      </c>
      <c r="S324" s="103">
        <f>if(M324,if(and(hour(M324+S$7)&gt;9.5,(hour(M324+S$7)&lt;19.5)),M324+S$7,_xlfn.workday.intl(int(M324),1,"0000001",Holidays!A:A)+hour(M324+S$7-$B$1)/24+minute(M324)/1440),"")</f>
        <v>46193.45625</v>
      </c>
      <c r="T324" s="104">
        <v>46192.75053409723</v>
      </c>
      <c r="U324" s="105" t="s">
        <v>14</v>
      </c>
      <c r="V324" s="109">
        <f t="shared" si="2"/>
        <v>0</v>
      </c>
      <c r="W324" s="110" t="str">
        <f t="shared" si="3"/>
        <v>EMP0042 HULESHWAR KUMAR SAHU</v>
      </c>
      <c r="X324" s="103">
        <f>if(S324,if(and(hour(S324+X$7)&gt;9.5,(hour(S324+X$7)&lt;19.5)),S324+X$7,_xlfn.workday.intl(int(S324),1,"0000001",Holidays!A:A)+hour(S324+X$7-$B$1)/24+minute(S324)/1440),"")</f>
        <v>46193.56042</v>
      </c>
      <c r="Y324" s="104">
        <v>46192.75062363426</v>
      </c>
      <c r="Z324" s="105" t="s">
        <v>14</v>
      </c>
      <c r="AA324" s="111">
        <f t="shared" si="4"/>
        <v>0</v>
      </c>
      <c r="AB324" s="110" t="str">
        <f t="shared" si="5"/>
        <v>EMP0042 HULESHWAR KUMAR SAHU</v>
      </c>
      <c r="AC324" s="103">
        <f>if(X324,_xlfn.WORKDAY.INTL(X324,AC$7,"0000001",Holidays!A:A)+hour(X324)/24+MINUTE(X324)/1440,"")</f>
        <v>46195.56042</v>
      </c>
      <c r="AD324" s="104">
        <v>46192.790331006945</v>
      </c>
      <c r="AE324" s="105" t="s">
        <v>14</v>
      </c>
      <c r="AF324" s="111">
        <f t="shared" si="6"/>
        <v>0</v>
      </c>
      <c r="AG324" s="110" t="str">
        <f t="shared" si="7"/>
        <v>EMP0042 HULESHWAR KUMAR SAHU</v>
      </c>
      <c r="AH324" s="103">
        <f>if(AC324,if(and(hour(AC324+AH$7)&gt;9.5,(hour(AC324+AH$7)&lt;19.5)),AC324+AH$7,_xlfn.workday.intl(int(AC324),1,"0000001",Holidays!A:A)+hour(AC324+AH$7-$B$1)/24+minute(AC324)/1440),"")</f>
        <v>46195.60208</v>
      </c>
      <c r="AI324" s="104">
        <v>46192.79039318287</v>
      </c>
      <c r="AJ324" s="105" t="s">
        <v>14</v>
      </c>
      <c r="AK324" s="111">
        <f t="shared" si="8"/>
        <v>0</v>
      </c>
      <c r="AL324" s="112" t="str">
        <f t="shared" si="9"/>
        <v>EMP0042 HULESHWAR KUMAR SAHU</v>
      </c>
      <c r="AM324" s="113"/>
      <c r="AN324" s="114" t="s">
        <v>672</v>
      </c>
      <c r="AO324" s="115"/>
      <c r="AP324" s="115"/>
      <c r="AQ324" s="115"/>
      <c r="AR324" s="115"/>
      <c r="AS324" s="115"/>
      <c r="AT324" s="115"/>
      <c r="AU324" s="115"/>
      <c r="AV324" s="115"/>
      <c r="AW324" s="115"/>
      <c r="AX324" s="115"/>
      <c r="AY324" s="115"/>
    </row>
    <row r="325">
      <c r="A325" s="95">
        <f t="shared" si="11"/>
        <v>5276</v>
      </c>
      <c r="B325" s="96">
        <v>46192.72597971065</v>
      </c>
      <c r="C325" s="97" t="s">
        <v>1907</v>
      </c>
      <c r="D325" s="97" t="s">
        <v>186</v>
      </c>
      <c r="E325" s="98" t="s">
        <v>1903</v>
      </c>
      <c r="F325" s="97"/>
      <c r="G325" s="97" t="s">
        <v>1905</v>
      </c>
      <c r="H325" s="99" t="s">
        <v>138</v>
      </c>
      <c r="I325" s="100" t="s">
        <v>64</v>
      </c>
      <c r="J325" s="101" t="s">
        <v>303</v>
      </c>
      <c r="K325" s="100"/>
      <c r="L325" s="102" t="s">
        <v>1906</v>
      </c>
      <c r="M325" s="103">
        <f>if(B325,if(and(hour(B325+M$7)&gt;9.5,(hour(B325+M$7)&lt;19.5)),B325+M$7,_xlfn.workday.intl(int(B325),1,"0000001",Holidays!A:A)+hour(B325+M$7-$B$1)/24+minute(B325)/1440),"")</f>
        <v>46193.47569</v>
      </c>
      <c r="N325" s="104">
        <v>46192.750405231476</v>
      </c>
      <c r="O325" s="105" t="s">
        <v>14</v>
      </c>
      <c r="P325" s="106">
        <f t="shared" si="1"/>
        <v>0</v>
      </c>
      <c r="Q325" s="107" t="s">
        <v>15</v>
      </c>
      <c r="R325" s="108" t="s">
        <v>434</v>
      </c>
      <c r="S325" s="103">
        <f>if(M325,if(and(hour(M325+S$7)&gt;9.5,(hour(M325+S$7)&lt;19.5)),M325+S$7,_xlfn.workday.intl(int(M325),1,"0000001",Holidays!A:A)+hour(M325+S$7-$B$1)/24+minute(M325)/1440),"")</f>
        <v>46193.48264</v>
      </c>
      <c r="T325" s="104">
        <v>46192.75055952546</v>
      </c>
      <c r="U325" s="105" t="s">
        <v>14</v>
      </c>
      <c r="V325" s="109">
        <f t="shared" si="2"/>
        <v>0</v>
      </c>
      <c r="W325" s="110" t="str">
        <f t="shared" si="3"/>
        <v>EMP0042 HULESHWAR KUMAR SAHU</v>
      </c>
      <c r="X325" s="103">
        <f>if(S325,if(and(hour(S325+X$7)&gt;9.5,(hour(S325+X$7)&lt;19.5)),S325+X$7,_xlfn.workday.intl(int(S325),1,"0000001",Holidays!A:A)+hour(S325+X$7-$B$1)/24+minute(S325)/1440),"")</f>
        <v>46193.58681</v>
      </c>
      <c r="Y325" s="104">
        <v>46192.75064853009</v>
      </c>
      <c r="Z325" s="105" t="s">
        <v>14</v>
      </c>
      <c r="AA325" s="111">
        <f t="shared" si="4"/>
        <v>0</v>
      </c>
      <c r="AB325" s="110" t="str">
        <f t="shared" si="5"/>
        <v>EMP0042 HULESHWAR KUMAR SAHU</v>
      </c>
      <c r="AC325" s="103">
        <f>if(X325,_xlfn.WORKDAY.INTL(X325,AC$7,"0000001",Holidays!A:A)+hour(X325)/24+MINUTE(X325)/1440,"")</f>
        <v>46195.58681</v>
      </c>
      <c r="AD325" s="104">
        <v>46192.790347118054</v>
      </c>
      <c r="AE325" s="105" t="s">
        <v>14</v>
      </c>
      <c r="AF325" s="111">
        <f t="shared" si="6"/>
        <v>0</v>
      </c>
      <c r="AG325" s="110" t="str">
        <f t="shared" si="7"/>
        <v>EMP0042 HULESHWAR KUMAR SAHU</v>
      </c>
      <c r="AH325" s="103">
        <f>if(AC325,if(and(hour(AC325+AH$7)&gt;9.5,(hour(AC325+AH$7)&lt;19.5)),AC325+AH$7,_xlfn.workday.intl(int(AC325),1,"0000001",Holidays!A:A)+hour(AC325+AH$7-$B$1)/24+minute(AC325)/1440),"")</f>
        <v>46195.62847</v>
      </c>
      <c r="AI325" s="104">
        <v>46192.79041724537</v>
      </c>
      <c r="AJ325" s="105" t="s">
        <v>14</v>
      </c>
      <c r="AK325" s="111">
        <f t="shared" si="8"/>
        <v>0</v>
      </c>
      <c r="AL325" s="112" t="str">
        <f t="shared" si="9"/>
        <v>EMP0042 HULESHWAR KUMAR SAHU</v>
      </c>
      <c r="AM325" s="113"/>
      <c r="AN325" s="114" t="s">
        <v>672</v>
      </c>
      <c r="AO325" s="115"/>
      <c r="AP325" s="115"/>
      <c r="AQ325" s="115"/>
      <c r="AR325" s="115"/>
      <c r="AS325" s="115"/>
      <c r="AT325" s="115"/>
      <c r="AU325" s="115"/>
      <c r="AV325" s="115"/>
      <c r="AW325" s="115"/>
      <c r="AX325" s="115"/>
      <c r="AY325" s="115"/>
    </row>
    <row r="326">
      <c r="A326" s="95">
        <f t="shared" si="11"/>
        <v>5277</v>
      </c>
      <c r="B326" s="96">
        <v>46193.54532446759</v>
      </c>
      <c r="C326" s="97" t="s">
        <v>1352</v>
      </c>
      <c r="D326" s="97" t="s">
        <v>1909</v>
      </c>
      <c r="E326" s="98" t="s">
        <v>1910</v>
      </c>
      <c r="F326" s="97"/>
      <c r="G326" s="97" t="s">
        <v>1912</v>
      </c>
      <c r="H326" s="99" t="s">
        <v>147</v>
      </c>
      <c r="I326" s="100" t="s">
        <v>139</v>
      </c>
      <c r="J326" s="101" t="s">
        <v>1908</v>
      </c>
      <c r="K326" s="100"/>
      <c r="L326" s="102" t="s">
        <v>1913</v>
      </c>
      <c r="M326" s="103">
        <f>if(B326,if(and(hour(B326+M$7)&gt;9.5,(hour(B326+M$7)&lt;19.5)),B326+M$7,_xlfn.workday.intl(int(B326),1,"0000001",Holidays!A:A)+hour(B326+M$7-$B$1)/24+minute(B326)/1440),"")</f>
        <v>46193.71199</v>
      </c>
      <c r="N326" s="104">
        <v>46193.55734378472</v>
      </c>
      <c r="O326" s="105" t="s">
        <v>14</v>
      </c>
      <c r="P326" s="106">
        <f t="shared" si="1"/>
        <v>0</v>
      </c>
      <c r="Q326" s="107" t="s">
        <v>72</v>
      </c>
      <c r="R326" s="108" t="s">
        <v>434</v>
      </c>
      <c r="S326" s="103">
        <f>if(M326,if(and(hour(M326+S$7)&gt;9.5,(hour(M326+S$7)&lt;19.5)),M326+S$7,_xlfn.workday.intl(int(M326),1,"0000001",Holidays!A:A)+hour(M326+S$7-$B$1)/24+minute(M326)/1440),"")</f>
        <v>46193.71894</v>
      </c>
      <c r="T326" s="104">
        <v>46193.55748928241</v>
      </c>
      <c r="U326" s="105" t="s">
        <v>14</v>
      </c>
      <c r="V326" s="109">
        <f t="shared" si="2"/>
        <v>0</v>
      </c>
      <c r="W326" s="110" t="str">
        <f t="shared" si="3"/>
        <v>EMP5009 Rup Kumar Mandal</v>
      </c>
      <c r="X326" s="103">
        <f>if(S326,if(and(hour(S326+X$7)&gt;9.5,(hour(S326+X$7)&lt;19.5)),S326+X$7,_xlfn.workday.intl(int(S326),1,"0000001",Holidays!A:A)+hour(S326+X$7-$B$1)/24+minute(S326)/1440),"")</f>
        <v>46193.8231</v>
      </c>
      <c r="Y326" s="104">
        <v>46193.55755027778</v>
      </c>
      <c r="Z326" s="105" t="s">
        <v>14</v>
      </c>
      <c r="AA326" s="111">
        <f t="shared" si="4"/>
        <v>0</v>
      </c>
      <c r="AB326" s="110" t="str">
        <f t="shared" si="5"/>
        <v>EMP5009 Rup Kumar Mandal</v>
      </c>
      <c r="AC326" s="103">
        <f>if(X326,_xlfn.WORKDAY.INTL(X326,AC$7,"0000001",Holidays!A:A)+hour(X326)/24+MINUTE(X326)/1440,"")</f>
        <v>46195.82292</v>
      </c>
      <c r="AD326" s="104">
        <v>46193.65265164352</v>
      </c>
      <c r="AE326" s="105" t="s">
        <v>14</v>
      </c>
      <c r="AF326" s="111">
        <f t="shared" si="6"/>
        <v>0</v>
      </c>
      <c r="AG326" s="110" t="str">
        <f t="shared" si="7"/>
        <v>EMP5009 Rup Kumar Mandal</v>
      </c>
      <c r="AH326" s="103">
        <f>if(AC326,if(and(hour(AC326+AH$7)&gt;9.5,(hour(AC326+AH$7)&lt;19.5)),AC326+AH$7,_xlfn.workday.intl(int(AC326),1,"0000001",Holidays!A:A)+hour(AC326+AH$7-$B$1)/24+minute(AC326)/1440),"")</f>
        <v>46196.44792</v>
      </c>
      <c r="AI326" s="104">
        <v>46195.481490578706</v>
      </c>
      <c r="AJ326" s="105" t="s">
        <v>14</v>
      </c>
      <c r="AK326" s="111">
        <f t="shared" si="8"/>
        <v>0</v>
      </c>
      <c r="AL326" s="112" t="str">
        <f t="shared" si="9"/>
        <v>EMP5009 Rup Kumar Mandal</v>
      </c>
      <c r="AM326" s="113"/>
      <c r="AN326" s="114" t="s">
        <v>672</v>
      </c>
      <c r="AO326" s="115"/>
      <c r="AP326" s="115"/>
      <c r="AQ326" s="115"/>
      <c r="AR326" s="115"/>
      <c r="AS326" s="115"/>
      <c r="AT326" s="115"/>
      <c r="AU326" s="115"/>
      <c r="AV326" s="115"/>
      <c r="AW326" s="115"/>
      <c r="AX326" s="115"/>
      <c r="AY326" s="115"/>
    </row>
    <row r="327">
      <c r="A327" s="95">
        <f t="shared" si="11"/>
        <v>5278</v>
      </c>
      <c r="B327" s="96">
        <v>46193.560826562505</v>
      </c>
      <c r="C327" s="97" t="s">
        <v>1358</v>
      </c>
      <c r="D327" s="97" t="s">
        <v>1915</v>
      </c>
      <c r="E327" s="98" t="s">
        <v>1916</v>
      </c>
      <c r="F327" s="97"/>
      <c r="G327" s="97" t="s">
        <v>1919</v>
      </c>
      <c r="H327" s="99" t="s">
        <v>147</v>
      </c>
      <c r="I327" s="100" t="s">
        <v>139</v>
      </c>
      <c r="J327" s="101" t="s">
        <v>1420</v>
      </c>
      <c r="K327" s="100"/>
      <c r="L327" s="102" t="s">
        <v>1920</v>
      </c>
      <c r="M327" s="103">
        <f>if(B327,if(and(hour(B327+M$7)&gt;9.5,(hour(B327+M$7)&lt;19.5)),B327+M$7,_xlfn.workday.intl(int(B327),1,"0000001",Holidays!A:A)+hour(B327+M$7-$B$1)/24+minute(B327)/1440),"")</f>
        <v>46193.72749</v>
      </c>
      <c r="N327" s="104">
        <v>46193.6525017824</v>
      </c>
      <c r="O327" s="105" t="s">
        <v>14</v>
      </c>
      <c r="P327" s="106">
        <f t="shared" si="1"/>
        <v>0</v>
      </c>
      <c r="Q327" s="107" t="s">
        <v>72</v>
      </c>
      <c r="R327" s="108" t="s">
        <v>434</v>
      </c>
      <c r="S327" s="103">
        <f>if(M327,if(and(hour(M327+S$7)&gt;9.5,(hour(M327+S$7)&lt;19.5)),M327+S$7,_xlfn.workday.intl(int(M327),1,"0000001",Holidays!A:A)+hour(M327+S$7-$B$1)/24+minute(M327)/1440),"")</f>
        <v>46193.73444</v>
      </c>
      <c r="T327" s="104">
        <v>46193.65256288194</v>
      </c>
      <c r="U327" s="105" t="s">
        <v>14</v>
      </c>
      <c r="V327" s="109">
        <f t="shared" si="2"/>
        <v>0</v>
      </c>
      <c r="W327" s="110" t="str">
        <f t="shared" si="3"/>
        <v>EMP5009 Rup Kumar Mandal</v>
      </c>
      <c r="X327" s="103">
        <f>if(S327,if(and(hour(S327+X$7)&gt;9.5,(hour(S327+X$7)&lt;19.5)),S327+X$7,_xlfn.workday.intl(int(S327),1,"0000001",Holidays!A:A)+hour(S327+X$7-$B$1)/24+minute(S327)/1440),"")</f>
        <v>46195.44236</v>
      </c>
      <c r="Y327" s="104">
        <v>46193.652605462965</v>
      </c>
      <c r="Z327" s="105" t="s">
        <v>14</v>
      </c>
      <c r="AA327" s="111">
        <f t="shared" si="4"/>
        <v>0</v>
      </c>
      <c r="AB327" s="110" t="str">
        <f t="shared" si="5"/>
        <v>EMP5009 Rup Kumar Mandal</v>
      </c>
      <c r="AC327" s="103">
        <f>if(X327,_xlfn.WORKDAY.INTL(X327,AC$7,"0000001",Holidays!A:A)+hour(X327)/24+MINUTE(X327)/1440,"")</f>
        <v>46196.44236</v>
      </c>
      <c r="AD327" s="104">
        <v>46193.65265164352</v>
      </c>
      <c r="AE327" s="105" t="s">
        <v>14</v>
      </c>
      <c r="AF327" s="111">
        <f t="shared" si="6"/>
        <v>0</v>
      </c>
      <c r="AG327" s="110" t="str">
        <f t="shared" si="7"/>
        <v>EMP5009 Rup Kumar Mandal</v>
      </c>
      <c r="AH327" s="103">
        <f>if(AC327,if(and(hour(AC327+AH$7)&gt;9.5,(hour(AC327+AH$7)&lt;19.5)),AC327+AH$7,_xlfn.workday.intl(int(AC327),1,"0000001",Holidays!A:A)+hour(AC327+AH$7-$B$1)/24+minute(AC327)/1440),"")</f>
        <v>46196.48403</v>
      </c>
      <c r="AI327" s="104">
        <v>46195.48153605324</v>
      </c>
      <c r="AJ327" s="105" t="s">
        <v>14</v>
      </c>
      <c r="AK327" s="111">
        <f t="shared" si="8"/>
        <v>0</v>
      </c>
      <c r="AL327" s="112" t="str">
        <f t="shared" si="9"/>
        <v>EMP5009 Rup Kumar Mandal</v>
      </c>
      <c r="AM327" s="113"/>
      <c r="AN327" s="114" t="s">
        <v>672</v>
      </c>
      <c r="AO327" s="115"/>
      <c r="AP327" s="115"/>
      <c r="AQ327" s="115"/>
      <c r="AR327" s="115"/>
      <c r="AS327" s="115"/>
      <c r="AT327" s="115"/>
      <c r="AU327" s="115"/>
      <c r="AV327" s="115"/>
      <c r="AW327" s="115"/>
      <c r="AX327" s="115"/>
      <c r="AY327" s="115"/>
    </row>
    <row r="328">
      <c r="A328" s="95">
        <f t="shared" si="11"/>
        <v>5279</v>
      </c>
      <c r="B328" s="96">
        <v>46193.66078597222</v>
      </c>
      <c r="C328" s="97" t="s">
        <v>142</v>
      </c>
      <c r="D328" s="97" t="s">
        <v>142</v>
      </c>
      <c r="E328" s="98" t="s">
        <v>1924</v>
      </c>
      <c r="F328" s="97"/>
      <c r="G328" s="97" t="s">
        <v>1925</v>
      </c>
      <c r="H328" s="99" t="s">
        <v>62</v>
      </c>
      <c r="I328" s="100" t="s">
        <v>324</v>
      </c>
      <c r="J328" s="101" t="s">
        <v>1922</v>
      </c>
      <c r="K328" s="100"/>
      <c r="L328" s="102" t="s">
        <v>1925</v>
      </c>
      <c r="M328" s="103">
        <f>if(B328,if(and(hour(B328+M$7)&gt;9.5,(hour(B328+M$7)&lt;19.5)),B328+M$7,_xlfn.workday.intl(int(B328),1,"0000001",Holidays!A:A)+hour(B328+M$7-$B$1)/24+minute(B328)/1440),"")</f>
        <v>46193.82745</v>
      </c>
      <c r="N328" s="104">
        <v>46193.69802855324</v>
      </c>
      <c r="O328" s="105" t="s">
        <v>14</v>
      </c>
      <c r="P328" s="106">
        <f t="shared" si="1"/>
        <v>0</v>
      </c>
      <c r="Q328" s="107" t="s">
        <v>15</v>
      </c>
      <c r="R328" s="108" t="s">
        <v>434</v>
      </c>
      <c r="S328" s="103">
        <f>if(M328,if(and(hour(M328+S$7)&gt;9.5,(hour(M328+S$7)&lt;19.5)),M328+S$7,_xlfn.workday.intl(int(M328),1,"0000001",Holidays!A:A)+hour(M328+S$7-$B$1)/24+minute(M328)/1440),"")</f>
        <v>46195.45208</v>
      </c>
      <c r="T328" s="104">
        <v>46193.698395706015</v>
      </c>
      <c r="U328" s="105" t="s">
        <v>14</v>
      </c>
      <c r="V328" s="109">
        <f t="shared" si="2"/>
        <v>0</v>
      </c>
      <c r="W328" s="110" t="str">
        <f t="shared" si="3"/>
        <v>EMP0042 HULESHWAR KUMAR SAHU</v>
      </c>
      <c r="X328" s="103">
        <f>if(S328,if(and(hour(S328+X$7)&gt;9.5,(hour(S328+X$7)&lt;19.5)),S328+X$7,_xlfn.workday.intl(int(S328),1,"0000001",Holidays!A:A)+hour(S328+X$7-$B$1)/24+minute(S328)/1440),"")</f>
        <v>46195.55625</v>
      </c>
      <c r="Y328" s="104">
        <v>46193.69859662037</v>
      </c>
      <c r="Z328" s="105" t="s">
        <v>14</v>
      </c>
      <c r="AA328" s="111">
        <f t="shared" si="4"/>
        <v>0</v>
      </c>
      <c r="AB328" s="110" t="str">
        <f t="shared" si="5"/>
        <v>EMP0042 HULESHWAR KUMAR SAHU</v>
      </c>
      <c r="AC328" s="103">
        <f>if(X328,_xlfn.WORKDAY.INTL(X328,AC$7,"0000001",Holidays!A:A)+hour(X328)/24+MINUTE(X328)/1440,"")</f>
        <v>46196.55625</v>
      </c>
      <c r="AD328" s="104">
        <v>46195.50152614583</v>
      </c>
      <c r="AE328" s="105" t="s">
        <v>14</v>
      </c>
      <c r="AF328" s="111">
        <f t="shared" si="6"/>
        <v>0</v>
      </c>
      <c r="AG328" s="110" t="str">
        <f t="shared" si="7"/>
        <v>EMP0042 HULESHWAR KUMAR SAHU</v>
      </c>
      <c r="AH328" s="103">
        <f>if(AC328,if(and(hour(AC328+AH$7)&gt;9.5,(hour(AC328+AH$7)&lt;19.5)),AC328+AH$7,_xlfn.workday.intl(int(AC328),1,"0000001",Holidays!A:A)+hour(AC328+AH$7-$B$1)/24+minute(AC328)/1440),"")</f>
        <v>46196.59792</v>
      </c>
      <c r="AI328" s="104">
        <v>46195.50163483796</v>
      </c>
      <c r="AJ328" s="105" t="s">
        <v>14</v>
      </c>
      <c r="AK328" s="111">
        <f t="shared" si="8"/>
        <v>0</v>
      </c>
      <c r="AL328" s="112" t="str">
        <f t="shared" si="9"/>
        <v>EMP0042 HULESHWAR KUMAR SAHU</v>
      </c>
      <c r="AM328" s="113"/>
      <c r="AN328" s="114" t="s">
        <v>672</v>
      </c>
      <c r="AO328" s="115"/>
      <c r="AP328" s="115"/>
      <c r="AQ328" s="115"/>
      <c r="AR328" s="115"/>
      <c r="AS328" s="115"/>
      <c r="AT328" s="115"/>
      <c r="AU328" s="115"/>
      <c r="AV328" s="115"/>
      <c r="AW328" s="115"/>
      <c r="AX328" s="115"/>
      <c r="AY328" s="115"/>
    </row>
    <row r="329">
      <c r="A329" s="95">
        <f t="shared" si="11"/>
        <v>5280</v>
      </c>
      <c r="B329" s="96">
        <v>46193.66160288194</v>
      </c>
      <c r="C329" s="97" t="s">
        <v>1932</v>
      </c>
      <c r="D329" s="97" t="s">
        <v>142</v>
      </c>
      <c r="E329" s="98" t="s">
        <v>1928</v>
      </c>
      <c r="F329" s="97"/>
      <c r="G329" s="97" t="s">
        <v>1929</v>
      </c>
      <c r="H329" s="99" t="s">
        <v>62</v>
      </c>
      <c r="I329" s="100" t="s">
        <v>324</v>
      </c>
      <c r="J329" s="101" t="s">
        <v>1927</v>
      </c>
      <c r="K329" s="100"/>
      <c r="L329" s="102" t="s">
        <v>1929</v>
      </c>
      <c r="M329" s="103">
        <f>if(B329,if(and(hour(B329+M$7)&gt;9.5,(hour(B329+M$7)&lt;19.5)),B329+M$7,_xlfn.workday.intl(int(B329),1,"0000001",Holidays!A:A)+hour(B329+M$7-$B$1)/24+minute(B329)/1440),"")</f>
        <v>46193.82827</v>
      </c>
      <c r="N329" s="104">
        <v>46193.69805071759</v>
      </c>
      <c r="O329" s="105" t="s">
        <v>14</v>
      </c>
      <c r="P329" s="106">
        <f t="shared" si="1"/>
        <v>0</v>
      </c>
      <c r="Q329" s="107" t="s">
        <v>15</v>
      </c>
      <c r="R329" s="108" t="s">
        <v>434</v>
      </c>
      <c r="S329" s="103">
        <f>if(M329,if(and(hour(M329+S$7)&gt;9.5,(hour(M329+S$7)&lt;19.5)),M329+S$7,_xlfn.workday.intl(int(M329),1,"0000001",Holidays!A:A)+hour(M329+S$7-$B$1)/24+minute(M329)/1440),"")</f>
        <v>46195.45278</v>
      </c>
      <c r="T329" s="104">
        <v>46193.69845668982</v>
      </c>
      <c r="U329" s="105" t="s">
        <v>14</v>
      </c>
      <c r="V329" s="109">
        <f t="shared" si="2"/>
        <v>0</v>
      </c>
      <c r="W329" s="110" t="str">
        <f t="shared" si="3"/>
        <v>EMP0042 HULESHWAR KUMAR SAHU</v>
      </c>
      <c r="X329" s="103">
        <f>if(S329,if(and(hour(S329+X$7)&gt;9.5,(hour(S329+X$7)&lt;19.5)),S329+X$7,_xlfn.workday.intl(int(S329),1,"0000001",Holidays!A:A)+hour(S329+X$7-$B$1)/24+minute(S329)/1440),"")</f>
        <v>46195.55694</v>
      </c>
      <c r="Y329" s="104">
        <v>46193.69862037037</v>
      </c>
      <c r="Z329" s="105" t="s">
        <v>14</v>
      </c>
      <c r="AA329" s="111">
        <f t="shared" si="4"/>
        <v>0</v>
      </c>
      <c r="AB329" s="110" t="str">
        <f t="shared" si="5"/>
        <v>EMP0042 HULESHWAR KUMAR SAHU</v>
      </c>
      <c r="AC329" s="103">
        <f>if(X329,_xlfn.WORKDAY.INTL(X329,AC$7,"0000001",Holidays!A:A)+hour(X329)/24+MINUTE(X329)/1440,"")</f>
        <v>46196.55694</v>
      </c>
      <c r="AD329" s="104">
        <v>46195.501544108796</v>
      </c>
      <c r="AE329" s="105" t="s">
        <v>14</v>
      </c>
      <c r="AF329" s="111">
        <f t="shared" si="6"/>
        <v>0</v>
      </c>
      <c r="AG329" s="110" t="str">
        <f t="shared" si="7"/>
        <v>EMP0042 HULESHWAR KUMAR SAHU</v>
      </c>
      <c r="AH329" s="103">
        <f>if(AC329,if(and(hour(AC329+AH$7)&gt;9.5,(hour(AC329+AH$7)&lt;19.5)),AC329+AH$7,_xlfn.workday.intl(int(AC329),1,"0000001",Holidays!A:A)+hour(AC329+AH$7-$B$1)/24+minute(AC329)/1440),"")</f>
        <v>46196.59861</v>
      </c>
      <c r="AI329" s="104">
        <v>46195.50166829861</v>
      </c>
      <c r="AJ329" s="105" t="s">
        <v>14</v>
      </c>
      <c r="AK329" s="111">
        <f t="shared" si="8"/>
        <v>0</v>
      </c>
      <c r="AL329" s="112" t="str">
        <f t="shared" si="9"/>
        <v>EMP0042 HULESHWAR KUMAR SAHU</v>
      </c>
      <c r="AM329" s="113"/>
      <c r="AN329" s="114" t="s">
        <v>672</v>
      </c>
      <c r="AO329" s="115"/>
      <c r="AP329" s="115"/>
      <c r="AQ329" s="115"/>
      <c r="AR329" s="115"/>
      <c r="AS329" s="115"/>
      <c r="AT329" s="115"/>
      <c r="AU329" s="115"/>
      <c r="AV329" s="115"/>
      <c r="AW329" s="115"/>
      <c r="AX329" s="115"/>
      <c r="AY329" s="115"/>
    </row>
    <row r="330">
      <c r="A330" s="95">
        <f t="shared" si="11"/>
        <v>5281</v>
      </c>
      <c r="B330" s="96">
        <v>46193.662462395834</v>
      </c>
      <c r="C330" s="97" t="s">
        <v>142</v>
      </c>
      <c r="D330" s="97" t="s">
        <v>1932</v>
      </c>
      <c r="E330" s="98" t="s">
        <v>1933</v>
      </c>
      <c r="F330" s="97"/>
      <c r="G330" s="97" t="s">
        <v>1935</v>
      </c>
      <c r="H330" s="99" t="s">
        <v>62</v>
      </c>
      <c r="I330" s="100" t="s">
        <v>324</v>
      </c>
      <c r="J330" s="101" t="s">
        <v>1922</v>
      </c>
      <c r="K330" s="100"/>
      <c r="L330" s="102" t="s">
        <v>1935</v>
      </c>
      <c r="M330" s="103">
        <f>if(B330,if(and(hour(B330+M$7)&gt;9.5,(hour(B330+M$7)&lt;19.5)),B330+M$7,_xlfn.workday.intl(int(B330),1,"0000001",Holidays!A:A)+hour(B330+M$7-$B$1)/24+minute(B330)/1440),"")</f>
        <v>46193.82913</v>
      </c>
      <c r="N330" s="104">
        <v>46193.69806954861</v>
      </c>
      <c r="O330" s="105" t="s">
        <v>14</v>
      </c>
      <c r="P330" s="106">
        <f t="shared" si="1"/>
        <v>0</v>
      </c>
      <c r="Q330" s="107" t="s">
        <v>15</v>
      </c>
      <c r="R330" s="108" t="s">
        <v>434</v>
      </c>
      <c r="S330" s="103">
        <f>if(M330,if(and(hour(M330+S$7)&gt;9.5,(hour(M330+S$7)&lt;19.5)),M330+S$7,_xlfn.workday.intl(int(M330),1,"0000001",Holidays!A:A)+hour(M330+S$7-$B$1)/24+minute(M330)/1440),"")</f>
        <v>46195.45347</v>
      </c>
      <c r="T330" s="104">
        <v>46193.698506898145</v>
      </c>
      <c r="U330" s="105" t="s">
        <v>14</v>
      </c>
      <c r="V330" s="109">
        <f t="shared" si="2"/>
        <v>0</v>
      </c>
      <c r="W330" s="110" t="str">
        <f t="shared" si="3"/>
        <v>EMP0042 HULESHWAR KUMAR SAHU</v>
      </c>
      <c r="X330" s="103">
        <f>if(S330,if(and(hour(S330+X$7)&gt;9.5,(hour(S330+X$7)&lt;19.5)),S330+X$7,_xlfn.workday.intl(int(S330),1,"0000001",Holidays!A:A)+hour(S330+X$7-$B$1)/24+minute(S330)/1440),"")</f>
        <v>46195.55764</v>
      </c>
      <c r="Y330" s="104">
        <v>46193.69865289352</v>
      </c>
      <c r="Z330" s="105" t="s">
        <v>14</v>
      </c>
      <c r="AA330" s="111">
        <f t="shared" si="4"/>
        <v>0</v>
      </c>
      <c r="AB330" s="110" t="str">
        <f t="shared" si="5"/>
        <v>EMP0042 HULESHWAR KUMAR SAHU</v>
      </c>
      <c r="AC330" s="103">
        <f>if(X330,_xlfn.WORKDAY.INTL(X330,AC$7,"0000001",Holidays!A:A)+hour(X330)/24+MINUTE(X330)/1440,"")</f>
        <v>46196.55764</v>
      </c>
      <c r="AD330" s="104">
        <v>46195.501569976856</v>
      </c>
      <c r="AE330" s="105" t="s">
        <v>14</v>
      </c>
      <c r="AF330" s="111">
        <f t="shared" si="6"/>
        <v>0</v>
      </c>
      <c r="AG330" s="110" t="str">
        <f t="shared" si="7"/>
        <v>EMP0042 HULESHWAR KUMAR SAHU</v>
      </c>
      <c r="AH330" s="103">
        <f>if(AC330,if(and(hour(AC330+AH$7)&gt;9.5,(hour(AC330+AH$7)&lt;19.5)),AC330+AH$7,_xlfn.workday.intl(int(AC330),1,"0000001",Holidays!A:A)+hour(AC330+AH$7-$B$1)/24+minute(AC330)/1440),"")</f>
        <v>46196.59931</v>
      </c>
      <c r="AI330" s="104">
        <v>46195.501695694446</v>
      </c>
      <c r="AJ330" s="105" t="s">
        <v>14</v>
      </c>
      <c r="AK330" s="111">
        <f t="shared" si="8"/>
        <v>0</v>
      </c>
      <c r="AL330" s="112" t="str">
        <f t="shared" si="9"/>
        <v>EMP0042 HULESHWAR KUMAR SAHU</v>
      </c>
      <c r="AM330" s="113"/>
      <c r="AN330" s="114" t="s">
        <v>672</v>
      </c>
      <c r="AO330" s="115"/>
      <c r="AP330" s="115"/>
      <c r="AQ330" s="115"/>
      <c r="AR330" s="115"/>
      <c r="AS330" s="115"/>
      <c r="AT330" s="115"/>
      <c r="AU330" s="115"/>
      <c r="AV330" s="115"/>
      <c r="AW330" s="115"/>
      <c r="AX330" s="115"/>
      <c r="AY330" s="115"/>
    </row>
    <row r="331">
      <c r="A331" s="95">
        <f t="shared" si="11"/>
        <v>5282</v>
      </c>
      <c r="B331" s="96">
        <v>46195.52441708333</v>
      </c>
      <c r="C331" s="97" t="s">
        <v>1373</v>
      </c>
      <c r="D331" s="97" t="s">
        <v>1937</v>
      </c>
      <c r="E331" s="98" t="s">
        <v>1938</v>
      </c>
      <c r="F331" s="97"/>
      <c r="G331" s="97" t="s">
        <v>1941</v>
      </c>
      <c r="H331" s="99" t="s">
        <v>147</v>
      </c>
      <c r="I331" s="100" t="s">
        <v>64</v>
      </c>
      <c r="J331" s="101" t="s">
        <v>1936</v>
      </c>
      <c r="K331" s="100"/>
      <c r="L331" s="102" t="s">
        <v>1942</v>
      </c>
      <c r="M331" s="103">
        <f>if(B331,if(and(hour(B331+M$7)&gt;9.5,(hour(B331+M$7)&lt;19.5)),B331+M$7,_xlfn.workday.intl(int(B331),1,"0000001",Holidays!A:A)+hour(B331+M$7-$B$1)/24+minute(B331)/1440),"")</f>
        <v>46195.69108</v>
      </c>
      <c r="N331" s="104">
        <v>46195.61792831018</v>
      </c>
      <c r="O331" s="105" t="s">
        <v>14</v>
      </c>
      <c r="P331" s="106">
        <f t="shared" si="1"/>
        <v>0</v>
      </c>
      <c r="Q331" s="107" t="s">
        <v>72</v>
      </c>
      <c r="R331" s="108" t="s">
        <v>434</v>
      </c>
      <c r="S331" s="103">
        <f>if(M331,if(and(hour(M331+S$7)&gt;9.5,(hour(M331+S$7)&lt;19.5)),M331+S$7,_xlfn.workday.intl(int(M331),1,"0000001",Holidays!A:A)+hour(M331+S$7-$B$1)/24+minute(M331)/1440),"")</f>
        <v>46195.69803</v>
      </c>
      <c r="T331" s="104">
        <v>46195.61805766204</v>
      </c>
      <c r="U331" s="105" t="s">
        <v>14</v>
      </c>
      <c r="V331" s="109">
        <f t="shared" si="2"/>
        <v>0</v>
      </c>
      <c r="W331" s="110" t="str">
        <f t="shared" si="3"/>
        <v>EMP5009 Rup Kumar Mandal</v>
      </c>
      <c r="X331" s="103">
        <f>if(S331,if(and(hour(S331+X$7)&gt;9.5,(hour(S331+X$7)&lt;19.5)),S331+X$7,_xlfn.workday.intl(int(S331),1,"0000001",Holidays!A:A)+hour(S331+X$7-$B$1)/24+minute(S331)/1440),"")</f>
        <v>46195.80219</v>
      </c>
      <c r="Y331" s="104">
        <v>46195.618129780094</v>
      </c>
      <c r="Z331" s="105" t="s">
        <v>14</v>
      </c>
      <c r="AA331" s="111">
        <f t="shared" si="4"/>
        <v>0</v>
      </c>
      <c r="AB331" s="110" t="str">
        <f t="shared" si="5"/>
        <v>EMP5009 Rup Kumar Mandal</v>
      </c>
      <c r="AC331" s="103">
        <f>if(X331,_xlfn.WORKDAY.INTL(X331,AC$7,"0000001",Holidays!A:A)+hour(X331)/24+MINUTE(X331)/1440,"")</f>
        <v>46196.80208</v>
      </c>
      <c r="AD331" s="104">
        <v>46196.559962175925</v>
      </c>
      <c r="AE331" s="105" t="s">
        <v>14</v>
      </c>
      <c r="AF331" s="111">
        <f t="shared" si="6"/>
        <v>0</v>
      </c>
      <c r="AG331" s="110" t="str">
        <f t="shared" si="7"/>
        <v>EMP5009 Rup Kumar Mandal</v>
      </c>
      <c r="AH331" s="103">
        <f>if(AC331,if(and(hour(AC331+AH$7)&gt;9.5,(hour(AC331+AH$7)&lt;19.5)),AC331+AH$7,_xlfn.workday.intl(int(AC331),1,"0000001",Holidays!A:A)+hour(AC331+AH$7-$B$1)/24+minute(AC331)/1440),"")</f>
        <v>46197.42708</v>
      </c>
      <c r="AI331" s="104">
        <v>46196.778204629634</v>
      </c>
      <c r="AJ331" s="105" t="s">
        <v>14</v>
      </c>
      <c r="AK331" s="111">
        <f t="shared" si="8"/>
        <v>0</v>
      </c>
      <c r="AL331" s="112" t="str">
        <f t="shared" si="9"/>
        <v>EMP5009 Rup Kumar Mandal</v>
      </c>
      <c r="AM331" s="113"/>
      <c r="AN331" s="114" t="s">
        <v>672</v>
      </c>
      <c r="AO331" s="115"/>
      <c r="AP331" s="115"/>
      <c r="AQ331" s="115"/>
      <c r="AR331" s="115"/>
      <c r="AS331" s="115"/>
      <c r="AT331" s="115"/>
      <c r="AU331" s="115"/>
      <c r="AV331" s="115"/>
      <c r="AW331" s="115"/>
      <c r="AX331" s="115"/>
      <c r="AY331" s="115"/>
    </row>
    <row r="332">
      <c r="A332" s="95">
        <f t="shared" si="11"/>
        <v>5283</v>
      </c>
      <c r="B332" s="96">
        <v>46195.52535038194</v>
      </c>
      <c r="C332" s="97" t="s">
        <v>1377</v>
      </c>
      <c r="D332" s="97" t="s">
        <v>1945</v>
      </c>
      <c r="E332" s="98" t="s">
        <v>1946</v>
      </c>
      <c r="F332" s="97"/>
      <c r="G332" s="97" t="s">
        <v>1941</v>
      </c>
      <c r="H332" s="99" t="s">
        <v>147</v>
      </c>
      <c r="I332" s="100" t="s">
        <v>64</v>
      </c>
      <c r="J332" s="101" t="s">
        <v>1936</v>
      </c>
      <c r="K332" s="100"/>
      <c r="L332" s="102" t="s">
        <v>1949</v>
      </c>
      <c r="M332" s="103">
        <f>if(B332,if(and(hour(B332+M$7)&gt;9.5,(hour(B332+M$7)&lt;19.5)),B332+M$7,_xlfn.workday.intl(int(B332),1,"0000001",Holidays!A:A)+hour(B332+M$7-$B$1)/24+minute(B332)/1440),"")</f>
        <v>46195.69202</v>
      </c>
      <c r="N332" s="104">
        <v>46195.617928541666</v>
      </c>
      <c r="O332" s="105" t="s">
        <v>14</v>
      </c>
      <c r="P332" s="106">
        <f t="shared" si="1"/>
        <v>0</v>
      </c>
      <c r="Q332" s="107" t="s">
        <v>72</v>
      </c>
      <c r="R332" s="108" t="s">
        <v>434</v>
      </c>
      <c r="S332" s="103">
        <f>if(M332,if(and(hour(M332+S$7)&gt;9.5,(hour(M332+S$7)&lt;19.5)),M332+S$7,_xlfn.workday.intl(int(M332),1,"0000001",Holidays!A:A)+hour(M332+S$7-$B$1)/24+minute(M332)/1440),"")</f>
        <v>46195.69896</v>
      </c>
      <c r="T332" s="104">
        <v>46195.61807201389</v>
      </c>
      <c r="U332" s="105" t="s">
        <v>14</v>
      </c>
      <c r="V332" s="109">
        <f t="shared" si="2"/>
        <v>0</v>
      </c>
      <c r="W332" s="110" t="str">
        <f t="shared" si="3"/>
        <v>EMP5009 Rup Kumar Mandal</v>
      </c>
      <c r="X332" s="103">
        <f>if(S332,if(and(hour(S332+X$7)&gt;9.5,(hour(S332+X$7)&lt;19.5)),S332+X$7,_xlfn.workday.intl(int(S332),1,"0000001",Holidays!A:A)+hour(S332+X$7-$B$1)/24+minute(S332)/1440),"")</f>
        <v>46195.80313</v>
      </c>
      <c r="Y332" s="104">
        <v>46195.61815241898</v>
      </c>
      <c r="Z332" s="105" t="s">
        <v>14</v>
      </c>
      <c r="AA332" s="111">
        <f t="shared" si="4"/>
        <v>0</v>
      </c>
      <c r="AB332" s="110" t="str">
        <f t="shared" si="5"/>
        <v>EMP5009 Rup Kumar Mandal</v>
      </c>
      <c r="AC332" s="103">
        <f>if(X332,_xlfn.WORKDAY.INTL(X332,AC$7,"0000001",Holidays!A:A)+hour(X332)/24+MINUTE(X332)/1440,"")</f>
        <v>46196.80278</v>
      </c>
      <c r="AD332" s="104">
        <v>46196.55997984954</v>
      </c>
      <c r="AE332" s="105" t="s">
        <v>14</v>
      </c>
      <c r="AF332" s="111">
        <f t="shared" si="6"/>
        <v>0</v>
      </c>
      <c r="AG332" s="110" t="str">
        <f t="shared" si="7"/>
        <v>EMP5009 Rup Kumar Mandal</v>
      </c>
      <c r="AH332" s="103">
        <f>if(AC332,if(and(hour(AC332+AH$7)&gt;9.5,(hour(AC332+AH$7)&lt;19.5)),AC332+AH$7,_xlfn.workday.intl(int(AC332),1,"0000001",Holidays!A:A)+hour(AC332+AH$7-$B$1)/24+minute(AC332)/1440),"")</f>
        <v>46197.42778</v>
      </c>
      <c r="AI332" s="104">
        <v>46196.778204629634</v>
      </c>
      <c r="AJ332" s="105" t="s">
        <v>14</v>
      </c>
      <c r="AK332" s="111">
        <f t="shared" si="8"/>
        <v>0</v>
      </c>
      <c r="AL332" s="112" t="str">
        <f t="shared" si="9"/>
        <v>EMP5009 Rup Kumar Mandal</v>
      </c>
      <c r="AM332" s="113"/>
      <c r="AN332" s="114" t="s">
        <v>672</v>
      </c>
      <c r="AO332" s="115"/>
      <c r="AP332" s="115"/>
      <c r="AQ332" s="115"/>
      <c r="AR332" s="115"/>
      <c r="AS332" s="115"/>
      <c r="AT332" s="115"/>
      <c r="AU332" s="115"/>
      <c r="AV332" s="115"/>
      <c r="AW332" s="115"/>
      <c r="AX332" s="115"/>
      <c r="AY332" s="115"/>
    </row>
    <row r="333">
      <c r="A333" s="95">
        <f t="shared" si="11"/>
        <v>5284</v>
      </c>
      <c r="B333" s="96">
        <v>46195.65116278935</v>
      </c>
      <c r="C333" s="97" t="s">
        <v>1381</v>
      </c>
      <c r="D333" s="97" t="s">
        <v>1950</v>
      </c>
      <c r="E333" s="98" t="s">
        <v>1951</v>
      </c>
      <c r="F333" s="97"/>
      <c r="G333" s="97" t="s">
        <v>1956</v>
      </c>
      <c r="H333" s="99" t="s">
        <v>138</v>
      </c>
      <c r="I333" s="100" t="s">
        <v>139</v>
      </c>
      <c r="J333" s="101" t="s">
        <v>1420</v>
      </c>
      <c r="K333" s="100"/>
      <c r="L333" s="102" t="s">
        <v>1381</v>
      </c>
      <c r="M333" s="103">
        <f>if(B333,if(and(hour(B333+M$7)&gt;9.5,(hour(B333+M$7)&lt;19.5)),B333+M$7,_xlfn.workday.intl(int(B333),1,"0000001",Holidays!A:A)+hour(B333+M$7-$B$1)/24+minute(B333)/1440),"")</f>
        <v>46195.81783</v>
      </c>
      <c r="N333" s="104">
        <v>46195.71824269676</v>
      </c>
      <c r="O333" s="105" t="s">
        <v>14</v>
      </c>
      <c r="P333" s="106">
        <f t="shared" si="1"/>
        <v>0</v>
      </c>
      <c r="Q333" s="107" t="s">
        <v>72</v>
      </c>
      <c r="R333" s="108" t="s">
        <v>434</v>
      </c>
      <c r="S333" s="103">
        <f>if(M333,if(and(hour(M333+S$7)&gt;9.5,(hour(M333+S$7)&lt;19.5)),M333+S$7,_xlfn.workday.intl(int(M333),1,"0000001",Holidays!A:A)+hour(M333+S$7-$B$1)/24+minute(M333)/1440),"")</f>
        <v>46195.82477</v>
      </c>
      <c r="T333" s="104">
        <v>46195.718442337966</v>
      </c>
      <c r="U333" s="105" t="s">
        <v>14</v>
      </c>
      <c r="V333" s="109">
        <f t="shared" si="2"/>
        <v>0</v>
      </c>
      <c r="W333" s="110" t="str">
        <f t="shared" si="3"/>
        <v>EMP5009 Rup Kumar Mandal</v>
      </c>
      <c r="X333" s="103">
        <f>if(S333,if(and(hour(S333+X$7)&gt;9.5,(hour(S333+X$7)&lt;19.5)),S333+X$7,_xlfn.workday.intl(int(S333),1,"0000001",Holidays!A:A)+hour(S333+X$7-$B$1)/24+minute(S333)/1440),"")</f>
        <v>46196.53264</v>
      </c>
      <c r="Y333" s="104">
        <v>46195.797917013886</v>
      </c>
      <c r="Z333" s="105" t="s">
        <v>14</v>
      </c>
      <c r="AA333" s="111">
        <f t="shared" si="4"/>
        <v>0</v>
      </c>
      <c r="AB333" s="110" t="str">
        <f t="shared" si="5"/>
        <v>EMP5009 Rup Kumar Mandal</v>
      </c>
      <c r="AC333" s="103">
        <f>if(X333,_xlfn.WORKDAY.INTL(X333,AC$7,"0000001",Holidays!A:A)+hour(X333)/24+MINUTE(X333)/1440,"")</f>
        <v>46197.53264</v>
      </c>
      <c r="AD333" s="104">
        <v>46196.77825290509</v>
      </c>
      <c r="AE333" s="105" t="s">
        <v>14</v>
      </c>
      <c r="AF333" s="111">
        <f t="shared" si="6"/>
        <v>0</v>
      </c>
      <c r="AG333" s="110" t="str">
        <f t="shared" si="7"/>
        <v>EMP5009 Rup Kumar Mandal</v>
      </c>
      <c r="AH333" s="103">
        <f>if(AC333,if(and(hour(AC333+AH$7)&gt;9.5,(hour(AC333+AH$7)&lt;19.5)),AC333+AH$7,_xlfn.workday.intl(int(AC333),1,"0000001",Holidays!A:A)+hour(AC333+AH$7-$B$1)/24+minute(AC333)/1440),"")</f>
        <v>46197.57431</v>
      </c>
      <c r="AI333" s="104">
        <v>46196.77829743056</v>
      </c>
      <c r="AJ333" s="105" t="s">
        <v>14</v>
      </c>
      <c r="AK333" s="111">
        <f t="shared" si="8"/>
        <v>0</v>
      </c>
      <c r="AL333" s="112" t="str">
        <f t="shared" si="9"/>
        <v>EMP5009 Rup Kumar Mandal</v>
      </c>
      <c r="AM333" s="113"/>
      <c r="AN333" s="114" t="s">
        <v>672</v>
      </c>
      <c r="AO333" s="115"/>
      <c r="AP333" s="115"/>
      <c r="AQ333" s="115"/>
      <c r="AR333" s="115"/>
      <c r="AS333" s="115"/>
      <c r="AT333" s="115"/>
      <c r="AU333" s="115"/>
      <c r="AV333" s="115"/>
      <c r="AW333" s="115"/>
      <c r="AX333" s="115"/>
      <c r="AY333" s="115"/>
    </row>
    <row r="334">
      <c r="A334" s="95">
        <f t="shared" si="11"/>
        <v>5285</v>
      </c>
      <c r="B334" s="96">
        <v>46195.673588923615</v>
      </c>
      <c r="C334" s="97" t="s">
        <v>136</v>
      </c>
      <c r="D334" s="97" t="s">
        <v>215</v>
      </c>
      <c r="E334" s="98" t="s">
        <v>1957</v>
      </c>
      <c r="F334" s="97"/>
      <c r="G334" s="97" t="s">
        <v>1959</v>
      </c>
      <c r="H334" s="99" t="s">
        <v>62</v>
      </c>
      <c r="I334" s="100" t="s">
        <v>64</v>
      </c>
      <c r="J334" s="101" t="s">
        <v>214</v>
      </c>
      <c r="K334" s="100"/>
      <c r="L334" s="102" t="s">
        <v>1960</v>
      </c>
      <c r="M334" s="103">
        <f>if(B334,if(and(hour(B334+M$7)&gt;9.5,(hour(B334+M$7)&lt;19.5)),B334+M$7,_xlfn.workday.intl(int(B334),1,"0000001",Holidays!A:A)+hour(B334+M$7-$B$1)/24+minute(B334)/1440),"")</f>
        <v>46196.42292</v>
      </c>
      <c r="N334" s="104">
        <v>46195.71825232639</v>
      </c>
      <c r="O334" s="105" t="s">
        <v>14</v>
      </c>
      <c r="P334" s="106">
        <f t="shared" si="1"/>
        <v>0</v>
      </c>
      <c r="Q334" s="107" t="s">
        <v>15</v>
      </c>
      <c r="R334" s="108" t="s">
        <v>434</v>
      </c>
      <c r="S334" s="103">
        <f>if(M334,if(and(hour(M334+S$7)&gt;9.5,(hour(M334+S$7)&lt;19.5)),M334+S$7,_xlfn.workday.intl(int(M334),1,"0000001",Holidays!A:A)+hour(M334+S$7-$B$1)/24+minute(M334)/1440),"")</f>
        <v>46196.42986</v>
      </c>
      <c r="T334" s="104">
        <v>46195.71849506944</v>
      </c>
      <c r="U334" s="105" t="s">
        <v>14</v>
      </c>
      <c r="V334" s="109">
        <f t="shared" si="2"/>
        <v>0</v>
      </c>
      <c r="W334" s="110" t="str">
        <f t="shared" si="3"/>
        <v>EMP0042 HULESHWAR KUMAR SAHU</v>
      </c>
      <c r="X334" s="103">
        <f>if(S334,if(and(hour(S334+X$7)&gt;9.5,(hour(S334+X$7)&lt;19.5)),S334+X$7,_xlfn.workday.intl(int(S334),1,"0000001",Holidays!A:A)+hour(S334+X$7-$B$1)/24+minute(S334)/1440),"")</f>
        <v>46196.53403</v>
      </c>
      <c r="Y334" s="104">
        <v>46195.7978659838</v>
      </c>
      <c r="Z334" s="105" t="s">
        <v>14</v>
      </c>
      <c r="AA334" s="111">
        <f t="shared" si="4"/>
        <v>0</v>
      </c>
      <c r="AB334" s="110" t="str">
        <f t="shared" si="5"/>
        <v>EMP0042 HULESHWAR KUMAR SAHU</v>
      </c>
      <c r="AC334" s="103">
        <f>if(X334,_xlfn.WORKDAY.INTL(X334,AC$7,"0000001",Holidays!A:A)+hour(X334)/24+MINUTE(X334)/1440,"")</f>
        <v>46197.53403</v>
      </c>
      <c r="AD334" s="104">
        <v>46197.49032203703</v>
      </c>
      <c r="AE334" s="105" t="s">
        <v>14</v>
      </c>
      <c r="AF334" s="111">
        <f t="shared" si="6"/>
        <v>0</v>
      </c>
      <c r="AG334" s="110" t="str">
        <f t="shared" si="7"/>
        <v>EMP0042 HULESHWAR KUMAR SAHU</v>
      </c>
      <c r="AH334" s="103">
        <f>if(AC334,if(and(hour(AC334+AH$7)&gt;9.5,(hour(AC334+AH$7)&lt;19.5)),AC334+AH$7,_xlfn.workday.intl(int(AC334),1,"0000001",Holidays!A:A)+hour(AC334+AH$7-$B$1)/24+minute(AC334)/1440),"")</f>
        <v>46197.57569</v>
      </c>
      <c r="AI334" s="104">
        <v>46197.49038670139</v>
      </c>
      <c r="AJ334" s="105" t="s">
        <v>14</v>
      </c>
      <c r="AK334" s="111">
        <f t="shared" si="8"/>
        <v>0</v>
      </c>
      <c r="AL334" s="112" t="str">
        <f t="shared" si="9"/>
        <v>EMP0042 HULESHWAR KUMAR SAHU</v>
      </c>
      <c r="AM334" s="113"/>
      <c r="AN334" s="114" t="s">
        <v>672</v>
      </c>
      <c r="AO334" s="115"/>
      <c r="AP334" s="115"/>
      <c r="AQ334" s="115"/>
      <c r="AR334" s="115"/>
      <c r="AS334" s="115"/>
      <c r="AT334" s="115"/>
      <c r="AU334" s="115"/>
      <c r="AV334" s="115"/>
      <c r="AW334" s="115"/>
      <c r="AX334" s="115"/>
      <c r="AY334" s="115"/>
    </row>
    <row r="335">
      <c r="A335" s="95">
        <f t="shared" si="11"/>
        <v>5286</v>
      </c>
      <c r="B335" s="96">
        <v>46196.589236064814</v>
      </c>
      <c r="C335" s="97">
        <v>2781.0</v>
      </c>
      <c r="D335" s="97" t="s">
        <v>255</v>
      </c>
      <c r="E335" s="98" t="s">
        <v>1961</v>
      </c>
      <c r="F335" s="97"/>
      <c r="G335" s="97" t="s">
        <v>330</v>
      </c>
      <c r="H335" s="99" t="s">
        <v>103</v>
      </c>
      <c r="I335" s="100" t="s">
        <v>64</v>
      </c>
      <c r="J335" s="101" t="s">
        <v>254</v>
      </c>
      <c r="K335" s="100"/>
      <c r="L335" s="102" t="s">
        <v>261</v>
      </c>
      <c r="M335" s="103">
        <f>if(B335,if(and(hour(B335+M$7)&gt;9.5,(hour(B335+M$7)&lt;19.5)),B335+M$7,_xlfn.workday.intl(int(B335),1,"0000001",Holidays!A:A)+hour(B335+M$7-$B$1)/24+minute(B335)/1440),"")</f>
        <v>46196.7559</v>
      </c>
      <c r="N335" s="104">
        <v>46196.777947581024</v>
      </c>
      <c r="O335" s="105" t="s">
        <v>14</v>
      </c>
      <c r="P335" s="106">
        <f t="shared" si="1"/>
        <v>0.02204484955</v>
      </c>
      <c r="Q335" s="107" t="s">
        <v>72</v>
      </c>
      <c r="R335" s="108" t="s">
        <v>434</v>
      </c>
      <c r="S335" s="103">
        <f>if(M335,if(and(hour(M335+S$7)&gt;9.5,(hour(M335+S$7)&lt;19.5)),M335+S$7,_xlfn.workday.intl(int(M335),1,"0000001",Holidays!A:A)+hour(M335+S$7-$B$1)/24+minute(M335)/1440),"")</f>
        <v>46196.76285</v>
      </c>
      <c r="T335" s="104">
        <v>46196.77801375</v>
      </c>
      <c r="U335" s="105" t="s">
        <v>14</v>
      </c>
      <c r="V335" s="109">
        <f t="shared" si="2"/>
        <v>0.01516657408</v>
      </c>
      <c r="W335" s="110" t="str">
        <f t="shared" si="3"/>
        <v>EMP5009 Rup Kumar Mandal</v>
      </c>
      <c r="X335" s="103">
        <f>if(S335,if(and(hour(S335+X$7)&gt;9.5,(hour(S335+X$7)&lt;19.5)),S335+X$7,_xlfn.workday.intl(int(S335),1,"0000001",Holidays!A:A)+hour(S335+X$7-$B$1)/24+minute(S335)/1440),"")</f>
        <v>46197.42917</v>
      </c>
      <c r="Y335" s="104">
        <v>46196.77804077546</v>
      </c>
      <c r="Z335" s="105" t="s">
        <v>14</v>
      </c>
      <c r="AA335" s="111">
        <f t="shared" si="4"/>
        <v>0</v>
      </c>
      <c r="AB335" s="110" t="str">
        <f t="shared" si="5"/>
        <v>EMP5009 Rup Kumar Mandal</v>
      </c>
      <c r="AC335" s="103">
        <f>if(X335,_xlfn.WORKDAY.INTL(X335,AC$7,"0000001",Holidays!A:A)+hour(X335)/24+MINUTE(X335)/1440,"")</f>
        <v>46198.42917</v>
      </c>
      <c r="AD335" s="104">
        <v>46198.406847094906</v>
      </c>
      <c r="AE335" s="105" t="s">
        <v>14</v>
      </c>
      <c r="AF335" s="111">
        <f t="shared" si="6"/>
        <v>0</v>
      </c>
      <c r="AG335" s="110" t="str">
        <f t="shared" si="7"/>
        <v>EMP5009 Rup Kumar Mandal</v>
      </c>
      <c r="AH335" s="103">
        <f>if(AC335,if(and(hour(AC335+AH$7)&gt;9.5,(hour(AC335+AH$7)&lt;19.5)),AC335+AH$7,_xlfn.workday.intl(int(AC335),1,"0000001",Holidays!A:A)+hour(AC335+AH$7-$B$1)/24+minute(AC335)/1440),"")</f>
        <v>46198.47083</v>
      </c>
      <c r="AI335" s="104">
        <v>46198.406896863424</v>
      </c>
      <c r="AJ335" s="105" t="s">
        <v>14</v>
      </c>
      <c r="AK335" s="111">
        <f t="shared" si="8"/>
        <v>0</v>
      </c>
      <c r="AL335" s="112" t="str">
        <f t="shared" si="9"/>
        <v>EMP5009 Rup Kumar Mandal</v>
      </c>
      <c r="AM335" s="113"/>
      <c r="AN335" s="114" t="s">
        <v>672</v>
      </c>
      <c r="AO335" s="115"/>
      <c r="AP335" s="115"/>
      <c r="AQ335" s="115"/>
      <c r="AR335" s="115"/>
      <c r="AS335" s="115"/>
      <c r="AT335" s="115"/>
      <c r="AU335" s="115"/>
      <c r="AV335" s="115"/>
      <c r="AW335" s="115"/>
      <c r="AX335" s="115"/>
      <c r="AY335" s="115"/>
    </row>
    <row r="336">
      <c r="A336" s="95">
        <f t="shared" si="11"/>
        <v>5287</v>
      </c>
      <c r="B336" s="96">
        <v>46197.486795289355</v>
      </c>
      <c r="C336" s="97" t="s">
        <v>74</v>
      </c>
      <c r="D336" s="97" t="s">
        <v>1212</v>
      </c>
      <c r="E336" s="98" t="s">
        <v>1964</v>
      </c>
      <c r="F336" s="97"/>
      <c r="G336" s="97" t="s">
        <v>1886</v>
      </c>
      <c r="H336" s="99" t="s">
        <v>138</v>
      </c>
      <c r="I336" s="100" t="s">
        <v>64</v>
      </c>
      <c r="J336" s="101" t="s">
        <v>1211</v>
      </c>
      <c r="K336" s="100"/>
      <c r="L336" s="102" t="s">
        <v>1967</v>
      </c>
      <c r="M336" s="103">
        <f>if(B336,if(and(hour(B336+M$7)&gt;9.5,(hour(B336+M$7)&lt;19.5)),B336+M$7,_xlfn.workday.intl(int(B336),1,"0000001",Holidays!A:A)+hour(B336+M$7-$B$1)/24+minute(B336)/1440),"")</f>
        <v>46197.65346</v>
      </c>
      <c r="N336" s="104">
        <v>46197.490100532406</v>
      </c>
      <c r="O336" s="105" t="s">
        <v>14</v>
      </c>
      <c r="P336" s="106">
        <f t="shared" si="1"/>
        <v>0</v>
      </c>
      <c r="Q336" s="107" t="s">
        <v>48</v>
      </c>
      <c r="R336" s="108" t="s">
        <v>434</v>
      </c>
      <c r="S336" s="103">
        <f>if(M336,if(and(hour(M336+S$7)&gt;9.5,(hour(M336+S$7)&lt;19.5)),M336+S$7,_xlfn.workday.intl(int(M336),1,"0000001",Holidays!A:A)+hour(M336+S$7-$B$1)/24+minute(M336)/1440),"")</f>
        <v>46197.66041</v>
      </c>
      <c r="T336" s="104">
        <v>46197.490248194445</v>
      </c>
      <c r="U336" s="105" t="s">
        <v>14</v>
      </c>
      <c r="V336" s="109">
        <f t="shared" si="2"/>
        <v>0</v>
      </c>
      <c r="W336" s="110" t="str">
        <f t="shared" si="3"/>
        <v>EMP0237 Swarnendu Chakraborty</v>
      </c>
      <c r="X336" s="103">
        <f>if(S336,if(and(hour(S336+X$7)&gt;9.5,(hour(S336+X$7)&lt;19.5)),S336+X$7,_xlfn.workday.intl(int(S336),1,"0000001",Holidays!A:A)+hour(S336+X$7-$B$1)/24+minute(S336)/1440),"")</f>
        <v>46197.76457</v>
      </c>
      <c r="Y336" s="104">
        <v>46197.561658715276</v>
      </c>
      <c r="Z336" s="105" t="s">
        <v>14</v>
      </c>
      <c r="AA336" s="111">
        <f t="shared" si="4"/>
        <v>0</v>
      </c>
      <c r="AB336" s="110" t="str">
        <f t="shared" si="5"/>
        <v>EMP0237 Swarnendu Chakraborty</v>
      </c>
      <c r="AC336" s="103">
        <f>if(X336,_xlfn.WORKDAY.INTL(X336,AC$7,"0000001",Holidays!A:A)+hour(X336)/24+MINUTE(X336)/1440,"")</f>
        <v>46198.76389</v>
      </c>
      <c r="AD336" s="104">
        <v>46198.47336199074</v>
      </c>
      <c r="AE336" s="105" t="s">
        <v>14</v>
      </c>
      <c r="AF336" s="111">
        <f t="shared" si="6"/>
        <v>0</v>
      </c>
      <c r="AG336" s="110" t="str">
        <f t="shared" si="7"/>
        <v>EMP0237 Swarnendu Chakraborty</v>
      </c>
      <c r="AH336" s="103">
        <f>if(AC336,if(and(hour(AC336+AH$7)&gt;9.5,(hour(AC336+AH$7)&lt;19.5)),AC336+AH$7,_xlfn.workday.intl(int(AC336),1,"0000001",Holidays!A:A)+hour(AC336+AH$7-$B$1)/24+minute(AC336)/1440),"")</f>
        <v>46198.80556</v>
      </c>
      <c r="AI336" s="104">
        <v>46198.47339326389</v>
      </c>
      <c r="AJ336" s="105" t="s">
        <v>14</v>
      </c>
      <c r="AK336" s="111">
        <f t="shared" si="8"/>
        <v>0</v>
      </c>
      <c r="AL336" s="112" t="str">
        <f t="shared" si="9"/>
        <v>EMP0237 Swarnendu Chakraborty</v>
      </c>
      <c r="AM336" s="113"/>
      <c r="AN336" s="114" t="s">
        <v>672</v>
      </c>
      <c r="AO336" s="115"/>
      <c r="AP336" s="115"/>
      <c r="AQ336" s="115"/>
      <c r="AR336" s="115"/>
      <c r="AS336" s="115"/>
      <c r="AT336" s="115"/>
      <c r="AU336" s="115"/>
      <c r="AV336" s="115"/>
      <c r="AW336" s="115"/>
      <c r="AX336" s="115"/>
      <c r="AY336" s="115"/>
    </row>
    <row r="337">
      <c r="A337" s="95">
        <f t="shared" si="11"/>
        <v>5288</v>
      </c>
      <c r="B337" s="96">
        <v>46197.51667282407</v>
      </c>
      <c r="C337" s="97" t="s">
        <v>1397</v>
      </c>
      <c r="D337" s="97" t="s">
        <v>1969</v>
      </c>
      <c r="E337" s="98" t="s">
        <v>1970</v>
      </c>
      <c r="F337" s="97"/>
      <c r="G337" s="97" t="s">
        <v>1973</v>
      </c>
      <c r="H337" s="99" t="s">
        <v>147</v>
      </c>
      <c r="I337" s="100" t="s">
        <v>237</v>
      </c>
      <c r="J337" s="101" t="s">
        <v>1968</v>
      </c>
      <c r="K337" s="100"/>
      <c r="L337" s="102" t="s">
        <v>1974</v>
      </c>
      <c r="M337" s="103">
        <f>if(B337,if(and(hour(B337+M$7)&gt;9.5,(hour(B337+M$7)&lt;19.5)),B337+M$7,_xlfn.workday.intl(int(B337),1,"0000001",Holidays!A:A)+hour(B337+M$7-$B$1)/24+minute(B337)/1440),"")</f>
        <v>46197.68334</v>
      </c>
      <c r="N337" s="104">
        <v>46197.51777659722</v>
      </c>
      <c r="O337" s="105" t="s">
        <v>14</v>
      </c>
      <c r="P337" s="106">
        <f t="shared" si="1"/>
        <v>0</v>
      </c>
      <c r="Q337" s="107" t="s">
        <v>15</v>
      </c>
      <c r="R337" s="108" t="s">
        <v>434</v>
      </c>
      <c r="S337" s="103">
        <f>if(M337,if(and(hour(M337+S$7)&gt;9.5,(hour(M337+S$7)&lt;19.5)),M337+S$7,_xlfn.workday.intl(int(M337),1,"0000001",Holidays!A:A)+hour(M337+S$7-$B$1)/24+minute(M337)/1440),"")</f>
        <v>46197.69028</v>
      </c>
      <c r="T337" s="104">
        <v>46197.51805219907</v>
      </c>
      <c r="U337" s="105" t="s">
        <v>14</v>
      </c>
      <c r="V337" s="109">
        <f t="shared" si="2"/>
        <v>0</v>
      </c>
      <c r="W337" s="110" t="str">
        <f t="shared" si="3"/>
        <v>EMP0042 HULESHWAR KUMAR SAHU</v>
      </c>
      <c r="X337" s="103">
        <f>if(S337,if(and(hour(S337+X$7)&gt;9.5,(hour(S337+X$7)&lt;19.5)),S337+X$7,_xlfn.workday.intl(int(S337),1,"0000001",Holidays!A:A)+hour(S337+X$7-$B$1)/24+minute(S337)/1440),"")</f>
        <v>46197.79445</v>
      </c>
      <c r="Y337" s="104">
        <v>46197.51809893519</v>
      </c>
      <c r="Z337" s="105" t="s">
        <v>14</v>
      </c>
      <c r="AA337" s="111">
        <f t="shared" si="4"/>
        <v>0</v>
      </c>
      <c r="AB337" s="110" t="str">
        <f t="shared" si="5"/>
        <v>EMP0042 HULESHWAR KUMAR SAHU</v>
      </c>
      <c r="AC337" s="103">
        <f>if(X337,_xlfn.WORKDAY.INTL(X337,AC$7,"0000001",Holidays!A:A)+hour(X337)/24+MINUTE(X337)/1440,"")</f>
        <v>46198.79444</v>
      </c>
      <c r="AD337" s="104">
        <v>46197.628656076384</v>
      </c>
      <c r="AE337" s="105" t="s">
        <v>14</v>
      </c>
      <c r="AF337" s="111">
        <f t="shared" si="6"/>
        <v>0</v>
      </c>
      <c r="AG337" s="110" t="str">
        <f t="shared" si="7"/>
        <v>EMP0042 HULESHWAR KUMAR SAHU</v>
      </c>
      <c r="AH337" s="103">
        <f>if(AC337,if(and(hour(AC337+AH$7)&gt;9.5,(hour(AC337+AH$7)&lt;19.5)),AC337+AH$7,_xlfn.workday.intl(int(AC337),1,"0000001",Holidays!A:A)+hour(AC337+AH$7-$B$1)/24+minute(AC337)/1440),"")</f>
        <v>46199.41944</v>
      </c>
      <c r="AI337" s="104">
        <v>46197.628682511575</v>
      </c>
      <c r="AJ337" s="105" t="s">
        <v>14</v>
      </c>
      <c r="AK337" s="111">
        <f t="shared" si="8"/>
        <v>0</v>
      </c>
      <c r="AL337" s="112" t="str">
        <f t="shared" si="9"/>
        <v>EMP0042 HULESHWAR KUMAR SAHU</v>
      </c>
      <c r="AM337" s="113"/>
      <c r="AN337" s="114" t="s">
        <v>672</v>
      </c>
      <c r="AO337" s="115"/>
      <c r="AP337" s="115"/>
      <c r="AQ337" s="115"/>
      <c r="AR337" s="115"/>
      <c r="AS337" s="115"/>
      <c r="AT337" s="115"/>
      <c r="AU337" s="115"/>
      <c r="AV337" s="115"/>
      <c r="AW337" s="115"/>
      <c r="AX337" s="115"/>
      <c r="AY337" s="115"/>
    </row>
    <row r="338">
      <c r="A338" s="95">
        <f t="shared" si="11"/>
        <v>5289</v>
      </c>
      <c r="B338" s="96">
        <v>46197.52567299768</v>
      </c>
      <c r="C338" s="97" t="s">
        <v>1403</v>
      </c>
      <c r="D338" s="97" t="s">
        <v>186</v>
      </c>
      <c r="E338" s="98" t="s">
        <v>1977</v>
      </c>
      <c r="F338" s="97"/>
      <c r="G338" s="97" t="s">
        <v>1980</v>
      </c>
      <c r="H338" s="99" t="s">
        <v>126</v>
      </c>
      <c r="I338" s="100" t="s">
        <v>64</v>
      </c>
      <c r="J338" s="101" t="s">
        <v>303</v>
      </c>
      <c r="K338" s="100"/>
      <c r="L338" s="102" t="s">
        <v>1981</v>
      </c>
      <c r="M338" s="103">
        <f>if(B338,if(and(hour(B338+M$7)&gt;9.5,(hour(B338+M$7)&lt;19.5)),B338+M$7,_xlfn.workday.intl(int(B338),1,"0000001",Holidays!A:A)+hour(B338+M$7-$B$1)/24+minute(B338)/1440),"")</f>
        <v>46197.69234</v>
      </c>
      <c r="N338" s="104">
        <v>46197.54557239583</v>
      </c>
      <c r="O338" s="105" t="s">
        <v>14</v>
      </c>
      <c r="P338" s="106">
        <f t="shared" si="1"/>
        <v>0</v>
      </c>
      <c r="Q338" s="107" t="s">
        <v>15</v>
      </c>
      <c r="R338" s="108" t="s">
        <v>434</v>
      </c>
      <c r="S338" s="103">
        <f>if(M338,if(and(hour(M338+S$7)&gt;9.5,(hour(M338+S$7)&lt;19.5)),M338+S$7,_xlfn.workday.intl(int(M338),1,"0000001",Holidays!A:A)+hour(M338+S$7-$B$1)/24+minute(M338)/1440),"")</f>
        <v>46197.69928</v>
      </c>
      <c r="T338" s="104">
        <v>46197.5457237963</v>
      </c>
      <c r="U338" s="105" t="s">
        <v>14</v>
      </c>
      <c r="V338" s="109">
        <f t="shared" si="2"/>
        <v>0</v>
      </c>
      <c r="W338" s="110" t="str">
        <f t="shared" si="3"/>
        <v>EMP0042 HULESHWAR KUMAR SAHU</v>
      </c>
      <c r="X338" s="103">
        <f>if(S338,if(and(hour(S338+X$7)&gt;9.5,(hour(S338+X$7)&lt;19.5)),S338+X$7,_xlfn.workday.intl(int(S338),1,"0000001",Holidays!A:A)+hour(S338+X$7-$B$1)/24+minute(S338)/1440),"")</f>
        <v>46197.80345</v>
      </c>
      <c r="Y338" s="104">
        <v>46197.54582179398</v>
      </c>
      <c r="Z338" s="105" t="s">
        <v>14</v>
      </c>
      <c r="AA338" s="111">
        <f t="shared" si="4"/>
        <v>0</v>
      </c>
      <c r="AB338" s="110" t="str">
        <f t="shared" si="5"/>
        <v>EMP0042 HULESHWAR KUMAR SAHU</v>
      </c>
      <c r="AC338" s="103">
        <f>if(X338,_xlfn.WORKDAY.INTL(X338,AC$7,"0000001",Holidays!A:A)+hour(X338)/24+MINUTE(X338)/1440,"")</f>
        <v>46198.80278</v>
      </c>
      <c r="AD338" s="104">
        <v>46197.58766928241</v>
      </c>
      <c r="AE338" s="105" t="s">
        <v>14</v>
      </c>
      <c r="AF338" s="111">
        <f t="shared" si="6"/>
        <v>0</v>
      </c>
      <c r="AG338" s="110" t="str">
        <f t="shared" si="7"/>
        <v>EMP0042 HULESHWAR KUMAR SAHU</v>
      </c>
      <c r="AH338" s="103">
        <f>if(AC338,if(and(hour(AC338+AH$7)&gt;9.5,(hour(AC338+AH$7)&lt;19.5)),AC338+AH$7,_xlfn.workday.intl(int(AC338),1,"0000001",Holidays!A:A)+hour(AC338+AH$7-$B$1)/24+minute(AC338)/1440),"")</f>
        <v>46199.42778</v>
      </c>
      <c r="AI338" s="104">
        <v>46197.587793784725</v>
      </c>
      <c r="AJ338" s="105" t="s">
        <v>14</v>
      </c>
      <c r="AK338" s="111">
        <f t="shared" si="8"/>
        <v>0</v>
      </c>
      <c r="AL338" s="112" t="str">
        <f t="shared" si="9"/>
        <v>EMP0042 HULESHWAR KUMAR SAHU</v>
      </c>
      <c r="AM338" s="113"/>
      <c r="AN338" s="114" t="s">
        <v>672</v>
      </c>
      <c r="AO338" s="115"/>
      <c r="AP338" s="115"/>
      <c r="AQ338" s="115"/>
      <c r="AR338" s="115"/>
      <c r="AS338" s="115"/>
      <c r="AT338" s="115"/>
      <c r="AU338" s="115"/>
      <c r="AV338" s="115"/>
      <c r="AW338" s="115"/>
      <c r="AX338" s="115"/>
      <c r="AY338" s="115"/>
    </row>
    <row r="339">
      <c r="A339" s="95">
        <f t="shared" si="11"/>
        <v>5290</v>
      </c>
      <c r="B339" s="96">
        <v>46197.53994415509</v>
      </c>
      <c r="C339" s="97" t="s">
        <v>1406</v>
      </c>
      <c r="D339" s="97" t="s">
        <v>1983</v>
      </c>
      <c r="E339" s="98" t="s">
        <v>1984</v>
      </c>
      <c r="F339" s="97"/>
      <c r="G339" s="97" t="s">
        <v>1986</v>
      </c>
      <c r="H339" s="99" t="s">
        <v>138</v>
      </c>
      <c r="I339" s="100" t="s">
        <v>237</v>
      </c>
      <c r="J339" s="101" t="s">
        <v>1982</v>
      </c>
      <c r="K339" s="100"/>
      <c r="L339" s="102" t="s">
        <v>1987</v>
      </c>
      <c r="M339" s="103">
        <f>if(B339,if(and(hour(B339+M$7)&gt;9.5,(hour(B339+M$7)&lt;19.5)),B339+M$7,_xlfn.workday.intl(int(B339),1,"0000001",Holidays!A:A)+hour(B339+M$7-$B$1)/24+minute(B339)/1440),"")</f>
        <v>46197.70661</v>
      </c>
      <c r="N339" s="104">
        <v>46197.54561087963</v>
      </c>
      <c r="O339" s="105" t="s">
        <v>14</v>
      </c>
      <c r="P339" s="106">
        <f t="shared" si="1"/>
        <v>0</v>
      </c>
      <c r="Q339" s="107" t="s">
        <v>15</v>
      </c>
      <c r="R339" s="108" t="s">
        <v>434</v>
      </c>
      <c r="S339" s="103">
        <f>if(M339,if(and(hour(M339+S$7)&gt;9.5,(hour(M339+S$7)&lt;19.5)),M339+S$7,_xlfn.workday.intl(int(M339),1,"0000001",Holidays!A:A)+hour(M339+S$7-$B$1)/24+minute(M339)/1440),"")</f>
        <v>46197.71356</v>
      </c>
      <c r="T339" s="104">
        <v>46197.54574475695</v>
      </c>
      <c r="U339" s="105" t="s">
        <v>14</v>
      </c>
      <c r="V339" s="109">
        <f t="shared" si="2"/>
        <v>0</v>
      </c>
      <c r="W339" s="110" t="str">
        <f t="shared" si="3"/>
        <v>EMP0042 HULESHWAR KUMAR SAHU</v>
      </c>
      <c r="X339" s="103">
        <f>if(S339,if(and(hour(S339+X$7)&gt;9.5,(hour(S339+X$7)&lt;19.5)),S339+X$7,_xlfn.workday.intl(int(S339),1,"0000001",Holidays!A:A)+hour(S339+X$7-$B$1)/24+minute(S339)/1440),"")</f>
        <v>46197.81772</v>
      </c>
      <c r="Y339" s="104">
        <v>46197.545843217595</v>
      </c>
      <c r="Z339" s="105" t="s">
        <v>14</v>
      </c>
      <c r="AA339" s="111">
        <f t="shared" si="4"/>
        <v>0</v>
      </c>
      <c r="AB339" s="110" t="str">
        <f t="shared" si="5"/>
        <v>EMP0042 HULESHWAR KUMAR SAHU</v>
      </c>
      <c r="AC339" s="103">
        <f>if(X339,_xlfn.WORKDAY.INTL(X339,AC$7,"0000001",Holidays!A:A)+hour(X339)/24+MINUTE(X339)/1440,"")</f>
        <v>46198.81736</v>
      </c>
      <c r="AD339" s="104">
        <v>46197.80340563657</v>
      </c>
      <c r="AE339" s="105" t="s">
        <v>14</v>
      </c>
      <c r="AF339" s="111">
        <f t="shared" si="6"/>
        <v>0</v>
      </c>
      <c r="AG339" s="110" t="str">
        <f t="shared" si="7"/>
        <v>EMP0042 HULESHWAR KUMAR SAHU</v>
      </c>
      <c r="AH339" s="103">
        <f>if(AC339,if(and(hour(AC339+AH$7)&gt;9.5,(hour(AC339+AH$7)&lt;19.5)),AC339+AH$7,_xlfn.workday.intl(int(AC339),1,"0000001",Holidays!A:A)+hour(AC339+AH$7-$B$1)/24+minute(AC339)/1440),"")</f>
        <v>46199.44236</v>
      </c>
      <c r="AI339" s="104">
        <v>46197.80344268518</v>
      </c>
      <c r="AJ339" s="105" t="s">
        <v>14</v>
      </c>
      <c r="AK339" s="111">
        <f t="shared" si="8"/>
        <v>0</v>
      </c>
      <c r="AL339" s="112" t="str">
        <f t="shared" si="9"/>
        <v>EMP0042 HULESHWAR KUMAR SAHU</v>
      </c>
      <c r="AM339" s="113"/>
      <c r="AN339" s="114" t="s">
        <v>672</v>
      </c>
      <c r="AO339" s="115"/>
      <c r="AP339" s="115"/>
      <c r="AQ339" s="115"/>
      <c r="AR339" s="115"/>
      <c r="AS339" s="115"/>
      <c r="AT339" s="115"/>
      <c r="AU339" s="115"/>
      <c r="AV339" s="115"/>
      <c r="AW339" s="115"/>
      <c r="AX339" s="115"/>
      <c r="AY339" s="115"/>
    </row>
    <row r="340">
      <c r="A340" s="95">
        <f t="shared" si="11"/>
        <v>5291</v>
      </c>
      <c r="B340" s="96">
        <v>46197.55204361111</v>
      </c>
      <c r="C340" s="97" t="s">
        <v>1410</v>
      </c>
      <c r="D340" s="97" t="s">
        <v>277</v>
      </c>
      <c r="E340" s="98" t="s">
        <v>1990</v>
      </c>
      <c r="F340" s="97"/>
      <c r="G340" s="97" t="s">
        <v>281</v>
      </c>
      <c r="H340" s="99" t="s">
        <v>147</v>
      </c>
      <c r="I340" s="100" t="s">
        <v>64</v>
      </c>
      <c r="J340" s="101" t="s">
        <v>67</v>
      </c>
      <c r="K340" s="100"/>
      <c r="L340" s="102" t="s">
        <v>1993</v>
      </c>
      <c r="M340" s="103">
        <f>if(B340,if(and(hour(B340+M$7)&gt;9.5,(hour(B340+M$7)&lt;19.5)),B340+M$7,_xlfn.workday.intl(int(B340),1,"0000001",Holidays!A:A)+hour(B340+M$7-$B$1)/24+minute(B340)/1440),"")</f>
        <v>46197.71871</v>
      </c>
      <c r="N340" s="104">
        <v>46197.56126699074</v>
      </c>
      <c r="O340" s="105" t="s">
        <v>14</v>
      </c>
      <c r="P340" s="106">
        <f t="shared" si="1"/>
        <v>0</v>
      </c>
      <c r="Q340" s="107" t="s">
        <v>48</v>
      </c>
      <c r="R340" s="108" t="s">
        <v>434</v>
      </c>
      <c r="S340" s="103">
        <f>if(M340,if(and(hour(M340+S$7)&gt;9.5,(hour(M340+S$7)&lt;19.5)),M340+S$7,_xlfn.workday.intl(int(M340),1,"0000001",Holidays!A:A)+hour(M340+S$7-$B$1)/24+minute(M340)/1440),"")</f>
        <v>46197.72565</v>
      </c>
      <c r="T340" s="104">
        <v>46197.56148263889</v>
      </c>
      <c r="U340" s="105" t="s">
        <v>14</v>
      </c>
      <c r="V340" s="109">
        <f t="shared" si="2"/>
        <v>0</v>
      </c>
      <c r="W340" s="110" t="str">
        <f t="shared" si="3"/>
        <v>EMP0237 Swarnendu Chakraborty</v>
      </c>
      <c r="X340" s="103">
        <f>if(S340,if(and(hour(S340+X$7)&gt;9.5,(hour(S340+X$7)&lt;19.5)),S340+X$7,_xlfn.workday.intl(int(S340),1,"0000001",Holidays!A:A)+hour(S340+X$7-$B$1)/24+minute(S340)/1440),"")</f>
        <v>46197.82982</v>
      </c>
      <c r="Y340" s="104">
        <v>46197.561598622684</v>
      </c>
      <c r="Z340" s="105" t="s">
        <v>14</v>
      </c>
      <c r="AA340" s="111">
        <f t="shared" si="4"/>
        <v>0</v>
      </c>
      <c r="AB340" s="110" t="str">
        <f t="shared" si="5"/>
        <v>EMP0237 Swarnendu Chakraborty</v>
      </c>
      <c r="AC340" s="103">
        <f>if(X340,_xlfn.WORKDAY.INTL(X340,AC$7,"0000001",Holidays!A:A)+hour(X340)/24+MINUTE(X340)/1440,"")</f>
        <v>46198.82917</v>
      </c>
      <c r="AD340" s="104">
        <v>46198.498661273145</v>
      </c>
      <c r="AE340" s="105" t="s">
        <v>14</v>
      </c>
      <c r="AF340" s="111">
        <f t="shared" si="6"/>
        <v>0</v>
      </c>
      <c r="AG340" s="110" t="str">
        <f t="shared" si="7"/>
        <v>EMP0237 Swarnendu Chakraborty</v>
      </c>
      <c r="AH340" s="103">
        <f>if(AC340,if(and(hour(AC340+AH$7)&gt;9.5,(hour(AC340+AH$7)&lt;19.5)),AC340+AH$7,_xlfn.workday.intl(int(AC340),1,"0000001",Holidays!A:A)+hour(AC340+AH$7-$B$1)/24+minute(AC340)/1440),"")</f>
        <v>46199.45417</v>
      </c>
      <c r="AI340" s="104">
        <v>46199.454086655096</v>
      </c>
      <c r="AJ340" s="105" t="s">
        <v>14</v>
      </c>
      <c r="AK340" s="111">
        <f t="shared" si="8"/>
        <v>0</v>
      </c>
      <c r="AL340" s="112" t="str">
        <f t="shared" si="9"/>
        <v>EMP0237 Swarnendu Chakraborty</v>
      </c>
      <c r="AM340" s="113"/>
      <c r="AN340" s="114" t="s">
        <v>672</v>
      </c>
      <c r="AO340" s="115"/>
      <c r="AP340" s="115"/>
      <c r="AQ340" s="115"/>
      <c r="AR340" s="115"/>
      <c r="AS340" s="115"/>
      <c r="AT340" s="115"/>
      <c r="AU340" s="115"/>
      <c r="AV340" s="115"/>
      <c r="AW340" s="115"/>
      <c r="AX340" s="115"/>
      <c r="AY340" s="115"/>
    </row>
    <row r="341">
      <c r="A341" s="95">
        <f t="shared" si="11"/>
        <v>5292</v>
      </c>
      <c r="B341" s="96">
        <v>46197.55941475694</v>
      </c>
      <c r="C341" s="97" t="s">
        <v>1298</v>
      </c>
      <c r="D341" s="97" t="s">
        <v>357</v>
      </c>
      <c r="E341" s="98" t="s">
        <v>1994</v>
      </c>
      <c r="F341" s="97"/>
      <c r="G341" s="97" t="s">
        <v>1997</v>
      </c>
      <c r="H341" s="99" t="s">
        <v>62</v>
      </c>
      <c r="I341" s="100" t="s">
        <v>64</v>
      </c>
      <c r="J341" s="101" t="s">
        <v>1253</v>
      </c>
      <c r="K341" s="100"/>
      <c r="L341" s="102" t="s">
        <v>492</v>
      </c>
      <c r="M341" s="103">
        <f>if(B341,if(and(hour(B341+M$7)&gt;9.5,(hour(B341+M$7)&lt;19.5)),B341+M$7,_xlfn.workday.intl(int(B341),1,"0000001",Holidays!A:A)+hour(B341+M$7-$B$1)/24+minute(B341)/1440),"")</f>
        <v>46197.72608</v>
      </c>
      <c r="N341" s="104">
        <v>46197.56128840278</v>
      </c>
      <c r="O341" s="105" t="s">
        <v>14</v>
      </c>
      <c r="P341" s="106">
        <f t="shared" si="1"/>
        <v>0</v>
      </c>
      <c r="Q341" s="107" t="s">
        <v>48</v>
      </c>
      <c r="R341" s="108" t="s">
        <v>434</v>
      </c>
      <c r="S341" s="103">
        <f>if(M341,if(and(hour(M341+S$7)&gt;9.5,(hour(M341+S$7)&lt;19.5)),M341+S$7,_xlfn.workday.intl(int(M341),1,"0000001",Holidays!A:A)+hour(M341+S$7-$B$1)/24+minute(M341)/1440),"")</f>
        <v>46197.73303</v>
      </c>
      <c r="T341" s="104">
        <v>46197.56149847222</v>
      </c>
      <c r="U341" s="105" t="s">
        <v>14</v>
      </c>
      <c r="V341" s="109">
        <f t="shared" si="2"/>
        <v>0</v>
      </c>
      <c r="W341" s="110" t="str">
        <f t="shared" si="3"/>
        <v>EMP0237 Swarnendu Chakraborty</v>
      </c>
      <c r="X341" s="103">
        <f>if(S341,if(and(hour(S341+X$7)&gt;9.5,(hour(S341+X$7)&lt;19.5)),S341+X$7,_xlfn.workday.intl(int(S341),1,"0000001",Holidays!A:A)+hour(S341+X$7-$B$1)/24+minute(S341)/1440),"")</f>
        <v>46198.44097</v>
      </c>
      <c r="Y341" s="104">
        <v>46197.561616203704</v>
      </c>
      <c r="Z341" s="105" t="s">
        <v>14</v>
      </c>
      <c r="AA341" s="111">
        <f t="shared" si="4"/>
        <v>0</v>
      </c>
      <c r="AB341" s="110" t="str">
        <f t="shared" si="5"/>
        <v>EMP0237 Swarnendu Chakraborty</v>
      </c>
      <c r="AC341" s="103">
        <f>if(X341,_xlfn.WORKDAY.INTL(X341,AC$7,"0000001",Holidays!A:A)+hour(X341)/24+MINUTE(X341)/1440,"")</f>
        <v>46199.44097</v>
      </c>
      <c r="AD341" s="104">
        <v>46199.45384120371</v>
      </c>
      <c r="AE341" s="105" t="s">
        <v>14</v>
      </c>
      <c r="AF341" s="111">
        <f t="shared" si="6"/>
        <v>0.01286898149</v>
      </c>
      <c r="AG341" s="110" t="str">
        <f t="shared" si="7"/>
        <v>EMP0237 Swarnendu Chakraborty</v>
      </c>
      <c r="AH341" s="103">
        <f>if(AC341,if(and(hour(AC341+AH$7)&gt;9.5,(hour(AC341+AH$7)&lt;19.5)),AC341+AH$7,_xlfn.workday.intl(int(AC341),1,"0000001",Holidays!A:A)+hour(AC341+AH$7-$B$1)/24+minute(AC341)/1440),"")</f>
        <v>46199.48264</v>
      </c>
      <c r="AI341" s="104">
        <v>46199.45393013889</v>
      </c>
      <c r="AJ341" s="105" t="s">
        <v>14</v>
      </c>
      <c r="AK341" s="111">
        <f t="shared" si="8"/>
        <v>0</v>
      </c>
      <c r="AL341" s="112" t="str">
        <f t="shared" si="9"/>
        <v>EMP0237 Swarnendu Chakraborty</v>
      </c>
      <c r="AM341" s="113"/>
      <c r="AN341" s="114" t="s">
        <v>672</v>
      </c>
      <c r="AO341" s="115"/>
      <c r="AP341" s="115"/>
      <c r="AQ341" s="115"/>
      <c r="AR341" s="115"/>
      <c r="AS341" s="115"/>
      <c r="AT341" s="115"/>
      <c r="AU341" s="115"/>
      <c r="AV341" s="115"/>
      <c r="AW341" s="115"/>
      <c r="AX341" s="115"/>
      <c r="AY341" s="115"/>
    </row>
    <row r="342">
      <c r="A342" s="95">
        <f t="shared" si="11"/>
        <v>5293</v>
      </c>
      <c r="B342" s="96">
        <v>46197.69484090278</v>
      </c>
      <c r="C342" s="97" t="s">
        <v>1417</v>
      </c>
      <c r="D342" s="97" t="s">
        <v>277</v>
      </c>
      <c r="E342" s="98" t="s">
        <v>2000</v>
      </c>
      <c r="F342" s="97"/>
      <c r="G342" s="97" t="s">
        <v>2002</v>
      </c>
      <c r="H342" s="99" t="s">
        <v>62</v>
      </c>
      <c r="I342" s="100" t="s">
        <v>64</v>
      </c>
      <c r="J342" s="101" t="s">
        <v>67</v>
      </c>
      <c r="K342" s="100"/>
      <c r="L342" s="102" t="s">
        <v>2003</v>
      </c>
      <c r="M342" s="103">
        <f>if(B342,if(and(hour(B342+M$7)&gt;9.5,(hour(B342+M$7)&lt;19.5)),B342+M$7,_xlfn.workday.intl(int(B342),1,"0000001",Holidays!A:A)+hour(B342+M$7-$B$1)/24+minute(B342)/1440),"")</f>
        <v>46198.44444</v>
      </c>
      <c r="N342" s="104">
        <v>46197.80331004629</v>
      </c>
      <c r="O342" s="105" t="s">
        <v>14</v>
      </c>
      <c r="P342" s="106">
        <f t="shared" si="1"/>
        <v>0</v>
      </c>
      <c r="Q342" s="107" t="s">
        <v>48</v>
      </c>
      <c r="R342" s="108" t="s">
        <v>434</v>
      </c>
      <c r="S342" s="103">
        <f>if(M342,if(and(hour(M342+S$7)&gt;9.5,(hour(M342+S$7)&lt;19.5)),M342+S$7,_xlfn.workday.intl(int(M342),1,"0000001",Holidays!A:A)+hour(M342+S$7-$B$1)/24+minute(M342)/1440),"")</f>
        <v>46198.45139</v>
      </c>
      <c r="T342" s="104">
        <v>46197.803510972226</v>
      </c>
      <c r="U342" s="105" t="s">
        <v>14</v>
      </c>
      <c r="V342" s="109">
        <f t="shared" si="2"/>
        <v>0</v>
      </c>
      <c r="W342" s="110" t="str">
        <f t="shared" si="3"/>
        <v>EMP0237 Swarnendu Chakraborty</v>
      </c>
      <c r="X342" s="103">
        <f>if(S342,if(and(hour(S342+X$7)&gt;9.5,(hour(S342+X$7)&lt;19.5)),S342+X$7,_xlfn.workday.intl(int(S342),1,"0000001",Holidays!A:A)+hour(S342+X$7-$B$1)/24+minute(S342)/1440),"")</f>
        <v>46198.55556</v>
      </c>
      <c r="Y342" s="104">
        <v>46198.472965671295</v>
      </c>
      <c r="Z342" s="105" t="s">
        <v>14</v>
      </c>
      <c r="AA342" s="111">
        <f t="shared" si="4"/>
        <v>0</v>
      </c>
      <c r="AB342" s="110" t="str">
        <f t="shared" si="5"/>
        <v>EMP0237 Swarnendu Chakraborty</v>
      </c>
      <c r="AC342" s="103">
        <f>if(X342,_xlfn.WORKDAY.INTL(X342,AC$7,"0000001",Holidays!A:A)+hour(X342)/24+MINUTE(X342)/1440,"")</f>
        <v>46199.55556</v>
      </c>
      <c r="AD342" s="104">
        <v>46199.45427130787</v>
      </c>
      <c r="AE342" s="105" t="s">
        <v>14</v>
      </c>
      <c r="AF342" s="111">
        <f t="shared" si="6"/>
        <v>0</v>
      </c>
      <c r="AG342" s="110" t="str">
        <f t="shared" si="7"/>
        <v>EMP0237 Swarnendu Chakraborty</v>
      </c>
      <c r="AH342" s="103">
        <f>if(AC342,if(and(hour(AC342+AH$7)&gt;9.5,(hour(AC342+AH$7)&lt;19.5)),AC342+AH$7,_xlfn.workday.intl(int(AC342),1,"0000001",Holidays!A:A)+hour(AC342+AH$7-$B$1)/24+minute(AC342)/1440),"")</f>
        <v>46199.59722</v>
      </c>
      <c r="AI342" s="104">
        <v>46199.454299363424</v>
      </c>
      <c r="AJ342" s="105" t="s">
        <v>14</v>
      </c>
      <c r="AK342" s="111">
        <f t="shared" si="8"/>
        <v>0</v>
      </c>
      <c r="AL342" s="112" t="str">
        <f t="shared" si="9"/>
        <v>EMP0237 Swarnendu Chakraborty</v>
      </c>
      <c r="AM342" s="113"/>
      <c r="AN342" s="114" t="s">
        <v>672</v>
      </c>
      <c r="AO342" s="115"/>
      <c r="AP342" s="115"/>
      <c r="AQ342" s="115"/>
      <c r="AR342" s="115"/>
      <c r="AS342" s="115"/>
      <c r="AT342" s="115"/>
      <c r="AU342" s="115"/>
      <c r="AV342" s="115"/>
      <c r="AW342" s="115"/>
      <c r="AX342" s="115"/>
      <c r="AY342" s="115"/>
    </row>
    <row r="343">
      <c r="A343" s="95">
        <f t="shared" si="11"/>
        <v>5294</v>
      </c>
      <c r="B343" s="96">
        <v>46198.47586278935</v>
      </c>
      <c r="C343" s="97" t="s">
        <v>1423</v>
      </c>
      <c r="D343" s="97" t="s">
        <v>186</v>
      </c>
      <c r="E343" s="98" t="s">
        <v>2004</v>
      </c>
      <c r="F343" s="97"/>
      <c r="G343" s="97" t="s">
        <v>2006</v>
      </c>
      <c r="H343" s="99" t="s">
        <v>126</v>
      </c>
      <c r="I343" s="100" t="s">
        <v>64</v>
      </c>
      <c r="J343" s="101" t="s">
        <v>303</v>
      </c>
      <c r="K343" s="100"/>
      <c r="L343" s="102" t="s">
        <v>2007</v>
      </c>
      <c r="M343" s="103">
        <f>if(B343,if(and(hour(B343+M$7)&gt;9.5,(hour(B343+M$7)&lt;19.5)),B343+M$7,_xlfn.workday.intl(int(B343),1,"0000001",Holidays!A:A)+hour(B343+M$7-$B$1)/24+minute(B343)/1440),"")</f>
        <v>46198.64253</v>
      </c>
      <c r="N343" s="104">
        <v>46198.47623784722</v>
      </c>
      <c r="O343" s="105" t="s">
        <v>14</v>
      </c>
      <c r="P343" s="106">
        <f t="shared" si="1"/>
        <v>0</v>
      </c>
      <c r="Q343" s="107" t="s">
        <v>15</v>
      </c>
      <c r="R343" s="108" t="s">
        <v>434</v>
      </c>
      <c r="S343" s="103">
        <f>if(M343,if(and(hour(M343+S$7)&gt;9.5,(hour(M343+S$7)&lt;19.5)),M343+S$7,_xlfn.workday.intl(int(M343),1,"0000001",Holidays!A:A)+hour(M343+S$7-$B$1)/24+minute(M343)/1440),"")</f>
        <v>46198.64947</v>
      </c>
      <c r="T343" s="104">
        <v>46198.47630465278</v>
      </c>
      <c r="U343" s="105" t="s">
        <v>14</v>
      </c>
      <c r="V343" s="109">
        <f t="shared" si="2"/>
        <v>0</v>
      </c>
      <c r="W343" s="110" t="str">
        <f t="shared" si="3"/>
        <v>EMP0042 HULESHWAR KUMAR SAHU</v>
      </c>
      <c r="X343" s="103">
        <f>if(S343,if(and(hour(S343+X$7)&gt;9.5,(hour(S343+X$7)&lt;19.5)),S343+X$7,_xlfn.workday.intl(int(S343),1,"0000001",Holidays!A:A)+hour(S343+X$7-$B$1)/24+minute(S343)/1440),"")</f>
        <v>46198.75364</v>
      </c>
      <c r="Y343" s="104">
        <v>46198.476329537036</v>
      </c>
      <c r="Z343" s="105" t="s">
        <v>14</v>
      </c>
      <c r="AA343" s="111">
        <f t="shared" si="4"/>
        <v>0</v>
      </c>
      <c r="AB343" s="110" t="str">
        <f t="shared" si="5"/>
        <v>EMP0042 HULESHWAR KUMAR SAHU</v>
      </c>
      <c r="AC343" s="103">
        <f>if(X343,_xlfn.WORKDAY.INTL(X343,AC$7,"0000001",Holidays!A:A)+hour(X343)/24+MINUTE(X343)/1440,"")</f>
        <v>46199.75347</v>
      </c>
      <c r="AD343" s="104">
        <v>46198.70390635417</v>
      </c>
      <c r="AE343" s="105" t="s">
        <v>14</v>
      </c>
      <c r="AF343" s="111">
        <f t="shared" si="6"/>
        <v>0</v>
      </c>
      <c r="AG343" s="110" t="str">
        <f t="shared" si="7"/>
        <v>EMP0042 HULESHWAR KUMAR SAHU</v>
      </c>
      <c r="AH343" s="103">
        <f>if(AC343,if(and(hour(AC343+AH$7)&gt;9.5,(hour(AC343+AH$7)&lt;19.5)),AC343+AH$7,_xlfn.workday.intl(int(AC343),1,"0000001",Holidays!A:A)+hour(AC343+AH$7-$B$1)/24+minute(AC343)/1440),"")</f>
        <v>46199.79514</v>
      </c>
      <c r="AI343" s="104">
        <v>46198.703975069446</v>
      </c>
      <c r="AJ343" s="105" t="s">
        <v>14</v>
      </c>
      <c r="AK343" s="111">
        <f t="shared" si="8"/>
        <v>0</v>
      </c>
      <c r="AL343" s="112" t="str">
        <f t="shared" si="9"/>
        <v>EMP0042 HULESHWAR KUMAR SAHU</v>
      </c>
      <c r="AM343" s="113"/>
      <c r="AN343" s="114" t="s">
        <v>672</v>
      </c>
      <c r="AO343" s="115"/>
      <c r="AP343" s="115"/>
      <c r="AQ343" s="115"/>
      <c r="AR343" s="115"/>
      <c r="AS343" s="115"/>
      <c r="AT343" s="115"/>
      <c r="AU343" s="115"/>
      <c r="AV343" s="115"/>
      <c r="AW343" s="115"/>
      <c r="AX343" s="115"/>
      <c r="AY343" s="115"/>
    </row>
    <row r="344">
      <c r="A344" s="95">
        <f t="shared" si="11"/>
        <v>5295</v>
      </c>
      <c r="B344" s="96">
        <v>46198.502678969904</v>
      </c>
      <c r="C344" s="97" t="s">
        <v>1425</v>
      </c>
      <c r="D344" s="97" t="s">
        <v>357</v>
      </c>
      <c r="E344" s="98" t="s">
        <v>2008</v>
      </c>
      <c r="F344" s="97"/>
      <c r="G344" s="97" t="s">
        <v>2010</v>
      </c>
      <c r="H344" s="99" t="s">
        <v>62</v>
      </c>
      <c r="I344" s="100" t="s">
        <v>64</v>
      </c>
      <c r="J344" s="101" t="s">
        <v>356</v>
      </c>
      <c r="K344" s="100"/>
      <c r="L344" s="102" t="s">
        <v>2011</v>
      </c>
      <c r="M344" s="103">
        <f>if(B344,if(and(hour(B344+M$7)&gt;9.5,(hour(B344+M$7)&lt;19.5)),B344+M$7,_xlfn.workday.intl(int(B344),1,"0000001",Holidays!A:A)+hour(B344+M$7-$B$1)/24+minute(B344)/1440),"")</f>
        <v>46198.66935</v>
      </c>
      <c r="N344" s="104">
        <v>46198.605956064814</v>
      </c>
      <c r="O344" s="105" t="s">
        <v>14</v>
      </c>
      <c r="P344" s="106">
        <f t="shared" si="1"/>
        <v>0</v>
      </c>
      <c r="Q344" s="107" t="s">
        <v>48</v>
      </c>
      <c r="R344" s="108" t="s">
        <v>434</v>
      </c>
      <c r="S344" s="103">
        <f>if(M344,if(and(hour(M344+S$7)&gt;9.5,(hour(M344+S$7)&lt;19.5)),M344+S$7,_xlfn.workday.intl(int(M344),1,"0000001",Holidays!A:A)+hour(M344+S$7-$B$1)/24+minute(M344)/1440),"")</f>
        <v>46198.67629</v>
      </c>
      <c r="T344" s="104">
        <v>46198.60607032407</v>
      </c>
      <c r="U344" s="105" t="s">
        <v>14</v>
      </c>
      <c r="V344" s="109">
        <f t="shared" si="2"/>
        <v>0</v>
      </c>
      <c r="W344" s="110" t="str">
        <f t="shared" si="3"/>
        <v>EMP0237 Swarnendu Chakraborty</v>
      </c>
      <c r="X344" s="103">
        <f>if(S344,if(and(hour(S344+X$7)&gt;9.5,(hour(S344+X$7)&lt;19.5)),S344+X$7,_xlfn.workday.intl(int(S344),1,"0000001",Holidays!A:A)+hour(S344+X$7-$B$1)/24+minute(S344)/1440),"")</f>
        <v>46198.78046</v>
      </c>
      <c r="Y344" s="104">
        <v>46198.60609541667</v>
      </c>
      <c r="Z344" s="105" t="s">
        <v>14</v>
      </c>
      <c r="AA344" s="111">
        <f t="shared" si="4"/>
        <v>0</v>
      </c>
      <c r="AB344" s="110" t="str">
        <f t="shared" si="5"/>
        <v>EMP0237 Swarnendu Chakraborty</v>
      </c>
      <c r="AC344" s="103">
        <f>if(X344,_xlfn.WORKDAY.INTL(X344,AC$7,"0000001",Holidays!A:A)+hour(X344)/24+MINUTE(X344)/1440,"")</f>
        <v>46199.77986</v>
      </c>
      <c r="AD344" s="104">
        <v>46199.61757971065</v>
      </c>
      <c r="AE344" s="105" t="s">
        <v>14</v>
      </c>
      <c r="AF344" s="111">
        <f t="shared" si="6"/>
        <v>0</v>
      </c>
      <c r="AG344" s="110" t="str">
        <f t="shared" si="7"/>
        <v>EMP0237 Swarnendu Chakraborty</v>
      </c>
      <c r="AH344" s="103">
        <f>if(AC344,if(and(hour(AC344+AH$7)&gt;9.5,(hour(AC344+AH$7)&lt;19.5)),AC344+AH$7,_xlfn.workday.intl(int(AC344),1,"0000001",Holidays!A:A)+hour(AC344+AH$7-$B$1)/24+minute(AC344)/1440),"")</f>
        <v>46199.82153</v>
      </c>
      <c r="AI344" s="104">
        <v>46199.617616504634</v>
      </c>
      <c r="AJ344" s="105" t="s">
        <v>14</v>
      </c>
      <c r="AK344" s="111">
        <f t="shared" si="8"/>
        <v>0</v>
      </c>
      <c r="AL344" s="112" t="str">
        <f t="shared" si="9"/>
        <v>EMP0237 Swarnendu Chakraborty</v>
      </c>
      <c r="AM344" s="113"/>
      <c r="AN344" s="114" t="s">
        <v>672</v>
      </c>
      <c r="AO344" s="115"/>
      <c r="AP344" s="115"/>
      <c r="AQ344" s="115"/>
      <c r="AR344" s="115"/>
      <c r="AS344" s="115"/>
      <c r="AT344" s="115"/>
      <c r="AU344" s="115"/>
      <c r="AV344" s="115"/>
      <c r="AW344" s="115"/>
      <c r="AX344" s="115"/>
      <c r="AY344" s="115"/>
    </row>
    <row r="345">
      <c r="A345" s="95">
        <f t="shared" si="11"/>
        <v>5296</v>
      </c>
      <c r="B345" s="96">
        <v>46198.51557275463</v>
      </c>
      <c r="C345" s="97" t="s">
        <v>2018</v>
      </c>
      <c r="D345" s="97" t="s">
        <v>243</v>
      </c>
      <c r="E345" s="98" t="s">
        <v>2014</v>
      </c>
      <c r="F345" s="97"/>
      <c r="G345" s="97" t="s">
        <v>2017</v>
      </c>
      <c r="H345" s="99" t="s">
        <v>62</v>
      </c>
      <c r="I345" s="100" t="s">
        <v>324</v>
      </c>
      <c r="J345" s="101" t="s">
        <v>1194</v>
      </c>
      <c r="K345" s="100"/>
      <c r="L345" s="102" t="s">
        <v>683</v>
      </c>
      <c r="M345" s="103">
        <f>if(B345,if(and(hour(B345+M$7)&gt;9.5,(hour(B345+M$7)&lt;19.5)),B345+M$7,_xlfn.workday.intl(int(B345),1,"0000001",Holidays!A:A)+hour(B345+M$7-$B$1)/24+minute(B345)/1440),"")</f>
        <v>46198.68224</v>
      </c>
      <c r="N345" s="104">
        <v>46198.605956064814</v>
      </c>
      <c r="O345" s="105" t="s">
        <v>14</v>
      </c>
      <c r="P345" s="106">
        <f t="shared" si="1"/>
        <v>0</v>
      </c>
      <c r="Q345" s="107" t="s">
        <v>72</v>
      </c>
      <c r="R345" s="108" t="s">
        <v>434</v>
      </c>
      <c r="S345" s="103">
        <f>if(M345,if(and(hour(M345+S$7)&gt;9.5,(hour(M345+S$7)&lt;19.5)),M345+S$7,_xlfn.workday.intl(int(M345),1,"0000001",Holidays!A:A)+hour(M345+S$7-$B$1)/24+minute(M345)/1440),"")</f>
        <v>46198.68918</v>
      </c>
      <c r="T345" s="104">
        <v>46198.60607032407</v>
      </c>
      <c r="U345" s="105" t="s">
        <v>14</v>
      </c>
      <c r="V345" s="109">
        <f t="shared" si="2"/>
        <v>0</v>
      </c>
      <c r="W345" s="110" t="str">
        <f t="shared" si="3"/>
        <v>EMP5009 Rup Kumar Mandal</v>
      </c>
      <c r="X345" s="103">
        <f>if(S345,if(and(hour(S345+X$7)&gt;9.5,(hour(S345+X$7)&lt;19.5)),S345+X$7,_xlfn.workday.intl(int(S345),1,"0000001",Holidays!A:A)+hour(S345+X$7-$B$1)/24+minute(S345)/1440),"")</f>
        <v>46198.79335</v>
      </c>
      <c r="Y345" s="104">
        <v>46198.60609541667</v>
      </c>
      <c r="Z345" s="105" t="s">
        <v>14</v>
      </c>
      <c r="AA345" s="111">
        <f t="shared" si="4"/>
        <v>0</v>
      </c>
      <c r="AB345" s="110" t="str">
        <f t="shared" si="5"/>
        <v>EMP5009 Rup Kumar Mandal</v>
      </c>
      <c r="AC345" s="103">
        <f>if(X345,_xlfn.WORKDAY.INTL(X345,AC$7,"0000001",Holidays!A:A)+hour(X345)/24+MINUTE(X345)/1440,"")</f>
        <v>46199.79306</v>
      </c>
      <c r="AD345" s="104">
        <v>46199.46784722222</v>
      </c>
      <c r="AE345" s="105" t="s">
        <v>14</v>
      </c>
      <c r="AF345" s="111">
        <f t="shared" si="6"/>
        <v>0</v>
      </c>
      <c r="AG345" s="110" t="str">
        <f t="shared" si="7"/>
        <v>EMP5009 Rup Kumar Mandal</v>
      </c>
      <c r="AH345" s="103">
        <f>if(AC345,if(and(hour(AC345+AH$7)&gt;9.5,(hour(AC345+AH$7)&lt;19.5)),AC345+AH$7,_xlfn.workday.intl(int(AC345),1,"0000001",Holidays!A:A)+hour(AC345+AH$7-$B$1)/24+minute(AC345)/1440),"")</f>
        <v>46200.41806</v>
      </c>
      <c r="AI345" s="104">
        <v>46199.46787864583</v>
      </c>
      <c r="AJ345" s="105" t="s">
        <v>14</v>
      </c>
      <c r="AK345" s="111">
        <f t="shared" si="8"/>
        <v>0</v>
      </c>
      <c r="AL345" s="112" t="str">
        <f t="shared" si="9"/>
        <v>EMP5009 Rup Kumar Mandal</v>
      </c>
      <c r="AM345" s="113"/>
      <c r="AN345" s="114" t="s">
        <v>672</v>
      </c>
      <c r="AO345" s="115"/>
      <c r="AP345" s="115"/>
      <c r="AQ345" s="115"/>
      <c r="AR345" s="115"/>
      <c r="AS345" s="115"/>
      <c r="AT345" s="115"/>
      <c r="AU345" s="115"/>
      <c r="AV345" s="115"/>
      <c r="AW345" s="115"/>
      <c r="AX345" s="115"/>
      <c r="AY345" s="115"/>
    </row>
    <row r="346">
      <c r="A346" s="95">
        <f t="shared" si="11"/>
        <v>5297</v>
      </c>
      <c r="B346" s="96">
        <v>46198.75887439815</v>
      </c>
      <c r="C346" s="97" t="s">
        <v>2022</v>
      </c>
      <c r="D346" s="97" t="s">
        <v>1587</v>
      </c>
      <c r="E346" s="98" t="s">
        <v>2019</v>
      </c>
      <c r="F346" s="97"/>
      <c r="G346" s="97" t="s">
        <v>674</v>
      </c>
      <c r="H346" s="99" t="s">
        <v>668</v>
      </c>
      <c r="I346" s="100" t="s">
        <v>64</v>
      </c>
      <c r="J346" s="101" t="s">
        <v>662</v>
      </c>
      <c r="K346" s="100"/>
      <c r="L346" s="102" t="s">
        <v>2021</v>
      </c>
      <c r="M346" s="103">
        <f>if(B346,if(and(hour(B346+M$7)&gt;9.5,(hour(B346+M$7)&lt;19.5)),B346+M$7,_xlfn.workday.intl(int(B346),1,"0000001",Holidays!A:A)+hour(B346+M$7-$B$1)/24+minute(B346)/1440),"")</f>
        <v>46199.50833</v>
      </c>
      <c r="N346" s="104">
        <v>46198.762278263894</v>
      </c>
      <c r="O346" s="105" t="s">
        <v>14</v>
      </c>
      <c r="P346" s="106">
        <f t="shared" si="1"/>
        <v>0</v>
      </c>
      <c r="Q346" s="107" t="s">
        <v>72</v>
      </c>
      <c r="R346" s="108" t="s">
        <v>434</v>
      </c>
      <c r="S346" s="103">
        <f>if(M346,if(and(hour(M346+S$7)&gt;9.5,(hour(M346+S$7)&lt;19.5)),M346+S$7,_xlfn.workday.intl(int(M346),1,"0000001",Holidays!A:A)+hour(M346+S$7-$B$1)/24+minute(M346)/1440),"")</f>
        <v>46199.51528</v>
      </c>
      <c r="T346" s="104">
        <v>46198.76231475694</v>
      </c>
      <c r="U346" s="105" t="s">
        <v>14</v>
      </c>
      <c r="V346" s="109">
        <f t="shared" si="2"/>
        <v>0</v>
      </c>
      <c r="W346" s="110" t="str">
        <f t="shared" si="3"/>
        <v>EMP5009 Rup Kumar Mandal</v>
      </c>
      <c r="X346" s="103">
        <f>if(S346,if(and(hour(S346+X$7)&gt;9.5,(hour(S346+X$7)&lt;19.5)),S346+X$7,_xlfn.workday.intl(int(S346),1,"0000001",Holidays!A:A)+hour(S346+X$7-$B$1)/24+minute(S346)/1440),"")</f>
        <v>46199.61944</v>
      </c>
      <c r="Y346" s="104">
        <v>46198.76236122685</v>
      </c>
      <c r="Z346" s="105" t="s">
        <v>14</v>
      </c>
      <c r="AA346" s="111">
        <f t="shared" si="4"/>
        <v>0</v>
      </c>
      <c r="AB346" s="110" t="str">
        <f t="shared" si="5"/>
        <v>EMP5009 Rup Kumar Mandal</v>
      </c>
      <c r="AC346" s="103">
        <f>if(X346,_xlfn.WORKDAY.INTL(X346,AC$7,"0000001",Holidays!A:A)+hour(X346)/24+MINUTE(X346)/1440,"")</f>
        <v>46200.61944</v>
      </c>
      <c r="AD346" s="104">
        <v>46199.467854525465</v>
      </c>
      <c r="AE346" s="105" t="s">
        <v>14</v>
      </c>
      <c r="AF346" s="111">
        <f t="shared" si="6"/>
        <v>0</v>
      </c>
      <c r="AG346" s="110" t="str">
        <f t="shared" si="7"/>
        <v>EMP5009 Rup Kumar Mandal</v>
      </c>
      <c r="AH346" s="103">
        <f>if(AC346,if(and(hour(AC346+AH$7)&gt;9.5,(hour(AC346+AH$7)&lt;19.5)),AC346+AH$7,_xlfn.workday.intl(int(AC346),1,"0000001",Holidays!A:A)+hour(AC346+AH$7-$B$1)/24+minute(AC346)/1440),"")</f>
        <v>46200.66111</v>
      </c>
      <c r="AI346" s="104">
        <v>46199.4678828125</v>
      </c>
      <c r="AJ346" s="105" t="s">
        <v>14</v>
      </c>
      <c r="AK346" s="111">
        <f t="shared" si="8"/>
        <v>0</v>
      </c>
      <c r="AL346" s="112" t="str">
        <f t="shared" si="9"/>
        <v>EMP5009 Rup Kumar Mandal</v>
      </c>
      <c r="AM346" s="113"/>
      <c r="AN346" s="114" t="s">
        <v>672</v>
      </c>
      <c r="AO346" s="115"/>
      <c r="AP346" s="115"/>
      <c r="AQ346" s="115"/>
      <c r="AR346" s="115"/>
      <c r="AS346" s="115"/>
      <c r="AT346" s="115"/>
      <c r="AU346" s="115"/>
      <c r="AV346" s="115"/>
      <c r="AW346" s="115"/>
      <c r="AX346" s="115"/>
      <c r="AY346" s="115"/>
    </row>
    <row r="347" ht="60.0" customHeight="1">
      <c r="A347" s="95">
        <f t="shared" si="11"/>
        <v>5298</v>
      </c>
      <c r="B347" s="96">
        <v>46198.800310879626</v>
      </c>
      <c r="C347" s="97" t="s">
        <v>1437</v>
      </c>
      <c r="D347" s="97" t="s">
        <v>2024</v>
      </c>
      <c r="E347" s="98" t="s">
        <v>2025</v>
      </c>
      <c r="F347" s="97"/>
      <c r="G347" s="97" t="s">
        <v>2028</v>
      </c>
      <c r="H347" s="99" t="s">
        <v>138</v>
      </c>
      <c r="I347" s="100" t="s">
        <v>237</v>
      </c>
      <c r="J347" s="101" t="s">
        <v>2023</v>
      </c>
      <c r="K347" s="100"/>
      <c r="L347" s="102" t="s">
        <v>2029</v>
      </c>
      <c r="M347" s="103">
        <f>if(B347,if(and(hour(B347+M$7)&gt;9.5,(hour(B347+M$7)&lt;19.5)),B347+M$7,_xlfn.workday.intl(int(B347),1,"0000001",Holidays!A:A)+hour(B347+M$7-$B$1)/24+minute(B347)/1440),"")</f>
        <v>46199.55</v>
      </c>
      <c r="N347" s="104">
        <v>46198.80231423611</v>
      </c>
      <c r="O347" s="105" t="s">
        <v>14</v>
      </c>
      <c r="P347" s="106">
        <f t="shared" si="1"/>
        <v>0</v>
      </c>
      <c r="Q347" s="107" t="s">
        <v>61</v>
      </c>
      <c r="R347" s="108" t="s">
        <v>434</v>
      </c>
      <c r="S347" s="103">
        <f>if(M347,if(and(hour(M347+S$7)&gt;9.5,(hour(M347+S$7)&lt;19.5)),M347+S$7,_xlfn.workday.intl(int(M347),1,"0000001",Holidays!A:A)+hour(M347+S$7-$B$1)/24+minute(M347)/1440),"")</f>
        <v>46199.55694</v>
      </c>
      <c r="T347" s="104">
        <v>46198.802426435184</v>
      </c>
      <c r="U347" s="105" t="s">
        <v>14</v>
      </c>
      <c r="V347" s="109">
        <f t="shared" si="2"/>
        <v>0</v>
      </c>
      <c r="W347" s="110" t="str">
        <f t="shared" si="3"/>
        <v>EMP0021 Tamanna Dewangan</v>
      </c>
      <c r="X347" s="103">
        <f>if(S347,if(and(hour(S347+X$7)&gt;9.5,(hour(S347+X$7)&lt;19.5)),S347+X$7,_xlfn.workday.intl(int(S347),1,"0000001",Holidays!A:A)+hour(S347+X$7-$B$1)/24+minute(S347)/1440),"")</f>
        <v>46199.66111</v>
      </c>
      <c r="Y347" s="104">
        <v>46198.80359361111</v>
      </c>
      <c r="Z347" s="105" t="s">
        <v>14</v>
      </c>
      <c r="AA347" s="111">
        <f t="shared" si="4"/>
        <v>0</v>
      </c>
      <c r="AB347" s="110" t="str">
        <f t="shared" si="5"/>
        <v>EMP0021 Tamanna Dewangan</v>
      </c>
      <c r="AC347" s="103">
        <f>if(X347,_xlfn.WORKDAY.INTL(X347,AC$7,"0000001",Holidays!A:A)+hour(X347)/24+MINUTE(X347)/1440,"")</f>
        <v>46200.66111</v>
      </c>
      <c r="AD347" s="104">
        <v>46198.80370503472</v>
      </c>
      <c r="AE347" s="105" t="s">
        <v>14</v>
      </c>
      <c r="AF347" s="111">
        <f t="shared" si="6"/>
        <v>0</v>
      </c>
      <c r="AG347" s="110" t="str">
        <f t="shared" si="7"/>
        <v>EMP0021 Tamanna Dewangan</v>
      </c>
      <c r="AH347" s="103">
        <f>if(AC347,if(and(hour(AC347+AH$7)&gt;9.5,(hour(AC347+AH$7)&lt;19.5)),AC347+AH$7,_xlfn.workday.intl(int(AC347),1,"0000001",Holidays!A:A)+hour(AC347+AH$7-$B$1)/24+minute(AC347)/1440),"")</f>
        <v>46200.70278</v>
      </c>
      <c r="AI347" s="104">
        <v>46200.4458821875</v>
      </c>
      <c r="AJ347" s="105" t="s">
        <v>14</v>
      </c>
      <c r="AK347" s="111">
        <f t="shared" si="8"/>
        <v>0</v>
      </c>
      <c r="AL347" s="112" t="str">
        <f t="shared" si="9"/>
        <v>EMP0021 Tamanna Dewangan</v>
      </c>
      <c r="AM347" s="113"/>
      <c r="AN347" s="114" t="s">
        <v>672</v>
      </c>
      <c r="AO347" s="115"/>
      <c r="AP347" s="115"/>
      <c r="AQ347" s="115"/>
      <c r="AR347" s="115"/>
      <c r="AS347" s="115"/>
      <c r="AT347" s="115"/>
      <c r="AU347" s="115"/>
      <c r="AV347" s="115"/>
      <c r="AW347" s="115"/>
      <c r="AX347" s="115"/>
      <c r="AY347" s="115"/>
    </row>
    <row r="348">
      <c r="A348" s="95">
        <f t="shared" si="11"/>
        <v>5299</v>
      </c>
      <c r="B348" s="96">
        <v>46198.80202047454</v>
      </c>
      <c r="C348" s="97" t="s">
        <v>1441</v>
      </c>
      <c r="D348" s="97" t="s">
        <v>2024</v>
      </c>
      <c r="E348" s="98" t="s">
        <v>2030</v>
      </c>
      <c r="F348" s="97"/>
      <c r="G348" s="97" t="s">
        <v>1942</v>
      </c>
      <c r="H348" s="99" t="s">
        <v>138</v>
      </c>
      <c r="I348" s="100" t="s">
        <v>237</v>
      </c>
      <c r="J348" s="101" t="s">
        <v>2023</v>
      </c>
      <c r="K348" s="100"/>
      <c r="L348" s="102" t="s">
        <v>2032</v>
      </c>
      <c r="M348" s="103">
        <f>if(B348,if(and(hour(B348+M$7)&gt;9.5,(hour(B348+M$7)&lt;19.5)),B348+M$7,_xlfn.workday.intl(int(B348),1,"0000001",Holidays!A:A)+hour(B348+M$7-$B$1)/24+minute(B348)/1440),"")</f>
        <v>46199.55139</v>
      </c>
      <c r="N348" s="104">
        <v>46198.802349641206</v>
      </c>
      <c r="O348" s="105" t="s">
        <v>14</v>
      </c>
      <c r="P348" s="106">
        <f t="shared" si="1"/>
        <v>0</v>
      </c>
      <c r="Q348" s="107" t="s">
        <v>61</v>
      </c>
      <c r="R348" s="108" t="s">
        <v>434</v>
      </c>
      <c r="S348" s="103">
        <f>if(M348,if(and(hour(M348+S$7)&gt;9.5,(hour(M348+S$7)&lt;19.5)),M348+S$7,_xlfn.workday.intl(int(M348),1,"0000001",Holidays!A:A)+hour(M348+S$7-$B$1)/24+minute(M348)/1440),"")</f>
        <v>46199.55833</v>
      </c>
      <c r="T348" s="104">
        <v>46198.80239033565</v>
      </c>
      <c r="U348" s="105" t="s">
        <v>14</v>
      </c>
      <c r="V348" s="109">
        <f t="shared" si="2"/>
        <v>0</v>
      </c>
      <c r="W348" s="110" t="str">
        <f t="shared" si="3"/>
        <v>EMP0021 Tamanna Dewangan</v>
      </c>
      <c r="X348" s="103">
        <f>if(S348,if(and(hour(S348+X$7)&gt;9.5,(hour(S348+X$7)&lt;19.5)),S348+X$7,_xlfn.workday.intl(int(S348),1,"0000001",Holidays!A:A)+hour(S348+X$7-$B$1)/24+minute(S348)/1440),"")</f>
        <v>46199.6625</v>
      </c>
      <c r="Y348" s="104">
        <v>46198.803628124995</v>
      </c>
      <c r="Z348" s="105" t="s">
        <v>14</v>
      </c>
      <c r="AA348" s="111">
        <f t="shared" si="4"/>
        <v>0</v>
      </c>
      <c r="AB348" s="110" t="str">
        <f t="shared" si="5"/>
        <v>EMP0021 Tamanna Dewangan</v>
      </c>
      <c r="AC348" s="103">
        <f>if(X348,_xlfn.WORKDAY.INTL(X348,AC$7,"0000001",Holidays!A:A)+hour(X348)/24+MINUTE(X348)/1440,"")</f>
        <v>46200.6625</v>
      </c>
      <c r="AD348" s="104">
        <v>46198.803728009254</v>
      </c>
      <c r="AE348" s="105" t="s">
        <v>14</v>
      </c>
      <c r="AF348" s="111">
        <f t="shared" si="6"/>
        <v>0</v>
      </c>
      <c r="AG348" s="110" t="str">
        <f t="shared" si="7"/>
        <v>EMP0021 Tamanna Dewangan</v>
      </c>
      <c r="AH348" s="103">
        <f>if(AC348,if(and(hour(AC348+AH$7)&gt;9.5,(hour(AC348+AH$7)&lt;19.5)),AC348+AH$7,_xlfn.workday.intl(int(AC348),1,"0000001",Holidays!A:A)+hour(AC348+AH$7-$B$1)/24+minute(AC348)/1440),"")</f>
        <v>46200.70417</v>
      </c>
      <c r="AI348" s="104">
        <v>46200.44591270833</v>
      </c>
      <c r="AJ348" s="105" t="s">
        <v>14</v>
      </c>
      <c r="AK348" s="111">
        <f t="shared" si="8"/>
        <v>0</v>
      </c>
      <c r="AL348" s="112" t="str">
        <f t="shared" si="9"/>
        <v>EMP0021 Tamanna Dewangan</v>
      </c>
      <c r="AM348" s="113"/>
      <c r="AN348" s="114" t="s">
        <v>672</v>
      </c>
      <c r="AO348" s="115"/>
      <c r="AP348" s="115"/>
      <c r="AQ348" s="115"/>
      <c r="AR348" s="115"/>
      <c r="AS348" s="115"/>
      <c r="AT348" s="115"/>
      <c r="AU348" s="115"/>
      <c r="AV348" s="115"/>
      <c r="AW348" s="115"/>
      <c r="AX348" s="115"/>
      <c r="AY348" s="115"/>
    </row>
    <row r="349">
      <c r="A349" s="95">
        <f t="shared" si="11"/>
        <v>5300</v>
      </c>
      <c r="B349" s="96">
        <v>46198.80337702546</v>
      </c>
      <c r="C349" s="97" t="s">
        <v>1444</v>
      </c>
      <c r="D349" s="97" t="s">
        <v>2024</v>
      </c>
      <c r="E349" s="98" t="s">
        <v>2034</v>
      </c>
      <c r="F349" s="97"/>
      <c r="G349" s="97" t="s">
        <v>1942</v>
      </c>
      <c r="H349" s="99" t="s">
        <v>138</v>
      </c>
      <c r="I349" s="100" t="s">
        <v>237</v>
      </c>
      <c r="J349" s="101" t="s">
        <v>2023</v>
      </c>
      <c r="K349" s="100"/>
      <c r="L349" s="102" t="s">
        <v>2037</v>
      </c>
      <c r="M349" s="103">
        <f>if(B349,if(and(hour(B349+M$7)&gt;9.5,(hour(B349+M$7)&lt;19.5)),B349+M$7,_xlfn.workday.intl(int(B349),1,"0000001",Holidays!A:A)+hour(B349+M$7-$B$1)/24+minute(B349)/1440),"")</f>
        <v>46199.55278</v>
      </c>
      <c r="N349" s="104">
        <v>46198.80347324074</v>
      </c>
      <c r="O349" s="105" t="s">
        <v>14</v>
      </c>
      <c r="P349" s="106">
        <f t="shared" si="1"/>
        <v>0</v>
      </c>
      <c r="Q349" s="107" t="s">
        <v>61</v>
      </c>
      <c r="R349" s="108" t="s">
        <v>434</v>
      </c>
      <c r="S349" s="103">
        <f>if(M349,if(and(hour(M349+S$7)&gt;9.5,(hour(M349+S$7)&lt;19.5)),M349+S$7,_xlfn.workday.intl(int(M349),1,"0000001",Holidays!A:A)+hour(M349+S$7-$B$1)/24+minute(M349)/1440),"")</f>
        <v>46199.55972</v>
      </c>
      <c r="T349" s="104">
        <v>46198.80353439815</v>
      </c>
      <c r="U349" s="105" t="s">
        <v>14</v>
      </c>
      <c r="V349" s="109">
        <f t="shared" si="2"/>
        <v>0</v>
      </c>
      <c r="W349" s="110" t="str">
        <f t="shared" si="3"/>
        <v>EMP0021 Tamanna Dewangan</v>
      </c>
      <c r="X349" s="103">
        <f>if(S349,if(and(hour(S349+X$7)&gt;9.5,(hour(S349+X$7)&lt;19.5)),S349+X$7,_xlfn.workday.intl(int(S349),1,"0000001",Holidays!A:A)+hour(S349+X$7-$B$1)/24+minute(S349)/1440),"")</f>
        <v>46199.66389</v>
      </c>
      <c r="Y349" s="104">
        <v>46198.803645821754</v>
      </c>
      <c r="Z349" s="105" t="s">
        <v>14</v>
      </c>
      <c r="AA349" s="111">
        <f t="shared" si="4"/>
        <v>0</v>
      </c>
      <c r="AB349" s="110" t="str">
        <f t="shared" si="5"/>
        <v>EMP0021 Tamanna Dewangan</v>
      </c>
      <c r="AC349" s="103">
        <f>if(X349,_xlfn.WORKDAY.INTL(X349,AC$7,"0000001",Holidays!A:A)+hour(X349)/24+MINUTE(X349)/1440,"")</f>
        <v>46200.66389</v>
      </c>
      <c r="AD349" s="104">
        <v>46198.80377747685</v>
      </c>
      <c r="AE349" s="105" t="s">
        <v>14</v>
      </c>
      <c r="AF349" s="111">
        <f t="shared" si="6"/>
        <v>0</v>
      </c>
      <c r="AG349" s="110" t="str">
        <f t="shared" si="7"/>
        <v>EMP0021 Tamanna Dewangan</v>
      </c>
      <c r="AH349" s="103">
        <f>if(AC349,if(and(hour(AC349+AH$7)&gt;9.5,(hour(AC349+AH$7)&lt;19.5)),AC349+AH$7,_xlfn.workday.intl(int(AC349),1,"0000001",Holidays!A:A)+hour(AC349+AH$7-$B$1)/24+minute(AC349)/1440),"")</f>
        <v>46200.70556</v>
      </c>
      <c r="AI349" s="104">
        <v>46200.44592774306</v>
      </c>
      <c r="AJ349" s="105" t="s">
        <v>14</v>
      </c>
      <c r="AK349" s="111">
        <f t="shared" si="8"/>
        <v>0</v>
      </c>
      <c r="AL349" s="112" t="str">
        <f t="shared" si="9"/>
        <v>EMP0021 Tamanna Dewangan</v>
      </c>
      <c r="AM349" s="113"/>
      <c r="AN349" s="114" t="s">
        <v>672</v>
      </c>
      <c r="AO349" s="115"/>
      <c r="AP349" s="115"/>
      <c r="AQ349" s="115"/>
      <c r="AR349" s="115"/>
      <c r="AS349" s="115"/>
      <c r="AT349" s="115"/>
      <c r="AU349" s="115"/>
      <c r="AV349" s="115"/>
      <c r="AW349" s="115"/>
      <c r="AX349" s="115"/>
      <c r="AY349" s="115"/>
    </row>
    <row r="350">
      <c r="A350" s="95">
        <f t="shared" si="11"/>
        <v>5301</v>
      </c>
      <c r="B350" s="96">
        <v>46198.809367037036</v>
      </c>
      <c r="C350" s="97" t="s">
        <v>1449</v>
      </c>
      <c r="D350" s="97" t="s">
        <v>277</v>
      </c>
      <c r="E350" s="98" t="s">
        <v>2038</v>
      </c>
      <c r="F350" s="97"/>
      <c r="G350" s="97" t="s">
        <v>281</v>
      </c>
      <c r="H350" s="99" t="s">
        <v>147</v>
      </c>
      <c r="I350" s="100" t="s">
        <v>64</v>
      </c>
      <c r="J350" s="101" t="s">
        <v>67</v>
      </c>
      <c r="K350" s="100"/>
      <c r="L350" s="102" t="s">
        <v>2039</v>
      </c>
      <c r="M350" s="103">
        <f>if(B350,if(and(hour(B350+M$7)&gt;9.5,(hour(B350+M$7)&lt;19.5)),B350+M$7,_xlfn.workday.intl(int(B350),1,"0000001",Holidays!A:A)+hour(B350+M$7-$B$1)/24+minute(B350)/1440),"")</f>
        <v>46199.55903</v>
      </c>
      <c r="N350" s="104">
        <v>46199.38168274306</v>
      </c>
      <c r="O350" s="105" t="s">
        <v>14</v>
      </c>
      <c r="P350" s="106">
        <f t="shared" si="1"/>
        <v>0</v>
      </c>
      <c r="Q350" s="107" t="s">
        <v>61</v>
      </c>
      <c r="R350" s="108" t="s">
        <v>434</v>
      </c>
      <c r="S350" s="103">
        <f>if(M350,if(and(hour(M350+S$7)&gt;9.5,(hour(M350+S$7)&lt;19.5)),M350+S$7,_xlfn.workday.intl(int(M350),1,"0000001",Holidays!A:A)+hour(M350+S$7-$B$1)/24+minute(M350)/1440),"")</f>
        <v>46199.56597</v>
      </c>
      <c r="T350" s="104">
        <v>46199.381937928236</v>
      </c>
      <c r="U350" s="105" t="s">
        <v>14</v>
      </c>
      <c r="V350" s="109">
        <f t="shared" si="2"/>
        <v>0</v>
      </c>
      <c r="W350" s="110" t="str">
        <f t="shared" si="3"/>
        <v>EMP0021 Tamanna Dewangan</v>
      </c>
      <c r="X350" s="103">
        <f>if(S350,if(and(hour(S350+X$7)&gt;9.5,(hour(S350+X$7)&lt;19.5)),S350+X$7,_xlfn.workday.intl(int(S350),1,"0000001",Holidays!A:A)+hour(S350+X$7-$B$1)/24+minute(S350)/1440),"")</f>
        <v>46199.67014</v>
      </c>
      <c r="Y350" s="104">
        <v>46199.382068217594</v>
      </c>
      <c r="Z350" s="105" t="s">
        <v>14</v>
      </c>
      <c r="AA350" s="111">
        <f t="shared" si="4"/>
        <v>0</v>
      </c>
      <c r="AB350" s="110" t="str">
        <f t="shared" si="5"/>
        <v>EMP0021 Tamanna Dewangan</v>
      </c>
      <c r="AC350" s="103">
        <f>if(X350,_xlfn.WORKDAY.INTL(X350,AC$7,"0000001",Holidays!A:A)+hour(X350)/24+MINUTE(X350)/1440,"")</f>
        <v>46200.67014</v>
      </c>
      <c r="AD350" s="104">
        <v>46199.382226898146</v>
      </c>
      <c r="AE350" s="105" t="s">
        <v>14</v>
      </c>
      <c r="AF350" s="111">
        <f t="shared" si="6"/>
        <v>0</v>
      </c>
      <c r="AG350" s="110" t="str">
        <f t="shared" si="7"/>
        <v>EMP0021 Tamanna Dewangan</v>
      </c>
      <c r="AH350" s="103">
        <f>if(AC350,if(and(hour(AC350+AH$7)&gt;9.5,(hour(AC350+AH$7)&lt;19.5)),AC350+AH$7,_xlfn.workday.intl(int(AC350),1,"0000001",Holidays!A:A)+hour(AC350+AH$7-$B$1)/24+minute(AC350)/1440),"")</f>
        <v>46200.71181</v>
      </c>
      <c r="AI350" s="104">
        <v>46200.445983935184</v>
      </c>
      <c r="AJ350" s="105" t="s">
        <v>14</v>
      </c>
      <c r="AK350" s="111">
        <f t="shared" si="8"/>
        <v>0</v>
      </c>
      <c r="AL350" s="112" t="str">
        <f t="shared" si="9"/>
        <v>EMP0021 Tamanna Dewangan</v>
      </c>
      <c r="AM350" s="113"/>
      <c r="AN350" s="114" t="s">
        <v>672</v>
      </c>
      <c r="AO350" s="115"/>
      <c r="AP350" s="115"/>
      <c r="AQ350" s="115"/>
      <c r="AR350" s="115"/>
      <c r="AS350" s="115"/>
      <c r="AT350" s="115"/>
      <c r="AU350" s="115"/>
      <c r="AV350" s="115"/>
      <c r="AW350" s="115"/>
      <c r="AX350" s="115"/>
      <c r="AY350" s="115"/>
    </row>
    <row r="351">
      <c r="A351" s="95">
        <f t="shared" si="11"/>
        <v>5302</v>
      </c>
      <c r="B351" s="96">
        <v>46198.81032875</v>
      </c>
      <c r="C351" s="97" t="s">
        <v>1452</v>
      </c>
      <c r="D351" s="97" t="s">
        <v>277</v>
      </c>
      <c r="E351" s="98" t="s">
        <v>2040</v>
      </c>
      <c r="F351" s="97"/>
      <c r="G351" s="97" t="s">
        <v>281</v>
      </c>
      <c r="H351" s="99" t="s">
        <v>62</v>
      </c>
      <c r="I351" s="100" t="s">
        <v>64</v>
      </c>
      <c r="J351" s="101" t="s">
        <v>67</v>
      </c>
      <c r="K351" s="100"/>
      <c r="L351" s="102" t="s">
        <v>2041</v>
      </c>
      <c r="M351" s="103">
        <f>if(B351,if(and(hour(B351+M$7)&gt;9.5,(hour(B351+M$7)&lt;19.5)),B351+M$7,_xlfn.workday.intl(int(B351),1,"0000001",Holidays!A:A)+hour(B351+M$7-$B$1)/24+minute(B351)/1440),"")</f>
        <v>46199.55972</v>
      </c>
      <c r="N351" s="104">
        <v>46199.38171784722</v>
      </c>
      <c r="O351" s="105" t="s">
        <v>14</v>
      </c>
      <c r="P351" s="106">
        <f t="shared" si="1"/>
        <v>0</v>
      </c>
      <c r="Q351" s="107" t="s">
        <v>61</v>
      </c>
      <c r="R351" s="108" t="s">
        <v>434</v>
      </c>
      <c r="S351" s="103">
        <f>if(M351,if(and(hour(M351+S$7)&gt;9.5,(hour(M351+S$7)&lt;19.5)),M351+S$7,_xlfn.workday.intl(int(M351),1,"0000001",Holidays!A:A)+hour(M351+S$7-$B$1)/24+minute(M351)/1440),"")</f>
        <v>46199.56667</v>
      </c>
      <c r="T351" s="104">
        <v>46199.38196318287</v>
      </c>
      <c r="U351" s="105" t="s">
        <v>14</v>
      </c>
      <c r="V351" s="109">
        <f t="shared" si="2"/>
        <v>0</v>
      </c>
      <c r="W351" s="110" t="str">
        <f t="shared" si="3"/>
        <v>EMP0021 Tamanna Dewangan</v>
      </c>
      <c r="X351" s="103">
        <f>if(S351,if(and(hour(S351+X$7)&gt;9.5,(hour(S351+X$7)&lt;19.5)),S351+X$7,_xlfn.workday.intl(int(S351),1,"0000001",Holidays!A:A)+hour(S351+X$7-$B$1)/24+minute(S351)/1440),"")</f>
        <v>46199.67083</v>
      </c>
      <c r="Y351" s="104">
        <v>46199.382101006944</v>
      </c>
      <c r="Z351" s="105" t="s">
        <v>14</v>
      </c>
      <c r="AA351" s="111">
        <f t="shared" si="4"/>
        <v>0</v>
      </c>
      <c r="AB351" s="110" t="str">
        <f t="shared" si="5"/>
        <v>EMP0021 Tamanna Dewangan</v>
      </c>
      <c r="AC351" s="103">
        <f>if(X351,_xlfn.WORKDAY.INTL(X351,AC$7,"0000001",Holidays!A:A)+hour(X351)/24+MINUTE(X351)/1440,"")</f>
        <v>46200.67083</v>
      </c>
      <c r="AD351" s="104">
        <v>46199.38227125</v>
      </c>
      <c r="AE351" s="105" t="s">
        <v>14</v>
      </c>
      <c r="AF351" s="111">
        <f t="shared" si="6"/>
        <v>0</v>
      </c>
      <c r="AG351" s="110" t="str">
        <f t="shared" si="7"/>
        <v>EMP0021 Tamanna Dewangan</v>
      </c>
      <c r="AH351" s="103">
        <f>if(AC351,if(and(hour(AC351+AH$7)&gt;9.5,(hour(AC351+AH$7)&lt;19.5)),AC351+AH$7,_xlfn.workday.intl(int(AC351),1,"0000001",Holidays!A:A)+hour(AC351+AH$7-$B$1)/24+minute(AC351)/1440),"")</f>
        <v>46200.7125</v>
      </c>
      <c r="AI351" s="104">
        <v>46200.44600545139</v>
      </c>
      <c r="AJ351" s="105" t="s">
        <v>14</v>
      </c>
      <c r="AK351" s="111">
        <f t="shared" si="8"/>
        <v>0</v>
      </c>
      <c r="AL351" s="112" t="str">
        <f t="shared" si="9"/>
        <v>EMP0021 Tamanna Dewangan</v>
      </c>
      <c r="AM351" s="113"/>
      <c r="AN351" s="114" t="s">
        <v>672</v>
      </c>
      <c r="AO351" s="115"/>
      <c r="AP351" s="115"/>
      <c r="AQ351" s="115"/>
      <c r="AR351" s="115"/>
      <c r="AS351" s="115"/>
      <c r="AT351" s="115"/>
      <c r="AU351" s="115"/>
      <c r="AV351" s="115"/>
      <c r="AW351" s="115"/>
      <c r="AX351" s="115"/>
      <c r="AY351" s="115"/>
    </row>
    <row r="352">
      <c r="A352" s="95">
        <f t="shared" si="11"/>
        <v>5303</v>
      </c>
      <c r="B352" s="96">
        <v>46198.81094454861</v>
      </c>
      <c r="C352" s="97" t="s">
        <v>1456</v>
      </c>
      <c r="D352" s="97" t="s">
        <v>277</v>
      </c>
      <c r="E352" s="98" t="s">
        <v>2042</v>
      </c>
      <c r="F352" s="97"/>
      <c r="G352" s="97" t="s">
        <v>75</v>
      </c>
      <c r="H352" s="99" t="s">
        <v>62</v>
      </c>
      <c r="I352" s="100" t="s">
        <v>64</v>
      </c>
      <c r="J352" s="101" t="s">
        <v>67</v>
      </c>
      <c r="K352" s="100"/>
      <c r="L352" s="102" t="s">
        <v>1130</v>
      </c>
      <c r="M352" s="103">
        <f>if(B352,if(and(hour(B352+M$7)&gt;9.5,(hour(B352+M$7)&lt;19.5)),B352+M$7,_xlfn.workday.intl(int(B352),1,"0000001",Holidays!A:A)+hour(B352+M$7-$B$1)/24+minute(B352)/1440),"")</f>
        <v>46199.56042</v>
      </c>
      <c r="N352" s="104">
        <v>46199.381774560185</v>
      </c>
      <c r="O352" s="105" t="s">
        <v>14</v>
      </c>
      <c r="P352" s="106">
        <f t="shared" si="1"/>
        <v>0</v>
      </c>
      <c r="Q352" s="107" t="s">
        <v>61</v>
      </c>
      <c r="R352" s="108" t="s">
        <v>434</v>
      </c>
      <c r="S352" s="103">
        <f>if(M352,if(and(hour(M352+S$7)&gt;9.5,(hour(M352+S$7)&lt;19.5)),M352+S$7,_xlfn.workday.intl(int(M352),1,"0000001",Holidays!A:A)+hour(M352+S$7-$B$1)/24+minute(M352)/1440),"")</f>
        <v>46199.56736</v>
      </c>
      <c r="T352" s="104">
        <v>46199.38199969908</v>
      </c>
      <c r="U352" s="105" t="s">
        <v>14</v>
      </c>
      <c r="V352" s="109">
        <f t="shared" si="2"/>
        <v>0</v>
      </c>
      <c r="W352" s="110" t="str">
        <f t="shared" si="3"/>
        <v>EMP0021 Tamanna Dewangan</v>
      </c>
      <c r="X352" s="103">
        <f>if(S352,if(and(hour(S352+X$7)&gt;9.5,(hour(S352+X$7)&lt;19.5)),S352+X$7,_xlfn.workday.intl(int(S352),1,"0000001",Holidays!A:A)+hour(S352+X$7-$B$1)/24+minute(S352)/1440),"")</f>
        <v>46199.67153</v>
      </c>
      <c r="Y352" s="104">
        <v>46199.382141979164</v>
      </c>
      <c r="Z352" s="105" t="s">
        <v>14</v>
      </c>
      <c r="AA352" s="111">
        <f t="shared" si="4"/>
        <v>0</v>
      </c>
      <c r="AB352" s="110" t="str">
        <f t="shared" si="5"/>
        <v>EMP0021 Tamanna Dewangan</v>
      </c>
      <c r="AC352" s="103">
        <f>if(X352,_xlfn.WORKDAY.INTL(X352,AC$7,"0000001",Holidays!A:A)+hour(X352)/24+MINUTE(X352)/1440,"")</f>
        <v>46200.67153</v>
      </c>
      <c r="AD352" s="104">
        <v>46199.382302384256</v>
      </c>
      <c r="AE352" s="105" t="s">
        <v>14</v>
      </c>
      <c r="AF352" s="111">
        <f t="shared" si="6"/>
        <v>0</v>
      </c>
      <c r="AG352" s="110" t="str">
        <f t="shared" si="7"/>
        <v>EMP0021 Tamanna Dewangan</v>
      </c>
      <c r="AH352" s="103">
        <f>if(AC352,if(and(hour(AC352+AH$7)&gt;9.5,(hour(AC352+AH$7)&lt;19.5)),AC352+AH$7,_xlfn.workday.intl(int(AC352),1,"0000001",Holidays!A:A)+hour(AC352+AH$7-$B$1)/24+minute(AC352)/1440),"")</f>
        <v>46200.71319</v>
      </c>
      <c r="AI352" s="104">
        <v>46200.44779233796</v>
      </c>
      <c r="AJ352" s="105" t="s">
        <v>14</v>
      </c>
      <c r="AK352" s="111">
        <f t="shared" si="8"/>
        <v>0</v>
      </c>
      <c r="AL352" s="112" t="str">
        <f t="shared" si="9"/>
        <v>EMP0021 Tamanna Dewangan</v>
      </c>
      <c r="AM352" s="113"/>
      <c r="AN352" s="114" t="s">
        <v>672</v>
      </c>
      <c r="AO352" s="115"/>
      <c r="AP352" s="115"/>
      <c r="AQ352" s="115"/>
      <c r="AR352" s="115"/>
      <c r="AS352" s="115"/>
      <c r="AT352" s="115"/>
      <c r="AU352" s="115"/>
      <c r="AV352" s="115"/>
      <c r="AW352" s="115"/>
      <c r="AX352" s="115"/>
      <c r="AY352" s="115"/>
    </row>
    <row r="353">
      <c r="A353" s="95">
        <f t="shared" si="11"/>
        <v>5304</v>
      </c>
      <c r="B353" s="96">
        <v>46198.812349618056</v>
      </c>
      <c r="C353" s="97" t="s">
        <v>1456</v>
      </c>
      <c r="D353" s="97" t="s">
        <v>277</v>
      </c>
      <c r="E353" s="98" t="s">
        <v>2043</v>
      </c>
      <c r="F353" s="97"/>
      <c r="G353" s="97" t="s">
        <v>2044</v>
      </c>
      <c r="H353" s="99" t="s">
        <v>62</v>
      </c>
      <c r="I353" s="100" t="s">
        <v>64</v>
      </c>
      <c r="J353" s="101" t="s">
        <v>67</v>
      </c>
      <c r="K353" s="100"/>
      <c r="L353" s="102" t="s">
        <v>76</v>
      </c>
      <c r="M353" s="103">
        <f>if(B353,if(and(hour(B353+M$7)&gt;9.5,(hour(B353+M$7)&lt;19.5)),B353+M$7,_xlfn.workday.intl(int(B353),1,"0000001",Holidays!A:A)+hour(B353+M$7-$B$1)/24+minute(B353)/1440),"")</f>
        <v>46199.56181</v>
      </c>
      <c r="N353" s="104">
        <v>46199.38254572917</v>
      </c>
      <c r="O353" s="105" t="s">
        <v>14</v>
      </c>
      <c r="P353" s="106">
        <f t="shared" si="1"/>
        <v>0</v>
      </c>
      <c r="Q353" s="107" t="s">
        <v>61</v>
      </c>
      <c r="R353" s="108" t="s">
        <v>434</v>
      </c>
      <c r="S353" s="103">
        <f>if(M353,if(and(hour(M353+S$7)&gt;9.5,(hour(M353+S$7)&lt;19.5)),M353+S$7,_xlfn.workday.intl(int(M353),1,"0000001",Holidays!A:A)+hour(M353+S$7-$B$1)/24+minute(M353)/1440),"")</f>
        <v>46199.56875</v>
      </c>
      <c r="T353" s="104">
        <v>46199.38276483797</v>
      </c>
      <c r="U353" s="105" t="s">
        <v>14</v>
      </c>
      <c r="V353" s="109">
        <f t="shared" si="2"/>
        <v>0</v>
      </c>
      <c r="W353" s="110" t="str">
        <f t="shared" si="3"/>
        <v>EMP0021 Tamanna Dewangan</v>
      </c>
      <c r="X353" s="103">
        <f>if(S353,if(and(hour(S353+X$7)&gt;9.5,(hour(S353+X$7)&lt;19.5)),S353+X$7,_xlfn.workday.intl(int(S353),1,"0000001",Holidays!A:A)+hour(S353+X$7-$B$1)/24+minute(S353)/1440),"")</f>
        <v>46199.67292</v>
      </c>
      <c r="Y353" s="104">
        <v>46199.38290388889</v>
      </c>
      <c r="Z353" s="105" t="s">
        <v>14</v>
      </c>
      <c r="AA353" s="111">
        <f t="shared" si="4"/>
        <v>0</v>
      </c>
      <c r="AB353" s="110" t="str">
        <f t="shared" si="5"/>
        <v>EMP0021 Tamanna Dewangan</v>
      </c>
      <c r="AC353" s="103">
        <f>if(X353,_xlfn.WORKDAY.INTL(X353,AC$7,"0000001",Holidays!A:A)+hour(X353)/24+MINUTE(X353)/1440,"")</f>
        <v>46200.67292</v>
      </c>
      <c r="AD353" s="104">
        <v>46199.382969363425</v>
      </c>
      <c r="AE353" s="105" t="s">
        <v>14</v>
      </c>
      <c r="AF353" s="111">
        <f t="shared" si="6"/>
        <v>0</v>
      </c>
      <c r="AG353" s="110" t="str">
        <f t="shared" si="7"/>
        <v>EMP0021 Tamanna Dewangan</v>
      </c>
      <c r="AH353" s="103">
        <f>if(AC353,if(and(hour(AC353+AH$7)&gt;9.5,(hour(AC353+AH$7)&lt;19.5)),AC353+AH$7,_xlfn.workday.intl(int(AC353),1,"0000001",Holidays!A:A)+hour(AC353+AH$7-$B$1)/24+minute(AC353)/1440),"")</f>
        <v>46200.71458</v>
      </c>
      <c r="AI353" s="104">
        <v>46200.44780967593</v>
      </c>
      <c r="AJ353" s="105" t="s">
        <v>14</v>
      </c>
      <c r="AK353" s="111">
        <f t="shared" si="8"/>
        <v>0</v>
      </c>
      <c r="AL353" s="112" t="str">
        <f t="shared" si="9"/>
        <v>EMP0021 Tamanna Dewangan</v>
      </c>
      <c r="AM353" s="113"/>
      <c r="AN353" s="114" t="s">
        <v>672</v>
      </c>
      <c r="AO353" s="115"/>
      <c r="AP353" s="115"/>
      <c r="AQ353" s="115"/>
      <c r="AR353" s="115"/>
      <c r="AS353" s="115"/>
      <c r="AT353" s="115"/>
      <c r="AU353" s="115"/>
      <c r="AV353" s="115"/>
      <c r="AW353" s="115"/>
      <c r="AX353" s="115"/>
      <c r="AY353" s="115"/>
    </row>
    <row r="354">
      <c r="A354" s="95">
        <f t="shared" si="11"/>
        <v>5305</v>
      </c>
      <c r="B354" s="96">
        <v>46198.81325247685</v>
      </c>
      <c r="C354" s="97" t="s">
        <v>1462</v>
      </c>
      <c r="D354" s="97" t="s">
        <v>277</v>
      </c>
      <c r="E354" s="98" t="s">
        <v>2045</v>
      </c>
      <c r="F354" s="97"/>
      <c r="G354" s="97" t="s">
        <v>2046</v>
      </c>
      <c r="H354" s="99" t="s">
        <v>62</v>
      </c>
      <c r="I354" s="100" t="s">
        <v>64</v>
      </c>
      <c r="J354" s="101" t="s">
        <v>67</v>
      </c>
      <c r="K354" s="100"/>
      <c r="L354" s="102" t="s">
        <v>1130</v>
      </c>
      <c r="M354" s="103">
        <f>if(B354,if(and(hour(B354+M$7)&gt;9.5,(hour(B354+M$7)&lt;19.5)),B354+M$7,_xlfn.workday.intl(int(B354),1,"0000001",Holidays!A:A)+hour(B354+M$7-$B$1)/24+minute(B354)/1440),"")</f>
        <v>46199.56319</v>
      </c>
      <c r="N354" s="104">
        <v>46199.38258125</v>
      </c>
      <c r="O354" s="105" t="s">
        <v>14</v>
      </c>
      <c r="P354" s="106">
        <f t="shared" si="1"/>
        <v>0</v>
      </c>
      <c r="Q354" s="107" t="s">
        <v>61</v>
      </c>
      <c r="R354" s="108" t="s">
        <v>434</v>
      </c>
      <c r="S354" s="103">
        <f>if(M354,if(and(hour(M354+S$7)&gt;9.5,(hour(M354+S$7)&lt;19.5)),M354+S$7,_xlfn.workday.intl(int(M354),1,"0000001",Holidays!A:A)+hour(M354+S$7-$B$1)/24+minute(M354)/1440),"")</f>
        <v>46199.57014</v>
      </c>
      <c r="T354" s="104">
        <v>46199.38280295139</v>
      </c>
      <c r="U354" s="105" t="s">
        <v>14</v>
      </c>
      <c r="V354" s="109">
        <f t="shared" si="2"/>
        <v>0</v>
      </c>
      <c r="W354" s="110" t="str">
        <f t="shared" si="3"/>
        <v>EMP0021 Tamanna Dewangan</v>
      </c>
      <c r="X354" s="103">
        <f>if(S354,if(and(hour(S354+X$7)&gt;9.5,(hour(S354+X$7)&lt;19.5)),S354+X$7,_xlfn.workday.intl(int(S354),1,"0000001",Holidays!A:A)+hour(S354+X$7-$B$1)/24+minute(S354)/1440),"")</f>
        <v>46199.67431</v>
      </c>
      <c r="Y354" s="104">
        <v>46199.38286578703</v>
      </c>
      <c r="Z354" s="105" t="s">
        <v>14</v>
      </c>
      <c r="AA354" s="111">
        <f t="shared" si="4"/>
        <v>0</v>
      </c>
      <c r="AB354" s="110" t="str">
        <f t="shared" si="5"/>
        <v>EMP0021 Tamanna Dewangan</v>
      </c>
      <c r="AC354" s="103">
        <f>if(X354,_xlfn.WORKDAY.INTL(X354,AC$7,"0000001",Holidays!A:A)+hour(X354)/24+MINUTE(X354)/1440,"")</f>
        <v>46200.67431</v>
      </c>
      <c r="AD354" s="104">
        <v>46199.38301078704</v>
      </c>
      <c r="AE354" s="105" t="s">
        <v>14</v>
      </c>
      <c r="AF354" s="111">
        <f t="shared" si="6"/>
        <v>0</v>
      </c>
      <c r="AG354" s="110" t="str">
        <f t="shared" si="7"/>
        <v>EMP0021 Tamanna Dewangan</v>
      </c>
      <c r="AH354" s="103">
        <f>if(AC354,if(and(hour(AC354+AH$7)&gt;9.5,(hour(AC354+AH$7)&lt;19.5)),AC354+AH$7,_xlfn.workday.intl(int(AC354),1,"0000001",Holidays!A:A)+hour(AC354+AH$7-$B$1)/24+minute(AC354)/1440),"")</f>
        <v>46200.71597</v>
      </c>
      <c r="AI354" s="104">
        <v>46200.44786663195</v>
      </c>
      <c r="AJ354" s="105" t="s">
        <v>14</v>
      </c>
      <c r="AK354" s="111">
        <f t="shared" si="8"/>
        <v>0</v>
      </c>
      <c r="AL354" s="112" t="str">
        <f t="shared" si="9"/>
        <v>EMP0021 Tamanna Dewangan</v>
      </c>
      <c r="AM354" s="113"/>
      <c r="AN354" s="114" t="s">
        <v>672</v>
      </c>
      <c r="AO354" s="115"/>
      <c r="AP354" s="115"/>
      <c r="AQ354" s="115"/>
      <c r="AR354" s="115"/>
      <c r="AS354" s="115"/>
      <c r="AT354" s="115"/>
      <c r="AU354" s="115"/>
      <c r="AV354" s="115"/>
      <c r="AW354" s="115"/>
      <c r="AX354" s="115"/>
      <c r="AY354" s="115"/>
    </row>
    <row r="355">
      <c r="A355" s="95">
        <f t="shared" si="11"/>
        <v>5306</v>
      </c>
      <c r="B355" s="96">
        <v>46199.447584594905</v>
      </c>
      <c r="C355" s="97" t="s">
        <v>1467</v>
      </c>
      <c r="D355" s="97" t="s">
        <v>1539</v>
      </c>
      <c r="E355" s="98" t="s">
        <v>2048</v>
      </c>
      <c r="F355" s="98" t="s">
        <v>2052</v>
      </c>
      <c r="G355" s="97" t="s">
        <v>2050</v>
      </c>
      <c r="H355" s="99" t="s">
        <v>62</v>
      </c>
      <c r="I355" s="100" t="s">
        <v>64</v>
      </c>
      <c r="J355" s="101" t="s">
        <v>1538</v>
      </c>
      <c r="K355" s="100"/>
      <c r="L355" s="102" t="s">
        <v>2051</v>
      </c>
      <c r="M355" s="103">
        <f>if(B355,if(and(hour(B355+M$7)&gt;9.5,(hour(B355+M$7)&lt;19.5)),B355+M$7,_xlfn.workday.intl(int(B355),1,"0000001",Holidays!A:A)+hour(B355+M$7-$B$1)/24+minute(B355)/1440),"")</f>
        <v>46199.61425</v>
      </c>
      <c r="N355" s="104">
        <v>46199.46730736111</v>
      </c>
      <c r="O355" s="105" t="s">
        <v>14</v>
      </c>
      <c r="P355" s="106">
        <f t="shared" si="1"/>
        <v>0</v>
      </c>
      <c r="Q355" s="107" t="s">
        <v>72</v>
      </c>
      <c r="R355" s="108" t="s">
        <v>434</v>
      </c>
      <c r="S355" s="103">
        <f>if(M355,if(and(hour(M355+S$7)&gt;9.5,(hour(M355+S$7)&lt;19.5)),M355+S$7,_xlfn.workday.intl(int(M355),1,"0000001",Holidays!A:A)+hour(M355+S$7-$B$1)/24+minute(M355)/1440),"")</f>
        <v>46199.6212</v>
      </c>
      <c r="T355" s="104">
        <v>46199.46737355324</v>
      </c>
      <c r="U355" s="105" t="s">
        <v>14</v>
      </c>
      <c r="V355" s="109">
        <f t="shared" si="2"/>
        <v>0</v>
      </c>
      <c r="W355" s="110" t="str">
        <f t="shared" si="3"/>
        <v>EMP5009 Rup Kumar Mandal</v>
      </c>
      <c r="X355" s="103">
        <f>if(S355,if(and(hour(S355+X$7)&gt;9.5,(hour(S355+X$7)&lt;19.5)),S355+X$7,_xlfn.workday.intl(int(S355),1,"0000001",Holidays!A:A)+hour(S355+X$7-$B$1)/24+minute(S355)/1440),"")</f>
        <v>46199.72536</v>
      </c>
      <c r="Y355" s="104">
        <v>46199.46739435185</v>
      </c>
      <c r="Z355" s="105" t="s">
        <v>14</v>
      </c>
      <c r="AA355" s="111">
        <f t="shared" si="4"/>
        <v>0</v>
      </c>
      <c r="AB355" s="110" t="str">
        <f t="shared" si="5"/>
        <v>EMP5009 Rup Kumar Mandal</v>
      </c>
      <c r="AC355" s="103">
        <f>if(X355,_xlfn.WORKDAY.INTL(X355,AC$7,"0000001",Holidays!A:A)+hour(X355)/24+MINUTE(X355)/1440,"")</f>
        <v>46200.725</v>
      </c>
      <c r="AD355" s="104">
        <v>46200.56253892361</v>
      </c>
      <c r="AE355" s="105" t="s">
        <v>14</v>
      </c>
      <c r="AF355" s="111">
        <f t="shared" si="6"/>
        <v>0</v>
      </c>
      <c r="AG355" s="110" t="str">
        <f t="shared" si="7"/>
        <v>EMP5009 Rup Kumar Mandal</v>
      </c>
      <c r="AH355" s="103">
        <f>if(AC355,if(and(hour(AC355+AH$7)&gt;9.5,(hour(AC355+AH$7)&lt;19.5)),AC355+AH$7,_xlfn.workday.intl(int(AC355),1,"0000001",Holidays!A:A)+hour(AC355+AH$7-$B$1)/24+minute(AC355)/1440),"")</f>
        <v>46200.76667</v>
      </c>
      <c r="AI355" s="104">
        <v>46200.56258996528</v>
      </c>
      <c r="AJ355" s="105" t="s">
        <v>14</v>
      </c>
      <c r="AK355" s="111">
        <f t="shared" si="8"/>
        <v>0</v>
      </c>
      <c r="AL355" s="112" t="str">
        <f t="shared" si="9"/>
        <v>EMP5009 Rup Kumar Mandal</v>
      </c>
      <c r="AM355" s="113"/>
      <c r="AN355" s="114" t="s">
        <v>672</v>
      </c>
      <c r="AO355" s="115"/>
      <c r="AP355" s="115"/>
      <c r="AQ355" s="115"/>
      <c r="AR355" s="115"/>
      <c r="AS355" s="115"/>
      <c r="AT355" s="115"/>
      <c r="AU355" s="115"/>
      <c r="AV355" s="115"/>
      <c r="AW355" s="115"/>
      <c r="AX355" s="115"/>
      <c r="AY355" s="115"/>
    </row>
    <row r="356">
      <c r="A356" s="95">
        <f t="shared" si="11"/>
        <v>5307</v>
      </c>
      <c r="B356" s="96">
        <v>46199.73654304398</v>
      </c>
      <c r="C356" s="97" t="s">
        <v>2057</v>
      </c>
      <c r="D356" s="97" t="s">
        <v>982</v>
      </c>
      <c r="E356" s="98" t="s">
        <v>2054</v>
      </c>
      <c r="F356" s="98" t="s">
        <v>2058</v>
      </c>
      <c r="G356" s="97" t="s">
        <v>1291</v>
      </c>
      <c r="H356" s="99" t="s">
        <v>62</v>
      </c>
      <c r="I356" s="100" t="s">
        <v>324</v>
      </c>
      <c r="J356" s="101" t="s">
        <v>1269</v>
      </c>
      <c r="K356" s="100"/>
      <c r="L356" s="102" t="s">
        <v>2056</v>
      </c>
      <c r="M356" s="103">
        <f>if(B356,if(and(hour(B356+M$7)&gt;9.5,(hour(B356+M$7)&lt;19.5)),B356+M$7,_xlfn.workday.intl(int(B356),1,"0000001",Holidays!A:A)+hour(B356+M$7-$B$1)/24+minute(B356)/1440),"")</f>
        <v>46200.48611</v>
      </c>
      <c r="N356" s="104">
        <v>46199.76846528935</v>
      </c>
      <c r="O356" s="105" t="s">
        <v>14</v>
      </c>
      <c r="P356" s="106">
        <f t="shared" si="1"/>
        <v>0</v>
      </c>
      <c r="Q356" s="107" t="s">
        <v>48</v>
      </c>
      <c r="R356" s="108" t="s">
        <v>434</v>
      </c>
      <c r="S356" s="103">
        <f>if(M356,if(and(hour(M356+S$7)&gt;9.5,(hour(M356+S$7)&lt;19.5)),M356+S$7,_xlfn.workday.intl(int(M356),1,"0000001",Holidays!A:A)+hour(M356+S$7-$B$1)/24+minute(M356)/1440),"")</f>
        <v>46200.49306</v>
      </c>
      <c r="T356" s="104">
        <v>46199.76864545139</v>
      </c>
      <c r="U356" s="105" t="s">
        <v>14</v>
      </c>
      <c r="V356" s="109">
        <f t="shared" si="2"/>
        <v>0</v>
      </c>
      <c r="W356" s="110" t="str">
        <f t="shared" si="3"/>
        <v>EMP0237 Swarnendu Chakraborty</v>
      </c>
      <c r="X356" s="103">
        <f>if(S356,if(and(hour(S356+X$7)&gt;9.5,(hour(S356+X$7)&lt;19.5)),S356+X$7,_xlfn.workday.intl(int(S356),1,"0000001",Holidays!A:A)+hour(S356+X$7-$B$1)/24+minute(S356)/1440),"")</f>
        <v>46200.59722</v>
      </c>
      <c r="Y356" s="104">
        <v>46200.5519221875</v>
      </c>
      <c r="Z356" s="105" t="s">
        <v>14</v>
      </c>
      <c r="AA356" s="111">
        <f t="shared" si="4"/>
        <v>0</v>
      </c>
      <c r="AB356" s="110" t="str">
        <f t="shared" si="5"/>
        <v>EMP0237 Swarnendu Chakraborty</v>
      </c>
      <c r="AC356" s="103">
        <f>if(X356,_xlfn.WORKDAY.INTL(X356,AC$7,"0000001",Holidays!A:A)+hour(X356)/24+MINUTE(X356)/1440,"")</f>
        <v>46202.59722</v>
      </c>
      <c r="AD356" s="104">
        <v>46200.68360372685</v>
      </c>
      <c r="AE356" s="105" t="s">
        <v>14</v>
      </c>
      <c r="AF356" s="111">
        <f t="shared" si="6"/>
        <v>0</v>
      </c>
      <c r="AG356" s="110" t="str">
        <f t="shared" si="7"/>
        <v>EMP0237 Swarnendu Chakraborty</v>
      </c>
      <c r="AH356" s="103">
        <f>if(AC356,if(and(hour(AC356+AH$7)&gt;9.5,(hour(AC356+AH$7)&lt;19.5)),AC356+AH$7,_xlfn.workday.intl(int(AC356),1,"0000001",Holidays!A:A)+hour(AC356+AH$7-$B$1)/24+minute(AC356)/1440),"")</f>
        <v>46202.63889</v>
      </c>
      <c r="AI356" s="104">
        <v>46202.45741528935</v>
      </c>
      <c r="AJ356" s="105" t="s">
        <v>14</v>
      </c>
      <c r="AK356" s="111">
        <f t="shared" si="8"/>
        <v>0</v>
      </c>
      <c r="AL356" s="112" t="str">
        <f t="shared" si="9"/>
        <v>EMP0237 Swarnendu Chakraborty</v>
      </c>
      <c r="AM356" s="113"/>
      <c r="AN356" s="114" t="s">
        <v>672</v>
      </c>
      <c r="AO356" s="115"/>
      <c r="AP356" s="115"/>
      <c r="AQ356" s="115"/>
      <c r="AR356" s="115"/>
      <c r="AS356" s="115"/>
      <c r="AT356" s="115"/>
      <c r="AU356" s="115"/>
      <c r="AV356" s="115"/>
      <c r="AW356" s="115"/>
      <c r="AX356" s="115"/>
      <c r="AY356" s="115"/>
    </row>
    <row r="357">
      <c r="A357" s="95">
        <f t="shared" si="11"/>
        <v>5308</v>
      </c>
      <c r="B357" s="96">
        <v>46199.75506056713</v>
      </c>
      <c r="C357" s="97" t="s">
        <v>2062</v>
      </c>
      <c r="D357" s="97" t="s">
        <v>215</v>
      </c>
      <c r="E357" s="98" t="s">
        <v>2059</v>
      </c>
      <c r="F357" s="97"/>
      <c r="G357" s="97" t="s">
        <v>2060</v>
      </c>
      <c r="H357" s="99" t="s">
        <v>62</v>
      </c>
      <c r="I357" s="100" t="s">
        <v>64</v>
      </c>
      <c r="J357" s="101" t="s">
        <v>214</v>
      </c>
      <c r="K357" s="100"/>
      <c r="L357" s="102" t="s">
        <v>2061</v>
      </c>
      <c r="M357" s="103">
        <f>if(B357,if(and(hour(B357+M$7)&gt;9.5,(hour(B357+M$7)&lt;19.5)),B357+M$7,_xlfn.workday.intl(int(B357),1,"0000001",Holidays!A:A)+hour(B357+M$7-$B$1)/24+minute(B357)/1440),"")</f>
        <v>46200.50486</v>
      </c>
      <c r="N357" s="104">
        <v>46199.768481701394</v>
      </c>
      <c r="O357" s="105" t="s">
        <v>14</v>
      </c>
      <c r="P357" s="106">
        <f t="shared" si="1"/>
        <v>0</v>
      </c>
      <c r="Q357" s="107" t="s">
        <v>15</v>
      </c>
      <c r="R357" s="108" t="s">
        <v>434</v>
      </c>
      <c r="S357" s="103">
        <f>if(M357,if(and(hour(M357+S$7)&gt;9.5,(hour(M357+S$7)&lt;19.5)),M357+S$7,_xlfn.workday.intl(int(M357),1,"0000001",Holidays!A:A)+hour(M357+S$7-$B$1)/24+minute(M357)/1440),"")</f>
        <v>46200.51181</v>
      </c>
      <c r="T357" s="104">
        <v>46199.768667349534</v>
      </c>
      <c r="U357" s="105" t="s">
        <v>14</v>
      </c>
      <c r="V357" s="109">
        <f t="shared" si="2"/>
        <v>0</v>
      </c>
      <c r="W357" s="110" t="str">
        <f t="shared" si="3"/>
        <v>EMP0042 HULESHWAR KUMAR SAHU</v>
      </c>
      <c r="X357" s="103">
        <f>if(S357,if(and(hour(S357+X$7)&gt;9.5,(hour(S357+X$7)&lt;19.5)),S357+X$7,_xlfn.workday.intl(int(S357),1,"0000001",Holidays!A:A)+hour(S357+X$7-$B$1)/24+minute(S357)/1440),"")</f>
        <v>46200.61597</v>
      </c>
      <c r="Y357" s="104">
        <v>46200.55194240741</v>
      </c>
      <c r="Z357" s="105" t="s">
        <v>14</v>
      </c>
      <c r="AA357" s="111">
        <f t="shared" si="4"/>
        <v>0</v>
      </c>
      <c r="AB357" s="110" t="str">
        <f t="shared" si="5"/>
        <v>EMP0042 HULESHWAR KUMAR SAHU</v>
      </c>
      <c r="AC357" s="103">
        <f>if(X357,_xlfn.WORKDAY.INTL(X357,AC$7,"0000001",Holidays!A:A)+hour(X357)/24+MINUTE(X357)/1440,"")</f>
        <v>46202.61597</v>
      </c>
      <c r="AD357" s="104">
        <v>46200.68363662037</v>
      </c>
      <c r="AE357" s="105" t="s">
        <v>14</v>
      </c>
      <c r="AF357" s="111">
        <f t="shared" si="6"/>
        <v>0</v>
      </c>
      <c r="AG357" s="110" t="str">
        <f t="shared" si="7"/>
        <v>EMP0042 HULESHWAR KUMAR SAHU</v>
      </c>
      <c r="AH357" s="103">
        <f>if(AC357,if(and(hour(AC357+AH$7)&gt;9.5,(hour(AC357+AH$7)&lt;19.5)),AC357+AH$7,_xlfn.workday.intl(int(AC357),1,"0000001",Holidays!A:A)+hour(AC357+AH$7-$B$1)/24+minute(AC357)/1440),"")</f>
        <v>46202.65764</v>
      </c>
      <c r="AI357" s="104">
        <v>46202.45745350694</v>
      </c>
      <c r="AJ357" s="105" t="s">
        <v>14</v>
      </c>
      <c r="AK357" s="111">
        <f t="shared" si="8"/>
        <v>0</v>
      </c>
      <c r="AL357" s="112" t="str">
        <f t="shared" si="9"/>
        <v>EMP0042 HULESHWAR KUMAR SAHU</v>
      </c>
      <c r="AM357" s="113"/>
      <c r="AN357" s="114" t="s">
        <v>672</v>
      </c>
      <c r="AO357" s="115"/>
      <c r="AP357" s="115"/>
      <c r="AQ357" s="115"/>
      <c r="AR357" s="115"/>
      <c r="AS357" s="115"/>
      <c r="AT357" s="115"/>
      <c r="AU357" s="115"/>
      <c r="AV357" s="115"/>
      <c r="AW357" s="115"/>
      <c r="AX357" s="115"/>
      <c r="AY357" s="115"/>
    </row>
    <row r="358">
      <c r="A358" s="95">
        <f t="shared" si="11"/>
        <v>5309</v>
      </c>
      <c r="B358" s="96">
        <v>46200.46474092593</v>
      </c>
      <c r="C358" s="97" t="s">
        <v>136</v>
      </c>
      <c r="D358" s="97" t="s">
        <v>215</v>
      </c>
      <c r="E358" s="98" t="s">
        <v>2063</v>
      </c>
      <c r="F358" s="98" t="s">
        <v>2066</v>
      </c>
      <c r="G358" s="97" t="s">
        <v>2064</v>
      </c>
      <c r="H358" s="99" t="s">
        <v>62</v>
      </c>
      <c r="I358" s="100" t="s">
        <v>64</v>
      </c>
      <c r="J358" s="101" t="s">
        <v>214</v>
      </c>
      <c r="K358" s="100"/>
      <c r="L358" s="102" t="s">
        <v>2065</v>
      </c>
      <c r="M358" s="103">
        <f>if(B358,if(and(hour(B358+M$7)&gt;9.5,(hour(B358+M$7)&lt;19.5)),B358+M$7,_xlfn.workday.intl(int(B358),1,"0000001",Holidays!A:A)+hour(B358+M$7-$B$1)/24+minute(B358)/1440),"")</f>
        <v>46200.63141</v>
      </c>
      <c r="N358" s="104">
        <v>46200.49773836805</v>
      </c>
      <c r="O358" s="105" t="s">
        <v>14</v>
      </c>
      <c r="P358" s="106">
        <f t="shared" si="1"/>
        <v>0</v>
      </c>
      <c r="Q358" s="107" t="s">
        <v>15</v>
      </c>
      <c r="R358" s="108" t="s">
        <v>434</v>
      </c>
      <c r="S358" s="103">
        <f>if(M358,if(and(hour(M358+S$7)&gt;9.5,(hour(M358+S$7)&lt;19.5)),M358+S$7,_xlfn.workday.intl(int(M358),1,"0000001",Holidays!A:A)+hour(M358+S$7-$B$1)/24+minute(M358)/1440),"")</f>
        <v>46200.63835</v>
      </c>
      <c r="T358" s="104">
        <v>46200.49790616898</v>
      </c>
      <c r="U358" s="105" t="s">
        <v>14</v>
      </c>
      <c r="V358" s="109">
        <f t="shared" si="2"/>
        <v>0</v>
      </c>
      <c r="W358" s="110" t="str">
        <f t="shared" si="3"/>
        <v>EMP0042 HULESHWAR KUMAR SAHU</v>
      </c>
      <c r="X358" s="103">
        <f>if(S358,if(and(hour(S358+X$7)&gt;9.5,(hour(S358+X$7)&lt;19.5)),S358+X$7,_xlfn.workday.intl(int(S358),1,"0000001",Holidays!A:A)+hour(S358+X$7-$B$1)/24+minute(S358)/1440),"")</f>
        <v>46200.74252</v>
      </c>
      <c r="Y358" s="104">
        <v>46200.551958819444</v>
      </c>
      <c r="Z358" s="105" t="s">
        <v>14</v>
      </c>
      <c r="AA358" s="111">
        <f t="shared" si="4"/>
        <v>0</v>
      </c>
      <c r="AB358" s="110" t="str">
        <f t="shared" si="5"/>
        <v>EMP0042 HULESHWAR KUMAR SAHU</v>
      </c>
      <c r="AC358" s="103">
        <f>if(X358,_xlfn.WORKDAY.INTL(X358,AC$7,"0000001",Holidays!A:A)+hour(X358)/24+MINUTE(X358)/1440,"")</f>
        <v>46202.74236</v>
      </c>
      <c r="AD358" s="104">
        <v>46200.68364320602</v>
      </c>
      <c r="AE358" s="105" t="s">
        <v>14</v>
      </c>
      <c r="AF358" s="111">
        <f t="shared" si="6"/>
        <v>0</v>
      </c>
      <c r="AG358" s="110" t="str">
        <f t="shared" si="7"/>
        <v>EMP0042 HULESHWAR KUMAR SAHU</v>
      </c>
      <c r="AH358" s="103">
        <f>if(AC358,if(and(hour(AC358+AH$7)&gt;9.5,(hour(AC358+AH$7)&lt;19.5)),AC358+AH$7,_xlfn.workday.intl(int(AC358),1,"0000001",Holidays!A:A)+hour(AC358+AH$7-$B$1)/24+minute(AC358)/1440),"")</f>
        <v>46202.78403</v>
      </c>
      <c r="AI358" s="104">
        <v>46202.45747850694</v>
      </c>
      <c r="AJ358" s="105" t="s">
        <v>14</v>
      </c>
      <c r="AK358" s="111">
        <f t="shared" si="8"/>
        <v>0</v>
      </c>
      <c r="AL358" s="112" t="str">
        <f t="shared" si="9"/>
        <v>EMP0042 HULESHWAR KUMAR SAHU</v>
      </c>
      <c r="AM358" s="113"/>
      <c r="AN358" s="114" t="s">
        <v>672</v>
      </c>
      <c r="AO358" s="115"/>
      <c r="AP358" s="115"/>
      <c r="AQ358" s="115"/>
      <c r="AR358" s="115"/>
      <c r="AS358" s="115"/>
      <c r="AT358" s="115"/>
      <c r="AU358" s="115"/>
      <c r="AV358" s="115"/>
      <c r="AW358" s="115"/>
      <c r="AX358" s="115"/>
      <c r="AY358" s="115"/>
    </row>
    <row r="359">
      <c r="A359" s="95">
        <f t="shared" si="11"/>
        <v>5310</v>
      </c>
      <c r="B359" s="96">
        <v>46200.48067682871</v>
      </c>
      <c r="C359" s="97" t="s">
        <v>2072</v>
      </c>
      <c r="D359" s="97" t="s">
        <v>2068</v>
      </c>
      <c r="E359" s="98" t="s">
        <v>2069</v>
      </c>
      <c r="F359" s="98" t="s">
        <v>2073</v>
      </c>
      <c r="G359" s="97" t="s">
        <v>2070</v>
      </c>
      <c r="H359" s="99" t="s">
        <v>62</v>
      </c>
      <c r="I359" s="100" t="s">
        <v>64</v>
      </c>
      <c r="J359" s="101" t="s">
        <v>2067</v>
      </c>
      <c r="K359" s="100"/>
      <c r="L359" s="102" t="s">
        <v>2071</v>
      </c>
      <c r="M359" s="103">
        <f>if(B359,if(and(hour(B359+M$7)&gt;9.5,(hour(B359+M$7)&lt;19.5)),B359+M$7,_xlfn.workday.intl(int(B359),1,"0000001",Holidays!A:A)+hour(B359+M$7-$B$1)/24+minute(B359)/1440),"")</f>
        <v>46200.64734</v>
      </c>
      <c r="N359" s="104">
        <v>46200.49784600694</v>
      </c>
      <c r="O359" s="105" t="s">
        <v>14</v>
      </c>
      <c r="P359" s="106">
        <f t="shared" si="1"/>
        <v>0</v>
      </c>
      <c r="Q359" s="107" t="s">
        <v>48</v>
      </c>
      <c r="R359" s="108" t="s">
        <v>434</v>
      </c>
      <c r="S359" s="103">
        <f>if(M359,if(and(hour(M359+S$7)&gt;9.5,(hour(M359+S$7)&lt;19.5)),M359+S$7,_xlfn.workday.intl(int(M359),1,"0000001",Holidays!A:A)+hour(M359+S$7-$B$1)/24+minute(M359)/1440),"")</f>
        <v>46200.65429</v>
      </c>
      <c r="T359" s="104">
        <v>46200.49792927083</v>
      </c>
      <c r="U359" s="105" t="s">
        <v>14</v>
      </c>
      <c r="V359" s="109">
        <f t="shared" si="2"/>
        <v>0</v>
      </c>
      <c r="W359" s="110" t="str">
        <f t="shared" si="3"/>
        <v>EMP0237 Swarnendu Chakraborty</v>
      </c>
      <c r="X359" s="103">
        <f>if(S359,if(and(hour(S359+X$7)&gt;9.5,(hour(S359+X$7)&lt;19.5)),S359+X$7,_xlfn.workday.intl(int(S359),1,"0000001",Holidays!A:A)+hour(S359+X$7-$B$1)/24+minute(S359)/1440),"")</f>
        <v>46200.75845</v>
      </c>
      <c r="Y359" s="104">
        <v>46200.551877453705</v>
      </c>
      <c r="Z359" s="105" t="s">
        <v>14</v>
      </c>
      <c r="AA359" s="111">
        <f t="shared" si="4"/>
        <v>0</v>
      </c>
      <c r="AB359" s="110" t="str">
        <f t="shared" si="5"/>
        <v>EMP0237 Swarnendu Chakraborty</v>
      </c>
      <c r="AC359" s="103">
        <f>if(X359,_xlfn.WORKDAY.INTL(X359,AC$7,"0000001",Holidays!A:A)+hour(X359)/24+MINUTE(X359)/1440,"")</f>
        <v>46202.75833</v>
      </c>
      <c r="AD359" s="104">
        <v>46200.683678518515</v>
      </c>
      <c r="AE359" s="105" t="s">
        <v>14</v>
      </c>
      <c r="AF359" s="111">
        <f t="shared" si="6"/>
        <v>0</v>
      </c>
      <c r="AG359" s="110" t="str">
        <f t="shared" si="7"/>
        <v>EMP0237 Swarnendu Chakraborty</v>
      </c>
      <c r="AH359" s="103">
        <f>if(AC359,if(and(hour(AC359+AH$7)&gt;9.5,(hour(AC359+AH$7)&lt;19.5)),AC359+AH$7,_xlfn.workday.intl(int(AC359),1,"0000001",Holidays!A:A)+hour(AC359+AH$7-$B$1)/24+minute(AC359)/1440),"")</f>
        <v>46202.8</v>
      </c>
      <c r="AI359" s="104">
        <v>46202.45750063658</v>
      </c>
      <c r="AJ359" s="105" t="s">
        <v>14</v>
      </c>
      <c r="AK359" s="111">
        <f t="shared" si="8"/>
        <v>0</v>
      </c>
      <c r="AL359" s="112" t="str">
        <f t="shared" si="9"/>
        <v>EMP0237 Swarnendu Chakraborty</v>
      </c>
      <c r="AM359" s="113"/>
      <c r="AN359" s="114" t="s">
        <v>672</v>
      </c>
      <c r="AO359" s="115"/>
      <c r="AP359" s="115"/>
      <c r="AQ359" s="115"/>
      <c r="AR359" s="115"/>
      <c r="AS359" s="115"/>
      <c r="AT359" s="115"/>
      <c r="AU359" s="115"/>
      <c r="AV359" s="115"/>
      <c r="AW359" s="115"/>
      <c r="AX359" s="115"/>
      <c r="AY359" s="115"/>
    </row>
    <row r="360">
      <c r="A360" s="95">
        <f t="shared" si="11"/>
        <v>5311</v>
      </c>
      <c r="B360" s="96">
        <v>46200.67503907408</v>
      </c>
      <c r="C360" s="97" t="s">
        <v>1484</v>
      </c>
      <c r="D360" s="97" t="s">
        <v>1587</v>
      </c>
      <c r="E360" s="98" t="s">
        <v>2075</v>
      </c>
      <c r="F360" s="97"/>
      <c r="G360" s="97" t="s">
        <v>674</v>
      </c>
      <c r="H360" s="99" t="s">
        <v>62</v>
      </c>
      <c r="I360" s="100" t="s">
        <v>64</v>
      </c>
      <c r="J360" s="101" t="s">
        <v>662</v>
      </c>
      <c r="K360" s="100"/>
      <c r="L360" s="102" t="s">
        <v>2076</v>
      </c>
      <c r="M360" s="103">
        <f>if(B360,if(and(hour(B360+M$7)&gt;9.5,(hour(B360+M$7)&lt;19.5)),B360+M$7,_xlfn.workday.intl(int(B360),1,"0000001",Holidays!A:A)+hour(B360+M$7-$B$1)/24+minute(B360)/1440),"")+2/24</f>
        <v>46202.50833</v>
      </c>
      <c r="N360" s="104">
        <v>46202.45767567129</v>
      </c>
      <c r="O360" s="105" t="s">
        <v>14</v>
      </c>
      <c r="P360" s="106">
        <f t="shared" si="1"/>
        <v>0</v>
      </c>
      <c r="Q360" s="107" t="s">
        <v>72</v>
      </c>
      <c r="R360" s="108" t="s">
        <v>434</v>
      </c>
      <c r="S360" s="103">
        <f>if(M360,if(and(hour(M360+S$7)&gt;9.5,(hour(M360+S$7)&lt;19.5)),M360+S$7,_xlfn.workday.intl(int(M360),1,"0000001",Holidays!A:A)+hour(M360+S$7-$B$1)/24+minute(M360)/1440),"")</f>
        <v>46202.51528</v>
      </c>
      <c r="T360" s="104">
        <v>46202.45771290509</v>
      </c>
      <c r="U360" s="105" t="s">
        <v>14</v>
      </c>
      <c r="V360" s="109">
        <f t="shared" si="2"/>
        <v>0</v>
      </c>
      <c r="W360" s="110" t="str">
        <f t="shared" si="3"/>
        <v>EMP5009 Rup Kumar Mandal</v>
      </c>
      <c r="X360" s="103">
        <f>if(S360,if(and(hour(S360+X$7)&gt;9.5,(hour(S360+X$7)&lt;19.5)),S360+X$7,_xlfn.workday.intl(int(S360),1,"0000001",Holidays!A:A)+hour(S360+X$7-$B$1)/24+minute(S360)/1440),"")</f>
        <v>46202.61944</v>
      </c>
      <c r="Y360" s="104">
        <v>46202.4577434838</v>
      </c>
      <c r="Z360" s="105" t="s">
        <v>14</v>
      </c>
      <c r="AA360" s="111">
        <f t="shared" si="4"/>
        <v>0</v>
      </c>
      <c r="AB360" s="110" t="str">
        <f t="shared" si="5"/>
        <v>EMP5009 Rup Kumar Mandal</v>
      </c>
      <c r="AC360" s="103">
        <f>if(X360,_xlfn.WORKDAY.INTL(X360,AC$7,"0000001",Holidays!A:A)+hour(X360)/24+MINUTE(X360)/1440,"")</f>
        <v>46203.61944</v>
      </c>
      <c r="AD360" s="104">
        <v>46202.65901074074</v>
      </c>
      <c r="AE360" s="105" t="s">
        <v>14</v>
      </c>
      <c r="AF360" s="111">
        <f t="shared" si="6"/>
        <v>0</v>
      </c>
      <c r="AG360" s="110" t="str">
        <f t="shared" si="7"/>
        <v>EMP5009 Rup Kumar Mandal</v>
      </c>
      <c r="AH360" s="103">
        <f>if(AC360,if(and(hour(AC360+AH$7)&gt;9.5,(hour(AC360+AH$7)&lt;19.5)),AC360+AH$7,_xlfn.workday.intl(int(AC360),1,"0000001",Holidays!A:A)+hour(AC360+AH$7-$B$1)/24+minute(AC360)/1440),"")</f>
        <v>46203.66111</v>
      </c>
      <c r="AI360" s="104">
        <v>46202.65909233796</v>
      </c>
      <c r="AJ360" s="105" t="s">
        <v>14</v>
      </c>
      <c r="AK360" s="111">
        <f t="shared" si="8"/>
        <v>0</v>
      </c>
      <c r="AL360" s="112" t="str">
        <f t="shared" si="9"/>
        <v>EMP5009 Rup Kumar Mandal</v>
      </c>
      <c r="AM360" s="113"/>
      <c r="AN360" s="114" t="s">
        <v>672</v>
      </c>
      <c r="AO360" s="115"/>
      <c r="AP360" s="115"/>
      <c r="AQ360" s="115"/>
      <c r="AR360" s="115"/>
      <c r="AS360" s="115"/>
      <c r="AT360" s="115"/>
      <c r="AU360" s="115"/>
      <c r="AV360" s="115"/>
      <c r="AW360" s="115"/>
      <c r="AX360" s="115"/>
      <c r="AY360" s="115"/>
    </row>
    <row r="361">
      <c r="A361" s="95">
        <f t="shared" si="11"/>
        <v>5312</v>
      </c>
      <c r="B361" s="96">
        <v>46202.48759142361</v>
      </c>
      <c r="C361" s="97" t="s">
        <v>1486</v>
      </c>
      <c r="D361" s="97" t="s">
        <v>1212</v>
      </c>
      <c r="E361" s="98" t="s">
        <v>2077</v>
      </c>
      <c r="F361" s="97"/>
      <c r="G361" s="97" t="s">
        <v>1886</v>
      </c>
      <c r="H361" s="99" t="s">
        <v>138</v>
      </c>
      <c r="I361" s="100" t="s">
        <v>64</v>
      </c>
      <c r="J361" s="101" t="s">
        <v>1211</v>
      </c>
      <c r="K361" s="100"/>
      <c r="L361" s="102" t="s">
        <v>391</v>
      </c>
      <c r="M361" s="103">
        <f>if(B361,if(and(hour(B361+M$7)&gt;9.5,(hour(B361+M$7)&lt;19.5)),B361+M$7,_xlfn.workday.intl(int(B361),1,"0000001",Holidays!A:A)+hour(B361+M$7-$B$1)/24+minute(B361)/1440),"")</f>
        <v>46202.65426</v>
      </c>
      <c r="N361" s="104">
        <v>46202.51188986111</v>
      </c>
      <c r="O361" s="105" t="s">
        <v>14</v>
      </c>
      <c r="P361" s="106">
        <f t="shared" si="1"/>
        <v>0</v>
      </c>
      <c r="Q361" s="107" t="s">
        <v>15</v>
      </c>
      <c r="R361" s="108" t="s">
        <v>434</v>
      </c>
      <c r="S361" s="103">
        <f>if(M361,if(and(hour(M361+S$7)&gt;9.5,(hour(M361+S$7)&lt;19.5)),M361+S$7,_xlfn.workday.intl(int(M361),1,"0000001",Holidays!A:A)+hour(M361+S$7-$B$1)/24+minute(M361)/1440),"")</f>
        <v>46202.6612</v>
      </c>
      <c r="T361" s="104">
        <v>46202.512022916664</v>
      </c>
      <c r="U361" s="105" t="s">
        <v>14</v>
      </c>
      <c r="V361" s="109">
        <f t="shared" si="2"/>
        <v>0</v>
      </c>
      <c r="W361" s="110" t="str">
        <f t="shared" si="3"/>
        <v>EMP0042 HULESHWAR KUMAR SAHU</v>
      </c>
      <c r="X361" s="103">
        <f>if(S361,if(and(hour(S361+X$7)&gt;9.5,(hour(S361+X$7)&lt;19.5)),S361+X$7,_xlfn.workday.intl(int(S361),1,"0000001",Holidays!A:A)+hour(S361+X$7-$B$1)/24+minute(S361)/1440),"")</f>
        <v>46202.76537</v>
      </c>
      <c r="Y361" s="104">
        <v>46202.512086331015</v>
      </c>
      <c r="Z361" s="105" t="s">
        <v>14</v>
      </c>
      <c r="AA361" s="111">
        <f t="shared" si="4"/>
        <v>0</v>
      </c>
      <c r="AB361" s="110" t="str">
        <f t="shared" si="5"/>
        <v>EMP0042 HULESHWAR KUMAR SAHU</v>
      </c>
      <c r="AC361" s="103">
        <f>if(X361,_xlfn.WORKDAY.INTL(X361,AC$7,"0000001",Holidays!A:A)+hour(X361)/24+MINUTE(X361)/1440,"")</f>
        <v>46203.76528</v>
      </c>
      <c r="AD361" s="104">
        <v>46202.65902146991</v>
      </c>
      <c r="AE361" s="105" t="s">
        <v>14</v>
      </c>
      <c r="AF361" s="111">
        <f t="shared" si="6"/>
        <v>0</v>
      </c>
      <c r="AG361" s="110" t="str">
        <f t="shared" si="7"/>
        <v>EMP0042 HULESHWAR KUMAR SAHU</v>
      </c>
      <c r="AH361" s="103">
        <f>if(AC361,if(and(hour(AC361+AH$7)&gt;9.5,(hour(AC361+AH$7)&lt;19.5)),AC361+AH$7,_xlfn.workday.intl(int(AC361),1,"0000001",Holidays!A:A)+hour(AC361+AH$7-$B$1)/24+minute(AC361)/1440),"")</f>
        <v>46203.80694</v>
      </c>
      <c r="AI361" s="104">
        <v>46202.65912304398</v>
      </c>
      <c r="AJ361" s="105" t="s">
        <v>14</v>
      </c>
      <c r="AK361" s="111">
        <f t="shared" si="8"/>
        <v>0</v>
      </c>
      <c r="AL361" s="112" t="str">
        <f t="shared" si="9"/>
        <v>EMP0042 HULESHWAR KUMAR SAHU</v>
      </c>
      <c r="AM361" s="113"/>
      <c r="AN361" s="114" t="s">
        <v>672</v>
      </c>
      <c r="AO361" s="115"/>
      <c r="AP361" s="115"/>
      <c r="AQ361" s="115"/>
      <c r="AR361" s="115"/>
      <c r="AS361" s="115"/>
      <c r="AT361" s="115"/>
      <c r="AU361" s="115"/>
      <c r="AV361" s="115"/>
      <c r="AW361" s="115"/>
      <c r="AX361" s="115"/>
      <c r="AY361" s="115"/>
    </row>
    <row r="362">
      <c r="A362" s="95">
        <f t="shared" si="11"/>
        <v>5313</v>
      </c>
      <c r="B362" s="96">
        <v>46202.663656805555</v>
      </c>
      <c r="C362" s="97" t="s">
        <v>1490</v>
      </c>
      <c r="D362" s="97" t="s">
        <v>186</v>
      </c>
      <c r="E362" s="98" t="s">
        <v>2078</v>
      </c>
      <c r="F362" s="97"/>
      <c r="G362" s="97" t="s">
        <v>2079</v>
      </c>
      <c r="H362" s="99" t="s">
        <v>147</v>
      </c>
      <c r="I362" s="100" t="s">
        <v>64</v>
      </c>
      <c r="J362" s="101" t="s">
        <v>303</v>
      </c>
      <c r="K362" s="100"/>
      <c r="L362" s="102" t="s">
        <v>2080</v>
      </c>
      <c r="M362" s="103">
        <f>if(B362,if(and(hour(B362+M$7)&gt;9.5,(hour(B362+M$7)&lt;19.5)),B362+M$7,_xlfn.workday.intl(int(B362),1,"0000001",Holidays!A:A)+hour(B362+M$7-$B$1)/24+minute(B362)/1440),"")</f>
        <v>46202.83032</v>
      </c>
      <c r="N362" s="104">
        <v>46202.687457974534</v>
      </c>
      <c r="O362" s="105" t="s">
        <v>14</v>
      </c>
      <c r="P362" s="106">
        <f t="shared" si="1"/>
        <v>0</v>
      </c>
      <c r="Q362" s="107" t="s">
        <v>15</v>
      </c>
      <c r="R362" s="108" t="s">
        <v>434</v>
      </c>
      <c r="S362" s="103">
        <f>if(M362,if(and(hour(M362+S$7)&gt;9.5,(hour(M362+S$7)&lt;19.5)),M362+S$7,_xlfn.workday.intl(int(M362),1,"0000001",Holidays!A:A)+hour(M362+S$7-$B$1)/24+minute(M362)/1440),"")</f>
        <v>46203.45486</v>
      </c>
      <c r="T362" s="104">
        <v>46202.68753555555</v>
      </c>
      <c r="U362" s="105" t="s">
        <v>14</v>
      </c>
      <c r="V362" s="109">
        <f t="shared" si="2"/>
        <v>0</v>
      </c>
      <c r="W362" s="110" t="str">
        <f t="shared" si="3"/>
        <v>EMP0042 HULESHWAR KUMAR SAHU</v>
      </c>
      <c r="X362" s="103">
        <f>if(S362,if(and(hour(S362+X$7)&gt;9.5,(hour(S362+X$7)&lt;19.5)),S362+X$7,_xlfn.workday.intl(int(S362),1,"0000001",Holidays!A:A)+hour(S362+X$7-$B$1)/24+minute(S362)/1440),"")</f>
        <v>46203.55903</v>
      </c>
      <c r="Y362" s="104">
        <v>46202.68954953704</v>
      </c>
      <c r="Z362" s="105" t="s">
        <v>14</v>
      </c>
      <c r="AA362" s="111">
        <f t="shared" si="4"/>
        <v>0</v>
      </c>
      <c r="AB362" s="110" t="str">
        <f t="shared" si="5"/>
        <v>EMP0042 HULESHWAR KUMAR SAHU</v>
      </c>
      <c r="AC362" s="103">
        <f>if(X362,_xlfn.WORKDAY.INTL(X362,AC$7,"0000001",Holidays!A:A)+hour(X362)/24+MINUTE(X362)/1440,"")</f>
        <v>46204.55903</v>
      </c>
      <c r="AD362" s="104">
        <v>46202.689628657405</v>
      </c>
      <c r="AE362" s="105" t="s">
        <v>14</v>
      </c>
      <c r="AF362" s="111">
        <f t="shared" si="6"/>
        <v>0</v>
      </c>
      <c r="AG362" s="110" t="str">
        <f t="shared" si="7"/>
        <v>EMP0042 HULESHWAR KUMAR SAHU</v>
      </c>
      <c r="AH362" s="103">
        <f>if(AC362,if(and(hour(AC362+AH$7)&gt;9.5,(hour(AC362+AH$7)&lt;19.5)),AC362+AH$7,_xlfn.workday.intl(int(AC362),1,"0000001",Holidays!A:A)+hour(AC362+AH$7-$B$1)/24+minute(AC362)/1440),"")</f>
        <v>46204.60069</v>
      </c>
      <c r="AI362" s="104">
        <v>46202.68973670139</v>
      </c>
      <c r="AJ362" s="105" t="s">
        <v>14</v>
      </c>
      <c r="AK362" s="111">
        <f t="shared" si="8"/>
        <v>0</v>
      </c>
      <c r="AL362" s="112" t="str">
        <f t="shared" si="9"/>
        <v>EMP0042 HULESHWAR KUMAR SAHU</v>
      </c>
      <c r="AM362" s="113"/>
      <c r="AN362" s="114" t="s">
        <v>672</v>
      </c>
      <c r="AO362" s="115"/>
      <c r="AP362" s="115"/>
      <c r="AQ362" s="115"/>
      <c r="AR362" s="115"/>
      <c r="AS362" s="115"/>
      <c r="AT362" s="115"/>
      <c r="AU362" s="115"/>
      <c r="AV362" s="115"/>
      <c r="AW362" s="115"/>
      <c r="AX362" s="115"/>
      <c r="AY362" s="115"/>
    </row>
    <row r="363">
      <c r="A363" s="95">
        <f t="shared" si="11"/>
        <v>5314</v>
      </c>
      <c r="B363" s="96">
        <v>46203.48917515046</v>
      </c>
      <c r="C363" s="97" t="s">
        <v>1493</v>
      </c>
      <c r="D363" s="97" t="s">
        <v>1212</v>
      </c>
      <c r="E363" s="98" t="s">
        <v>2081</v>
      </c>
      <c r="F363" s="98" t="s">
        <v>2082</v>
      </c>
      <c r="G363" s="97" t="s">
        <v>1886</v>
      </c>
      <c r="H363" s="99" t="s">
        <v>138</v>
      </c>
      <c r="I363" s="100" t="s">
        <v>64</v>
      </c>
      <c r="J363" s="101" t="s">
        <v>1211</v>
      </c>
      <c r="K363" s="100"/>
      <c r="L363" s="102" t="s">
        <v>391</v>
      </c>
      <c r="M363" s="103">
        <f>if(B363,if(and(hour(B363+M$7)&gt;9.5,(hour(B363+M$7)&lt;19.5)),B363+M$7,_xlfn.workday.intl(int(B363),1,"0000001",Holidays!A:A)+hour(B363+M$7-$B$1)/24+minute(B363)/1440),"")</f>
        <v>46203.65584</v>
      </c>
      <c r="N363" s="104">
        <v>46203.54985304398</v>
      </c>
      <c r="O363" s="105" t="s">
        <v>14</v>
      </c>
      <c r="P363" s="106">
        <f t="shared" si="1"/>
        <v>0</v>
      </c>
      <c r="Q363" s="107" t="s">
        <v>15</v>
      </c>
      <c r="R363" s="108" t="s">
        <v>434</v>
      </c>
      <c r="S363" s="103">
        <f>if(M363,if(and(hour(M363+S$7)&gt;9.5,(hour(M363+S$7)&lt;19.5)),M363+S$7,_xlfn.workday.intl(int(M363),1,"0000001",Holidays!A:A)+hour(M363+S$7-$B$1)/24+minute(M363)/1440),"")</f>
        <v>46203.66279</v>
      </c>
      <c r="T363" s="104">
        <v>46203.54992741898</v>
      </c>
      <c r="U363" s="105" t="s">
        <v>14</v>
      </c>
      <c r="V363" s="109">
        <f t="shared" si="2"/>
        <v>0</v>
      </c>
      <c r="W363" s="110" t="str">
        <f t="shared" si="3"/>
        <v>EMP0042 HULESHWAR KUMAR SAHU</v>
      </c>
      <c r="X363" s="103">
        <f>if(S363,if(and(hour(S363+X$7)&gt;9.5,(hour(S363+X$7)&lt;19.5)),S363+X$7,_xlfn.workday.intl(int(S363),1,"0000001",Holidays!A:A)+hour(S363+X$7-$B$1)/24+minute(S363)/1440),"")</f>
        <v>46203.76695</v>
      </c>
      <c r="Y363" s="104">
        <v>46203.675033217594</v>
      </c>
      <c r="Z363" s="105" t="s">
        <v>14</v>
      </c>
      <c r="AA363" s="111">
        <f t="shared" si="4"/>
        <v>0</v>
      </c>
      <c r="AB363" s="110" t="str">
        <f t="shared" si="5"/>
        <v>EMP0042 HULESHWAR KUMAR SAHU</v>
      </c>
      <c r="AC363" s="103">
        <f>if(X363,_xlfn.WORKDAY.INTL(X363,AC$7,"0000001",Holidays!A:A)+hour(X363)/24+MINUTE(X363)/1440,"")</f>
        <v>46204.76667</v>
      </c>
      <c r="AD363" s="104">
        <v>46204.448189745366</v>
      </c>
      <c r="AE363" s="105" t="s">
        <v>14</v>
      </c>
      <c r="AF363" s="111">
        <f t="shared" si="6"/>
        <v>0</v>
      </c>
      <c r="AG363" s="110" t="str">
        <f t="shared" si="7"/>
        <v>EMP0042 HULESHWAR KUMAR SAHU</v>
      </c>
      <c r="AH363" s="103">
        <f>if(AC363,if(and(hour(AC363+AH$7)&gt;9.5,(hour(AC363+AH$7)&lt;19.5)),AC363+AH$7,_xlfn.workday.intl(int(AC363),1,"0000001",Holidays!A:A)+hour(AC363+AH$7-$B$1)/24+minute(AC363)/1440),"")</f>
        <v>46204.80833</v>
      </c>
      <c r="AI363" s="104">
        <v>46204.47642604167</v>
      </c>
      <c r="AJ363" s="105" t="s">
        <v>14</v>
      </c>
      <c r="AK363" s="111">
        <f t="shared" si="8"/>
        <v>0</v>
      </c>
      <c r="AL363" s="112" t="str">
        <f t="shared" si="9"/>
        <v>EMP0042 HULESHWAR KUMAR SAHU</v>
      </c>
      <c r="AM363" s="113"/>
      <c r="AN363" s="114" t="s">
        <v>672</v>
      </c>
      <c r="AO363" s="115"/>
      <c r="AP363" s="115"/>
      <c r="AQ363" s="115"/>
      <c r="AR363" s="115"/>
      <c r="AS363" s="115"/>
      <c r="AT363" s="115"/>
      <c r="AU363" s="115"/>
      <c r="AV363" s="115"/>
      <c r="AW363" s="115"/>
      <c r="AX363" s="115"/>
      <c r="AY363" s="115"/>
    </row>
    <row r="364">
      <c r="A364" s="95">
        <f t="shared" si="11"/>
        <v>5315</v>
      </c>
      <c r="B364" s="96">
        <v>46203.50711685185</v>
      </c>
      <c r="C364" s="97" t="s">
        <v>2086</v>
      </c>
      <c r="D364" s="97" t="s">
        <v>1539</v>
      </c>
      <c r="E364" s="98" t="s">
        <v>2083</v>
      </c>
      <c r="F364" s="97"/>
      <c r="G364" s="97" t="s">
        <v>2084</v>
      </c>
      <c r="H364" s="99" t="s">
        <v>62</v>
      </c>
      <c r="I364" s="100" t="s">
        <v>64</v>
      </c>
      <c r="J364" s="101" t="s">
        <v>1538</v>
      </c>
      <c r="K364" s="100"/>
      <c r="L364" s="102" t="s">
        <v>2085</v>
      </c>
      <c r="M364" s="103">
        <f>if(B364,if(and(hour(B364+M$7)&gt;9.5,(hour(B364+M$7)&lt;19.5)),B364+M$7,_xlfn.workday.intl(int(B364),1,"0000001",Holidays!A:A)+hour(B364+M$7-$B$1)/24+minute(B364)/1440),"")</f>
        <v>46203.67378</v>
      </c>
      <c r="N364" s="104">
        <v>46203.54987065972</v>
      </c>
      <c r="O364" s="105" t="s">
        <v>14</v>
      </c>
      <c r="P364" s="106">
        <f t="shared" si="1"/>
        <v>0</v>
      </c>
      <c r="Q364" s="107" t="s">
        <v>48</v>
      </c>
      <c r="R364" s="108" t="s">
        <v>434</v>
      </c>
      <c r="S364" s="103">
        <f>if(M364,if(and(hour(M364+S$7)&gt;9.5,(hour(M364+S$7)&lt;19.5)),M364+S$7,_xlfn.workday.intl(int(M364),1,"0000001",Holidays!A:A)+hour(M364+S$7-$B$1)/24+minute(M364)/1440),"")</f>
        <v>46203.68073</v>
      </c>
      <c r="T364" s="104">
        <v>46203.549947824074</v>
      </c>
      <c r="U364" s="105" t="s">
        <v>14</v>
      </c>
      <c r="V364" s="109">
        <f t="shared" si="2"/>
        <v>0</v>
      </c>
      <c r="W364" s="110" t="str">
        <f t="shared" si="3"/>
        <v>EMP0237 Swarnendu Chakraborty</v>
      </c>
      <c r="X364" s="103">
        <f>if(S364,if(and(hour(S364+X$7)&gt;9.5,(hour(S364+X$7)&lt;19.5)),S364+X$7,_xlfn.workday.intl(int(S364),1,"0000001",Holidays!A:A)+hour(S364+X$7-$B$1)/24+minute(S364)/1440),"")</f>
        <v>46203.78489</v>
      </c>
      <c r="Y364" s="104">
        <v>46203.67323173611</v>
      </c>
      <c r="Z364" s="105" t="s">
        <v>14</v>
      </c>
      <c r="AA364" s="111">
        <f t="shared" si="4"/>
        <v>0</v>
      </c>
      <c r="AB364" s="110" t="str">
        <f t="shared" si="5"/>
        <v>EMP0237 Swarnendu Chakraborty</v>
      </c>
      <c r="AC364" s="103">
        <f>if(X364,_xlfn.WORKDAY.INTL(X364,AC$7,"0000001",Holidays!A:A)+hour(X364)/24+MINUTE(X364)/1440,"")</f>
        <v>46204.78472</v>
      </c>
      <c r="AD364" s="104">
        <v>46204.44825832176</v>
      </c>
      <c r="AE364" s="105" t="s">
        <v>14</v>
      </c>
      <c r="AF364" s="111">
        <f t="shared" si="6"/>
        <v>0</v>
      </c>
      <c r="AG364" s="110" t="str">
        <f t="shared" si="7"/>
        <v>EMP0237 Swarnendu Chakraborty</v>
      </c>
      <c r="AH364" s="103">
        <f>if(AC364,if(and(hour(AC364+AH$7)&gt;9.5,(hour(AC364+AH$7)&lt;19.5)),AC364+AH$7,_xlfn.workday.intl(int(AC364),1,"0000001",Holidays!A:A)+hour(AC364+AH$7-$B$1)/24+minute(AC364)/1440),"")</f>
        <v>46204.82639</v>
      </c>
      <c r="AI364" s="104">
        <v>46204.45453945602</v>
      </c>
      <c r="AJ364" s="105" t="s">
        <v>14</v>
      </c>
      <c r="AK364" s="111">
        <f t="shared" si="8"/>
        <v>0</v>
      </c>
      <c r="AL364" s="112" t="str">
        <f t="shared" si="9"/>
        <v>EMP0237 Swarnendu Chakraborty</v>
      </c>
      <c r="AM364" s="113"/>
      <c r="AN364" s="114" t="s">
        <v>672</v>
      </c>
      <c r="AO364" s="115"/>
      <c r="AP364" s="115"/>
      <c r="AQ364" s="115"/>
      <c r="AR364" s="115"/>
      <c r="AS364" s="115"/>
      <c r="AT364" s="115"/>
      <c r="AU364" s="115"/>
      <c r="AV364" s="115"/>
      <c r="AW364" s="115"/>
      <c r="AX364" s="115"/>
      <c r="AY364" s="115"/>
    </row>
    <row r="365">
      <c r="A365" s="95">
        <f t="shared" si="11"/>
        <v>5316</v>
      </c>
      <c r="B365" s="96">
        <v>46203.604984363425</v>
      </c>
      <c r="C365" s="97" t="s">
        <v>1501</v>
      </c>
      <c r="D365" s="97" t="s">
        <v>1767</v>
      </c>
      <c r="E365" s="98" t="s">
        <v>2087</v>
      </c>
      <c r="F365" s="97"/>
      <c r="G365" s="97" t="s">
        <v>2088</v>
      </c>
      <c r="H365" s="99" t="s">
        <v>62</v>
      </c>
      <c r="I365" s="100" t="s">
        <v>64</v>
      </c>
      <c r="J365" s="101" t="s">
        <v>1648</v>
      </c>
      <c r="K365" s="100"/>
      <c r="L365" s="102" t="s">
        <v>2089</v>
      </c>
      <c r="M365" s="103">
        <f>if(B365,if(and(hour(B365+M$7)&gt;9.5,(hour(B365+M$7)&lt;19.5)),B365+M$7,_xlfn.workday.intl(int(B365),1,"0000001",Holidays!A:A)+hour(B365+M$7-$B$1)/24+minute(B365)/1440),"")</f>
        <v>46203.77165</v>
      </c>
      <c r="N365" s="104">
        <v>46203.67329938657</v>
      </c>
      <c r="O365" s="105" t="s">
        <v>14</v>
      </c>
      <c r="P365" s="106">
        <f t="shared" si="1"/>
        <v>0</v>
      </c>
      <c r="Q365" s="107" t="s">
        <v>15</v>
      </c>
      <c r="R365" s="108" t="s">
        <v>434</v>
      </c>
      <c r="S365" s="103">
        <f>if(M365,if(and(hour(M365+S$7)&gt;9.5,(hour(M365+S$7)&lt;19.5)),M365+S$7,_xlfn.workday.intl(int(M365),1,"0000001",Holidays!A:A)+hour(M365+S$7-$B$1)/24+minute(M365)/1440),"")</f>
        <v>46203.7786</v>
      </c>
      <c r="T365" s="104">
        <v>46203.67491984954</v>
      </c>
      <c r="U365" s="105" t="s">
        <v>14</v>
      </c>
      <c r="V365" s="109">
        <f t="shared" si="2"/>
        <v>0</v>
      </c>
      <c r="W365" s="110" t="str">
        <f t="shared" si="3"/>
        <v>EMP0042 HULESHWAR KUMAR SAHU</v>
      </c>
      <c r="X365" s="103">
        <f>if(S365,if(and(hour(S365+X$7)&gt;9.5,(hour(S365+X$7)&lt;19.5)),S365+X$7,_xlfn.workday.intl(int(S365),1,"0000001",Holidays!A:A)+hour(S365+X$7-$B$1)/24+minute(S365)/1440),"")</f>
        <v>46204.48681</v>
      </c>
      <c r="Y365" s="104">
        <v>46203.675074872684</v>
      </c>
      <c r="Z365" s="105" t="s">
        <v>14</v>
      </c>
      <c r="AA365" s="111">
        <f t="shared" si="4"/>
        <v>0</v>
      </c>
      <c r="AB365" s="110" t="str">
        <f t="shared" si="5"/>
        <v>EMP0042 HULESHWAR KUMAR SAHU</v>
      </c>
      <c r="AC365" s="103">
        <f>if(X365,_xlfn.WORKDAY.INTL(X365,AC$7,"0000001",Holidays!A:A)+hour(X365)/24+MINUTE(X365)/1440,"")</f>
        <v>46205.48681</v>
      </c>
      <c r="AD365" s="104">
        <v>46204.64012957176</v>
      </c>
      <c r="AE365" s="105" t="s">
        <v>14</v>
      </c>
      <c r="AF365" s="111">
        <f t="shared" si="6"/>
        <v>0</v>
      </c>
      <c r="AG365" s="110" t="str">
        <f t="shared" si="7"/>
        <v>EMP0042 HULESHWAR KUMAR SAHU</v>
      </c>
      <c r="AH365" s="103">
        <f>if(AC365,if(and(hour(AC365+AH$7)&gt;9.5,(hour(AC365+AH$7)&lt;19.5)),AC365+AH$7,_xlfn.workday.intl(int(AC365),1,"0000001",Holidays!A:A)+hour(AC365+AH$7-$B$1)/24+minute(AC365)/1440),"")</f>
        <v>46205.52847</v>
      </c>
      <c r="AI365" s="104">
        <v>46204.64016902778</v>
      </c>
      <c r="AJ365" s="105" t="s">
        <v>14</v>
      </c>
      <c r="AK365" s="111">
        <f t="shared" si="8"/>
        <v>0</v>
      </c>
      <c r="AL365" s="112" t="str">
        <f t="shared" si="9"/>
        <v>EMP0042 HULESHWAR KUMAR SAHU</v>
      </c>
      <c r="AM365" s="113"/>
      <c r="AN365" s="114" t="s">
        <v>672</v>
      </c>
      <c r="AO365" s="115"/>
      <c r="AP365" s="115"/>
      <c r="AQ365" s="115"/>
      <c r="AR365" s="115"/>
      <c r="AS365" s="115"/>
      <c r="AT365" s="115"/>
      <c r="AU365" s="115"/>
      <c r="AV365" s="115"/>
      <c r="AW365" s="115"/>
      <c r="AX365" s="115"/>
      <c r="AY365" s="115"/>
    </row>
    <row r="366">
      <c r="A366" s="95">
        <f t="shared" si="11"/>
        <v>5317</v>
      </c>
      <c r="B366" s="96">
        <v>46203.64639633102</v>
      </c>
      <c r="C366" s="97" t="s">
        <v>1504</v>
      </c>
      <c r="D366" s="97" t="s">
        <v>186</v>
      </c>
      <c r="E366" s="98" t="s">
        <v>2090</v>
      </c>
      <c r="F366" s="97"/>
      <c r="G366" s="97" t="s">
        <v>2091</v>
      </c>
      <c r="H366" s="99" t="s">
        <v>147</v>
      </c>
      <c r="I366" s="100" t="s">
        <v>64</v>
      </c>
      <c r="J366" s="101" t="s">
        <v>303</v>
      </c>
      <c r="K366" s="100"/>
      <c r="L366" s="102" t="s">
        <v>2092</v>
      </c>
      <c r="M366" s="103">
        <f>if(B366,if(and(hour(B366+M$7)&gt;9.5,(hour(B366+M$7)&lt;19.5)),B366+M$7,_xlfn.workday.intl(int(B366),1,"0000001",Holidays!A:A)+hour(B366+M$7-$B$1)/24+minute(B366)/1440),"")</f>
        <v>46203.81306</v>
      </c>
      <c r="N366" s="104">
        <v>46203.67480444444</v>
      </c>
      <c r="O366" s="105" t="s">
        <v>14</v>
      </c>
      <c r="P366" s="106">
        <f t="shared" si="1"/>
        <v>0</v>
      </c>
      <c r="Q366" s="107" t="s">
        <v>15</v>
      </c>
      <c r="R366" s="108" t="s">
        <v>434</v>
      </c>
      <c r="S366" s="103">
        <f>if(M366,if(and(hour(M366+S$7)&gt;9.5,(hour(M366+S$7)&lt;19.5)),M366+S$7,_xlfn.workday.intl(int(M366),1,"0000001",Holidays!A:A)+hour(M366+S$7-$B$1)/24+minute(M366)/1440),"")</f>
        <v>46203.82001</v>
      </c>
      <c r="T366" s="104">
        <v>46203.675127083334</v>
      </c>
      <c r="U366" s="105" t="s">
        <v>14</v>
      </c>
      <c r="V366" s="109">
        <f t="shared" si="2"/>
        <v>0</v>
      </c>
      <c r="W366" s="110" t="str">
        <f t="shared" si="3"/>
        <v>EMP0042 HULESHWAR KUMAR SAHU</v>
      </c>
      <c r="X366" s="103">
        <f>if(S366,if(and(hour(S366+X$7)&gt;9.5,(hour(S366+X$7)&lt;19.5)),S366+X$7,_xlfn.workday.intl(int(S366),1,"0000001",Holidays!A:A)+hour(S366+X$7-$B$1)/24+minute(S366)/1440),"")</f>
        <v>46204.52778</v>
      </c>
      <c r="Y366" s="104">
        <v>46203.67520694445</v>
      </c>
      <c r="Z366" s="105" t="s">
        <v>14</v>
      </c>
      <c r="AA366" s="111">
        <f t="shared" si="4"/>
        <v>0</v>
      </c>
      <c r="AB366" s="110" t="str">
        <f t="shared" si="5"/>
        <v>EMP0042 HULESHWAR KUMAR SAHU</v>
      </c>
      <c r="AC366" s="103">
        <f>if(X366,_xlfn.WORKDAY.INTL(X366,AC$7,"0000001",Holidays!A:A)+hour(X366)/24+MINUTE(X366)/1440,"")</f>
        <v>46205.52778</v>
      </c>
      <c r="AD366" s="104">
        <v>46204.64021789352</v>
      </c>
      <c r="AE366" s="105" t="s">
        <v>14</v>
      </c>
      <c r="AF366" s="111">
        <f t="shared" si="6"/>
        <v>0</v>
      </c>
      <c r="AG366" s="110" t="str">
        <f t="shared" si="7"/>
        <v>EMP0042 HULESHWAR KUMAR SAHU</v>
      </c>
      <c r="AH366" s="103">
        <f>if(AC366,if(and(hour(AC366+AH$7)&gt;9.5,(hour(AC366+AH$7)&lt;19.5)),AC366+AH$7,_xlfn.workday.intl(int(AC366),1,"0000001",Holidays!A:A)+hour(AC366+AH$7-$B$1)/24+minute(AC366)/1440),"")</f>
        <v>46205.56944</v>
      </c>
      <c r="AI366" s="104">
        <v>46204.640243437505</v>
      </c>
      <c r="AJ366" s="105" t="s">
        <v>14</v>
      </c>
      <c r="AK366" s="111">
        <f t="shared" si="8"/>
        <v>0</v>
      </c>
      <c r="AL366" s="112" t="str">
        <f t="shared" si="9"/>
        <v>EMP0042 HULESHWAR KUMAR SAHU</v>
      </c>
      <c r="AM366" s="113"/>
      <c r="AN366" s="114" t="s">
        <v>672</v>
      </c>
      <c r="AO366" s="115"/>
      <c r="AP366" s="115"/>
      <c r="AQ366" s="115"/>
      <c r="AR366" s="115"/>
      <c r="AS366" s="115"/>
      <c r="AT366" s="115"/>
      <c r="AU366" s="115"/>
      <c r="AV366" s="115"/>
      <c r="AW366" s="115"/>
      <c r="AX366" s="115"/>
      <c r="AY366" s="115"/>
    </row>
    <row r="367">
      <c r="A367" s="95">
        <f t="shared" si="11"/>
        <v>5318</v>
      </c>
      <c r="B367" s="96">
        <v>46203.6843147801</v>
      </c>
      <c r="C367" s="97" t="s">
        <v>1506</v>
      </c>
      <c r="D367" s="97" t="s">
        <v>2094</v>
      </c>
      <c r="E367" s="98" t="s">
        <v>2095</v>
      </c>
      <c r="F367" s="97"/>
      <c r="G367" s="97" t="s">
        <v>2096</v>
      </c>
      <c r="H367" s="99" t="s">
        <v>126</v>
      </c>
      <c r="I367" s="100" t="s">
        <v>324</v>
      </c>
      <c r="J367" s="101" t="s">
        <v>2093</v>
      </c>
      <c r="K367" s="100"/>
      <c r="L367" s="102" t="s">
        <v>1630</v>
      </c>
      <c r="M367" s="103">
        <f>if(B367,if(and(hour(B367+M$7)&gt;9.5,(hour(B367+M$7)&lt;19.5)),B367+M$7,_xlfn.workday.intl(int(B367),1,"0000001",Holidays!A:A)+hour(B367+M$7-$B$1)/24+minute(B367)/1440),"")</f>
        <v>46204.43403</v>
      </c>
      <c r="N367" s="104">
        <v>46203.720708912035</v>
      </c>
      <c r="O367" s="105" t="s">
        <v>14</v>
      </c>
      <c r="P367" s="106">
        <f t="shared" si="1"/>
        <v>0</v>
      </c>
      <c r="Q367" s="107" t="s">
        <v>48</v>
      </c>
      <c r="R367" s="108" t="s">
        <v>434</v>
      </c>
      <c r="S367" s="103">
        <f>if(M367,if(and(hour(M367+S$7)&gt;9.5,(hour(M367+S$7)&lt;19.5)),M367+S$7,_xlfn.workday.intl(int(M367),1,"0000001",Holidays!A:A)+hour(M367+S$7-$B$1)/24+minute(M367)/1440),"")</f>
        <v>46204.44097</v>
      </c>
      <c r="T367" s="104">
        <v>46203.675127083334</v>
      </c>
      <c r="U367" s="105" t="s">
        <v>14</v>
      </c>
      <c r="V367" s="109">
        <f t="shared" si="2"/>
        <v>0</v>
      </c>
      <c r="W367" s="110" t="str">
        <f t="shared" si="3"/>
        <v>EMP0237 Swarnendu Chakraborty</v>
      </c>
      <c r="X367" s="103">
        <f>if(S367,if(and(hour(S367+X$7)&gt;9.5,(hour(S367+X$7)&lt;19.5)),S367+X$7,_xlfn.workday.intl(int(S367),1,"0000001",Holidays!A:A)+hour(S367+X$7-$B$1)/24+minute(S367)/1440),"")</f>
        <v>46204.54514</v>
      </c>
      <c r="Y367" s="104">
        <v>46203.783256979164</v>
      </c>
      <c r="Z367" s="105" t="s">
        <v>14</v>
      </c>
      <c r="AA367" s="111">
        <f t="shared" si="4"/>
        <v>0</v>
      </c>
      <c r="AB367" s="110" t="str">
        <f t="shared" si="5"/>
        <v>EMP0237 Swarnendu Chakraborty</v>
      </c>
      <c r="AC367" s="103">
        <f>if(X367,_xlfn.WORKDAY.INTL(X367,AC$7,"0000001",Holidays!A:A)+hour(X367)/24+MINUTE(X367)/1440,"")</f>
        <v>46205.54514</v>
      </c>
      <c r="AD367" s="104">
        <v>46203.783303749995</v>
      </c>
      <c r="AE367" s="105" t="s">
        <v>14</v>
      </c>
      <c r="AF367" s="111">
        <f t="shared" si="6"/>
        <v>0</v>
      </c>
      <c r="AG367" s="110" t="str">
        <f t="shared" si="7"/>
        <v>EMP0237 Swarnendu Chakraborty</v>
      </c>
      <c r="AH367" s="103">
        <f>if(AC367,if(and(hour(AC367+AH$7)&gt;9.5,(hour(AC367+AH$7)&lt;19.5)),AC367+AH$7,_xlfn.workday.intl(int(AC367),1,"0000001",Holidays!A:A)+hour(AC367+AH$7-$B$1)/24+minute(AC367)/1440),"")</f>
        <v>46205.58681</v>
      </c>
      <c r="AI367" s="104">
        <v>46203.7833377662</v>
      </c>
      <c r="AJ367" s="105" t="s">
        <v>14</v>
      </c>
      <c r="AK367" s="111">
        <f t="shared" si="8"/>
        <v>0</v>
      </c>
      <c r="AL367" s="112" t="str">
        <f t="shared" si="9"/>
        <v>EMP0237 Swarnendu Chakraborty</v>
      </c>
      <c r="AM367" s="113"/>
      <c r="AN367" s="114" t="s">
        <v>672</v>
      </c>
      <c r="AO367" s="115"/>
      <c r="AP367" s="115"/>
      <c r="AQ367" s="115"/>
      <c r="AR367" s="115"/>
      <c r="AS367" s="115"/>
      <c r="AT367" s="115"/>
      <c r="AU367" s="115"/>
      <c r="AV367" s="115"/>
      <c r="AW367" s="115"/>
      <c r="AX367" s="115"/>
      <c r="AY367" s="115"/>
    </row>
    <row r="368">
      <c r="A368" s="95">
        <f t="shared" si="11"/>
        <v>5319</v>
      </c>
      <c r="B368" s="96">
        <v>46203.853371840276</v>
      </c>
      <c r="C368" s="97">
        <v>2577.0</v>
      </c>
      <c r="D368" s="97" t="s">
        <v>255</v>
      </c>
      <c r="E368" s="98" t="s">
        <v>2098</v>
      </c>
      <c r="F368" s="97"/>
      <c r="G368" s="97" t="s">
        <v>330</v>
      </c>
      <c r="H368" s="99" t="s">
        <v>103</v>
      </c>
      <c r="I368" s="100" t="s">
        <v>64</v>
      </c>
      <c r="J368" s="101" t="s">
        <v>254</v>
      </c>
      <c r="K368" s="100"/>
      <c r="L368" s="102" t="s">
        <v>261</v>
      </c>
      <c r="M368" s="103">
        <f>if(B368,if(and(hour(B368+M$7)&gt;9.5,(hour(B368+M$7)&lt;19.5)),B368+M$7,_xlfn.workday.intl(int(B368),1,"0000001",Holidays!A:A)+hour(B368+M$7-$B$1)/24+minute(B368)/1440),"")</f>
        <v>46204.60278</v>
      </c>
      <c r="N368" s="104">
        <v>46204.43940209491</v>
      </c>
      <c r="O368" s="105" t="s">
        <v>14</v>
      </c>
      <c r="P368" s="106">
        <f t="shared" si="1"/>
        <v>0</v>
      </c>
      <c r="Q368" s="107" t="s">
        <v>72</v>
      </c>
      <c r="R368" s="108" t="s">
        <v>434</v>
      </c>
      <c r="S368" s="103">
        <f>if(M368,if(and(hour(M368+S$7)&gt;9.5,(hour(M368+S$7)&lt;19.5)),M368+S$7,_xlfn.workday.intl(int(M368),1,"0000001",Holidays!A:A)+hour(M368+S$7-$B$1)/24+minute(M368)/1440),"")</f>
        <v>46204.60972</v>
      </c>
      <c r="T368" s="104">
        <v>46204.43944711806</v>
      </c>
      <c r="U368" s="105" t="s">
        <v>14</v>
      </c>
      <c r="V368" s="109">
        <f t="shared" si="2"/>
        <v>0</v>
      </c>
      <c r="W368" s="110" t="str">
        <f t="shared" si="3"/>
        <v>EMP5009 Rup Kumar Mandal</v>
      </c>
      <c r="X368" s="103">
        <f>if(S368,if(and(hour(S368+X$7)&gt;9.5,(hour(S368+X$7)&lt;19.5)),S368+X$7,_xlfn.workday.intl(int(S368),1,"0000001",Holidays!A:A)+hour(S368+X$7-$B$1)/24+minute(S368)/1440),"")</f>
        <v>46204.71389</v>
      </c>
      <c r="Y368" s="104">
        <v>46204.4394675</v>
      </c>
      <c r="Z368" s="105" t="s">
        <v>14</v>
      </c>
      <c r="AA368" s="111">
        <f t="shared" si="4"/>
        <v>0</v>
      </c>
      <c r="AB368" s="110" t="str">
        <f t="shared" si="5"/>
        <v>EMP5009 Rup Kumar Mandal</v>
      </c>
      <c r="AC368" s="103">
        <f>if(X368,_xlfn.WORKDAY.INTL(X368,AC$7,"0000001",Holidays!A:A)+hour(X368)/24+MINUTE(X368)/1440,"")</f>
        <v>46205.71389</v>
      </c>
      <c r="AD368" s="104">
        <v>46204.68988664352</v>
      </c>
      <c r="AE368" s="105" t="s">
        <v>14</v>
      </c>
      <c r="AF368" s="111">
        <f t="shared" si="6"/>
        <v>0</v>
      </c>
      <c r="AG368" s="110" t="str">
        <f t="shared" si="7"/>
        <v>EMP5009 Rup Kumar Mandal</v>
      </c>
      <c r="AH368" s="103">
        <f>if(AC368,if(and(hour(AC368+AH$7)&gt;9.5,(hour(AC368+AH$7)&lt;19.5)),AC368+AH$7,_xlfn.workday.intl(int(AC368),1,"0000001",Holidays!A:A)+hour(AC368+AH$7-$B$1)/24+minute(AC368)/1440),"")</f>
        <v>46205.75556</v>
      </c>
      <c r="AI368" s="104">
        <v>46204.68990548611</v>
      </c>
      <c r="AJ368" s="105" t="s">
        <v>14</v>
      </c>
      <c r="AK368" s="111">
        <f t="shared" si="8"/>
        <v>0</v>
      </c>
      <c r="AL368" s="112" t="str">
        <f t="shared" si="9"/>
        <v>EMP5009 Rup Kumar Mandal</v>
      </c>
      <c r="AM368" s="113"/>
      <c r="AN368" s="114" t="s">
        <v>672</v>
      </c>
      <c r="AO368" s="115"/>
      <c r="AP368" s="115"/>
      <c r="AQ368" s="115"/>
      <c r="AR368" s="115"/>
      <c r="AS368" s="115"/>
      <c r="AT368" s="115"/>
      <c r="AU368" s="115"/>
      <c r="AV368" s="115"/>
      <c r="AW368" s="115"/>
      <c r="AX368" s="115"/>
      <c r="AY368" s="115"/>
    </row>
    <row r="369">
      <c r="A369" s="95">
        <f t="shared" si="11"/>
        <v>5320</v>
      </c>
      <c r="B369" s="96">
        <v>46204.6323058912</v>
      </c>
      <c r="C369" s="97" t="s">
        <v>1514</v>
      </c>
      <c r="D369" s="97" t="s">
        <v>2100</v>
      </c>
      <c r="E369" s="98" t="s">
        <v>2101</v>
      </c>
      <c r="F369" s="97"/>
      <c r="G369" s="97" t="s">
        <v>2102</v>
      </c>
      <c r="H369" s="99" t="s">
        <v>62</v>
      </c>
      <c r="I369" s="100" t="s">
        <v>64</v>
      </c>
      <c r="J369" s="101" t="s">
        <v>2099</v>
      </c>
      <c r="K369" s="100"/>
      <c r="L369" s="102" t="s">
        <v>2102</v>
      </c>
      <c r="M369" s="103">
        <f>if(B369,if(and(hour(B369+M$7)&gt;9.5,(hour(B369+M$7)&lt;19.5)),B369+M$7,_xlfn.workday.intl(int(B369),1,"0000001",Holidays!A:A)+hour(B369+M$7-$B$1)/24+minute(B369)/1440),"")</f>
        <v>46204.79897</v>
      </c>
      <c r="N369" s="104">
        <v>46204.64060878472</v>
      </c>
      <c r="O369" s="105" t="s">
        <v>14</v>
      </c>
      <c r="P369" s="106">
        <f t="shared" si="1"/>
        <v>0</v>
      </c>
      <c r="Q369" s="107" t="s">
        <v>61</v>
      </c>
      <c r="R369" s="108" t="s">
        <v>434</v>
      </c>
      <c r="S369" s="103">
        <f>if(M369,if(and(hour(M369+S$7)&gt;9.5,(hour(M369+S$7)&lt;19.5)),M369+S$7,_xlfn.workday.intl(int(M369),1,"0000001",Holidays!A:A)+hour(M369+S$7-$B$1)/24+minute(M369)/1440),"")</f>
        <v>46204.80592</v>
      </c>
      <c r="T369" s="104">
        <v>46204.64122194445</v>
      </c>
      <c r="U369" s="105" t="s">
        <v>14</v>
      </c>
      <c r="V369" s="109">
        <f t="shared" si="2"/>
        <v>0</v>
      </c>
      <c r="W369" s="110" t="str">
        <f t="shared" si="3"/>
        <v>EMP0021 Tamanna Dewangan</v>
      </c>
      <c r="X369" s="103">
        <f>if(S369,if(and(hour(S369+X$7)&gt;9.5,(hour(S369+X$7)&lt;19.5)),S369+X$7,_xlfn.workday.intl(int(S369),1,"0000001",Holidays!A:A)+hour(S369+X$7-$B$1)/24+minute(S369)/1440),"")</f>
        <v>46205.47222</v>
      </c>
      <c r="Y369" s="104">
        <v>46204.64135690972</v>
      </c>
      <c r="Z369" s="105" t="s">
        <v>14</v>
      </c>
      <c r="AA369" s="111">
        <f t="shared" si="4"/>
        <v>0</v>
      </c>
      <c r="AB369" s="110" t="str">
        <f t="shared" si="5"/>
        <v>EMP0021 Tamanna Dewangan</v>
      </c>
      <c r="AC369" s="103">
        <f>if(X369,_xlfn.WORKDAY.INTL(X369,AC$7,"0000001",Holidays!A:A)+hour(X369)/24+MINUTE(X369)/1440,"")</f>
        <v>46206.47222</v>
      </c>
      <c r="AD369" s="104">
        <v>46205.74152616898</v>
      </c>
      <c r="AE369" s="105" t="s">
        <v>14</v>
      </c>
      <c r="AF369" s="111">
        <f t="shared" si="6"/>
        <v>0</v>
      </c>
      <c r="AG369" s="110" t="str">
        <f t="shared" si="7"/>
        <v>EMP0021 Tamanna Dewangan</v>
      </c>
      <c r="AH369" s="103">
        <f>if(AC369,if(and(hour(AC369+AH$7)&gt;9.5,(hour(AC369+AH$7)&lt;19.5)),AC369+AH$7,_xlfn.workday.intl(int(AC369),1,"0000001",Holidays!A:A)+hour(AC369+AH$7-$B$1)/24+minute(AC369)/1440),"")</f>
        <v>46206.51389</v>
      </c>
      <c r="AI369" s="104">
        <v>46206.48157050926</v>
      </c>
      <c r="AJ369" s="105" t="s">
        <v>14</v>
      </c>
      <c r="AK369" s="111">
        <f t="shared" si="8"/>
        <v>0</v>
      </c>
      <c r="AL369" s="112" t="str">
        <f t="shared" si="9"/>
        <v>EMP0021 Tamanna Dewangan</v>
      </c>
      <c r="AM369" s="113"/>
      <c r="AN369" s="114" t="s">
        <v>672</v>
      </c>
      <c r="AO369" s="115"/>
      <c r="AP369" s="115"/>
      <c r="AQ369" s="115"/>
      <c r="AR369" s="115"/>
      <c r="AS369" s="115"/>
      <c r="AT369" s="115"/>
      <c r="AU369" s="115"/>
      <c r="AV369" s="115"/>
      <c r="AW369" s="115"/>
      <c r="AX369" s="115"/>
      <c r="AY369" s="115"/>
    </row>
    <row r="370">
      <c r="A370" s="95">
        <f t="shared" si="11"/>
        <v>5321</v>
      </c>
      <c r="B370" s="96">
        <v>46204.633618437496</v>
      </c>
      <c r="C370" s="97" t="s">
        <v>1514</v>
      </c>
      <c r="D370" s="97" t="s">
        <v>2105</v>
      </c>
      <c r="E370" s="98" t="s">
        <v>2106</v>
      </c>
      <c r="F370" s="97"/>
      <c r="G370" s="97" t="s">
        <v>2107</v>
      </c>
      <c r="H370" s="99" t="s">
        <v>62</v>
      </c>
      <c r="I370" s="100" t="s">
        <v>64</v>
      </c>
      <c r="J370" s="101" t="s">
        <v>2104</v>
      </c>
      <c r="K370" s="100"/>
      <c r="L370" s="102" t="s">
        <v>2108</v>
      </c>
      <c r="M370" s="103">
        <f>if(B370,if(and(hour(B370+M$7)&gt;9.5,(hour(B370+M$7)&lt;19.5)),B370+M$7,_xlfn.workday.intl(int(B370),1,"0000001",Holidays!A:A)+hour(B370+M$7-$B$1)/24+minute(B370)/1440),"")</f>
        <v>46204.80029</v>
      </c>
      <c r="N370" s="104">
        <v>46204.640819050925</v>
      </c>
      <c r="O370" s="105" t="s">
        <v>14</v>
      </c>
      <c r="P370" s="106">
        <f t="shared" si="1"/>
        <v>0</v>
      </c>
      <c r="Q370" s="107" t="s">
        <v>61</v>
      </c>
      <c r="R370" s="108" t="s">
        <v>434</v>
      </c>
      <c r="S370" s="103">
        <f>if(M370,if(and(hour(M370+S$7)&gt;9.5,(hour(M370+S$7)&lt;19.5)),M370+S$7,_xlfn.workday.intl(int(M370),1,"0000001",Holidays!A:A)+hour(M370+S$7-$B$1)/24+minute(M370)/1440),"")</f>
        <v>46204.80723</v>
      </c>
      <c r="T370" s="104">
        <v>46204.64127584491</v>
      </c>
      <c r="U370" s="105" t="s">
        <v>14</v>
      </c>
      <c r="V370" s="109">
        <f t="shared" si="2"/>
        <v>0</v>
      </c>
      <c r="W370" s="110" t="str">
        <f t="shared" si="3"/>
        <v>EMP0021 Tamanna Dewangan</v>
      </c>
      <c r="X370" s="103">
        <f>if(S370,if(and(hour(S370+X$7)&gt;9.5,(hour(S370+X$7)&lt;19.5)),S370+X$7,_xlfn.workday.intl(int(S370),1,"0000001",Holidays!A:A)+hour(S370+X$7-$B$1)/24+minute(S370)/1440),"")</f>
        <v>46205.47361</v>
      </c>
      <c r="Y370" s="104">
        <v>46204.64137405093</v>
      </c>
      <c r="Z370" s="105" t="s">
        <v>14</v>
      </c>
      <c r="AA370" s="111">
        <f t="shared" si="4"/>
        <v>0</v>
      </c>
      <c r="AB370" s="110" t="str">
        <f t="shared" si="5"/>
        <v>EMP0021 Tamanna Dewangan</v>
      </c>
      <c r="AC370" s="103">
        <f>if(X370,_xlfn.WORKDAY.INTL(X370,AC$7,"0000001",Holidays!A:A)+hour(X370)/24+MINUTE(X370)/1440,"")</f>
        <v>46206.47361</v>
      </c>
      <c r="AD370" s="104">
        <v>46205.74152997685</v>
      </c>
      <c r="AE370" s="105" t="s">
        <v>14</v>
      </c>
      <c r="AF370" s="111">
        <f t="shared" si="6"/>
        <v>0</v>
      </c>
      <c r="AG370" s="110" t="str">
        <f t="shared" si="7"/>
        <v>EMP0021 Tamanna Dewangan</v>
      </c>
      <c r="AH370" s="103">
        <f>if(AC370,if(and(hour(AC370+AH$7)&gt;9.5,(hour(AC370+AH$7)&lt;19.5)),AC370+AH$7,_xlfn.workday.intl(int(AC370),1,"0000001",Holidays!A:A)+hour(AC370+AH$7-$B$1)/24+minute(AC370)/1440),"")</f>
        <v>46206.51528</v>
      </c>
      <c r="AI370" s="104">
        <v>46206.48157483796</v>
      </c>
      <c r="AJ370" s="105" t="s">
        <v>14</v>
      </c>
      <c r="AK370" s="111">
        <f t="shared" si="8"/>
        <v>0</v>
      </c>
      <c r="AL370" s="112" t="str">
        <f t="shared" si="9"/>
        <v>EMP0021 Tamanna Dewangan</v>
      </c>
      <c r="AM370" s="113"/>
      <c r="AN370" s="114" t="s">
        <v>672</v>
      </c>
      <c r="AO370" s="115"/>
      <c r="AP370" s="115"/>
      <c r="AQ370" s="115"/>
      <c r="AR370" s="115"/>
      <c r="AS370" s="115"/>
      <c r="AT370" s="115"/>
      <c r="AU370" s="115"/>
      <c r="AV370" s="115"/>
      <c r="AW370" s="115"/>
      <c r="AX370" s="115"/>
      <c r="AY370" s="115"/>
    </row>
    <row r="371">
      <c r="A371" s="95">
        <f t="shared" si="11"/>
        <v>5322</v>
      </c>
      <c r="B371" s="96">
        <v>46204.63466449074</v>
      </c>
      <c r="C371" s="97" t="s">
        <v>1514</v>
      </c>
      <c r="D371" s="97" t="s">
        <v>2105</v>
      </c>
      <c r="E371" s="98" t="s">
        <v>2109</v>
      </c>
      <c r="F371" s="97"/>
      <c r="G371" s="97" t="s">
        <v>2110</v>
      </c>
      <c r="H371" s="99" t="s">
        <v>62</v>
      </c>
      <c r="I371" s="100" t="s">
        <v>64</v>
      </c>
      <c r="J371" s="101" t="s">
        <v>2104</v>
      </c>
      <c r="K371" s="100"/>
      <c r="L371" s="102" t="s">
        <v>2110</v>
      </c>
      <c r="M371" s="103">
        <f>if(B371,if(and(hour(B371+M$7)&gt;9.5,(hour(B371+M$7)&lt;19.5)),B371+M$7,_xlfn.workday.intl(int(B371),1,"0000001",Holidays!A:A)+hour(B371+M$7-$B$1)/24+minute(B371)/1440),"")</f>
        <v>46204.80133</v>
      </c>
      <c r="N371" s="104">
        <v>46204.64091417824</v>
      </c>
      <c r="O371" s="105" t="s">
        <v>14</v>
      </c>
      <c r="P371" s="106">
        <f t="shared" si="1"/>
        <v>0</v>
      </c>
      <c r="Q371" s="107" t="s">
        <v>61</v>
      </c>
      <c r="R371" s="108" t="s">
        <v>434</v>
      </c>
      <c r="S371" s="103">
        <f>if(M371,if(and(hour(M371+S$7)&gt;9.5,(hour(M371+S$7)&lt;19.5)),M371+S$7,_xlfn.workday.intl(int(M371),1,"0000001",Holidays!A:A)+hour(M371+S$7-$B$1)/24+minute(M371)/1440),"")</f>
        <v>46204.80828</v>
      </c>
      <c r="T371" s="104">
        <v>46204.64124957176</v>
      </c>
      <c r="U371" s="105" t="s">
        <v>14</v>
      </c>
      <c r="V371" s="109">
        <f t="shared" si="2"/>
        <v>0</v>
      </c>
      <c r="W371" s="110" t="str">
        <f t="shared" si="3"/>
        <v>EMP0021 Tamanna Dewangan</v>
      </c>
      <c r="X371" s="103">
        <f>if(S371,if(and(hour(S371+X$7)&gt;9.5,(hour(S371+X$7)&lt;19.5)),S371+X$7,_xlfn.workday.intl(int(S371),1,"0000001",Holidays!A:A)+hour(S371+X$7-$B$1)/24+minute(S371)/1440),"")</f>
        <v>46205.47431</v>
      </c>
      <c r="Y371" s="104">
        <v>46204.64139230324</v>
      </c>
      <c r="Z371" s="105" t="s">
        <v>14</v>
      </c>
      <c r="AA371" s="111">
        <f t="shared" si="4"/>
        <v>0</v>
      </c>
      <c r="AB371" s="110" t="str">
        <f t="shared" si="5"/>
        <v>EMP0021 Tamanna Dewangan</v>
      </c>
      <c r="AC371" s="103">
        <f>if(X371,_xlfn.WORKDAY.INTL(X371,AC$7,"0000001",Holidays!A:A)+hour(X371)/24+MINUTE(X371)/1440,"")</f>
        <v>46206.47431</v>
      </c>
      <c r="AD371" s="104">
        <v>46204.75824552083</v>
      </c>
      <c r="AE371" s="105" t="s">
        <v>14</v>
      </c>
      <c r="AF371" s="111">
        <f t="shared" si="6"/>
        <v>0</v>
      </c>
      <c r="AG371" s="110" t="str">
        <f t="shared" si="7"/>
        <v>EMP0021 Tamanna Dewangan</v>
      </c>
      <c r="AH371" s="103">
        <f>if(AC371,if(and(hour(AC371+AH$7)&gt;9.5,(hour(AC371+AH$7)&lt;19.5)),AC371+AH$7,_xlfn.workday.intl(int(AC371),1,"0000001",Holidays!A:A)+hour(AC371+AH$7-$B$1)/24+minute(AC371)/1440),"")</f>
        <v>46206.51597</v>
      </c>
      <c r="AI371" s="104">
        <v>46206.48157483796</v>
      </c>
      <c r="AJ371" s="105" t="s">
        <v>14</v>
      </c>
      <c r="AK371" s="111">
        <f t="shared" si="8"/>
        <v>0</v>
      </c>
      <c r="AL371" s="112" t="str">
        <f t="shared" si="9"/>
        <v>EMP0021 Tamanna Dewangan</v>
      </c>
      <c r="AM371" s="113"/>
      <c r="AN371" s="114" t="s">
        <v>672</v>
      </c>
      <c r="AO371" s="115"/>
      <c r="AP371" s="115"/>
      <c r="AQ371" s="115"/>
      <c r="AR371" s="115"/>
      <c r="AS371" s="115"/>
      <c r="AT371" s="115"/>
      <c r="AU371" s="115"/>
      <c r="AV371" s="115"/>
      <c r="AW371" s="115"/>
      <c r="AX371" s="115"/>
      <c r="AY371" s="115"/>
    </row>
    <row r="372">
      <c r="A372" s="95">
        <f t="shared" si="11"/>
        <v>5323</v>
      </c>
      <c r="B372" s="96">
        <v>46204.63762158564</v>
      </c>
      <c r="C372" s="97" t="s">
        <v>1524</v>
      </c>
      <c r="D372" s="97" t="s">
        <v>303</v>
      </c>
      <c r="E372" s="98" t="s">
        <v>2111</v>
      </c>
      <c r="F372" s="97"/>
      <c r="G372" s="97" t="s">
        <v>2112</v>
      </c>
      <c r="H372" s="99" t="s">
        <v>147</v>
      </c>
      <c r="I372" s="100" t="s">
        <v>64</v>
      </c>
      <c r="J372" s="101" t="s">
        <v>1178</v>
      </c>
      <c r="K372" s="100"/>
      <c r="L372" s="102" t="s">
        <v>2113</v>
      </c>
      <c r="M372" s="103">
        <f>if(B372,if(and(hour(B372+M$7)&gt;9.5,(hour(B372+M$7)&lt;19.5)),B372+M$7,_xlfn.workday.intl(int(B372),1,"0000001",Holidays!A:A)+hour(B372+M$7-$B$1)/24+minute(B372)/1440),"")</f>
        <v>46204.80429</v>
      </c>
      <c r="N372" s="104">
        <v>46204.641109502314</v>
      </c>
      <c r="O372" s="105" t="s">
        <v>14</v>
      </c>
      <c r="P372" s="106">
        <f t="shared" si="1"/>
        <v>0</v>
      </c>
      <c r="Q372" s="107" t="s">
        <v>15</v>
      </c>
      <c r="R372" s="108" t="s">
        <v>434</v>
      </c>
      <c r="S372" s="103">
        <f>if(M372,if(and(hour(M372+S$7)&gt;9.5,(hour(M372+S$7)&lt;19.5)),M372+S$7,_xlfn.workday.intl(int(M372),1,"0000001",Holidays!A:A)+hour(M372+S$7-$B$1)/24+minute(M372)/1440),"")</f>
        <v>46204.81123</v>
      </c>
      <c r="T372" s="104">
        <v>46204.64127778936</v>
      </c>
      <c r="U372" s="105" t="s">
        <v>14</v>
      </c>
      <c r="V372" s="109">
        <f t="shared" si="2"/>
        <v>0</v>
      </c>
      <c r="W372" s="110" t="str">
        <f t="shared" si="3"/>
        <v>EMP0042 HULESHWAR KUMAR SAHU</v>
      </c>
      <c r="X372" s="103">
        <f>if(S372,if(and(hour(S372+X$7)&gt;9.5,(hour(S372+X$7)&lt;19.5)),S372+X$7,_xlfn.workday.intl(int(S372),1,"0000001",Holidays!A:A)+hour(S372+X$7-$B$1)/24+minute(S372)/1440),"")</f>
        <v>46205.47778</v>
      </c>
      <c r="Y372" s="104">
        <v>46204.64141474537</v>
      </c>
      <c r="Z372" s="105" t="s">
        <v>14</v>
      </c>
      <c r="AA372" s="111">
        <f t="shared" si="4"/>
        <v>0</v>
      </c>
      <c r="AB372" s="110" t="str">
        <f t="shared" si="5"/>
        <v>EMP0042 HULESHWAR KUMAR SAHU</v>
      </c>
      <c r="AC372" s="103">
        <f>if(X372,_xlfn.WORKDAY.INTL(X372,AC$7,"0000001",Holidays!A:A)+hour(X372)/24+MINUTE(X372)/1440,"")</f>
        <v>46206.47778</v>
      </c>
      <c r="AD372" s="104">
        <v>46204.7182249537</v>
      </c>
      <c r="AE372" s="105" t="s">
        <v>14</v>
      </c>
      <c r="AF372" s="111">
        <f t="shared" si="6"/>
        <v>0</v>
      </c>
      <c r="AG372" s="110" t="str">
        <f t="shared" si="7"/>
        <v>EMP0042 HULESHWAR KUMAR SAHU</v>
      </c>
      <c r="AH372" s="103">
        <f>if(AC372,if(and(hour(AC372+AH$7)&gt;9.5,(hour(AC372+AH$7)&lt;19.5)),AC372+AH$7,_xlfn.workday.intl(int(AC372),1,"0000001",Holidays!A:A)+hour(AC372+AH$7-$B$1)/24+minute(AC372)/1440),"")</f>
        <v>46206.51944</v>
      </c>
      <c r="AI372" s="104">
        <v>46204.718289571756</v>
      </c>
      <c r="AJ372" s="105" t="s">
        <v>14</v>
      </c>
      <c r="AK372" s="111">
        <f t="shared" si="8"/>
        <v>0</v>
      </c>
      <c r="AL372" s="112" t="str">
        <f t="shared" si="9"/>
        <v>EMP0042 HULESHWAR KUMAR SAHU</v>
      </c>
      <c r="AM372" s="113"/>
      <c r="AN372" s="114" t="s">
        <v>672</v>
      </c>
      <c r="AO372" s="115"/>
      <c r="AP372" s="115"/>
      <c r="AQ372" s="115"/>
      <c r="AR372" s="115"/>
      <c r="AS372" s="115"/>
      <c r="AT372" s="115"/>
      <c r="AU372" s="115"/>
      <c r="AV372" s="115"/>
      <c r="AW372" s="115"/>
      <c r="AX372" s="115"/>
      <c r="AY372" s="115"/>
    </row>
    <row r="373">
      <c r="A373" s="95">
        <f t="shared" si="11"/>
        <v>5324</v>
      </c>
      <c r="B373" s="96">
        <v>46204.67398</v>
      </c>
      <c r="C373" s="97" t="s">
        <v>1526</v>
      </c>
      <c r="D373" s="97" t="s">
        <v>357</v>
      </c>
      <c r="E373" s="98" t="s">
        <v>2114</v>
      </c>
      <c r="F373" s="97"/>
      <c r="G373" s="97" t="s">
        <v>2115</v>
      </c>
      <c r="H373" s="99" t="s">
        <v>138</v>
      </c>
      <c r="I373" s="100" t="s">
        <v>237</v>
      </c>
      <c r="J373" s="101" t="s">
        <v>1253</v>
      </c>
      <c r="K373" s="100"/>
      <c r="L373" s="102" t="s">
        <v>492</v>
      </c>
      <c r="M373" s="103">
        <f>if(B373,if(and(hour(B373+M$7)&gt;9.5,(hour(B373+M$7)&lt;19.5)),B373+M$7,_xlfn.workday.intl(int(B373),1,"0000001",Holidays!A:A)+hour(B373+M$7-$B$1)/24+minute(B373)/1440),"")</f>
        <v>46205.42361</v>
      </c>
      <c r="N373" s="104">
        <v>46204.68552344908</v>
      </c>
      <c r="O373" s="105" t="s">
        <v>14</v>
      </c>
      <c r="P373" s="106">
        <f t="shared" si="1"/>
        <v>0</v>
      </c>
      <c r="Q373" s="107" t="s">
        <v>48</v>
      </c>
      <c r="R373" s="108" t="s">
        <v>434</v>
      </c>
      <c r="S373" s="103">
        <f>if(M373,if(and(hour(M373+S$7)&gt;9.5,(hour(M373+S$7)&lt;19.5)),M373+S$7,_xlfn.workday.intl(int(M373),1,"0000001",Holidays!A:A)+hour(M373+S$7-$B$1)/24+minute(M373)/1440),"")</f>
        <v>46205.43056</v>
      </c>
      <c r="T373" s="104">
        <v>46204.685412129635</v>
      </c>
      <c r="U373" s="105" t="s">
        <v>14</v>
      </c>
      <c r="V373" s="109">
        <f t="shared" si="2"/>
        <v>0</v>
      </c>
      <c r="W373" s="110" t="str">
        <f t="shared" si="3"/>
        <v>EMP0237 Swarnendu Chakraborty</v>
      </c>
      <c r="X373" s="103">
        <f>if(S373,if(and(hour(S373+X$7)&gt;9.5,(hour(S373+X$7)&lt;19.5)),S373+X$7,_xlfn.workday.intl(int(S373),1,"0000001",Holidays!A:A)+hour(S373+X$7-$B$1)/24+minute(S373)/1440),"")</f>
        <v>46205.53472</v>
      </c>
      <c r="Y373" s="104">
        <v>46204.71769315972</v>
      </c>
      <c r="Z373" s="105" t="s">
        <v>14</v>
      </c>
      <c r="AA373" s="111">
        <f t="shared" si="4"/>
        <v>0</v>
      </c>
      <c r="AB373" s="110" t="str">
        <f t="shared" si="5"/>
        <v>EMP0237 Swarnendu Chakraborty</v>
      </c>
      <c r="AC373" s="103">
        <f>if(X373,_xlfn.WORKDAY.INTL(X373,AC$7,"0000001",Holidays!A:A)+hour(X373)/24+MINUTE(X373)/1440,"")</f>
        <v>46206.53472</v>
      </c>
      <c r="AD373" s="104">
        <v>46206.481334247685</v>
      </c>
      <c r="AE373" s="105" t="s">
        <v>14</v>
      </c>
      <c r="AF373" s="111">
        <f t="shared" si="6"/>
        <v>0</v>
      </c>
      <c r="AG373" s="110" t="str">
        <f t="shared" si="7"/>
        <v>EMP0237 Swarnendu Chakraborty</v>
      </c>
      <c r="AH373" s="103">
        <f>if(AC373,if(and(hour(AC373+AH$7)&gt;9.5,(hour(AC373+AH$7)&lt;19.5)),AC373+AH$7,_xlfn.workday.intl(int(AC373),1,"0000001",Holidays!A:A)+hour(AC373+AH$7-$B$1)/24+minute(AC373)/1440),"")</f>
        <v>46206.57639</v>
      </c>
      <c r="AI373" s="104">
        <v>46206.48148864583</v>
      </c>
      <c r="AJ373" s="105" t="s">
        <v>14</v>
      </c>
      <c r="AK373" s="111">
        <f t="shared" si="8"/>
        <v>0</v>
      </c>
      <c r="AL373" s="112" t="str">
        <f t="shared" si="9"/>
        <v>EMP0237 Swarnendu Chakraborty</v>
      </c>
      <c r="AM373" s="113"/>
      <c r="AN373" s="114" t="s">
        <v>672</v>
      </c>
      <c r="AO373" s="115"/>
      <c r="AP373" s="115"/>
      <c r="AQ373" s="115"/>
      <c r="AR373" s="115"/>
      <c r="AS373" s="115"/>
      <c r="AT373" s="115"/>
      <c r="AU373" s="115"/>
      <c r="AV373" s="115"/>
      <c r="AW373" s="115"/>
      <c r="AX373" s="115"/>
      <c r="AY373" s="115"/>
    </row>
    <row r="374">
      <c r="A374" s="95">
        <f t="shared" si="11"/>
        <v>5325</v>
      </c>
      <c r="B374" s="96">
        <v>46205.751632141204</v>
      </c>
      <c r="C374" s="97" t="s">
        <v>1529</v>
      </c>
      <c r="D374" s="97" t="s">
        <v>142</v>
      </c>
      <c r="E374" s="98" t="s">
        <v>2116</v>
      </c>
      <c r="F374" s="97"/>
      <c r="G374" s="97" t="s">
        <v>2117</v>
      </c>
      <c r="H374" s="99" t="s">
        <v>62</v>
      </c>
      <c r="I374" s="100" t="s">
        <v>64</v>
      </c>
      <c r="J374" s="101" t="s">
        <v>67</v>
      </c>
      <c r="K374" s="100"/>
      <c r="L374" s="102" t="s">
        <v>2118</v>
      </c>
      <c r="M374" s="103">
        <f>if(B374,if(and(hour(B374+M$7)&gt;9.5,(hour(B374+M$7)&lt;19.5)),B374+M$7,_xlfn.workday.intl(int(B374),1,"0000001",Holidays!A:A)+hour(B374+M$7-$B$1)/24+minute(B374)/1440),"")</f>
        <v>46206.50139</v>
      </c>
      <c r="N374" s="104">
        <v>46205.75881033565</v>
      </c>
      <c r="O374" s="105" t="s">
        <v>14</v>
      </c>
      <c r="P374" s="106">
        <f t="shared" si="1"/>
        <v>0</v>
      </c>
      <c r="Q374" s="107" t="s">
        <v>15</v>
      </c>
      <c r="R374" s="108" t="s">
        <v>434</v>
      </c>
      <c r="S374" s="103">
        <f>if(M374,if(and(hour(M374+S$7)&gt;9.5,(hour(M374+S$7)&lt;19.5)),M374+S$7,_xlfn.workday.intl(int(M374),1,"0000001",Holidays!A:A)+hour(M374+S$7-$B$1)/24+minute(M374)/1440),"")</f>
        <v>46206.50833</v>
      </c>
      <c r="T374" s="104">
        <v>46206.46954428241</v>
      </c>
      <c r="U374" s="105" t="s">
        <v>14</v>
      </c>
      <c r="V374" s="109">
        <f t="shared" si="2"/>
        <v>0</v>
      </c>
      <c r="W374" s="110" t="str">
        <f t="shared" si="3"/>
        <v>EMP0042 HULESHWAR KUMAR SAHU</v>
      </c>
      <c r="X374" s="103">
        <f>if(S374,if(and(hour(S374+X$7)&gt;9.5,(hour(S374+X$7)&lt;19.5)),S374+X$7,_xlfn.workday.intl(int(S374),1,"0000001",Holidays!A:A)+hour(S374+X$7-$B$1)/24+minute(S374)/1440),"")</f>
        <v>46206.6125</v>
      </c>
      <c r="Y374" s="104">
        <v>46206.48129571759</v>
      </c>
      <c r="Z374" s="105" t="s">
        <v>14</v>
      </c>
      <c r="AA374" s="111">
        <f t="shared" si="4"/>
        <v>0</v>
      </c>
      <c r="AB374" s="110" t="str">
        <f t="shared" si="5"/>
        <v>EMP0042 HULESHWAR KUMAR SAHU</v>
      </c>
      <c r="AC374" s="103">
        <f>if(X374,_xlfn.WORKDAY.INTL(X374,AC$7,"0000001",Holidays!A:A)+hour(X374)/24+MINUTE(X374)/1440,"")</f>
        <v>46207.6125</v>
      </c>
      <c r="AD374" s="104">
        <v>46206.54541269676</v>
      </c>
      <c r="AE374" s="105" t="s">
        <v>14</v>
      </c>
      <c r="AF374" s="111">
        <f t="shared" si="6"/>
        <v>0</v>
      </c>
      <c r="AG374" s="110" t="str">
        <f t="shared" si="7"/>
        <v>EMP0042 HULESHWAR KUMAR SAHU</v>
      </c>
      <c r="AH374" s="103">
        <f>if(AC374,if(and(hour(AC374+AH$7)&gt;9.5,(hour(AC374+AH$7)&lt;19.5)),AC374+AH$7,_xlfn.workday.intl(int(AC374),1,"0000001",Holidays!A:A)+hour(AC374+AH$7-$B$1)/24+minute(AC374)/1440),"")</f>
        <v>46207.65417</v>
      </c>
      <c r="AI374" s="104">
        <v>46206.687336863426</v>
      </c>
      <c r="AJ374" s="105" t="s">
        <v>14</v>
      </c>
      <c r="AK374" s="111">
        <f t="shared" si="8"/>
        <v>0</v>
      </c>
      <c r="AL374" s="112" t="str">
        <f t="shared" si="9"/>
        <v>EMP0042 HULESHWAR KUMAR SAHU</v>
      </c>
      <c r="AM374" s="113"/>
      <c r="AN374" s="114" t="s">
        <v>672</v>
      </c>
      <c r="AO374" s="115"/>
      <c r="AP374" s="115"/>
      <c r="AQ374" s="115"/>
      <c r="AR374" s="115"/>
      <c r="AS374" s="115"/>
      <c r="AT374" s="115"/>
      <c r="AU374" s="115"/>
      <c r="AV374" s="115"/>
      <c r="AW374" s="115"/>
      <c r="AX374" s="115"/>
      <c r="AY374" s="115"/>
    </row>
    <row r="375" ht="63.75" customHeight="1">
      <c r="A375" s="95">
        <f t="shared" si="11"/>
        <v>5326</v>
      </c>
      <c r="B375" s="96">
        <v>46206.469315625</v>
      </c>
      <c r="C375" s="97" t="s">
        <v>1532</v>
      </c>
      <c r="D375" s="97" t="s">
        <v>122</v>
      </c>
      <c r="E375" s="98" t="s">
        <v>2119</v>
      </c>
      <c r="F375" s="97"/>
      <c r="G375" s="97" t="s">
        <v>1532</v>
      </c>
      <c r="H375" s="99" t="s">
        <v>126</v>
      </c>
      <c r="I375" s="100" t="s">
        <v>64</v>
      </c>
      <c r="J375" s="101" t="s">
        <v>198</v>
      </c>
      <c r="K375" s="100"/>
      <c r="L375" s="102" t="s">
        <v>1532</v>
      </c>
      <c r="M375" s="103">
        <f>if(B375,if(and(hour(B375+M$7)&gt;9.5,(hour(B375+M$7)&lt;19.5)),B375+M$7,_xlfn.workday.intl(int(B375),1,"0000001",Holidays!A:A)+hour(B375+M$7-$B$1)/24+minute(B375)/1440),"")</f>
        <v>46206.63598</v>
      </c>
      <c r="N375" s="104">
        <v>46206.46963554398</v>
      </c>
      <c r="O375" s="105" t="s">
        <v>14</v>
      </c>
      <c r="P375" s="106">
        <f t="shared" si="1"/>
        <v>0</v>
      </c>
      <c r="Q375" s="107" t="s">
        <v>15</v>
      </c>
      <c r="R375" s="108" t="s">
        <v>434</v>
      </c>
      <c r="S375" s="103">
        <f>if(M375,if(and(hour(M375+S$7)&gt;9.5,(hour(M375+S$7)&lt;19.5)),M375+S$7,_xlfn.workday.intl(int(M375),1,"0000001",Holidays!A:A)+hour(M375+S$7-$B$1)/24+minute(M375)/1440),"")</f>
        <v>46206.64293</v>
      </c>
      <c r="T375" s="104">
        <v>46206.46972825231</v>
      </c>
      <c r="U375" s="105" t="s">
        <v>14</v>
      </c>
      <c r="V375" s="109">
        <f t="shared" si="2"/>
        <v>0</v>
      </c>
      <c r="W375" s="110" t="str">
        <f t="shared" si="3"/>
        <v>EMP0042 HULESHWAR KUMAR SAHU</v>
      </c>
      <c r="X375" s="103">
        <f>if(S375,if(and(hour(S375+X$7)&gt;9.5,(hour(S375+X$7)&lt;19.5)),S375+X$7,_xlfn.workday.intl(int(S375),1,"0000001",Holidays!A:A)+hour(S375+X$7-$B$1)/24+minute(S375)/1440),"")</f>
        <v>46206.74709</v>
      </c>
      <c r="Y375" s="104">
        <v>46206.46989798611</v>
      </c>
      <c r="Z375" s="105" t="s">
        <v>14</v>
      </c>
      <c r="AA375" s="111">
        <f t="shared" si="4"/>
        <v>0</v>
      </c>
      <c r="AB375" s="110" t="str">
        <f t="shared" si="5"/>
        <v>EMP0042 HULESHWAR KUMAR SAHU</v>
      </c>
      <c r="AC375" s="103">
        <f>if(X375,_xlfn.WORKDAY.INTL(X375,AC$7,"0000001",Holidays!A:A)+hour(X375)/24+MINUTE(X375)/1440,"")</f>
        <v>46207.74653</v>
      </c>
      <c r="AD375" s="104">
        <v>46206.5522603125</v>
      </c>
      <c r="AE375" s="105" t="s">
        <v>14</v>
      </c>
      <c r="AF375" s="111">
        <f t="shared" si="6"/>
        <v>0</v>
      </c>
      <c r="AG375" s="110" t="str">
        <f t="shared" si="7"/>
        <v>EMP0042 HULESHWAR KUMAR SAHU</v>
      </c>
      <c r="AH375" s="103">
        <f>if(AC375,if(and(hour(AC375+AH$7)&gt;9.5,(hour(AC375+AH$7)&lt;19.5)),AC375+AH$7,_xlfn.workday.intl(int(AC375),1,"0000001",Holidays!A:A)+hour(AC375+AH$7-$B$1)/24+minute(AC375)/1440),"")</f>
        <v>46207.78819</v>
      </c>
      <c r="AI375" s="104">
        <v>46206.68749049769</v>
      </c>
      <c r="AJ375" s="105" t="s">
        <v>14</v>
      </c>
      <c r="AK375" s="111">
        <f t="shared" si="8"/>
        <v>0</v>
      </c>
      <c r="AL375" s="112" t="str">
        <f t="shared" si="9"/>
        <v>EMP0042 HULESHWAR KUMAR SAHU</v>
      </c>
      <c r="AM375" s="113"/>
      <c r="AN375" s="114" t="s">
        <v>672</v>
      </c>
      <c r="AO375" s="115"/>
      <c r="AP375" s="115"/>
      <c r="AQ375" s="115"/>
      <c r="AR375" s="115"/>
      <c r="AS375" s="115"/>
      <c r="AT375" s="115"/>
      <c r="AU375" s="115"/>
      <c r="AV375" s="115"/>
      <c r="AW375" s="115"/>
      <c r="AX375" s="115"/>
      <c r="AY375" s="115"/>
    </row>
    <row r="376" ht="91.5" customHeight="1">
      <c r="A376" s="95">
        <f t="shared" si="11"/>
        <v>5327</v>
      </c>
      <c r="B376" s="96">
        <v>46206.470933668985</v>
      </c>
      <c r="C376" s="97" t="s">
        <v>1535</v>
      </c>
      <c r="D376" s="97" t="s">
        <v>122</v>
      </c>
      <c r="E376" s="98" t="s">
        <v>2120</v>
      </c>
      <c r="F376" s="97"/>
      <c r="G376" s="97" t="s">
        <v>2121</v>
      </c>
      <c r="H376" s="99" t="s">
        <v>126</v>
      </c>
      <c r="I376" s="100" t="s">
        <v>64</v>
      </c>
      <c r="J376" s="101" t="s">
        <v>198</v>
      </c>
      <c r="K376" s="100"/>
      <c r="L376" s="102" t="s">
        <v>2122</v>
      </c>
      <c r="M376" s="103">
        <f>if(B376,if(and(hour(B376+M$7)&gt;9.5,(hour(B376+M$7)&lt;19.5)),B376+M$7,_xlfn.workday.intl(int(B376),1,"0000001",Holidays!A:A)+hour(B376+M$7-$B$1)/24+minute(B376)/1440),"")</f>
        <v>46206.6376</v>
      </c>
      <c r="N376" s="104">
        <v>46206.480920243055</v>
      </c>
      <c r="O376" s="105" t="s">
        <v>14</v>
      </c>
      <c r="P376" s="106">
        <f t="shared" si="1"/>
        <v>0</v>
      </c>
      <c r="Q376" s="107" t="s">
        <v>61</v>
      </c>
      <c r="R376" s="108" t="s">
        <v>434</v>
      </c>
      <c r="S376" s="103">
        <f>if(M376,if(and(hour(M376+S$7)&gt;9.5,(hour(M376+S$7)&lt;19.5)),M376+S$7,_xlfn.workday.intl(int(M376),1,"0000001",Holidays!A:A)+hour(M376+S$7-$B$1)/24+minute(M376)/1440),"")</f>
        <v>46206.64454</v>
      </c>
      <c r="T376" s="104">
        <v>46206.481084687504</v>
      </c>
      <c r="U376" s="105" t="s">
        <v>14</v>
      </c>
      <c r="V376" s="109">
        <f t="shared" si="2"/>
        <v>0</v>
      </c>
      <c r="W376" s="110" t="str">
        <f t="shared" si="3"/>
        <v>EMP0021 Tamanna Dewangan</v>
      </c>
      <c r="X376" s="103">
        <f>if(S376,if(and(hour(S376+X$7)&gt;9.5,(hour(S376+X$7)&lt;19.5)),S376+X$7,_xlfn.workday.intl(int(S376),1,"0000001",Holidays!A:A)+hour(S376+X$7-$B$1)/24+minute(S376)/1440),"")</f>
        <v>46206.74871</v>
      </c>
      <c r="Y376" s="104">
        <v>46206.481107569445</v>
      </c>
      <c r="Z376" s="105" t="s">
        <v>14</v>
      </c>
      <c r="AA376" s="111">
        <f t="shared" si="4"/>
        <v>0</v>
      </c>
      <c r="AB376" s="110" t="str">
        <f t="shared" si="5"/>
        <v>EMP0021 Tamanna Dewangan</v>
      </c>
      <c r="AC376" s="103">
        <f>if(X376,_xlfn.WORKDAY.INTL(X376,AC$7,"0000001",Holidays!A:A)+hour(X376)/24+MINUTE(X376)/1440,"")</f>
        <v>46207.74861</v>
      </c>
      <c r="AD376" s="104">
        <v>46206.69403384259</v>
      </c>
      <c r="AE376" s="105" t="s">
        <v>14</v>
      </c>
      <c r="AF376" s="111">
        <f t="shared" si="6"/>
        <v>0</v>
      </c>
      <c r="AG376" s="110" t="str">
        <f t="shared" si="7"/>
        <v>EMP0021 Tamanna Dewangan</v>
      </c>
      <c r="AH376" s="103">
        <f>if(AC376,if(and(hour(AC376+AH$7)&gt;9.5,(hour(AC376+AH$7)&lt;19.5)),AC376+AH$7,_xlfn.workday.intl(int(AC376),1,"0000001",Holidays!A:A)+hour(AC376+AH$7-$B$1)/24+minute(AC376)/1440),"")</f>
        <v>46207.79028</v>
      </c>
      <c r="AI376" s="104">
        <v>46206.694086076386</v>
      </c>
      <c r="AJ376" s="105" t="s">
        <v>14</v>
      </c>
      <c r="AK376" s="111">
        <f t="shared" si="8"/>
        <v>0</v>
      </c>
      <c r="AL376" s="112" t="str">
        <f t="shared" si="9"/>
        <v>EMP0021 Tamanna Dewangan</v>
      </c>
      <c r="AM376" s="113"/>
      <c r="AN376" s="114" t="s">
        <v>672</v>
      </c>
      <c r="AO376" s="115"/>
      <c r="AP376" s="115"/>
      <c r="AQ376" s="115"/>
      <c r="AR376" s="115"/>
      <c r="AS376" s="115"/>
      <c r="AT376" s="115"/>
      <c r="AU376" s="115"/>
      <c r="AV376" s="115"/>
      <c r="AW376" s="115"/>
      <c r="AX376" s="115"/>
      <c r="AY376" s="115"/>
    </row>
    <row r="377" ht="36.0" customHeight="1">
      <c r="A377" s="95">
        <f t="shared" si="11"/>
        <v>5328</v>
      </c>
      <c r="B377" s="96">
        <v>46206.49145443287</v>
      </c>
      <c r="C377" s="97" t="s">
        <v>1542</v>
      </c>
      <c r="D377" s="97" t="s">
        <v>122</v>
      </c>
      <c r="E377" s="98" t="s">
        <v>2123</v>
      </c>
      <c r="F377" s="97"/>
      <c r="G377" s="97" t="s">
        <v>2124</v>
      </c>
      <c r="H377" s="99" t="s">
        <v>103</v>
      </c>
      <c r="I377" s="100" t="s">
        <v>64</v>
      </c>
      <c r="J377" s="101" t="s">
        <v>198</v>
      </c>
      <c r="K377" s="100"/>
      <c r="L377" s="102" t="s">
        <v>2125</v>
      </c>
      <c r="M377" s="103">
        <f>if(B377,if(and(hour(B377+M$7)&gt;9.5,(hour(B377+M$7)&lt;19.5)),B377+M$7,_xlfn.workday.intl(int(B377),1,"0000001",Holidays!A:A)+hour(B377+M$7-$B$1)/24+minute(B377)/1440),"")</f>
        <v>46206.65812</v>
      </c>
      <c r="N377" s="104">
        <v>46206.496740682865</v>
      </c>
      <c r="O377" s="105" t="s">
        <v>14</v>
      </c>
      <c r="P377" s="106">
        <f t="shared" si="1"/>
        <v>0</v>
      </c>
      <c r="Q377" s="107" t="s">
        <v>15</v>
      </c>
      <c r="R377" s="108" t="s">
        <v>434</v>
      </c>
      <c r="S377" s="103">
        <f>if(M377,if(and(hour(M377+S$7)&gt;9.5,(hour(M377+S$7)&lt;19.5)),M377+S$7,_xlfn.workday.intl(int(M377),1,"0000001",Holidays!A:A)+hour(M377+S$7-$B$1)/24+minute(M377)/1440),"")</f>
        <v>46206.66507</v>
      </c>
      <c r="T377" s="104">
        <v>46206.496821574074</v>
      </c>
      <c r="U377" s="105" t="s">
        <v>14</v>
      </c>
      <c r="V377" s="109">
        <f t="shared" si="2"/>
        <v>0</v>
      </c>
      <c r="W377" s="110" t="str">
        <f t="shared" si="3"/>
        <v>EMP0042 HULESHWAR KUMAR SAHU</v>
      </c>
      <c r="X377" s="103">
        <f>if(S377,if(and(hour(S377+X$7)&gt;9.5,(hour(S377+X$7)&lt;19.5)),S377+X$7,_xlfn.workday.intl(int(S377),1,"0000001",Holidays!A:A)+hour(S377+X$7-$B$1)/24+minute(S377)/1440),"")</f>
        <v>46206.76923</v>
      </c>
      <c r="Y377" s="104">
        <v>46206.49684806713</v>
      </c>
      <c r="Z377" s="105" t="s">
        <v>14</v>
      </c>
      <c r="AA377" s="111">
        <f t="shared" si="4"/>
        <v>0</v>
      </c>
      <c r="AB377" s="110" t="str">
        <f t="shared" si="5"/>
        <v>EMP0042 HULESHWAR KUMAR SAHU</v>
      </c>
      <c r="AC377" s="103">
        <f>if(X377,_xlfn.WORKDAY.INTL(X377,AC$7,"0000001",Holidays!A:A)+hour(X377)/24+MINUTE(X377)/1440,"")</f>
        <v>46207.76875</v>
      </c>
      <c r="AD377" s="104">
        <v>46207.552717962964</v>
      </c>
      <c r="AE377" s="105" t="s">
        <v>14</v>
      </c>
      <c r="AF377" s="111">
        <f t="shared" si="6"/>
        <v>0</v>
      </c>
      <c r="AG377" s="110" t="str">
        <f t="shared" si="7"/>
        <v>EMP0042 HULESHWAR KUMAR SAHU</v>
      </c>
      <c r="AH377" s="103">
        <f>if(AC377,if(and(hour(AC377+AH$7)&gt;9.5,(hour(AC377+AH$7)&lt;19.5)),AC377+AH$7,_xlfn.workday.intl(int(AC377),1,"0000001",Holidays!A:A)+hour(AC377+AH$7-$B$1)/24+minute(AC377)/1440),"")</f>
        <v>46207.81042</v>
      </c>
      <c r="AI377" s="104">
        <v>46207.552749780094</v>
      </c>
      <c r="AJ377" s="105" t="s">
        <v>14</v>
      </c>
      <c r="AK377" s="111">
        <f t="shared" si="8"/>
        <v>0</v>
      </c>
      <c r="AL377" s="112" t="str">
        <f t="shared" si="9"/>
        <v>EMP0042 HULESHWAR KUMAR SAHU</v>
      </c>
      <c r="AM377" s="113"/>
      <c r="AN377" s="114" t="s">
        <v>672</v>
      </c>
      <c r="AO377" s="115"/>
      <c r="AP377" s="115"/>
      <c r="AQ377" s="115"/>
      <c r="AR377" s="115"/>
      <c r="AS377" s="115"/>
      <c r="AT377" s="115"/>
      <c r="AU377" s="115"/>
      <c r="AV377" s="115"/>
      <c r="AW377" s="115"/>
      <c r="AX377" s="115"/>
      <c r="AY377" s="115"/>
    </row>
    <row r="378">
      <c r="A378" s="95">
        <f t="shared" si="11"/>
        <v>5329</v>
      </c>
      <c r="B378" s="96">
        <v>46206.55083146991</v>
      </c>
      <c r="C378" s="97" t="s">
        <v>882</v>
      </c>
      <c r="D378" s="97" t="s">
        <v>186</v>
      </c>
      <c r="E378" s="98" t="s">
        <v>2126</v>
      </c>
      <c r="F378" s="97"/>
      <c r="G378" s="97" t="s">
        <v>2127</v>
      </c>
      <c r="H378" s="99" t="s">
        <v>147</v>
      </c>
      <c r="I378" s="100" t="s">
        <v>64</v>
      </c>
      <c r="J378" s="101" t="s">
        <v>303</v>
      </c>
      <c r="K378" s="100"/>
      <c r="L378" s="102" t="s">
        <v>2128</v>
      </c>
      <c r="M378" s="103">
        <f>if(B378,if(and(hour(B378+M$7)&gt;9.5,(hour(B378+M$7)&lt;19.5)),B378+M$7,_xlfn.workday.intl(int(B378),1,"0000001",Holidays!A:A)+hour(B378+M$7-$B$1)/24+minute(B378)/1440),"")</f>
        <v>46206.7175</v>
      </c>
      <c r="N378" s="104">
        <v>46206.55207167824</v>
      </c>
      <c r="O378" s="105" t="s">
        <v>14</v>
      </c>
      <c r="P378" s="106">
        <f t="shared" si="1"/>
        <v>0</v>
      </c>
      <c r="Q378" s="107" t="s">
        <v>15</v>
      </c>
      <c r="R378" s="108" t="s">
        <v>434</v>
      </c>
      <c r="S378" s="103">
        <f>if(M378,if(and(hour(M378+S$7)&gt;9.5,(hour(M378+S$7)&lt;19.5)),M378+S$7,_xlfn.workday.intl(int(M378),1,"0000001",Holidays!A:A)+hour(M378+S$7-$B$1)/24+minute(M378)/1440),"")</f>
        <v>46206.72444</v>
      </c>
      <c r="T378" s="104">
        <v>46206.55214842592</v>
      </c>
      <c r="U378" s="105" t="s">
        <v>14</v>
      </c>
      <c r="V378" s="109">
        <f t="shared" si="2"/>
        <v>0</v>
      </c>
      <c r="W378" s="110" t="str">
        <f t="shared" si="3"/>
        <v>EMP0042 HULESHWAR KUMAR SAHU</v>
      </c>
      <c r="X378" s="103">
        <f>if(S378,if(and(hour(S378+X$7)&gt;9.5,(hour(S378+X$7)&lt;19.5)),S378+X$7,_xlfn.workday.intl(int(S378),1,"0000001",Holidays!A:A)+hour(S378+X$7-$B$1)/24+minute(S378)/1440),"")</f>
        <v>46206.82861</v>
      </c>
      <c r="Y378" s="104">
        <v>46206.55217945602</v>
      </c>
      <c r="Z378" s="105" t="s">
        <v>14</v>
      </c>
      <c r="AA378" s="111">
        <f t="shared" si="4"/>
        <v>0</v>
      </c>
      <c r="AB378" s="110" t="str">
        <f t="shared" si="5"/>
        <v>EMP0042 HULESHWAR KUMAR SAHU</v>
      </c>
      <c r="AC378" s="103">
        <f>if(X378,_xlfn.WORKDAY.INTL(X378,AC$7,"0000001",Holidays!A:A)+hour(X378)/24+MINUTE(X378)/1440,"")</f>
        <v>46207.82847</v>
      </c>
      <c r="AD378" s="104">
        <v>46206.66195952546</v>
      </c>
      <c r="AE378" s="105" t="s">
        <v>14</v>
      </c>
      <c r="AF378" s="111">
        <f t="shared" si="6"/>
        <v>0</v>
      </c>
      <c r="AG378" s="110" t="str">
        <f t="shared" si="7"/>
        <v>EMP0042 HULESHWAR KUMAR SAHU</v>
      </c>
      <c r="AH378" s="103">
        <f>if(AC378,if(and(hour(AC378+AH$7)&gt;9.5,(hour(AC378+AH$7)&lt;19.5)),AC378+AH$7,_xlfn.workday.intl(int(AC378),1,"0000001",Holidays!A:A)+hour(AC378+AH$7-$B$1)/24+minute(AC378)/1440),"")</f>
        <v>46209.45347</v>
      </c>
      <c r="AI378" s="104">
        <v>46206.68156037037</v>
      </c>
      <c r="AJ378" s="105" t="s">
        <v>14</v>
      </c>
      <c r="AK378" s="111">
        <f t="shared" si="8"/>
        <v>0</v>
      </c>
      <c r="AL378" s="112" t="str">
        <f t="shared" si="9"/>
        <v>EMP0042 HULESHWAR KUMAR SAHU</v>
      </c>
      <c r="AM378" s="113"/>
      <c r="AN378" s="114" t="s">
        <v>672</v>
      </c>
      <c r="AO378" s="115"/>
      <c r="AP378" s="115"/>
      <c r="AQ378" s="115"/>
      <c r="AR378" s="115"/>
      <c r="AS378" s="115"/>
      <c r="AT378" s="115"/>
      <c r="AU378" s="115"/>
      <c r="AV378" s="115"/>
      <c r="AW378" s="115"/>
      <c r="AX378" s="115"/>
      <c r="AY378" s="115"/>
    </row>
    <row r="379">
      <c r="A379" s="95">
        <f t="shared" si="11"/>
        <v>5330</v>
      </c>
      <c r="B379" s="96">
        <v>46206.700600578704</v>
      </c>
      <c r="C379" s="97" t="s">
        <v>2130</v>
      </c>
      <c r="D379" s="97" t="s">
        <v>122</v>
      </c>
      <c r="E379" s="98" t="s">
        <v>2129</v>
      </c>
      <c r="F379" s="98" t="s">
        <v>2131</v>
      </c>
      <c r="G379" s="97" t="s">
        <v>2130</v>
      </c>
      <c r="H379" s="99" t="s">
        <v>126</v>
      </c>
      <c r="I379" s="100" t="s">
        <v>64</v>
      </c>
      <c r="J379" s="101" t="s">
        <v>121</v>
      </c>
      <c r="K379" s="100"/>
      <c r="L379" s="102" t="s">
        <v>175</v>
      </c>
      <c r="M379" s="103">
        <f>if(B379,if(and(hour(B379+M$7)&gt;9.5,(hour(B379+M$7)&lt;19.5)),B379+M$7,_xlfn.workday.intl(int(B379),1,"0000001",Holidays!A:A)+hour(B379+M$7-$B$1)/24+minute(B379)/1440),"")</f>
        <v>46207.45</v>
      </c>
      <c r="N379" s="104">
        <v>46206.74919074074</v>
      </c>
      <c r="O379" s="105" t="s">
        <v>14</v>
      </c>
      <c r="P379" s="106">
        <f t="shared" si="1"/>
        <v>0</v>
      </c>
      <c r="Q379" s="107" t="s">
        <v>72</v>
      </c>
      <c r="R379" s="108" t="s">
        <v>434</v>
      </c>
      <c r="S379" s="103">
        <f>if(M379,if(and(hour(M379+S$7)&gt;9.5,(hour(M379+S$7)&lt;19.5)),M379+S$7,_xlfn.workday.intl(int(M379),1,"0000001",Holidays!A:A)+hour(M379+S$7-$B$1)/24+minute(M379)/1440),"")</f>
        <v>46207.45694</v>
      </c>
      <c r="T379" s="104">
        <v>46206.80403266204</v>
      </c>
      <c r="U379" s="105" t="s">
        <v>14</v>
      </c>
      <c r="V379" s="109">
        <f t="shared" si="2"/>
        <v>0</v>
      </c>
      <c r="W379" s="110" t="str">
        <f t="shared" si="3"/>
        <v>EMP5009 Rup Kumar Mandal</v>
      </c>
      <c r="X379" s="103">
        <f>if(S379,if(and(hour(S379+X$7)&gt;9.5,(hour(S379+X$7)&lt;19.5)),S379+X$7,_xlfn.workday.intl(int(S379),1,"0000001",Holidays!A:A)+hour(S379+X$7-$B$1)/24+minute(S379)/1440),"")</f>
        <v>46207.56111</v>
      </c>
      <c r="Y379" s="104">
        <v>46206.80424539352</v>
      </c>
      <c r="Z379" s="105" t="s">
        <v>14</v>
      </c>
      <c r="AA379" s="111">
        <f t="shared" si="4"/>
        <v>0</v>
      </c>
      <c r="AB379" s="110" t="str">
        <f t="shared" si="5"/>
        <v>EMP5009 Rup Kumar Mandal</v>
      </c>
      <c r="AC379" s="103">
        <f>if(X379,_xlfn.WORKDAY.INTL(X379,AC$7,"0000001",Holidays!A:A)+hour(X379)/24+MINUTE(X379)/1440,"")</f>
        <v>46209.56111</v>
      </c>
      <c r="AD379" s="104">
        <v>46206.74928001157</v>
      </c>
      <c r="AE379" s="105" t="s">
        <v>14</v>
      </c>
      <c r="AF379" s="111">
        <f t="shared" si="6"/>
        <v>0</v>
      </c>
      <c r="AG379" s="110" t="str">
        <f t="shared" si="7"/>
        <v>EMP5009 Rup Kumar Mandal</v>
      </c>
      <c r="AH379" s="103">
        <f>if(AC379,if(and(hour(AC379+AH$7)&gt;9.5,(hour(AC379+AH$7)&lt;19.5)),AC379+AH$7,_xlfn.workday.intl(int(AC379),1,"0000001",Holidays!A:A)+hour(AC379+AH$7-$B$1)/24+minute(AC379)/1440),"")</f>
        <v>46209.60278</v>
      </c>
      <c r="AI379" s="104">
        <v>46206.74930560185</v>
      </c>
      <c r="AJ379" s="105" t="s">
        <v>14</v>
      </c>
      <c r="AK379" s="111">
        <f t="shared" si="8"/>
        <v>0</v>
      </c>
      <c r="AL379" s="112" t="str">
        <f t="shared" si="9"/>
        <v>EMP5009 Rup Kumar Mandal</v>
      </c>
      <c r="AM379" s="113"/>
      <c r="AN379" s="114" t="s">
        <v>672</v>
      </c>
      <c r="AO379" s="115"/>
      <c r="AP379" s="115"/>
      <c r="AQ379" s="115"/>
      <c r="AR379" s="115"/>
      <c r="AS379" s="115"/>
      <c r="AT379" s="115"/>
      <c r="AU379" s="115"/>
      <c r="AV379" s="115"/>
      <c r="AW379" s="115"/>
      <c r="AX379" s="115"/>
      <c r="AY379" s="115"/>
    </row>
    <row r="380" ht="56.25" customHeight="1">
      <c r="A380" s="95">
        <f t="shared" si="11"/>
        <v>5331</v>
      </c>
      <c r="B380" s="96">
        <v>46206.75555693287</v>
      </c>
      <c r="C380" s="97" t="s">
        <v>1554</v>
      </c>
      <c r="D380" s="97" t="s">
        <v>142</v>
      </c>
      <c r="E380" s="98" t="s">
        <v>2132</v>
      </c>
      <c r="F380" s="97"/>
      <c r="G380" s="97" t="s">
        <v>2133</v>
      </c>
      <c r="H380" s="99" t="s">
        <v>147</v>
      </c>
      <c r="I380" s="100" t="s">
        <v>324</v>
      </c>
      <c r="J380" s="101" t="s">
        <v>67</v>
      </c>
      <c r="K380" s="100"/>
      <c r="L380" s="102" t="s">
        <v>2134</v>
      </c>
      <c r="M380" s="103">
        <f>if(B380,if(and(hour(B380+M$7)&gt;9.5,(hour(B380+M$7)&lt;19.5)),B380+M$7,_xlfn.workday.intl(int(B380),1,"0000001",Holidays!A:A)+hour(B380+M$7-$B$1)/24+minute(B380)/1440),"")</f>
        <v>46207.50556</v>
      </c>
      <c r="N380" s="104">
        <v>46206.803681087964</v>
      </c>
      <c r="O380" s="105" t="s">
        <v>14</v>
      </c>
      <c r="P380" s="106">
        <f t="shared" si="1"/>
        <v>0</v>
      </c>
      <c r="Q380" s="107" t="s">
        <v>72</v>
      </c>
      <c r="R380" s="108" t="s">
        <v>434</v>
      </c>
      <c r="S380" s="103">
        <f>if(M380,if(and(hour(M380+S$7)&gt;9.5,(hour(M380+S$7)&lt;19.5)),M380+S$7,_xlfn.workday.intl(int(M380),1,"0000001",Holidays!A:A)+hour(M380+S$7-$B$1)/24+minute(M380)/1440),"")</f>
        <v>46207.5125</v>
      </c>
      <c r="T380" s="104">
        <v>46206.803896620375</v>
      </c>
      <c r="U380" s="105" t="s">
        <v>14</v>
      </c>
      <c r="V380" s="109">
        <f t="shared" si="2"/>
        <v>0</v>
      </c>
      <c r="W380" s="110" t="str">
        <f t="shared" si="3"/>
        <v>EMP5009 Rup Kumar Mandal</v>
      </c>
      <c r="X380" s="103">
        <f>if(S380,if(and(hour(S380+X$7)&gt;9.5,(hour(S380+X$7)&lt;19.5)),S380+X$7,_xlfn.workday.intl(int(S380),1,"0000001",Holidays!A:A)+hour(S380+X$7-$B$1)/24+minute(S380)/1440),"")</f>
        <v>46207.61667</v>
      </c>
      <c r="Y380" s="104">
        <v>46207.40392244213</v>
      </c>
      <c r="Z380" s="105" t="s">
        <v>14</v>
      </c>
      <c r="AA380" s="111">
        <f t="shared" si="4"/>
        <v>0</v>
      </c>
      <c r="AB380" s="110" t="str">
        <f t="shared" si="5"/>
        <v>EMP5009 Rup Kumar Mandal</v>
      </c>
      <c r="AC380" s="103">
        <f>if(X380,_xlfn.WORKDAY.INTL(X380,AC$7,"0000001",Holidays!A:A)+hour(X380)/24+MINUTE(X380)/1440,"")</f>
        <v>46209.61667</v>
      </c>
      <c r="AD380" s="104">
        <v>46207.40403391204</v>
      </c>
      <c r="AE380" s="105" t="s">
        <v>14</v>
      </c>
      <c r="AF380" s="111">
        <f t="shared" si="6"/>
        <v>0</v>
      </c>
      <c r="AG380" s="110" t="str">
        <f t="shared" si="7"/>
        <v>EMP5009 Rup Kumar Mandal</v>
      </c>
      <c r="AH380" s="103">
        <f>if(AC380,if(and(hour(AC380+AH$7)&gt;9.5,(hour(AC380+AH$7)&lt;19.5)),AC380+AH$7,_xlfn.workday.intl(int(AC380),1,"0000001",Holidays!A:A)+hour(AC380+AH$7-$B$1)/24+minute(AC380)/1440),"")</f>
        <v>46209.65833</v>
      </c>
      <c r="AI380" s="104">
        <v>46207.40405662037</v>
      </c>
      <c r="AJ380" s="105" t="s">
        <v>14</v>
      </c>
      <c r="AK380" s="111">
        <f t="shared" si="8"/>
        <v>0</v>
      </c>
      <c r="AL380" s="112" t="str">
        <f t="shared" si="9"/>
        <v>EMP5009 Rup Kumar Mandal</v>
      </c>
      <c r="AM380" s="113"/>
      <c r="AN380" s="114" t="s">
        <v>672</v>
      </c>
      <c r="AO380" s="115"/>
      <c r="AP380" s="115"/>
      <c r="AQ380" s="115"/>
      <c r="AR380" s="115"/>
      <c r="AS380" s="115"/>
      <c r="AT380" s="115"/>
      <c r="AU380" s="115"/>
      <c r="AV380" s="115"/>
      <c r="AW380" s="115"/>
      <c r="AX380" s="115"/>
      <c r="AY380" s="115"/>
    </row>
    <row r="381">
      <c r="A381" s="95">
        <f t="shared" si="11"/>
        <v>5332</v>
      </c>
      <c r="B381" s="96">
        <v>46207.65345050926</v>
      </c>
      <c r="C381" s="97" t="s">
        <v>1558</v>
      </c>
      <c r="D381" s="97" t="s">
        <v>225</v>
      </c>
      <c r="E381" s="98" t="s">
        <v>2135</v>
      </c>
      <c r="F381" s="97"/>
      <c r="G381" s="97" t="s">
        <v>2136</v>
      </c>
      <c r="H381" s="99" t="s">
        <v>138</v>
      </c>
      <c r="I381" s="100" t="s">
        <v>64</v>
      </c>
      <c r="J381" s="101" t="s">
        <v>223</v>
      </c>
      <c r="K381" s="100"/>
      <c r="L381" s="102" t="s">
        <v>2137</v>
      </c>
      <c r="M381" s="103">
        <f>if(B381,if(and(hour(B381+M$7)&gt;9.5,(hour(B381+M$7)&lt;19.5)),B381+M$7,_xlfn.workday.intl(int(B381),1,"0000001",Holidays!A:A)+hour(B381+M$7-$B$1)/24+minute(B381)/1440),"")+6-8/24</f>
        <v>46213.48678</v>
      </c>
      <c r="N381" s="104">
        <v>46209.4296800463</v>
      </c>
      <c r="O381" s="105" t="s">
        <v>14</v>
      </c>
      <c r="P381" s="106">
        <f t="shared" si="1"/>
        <v>0</v>
      </c>
      <c r="Q381" s="107" t="s">
        <v>72</v>
      </c>
      <c r="R381" s="108" t="s">
        <v>434</v>
      </c>
      <c r="S381" s="103">
        <f>if(M381,if(and(hour(M381+S$7)&gt;9.5,(hour(M381+S$7)&lt;19.5)),M381+S$7,_xlfn.workday.intl(int(M381),1,"0000001",Holidays!A:A)+hour(M381+S$7-$B$1)/24+minute(M381)/1440),"")</f>
        <v>46213.49373</v>
      </c>
      <c r="T381" s="104">
        <v>46209.42983298611</v>
      </c>
      <c r="U381" s="105" t="s">
        <v>14</v>
      </c>
      <c r="V381" s="109">
        <f t="shared" si="2"/>
        <v>0</v>
      </c>
      <c r="W381" s="110" t="str">
        <f t="shared" si="3"/>
        <v>EMP5009 Rup Kumar Mandal</v>
      </c>
      <c r="X381" s="103">
        <f>if(S381,if(and(hour(S381+X$7)&gt;9.5,(hour(S381+X$7)&lt;19.5)),S381+X$7,_xlfn.workday.intl(int(S381),1,"0000001",Holidays!A:A)+hour(S381+X$7-$B$1)/24+minute(S381)/1440),"")</f>
        <v>46213.59789</v>
      </c>
      <c r="Y381" s="104">
        <v>46209.48372350694</v>
      </c>
      <c r="Z381" s="105" t="s">
        <v>14</v>
      </c>
      <c r="AA381" s="111">
        <f t="shared" si="4"/>
        <v>0</v>
      </c>
      <c r="AB381" s="110" t="str">
        <f t="shared" si="5"/>
        <v>EMP5009 Rup Kumar Mandal</v>
      </c>
      <c r="AC381" s="103">
        <f>if(X381,_xlfn.WORKDAY.INTL(X381,AC$7,"0000001",Holidays!A:A)+hour(X381)/24+MINUTE(X381)/1440,"")</f>
        <v>46214.59722</v>
      </c>
      <c r="AD381" s="104">
        <v>46209.49657570602</v>
      </c>
      <c r="AE381" s="105" t="s">
        <v>14</v>
      </c>
      <c r="AF381" s="111">
        <f t="shared" si="6"/>
        <v>0</v>
      </c>
      <c r="AG381" s="110" t="str">
        <f t="shared" si="7"/>
        <v>EMP5009 Rup Kumar Mandal</v>
      </c>
      <c r="AH381" s="103">
        <f>if(AC381,if(and(hour(AC381+AH$7)&gt;9.5,(hour(AC381+AH$7)&lt;19.5)),AC381+AH$7,_xlfn.workday.intl(int(AC381),1,"0000001",Holidays!A:A)+hour(AC381+AH$7-$B$1)/24+minute(AC381)/1440),"")</f>
        <v>46214.63889</v>
      </c>
      <c r="AI381" s="104">
        <v>46209.72901177083</v>
      </c>
      <c r="AJ381" s="105" t="s">
        <v>14</v>
      </c>
      <c r="AK381" s="111">
        <f t="shared" si="8"/>
        <v>0</v>
      </c>
      <c r="AL381" s="112" t="str">
        <f t="shared" si="9"/>
        <v>EMP5009 Rup Kumar Mandal</v>
      </c>
      <c r="AM381" s="113"/>
      <c r="AN381" s="114" t="s">
        <v>672</v>
      </c>
      <c r="AO381" s="115"/>
      <c r="AP381" s="115"/>
      <c r="AQ381" s="115"/>
      <c r="AR381" s="115"/>
      <c r="AS381" s="115"/>
      <c r="AT381" s="115"/>
      <c r="AU381" s="115"/>
      <c r="AV381" s="115"/>
      <c r="AW381" s="115"/>
      <c r="AX381" s="115"/>
      <c r="AY381" s="115"/>
    </row>
    <row r="382">
      <c r="A382" s="95">
        <f t="shared" si="11"/>
        <v>5333</v>
      </c>
      <c r="B382" s="96">
        <v>46207.690647916665</v>
      </c>
      <c r="C382" s="97" t="s">
        <v>1564</v>
      </c>
      <c r="D382" s="97" t="s">
        <v>2138</v>
      </c>
      <c r="E382" s="98" t="s">
        <v>2139</v>
      </c>
      <c r="F382" s="97"/>
      <c r="G382" s="97" t="s">
        <v>2140</v>
      </c>
      <c r="H382" s="99" t="s">
        <v>62</v>
      </c>
      <c r="I382" s="100" t="s">
        <v>64</v>
      </c>
      <c r="J382" s="101" t="s">
        <v>67</v>
      </c>
      <c r="K382" s="100"/>
      <c r="L382" s="102" t="s">
        <v>1130</v>
      </c>
      <c r="M382" s="103">
        <f>if(B382,if(and(hour(B382+M$7)&gt;9.5,(hour(B382+M$7)&lt;19.5)),B382+M$7,_xlfn.workday.intl(int(B382),1,"0000001",Holidays!A:A)+hour(B382+M$7-$B$1)/24+minute(B382)/1440),"")+2/24</f>
        <v>46209.52361</v>
      </c>
      <c r="N382" s="104">
        <v>46209.42971490741</v>
      </c>
      <c r="O382" s="105" t="s">
        <v>14</v>
      </c>
      <c r="P382" s="106">
        <f t="shared" si="1"/>
        <v>0</v>
      </c>
      <c r="Q382" s="107" t="s">
        <v>72</v>
      </c>
      <c r="R382" s="108" t="s">
        <v>434</v>
      </c>
      <c r="S382" s="103">
        <f>if(M382,if(and(hour(M382+S$7)&gt;9.5,(hour(M382+S$7)&lt;19.5)),M382+S$7,_xlfn.workday.intl(int(M382),1,"0000001",Holidays!A:A)+hour(M382+S$7-$B$1)/24+minute(M382)/1440),"")</f>
        <v>46209.53056</v>
      </c>
      <c r="T382" s="104">
        <v>46209.429866782404</v>
      </c>
      <c r="U382" s="105" t="s">
        <v>14</v>
      </c>
      <c r="V382" s="109">
        <f t="shared" si="2"/>
        <v>0</v>
      </c>
      <c r="W382" s="110" t="str">
        <f t="shared" si="3"/>
        <v>EMP5009 Rup Kumar Mandal</v>
      </c>
      <c r="X382" s="103">
        <f>if(S382,if(and(hour(S382+X$7)&gt;9.5,(hour(S382+X$7)&lt;19.5)),S382+X$7,_xlfn.workday.intl(int(S382),1,"0000001",Holidays!A:A)+hour(S382+X$7-$B$1)/24+minute(S382)/1440),"")</f>
        <v>46209.63472</v>
      </c>
      <c r="Y382" s="104">
        <v>46209.48374473379</v>
      </c>
      <c r="Z382" s="105" t="s">
        <v>14</v>
      </c>
      <c r="AA382" s="111">
        <f t="shared" si="4"/>
        <v>0</v>
      </c>
      <c r="AB382" s="110" t="str">
        <f t="shared" si="5"/>
        <v>EMP5009 Rup Kumar Mandal</v>
      </c>
      <c r="AC382" s="103">
        <f>if(X382,_xlfn.WORKDAY.INTL(X382,AC$7,"0000001",Holidays!A:A)+hour(X382)/24+MINUTE(X382)/1440,"")</f>
        <v>46210.63472</v>
      </c>
      <c r="AD382" s="104">
        <v>46209.4966678125</v>
      </c>
      <c r="AE382" s="105" t="s">
        <v>14</v>
      </c>
      <c r="AF382" s="111">
        <f t="shared" si="6"/>
        <v>0</v>
      </c>
      <c r="AG382" s="110" t="str">
        <f t="shared" si="7"/>
        <v>EMP5009 Rup Kumar Mandal</v>
      </c>
      <c r="AH382" s="103">
        <f>if(AC382,if(and(hour(AC382+AH$7)&gt;9.5,(hour(AC382+AH$7)&lt;19.5)),AC382+AH$7,_xlfn.workday.intl(int(AC382),1,"0000001",Holidays!A:A)+hour(AC382+AH$7-$B$1)/24+minute(AC382)/1440),"")</f>
        <v>46210.67639</v>
      </c>
      <c r="AI382" s="104">
        <v>46209.72904416667</v>
      </c>
      <c r="AJ382" s="105" t="s">
        <v>14</v>
      </c>
      <c r="AK382" s="111">
        <f t="shared" si="8"/>
        <v>0</v>
      </c>
      <c r="AL382" s="112" t="str">
        <f t="shared" si="9"/>
        <v>EMP5009 Rup Kumar Mandal</v>
      </c>
      <c r="AM382" s="113"/>
      <c r="AN382" s="114" t="s">
        <v>672</v>
      </c>
      <c r="AO382" s="115"/>
      <c r="AP382" s="115"/>
      <c r="AQ382" s="115"/>
      <c r="AR382" s="115"/>
      <c r="AS382" s="115"/>
      <c r="AT382" s="115"/>
      <c r="AU382" s="115"/>
      <c r="AV382" s="115"/>
      <c r="AW382" s="115"/>
      <c r="AX382" s="115"/>
      <c r="AY382" s="115"/>
    </row>
    <row r="383">
      <c r="A383" s="95">
        <f t="shared" si="11"/>
        <v>5334</v>
      </c>
      <c r="B383" s="96">
        <v>46209.445169108796</v>
      </c>
      <c r="C383" s="97" t="s">
        <v>754</v>
      </c>
      <c r="D383" s="97" t="s">
        <v>186</v>
      </c>
      <c r="E383" s="98" t="s">
        <v>2141</v>
      </c>
      <c r="F383" s="97"/>
      <c r="G383" s="97" t="s">
        <v>2142</v>
      </c>
      <c r="H383" s="99" t="s">
        <v>147</v>
      </c>
      <c r="I383" s="100" t="s">
        <v>64</v>
      </c>
      <c r="J383" s="101" t="s">
        <v>303</v>
      </c>
      <c r="K383" s="100"/>
      <c r="L383" s="102" t="s">
        <v>2143</v>
      </c>
      <c r="M383" s="103">
        <f>if(B383,if(and(hour(B383+M$7)&gt;9.5,(hour(B383+M$7)&lt;19.5)),B383+M$7,_xlfn.workday.intl(int(B383),1,"0000001",Holidays!A:A)+hour(B383+M$7-$B$1)/24+minute(B383)/1440),"")</f>
        <v>46209.61184</v>
      </c>
      <c r="N383" s="104">
        <v>46209.48327420139</v>
      </c>
      <c r="O383" s="105" t="s">
        <v>14</v>
      </c>
      <c r="P383" s="106">
        <f t="shared" si="1"/>
        <v>0</v>
      </c>
      <c r="Q383" s="107" t="s">
        <v>15</v>
      </c>
      <c r="R383" s="108" t="s">
        <v>434</v>
      </c>
      <c r="S383" s="103">
        <f>if(M383,if(and(hour(M383+S$7)&gt;9.5,(hour(M383+S$7)&lt;19.5)),M383+S$7,_xlfn.workday.intl(int(M383),1,"0000001",Holidays!A:A)+hour(M383+S$7-$B$1)/24+minute(M383)/1440),"")</f>
        <v>46209.61878</v>
      </c>
      <c r="T383" s="104">
        <v>46209.48349827546</v>
      </c>
      <c r="U383" s="105" t="s">
        <v>14</v>
      </c>
      <c r="V383" s="109">
        <f t="shared" si="2"/>
        <v>0</v>
      </c>
      <c r="W383" s="110" t="str">
        <f t="shared" si="3"/>
        <v>EMP0042 HULESHWAR KUMAR SAHU</v>
      </c>
      <c r="X383" s="103">
        <f>if(S383,if(and(hour(S383+X$7)&gt;9.5,(hour(S383+X$7)&lt;19.5)),S383+X$7,_xlfn.workday.intl(int(S383),1,"0000001",Holidays!A:A)+hour(S383+X$7-$B$1)/24+minute(S383)/1440),"")</f>
        <v>46209.72295</v>
      </c>
      <c r="Y383" s="104">
        <v>46209.48353707176</v>
      </c>
      <c r="Z383" s="105" t="s">
        <v>14</v>
      </c>
      <c r="AA383" s="111">
        <f t="shared" si="4"/>
        <v>0</v>
      </c>
      <c r="AB383" s="110" t="str">
        <f t="shared" si="5"/>
        <v>EMP0042 HULESHWAR KUMAR SAHU</v>
      </c>
      <c r="AC383" s="103">
        <f>if(X383,_xlfn.WORKDAY.INTL(X383,AC$7,"0000001",Holidays!A:A)+hour(X383)/24+MINUTE(X383)/1440,"")</f>
        <v>46210.72292</v>
      </c>
      <c r="AD383" s="104">
        <v>46209.49684190973</v>
      </c>
      <c r="AE383" s="105" t="s">
        <v>14</v>
      </c>
      <c r="AF383" s="111">
        <f t="shared" si="6"/>
        <v>0</v>
      </c>
      <c r="AG383" s="110" t="str">
        <f t="shared" si="7"/>
        <v>EMP0042 HULESHWAR KUMAR SAHU</v>
      </c>
      <c r="AH383" s="103">
        <f>if(AC383,if(and(hour(AC383+AH$7)&gt;9.5,(hour(AC383+AH$7)&lt;19.5)),AC383+AH$7,_xlfn.workday.intl(int(AC383),1,"0000001",Holidays!A:A)+hour(AC383+AH$7-$B$1)/24+minute(AC383)/1440),"")</f>
        <v>46210.76458</v>
      </c>
      <c r="AI383" s="104">
        <v>46209.6353822338</v>
      </c>
      <c r="AJ383" s="105" t="s">
        <v>14</v>
      </c>
      <c r="AK383" s="111">
        <f t="shared" si="8"/>
        <v>0</v>
      </c>
      <c r="AL383" s="112" t="str">
        <f t="shared" si="9"/>
        <v>EMP0042 HULESHWAR KUMAR SAHU</v>
      </c>
      <c r="AM383" s="113"/>
      <c r="AN383" s="114" t="s">
        <v>672</v>
      </c>
      <c r="AO383" s="115"/>
      <c r="AP383" s="115"/>
      <c r="AQ383" s="115"/>
      <c r="AR383" s="115"/>
      <c r="AS383" s="115"/>
      <c r="AT383" s="115"/>
      <c r="AU383" s="115"/>
      <c r="AV383" s="115"/>
      <c r="AW383" s="115"/>
      <c r="AX383" s="115"/>
      <c r="AY383" s="115"/>
    </row>
    <row r="384">
      <c r="A384" s="95">
        <f t="shared" si="11"/>
        <v>5335</v>
      </c>
      <c r="B384" s="96">
        <v>46209.48612943287</v>
      </c>
      <c r="C384" s="97" t="s">
        <v>1504</v>
      </c>
      <c r="D384" s="97" t="s">
        <v>186</v>
      </c>
      <c r="E384" s="98" t="s">
        <v>2144</v>
      </c>
      <c r="F384" s="97"/>
      <c r="G384" s="97" t="s">
        <v>2145</v>
      </c>
      <c r="H384" s="99" t="s">
        <v>138</v>
      </c>
      <c r="I384" s="100" t="s">
        <v>64</v>
      </c>
      <c r="J384" s="101" t="s">
        <v>303</v>
      </c>
      <c r="K384" s="100"/>
      <c r="L384" s="102" t="s">
        <v>2146</v>
      </c>
      <c r="M384" s="103">
        <f>if(B384,if(and(hour(B384+M$7)&gt;9.5,(hour(B384+M$7)&lt;19.5)),B384+M$7,_xlfn.workday.intl(int(B384),1,"0000001",Holidays!A:A)+hour(B384+M$7-$B$1)/24+minute(B384)/1440),"")</f>
        <v>46209.6528</v>
      </c>
      <c r="N384" s="104">
        <v>46209.497089930555</v>
      </c>
      <c r="O384" s="105" t="s">
        <v>14</v>
      </c>
      <c r="P384" s="106">
        <f t="shared" si="1"/>
        <v>0</v>
      </c>
      <c r="Q384" s="107" t="s">
        <v>15</v>
      </c>
      <c r="R384" s="108" t="s">
        <v>434</v>
      </c>
      <c r="S384" s="103">
        <f>if(M384,if(and(hour(M384+S$7)&gt;9.5,(hour(M384+S$7)&lt;19.5)),M384+S$7,_xlfn.workday.intl(int(M384),1,"0000001",Holidays!A:A)+hour(M384+S$7-$B$1)/24+minute(M384)/1440),"")</f>
        <v>46209.65974</v>
      </c>
      <c r="T384" s="104">
        <v>46209.49719083333</v>
      </c>
      <c r="U384" s="105" t="s">
        <v>14</v>
      </c>
      <c r="V384" s="109">
        <f t="shared" si="2"/>
        <v>0</v>
      </c>
      <c r="W384" s="110" t="str">
        <f t="shared" si="3"/>
        <v>EMP0042 HULESHWAR KUMAR SAHU</v>
      </c>
      <c r="X384" s="103">
        <f>if(S384,if(and(hour(S384+X$7)&gt;9.5,(hour(S384+X$7)&lt;19.5)),S384+X$7,_xlfn.workday.intl(int(S384),1,"0000001",Holidays!A:A)+hour(S384+X$7-$B$1)/24+minute(S384)/1440),"")</f>
        <v>46209.76391</v>
      </c>
      <c r="Y384" s="104">
        <v>46209.58801143519</v>
      </c>
      <c r="Z384" s="105" t="s">
        <v>14</v>
      </c>
      <c r="AA384" s="111">
        <f t="shared" si="4"/>
        <v>0</v>
      </c>
      <c r="AB384" s="110" t="str">
        <f t="shared" si="5"/>
        <v>EMP0042 HULESHWAR KUMAR SAHU</v>
      </c>
      <c r="AC384" s="103">
        <f>if(X384,_xlfn.WORKDAY.INTL(X384,AC$7,"0000001",Holidays!A:A)+hour(X384)/24+MINUTE(X384)/1440,"")</f>
        <v>46210.76389</v>
      </c>
      <c r="AD384" s="104">
        <v>46209.58815273148</v>
      </c>
      <c r="AE384" s="105" t="s">
        <v>14</v>
      </c>
      <c r="AF384" s="111">
        <f t="shared" si="6"/>
        <v>0</v>
      </c>
      <c r="AG384" s="110" t="str">
        <f t="shared" si="7"/>
        <v>EMP0042 HULESHWAR KUMAR SAHU</v>
      </c>
      <c r="AH384" s="103">
        <f>if(AC384,if(and(hour(AC384+AH$7)&gt;9.5,(hour(AC384+AH$7)&lt;19.5)),AC384+AH$7,_xlfn.workday.intl(int(AC384),1,"0000001",Holidays!A:A)+hour(AC384+AH$7-$B$1)/24+minute(AC384)/1440),"")</f>
        <v>46210.80556</v>
      </c>
      <c r="AI384" s="104">
        <v>46209.63542818287</v>
      </c>
      <c r="AJ384" s="105" t="s">
        <v>14</v>
      </c>
      <c r="AK384" s="111">
        <f t="shared" si="8"/>
        <v>0</v>
      </c>
      <c r="AL384" s="112" t="str">
        <f t="shared" si="9"/>
        <v>EMP0042 HULESHWAR KUMAR SAHU</v>
      </c>
      <c r="AM384" s="113"/>
      <c r="AN384" s="114" t="s">
        <v>672</v>
      </c>
      <c r="AO384" s="115"/>
      <c r="AP384" s="115"/>
      <c r="AQ384" s="115"/>
      <c r="AR384" s="115"/>
      <c r="AS384" s="115"/>
      <c r="AT384" s="115"/>
      <c r="AU384" s="115"/>
      <c r="AV384" s="115"/>
      <c r="AW384" s="115"/>
      <c r="AX384" s="115"/>
      <c r="AY384" s="115"/>
    </row>
    <row r="385">
      <c r="A385" s="95">
        <f t="shared" si="11"/>
        <v>5336</v>
      </c>
      <c r="B385" s="96">
        <v>46209.526501898144</v>
      </c>
      <c r="C385" s="97" t="s">
        <v>1574</v>
      </c>
      <c r="D385" s="97" t="s">
        <v>2105</v>
      </c>
      <c r="E385" s="98" t="s">
        <v>2147</v>
      </c>
      <c r="F385" s="97"/>
      <c r="G385" s="97" t="s">
        <v>1574</v>
      </c>
      <c r="H385" s="99" t="s">
        <v>62</v>
      </c>
      <c r="I385" s="100" t="s">
        <v>64</v>
      </c>
      <c r="J385" s="101" t="s">
        <v>67</v>
      </c>
      <c r="K385" s="100"/>
      <c r="L385" s="102" t="s">
        <v>1574</v>
      </c>
      <c r="M385" s="103">
        <f>if(B385,if(and(hour(B385+M$7)&gt;9.5,(hour(B385+M$7)&lt;19.5)),B385+M$7,_xlfn.workday.intl(int(B385),1,"0000001",Holidays!A:A)+hour(B385+M$7-$B$1)/24+minute(B385)/1440),"")</f>
        <v>46209.69317</v>
      </c>
      <c r="N385" s="104">
        <v>46209.587876840276</v>
      </c>
      <c r="O385" s="105" t="s">
        <v>14</v>
      </c>
      <c r="P385" s="106">
        <f t="shared" si="1"/>
        <v>0</v>
      </c>
      <c r="Q385" s="107" t="s">
        <v>72</v>
      </c>
      <c r="R385" s="108" t="s">
        <v>434</v>
      </c>
      <c r="S385" s="103">
        <f>if(M385,if(and(hour(M385+S$7)&gt;9.5,(hour(M385+S$7)&lt;19.5)),M385+S$7,_xlfn.workday.intl(int(M385),1,"0000001",Holidays!A:A)+hour(M385+S$7-$B$1)/24+minute(M385)/1440),"")</f>
        <v>46209.70011</v>
      </c>
      <c r="T385" s="104">
        <v>46209.58796472222</v>
      </c>
      <c r="U385" s="105" t="s">
        <v>14</v>
      </c>
      <c r="V385" s="109">
        <f t="shared" si="2"/>
        <v>0</v>
      </c>
      <c r="W385" s="110" t="str">
        <f t="shared" si="3"/>
        <v>EMP5009 Rup Kumar Mandal</v>
      </c>
      <c r="X385" s="103">
        <f>if(S385,if(and(hour(S385+X$7)&gt;9.5,(hour(S385+X$7)&lt;19.5)),S385+X$7,_xlfn.workday.intl(int(S385),1,"0000001",Holidays!A:A)+hour(S385+X$7-$B$1)/24+minute(S385)/1440),"")</f>
        <v>46209.80428</v>
      </c>
      <c r="Y385" s="104">
        <v>46209.58801143519</v>
      </c>
      <c r="Z385" s="105" t="s">
        <v>14</v>
      </c>
      <c r="AA385" s="111">
        <f t="shared" si="4"/>
        <v>0</v>
      </c>
      <c r="AB385" s="110" t="str">
        <f t="shared" si="5"/>
        <v>EMP5009 Rup Kumar Mandal</v>
      </c>
      <c r="AC385" s="103">
        <f>if(X385,_xlfn.WORKDAY.INTL(X385,AC$7,"0000001",Holidays!A:A)+hour(X385)/24+MINUTE(X385)/1440,"")</f>
        <v>46210.80417</v>
      </c>
      <c r="AD385" s="104">
        <v>46209.588076064814</v>
      </c>
      <c r="AE385" s="105" t="s">
        <v>14</v>
      </c>
      <c r="AF385" s="111">
        <f t="shared" si="6"/>
        <v>0</v>
      </c>
      <c r="AG385" s="110" t="str">
        <f t="shared" si="7"/>
        <v>EMP5009 Rup Kumar Mandal</v>
      </c>
      <c r="AH385" s="103">
        <f>if(AC385,if(and(hour(AC385+AH$7)&gt;9.5,(hour(AC385+AH$7)&lt;19.5)),AC385+AH$7,_xlfn.workday.intl(int(AC385),1,"0000001",Holidays!A:A)+hour(AC385+AH$7-$B$1)/24+minute(AC385)/1440),"")</f>
        <v>46211.42917</v>
      </c>
      <c r="AI385" s="104">
        <v>46210.50347041667</v>
      </c>
      <c r="AJ385" s="105" t="s">
        <v>14</v>
      </c>
      <c r="AK385" s="111">
        <f t="shared" si="8"/>
        <v>0</v>
      </c>
      <c r="AL385" s="112" t="str">
        <f t="shared" si="9"/>
        <v>EMP5009 Rup Kumar Mandal</v>
      </c>
      <c r="AM385" s="113"/>
      <c r="AN385" s="114" t="s">
        <v>672</v>
      </c>
      <c r="AO385" s="115"/>
      <c r="AP385" s="115"/>
      <c r="AQ385" s="115"/>
      <c r="AR385" s="115"/>
      <c r="AS385" s="115"/>
      <c r="AT385" s="115"/>
      <c r="AU385" s="115"/>
      <c r="AV385" s="115"/>
      <c r="AW385" s="115"/>
      <c r="AX385" s="115"/>
      <c r="AY385" s="115"/>
    </row>
    <row r="386">
      <c r="A386" s="95">
        <f t="shared" si="11"/>
        <v>5337</v>
      </c>
      <c r="B386" s="96">
        <v>46209.58618925926</v>
      </c>
      <c r="C386" s="97" t="s">
        <v>1577</v>
      </c>
      <c r="D386" s="97" t="s">
        <v>2148</v>
      </c>
      <c r="E386" s="98" t="s">
        <v>2149</v>
      </c>
      <c r="F386" s="97"/>
      <c r="G386" s="97" t="s">
        <v>2150</v>
      </c>
      <c r="H386" s="99" t="s">
        <v>62</v>
      </c>
      <c r="I386" s="100" t="s">
        <v>324</v>
      </c>
      <c r="J386" s="101" t="s">
        <v>231</v>
      </c>
      <c r="K386" s="100"/>
      <c r="L386" s="102" t="s">
        <v>2151</v>
      </c>
      <c r="M386" s="103">
        <f>if(B386,if(and(hour(B386+M$7)&gt;9.5,(hour(B386+M$7)&lt;19.5)),B386+M$7,_xlfn.workday.intl(int(B386),1,"0000001",Holidays!A:A)+hour(B386+M$7-$B$1)/24+minute(B386)/1440),"")</f>
        <v>46209.75286</v>
      </c>
      <c r="N386" s="104">
        <v>46209.58788584491</v>
      </c>
      <c r="O386" s="105" t="s">
        <v>14</v>
      </c>
      <c r="P386" s="106">
        <f t="shared" si="1"/>
        <v>0</v>
      </c>
      <c r="Q386" s="107" t="s">
        <v>15</v>
      </c>
      <c r="R386" s="108" t="s">
        <v>434</v>
      </c>
      <c r="S386" s="103">
        <f>if(M386,if(and(hour(M386+S$7)&gt;9.5,(hour(M386+S$7)&lt;19.5)),M386+S$7,_xlfn.workday.intl(int(M386),1,"0000001",Holidays!A:A)+hour(M386+S$7-$B$1)/24+minute(M386)/1440),"")</f>
        <v>46209.7598</v>
      </c>
      <c r="T386" s="104">
        <v>46209.5882899537</v>
      </c>
      <c r="U386" s="105" t="s">
        <v>14</v>
      </c>
      <c r="V386" s="109">
        <f t="shared" si="2"/>
        <v>0</v>
      </c>
      <c r="W386" s="110" t="str">
        <f t="shared" si="3"/>
        <v>EMP0042 HULESHWAR KUMAR SAHU</v>
      </c>
      <c r="X386" s="103">
        <f>if(S386,if(and(hour(S386+X$7)&gt;9.5,(hour(S386+X$7)&lt;19.5)),S386+X$7,_xlfn.workday.intl(int(S386),1,"0000001",Holidays!A:A)+hour(S386+X$7-$B$1)/24+minute(S386)/1440),"")</f>
        <v>46210.42639</v>
      </c>
      <c r="Y386" s="104">
        <v>46209.58802248843</v>
      </c>
      <c r="Z386" s="105" t="s">
        <v>14</v>
      </c>
      <c r="AA386" s="111">
        <f t="shared" si="4"/>
        <v>0</v>
      </c>
      <c r="AB386" s="110" t="str">
        <f t="shared" si="5"/>
        <v>EMP0042 HULESHWAR KUMAR SAHU</v>
      </c>
      <c r="AC386" s="103">
        <f>if(X386,_xlfn.WORKDAY.INTL(X386,AC$7,"0000001",Holidays!A:A)+hour(X386)/24+MINUTE(X386)/1440,"")</f>
        <v>46211.42639</v>
      </c>
      <c r="AD386" s="104">
        <v>46209.728852291664</v>
      </c>
      <c r="AE386" s="105" t="s">
        <v>14</v>
      </c>
      <c r="AF386" s="111">
        <f t="shared" si="6"/>
        <v>0</v>
      </c>
      <c r="AG386" s="110" t="str">
        <f t="shared" si="7"/>
        <v>EMP0042 HULESHWAR KUMAR SAHU</v>
      </c>
      <c r="AH386" s="103">
        <f>if(AC386,if(and(hour(AC386+AH$7)&gt;9.5,(hour(AC386+AH$7)&lt;19.5)),AC386+AH$7,_xlfn.workday.intl(int(AC386),1,"0000001",Holidays!A:A)+hour(AC386+AH$7-$B$1)/24+minute(AC386)/1440),"")</f>
        <v>46211.46806</v>
      </c>
      <c r="AI386" s="104">
        <v>46209.72888872685</v>
      </c>
      <c r="AJ386" s="105" t="s">
        <v>14</v>
      </c>
      <c r="AK386" s="111">
        <f t="shared" si="8"/>
        <v>0</v>
      </c>
      <c r="AL386" s="112" t="str">
        <f t="shared" si="9"/>
        <v>EMP0042 HULESHWAR KUMAR SAHU</v>
      </c>
      <c r="AM386" s="113"/>
      <c r="AN386" s="114" t="s">
        <v>672</v>
      </c>
      <c r="AO386" s="115"/>
      <c r="AP386" s="115"/>
      <c r="AQ386" s="115"/>
      <c r="AR386" s="115"/>
      <c r="AS386" s="115"/>
      <c r="AT386" s="115"/>
      <c r="AU386" s="115"/>
      <c r="AV386" s="115"/>
      <c r="AW386" s="115"/>
      <c r="AX386" s="115"/>
      <c r="AY386" s="115"/>
    </row>
    <row r="387">
      <c r="A387" s="95">
        <f t="shared" si="11"/>
        <v>5338</v>
      </c>
      <c r="B387" s="96">
        <v>46209.666396643515</v>
      </c>
      <c r="C387" s="97" t="s">
        <v>1583</v>
      </c>
      <c r="D387" s="97" t="s">
        <v>142</v>
      </c>
      <c r="E387" s="98" t="s">
        <v>2152</v>
      </c>
      <c r="F387" s="97"/>
      <c r="G387" s="97" t="s">
        <v>2153</v>
      </c>
      <c r="H387" s="99" t="s">
        <v>62</v>
      </c>
      <c r="I387" s="100" t="s">
        <v>64</v>
      </c>
      <c r="J387" s="101" t="s">
        <v>67</v>
      </c>
      <c r="K387" s="100"/>
      <c r="L387" s="102" t="s">
        <v>2153</v>
      </c>
      <c r="M387" s="290">
        <v>46210.45806712963</v>
      </c>
      <c r="N387" s="104">
        <v>46209.72742420139</v>
      </c>
      <c r="O387" s="105" t="s">
        <v>14</v>
      </c>
      <c r="P387" s="106">
        <f t="shared" si="1"/>
        <v>0</v>
      </c>
      <c r="Q387" s="107" t="s">
        <v>48</v>
      </c>
      <c r="R387" s="108" t="s">
        <v>434</v>
      </c>
      <c r="S387" s="103">
        <f>if(M387,if(and(hour(M387+S$7)&gt;9.5,(hour(M387+S$7)&lt;19.5)),M387+S$7,_xlfn.workday.intl(int(M387),1,"0000001",Holidays!A:A)+hour(M387+S$7-$B$1)/24+minute(M387)/1440),"")</f>
        <v>46210.46501</v>
      </c>
      <c r="T387" s="104">
        <v>46209.727510324075</v>
      </c>
      <c r="U387" s="105" t="s">
        <v>14</v>
      </c>
      <c r="V387" s="109">
        <f t="shared" si="2"/>
        <v>0</v>
      </c>
      <c r="W387" s="110" t="str">
        <f t="shared" si="3"/>
        <v>EMP0237 Swarnendu Chakraborty</v>
      </c>
      <c r="X387" s="103">
        <f>if(S387,if(and(hour(S387+X$7)&gt;9.5,(hour(S387+X$7)&lt;19.5)),S387+X$7,_xlfn.workday.intl(int(S387),1,"0000001",Holidays!A:A)+hour(S387+X$7-$B$1)/24+minute(S387)/1440),"")</f>
        <v>46210.56918</v>
      </c>
      <c r="Y387" s="104">
        <v>46210.49348146991</v>
      </c>
      <c r="Z387" s="105" t="s">
        <v>14</v>
      </c>
      <c r="AA387" s="111">
        <f t="shared" si="4"/>
        <v>0</v>
      </c>
      <c r="AB387" s="110" t="str">
        <f t="shared" si="5"/>
        <v>EMP0237 Swarnendu Chakraborty</v>
      </c>
      <c r="AC387" s="103">
        <f>if(X387,_xlfn.WORKDAY.INTL(X387,AC$7,"0000001",Holidays!A:A)+hour(X387)/24+MINUTE(X387)/1440,"")</f>
        <v>46211.56875</v>
      </c>
      <c r="AD387" s="104">
        <v>46211.44663871528</v>
      </c>
      <c r="AE387" s="105" t="s">
        <v>14</v>
      </c>
      <c r="AF387" s="111">
        <f t="shared" si="6"/>
        <v>0</v>
      </c>
      <c r="AG387" s="110" t="str">
        <f t="shared" si="7"/>
        <v>EMP0237 Swarnendu Chakraborty</v>
      </c>
      <c r="AH387" s="103">
        <f>if(AC387,if(and(hour(AC387+AH$7)&gt;9.5,(hour(AC387+AH$7)&lt;19.5)),AC387+AH$7,_xlfn.workday.intl(int(AC387),1,"0000001",Holidays!A:A)+hour(AC387+AH$7-$B$1)/24+minute(AC387)/1440),"")</f>
        <v>46211.61042</v>
      </c>
      <c r="AI387" s="104">
        <v>46211.44665684028</v>
      </c>
      <c r="AJ387" s="105" t="s">
        <v>14</v>
      </c>
      <c r="AK387" s="111">
        <f t="shared" si="8"/>
        <v>0</v>
      </c>
      <c r="AL387" s="112" t="str">
        <f t="shared" si="9"/>
        <v>EMP0237 Swarnendu Chakraborty</v>
      </c>
      <c r="AM387" s="113"/>
      <c r="AN387" s="114" t="s">
        <v>672</v>
      </c>
      <c r="AO387" s="115"/>
      <c r="AP387" s="115"/>
      <c r="AQ387" s="115"/>
      <c r="AR387" s="115"/>
      <c r="AS387" s="115"/>
      <c r="AT387" s="115"/>
      <c r="AU387" s="115"/>
      <c r="AV387" s="115"/>
      <c r="AW387" s="115"/>
      <c r="AX387" s="115"/>
      <c r="AY387" s="115"/>
    </row>
    <row r="388">
      <c r="A388" s="95">
        <f t="shared" si="11"/>
        <v>5339</v>
      </c>
      <c r="B388" s="96">
        <v>46209.7007680324</v>
      </c>
      <c r="C388" s="97" t="s">
        <v>2157</v>
      </c>
      <c r="D388" s="97" t="s">
        <v>186</v>
      </c>
      <c r="E388" s="98" t="s">
        <v>2154</v>
      </c>
      <c r="F388" s="97"/>
      <c r="G388" s="97" t="s">
        <v>2155</v>
      </c>
      <c r="H388" s="99" t="s">
        <v>126</v>
      </c>
      <c r="I388" s="100" t="s">
        <v>64</v>
      </c>
      <c r="J388" s="101" t="s">
        <v>303</v>
      </c>
      <c r="K388" s="100"/>
      <c r="L388" s="102" t="s">
        <v>2156</v>
      </c>
      <c r="M388" s="103">
        <f>if(B388,if(and(hour(B388+M$7)&gt;9.5,(hour(B388+M$7)&lt;19.5)),B388+M$7,_xlfn.workday.intl(int(B388),1,"0000001",Holidays!A:A)+hour(B388+M$7-$B$1)/24+minute(B388)/1440),"")</f>
        <v>46210.45069</v>
      </c>
      <c r="N388" s="104">
        <v>46209.72860538194</v>
      </c>
      <c r="O388" s="105" t="s">
        <v>14</v>
      </c>
      <c r="P388" s="106">
        <f t="shared" si="1"/>
        <v>0</v>
      </c>
      <c r="Q388" s="107" t="s">
        <v>15</v>
      </c>
      <c r="R388" s="108" t="s">
        <v>434</v>
      </c>
      <c r="S388" s="103">
        <f>if(M388,if(and(hour(M388+S$7)&gt;9.5,(hour(M388+S$7)&lt;19.5)),M388+S$7,_xlfn.workday.intl(int(M388),1,"0000001",Holidays!A:A)+hour(M388+S$7-$B$1)/24+minute(M388)/1440),"")</f>
        <v>46210.45764</v>
      </c>
      <c r="T388" s="104">
        <v>46209.72753421296</v>
      </c>
      <c r="U388" s="105" t="s">
        <v>14</v>
      </c>
      <c r="V388" s="109">
        <f t="shared" si="2"/>
        <v>0</v>
      </c>
      <c r="W388" s="110" t="str">
        <f t="shared" si="3"/>
        <v>EMP0042 HULESHWAR KUMAR SAHU</v>
      </c>
      <c r="X388" s="103">
        <f>if(S388,if(and(hour(S388+X$7)&gt;9.5,(hour(S388+X$7)&lt;19.5)),S388+X$7,_xlfn.workday.intl(int(S388),1,"0000001",Holidays!A:A)+hour(S388+X$7-$B$1)/24+minute(S388)/1440),"")</f>
        <v>46210.56181</v>
      </c>
      <c r="Y388" s="104">
        <v>46209.72877162037</v>
      </c>
      <c r="Z388" s="105" t="s">
        <v>14</v>
      </c>
      <c r="AA388" s="111">
        <f t="shared" si="4"/>
        <v>0</v>
      </c>
      <c r="AB388" s="110" t="str">
        <f t="shared" si="5"/>
        <v>EMP0042 HULESHWAR KUMAR SAHU</v>
      </c>
      <c r="AC388" s="103">
        <f>if(X388,_xlfn.WORKDAY.INTL(X388,AC$7,"0000001",Holidays!A:A)+hour(X388)/24+MINUTE(X388)/1440,"")</f>
        <v>46211.56181</v>
      </c>
      <c r="AD388" s="104">
        <v>46209.72880542824</v>
      </c>
      <c r="AE388" s="105" t="s">
        <v>14</v>
      </c>
      <c r="AF388" s="111">
        <f t="shared" si="6"/>
        <v>0</v>
      </c>
      <c r="AG388" s="110" t="str">
        <f t="shared" si="7"/>
        <v>EMP0042 HULESHWAR KUMAR SAHU</v>
      </c>
      <c r="AH388" s="103">
        <f>if(AC388,if(and(hour(AC388+AH$7)&gt;9.5,(hour(AC388+AH$7)&lt;19.5)),AC388+AH$7,_xlfn.workday.intl(int(AC388),1,"0000001",Holidays!A:A)+hour(AC388+AH$7-$B$1)/24+minute(AC388)/1440),"")</f>
        <v>46211.60347</v>
      </c>
      <c r="AI388" s="104">
        <v>46209.72892296297</v>
      </c>
      <c r="AJ388" s="105" t="s">
        <v>14</v>
      </c>
      <c r="AK388" s="111">
        <f t="shared" si="8"/>
        <v>0</v>
      </c>
      <c r="AL388" s="112" t="str">
        <f t="shared" si="9"/>
        <v>EMP0042 HULESHWAR KUMAR SAHU</v>
      </c>
      <c r="AM388" s="113"/>
      <c r="AN388" s="114" t="s">
        <v>672</v>
      </c>
      <c r="AO388" s="115"/>
      <c r="AP388" s="115"/>
      <c r="AQ388" s="115"/>
      <c r="AR388" s="115"/>
      <c r="AS388" s="115"/>
      <c r="AT388" s="115"/>
      <c r="AU388" s="115"/>
      <c r="AV388" s="115"/>
      <c r="AW388" s="115"/>
      <c r="AX388" s="115"/>
      <c r="AY388" s="115"/>
    </row>
    <row r="389">
      <c r="A389" s="95">
        <f t="shared" si="11"/>
        <v>5340</v>
      </c>
      <c r="B389" s="96">
        <v>46210.5289300463</v>
      </c>
      <c r="C389" s="97" t="s">
        <v>1594</v>
      </c>
      <c r="D389" s="97" t="s">
        <v>1212</v>
      </c>
      <c r="E389" s="98" t="s">
        <v>2158</v>
      </c>
      <c r="F389" s="98" t="s">
        <v>2161</v>
      </c>
      <c r="G389" s="97" t="s">
        <v>2159</v>
      </c>
      <c r="H389" s="99" t="s">
        <v>138</v>
      </c>
      <c r="I389" s="100" t="s">
        <v>64</v>
      </c>
      <c r="J389" s="101" t="s">
        <v>1211</v>
      </c>
      <c r="K389" s="100"/>
      <c r="L389" s="102" t="s">
        <v>2160</v>
      </c>
      <c r="M389" s="103">
        <f>if(B389,if(and(hour(B389+M$7)&gt;9.5,(hour(B389+M$7)&lt;19.5)),B389+M$7,_xlfn.workday.intl(int(B389),1,"0000001",Holidays!A:A)+hour(B389+M$7-$B$1)/24+minute(B389)/1440),"")</f>
        <v>46210.6956</v>
      </c>
      <c r="N389" s="104">
        <v>46210.61863622685</v>
      </c>
      <c r="O389" s="105" t="s">
        <v>14</v>
      </c>
      <c r="P389" s="106">
        <f t="shared" si="1"/>
        <v>0</v>
      </c>
      <c r="Q389" s="107" t="s">
        <v>15</v>
      </c>
      <c r="R389" s="108" t="s">
        <v>434</v>
      </c>
      <c r="S389" s="103">
        <f>if(M389,if(and(hour(M389+S$7)&gt;9.5,(hour(M389+S$7)&lt;19.5)),M389+S$7,_xlfn.workday.intl(int(M389),1,"0000001",Holidays!A:A)+hour(M389+S$7-$B$1)/24+minute(M389)/1440),"")</f>
        <v>46210.70254</v>
      </c>
      <c r="T389" s="104">
        <v>46210.618744224535</v>
      </c>
      <c r="U389" s="105" t="s">
        <v>14</v>
      </c>
      <c r="V389" s="109">
        <f t="shared" si="2"/>
        <v>0</v>
      </c>
      <c r="W389" s="110" t="str">
        <f t="shared" si="3"/>
        <v>EMP0042 HULESHWAR KUMAR SAHU</v>
      </c>
      <c r="X389" s="103">
        <f>if(S389,if(and(hour(S389+X$7)&gt;9.5,(hour(S389+X$7)&lt;19.5)),S389+X$7,_xlfn.workday.intl(int(S389),1,"0000001",Holidays!A:A)+hour(S389+X$7-$B$1)/24+minute(S389)/1440),"")</f>
        <v>46210.80671</v>
      </c>
      <c r="Y389" s="104">
        <v>46210.618770706016</v>
      </c>
      <c r="Z389" s="105" t="s">
        <v>14</v>
      </c>
      <c r="AA389" s="111">
        <f t="shared" si="4"/>
        <v>0</v>
      </c>
      <c r="AB389" s="110" t="str">
        <f t="shared" si="5"/>
        <v>EMP0042 HULESHWAR KUMAR SAHU</v>
      </c>
      <c r="AC389" s="103">
        <f>if(X389,_xlfn.WORKDAY.INTL(X389,AC$7,"0000001",Holidays!A:A)+hour(X389)/24+MINUTE(X389)/1440,"")</f>
        <v>46211.80625</v>
      </c>
      <c r="AD389" s="104">
        <v>46211.4477671875</v>
      </c>
      <c r="AE389" s="105" t="s">
        <v>14</v>
      </c>
      <c r="AF389" s="111">
        <f t="shared" si="6"/>
        <v>0</v>
      </c>
      <c r="AG389" s="110" t="str">
        <f t="shared" si="7"/>
        <v>EMP0042 HULESHWAR KUMAR SAHU</v>
      </c>
      <c r="AH389" s="103">
        <f>if(AC389,if(and(hour(AC389+AH$7)&gt;9.5,(hour(AC389+AH$7)&lt;19.5)),AC389+AH$7,_xlfn.workday.intl(int(AC389),1,"0000001",Holidays!A:A)+hour(AC389+AH$7-$B$1)/24+minute(AC389)/1440),"")</f>
        <v>46212.43125</v>
      </c>
      <c r="AI389" s="104">
        <v>46211.46249366898</v>
      </c>
      <c r="AJ389" s="105" t="s">
        <v>14</v>
      </c>
      <c r="AK389" s="111">
        <f t="shared" si="8"/>
        <v>0</v>
      </c>
      <c r="AL389" s="112" t="str">
        <f t="shared" si="9"/>
        <v>EMP0042 HULESHWAR KUMAR SAHU</v>
      </c>
      <c r="AM389" s="113"/>
      <c r="AN389" s="114" t="s">
        <v>672</v>
      </c>
      <c r="AO389" s="115"/>
      <c r="AP389" s="115"/>
      <c r="AQ389" s="115"/>
      <c r="AR389" s="115"/>
      <c r="AS389" s="115"/>
      <c r="AT389" s="115"/>
      <c r="AU389" s="115"/>
      <c r="AV389" s="115"/>
      <c r="AW389" s="115"/>
      <c r="AX389" s="115"/>
      <c r="AY389" s="115"/>
    </row>
    <row r="390">
      <c r="A390" s="95">
        <f t="shared" si="11"/>
        <v>5341</v>
      </c>
      <c r="B390" s="96">
        <v>46211.4822802662</v>
      </c>
      <c r="C390" s="97" t="s">
        <v>284</v>
      </c>
      <c r="D390" s="97" t="s">
        <v>207</v>
      </c>
      <c r="E390" s="98" t="s">
        <v>2162</v>
      </c>
      <c r="F390" s="97"/>
      <c r="G390" s="97" t="s">
        <v>354</v>
      </c>
      <c r="H390" s="99" t="s">
        <v>62</v>
      </c>
      <c r="I390" s="100" t="s">
        <v>64</v>
      </c>
      <c r="J390" s="101" t="s">
        <v>206</v>
      </c>
      <c r="K390" s="100"/>
      <c r="L390" s="102" t="s">
        <v>2163</v>
      </c>
      <c r="M390" s="103">
        <f>if(B390,if(and(hour(B390+M$7)&gt;9.5,(hour(B390+M$7)&lt;19.5)),B390+M$7,_xlfn.workday.intl(int(B390),1,"0000001",Holidays!A:A)+hour(B390+M$7-$B$1)/24+minute(B390)/1440),"")</f>
        <v>46211.64895</v>
      </c>
      <c r="N390" s="104">
        <v>46211.526876331016</v>
      </c>
      <c r="O390" s="105" t="s">
        <v>14</v>
      </c>
      <c r="P390" s="106">
        <f t="shared" si="1"/>
        <v>0</v>
      </c>
      <c r="Q390" s="107" t="s">
        <v>48</v>
      </c>
      <c r="R390" s="108" t="s">
        <v>434</v>
      </c>
      <c r="S390" s="103">
        <f>if(M390,if(and(hour(M390+S$7)&gt;9.5,(hour(M390+S$7)&lt;19.5)),M390+S$7,_xlfn.workday.intl(int(M390),1,"0000001",Holidays!A:A)+hour(M390+S$7-$B$1)/24+minute(M390)/1440),"")</f>
        <v>46211.65589</v>
      </c>
      <c r="T390" s="104">
        <v>46211.52723706019</v>
      </c>
      <c r="U390" s="105" t="s">
        <v>14</v>
      </c>
      <c r="V390" s="109">
        <f t="shared" si="2"/>
        <v>0</v>
      </c>
      <c r="W390" s="110" t="str">
        <f t="shared" si="3"/>
        <v>EMP0237 Swarnendu Chakraborty</v>
      </c>
      <c r="X390" s="103">
        <f>if(S390,if(and(hour(S390+X$7)&gt;9.5,(hour(S390+X$7)&lt;19.5)),S390+X$7,_xlfn.workday.intl(int(S390),1,"0000001",Holidays!A:A)+hour(S390+X$7-$B$1)/24+minute(S390)/1440),"")</f>
        <v>46211.76006</v>
      </c>
      <c r="Y390" s="104">
        <v>46211.7559375</v>
      </c>
      <c r="Z390" s="105" t="s">
        <v>14</v>
      </c>
      <c r="AA390" s="111">
        <f t="shared" si="4"/>
        <v>0</v>
      </c>
      <c r="AB390" s="110" t="str">
        <f t="shared" si="5"/>
        <v>EMP0237 Swarnendu Chakraborty</v>
      </c>
      <c r="AC390" s="103">
        <f>if(X390,_xlfn.WORKDAY.INTL(X390,AC$7,"0000001",Holidays!A:A)+hour(X390)/24+MINUTE(X390)/1440,"")</f>
        <v>46212.75972</v>
      </c>
      <c r="AD390" s="104">
        <v>46211.78412540509</v>
      </c>
      <c r="AE390" s="105" t="s">
        <v>14</v>
      </c>
      <c r="AF390" s="111">
        <f t="shared" si="6"/>
        <v>0</v>
      </c>
      <c r="AG390" s="110" t="str">
        <f t="shared" si="7"/>
        <v>EMP0237 Swarnendu Chakraborty</v>
      </c>
      <c r="AH390" s="103">
        <f>if(AC390,if(and(hour(AC390+AH$7)&gt;9.5,(hour(AC390+AH$7)&lt;19.5)),AC390+AH$7,_xlfn.workday.intl(int(AC390),1,"0000001",Holidays!A:A)+hour(AC390+AH$7-$B$1)/24+minute(AC390)/1440),"")</f>
        <v>46212.80139</v>
      </c>
      <c r="AI390" s="104">
        <v>46213.44923611111</v>
      </c>
      <c r="AJ390" s="105" t="s">
        <v>14</v>
      </c>
      <c r="AK390" s="111">
        <f t="shared" si="8"/>
        <v>0.6478472222</v>
      </c>
      <c r="AL390" s="112" t="str">
        <f t="shared" si="9"/>
        <v>EMP0237 Swarnendu Chakraborty</v>
      </c>
      <c r="AM390" s="113"/>
      <c r="AN390" s="114" t="s">
        <v>672</v>
      </c>
      <c r="AO390" s="115"/>
      <c r="AP390" s="115"/>
      <c r="AQ390" s="115"/>
      <c r="AR390" s="115"/>
      <c r="AS390" s="115"/>
      <c r="AT390" s="115"/>
      <c r="AU390" s="115"/>
      <c r="AV390" s="115"/>
      <c r="AW390" s="115"/>
      <c r="AX390" s="115"/>
      <c r="AY390" s="115"/>
    </row>
    <row r="391">
      <c r="A391" s="95">
        <f t="shared" si="11"/>
        <v>5342</v>
      </c>
      <c r="B391" s="96">
        <v>46211.55595047453</v>
      </c>
      <c r="C391" s="97" t="s">
        <v>1600</v>
      </c>
      <c r="D391" s="97" t="s">
        <v>357</v>
      </c>
      <c r="E391" s="98" t="s">
        <v>2164</v>
      </c>
      <c r="F391" s="98" t="s">
        <v>2167</v>
      </c>
      <c r="G391" s="97" t="s">
        <v>2165</v>
      </c>
      <c r="H391" s="99" t="s">
        <v>62</v>
      </c>
      <c r="I391" s="100" t="s">
        <v>64</v>
      </c>
      <c r="J391" s="101" t="s">
        <v>356</v>
      </c>
      <c r="K391" s="100"/>
      <c r="L391" s="102" t="s">
        <v>2166</v>
      </c>
      <c r="M391" s="103">
        <f>if(B391,if(and(hour(B391+M$7)&gt;9.5,(hour(B391+M$7)&lt;19.5)),B391+M$7,_xlfn.workday.intl(int(B391),1,"0000001",Holidays!A:A)+hour(B391+M$7-$B$1)/24+minute(B391)/1440),"")</f>
        <v>46211.72262</v>
      </c>
      <c r="N391" s="104">
        <v>46211.64642983796</v>
      </c>
      <c r="O391" s="105" t="s">
        <v>14</v>
      </c>
      <c r="P391" s="106">
        <f t="shared" si="1"/>
        <v>0</v>
      </c>
      <c r="Q391" s="107" t="s">
        <v>15</v>
      </c>
      <c r="R391" s="108" t="s">
        <v>434</v>
      </c>
      <c r="S391" s="103">
        <f>if(M391,if(and(hour(M391+S$7)&gt;9.5,(hour(M391+S$7)&lt;19.5)),M391+S$7,_xlfn.workday.intl(int(M391),1,"0000001",Holidays!A:A)+hour(M391+S$7-$B$1)/24+minute(M391)/1440),"")</f>
        <v>46211.72956</v>
      </c>
      <c r="T391" s="104">
        <v>46211.64664846065</v>
      </c>
      <c r="U391" s="105" t="s">
        <v>14</v>
      </c>
      <c r="V391" s="109">
        <f t="shared" si="2"/>
        <v>0</v>
      </c>
      <c r="W391" s="110" t="str">
        <f t="shared" si="3"/>
        <v>EMP0042 HULESHWAR KUMAR SAHU</v>
      </c>
      <c r="X391" s="103">
        <f>if(S391,if(and(hour(S391+X$7)&gt;9.5,(hour(S391+X$7)&lt;19.5)),S391+X$7,_xlfn.workday.intl(int(S391),1,"0000001",Holidays!A:A)+hour(S391+X$7-$B$1)/24+minute(S391)/1440),"")</f>
        <v>46212.4375</v>
      </c>
      <c r="Y391" s="104">
        <v>46211.78353576389</v>
      </c>
      <c r="Z391" s="105" t="s">
        <v>14</v>
      </c>
      <c r="AA391" s="111">
        <f t="shared" si="4"/>
        <v>0</v>
      </c>
      <c r="AB391" s="110" t="str">
        <f t="shared" si="5"/>
        <v>EMP0042 HULESHWAR KUMAR SAHU</v>
      </c>
      <c r="AC391" s="103">
        <f>if(X391,_xlfn.WORKDAY.INTL(X391,AC$7,"0000001",Holidays!A:A)+hour(X391)/24+MINUTE(X391)/1440,"")</f>
        <v>46213.4375</v>
      </c>
      <c r="AD391" s="104">
        <v>46211.784143854165</v>
      </c>
      <c r="AE391" s="105" t="s">
        <v>14</v>
      </c>
      <c r="AF391" s="111">
        <f t="shared" si="6"/>
        <v>0</v>
      </c>
      <c r="AG391" s="110" t="str">
        <f t="shared" si="7"/>
        <v>EMP0042 HULESHWAR KUMAR SAHU</v>
      </c>
      <c r="AH391" s="103">
        <f>if(AC391,if(and(hour(AC391+AH$7)&gt;9.5,(hour(AC391+AH$7)&lt;19.5)),AC391+AH$7,_xlfn.workday.intl(int(AC391),1,"0000001",Holidays!A:A)+hour(AC391+AH$7-$B$1)/24+minute(AC391)/1440),"")</f>
        <v>46213.47917</v>
      </c>
      <c r="AI391" s="104"/>
      <c r="AJ391" s="105"/>
      <c r="AK391" s="111">
        <f t="shared" si="8"/>
        <v>0</v>
      </c>
      <c r="AL391" s="112" t="str">
        <f t="shared" si="9"/>
        <v>EMP0042 HULESHWAR KUMAR SAHU</v>
      </c>
      <c r="AM391" s="113"/>
      <c r="AN391" s="114" t="s">
        <v>672</v>
      </c>
      <c r="AO391" s="115"/>
      <c r="AP391" s="115"/>
      <c r="AQ391" s="115"/>
      <c r="AR391" s="115"/>
      <c r="AS391" s="115"/>
      <c r="AT391" s="115"/>
      <c r="AU391" s="115"/>
      <c r="AV391" s="115"/>
      <c r="AW391" s="115"/>
      <c r="AX391" s="115"/>
      <c r="AY391" s="115"/>
    </row>
    <row r="392">
      <c r="A392" s="95">
        <f t="shared" si="11"/>
        <v>5343</v>
      </c>
      <c r="B392" s="96">
        <v>46211.595197048606</v>
      </c>
      <c r="C392" s="97" t="s">
        <v>1604</v>
      </c>
      <c r="D392" s="97" t="s">
        <v>982</v>
      </c>
      <c r="E392" s="98" t="s">
        <v>2168</v>
      </c>
      <c r="F392" s="98" t="s">
        <v>2170</v>
      </c>
      <c r="G392" s="97" t="s">
        <v>1291</v>
      </c>
      <c r="H392" s="99" t="s">
        <v>62</v>
      </c>
      <c r="I392" s="100" t="s">
        <v>324</v>
      </c>
      <c r="J392" s="101" t="s">
        <v>1269</v>
      </c>
      <c r="K392" s="100"/>
      <c r="L392" s="102" t="s">
        <v>2169</v>
      </c>
      <c r="M392" s="103">
        <f>if(B392,if(and(hour(B392+M$7)&gt;9.5,(hour(B392+M$7)&lt;19.5)),B392+M$7,_xlfn.workday.intl(int(B392),1,"0000001",Holidays!A:A)+hour(B392+M$7-$B$1)/24+minute(B392)/1440),"")</f>
        <v>46211.76186</v>
      </c>
      <c r="N392" s="104">
        <v>46211.646463564815</v>
      </c>
      <c r="O392" s="105" t="s">
        <v>14</v>
      </c>
      <c r="P392" s="106">
        <f t="shared" si="1"/>
        <v>0</v>
      </c>
      <c r="Q392" s="107" t="s">
        <v>15</v>
      </c>
      <c r="R392" s="108" t="s">
        <v>434</v>
      </c>
      <c r="S392" s="103">
        <f>if(M392,if(and(hour(M392+S$7)&gt;9.5,(hour(M392+S$7)&lt;19.5)),M392+S$7,_xlfn.workday.intl(int(M392),1,"0000001",Holidays!A:A)+hour(M392+S$7-$B$1)/24+minute(M392)/1440),"")</f>
        <v>46211.76881</v>
      </c>
      <c r="T392" s="104">
        <v>46211.64663618055</v>
      </c>
      <c r="U392" s="105" t="s">
        <v>14</v>
      </c>
      <c r="V392" s="109">
        <f t="shared" si="2"/>
        <v>0</v>
      </c>
      <c r="W392" s="110" t="str">
        <f t="shared" si="3"/>
        <v>EMP0042 HULESHWAR KUMAR SAHU</v>
      </c>
      <c r="X392" s="103">
        <f>if(S392,if(and(hour(S392+X$7)&gt;9.5,(hour(S392+X$7)&lt;19.5)),S392+X$7,_xlfn.workday.intl(int(S392),1,"0000001",Holidays!A:A)+hour(S392+X$7-$B$1)/24+minute(S392)/1440),"")</f>
        <v>46212.43542</v>
      </c>
      <c r="Y392" s="104">
        <v>46211.783550520835</v>
      </c>
      <c r="Z392" s="105" t="s">
        <v>14</v>
      </c>
      <c r="AA392" s="111">
        <f t="shared" si="4"/>
        <v>0</v>
      </c>
      <c r="AB392" s="110" t="str">
        <f t="shared" si="5"/>
        <v>EMP0042 HULESHWAR KUMAR SAHU</v>
      </c>
      <c r="AC392" s="103">
        <f>if(X392,_xlfn.WORKDAY.INTL(X392,AC$7,"0000001",Holidays!A:A)+hour(X392)/24+MINUTE(X392)/1440,"")</f>
        <v>46213.43542</v>
      </c>
      <c r="AD392" s="104">
        <v>46211.7836025463</v>
      </c>
      <c r="AE392" s="105" t="s">
        <v>14</v>
      </c>
      <c r="AF392" s="111">
        <f t="shared" si="6"/>
        <v>0</v>
      </c>
      <c r="AG392" s="110" t="str">
        <f t="shared" si="7"/>
        <v>EMP0042 HULESHWAR KUMAR SAHU</v>
      </c>
      <c r="AH392" s="103">
        <f>if(AC392,if(and(hour(AC392+AH$7)&gt;9.5,(hour(AC392+AH$7)&lt;19.5)),AC392+AH$7,_xlfn.workday.intl(int(AC392),1,"0000001",Holidays!A:A)+hour(AC392+AH$7-$B$1)/24+minute(AC392)/1440),"")</f>
        <v>46213.47708</v>
      </c>
      <c r="AI392" s="104">
        <v>46212.74445042824</v>
      </c>
      <c r="AJ392" s="105" t="s">
        <v>14</v>
      </c>
      <c r="AK392" s="111">
        <f t="shared" si="8"/>
        <v>0</v>
      </c>
      <c r="AL392" s="112" t="str">
        <f t="shared" si="9"/>
        <v>EMP0042 HULESHWAR KUMAR SAHU</v>
      </c>
      <c r="AM392" s="113"/>
      <c r="AN392" s="114" t="s">
        <v>672</v>
      </c>
      <c r="AO392" s="115"/>
      <c r="AP392" s="115"/>
      <c r="AQ392" s="115"/>
      <c r="AR392" s="115"/>
      <c r="AS392" s="115"/>
      <c r="AT392" s="115"/>
      <c r="AU392" s="115"/>
      <c r="AV392" s="115"/>
      <c r="AW392" s="115"/>
      <c r="AX392" s="115"/>
      <c r="AY392" s="115"/>
    </row>
    <row r="393">
      <c r="A393" s="95">
        <f t="shared" si="11"/>
        <v>5344</v>
      </c>
      <c r="B393" s="96">
        <v>46211.726355300925</v>
      </c>
      <c r="C393" s="97" t="s">
        <v>1609</v>
      </c>
      <c r="D393" s="97" t="s">
        <v>133</v>
      </c>
      <c r="E393" s="98" t="s">
        <v>2171</v>
      </c>
      <c r="F393" s="97"/>
      <c r="G393" s="97" t="s">
        <v>2172</v>
      </c>
      <c r="H393" s="99" t="s">
        <v>138</v>
      </c>
      <c r="I393" s="100" t="s">
        <v>237</v>
      </c>
      <c r="J393" s="101" t="s">
        <v>132</v>
      </c>
      <c r="K393" s="100"/>
      <c r="L393" s="102" t="s">
        <v>2173</v>
      </c>
      <c r="M393" s="103">
        <f>if(B393,if(and(hour(B393+M$7)&gt;9.5,(hour(B393+M$7)&lt;19.5)),B393+M$7,_xlfn.workday.intl(int(B393),1,"0000001",Holidays!A:A)+hour(B393+M$7-$B$1)/24+minute(B393)/1440),"")</f>
        <v>46212.47569</v>
      </c>
      <c r="N393" s="104">
        <v>46211.72734082176</v>
      </c>
      <c r="O393" s="105" t="s">
        <v>14</v>
      </c>
      <c r="P393" s="106">
        <f t="shared" si="1"/>
        <v>0</v>
      </c>
      <c r="Q393" s="107" t="s">
        <v>61</v>
      </c>
      <c r="R393" s="108" t="s">
        <v>434</v>
      </c>
      <c r="S393" s="103">
        <f>if(M393,if(and(hour(M393+S$7)&gt;9.5,(hour(M393+S$7)&lt;19.5)),M393+S$7,_xlfn.workday.intl(int(M393),1,"0000001",Holidays!A:A)+hour(M393+S$7-$B$1)/24+minute(M393)/1440),"")</f>
        <v>46212.48264</v>
      </c>
      <c r="T393" s="104">
        <v>46211.727420613424</v>
      </c>
      <c r="U393" s="105" t="s">
        <v>14</v>
      </c>
      <c r="V393" s="109">
        <f t="shared" si="2"/>
        <v>0</v>
      </c>
      <c r="W393" s="110" t="str">
        <f t="shared" si="3"/>
        <v>EMP0021 Tamanna Dewangan</v>
      </c>
      <c r="X393" s="103">
        <f>if(S393,if(and(hour(S393+X$7)&gt;9.5,(hour(S393+X$7)&lt;19.5)),S393+X$7,_xlfn.workday.intl(int(S393),1,"0000001",Holidays!A:A)+hour(S393+X$7-$B$1)/24+minute(S393)/1440),"")</f>
        <v>46212.58681</v>
      </c>
      <c r="Y393" s="104">
        <v>46211.72746217593</v>
      </c>
      <c r="Z393" s="105" t="s">
        <v>14</v>
      </c>
      <c r="AA393" s="111">
        <f t="shared" si="4"/>
        <v>0</v>
      </c>
      <c r="AB393" s="110" t="str">
        <f t="shared" si="5"/>
        <v>EMP0021 Tamanna Dewangan</v>
      </c>
      <c r="AC393" s="103">
        <f>if(X393,_xlfn.WORKDAY.INTL(X393,AC$7,"0000001",Holidays!A:A)+hour(X393)/24+MINUTE(X393)/1440,"")</f>
        <v>46213.58681</v>
      </c>
      <c r="AD393" s="104">
        <v>46213.52396990741</v>
      </c>
      <c r="AE393" s="105" t="s">
        <v>14</v>
      </c>
      <c r="AF393" s="111">
        <f t="shared" si="6"/>
        <v>0</v>
      </c>
      <c r="AG393" s="110" t="str">
        <f t="shared" si="7"/>
        <v>EMP0021 Tamanna Dewangan</v>
      </c>
      <c r="AH393" s="103">
        <f>if(AC393,if(and(hour(AC393+AH$7)&gt;9.5,(hour(AC393+AH$7)&lt;19.5)),AC393+AH$7,_xlfn.workday.intl(int(AC393),1,"0000001",Holidays!A:A)+hour(AC393+AH$7-$B$1)/24+minute(AC393)/1440),"")</f>
        <v>46213.62847</v>
      </c>
      <c r="AI393" s="104">
        <v>46213.56623842593</v>
      </c>
      <c r="AJ393" s="105" t="s">
        <v>14</v>
      </c>
      <c r="AK393" s="111">
        <f t="shared" si="8"/>
        <v>0</v>
      </c>
      <c r="AL393" s="112" t="str">
        <f t="shared" si="9"/>
        <v>EMP0021 Tamanna Dewangan</v>
      </c>
      <c r="AM393" s="113"/>
      <c r="AN393" s="114" t="s">
        <v>672</v>
      </c>
      <c r="AO393" s="115"/>
      <c r="AP393" s="115"/>
      <c r="AQ393" s="115"/>
      <c r="AR393" s="115"/>
      <c r="AS393" s="115"/>
      <c r="AT393" s="115"/>
      <c r="AU393" s="115"/>
      <c r="AV393" s="115"/>
      <c r="AW393" s="115"/>
      <c r="AX393" s="115"/>
      <c r="AY393" s="115"/>
    </row>
    <row r="394">
      <c r="A394" s="95">
        <f t="shared" si="11"/>
        <v>5345</v>
      </c>
      <c r="B394" s="96">
        <v>46211.73540319444</v>
      </c>
      <c r="C394" s="97" t="s">
        <v>1612</v>
      </c>
      <c r="D394" s="97" t="s">
        <v>2024</v>
      </c>
      <c r="E394" s="98" t="s">
        <v>2174</v>
      </c>
      <c r="F394" s="97"/>
      <c r="G394" s="97" t="s">
        <v>390</v>
      </c>
      <c r="H394" s="99" t="s">
        <v>138</v>
      </c>
      <c r="I394" s="100" t="s">
        <v>237</v>
      </c>
      <c r="J394" s="101" t="s">
        <v>2023</v>
      </c>
      <c r="K394" s="100"/>
      <c r="L394" s="102" t="s">
        <v>2175</v>
      </c>
      <c r="M394" s="103">
        <f>if(B394,if(and(hour(B394+M$7)&gt;9.5,(hour(B394+M$7)&lt;19.5)),B394+M$7,_xlfn.workday.intl(int(B394),1,"0000001",Holidays!A:A)+hour(B394+M$7-$B$1)/24+minute(B394)/1440),"")</f>
        <v>46212.48472</v>
      </c>
      <c r="N394" s="104">
        <v>46211.73889502315</v>
      </c>
      <c r="O394" s="105" t="s">
        <v>14</v>
      </c>
      <c r="P394" s="106">
        <f t="shared" si="1"/>
        <v>0</v>
      </c>
      <c r="Q394" s="107" t="s">
        <v>61</v>
      </c>
      <c r="R394" s="108" t="s">
        <v>434</v>
      </c>
      <c r="S394" s="103">
        <f>if(M394,if(and(hour(M394+S$7)&gt;9.5,(hour(M394+S$7)&lt;19.5)),M394+S$7,_xlfn.workday.intl(int(M394),1,"0000001",Holidays!A:A)+hour(M394+S$7-$B$1)/24+minute(M394)/1440),"")</f>
        <v>46212.49167</v>
      </c>
      <c r="T394" s="104">
        <v>46211.73906408565</v>
      </c>
      <c r="U394" s="105" t="s">
        <v>14</v>
      </c>
      <c r="V394" s="109">
        <f t="shared" si="2"/>
        <v>0</v>
      </c>
      <c r="W394" s="110" t="str">
        <f t="shared" si="3"/>
        <v>EMP0021 Tamanna Dewangan</v>
      </c>
      <c r="X394" s="103">
        <f>if(S394,if(and(hour(S394+X$7)&gt;9.5,(hour(S394+X$7)&lt;19.5)),S394+X$7,_xlfn.workday.intl(int(S394),1,"0000001",Holidays!A:A)+hour(S394+X$7-$B$1)/24+minute(S394)/1440),"")</f>
        <v>46212.59583</v>
      </c>
      <c r="Y394" s="104">
        <v>46211.73922956019</v>
      </c>
      <c r="Z394" s="105" t="s">
        <v>14</v>
      </c>
      <c r="AA394" s="111">
        <f t="shared" si="4"/>
        <v>0</v>
      </c>
      <c r="AB394" s="110" t="str">
        <f t="shared" si="5"/>
        <v>EMP0021 Tamanna Dewangan</v>
      </c>
      <c r="AC394" s="103">
        <f>if(X394,_xlfn.WORKDAY.INTL(X394,AC$7,"0000001",Holidays!A:A)+hour(X394)/24+MINUTE(X394)/1440,"")</f>
        <v>46213.59583</v>
      </c>
      <c r="AD394" s="104">
        <v>46213.523993055554</v>
      </c>
      <c r="AE394" s="105" t="s">
        <v>14</v>
      </c>
      <c r="AF394" s="111">
        <f t="shared" si="6"/>
        <v>0</v>
      </c>
      <c r="AG394" s="110" t="str">
        <f t="shared" si="7"/>
        <v>EMP0021 Tamanna Dewangan</v>
      </c>
      <c r="AH394" s="103">
        <f>if(AC394,if(and(hour(AC394+AH$7)&gt;9.5,(hour(AC394+AH$7)&lt;19.5)),AC394+AH$7,_xlfn.workday.intl(int(AC394),1,"0000001",Holidays!A:A)+hour(AC394+AH$7-$B$1)/24+minute(AC394)/1440),"")</f>
        <v>46213.6375</v>
      </c>
      <c r="AI394" s="104">
        <v>46213.56626157407</v>
      </c>
      <c r="AJ394" s="105" t="s">
        <v>14</v>
      </c>
      <c r="AK394" s="111">
        <f t="shared" si="8"/>
        <v>0</v>
      </c>
      <c r="AL394" s="112" t="str">
        <f t="shared" si="9"/>
        <v>EMP0021 Tamanna Dewangan</v>
      </c>
      <c r="AM394" s="113"/>
      <c r="AN394" s="114" t="s">
        <v>672</v>
      </c>
      <c r="AO394" s="115"/>
      <c r="AP394" s="115"/>
      <c r="AQ394" s="115"/>
      <c r="AR394" s="115"/>
      <c r="AS394" s="115"/>
      <c r="AT394" s="115"/>
      <c r="AU394" s="115"/>
      <c r="AV394" s="115"/>
      <c r="AW394" s="115"/>
      <c r="AX394" s="115"/>
      <c r="AY394" s="115"/>
    </row>
    <row r="395">
      <c r="A395" s="95">
        <f t="shared" si="11"/>
        <v>5346</v>
      </c>
      <c r="B395" s="96">
        <v>46211.737176689814</v>
      </c>
      <c r="C395" s="97" t="s">
        <v>1616</v>
      </c>
      <c r="D395" s="97" t="s">
        <v>2023</v>
      </c>
      <c r="E395" s="98" t="s">
        <v>2176</v>
      </c>
      <c r="F395" s="97"/>
      <c r="G395" s="97" t="s">
        <v>2177</v>
      </c>
      <c r="H395" s="99" t="s">
        <v>138</v>
      </c>
      <c r="I395" s="100" t="s">
        <v>237</v>
      </c>
      <c r="J395" s="101" t="s">
        <v>2024</v>
      </c>
      <c r="K395" s="100"/>
      <c r="L395" s="102" t="s">
        <v>2178</v>
      </c>
      <c r="M395" s="103">
        <f>if(B395,if(and(hour(B395+M$7)&gt;9.5,(hour(B395+M$7)&lt;19.5)),B395+M$7,_xlfn.workday.intl(int(B395),1,"0000001",Holidays!A:A)+hour(B395+M$7-$B$1)/24+minute(B395)/1440),"")</f>
        <v>46212.48681</v>
      </c>
      <c r="N395" s="104">
        <v>46211.738941550924</v>
      </c>
      <c r="O395" s="105" t="s">
        <v>14</v>
      </c>
      <c r="P395" s="106">
        <f t="shared" si="1"/>
        <v>0</v>
      </c>
      <c r="Q395" s="107" t="s">
        <v>61</v>
      </c>
      <c r="R395" s="108" t="s">
        <v>434</v>
      </c>
      <c r="S395" s="103">
        <f>if(M395,if(and(hour(M395+S$7)&gt;9.5,(hour(M395+S$7)&lt;19.5)),M395+S$7,_xlfn.workday.intl(int(M395),1,"0000001",Holidays!A:A)+hour(M395+S$7-$B$1)/24+minute(M395)/1440),"")</f>
        <v>46212.49375</v>
      </c>
      <c r="T395" s="104">
        <v>46211.73908403935</v>
      </c>
      <c r="U395" s="105" t="s">
        <v>14</v>
      </c>
      <c r="V395" s="109">
        <f t="shared" si="2"/>
        <v>0</v>
      </c>
      <c r="W395" s="110" t="str">
        <f t="shared" si="3"/>
        <v>EMP0021 Tamanna Dewangan</v>
      </c>
      <c r="X395" s="103">
        <f>if(S395,if(and(hour(S395+X$7)&gt;9.5,(hour(S395+X$7)&lt;19.5)),S395+X$7,_xlfn.workday.intl(int(S395),1,"0000001",Holidays!A:A)+hour(S395+X$7-$B$1)/24+minute(S395)/1440),"")</f>
        <v>46212.59792</v>
      </c>
      <c r="Y395" s="104">
        <v>46211.73920621528</v>
      </c>
      <c r="Z395" s="105" t="s">
        <v>14</v>
      </c>
      <c r="AA395" s="111">
        <f t="shared" si="4"/>
        <v>0</v>
      </c>
      <c r="AB395" s="110" t="str">
        <f t="shared" si="5"/>
        <v>EMP0021 Tamanna Dewangan</v>
      </c>
      <c r="AC395" s="103">
        <f>if(X395,_xlfn.WORKDAY.INTL(X395,AC$7,"0000001",Holidays!A:A)+hour(X395)/24+MINUTE(X395)/1440,"")</f>
        <v>46213.59792</v>
      </c>
      <c r="AD395" s="104">
        <v>46213.52402777778</v>
      </c>
      <c r="AE395" s="105" t="s">
        <v>14</v>
      </c>
      <c r="AF395" s="111">
        <f t="shared" si="6"/>
        <v>0</v>
      </c>
      <c r="AG395" s="110" t="str">
        <f t="shared" si="7"/>
        <v>EMP0021 Tamanna Dewangan</v>
      </c>
      <c r="AH395" s="103">
        <f>if(AC395,if(and(hour(AC395+AH$7)&gt;9.5,(hour(AC395+AH$7)&lt;19.5)),AC395+AH$7,_xlfn.workday.intl(int(AC395),1,"0000001",Holidays!A:A)+hour(AC395+AH$7-$B$1)/24+minute(AC395)/1440),"")</f>
        <v>46213.63958</v>
      </c>
      <c r="AI395" s="104">
        <v>46213.56627314815</v>
      </c>
      <c r="AJ395" s="105" t="s">
        <v>14</v>
      </c>
      <c r="AK395" s="111">
        <f t="shared" si="8"/>
        <v>0</v>
      </c>
      <c r="AL395" s="112" t="str">
        <f t="shared" si="9"/>
        <v>EMP0021 Tamanna Dewangan</v>
      </c>
      <c r="AM395" s="113"/>
      <c r="AN395" s="114" t="s">
        <v>672</v>
      </c>
      <c r="AO395" s="115"/>
      <c r="AP395" s="115"/>
      <c r="AQ395" s="115"/>
      <c r="AR395" s="115"/>
      <c r="AS395" s="115"/>
      <c r="AT395" s="115"/>
      <c r="AU395" s="115"/>
      <c r="AV395" s="115"/>
      <c r="AW395" s="115"/>
      <c r="AX395" s="115"/>
      <c r="AY395" s="115"/>
    </row>
    <row r="396">
      <c r="A396" s="95">
        <f t="shared" si="11"/>
        <v>5347</v>
      </c>
      <c r="B396" s="96">
        <v>46211.73860408565</v>
      </c>
      <c r="C396" s="97" t="s">
        <v>1444</v>
      </c>
      <c r="D396" s="97" t="s">
        <v>2024</v>
      </c>
      <c r="E396" s="98" t="s">
        <v>2179</v>
      </c>
      <c r="F396" s="97"/>
      <c r="G396" s="97" t="s">
        <v>2177</v>
      </c>
      <c r="H396" s="99" t="s">
        <v>138</v>
      </c>
      <c r="I396" s="100" t="s">
        <v>237</v>
      </c>
      <c r="J396" s="101" t="s">
        <v>2023</v>
      </c>
      <c r="K396" s="100"/>
      <c r="L396" s="102" t="s">
        <v>2178</v>
      </c>
      <c r="M396" s="103">
        <f>if(B396,if(and(hour(B396+M$7)&gt;9.5,(hour(B396+M$7)&lt;19.5)),B396+M$7,_xlfn.workday.intl(int(B396),1,"0000001",Holidays!A:A)+hour(B396+M$7-$B$1)/24+minute(B396)/1440),"")</f>
        <v>46212.48819</v>
      </c>
      <c r="N396" s="104">
        <v>46211.73901449074</v>
      </c>
      <c r="O396" s="105" t="s">
        <v>14</v>
      </c>
      <c r="P396" s="106">
        <f t="shared" si="1"/>
        <v>0</v>
      </c>
      <c r="Q396" s="107" t="s">
        <v>61</v>
      </c>
      <c r="R396" s="108" t="s">
        <v>434</v>
      </c>
      <c r="S396" s="103">
        <f>if(M396,if(and(hour(M396+S$7)&gt;9.5,(hour(M396+S$7)&lt;19.5)),M396+S$7,_xlfn.workday.intl(int(M396),1,"0000001",Holidays!A:A)+hour(M396+S$7-$B$1)/24+minute(M396)/1440),"")</f>
        <v>46212.49514</v>
      </c>
      <c r="T396" s="104">
        <v>46211.73910938657</v>
      </c>
      <c r="U396" s="105" t="s">
        <v>14</v>
      </c>
      <c r="V396" s="109">
        <f t="shared" si="2"/>
        <v>0</v>
      </c>
      <c r="W396" s="110" t="str">
        <f t="shared" si="3"/>
        <v>EMP0021 Tamanna Dewangan</v>
      </c>
      <c r="X396" s="103">
        <f>if(S396,if(and(hour(S396+X$7)&gt;9.5,(hour(S396+X$7)&lt;19.5)),S396+X$7,_xlfn.workday.intl(int(S396),1,"0000001",Holidays!A:A)+hour(S396+X$7-$B$1)/24+minute(S396)/1440),"")</f>
        <v>46212.59931</v>
      </c>
      <c r="Y396" s="104">
        <v>46211.73918480324</v>
      </c>
      <c r="Z396" s="105" t="s">
        <v>14</v>
      </c>
      <c r="AA396" s="111">
        <f t="shared" si="4"/>
        <v>0</v>
      </c>
      <c r="AB396" s="110" t="str">
        <f t="shared" si="5"/>
        <v>EMP0021 Tamanna Dewangan</v>
      </c>
      <c r="AC396" s="103">
        <f>if(X396,_xlfn.WORKDAY.INTL(X396,AC$7,"0000001",Holidays!A:A)+hour(X396)/24+MINUTE(X396)/1440,"")</f>
        <v>46213.59931</v>
      </c>
      <c r="AD396" s="104">
        <v>46213.524976851855</v>
      </c>
      <c r="AE396" s="105" t="s">
        <v>14</v>
      </c>
      <c r="AF396" s="111">
        <f t="shared" si="6"/>
        <v>0</v>
      </c>
      <c r="AG396" s="110" t="str">
        <f t="shared" si="7"/>
        <v>EMP0021 Tamanna Dewangan</v>
      </c>
      <c r="AH396" s="103">
        <f>if(AC396,if(and(hour(AC396+AH$7)&gt;9.5,(hour(AC396+AH$7)&lt;19.5)),AC396+AH$7,_xlfn.workday.intl(int(AC396),1,"0000001",Holidays!A:A)+hour(AC396+AH$7-$B$1)/24+minute(AC396)/1440),"")</f>
        <v>46213.64097</v>
      </c>
      <c r="AI396" s="104">
        <v>46213.567025462966</v>
      </c>
      <c r="AJ396" s="105" t="s">
        <v>14</v>
      </c>
      <c r="AK396" s="111">
        <f t="shared" si="8"/>
        <v>0</v>
      </c>
      <c r="AL396" s="112" t="str">
        <f t="shared" si="9"/>
        <v>EMP0021 Tamanna Dewangan</v>
      </c>
      <c r="AM396" s="113"/>
      <c r="AN396" s="114" t="s">
        <v>672</v>
      </c>
      <c r="AO396" s="115"/>
      <c r="AP396" s="115"/>
      <c r="AQ396" s="115"/>
      <c r="AR396" s="115"/>
      <c r="AS396" s="115"/>
      <c r="AT396" s="115"/>
      <c r="AU396" s="115"/>
      <c r="AV396" s="115"/>
      <c r="AW396" s="115"/>
      <c r="AX396" s="115"/>
      <c r="AY396" s="115"/>
    </row>
    <row r="397">
      <c r="A397" s="95">
        <f t="shared" si="11"/>
        <v>5348</v>
      </c>
      <c r="B397" s="96">
        <v>46212.43121219907</v>
      </c>
      <c r="C397" s="97" t="s">
        <v>1622</v>
      </c>
      <c r="D397" s="97" t="s">
        <v>2105</v>
      </c>
      <c r="E397" s="98" t="s">
        <v>2180</v>
      </c>
      <c r="F397" s="97"/>
      <c r="G397" s="97" t="s">
        <v>1622</v>
      </c>
      <c r="H397" s="99" t="s">
        <v>62</v>
      </c>
      <c r="I397" s="100" t="s">
        <v>64</v>
      </c>
      <c r="J397" s="101" t="s">
        <v>67</v>
      </c>
      <c r="K397" s="100"/>
      <c r="L397" s="102" t="s">
        <v>1622</v>
      </c>
      <c r="M397" s="103">
        <f>if(B397,if(and(hour(B397+M$7)&gt;9.5,(hour(B397+M$7)&lt;19.5)),B397+M$7,_xlfn.workday.intl(int(B397),1,"0000001",Holidays!A:A)+hour(B397+M$7-$B$1)/24+minute(B397)/1440),"")</f>
        <v>46212.59788</v>
      </c>
      <c r="N397" s="104">
        <v>46212.44942355324</v>
      </c>
      <c r="O397" s="105" t="s">
        <v>14</v>
      </c>
      <c r="P397" s="106">
        <f t="shared" si="1"/>
        <v>0</v>
      </c>
      <c r="Q397" s="107" t="s">
        <v>15</v>
      </c>
      <c r="R397" s="108" t="s">
        <v>434</v>
      </c>
      <c r="S397" s="103">
        <f>if(M397,if(and(hour(M397+S$7)&gt;9.5,(hour(M397+S$7)&lt;19.5)),M397+S$7,_xlfn.workday.intl(int(M397),1,"0000001",Holidays!A:A)+hour(M397+S$7-$B$1)/24+minute(M397)/1440),"")</f>
        <v>46212.60482</v>
      </c>
      <c r="T397" s="104">
        <v>46212.449615034726</v>
      </c>
      <c r="U397" s="105" t="s">
        <v>14</v>
      </c>
      <c r="V397" s="109">
        <f t="shared" si="2"/>
        <v>0</v>
      </c>
      <c r="W397" s="110" t="str">
        <f t="shared" si="3"/>
        <v>EMP0042 HULESHWAR KUMAR SAHU</v>
      </c>
      <c r="X397" s="103">
        <f>if(S397,if(and(hour(S397+X$7)&gt;9.5,(hour(S397+X$7)&lt;19.5)),S397+X$7,_xlfn.workday.intl(int(S397),1,"0000001",Holidays!A:A)+hour(S397+X$7-$B$1)/24+minute(S397)/1440),"")</f>
        <v>46212.70899</v>
      </c>
      <c r="Y397" s="104">
        <v>46212.44973931713</v>
      </c>
      <c r="Z397" s="105" t="s">
        <v>14</v>
      </c>
      <c r="AA397" s="111">
        <f t="shared" si="4"/>
        <v>0</v>
      </c>
      <c r="AB397" s="110" t="str">
        <f t="shared" si="5"/>
        <v>EMP0042 HULESHWAR KUMAR SAHU</v>
      </c>
      <c r="AC397" s="103">
        <f>if(X397,_xlfn.WORKDAY.INTL(X397,AC$7,"0000001",Holidays!A:A)+hour(X397)/24+MINUTE(X397)/1440,"")</f>
        <v>46213.70833</v>
      </c>
      <c r="AD397" s="104">
        <v>46212.78586239583</v>
      </c>
      <c r="AE397" s="105" t="s">
        <v>14</v>
      </c>
      <c r="AF397" s="111">
        <f t="shared" si="6"/>
        <v>0</v>
      </c>
      <c r="AG397" s="110" t="str">
        <f t="shared" si="7"/>
        <v>EMP0042 HULESHWAR KUMAR SAHU</v>
      </c>
      <c r="AH397" s="103">
        <f>if(AC397,if(and(hour(AC397+AH$7)&gt;9.5,(hour(AC397+AH$7)&lt;19.5)),AC397+AH$7,_xlfn.workday.intl(int(AC397),1,"0000001",Holidays!A:A)+hour(AC397+AH$7-$B$1)/24+minute(AC397)/1440),"")</f>
        <v>46213.75</v>
      </c>
      <c r="AI397" s="104">
        <v>46212.78592055556</v>
      </c>
      <c r="AJ397" s="105" t="s">
        <v>14</v>
      </c>
      <c r="AK397" s="111">
        <f t="shared" si="8"/>
        <v>0</v>
      </c>
      <c r="AL397" s="112" t="str">
        <f t="shared" si="9"/>
        <v>EMP0042 HULESHWAR KUMAR SAHU</v>
      </c>
      <c r="AM397" s="113"/>
      <c r="AN397" s="114" t="s">
        <v>672</v>
      </c>
      <c r="AO397" s="115"/>
      <c r="AP397" s="115"/>
      <c r="AQ397" s="115"/>
      <c r="AR397" s="115"/>
      <c r="AS397" s="115"/>
      <c r="AT397" s="115"/>
      <c r="AU397" s="115"/>
      <c r="AV397" s="115"/>
      <c r="AW397" s="115"/>
      <c r="AX397" s="115"/>
      <c r="AY397" s="115"/>
    </row>
    <row r="398">
      <c r="A398" s="95">
        <f t="shared" si="11"/>
        <v>5349</v>
      </c>
      <c r="B398" s="96">
        <v>46212.434153888884</v>
      </c>
      <c r="C398" s="97" t="s">
        <v>1626</v>
      </c>
      <c r="D398" s="97" t="s">
        <v>142</v>
      </c>
      <c r="E398" s="98" t="s">
        <v>2181</v>
      </c>
      <c r="F398" s="97"/>
      <c r="G398" s="97" t="s">
        <v>1626</v>
      </c>
      <c r="H398" s="99" t="s">
        <v>62</v>
      </c>
      <c r="I398" s="100" t="s">
        <v>64</v>
      </c>
      <c r="J398" s="101" t="s">
        <v>67</v>
      </c>
      <c r="K398" s="100"/>
      <c r="L398" s="102" t="s">
        <v>1626</v>
      </c>
      <c r="M398" s="103">
        <f>if(B398,if(and(hour(B398+M$7)&gt;9.5,(hour(B398+M$7)&lt;19.5)),B398+M$7,_xlfn.workday.intl(int(B398),1,"0000001",Holidays!A:A)+hour(B398+M$7-$B$1)/24+minute(B398)/1440),"")</f>
        <v>46212.60082</v>
      </c>
      <c r="N398" s="104">
        <v>46212.449443668986</v>
      </c>
      <c r="O398" s="105" t="s">
        <v>14</v>
      </c>
      <c r="P398" s="106">
        <f t="shared" si="1"/>
        <v>0</v>
      </c>
      <c r="Q398" s="107" t="s">
        <v>72</v>
      </c>
      <c r="R398" s="108" t="s">
        <v>434</v>
      </c>
      <c r="S398" s="103">
        <f>if(M398,if(and(hour(M398+S$7)&gt;9.5,(hour(M398+S$7)&lt;19.5)),M398+S$7,_xlfn.workday.intl(int(M398),1,"0000001",Holidays!A:A)+hour(M398+S$7-$B$1)/24+minute(M398)/1440),"")</f>
        <v>46212.60777</v>
      </c>
      <c r="T398" s="104">
        <v>46212.44963038195</v>
      </c>
      <c r="U398" s="105" t="s">
        <v>14</v>
      </c>
      <c r="V398" s="109">
        <f t="shared" si="2"/>
        <v>0</v>
      </c>
      <c r="W398" s="110" t="str">
        <f t="shared" si="3"/>
        <v>EMP5009 Rup Kumar Mandal</v>
      </c>
      <c r="X398" s="103">
        <f>if(S398,if(and(hour(S398+X$7)&gt;9.5,(hour(S398+X$7)&lt;19.5)),S398+X$7,_xlfn.workday.intl(int(S398),1,"0000001",Holidays!A:A)+hour(S398+X$7-$B$1)/24+minute(S398)/1440),"")</f>
        <v>46212.71193</v>
      </c>
      <c r="Y398" s="104">
        <v>46212.449747708335</v>
      </c>
      <c r="Z398" s="105" t="s">
        <v>14</v>
      </c>
      <c r="AA398" s="111">
        <f t="shared" si="4"/>
        <v>0</v>
      </c>
      <c r="AB398" s="110" t="str">
        <f t="shared" si="5"/>
        <v>EMP5009 Rup Kumar Mandal</v>
      </c>
      <c r="AC398" s="103">
        <f>if(X398,_xlfn.WORKDAY.INTL(X398,AC$7,"0000001",Holidays!A:A)+hour(X398)/24+MINUTE(X398)/1440,"")</f>
        <v>46213.71181</v>
      </c>
      <c r="AD398" s="104">
        <v>46212.57450534722</v>
      </c>
      <c r="AE398" s="105" t="s">
        <v>14</v>
      </c>
      <c r="AF398" s="111">
        <f t="shared" si="6"/>
        <v>0</v>
      </c>
      <c r="AG398" s="110" t="str">
        <f t="shared" si="7"/>
        <v>EMP5009 Rup Kumar Mandal</v>
      </c>
      <c r="AH398" s="103">
        <f>if(AC398,if(and(hour(AC398+AH$7)&gt;9.5,(hour(AC398+AH$7)&lt;19.5)),AC398+AH$7,_xlfn.workday.intl(int(AC398),1,"0000001",Holidays!A:A)+hour(AC398+AH$7-$B$1)/24+minute(AC398)/1440),"")</f>
        <v>46213.75347</v>
      </c>
      <c r="AI398" s="104">
        <v>46212.574551875005</v>
      </c>
      <c r="AJ398" s="105" t="s">
        <v>14</v>
      </c>
      <c r="AK398" s="111">
        <f t="shared" si="8"/>
        <v>0</v>
      </c>
      <c r="AL398" s="112" t="str">
        <f t="shared" si="9"/>
        <v>EMP5009 Rup Kumar Mandal</v>
      </c>
      <c r="AM398" s="113"/>
      <c r="AN398" s="114" t="s">
        <v>672</v>
      </c>
      <c r="AO398" s="115"/>
      <c r="AP398" s="115"/>
      <c r="AQ398" s="115"/>
      <c r="AR398" s="115"/>
      <c r="AS398" s="115"/>
      <c r="AT398" s="115"/>
      <c r="AU398" s="115"/>
      <c r="AV398" s="115"/>
      <c r="AW398" s="115"/>
      <c r="AX398" s="115"/>
      <c r="AY398" s="115"/>
    </row>
    <row r="399">
      <c r="A399" s="95">
        <f t="shared" si="11"/>
        <v>5350</v>
      </c>
      <c r="B399" s="96">
        <v>46212.44502212963</v>
      </c>
      <c r="C399" s="97" t="s">
        <v>1630</v>
      </c>
      <c r="D399" s="97" t="s">
        <v>186</v>
      </c>
      <c r="E399" s="98" t="s">
        <v>2182</v>
      </c>
      <c r="F399" s="97"/>
      <c r="G399" s="97" t="s">
        <v>2183</v>
      </c>
      <c r="H399" s="99" t="s">
        <v>147</v>
      </c>
      <c r="I399" s="100" t="s">
        <v>64</v>
      </c>
      <c r="J399" s="101" t="s">
        <v>303</v>
      </c>
      <c r="K399" s="100"/>
      <c r="L399" s="102" t="s">
        <v>2184</v>
      </c>
      <c r="M399" s="103">
        <f>if(B399,if(and(hour(B399+M$7)&gt;9.5,(hour(B399+M$7)&lt;19.5)),B399+M$7,_xlfn.workday.intl(int(B399),1,"0000001",Holidays!A:A)+hour(B399+M$7-$B$1)/24+minute(B399)/1440),"")</f>
        <v>46212.61169</v>
      </c>
      <c r="N399" s="104">
        <v>46212.44946717593</v>
      </c>
      <c r="O399" s="105" t="s">
        <v>14</v>
      </c>
      <c r="P399" s="106">
        <f t="shared" si="1"/>
        <v>0</v>
      </c>
      <c r="Q399" s="107" t="s">
        <v>15</v>
      </c>
      <c r="R399" s="108" t="s">
        <v>434</v>
      </c>
      <c r="S399" s="103">
        <f>if(M399,if(and(hour(M399+S$7)&gt;9.5,(hour(M399+S$7)&lt;19.5)),M399+S$7,_xlfn.workday.intl(int(M399),1,"0000001",Holidays!A:A)+hour(M399+S$7-$B$1)/24+minute(M399)/1440),"")</f>
        <v>46212.61863</v>
      </c>
      <c r="T399" s="104">
        <v>46212.44964918982</v>
      </c>
      <c r="U399" s="105" t="s">
        <v>14</v>
      </c>
      <c r="V399" s="109">
        <f t="shared" si="2"/>
        <v>0</v>
      </c>
      <c r="W399" s="110" t="str">
        <f t="shared" si="3"/>
        <v>EMP0042 HULESHWAR KUMAR SAHU</v>
      </c>
      <c r="X399" s="103">
        <f>if(S399,if(and(hour(S399+X$7)&gt;9.5,(hour(S399+X$7)&lt;19.5)),S399+X$7,_xlfn.workday.intl(int(S399),1,"0000001",Holidays!A:A)+hour(S399+X$7-$B$1)/24+minute(S399)/1440),"")</f>
        <v>46212.7228</v>
      </c>
      <c r="Y399" s="104">
        <v>46212.44976783565</v>
      </c>
      <c r="Z399" s="105" t="s">
        <v>14</v>
      </c>
      <c r="AA399" s="111">
        <f t="shared" si="4"/>
        <v>0</v>
      </c>
      <c r="AB399" s="110" t="str">
        <f t="shared" si="5"/>
        <v>EMP0042 HULESHWAR KUMAR SAHU</v>
      </c>
      <c r="AC399" s="103">
        <f>if(X399,_xlfn.WORKDAY.INTL(X399,AC$7,"0000001",Holidays!A:A)+hour(X399)/24+MINUTE(X399)/1440,"")</f>
        <v>46213.72222</v>
      </c>
      <c r="AD399" s="104">
        <v>46212.78571759259</v>
      </c>
      <c r="AE399" s="105" t="s">
        <v>14</v>
      </c>
      <c r="AF399" s="111">
        <f t="shared" si="6"/>
        <v>0</v>
      </c>
      <c r="AG399" s="110" t="str">
        <f t="shared" si="7"/>
        <v>EMP0042 HULESHWAR KUMAR SAHU</v>
      </c>
      <c r="AH399" s="103">
        <f>if(AC399,if(and(hour(AC399+AH$7)&gt;9.5,(hour(AC399+AH$7)&lt;19.5)),AC399+AH$7,_xlfn.workday.intl(int(AC399),1,"0000001",Holidays!A:A)+hour(AC399+AH$7-$B$1)/24+minute(AC399)/1440),"")</f>
        <v>46213.76389</v>
      </c>
      <c r="AI399" s="104">
        <v>46212.785790671296</v>
      </c>
      <c r="AJ399" s="105" t="s">
        <v>14</v>
      </c>
      <c r="AK399" s="111">
        <f t="shared" si="8"/>
        <v>0</v>
      </c>
      <c r="AL399" s="112" t="str">
        <f t="shared" si="9"/>
        <v>EMP0042 HULESHWAR KUMAR SAHU</v>
      </c>
      <c r="AM399" s="113"/>
      <c r="AN399" s="114" t="s">
        <v>672</v>
      </c>
      <c r="AO399" s="115"/>
      <c r="AP399" s="115"/>
      <c r="AQ399" s="115"/>
      <c r="AR399" s="115"/>
      <c r="AS399" s="115"/>
      <c r="AT399" s="115"/>
      <c r="AU399" s="115"/>
      <c r="AV399" s="115"/>
      <c r="AW399" s="115"/>
      <c r="AX399" s="115"/>
      <c r="AY399" s="115"/>
    </row>
    <row r="400">
      <c r="A400" s="95">
        <f t="shared" si="11"/>
        <v>5351</v>
      </c>
      <c r="B400" s="96">
        <v>46213.54063747685</v>
      </c>
      <c r="C400" s="97" t="s">
        <v>1634</v>
      </c>
      <c r="D400" s="97" t="s">
        <v>186</v>
      </c>
      <c r="E400" s="98" t="s">
        <v>2185</v>
      </c>
      <c r="F400" s="97"/>
      <c r="G400" s="97" t="s">
        <v>2186</v>
      </c>
      <c r="H400" s="99" t="s">
        <v>138</v>
      </c>
      <c r="I400" s="100" t="s">
        <v>64</v>
      </c>
      <c r="J400" s="101" t="s">
        <v>185</v>
      </c>
      <c r="K400" s="100"/>
      <c r="L400" s="102" t="s">
        <v>2187</v>
      </c>
      <c r="M400" s="103">
        <f>if(B400,if(and(hour(B400+M$7)&gt;9.5,(hour(B400+M$7)&lt;19.5)),B400+M$7,_xlfn.workday.intl(int(B400),1,"0000001",Holidays!A:A)+hour(B400+M$7-$B$1)/24+minute(B400)/1440),"")</f>
        <v>46213.7073</v>
      </c>
      <c r="N400" s="104">
        <v>46213.622243969905</v>
      </c>
      <c r="O400" s="105" t="s">
        <v>14</v>
      </c>
      <c r="P400" s="106">
        <f t="shared" si="1"/>
        <v>0</v>
      </c>
      <c r="Q400" s="107" t="s">
        <v>15</v>
      </c>
      <c r="R400" s="108" t="s">
        <v>434</v>
      </c>
      <c r="S400" s="103">
        <f>if(M400,if(and(hour(M400+S$7)&gt;9.5,(hour(M400+S$7)&lt;19.5)),M400+S$7,_xlfn.workday.intl(int(M400),1,"0000001",Holidays!A:A)+hour(M400+S$7-$B$1)/24+minute(M400)/1440),"")</f>
        <v>46213.71425</v>
      </c>
      <c r="T400" s="104">
        <v>46213.62241988426</v>
      </c>
      <c r="U400" s="105" t="s">
        <v>14</v>
      </c>
      <c r="V400" s="109">
        <f t="shared" si="2"/>
        <v>0</v>
      </c>
      <c r="W400" s="110" t="str">
        <f t="shared" si="3"/>
        <v>EMP0042 HULESHWAR KUMAR SAHU</v>
      </c>
      <c r="X400" s="103">
        <f>if(S400,if(and(hour(S400+X$7)&gt;9.5,(hour(S400+X$7)&lt;19.5)),S400+X$7,_xlfn.workday.intl(int(S400),1,"0000001",Holidays!A:A)+hour(S400+X$7-$B$1)/24+minute(S400)/1440),"")</f>
        <v>46213.81842</v>
      </c>
      <c r="Y400" s="104">
        <v>46213.64323987269</v>
      </c>
      <c r="Z400" s="105" t="s">
        <v>14</v>
      </c>
      <c r="AA400" s="111">
        <f t="shared" si="4"/>
        <v>0</v>
      </c>
      <c r="AB400" s="110" t="str">
        <f t="shared" si="5"/>
        <v>EMP0042 HULESHWAR KUMAR SAHU</v>
      </c>
      <c r="AC400" s="103">
        <f>if(X400,_xlfn.WORKDAY.INTL(X400,AC$7,"0000001",Holidays!A:A)+hour(X400)/24+MINUTE(X400)/1440,"")</f>
        <v>46214.81806</v>
      </c>
      <c r="AD400" s="104">
        <v>46213.64328048611</v>
      </c>
      <c r="AE400" s="105" t="s">
        <v>14</v>
      </c>
      <c r="AF400" s="111">
        <f t="shared" si="6"/>
        <v>0</v>
      </c>
      <c r="AG400" s="110" t="str">
        <f t="shared" si="7"/>
        <v>EMP0042 HULESHWAR KUMAR SAHU</v>
      </c>
      <c r="AH400" s="103">
        <f>if(AC400,if(and(hour(AC400+AH$7)&gt;9.5,(hour(AC400+AH$7)&lt;19.5)),AC400+AH$7,_xlfn.workday.intl(int(AC400),1,"0000001",Holidays!A:A)+hour(AC400+AH$7-$B$1)/24+minute(AC400)/1440),"")</f>
        <v>46216.44306</v>
      </c>
      <c r="AI400" s="104">
        <v>46213.64330206018</v>
      </c>
      <c r="AJ400" s="105" t="s">
        <v>14</v>
      </c>
      <c r="AK400" s="111">
        <f t="shared" si="8"/>
        <v>0</v>
      </c>
      <c r="AL400" s="112" t="str">
        <f t="shared" si="9"/>
        <v>EMP0042 HULESHWAR KUMAR SAHU</v>
      </c>
      <c r="AM400" s="113"/>
      <c r="AN400" s="114" t="s">
        <v>672</v>
      </c>
      <c r="AO400" s="115"/>
      <c r="AP400" s="115"/>
      <c r="AQ400" s="115"/>
      <c r="AR400" s="115"/>
      <c r="AS400" s="115"/>
      <c r="AT400" s="115"/>
      <c r="AU400" s="115"/>
      <c r="AV400" s="115"/>
      <c r="AW400" s="115"/>
      <c r="AX400" s="115"/>
      <c r="AY400" s="115"/>
    </row>
    <row r="401">
      <c r="A401" s="95">
        <f t="shared" si="11"/>
        <v>5352</v>
      </c>
      <c r="B401" s="96">
        <v>46213.57230541667</v>
      </c>
      <c r="C401" s="97" t="s">
        <v>410</v>
      </c>
      <c r="D401" s="97" t="s">
        <v>769</v>
      </c>
      <c r="E401" s="98" t="s">
        <v>2188</v>
      </c>
      <c r="F401" s="97"/>
      <c r="G401" s="97" t="s">
        <v>2189</v>
      </c>
      <c r="H401" s="99" t="s">
        <v>62</v>
      </c>
      <c r="I401" s="100" t="s">
        <v>64</v>
      </c>
      <c r="J401" s="101" t="s">
        <v>768</v>
      </c>
      <c r="K401" s="100"/>
      <c r="L401" s="102" t="s">
        <v>518</v>
      </c>
      <c r="M401" s="103">
        <f>if(B401,if(and(hour(B401+M$7)&gt;9.5,(hour(B401+M$7)&lt;19.5)),B401+M$7,_xlfn.workday.intl(int(B401),1,"0000001",Holidays!A:A)+hour(B401+M$7-$B$1)/24+minute(B401)/1440),"")</f>
        <v>46213.73897</v>
      </c>
      <c r="N401" s="104">
        <v>46213.62228123842</v>
      </c>
      <c r="O401" s="105" t="s">
        <v>14</v>
      </c>
      <c r="P401" s="106">
        <f t="shared" si="1"/>
        <v>0</v>
      </c>
      <c r="Q401" s="107" t="s">
        <v>72</v>
      </c>
      <c r="R401" s="108" t="s">
        <v>434</v>
      </c>
      <c r="S401" s="103">
        <f>if(M401,if(and(hour(M401+S$7)&gt;9.5,(hour(M401+S$7)&lt;19.5)),M401+S$7,_xlfn.workday.intl(int(M401),1,"0000001",Holidays!A:A)+hour(M401+S$7-$B$1)/24+minute(M401)/1440),"")</f>
        <v>46213.74592</v>
      </c>
      <c r="T401" s="104">
        <v>46213.622444085646</v>
      </c>
      <c r="U401" s="105" t="s">
        <v>14</v>
      </c>
      <c r="V401" s="109">
        <f t="shared" si="2"/>
        <v>0</v>
      </c>
      <c r="W401" s="110" t="str">
        <f t="shared" si="3"/>
        <v>EMP5009 Rup Kumar Mandal</v>
      </c>
      <c r="X401" s="103">
        <f>if(S401,if(and(hour(S401+X$7)&gt;9.5,(hour(S401+X$7)&lt;19.5)),S401+X$7,_xlfn.workday.intl(int(S401),1,"0000001",Holidays!A:A)+hour(S401+X$7-$B$1)/24+minute(S401)/1440),"")</f>
        <v>46214.45417</v>
      </c>
      <c r="Y401" s="104">
        <v>46213.64873564815</v>
      </c>
      <c r="Z401" s="105" t="s">
        <v>14</v>
      </c>
      <c r="AA401" s="111">
        <f t="shared" si="4"/>
        <v>0</v>
      </c>
      <c r="AB401" s="110" t="str">
        <f t="shared" si="5"/>
        <v>EMP5009 Rup Kumar Mandal</v>
      </c>
      <c r="AC401" s="103">
        <f>if(X401,_xlfn.WORKDAY.INTL(X401,AC$7,"0000001",Holidays!A:A)+hour(X401)/24+MINUTE(X401)/1440,"")</f>
        <v>46216.45417</v>
      </c>
      <c r="AD401" s="104">
        <v>46214.45853138889</v>
      </c>
      <c r="AE401" s="105" t="s">
        <v>14</v>
      </c>
      <c r="AF401" s="111">
        <f t="shared" si="6"/>
        <v>0</v>
      </c>
      <c r="AG401" s="110" t="str">
        <f t="shared" si="7"/>
        <v>EMP5009 Rup Kumar Mandal</v>
      </c>
      <c r="AH401" s="103">
        <f>if(AC401,if(and(hour(AC401+AH$7)&gt;9.5,(hour(AC401+AH$7)&lt;19.5)),AC401+AH$7,_xlfn.workday.intl(int(AC401),1,"0000001",Holidays!A:A)+hour(AC401+AH$7-$B$1)/24+minute(AC401)/1440),"")</f>
        <v>46216.49583</v>
      </c>
      <c r="AI401" s="104">
        <v>46214.45830096064</v>
      </c>
      <c r="AJ401" s="105" t="s">
        <v>14</v>
      </c>
      <c r="AK401" s="111">
        <f t="shared" si="8"/>
        <v>0</v>
      </c>
      <c r="AL401" s="112" t="str">
        <f t="shared" si="9"/>
        <v>EMP5009 Rup Kumar Mandal</v>
      </c>
      <c r="AM401" s="113"/>
      <c r="AN401" s="114" t="s">
        <v>672</v>
      </c>
      <c r="AO401" s="115"/>
      <c r="AP401" s="115"/>
      <c r="AQ401" s="115"/>
      <c r="AR401" s="115"/>
      <c r="AS401" s="115"/>
      <c r="AT401" s="115"/>
      <c r="AU401" s="115"/>
      <c r="AV401" s="115"/>
      <c r="AW401" s="115"/>
      <c r="AX401" s="115"/>
      <c r="AY401" s="115"/>
    </row>
    <row r="402">
      <c r="A402" s="95">
        <f t="shared" si="11"/>
        <v>5353</v>
      </c>
      <c r="B402" s="96">
        <v>46213.644564953705</v>
      </c>
      <c r="C402" s="97" t="s">
        <v>407</v>
      </c>
      <c r="D402" s="97" t="s">
        <v>255</v>
      </c>
      <c r="E402" s="98" t="s">
        <v>2190</v>
      </c>
      <c r="F402" s="97"/>
      <c r="G402" s="97" t="s">
        <v>1149</v>
      </c>
      <c r="H402" s="99" t="s">
        <v>62</v>
      </c>
      <c r="I402" s="100" t="s">
        <v>64</v>
      </c>
      <c r="J402" s="101" t="s">
        <v>513</v>
      </c>
      <c r="K402" s="100"/>
      <c r="L402" s="102" t="s">
        <v>518</v>
      </c>
      <c r="M402" s="103">
        <f>if(B402,if(and(hour(B402+M$7)&gt;9.5,(hour(B402+M$7)&lt;19.5)),B402+M$7,_xlfn.workday.intl(int(B402),1,"0000001",Holidays!A:A)+hour(B402+M$7-$B$1)/24+minute(B402)/1440),"")</f>
        <v>46213.81123</v>
      </c>
      <c r="N402" s="104">
        <v>46213.64851800926</v>
      </c>
      <c r="O402" s="105" t="s">
        <v>14</v>
      </c>
      <c r="P402" s="106">
        <f t="shared" si="1"/>
        <v>0</v>
      </c>
      <c r="Q402" s="107" t="s">
        <v>72</v>
      </c>
      <c r="R402" s="108" t="s">
        <v>434</v>
      </c>
      <c r="S402" s="103">
        <f>if(M402,if(and(hour(M402+S$7)&gt;9.5,(hour(M402+S$7)&lt;19.5)),M402+S$7,_xlfn.workday.intl(int(M402),1,"0000001",Holidays!A:A)+hour(M402+S$7-$B$1)/24+minute(M402)/1440),"")</f>
        <v>46213.81818</v>
      </c>
      <c r="T402" s="104">
        <v>46213.64860497685</v>
      </c>
      <c r="U402" s="105" t="s">
        <v>14</v>
      </c>
      <c r="V402" s="109">
        <f t="shared" si="2"/>
        <v>0</v>
      </c>
      <c r="W402" s="110" t="str">
        <f t="shared" si="3"/>
        <v>EMP5009 Rup Kumar Mandal</v>
      </c>
      <c r="X402" s="103">
        <f>if(S402,if(and(hour(S402+X$7)&gt;9.5,(hour(S402+X$7)&lt;19.5)),S402+X$7,_xlfn.workday.intl(int(S402),1,"0000001",Holidays!A:A)+hour(S402+X$7-$B$1)/24+minute(S402)/1440),"")</f>
        <v>46214.52639</v>
      </c>
      <c r="Y402" s="104">
        <v>46213.648756423616</v>
      </c>
      <c r="Z402" s="105" t="s">
        <v>14</v>
      </c>
      <c r="AA402" s="111">
        <f t="shared" si="4"/>
        <v>0</v>
      </c>
      <c r="AB402" s="110" t="str">
        <f t="shared" si="5"/>
        <v>EMP5009 Rup Kumar Mandal</v>
      </c>
      <c r="AC402" s="103">
        <f>if(X402,_xlfn.WORKDAY.INTL(X402,AC$7,"0000001",Holidays!A:A)+hour(X402)/24+MINUTE(X402)/1440,"")</f>
        <v>46216.52639</v>
      </c>
      <c r="AD402" s="104">
        <v>46214.45828017361</v>
      </c>
      <c r="AE402" s="105" t="s">
        <v>14</v>
      </c>
      <c r="AF402" s="111">
        <f t="shared" si="6"/>
        <v>0</v>
      </c>
      <c r="AG402" s="110" t="str">
        <f t="shared" si="7"/>
        <v>EMP5009 Rup Kumar Mandal</v>
      </c>
      <c r="AH402" s="103">
        <f>if(AC402,if(and(hour(AC402+AH$7)&gt;9.5,(hour(AC402+AH$7)&lt;19.5)),AC402+AH$7,_xlfn.workday.intl(int(AC402),1,"0000001",Holidays!A:A)+hour(AC402+AH$7-$B$1)/24+minute(AC402)/1440),"")</f>
        <v>46216.56806</v>
      </c>
      <c r="AI402" s="104">
        <v>46214.45832803241</v>
      </c>
      <c r="AJ402" s="105" t="s">
        <v>14</v>
      </c>
      <c r="AK402" s="111">
        <f t="shared" si="8"/>
        <v>0</v>
      </c>
      <c r="AL402" s="112" t="str">
        <f t="shared" si="9"/>
        <v>EMP5009 Rup Kumar Mandal</v>
      </c>
      <c r="AM402" s="113"/>
      <c r="AN402" s="114" t="s">
        <v>672</v>
      </c>
      <c r="AO402" s="115"/>
      <c r="AP402" s="115"/>
      <c r="AQ402" s="115"/>
      <c r="AR402" s="115"/>
      <c r="AS402" s="115"/>
      <c r="AT402" s="115"/>
      <c r="AU402" s="115"/>
      <c r="AV402" s="115"/>
      <c r="AW402" s="115"/>
      <c r="AX402" s="115"/>
      <c r="AY402" s="115"/>
    </row>
    <row r="403">
      <c r="A403" s="95">
        <f t="shared" si="11"/>
        <v>5354</v>
      </c>
      <c r="B403" s="96">
        <v>46214.493354502316</v>
      </c>
      <c r="C403" s="97" t="s">
        <v>1643</v>
      </c>
      <c r="D403" s="97" t="s">
        <v>142</v>
      </c>
      <c r="E403" s="98" t="s">
        <v>2191</v>
      </c>
      <c r="F403" s="97"/>
      <c r="G403" s="97" t="s">
        <v>1643</v>
      </c>
      <c r="H403" s="99" t="s">
        <v>62</v>
      </c>
      <c r="I403" s="100" t="s">
        <v>64</v>
      </c>
      <c r="J403" s="101" t="s">
        <v>67</v>
      </c>
      <c r="K403" s="100"/>
      <c r="L403" s="102" t="s">
        <v>1643</v>
      </c>
      <c r="M403" s="103">
        <f>if(B403,if(and(hour(B403+M$7)&gt;9.5,(hour(B403+M$7)&lt;19.5)),B403+M$7,_xlfn.workday.intl(int(B403),1,"0000001",Holidays!A:A)+hour(B403+M$7-$B$1)/24+minute(B403)/1440),"")</f>
        <v>46214.66002</v>
      </c>
      <c r="N403" s="104">
        <v>46214.498421805554</v>
      </c>
      <c r="O403" s="105" t="s">
        <v>14</v>
      </c>
      <c r="P403" s="106">
        <f t="shared" si="1"/>
        <v>0</v>
      </c>
      <c r="Q403" s="107" t="s">
        <v>15</v>
      </c>
      <c r="R403" s="108" t="s">
        <v>434</v>
      </c>
      <c r="S403" s="103">
        <f>if(M403,if(and(hour(M403+S$7)&gt;9.5,(hour(M403+S$7)&lt;19.5)),M403+S$7,_xlfn.workday.intl(int(M403),1,"0000001",Holidays!A:A)+hour(M403+S$7-$B$1)/24+minute(M403)/1440),"")</f>
        <v>46214.66697</v>
      </c>
      <c r="T403" s="104">
        <v>46214.49860435185</v>
      </c>
      <c r="U403" s="105" t="s">
        <v>14</v>
      </c>
      <c r="V403" s="109">
        <f t="shared" si="2"/>
        <v>0</v>
      </c>
      <c r="W403" s="110" t="str">
        <f t="shared" si="3"/>
        <v>EMP0042 HULESHWAR KUMAR SAHU</v>
      </c>
      <c r="X403" s="103">
        <f>if(S403,if(and(hour(S403+X$7)&gt;9.5,(hour(S403+X$7)&lt;19.5)),S403+X$7,_xlfn.workday.intl(int(S403),1,"0000001",Holidays!A:A)+hour(S403+X$7-$B$1)/24+minute(S403)/1440),"")</f>
        <v>46214.77113</v>
      </c>
      <c r="Y403" s="104">
        <v>46214.49863725694</v>
      </c>
      <c r="Z403" s="105" t="s">
        <v>14</v>
      </c>
      <c r="AA403" s="111">
        <f t="shared" si="4"/>
        <v>0</v>
      </c>
      <c r="AB403" s="110" t="str">
        <f t="shared" si="5"/>
        <v>EMP0042 HULESHWAR KUMAR SAHU</v>
      </c>
      <c r="AC403" s="103">
        <f>if(X403,_xlfn.WORKDAY.INTL(X403,AC$7,"0000001",Holidays!A:A)+hour(X403)/24+MINUTE(X403)/1440,"")</f>
        <v>46216.77083</v>
      </c>
      <c r="AD403" s="104">
        <v>46214.72311355324</v>
      </c>
      <c r="AE403" s="105" t="s">
        <v>14</v>
      </c>
      <c r="AF403" s="111">
        <f t="shared" si="6"/>
        <v>0</v>
      </c>
      <c r="AG403" s="110" t="str">
        <f t="shared" si="7"/>
        <v>EMP0042 HULESHWAR KUMAR SAHU</v>
      </c>
      <c r="AH403" s="103">
        <f>if(AC403,if(and(hour(AC403+AH$7)&gt;9.5,(hour(AC403+AH$7)&lt;19.5)),AC403+AH$7,_xlfn.workday.intl(int(AC403),1,"0000001",Holidays!A:A)+hour(AC403+AH$7-$B$1)/24+minute(AC403)/1440),"")</f>
        <v>46216.8125</v>
      </c>
      <c r="AI403" s="104">
        <v>46214.72318061342</v>
      </c>
      <c r="AJ403" s="105" t="s">
        <v>14</v>
      </c>
      <c r="AK403" s="111">
        <f t="shared" si="8"/>
        <v>0</v>
      </c>
      <c r="AL403" s="112" t="str">
        <f t="shared" si="9"/>
        <v>EMP0042 HULESHWAR KUMAR SAHU</v>
      </c>
      <c r="AM403" s="113"/>
      <c r="AN403" s="114" t="s">
        <v>672</v>
      </c>
      <c r="AO403" s="115"/>
      <c r="AP403" s="115"/>
      <c r="AQ403" s="115"/>
      <c r="AR403" s="115"/>
      <c r="AS403" s="115"/>
      <c r="AT403" s="115"/>
      <c r="AU403" s="115"/>
      <c r="AV403" s="115"/>
      <c r="AW403" s="115"/>
      <c r="AX403" s="115"/>
      <c r="AY403" s="115"/>
    </row>
    <row r="404">
      <c r="A404" s="95">
        <f t="shared" si="11"/>
        <v>5355</v>
      </c>
      <c r="B404" s="96">
        <v>46214.51176149306</v>
      </c>
      <c r="C404" s="97" t="s">
        <v>1647</v>
      </c>
      <c r="D404" s="97" t="s">
        <v>215</v>
      </c>
      <c r="E404" s="98" t="s">
        <v>2192</v>
      </c>
      <c r="F404" s="97"/>
      <c r="G404" s="97" t="s">
        <v>2193</v>
      </c>
      <c r="H404" s="99" t="s">
        <v>62</v>
      </c>
      <c r="I404" s="100" t="s">
        <v>64</v>
      </c>
      <c r="J404" s="101" t="s">
        <v>1349</v>
      </c>
      <c r="K404" s="100"/>
      <c r="L404" s="102" t="s">
        <v>2194</v>
      </c>
      <c r="M404" s="103">
        <f>if(B404,if(and(hour(B404+M$7)&gt;9.5,(hour(B404+M$7)&lt;19.5)),B404+M$7,_xlfn.workday.intl(int(B404),1,"0000001",Holidays!A:A)+hour(B404+M$7-$B$1)/24+minute(B404)/1440),"")</f>
        <v>46214.67843</v>
      </c>
      <c r="N404" s="104">
        <v>46214.72270813657</v>
      </c>
      <c r="O404" s="105" t="s">
        <v>14</v>
      </c>
      <c r="P404" s="106">
        <f t="shared" si="1"/>
        <v>0.04427997685</v>
      </c>
      <c r="Q404" s="107" t="s">
        <v>15</v>
      </c>
      <c r="R404" s="108" t="s">
        <v>434</v>
      </c>
      <c r="S404" s="103">
        <f>if(M404,if(and(hour(M404+S$7)&gt;9.5,(hour(M404+S$7)&lt;19.5)),M404+S$7,_xlfn.workday.intl(int(M404),1,"0000001",Holidays!A:A)+hour(M404+S$7-$B$1)/24+minute(M404)/1440),"")</f>
        <v>46214.68537</v>
      </c>
      <c r="T404" s="104">
        <v>46214.72297701389</v>
      </c>
      <c r="U404" s="105" t="s">
        <v>14</v>
      </c>
      <c r="V404" s="109">
        <f t="shared" si="2"/>
        <v>0.03760440972</v>
      </c>
      <c r="W404" s="110" t="str">
        <f t="shared" si="3"/>
        <v>EMP0042 HULESHWAR KUMAR SAHU</v>
      </c>
      <c r="X404" s="103">
        <f>if(S404,if(and(hour(S404+X$7)&gt;9.5,(hour(S404+X$7)&lt;19.5)),S404+X$7,_xlfn.workday.intl(int(S404),1,"0000001",Holidays!A:A)+hour(S404+X$7-$B$1)/24+minute(S404)/1440),"")</f>
        <v>46214.78954</v>
      </c>
      <c r="Y404" s="104">
        <v>46214.72303342592</v>
      </c>
      <c r="Z404" s="105" t="s">
        <v>14</v>
      </c>
      <c r="AA404" s="111">
        <f t="shared" si="4"/>
        <v>0</v>
      </c>
      <c r="AB404" s="110" t="str">
        <f t="shared" si="5"/>
        <v>EMP0042 HULESHWAR KUMAR SAHU</v>
      </c>
      <c r="AC404" s="103">
        <f>if(X404,_xlfn.WORKDAY.INTL(X404,AC$7,"0000001",Holidays!A:A)+hour(X404)/24+MINUTE(X404)/1440,"")</f>
        <v>46216.78889</v>
      </c>
      <c r="AD404" s="104">
        <v>46214.72314135417</v>
      </c>
      <c r="AE404" s="105" t="s">
        <v>14</v>
      </c>
      <c r="AF404" s="111">
        <f t="shared" si="6"/>
        <v>0</v>
      </c>
      <c r="AG404" s="110" t="str">
        <f t="shared" si="7"/>
        <v>EMP0042 HULESHWAR KUMAR SAHU</v>
      </c>
      <c r="AH404" s="103">
        <f>if(AC404,if(and(hour(AC404+AH$7)&gt;9.5,(hour(AC404+AH$7)&lt;19.5)),AC404+AH$7,_xlfn.workday.intl(int(AC404),1,"0000001",Holidays!A:A)+hour(AC404+AH$7-$B$1)/24+minute(AC404)/1440),"")</f>
        <v>46216.83056</v>
      </c>
      <c r="AI404" s="104">
        <v>46216.50176321759</v>
      </c>
      <c r="AJ404" s="105" t="s">
        <v>14</v>
      </c>
      <c r="AK404" s="111">
        <f t="shared" si="8"/>
        <v>0</v>
      </c>
      <c r="AL404" s="112" t="str">
        <f t="shared" si="9"/>
        <v>EMP0042 HULESHWAR KUMAR SAHU</v>
      </c>
      <c r="AM404" s="113"/>
      <c r="AN404" s="114" t="s">
        <v>672</v>
      </c>
      <c r="AO404" s="115"/>
      <c r="AP404" s="115"/>
      <c r="AQ404" s="115"/>
      <c r="AR404" s="115"/>
      <c r="AS404" s="115"/>
      <c r="AT404" s="115"/>
      <c r="AU404" s="115"/>
      <c r="AV404" s="115"/>
      <c r="AW404" s="115"/>
      <c r="AX404" s="115"/>
      <c r="AY404" s="115"/>
    </row>
    <row r="405">
      <c r="A405" s="95">
        <f t="shared" si="11"/>
        <v>5356</v>
      </c>
      <c r="B405" s="96">
        <v>46214.67458377314</v>
      </c>
      <c r="C405" s="97" t="s">
        <v>986</v>
      </c>
      <c r="D405" s="97" t="s">
        <v>982</v>
      </c>
      <c r="E405" s="98" t="s">
        <v>2195</v>
      </c>
      <c r="F405" s="98" t="s">
        <v>2197</v>
      </c>
      <c r="G405" s="97" t="s">
        <v>1291</v>
      </c>
      <c r="H405" s="99" t="s">
        <v>62</v>
      </c>
      <c r="I405" s="100" t="s">
        <v>324</v>
      </c>
      <c r="J405" s="101" t="s">
        <v>1269</v>
      </c>
      <c r="K405" s="100"/>
      <c r="L405" s="102" t="s">
        <v>2196</v>
      </c>
      <c r="M405" s="103">
        <f>if(B405,if(and(hour(B405+M$7)&gt;9.5,(hour(B405+M$7)&lt;19.5)),B405+M$7,_xlfn.workday.intl(int(B405),1,"0000001",Holidays!A:A)+hour(B405+M$7-$B$1)/24+minute(B405)/1440),"")</f>
        <v>46216.42431</v>
      </c>
      <c r="N405" s="104">
        <v>46214.72273378472</v>
      </c>
      <c r="O405" s="105" t="s">
        <v>14</v>
      </c>
      <c r="P405" s="106">
        <f t="shared" si="1"/>
        <v>0</v>
      </c>
      <c r="Q405" s="107" t="s">
        <v>15</v>
      </c>
      <c r="R405" s="108" t="s">
        <v>434</v>
      </c>
      <c r="S405" s="103">
        <f>if(M405,if(and(hour(M405+S$7)&gt;9.5,(hour(M405+S$7)&lt;19.5)),M405+S$7,_xlfn.workday.intl(int(M405),1,"0000001",Holidays!A:A)+hour(M405+S$7-$B$1)/24+minute(M405)/1440),"")</f>
        <v>46216.43125</v>
      </c>
      <c r="T405" s="104">
        <v>46214.722996331024</v>
      </c>
      <c r="U405" s="105" t="s">
        <v>14</v>
      </c>
      <c r="V405" s="109">
        <f t="shared" si="2"/>
        <v>0</v>
      </c>
      <c r="W405" s="110" t="str">
        <f t="shared" si="3"/>
        <v>EMP0042 HULESHWAR KUMAR SAHU</v>
      </c>
      <c r="X405" s="103">
        <f>if(S405,if(and(hour(S405+X$7)&gt;9.5,(hour(S405+X$7)&lt;19.5)),S405+X$7,_xlfn.workday.intl(int(S405),1,"0000001",Holidays!A:A)+hour(S405+X$7-$B$1)/24+minute(S405)/1440),"")</f>
        <v>46216.53542</v>
      </c>
      <c r="Y405" s="104">
        <v>46214.72305178241</v>
      </c>
      <c r="Z405" s="105" t="s">
        <v>14</v>
      </c>
      <c r="AA405" s="111">
        <f t="shared" si="4"/>
        <v>0</v>
      </c>
      <c r="AB405" s="110" t="str">
        <f t="shared" si="5"/>
        <v>EMP0042 HULESHWAR KUMAR SAHU</v>
      </c>
      <c r="AC405" s="103">
        <f>if(X405,_xlfn.WORKDAY.INTL(X405,AC$7,"0000001",Holidays!A:A)+hour(X405)/24+MINUTE(X405)/1440,"")</f>
        <v>46217.53542</v>
      </c>
      <c r="AD405" s="104">
        <v>46214.72330920139</v>
      </c>
      <c r="AE405" s="105" t="s">
        <v>14</v>
      </c>
      <c r="AF405" s="111">
        <f t="shared" si="6"/>
        <v>0</v>
      </c>
      <c r="AG405" s="110" t="str">
        <f t="shared" si="7"/>
        <v>EMP0042 HULESHWAR KUMAR SAHU</v>
      </c>
      <c r="AH405" s="103">
        <f>if(AC405,if(and(hour(AC405+AH$7)&gt;9.5,(hour(AC405+AH$7)&lt;19.5)),AC405+AH$7,_xlfn.workday.intl(int(AC405),1,"0000001",Holidays!A:A)+hour(AC405+AH$7-$B$1)/24+minute(AC405)/1440),"")</f>
        <v>46217.57708</v>
      </c>
      <c r="AI405" s="104">
        <v>46216.50178162037</v>
      </c>
      <c r="AJ405" s="105" t="s">
        <v>14</v>
      </c>
      <c r="AK405" s="111">
        <f t="shared" si="8"/>
        <v>0</v>
      </c>
      <c r="AL405" s="112" t="str">
        <f t="shared" si="9"/>
        <v>EMP0042 HULESHWAR KUMAR SAHU</v>
      </c>
      <c r="AM405" s="113"/>
      <c r="AN405" s="114" t="s">
        <v>672</v>
      </c>
      <c r="AO405" s="115"/>
      <c r="AP405" s="115"/>
      <c r="AQ405" s="115"/>
      <c r="AR405" s="115"/>
      <c r="AS405" s="115"/>
      <c r="AT405" s="115"/>
      <c r="AU405" s="115"/>
      <c r="AV405" s="115"/>
      <c r="AW405" s="115"/>
      <c r="AX405" s="115"/>
      <c r="AY405" s="115"/>
    </row>
    <row r="406">
      <c r="A406" s="95">
        <f t="shared" si="11"/>
        <v>5357</v>
      </c>
      <c r="B406" s="96">
        <v>46216.484562997684</v>
      </c>
      <c r="C406" s="97" t="s">
        <v>166</v>
      </c>
      <c r="D406" s="97" t="s">
        <v>1580</v>
      </c>
      <c r="E406" s="98" t="s">
        <v>2198</v>
      </c>
      <c r="F406" s="97"/>
      <c r="G406" s="97" t="s">
        <v>2199</v>
      </c>
      <c r="H406" s="99" t="s">
        <v>147</v>
      </c>
      <c r="I406" s="100" t="s">
        <v>64</v>
      </c>
      <c r="J406" s="101" t="s">
        <v>1579</v>
      </c>
      <c r="K406" s="100"/>
      <c r="L406" s="102" t="s">
        <v>2200</v>
      </c>
      <c r="M406" s="103">
        <f>if(B406,if(and(hour(B406+M$7)&gt;9.5,(hour(B406+M$7)&lt;19.5)),B406+M$7,_xlfn.workday.intl(int(B406),1,"0000001",Holidays!A:A)+hour(B406+M$7-$B$1)/24+minute(B406)/1440),"")</f>
        <v>46216.65123</v>
      </c>
      <c r="N406" s="104">
        <v>46216.50161736111</v>
      </c>
      <c r="O406" s="105" t="s">
        <v>14</v>
      </c>
      <c r="P406" s="106">
        <f t="shared" si="1"/>
        <v>0</v>
      </c>
      <c r="Q406" s="107" t="s">
        <v>15</v>
      </c>
      <c r="R406" s="108" t="s">
        <v>434</v>
      </c>
      <c r="S406" s="103">
        <f>if(M406,if(and(hour(M406+S$7)&gt;9.5,(hour(M406+S$7)&lt;19.5)),M406+S$7,_xlfn.workday.intl(int(M406),1,"0000001",Holidays!A:A)+hour(M406+S$7-$B$1)/24+minute(M406)/1440),"")</f>
        <v>46216.65817</v>
      </c>
      <c r="T406" s="104">
        <v>46216.50171766204</v>
      </c>
      <c r="U406" s="105" t="s">
        <v>14</v>
      </c>
      <c r="V406" s="109">
        <f t="shared" si="2"/>
        <v>0</v>
      </c>
      <c r="W406" s="110" t="str">
        <f t="shared" si="3"/>
        <v>EMP0042 HULESHWAR KUMAR SAHU</v>
      </c>
      <c r="X406" s="103">
        <f>if(S406,if(and(hour(S406+X$7)&gt;9.5,(hour(S406+X$7)&lt;19.5)),S406+X$7,_xlfn.workday.intl(int(S406),1,"0000001",Holidays!A:A)+hour(S406+X$7-$B$1)/24+minute(S406)/1440),"")</f>
        <v>46216.76234</v>
      </c>
      <c r="Y406" s="104">
        <v>46216.55251826389</v>
      </c>
      <c r="Z406" s="105" t="s">
        <v>14</v>
      </c>
      <c r="AA406" s="111">
        <f t="shared" si="4"/>
        <v>0</v>
      </c>
      <c r="AB406" s="110" t="str">
        <f t="shared" si="5"/>
        <v>EMP0042 HULESHWAR KUMAR SAHU</v>
      </c>
      <c r="AC406" s="103">
        <f>if(X406,_xlfn.WORKDAY.INTL(X406,AC$7,"0000001",Holidays!A:A)+hour(X406)/24+MINUTE(X406)/1440,"")</f>
        <v>46217.76181</v>
      </c>
      <c r="AD406" s="104">
        <v>46216.552827141204</v>
      </c>
      <c r="AE406" s="105" t="s">
        <v>14</v>
      </c>
      <c r="AF406" s="111">
        <f t="shared" si="6"/>
        <v>0</v>
      </c>
      <c r="AG406" s="110" t="str">
        <f t="shared" si="7"/>
        <v>EMP0042 HULESHWAR KUMAR SAHU</v>
      </c>
      <c r="AH406" s="103">
        <f>if(AC406,if(and(hour(AC406+AH$7)&gt;9.5,(hour(AC406+AH$7)&lt;19.5)),AC406+AH$7,_xlfn.workday.intl(int(AC406),1,"0000001",Holidays!A:A)+hour(AC406+AH$7-$B$1)/24+minute(AC406)/1440),"")</f>
        <v>46217.80347</v>
      </c>
      <c r="AI406" s="104">
        <v>46216.55284729166</v>
      </c>
      <c r="AJ406" s="105" t="s">
        <v>14</v>
      </c>
      <c r="AK406" s="111">
        <f t="shared" si="8"/>
        <v>0</v>
      </c>
      <c r="AL406" s="112" t="str">
        <f t="shared" si="9"/>
        <v>EMP0042 HULESHWAR KUMAR SAHU</v>
      </c>
      <c r="AM406" s="113"/>
      <c r="AN406" s="114" t="s">
        <v>672</v>
      </c>
      <c r="AO406" s="115"/>
      <c r="AP406" s="115"/>
      <c r="AQ406" s="115"/>
      <c r="AR406" s="115"/>
      <c r="AS406" s="115"/>
      <c r="AT406" s="115"/>
      <c r="AU406" s="115"/>
      <c r="AV406" s="115"/>
      <c r="AW406" s="115"/>
      <c r="AX406" s="115"/>
      <c r="AY406" s="115"/>
    </row>
    <row r="407">
      <c r="A407" s="95">
        <f t="shared" si="11"/>
        <v>5358</v>
      </c>
      <c r="B407" s="96">
        <v>46216.53972439815</v>
      </c>
      <c r="C407" s="97" t="s">
        <v>1656</v>
      </c>
      <c r="D407" s="97" t="s">
        <v>243</v>
      </c>
      <c r="E407" s="98" t="s">
        <v>2201</v>
      </c>
      <c r="F407" s="98" t="s">
        <v>2204</v>
      </c>
      <c r="G407" s="97" t="s">
        <v>2202</v>
      </c>
      <c r="H407" s="99" t="s">
        <v>62</v>
      </c>
      <c r="I407" s="100" t="s">
        <v>64</v>
      </c>
      <c r="J407" s="101" t="s">
        <v>1194</v>
      </c>
      <c r="K407" s="100"/>
      <c r="L407" s="102" t="s">
        <v>2203</v>
      </c>
      <c r="M407" s="103">
        <f>if(B407,if(and(hour(B407+M$7)&gt;9.5,(hour(B407+M$7)&lt;19.5)),B407+M$7,_xlfn.workday.intl(int(B407),1,"0000001",Holidays!A:A)+hour(B407+M$7-$B$1)/24+minute(B407)/1440),"")</f>
        <v>46216.70639</v>
      </c>
      <c r="N407" s="104">
        <v>46216.55227166667</v>
      </c>
      <c r="O407" s="105" t="s">
        <v>14</v>
      </c>
      <c r="P407" s="106">
        <f t="shared" si="1"/>
        <v>0</v>
      </c>
      <c r="Q407" s="107" t="s">
        <v>48</v>
      </c>
      <c r="R407" s="108" t="s">
        <v>434</v>
      </c>
      <c r="S407" s="103">
        <f>if(M407,if(and(hour(M407+S$7)&gt;9.5,(hour(M407+S$7)&lt;19.5)),M407+S$7,_xlfn.workday.intl(int(M407),1,"0000001",Holidays!A:A)+hour(M407+S$7-$B$1)/24+minute(M407)/1440),"")</f>
        <v>46216.71334</v>
      </c>
      <c r="T407" s="104">
        <v>46216.55235201389</v>
      </c>
      <c r="U407" s="105" t="s">
        <v>14</v>
      </c>
      <c r="V407" s="109">
        <f t="shared" si="2"/>
        <v>0</v>
      </c>
      <c r="W407" s="110" t="str">
        <f t="shared" si="3"/>
        <v>EMP0237 Swarnendu Chakraborty</v>
      </c>
      <c r="X407" s="103">
        <f>if(S407,if(and(hour(S407+X$7)&gt;9.5,(hour(S407+X$7)&lt;19.5)),S407+X$7,_xlfn.workday.intl(int(S407),1,"0000001",Holidays!A:A)+hour(S407+X$7-$B$1)/24+minute(S407)/1440),"")</f>
        <v>46216.8175</v>
      </c>
      <c r="Y407" s="104">
        <v>46216.55253178241</v>
      </c>
      <c r="Z407" s="105" t="s">
        <v>14</v>
      </c>
      <c r="AA407" s="111">
        <f t="shared" si="4"/>
        <v>0</v>
      </c>
      <c r="AB407" s="110" t="str">
        <f t="shared" si="5"/>
        <v>EMP0237 Swarnendu Chakraborty</v>
      </c>
      <c r="AC407" s="103">
        <f>if(X407,_xlfn.WORKDAY.INTL(X407,AC$7,"0000001",Holidays!A:A)+hour(X407)/24+MINUTE(X407)/1440,"")</f>
        <v>46217.81736</v>
      </c>
      <c r="AD407" s="104">
        <v>46216.67229178241</v>
      </c>
      <c r="AE407" s="105" t="s">
        <v>14</v>
      </c>
      <c r="AF407" s="111">
        <f t="shared" si="6"/>
        <v>0</v>
      </c>
      <c r="AG407" s="110" t="str">
        <f t="shared" si="7"/>
        <v>EMP0237 Swarnendu Chakraborty</v>
      </c>
      <c r="AH407" s="103">
        <f>if(AC407,if(and(hour(AC407+AH$7)&gt;9.5,(hour(AC407+AH$7)&lt;19.5)),AC407+AH$7,_xlfn.workday.intl(int(AC407),1,"0000001",Holidays!A:A)+hour(AC407+AH$7-$B$1)/24+minute(AC407)/1440),"")</f>
        <v>46218.44236</v>
      </c>
      <c r="AI407" s="104">
        <v>46217.817763495375</v>
      </c>
      <c r="AJ407" s="105" t="s">
        <v>14</v>
      </c>
      <c r="AK407" s="111">
        <f t="shared" si="8"/>
        <v>0</v>
      </c>
      <c r="AL407" s="112" t="str">
        <f t="shared" si="9"/>
        <v>EMP0237 Swarnendu Chakraborty</v>
      </c>
      <c r="AM407" s="113"/>
      <c r="AN407" s="114" t="s">
        <v>672</v>
      </c>
      <c r="AO407" s="115"/>
      <c r="AP407" s="115"/>
      <c r="AQ407" s="115"/>
      <c r="AR407" s="115"/>
      <c r="AS407" s="115"/>
      <c r="AT407" s="115"/>
      <c r="AU407" s="115"/>
      <c r="AV407" s="115"/>
      <c r="AW407" s="115"/>
      <c r="AX407" s="115"/>
      <c r="AY407" s="115"/>
    </row>
    <row r="408">
      <c r="A408" s="95">
        <f t="shared" si="11"/>
        <v>5359</v>
      </c>
      <c r="B408" s="96">
        <v>46216.57568515046</v>
      </c>
      <c r="C408" s="97" t="s">
        <v>1660</v>
      </c>
      <c r="D408" s="97" t="s">
        <v>186</v>
      </c>
      <c r="E408" s="98" t="s">
        <v>2205</v>
      </c>
      <c r="F408" s="97"/>
      <c r="G408" s="97" t="s">
        <v>2206</v>
      </c>
      <c r="H408" s="99" t="s">
        <v>138</v>
      </c>
      <c r="I408" s="100" t="s">
        <v>64</v>
      </c>
      <c r="J408" s="101" t="s">
        <v>303</v>
      </c>
      <c r="K408" s="100"/>
      <c r="L408" s="102" t="s">
        <v>2207</v>
      </c>
      <c r="M408" s="103">
        <f>if(B408,if(and(hour(B408+M$7)&gt;9.5,(hour(B408+M$7)&lt;19.5)),B408+M$7,_xlfn.workday.intl(int(B408),1,"0000001",Holidays!A:A)+hour(B408+M$7-$B$1)/24+minute(B408)/1440),"")</f>
        <v>46216.74235</v>
      </c>
      <c r="N408" s="104">
        <v>46216.64601337963</v>
      </c>
      <c r="O408" s="105" t="s">
        <v>14</v>
      </c>
      <c r="P408" s="106">
        <f t="shared" si="1"/>
        <v>0</v>
      </c>
      <c r="Q408" s="107" t="s">
        <v>15</v>
      </c>
      <c r="R408" s="108" t="s">
        <v>434</v>
      </c>
      <c r="S408" s="103">
        <f>if(M408,if(and(hour(M408+S$7)&gt;9.5,(hour(M408+S$7)&lt;19.5)),M408+S$7,_xlfn.workday.intl(int(M408),1,"0000001",Holidays!A:A)+hour(M408+S$7-$B$1)/24+minute(M408)/1440),"")</f>
        <v>46216.7493</v>
      </c>
      <c r="T408" s="104">
        <v>46216.646054247685</v>
      </c>
      <c r="U408" s="105" t="s">
        <v>14</v>
      </c>
      <c r="V408" s="109">
        <f t="shared" si="2"/>
        <v>0</v>
      </c>
      <c r="W408" s="110" t="str">
        <f t="shared" si="3"/>
        <v>EMP0042 HULESHWAR KUMAR SAHU</v>
      </c>
      <c r="X408" s="103">
        <f>if(S408,if(and(hour(S408+X$7)&gt;9.5,(hour(S408+X$7)&lt;19.5)),S408+X$7,_xlfn.workday.intl(int(S408),1,"0000001",Holidays!A:A)+hour(S408+X$7-$B$1)/24+minute(S408)/1440),"")</f>
        <v>46217.45694</v>
      </c>
      <c r="Y408" s="104">
        <v>46216.64615439815</v>
      </c>
      <c r="Z408" s="105" t="s">
        <v>14</v>
      </c>
      <c r="AA408" s="111">
        <f t="shared" si="4"/>
        <v>0</v>
      </c>
      <c r="AB408" s="110" t="str">
        <f t="shared" si="5"/>
        <v>EMP0042 HULESHWAR KUMAR SAHU</v>
      </c>
      <c r="AC408" s="103">
        <f>if(X408,_xlfn.WORKDAY.INTL(X408,AC$7,"0000001",Holidays!A:A)+hour(X408)/24+MINUTE(X408)/1440,"")</f>
        <v>46218.45694</v>
      </c>
      <c r="AD408" s="104">
        <v>46216.672344502316</v>
      </c>
      <c r="AE408" s="105" t="s">
        <v>14</v>
      </c>
      <c r="AF408" s="111">
        <f t="shared" si="6"/>
        <v>0</v>
      </c>
      <c r="AG408" s="110" t="str">
        <f t="shared" si="7"/>
        <v>EMP0042 HULESHWAR KUMAR SAHU</v>
      </c>
      <c r="AH408" s="103">
        <f>if(AC408,if(and(hour(AC408+AH$7)&gt;9.5,(hour(AC408+AH$7)&lt;19.5)),AC408+AH$7,_xlfn.workday.intl(int(AC408),1,"0000001",Holidays!A:A)+hour(AC408+AH$7-$B$1)/24+minute(AC408)/1440),"")</f>
        <v>46218.49861</v>
      </c>
      <c r="AI408" s="104">
        <v>46218.48215376158</v>
      </c>
      <c r="AJ408" s="105" t="s">
        <v>14</v>
      </c>
      <c r="AK408" s="111">
        <f t="shared" si="8"/>
        <v>0</v>
      </c>
      <c r="AL408" s="112" t="str">
        <f t="shared" si="9"/>
        <v>EMP0042 HULESHWAR KUMAR SAHU</v>
      </c>
      <c r="AM408" s="113"/>
      <c r="AN408" s="114" t="s">
        <v>672</v>
      </c>
      <c r="AO408" s="115"/>
      <c r="AP408" s="115"/>
      <c r="AQ408" s="115"/>
      <c r="AR408" s="115"/>
      <c r="AS408" s="115"/>
      <c r="AT408" s="115"/>
      <c r="AU408" s="115"/>
      <c r="AV408" s="115"/>
      <c r="AW408" s="115"/>
      <c r="AX408" s="115"/>
      <c r="AY408" s="115"/>
    </row>
    <row r="409">
      <c r="A409" s="95">
        <f t="shared" si="11"/>
        <v>5360</v>
      </c>
      <c r="B409" s="96">
        <v>46216.705133553245</v>
      </c>
      <c r="C409" s="97" t="s">
        <v>2210</v>
      </c>
      <c r="D409" s="97" t="s">
        <v>357</v>
      </c>
      <c r="E409" s="98" t="s">
        <v>2208</v>
      </c>
      <c r="F409" s="97"/>
      <c r="G409" s="97" t="s">
        <v>2209</v>
      </c>
      <c r="H409" s="99" t="s">
        <v>62</v>
      </c>
      <c r="I409" s="100" t="s">
        <v>64</v>
      </c>
      <c r="J409" s="101" t="s">
        <v>1253</v>
      </c>
      <c r="K409" s="100"/>
      <c r="L409" s="102" t="s">
        <v>492</v>
      </c>
      <c r="M409" s="103">
        <f>if(B409,if(and(hour(B409+M$7)&gt;9.5,(hour(B409+M$7)&lt;19.5)),B409+M$7,_xlfn.workday.intl(int(B409),1,"0000001",Holidays!A:A)+hour(B409+M$7-$B$1)/24+minute(B409)/1440),"")</f>
        <v>46217.45486</v>
      </c>
      <c r="N409" s="104">
        <v>46216.75188571759</v>
      </c>
      <c r="O409" s="105" t="s">
        <v>14</v>
      </c>
      <c r="P409" s="106">
        <f t="shared" si="1"/>
        <v>0</v>
      </c>
      <c r="Q409" s="107" t="s">
        <v>48</v>
      </c>
      <c r="R409" s="108" t="s">
        <v>434</v>
      </c>
      <c r="S409" s="103">
        <f>if(M409,if(and(hour(M409+S$7)&gt;9.5,(hour(M409+S$7)&lt;19.5)),M409+S$7,_xlfn.workday.intl(int(M409),1,"0000001",Holidays!A:A)+hour(M409+S$7-$B$1)/24+minute(M409)/1440),"")</f>
        <v>46217.46181</v>
      </c>
      <c r="T409" s="104">
        <v>46216.75197871528</v>
      </c>
      <c r="U409" s="105" t="s">
        <v>14</v>
      </c>
      <c r="V409" s="109">
        <f t="shared" si="2"/>
        <v>0</v>
      </c>
      <c r="W409" s="110" t="str">
        <f t="shared" si="3"/>
        <v>EMP0237 Swarnendu Chakraborty</v>
      </c>
      <c r="X409" s="103">
        <f>if(S409,if(and(hour(S409+X$7)&gt;9.5,(hour(S409+X$7)&lt;19.5)),S409+X$7,_xlfn.workday.intl(int(S409),1,"0000001",Holidays!A:A)+hour(S409+X$7-$B$1)/24+minute(S409)/1440),"")</f>
        <v>46217.56597</v>
      </c>
      <c r="Y409" s="104">
        <v>46216.778841238425</v>
      </c>
      <c r="Z409" s="105" t="s">
        <v>14</v>
      </c>
      <c r="AA409" s="111">
        <f t="shared" si="4"/>
        <v>0</v>
      </c>
      <c r="AB409" s="110" t="str">
        <f t="shared" si="5"/>
        <v>EMP0237 Swarnendu Chakraborty</v>
      </c>
      <c r="AC409" s="103">
        <f>if(X409,_xlfn.WORKDAY.INTL(X409,AC$7,"0000001",Holidays!A:A)+hour(X409)/24+MINUTE(X409)/1440,"")</f>
        <v>46218.56597</v>
      </c>
      <c r="AD409" s="104">
        <v>46217.45427560185</v>
      </c>
      <c r="AE409" s="105" t="s">
        <v>14</v>
      </c>
      <c r="AF409" s="111">
        <f t="shared" si="6"/>
        <v>0</v>
      </c>
      <c r="AG409" s="110" t="str">
        <f t="shared" si="7"/>
        <v>EMP0237 Swarnendu Chakraborty</v>
      </c>
      <c r="AH409" s="103">
        <f>if(AC409,if(and(hour(AC409+AH$7)&gt;9.5,(hour(AC409+AH$7)&lt;19.5)),AC409+AH$7,_xlfn.workday.intl(int(AC409),1,"0000001",Holidays!A:A)+hour(AC409+AH$7-$B$1)/24+minute(AC409)/1440),"")</f>
        <v>46218.60764</v>
      </c>
      <c r="AI409" s="104">
        <v>46218.48218774305</v>
      </c>
      <c r="AJ409" s="105" t="s">
        <v>14</v>
      </c>
      <c r="AK409" s="111">
        <f t="shared" si="8"/>
        <v>0</v>
      </c>
      <c r="AL409" s="112" t="str">
        <f t="shared" si="9"/>
        <v>EMP0237 Swarnendu Chakraborty</v>
      </c>
      <c r="AM409" s="113"/>
      <c r="AN409" s="114" t="s">
        <v>672</v>
      </c>
      <c r="AO409" s="115"/>
      <c r="AP409" s="115"/>
      <c r="AQ409" s="115"/>
      <c r="AR409" s="115"/>
      <c r="AS409" s="115"/>
      <c r="AT409" s="115"/>
      <c r="AU409" s="115"/>
      <c r="AV409" s="115"/>
      <c r="AW409" s="115"/>
      <c r="AX409" s="115"/>
      <c r="AY409" s="115"/>
    </row>
    <row r="410">
      <c r="A410" s="95">
        <f t="shared" si="11"/>
        <v>5361</v>
      </c>
      <c r="B410" s="96">
        <v>46216.93268309028</v>
      </c>
      <c r="C410" s="97" t="s">
        <v>1666</v>
      </c>
      <c r="D410" s="97">
        <v>2781.0</v>
      </c>
      <c r="E410" s="98" t="s">
        <v>2211</v>
      </c>
      <c r="F410" s="97"/>
      <c r="G410" s="97" t="s">
        <v>551</v>
      </c>
      <c r="H410" s="99" t="s">
        <v>103</v>
      </c>
      <c r="I410" s="100" t="s">
        <v>64</v>
      </c>
      <c r="J410" s="101" t="s">
        <v>641</v>
      </c>
      <c r="K410" s="100"/>
      <c r="L410" s="102" t="s">
        <v>2212</v>
      </c>
      <c r="M410" s="103">
        <f>if(B410,if(and(hour(B410+M$7)&gt;9.5,(hour(B410+M$7)&lt;19.5)),B410+M$7,_xlfn.workday.intl(int(B410),1,"0000001",Holidays!A:A)+hour(B410+M$7-$B$1)/24+minute(B410)/1440),"")</f>
        <v>46217.68264</v>
      </c>
      <c r="N410" s="104">
        <v>46217.45329819444</v>
      </c>
      <c r="O410" s="105" t="s">
        <v>14</v>
      </c>
      <c r="P410" s="106">
        <f t="shared" si="1"/>
        <v>0</v>
      </c>
      <c r="Q410" s="107" t="s">
        <v>72</v>
      </c>
      <c r="R410" s="108" t="s">
        <v>434</v>
      </c>
      <c r="S410" s="103">
        <f>if(M410,if(and(hour(M410+S$7)&gt;9.5,(hour(M410+S$7)&lt;19.5)),M410+S$7,_xlfn.workday.intl(int(M410),1,"0000001",Holidays!A:A)+hour(M410+S$7-$B$1)/24+minute(M410)/1440),"")</f>
        <v>46217.68958</v>
      </c>
      <c r="T410" s="104">
        <v>46217.45387835648</v>
      </c>
      <c r="U410" s="105" t="s">
        <v>14</v>
      </c>
      <c r="V410" s="109">
        <f t="shared" si="2"/>
        <v>0</v>
      </c>
      <c r="W410" s="110" t="str">
        <f t="shared" si="3"/>
        <v>EMP5009 Rup Kumar Mandal</v>
      </c>
      <c r="X410" s="103">
        <f>if(S410,if(and(hour(S410+X$7)&gt;9.5,(hour(S410+X$7)&lt;19.5)),S410+X$7,_xlfn.workday.intl(int(S410),1,"0000001",Holidays!A:A)+hour(S410+X$7-$B$1)/24+minute(S410)/1440),"")</f>
        <v>46217.79375</v>
      </c>
      <c r="Y410" s="104">
        <v>46217.45400974537</v>
      </c>
      <c r="Z410" s="105" t="s">
        <v>14</v>
      </c>
      <c r="AA410" s="111">
        <f t="shared" si="4"/>
        <v>0</v>
      </c>
      <c r="AB410" s="110" t="str">
        <f t="shared" si="5"/>
        <v>EMP5009 Rup Kumar Mandal</v>
      </c>
      <c r="AC410" s="103">
        <f>if(X410,_xlfn.WORKDAY.INTL(X410,AC$7,"0000001",Holidays!A:A)+hour(X410)/24+MINUTE(X410)/1440,"")</f>
        <v>46218.79375</v>
      </c>
      <c r="AD410" s="104">
        <v>46217.454295104166</v>
      </c>
      <c r="AE410" s="105" t="s">
        <v>14</v>
      </c>
      <c r="AF410" s="111">
        <f t="shared" si="6"/>
        <v>0</v>
      </c>
      <c r="AG410" s="110" t="str">
        <f t="shared" si="7"/>
        <v>EMP5009 Rup Kumar Mandal</v>
      </c>
      <c r="AH410" s="103">
        <f>if(AC410,if(and(hour(AC410+AH$7)&gt;9.5,(hour(AC410+AH$7)&lt;19.5)),AC410+AH$7,_xlfn.workday.intl(int(AC410),1,"0000001",Holidays!A:A)+hour(AC410+AH$7-$B$1)/24+minute(AC410)/1440),"")</f>
        <v>46220.41875</v>
      </c>
      <c r="AI410" s="104">
        <v>46218.47928847223</v>
      </c>
      <c r="AJ410" s="105" t="s">
        <v>14</v>
      </c>
      <c r="AK410" s="111">
        <f t="shared" si="8"/>
        <v>0</v>
      </c>
      <c r="AL410" s="112" t="str">
        <f t="shared" si="9"/>
        <v>EMP5009 Rup Kumar Mandal</v>
      </c>
      <c r="AM410" s="113"/>
      <c r="AN410" s="114" t="s">
        <v>672</v>
      </c>
      <c r="AO410" s="115"/>
      <c r="AP410" s="115"/>
      <c r="AQ410" s="115"/>
      <c r="AR410" s="115"/>
      <c r="AS410" s="115"/>
      <c r="AT410" s="115"/>
      <c r="AU410" s="115"/>
      <c r="AV410" s="115"/>
      <c r="AW410" s="115"/>
      <c r="AX410" s="115"/>
      <c r="AY410" s="115"/>
    </row>
    <row r="411">
      <c r="A411" s="95">
        <f t="shared" si="11"/>
        <v>5362</v>
      </c>
      <c r="B411" s="96">
        <v>46216.93837521991</v>
      </c>
      <c r="C411" s="97">
        <v>3443.0</v>
      </c>
      <c r="D411" s="97" t="s">
        <v>255</v>
      </c>
      <c r="E411" s="98" t="s">
        <v>2213</v>
      </c>
      <c r="F411" s="97"/>
      <c r="G411" s="97" t="s">
        <v>2214</v>
      </c>
      <c r="H411" s="99" t="s">
        <v>62</v>
      </c>
      <c r="I411" s="100" t="s">
        <v>64</v>
      </c>
      <c r="J411" s="101" t="s">
        <v>641</v>
      </c>
      <c r="K411" s="100"/>
      <c r="L411" s="102" t="s">
        <v>2215</v>
      </c>
      <c r="M411" s="103">
        <f>if(B411,if(and(hour(B411+M$7)&gt;9.5,(hour(B411+M$7)&lt;19.5)),B411+M$7,_xlfn.workday.intl(int(B411),1,"0000001",Holidays!A:A)+hour(B411+M$7-$B$1)/24+minute(B411)/1440),"")</f>
        <v>46217.68819</v>
      </c>
      <c r="N411" s="104">
        <v>46217.45330825231</v>
      </c>
      <c r="O411" s="105" t="s">
        <v>14</v>
      </c>
      <c r="P411" s="106">
        <f t="shared" si="1"/>
        <v>0</v>
      </c>
      <c r="Q411" s="107" t="s">
        <v>72</v>
      </c>
      <c r="R411" s="108" t="s">
        <v>434</v>
      </c>
      <c r="S411" s="103">
        <f>if(M411,if(and(hour(M411+S$7)&gt;9.5,(hour(M411+S$7)&lt;19.5)),M411+S$7,_xlfn.workday.intl(int(M411),1,"0000001",Holidays!A:A)+hour(M411+S$7-$B$1)/24+minute(M411)/1440),"")</f>
        <v>46217.69514</v>
      </c>
      <c r="T411" s="104">
        <v>46217.453878368055</v>
      </c>
      <c r="U411" s="105" t="s">
        <v>14</v>
      </c>
      <c r="V411" s="109">
        <f t="shared" si="2"/>
        <v>0</v>
      </c>
      <c r="W411" s="110" t="str">
        <f t="shared" si="3"/>
        <v>EMP5009 Rup Kumar Mandal</v>
      </c>
      <c r="X411" s="103">
        <f>if(S411,if(and(hour(S411+X$7)&gt;9.5,(hour(S411+X$7)&lt;19.5)),S411+X$7,_xlfn.workday.intl(int(S411),1,"0000001",Holidays!A:A)+hour(S411+X$7-$B$1)/24+minute(S411)/1440),"")</f>
        <v>46217.79931</v>
      </c>
      <c r="Y411" s="104">
        <v>46217.454019247685</v>
      </c>
      <c r="Z411" s="105" t="s">
        <v>14</v>
      </c>
      <c r="AA411" s="111">
        <f t="shared" si="4"/>
        <v>0</v>
      </c>
      <c r="AB411" s="110" t="str">
        <f t="shared" si="5"/>
        <v>EMP5009 Rup Kumar Mandal</v>
      </c>
      <c r="AC411" s="103">
        <f>if(X411,_xlfn.WORKDAY.INTL(X411,AC$7,"0000001",Holidays!A:A)+hour(X411)/24+MINUTE(X411)/1440,"")</f>
        <v>46218.79931</v>
      </c>
      <c r="AD411" s="104">
        <v>46217.45430777778</v>
      </c>
      <c r="AE411" s="105" t="s">
        <v>14</v>
      </c>
      <c r="AF411" s="111">
        <f t="shared" si="6"/>
        <v>0</v>
      </c>
      <c r="AG411" s="110" t="str">
        <f t="shared" si="7"/>
        <v>EMP5009 Rup Kumar Mandal</v>
      </c>
      <c r="AH411" s="103">
        <f>if(AC411,if(and(hour(AC411+AH$7)&gt;9.5,(hour(AC411+AH$7)&lt;19.5)),AC411+AH$7,_xlfn.workday.intl(int(AC411),1,"0000001",Holidays!A:A)+hour(AC411+AH$7-$B$1)/24+minute(AC411)/1440),"")</f>
        <v>46220.42431</v>
      </c>
      <c r="AI411" s="104">
        <v>46218.47927668982</v>
      </c>
      <c r="AJ411" s="105" t="s">
        <v>14</v>
      </c>
      <c r="AK411" s="111">
        <f t="shared" si="8"/>
        <v>0</v>
      </c>
      <c r="AL411" s="112" t="str">
        <f t="shared" si="9"/>
        <v>EMP5009 Rup Kumar Mandal</v>
      </c>
      <c r="AM411" s="113"/>
      <c r="AN411" s="114" t="s">
        <v>672</v>
      </c>
      <c r="AO411" s="115"/>
      <c r="AP411" s="115"/>
      <c r="AQ411" s="115"/>
      <c r="AR411" s="115"/>
      <c r="AS411" s="115"/>
      <c r="AT411" s="115"/>
      <c r="AU411" s="115"/>
      <c r="AV411" s="115"/>
      <c r="AW411" s="115"/>
      <c r="AX411" s="115"/>
      <c r="AY411" s="115"/>
    </row>
    <row r="412">
      <c r="A412" s="95">
        <f t="shared" si="11"/>
        <v>5363</v>
      </c>
      <c r="B412" s="96">
        <v>46216.94032571759</v>
      </c>
      <c r="C412" s="97">
        <v>3386.0</v>
      </c>
      <c r="D412" s="97" t="s">
        <v>255</v>
      </c>
      <c r="E412" s="98" t="s">
        <v>2216</v>
      </c>
      <c r="F412" s="97"/>
      <c r="G412" s="97" t="s">
        <v>2217</v>
      </c>
      <c r="H412" s="99" t="s">
        <v>103</v>
      </c>
      <c r="I412" s="100" t="s">
        <v>64</v>
      </c>
      <c r="J412" s="101" t="s">
        <v>641</v>
      </c>
      <c r="K412" s="100"/>
      <c r="L412" s="102" t="s">
        <v>2215</v>
      </c>
      <c r="M412" s="103">
        <f>if(B412,if(and(hour(B412+M$7)&gt;9.5,(hour(B412+M$7)&lt;19.5)),B412+M$7,_xlfn.workday.intl(int(B412),1,"0000001",Holidays!A:A)+hour(B412+M$7-$B$1)/24+minute(B412)/1440),"")</f>
        <v>46217.69028</v>
      </c>
      <c r="N412" s="104">
        <v>46217.453263414354</v>
      </c>
      <c r="O412" s="105" t="s">
        <v>14</v>
      </c>
      <c r="P412" s="106">
        <f t="shared" si="1"/>
        <v>0</v>
      </c>
      <c r="Q412" s="107" t="s">
        <v>72</v>
      </c>
      <c r="R412" s="108" t="s">
        <v>434</v>
      </c>
      <c r="S412" s="103">
        <f>if(M412,if(and(hour(M412+S$7)&gt;9.5,(hour(M412+S$7)&lt;19.5)),M412+S$7,_xlfn.workday.intl(int(M412),1,"0000001",Holidays!A:A)+hour(M412+S$7-$B$1)/24+minute(M412)/1440),"")</f>
        <v>46217.69722</v>
      </c>
      <c r="T412" s="104">
        <v>46217.453882939815</v>
      </c>
      <c r="U412" s="105" t="s">
        <v>14</v>
      </c>
      <c r="V412" s="109">
        <f t="shared" si="2"/>
        <v>0</v>
      </c>
      <c r="W412" s="110" t="str">
        <f t="shared" si="3"/>
        <v>EMP5009 Rup Kumar Mandal</v>
      </c>
      <c r="X412" s="103">
        <f>if(S412,if(and(hour(S412+X$7)&gt;9.5,(hour(S412+X$7)&lt;19.5)),S412+X$7,_xlfn.workday.intl(int(S412),1,"0000001",Holidays!A:A)+hour(S412+X$7-$B$1)/24+minute(S412)/1440),"")</f>
        <v>46217.80139</v>
      </c>
      <c r="Y412" s="104">
        <v>46217.45402885417</v>
      </c>
      <c r="Z412" s="105" t="s">
        <v>14</v>
      </c>
      <c r="AA412" s="111">
        <f t="shared" si="4"/>
        <v>0</v>
      </c>
      <c r="AB412" s="110" t="str">
        <f t="shared" si="5"/>
        <v>EMP5009 Rup Kumar Mandal</v>
      </c>
      <c r="AC412" s="103">
        <f>if(X412,_xlfn.WORKDAY.INTL(X412,AC$7,"0000001",Holidays!A:A)+hour(X412)/24+MINUTE(X412)/1440,"")</f>
        <v>46218.80139</v>
      </c>
      <c r="AD412" s="104">
        <v>46217.45431349537</v>
      </c>
      <c r="AE412" s="105" t="s">
        <v>14</v>
      </c>
      <c r="AF412" s="111">
        <f t="shared" si="6"/>
        <v>0</v>
      </c>
      <c r="AG412" s="110" t="str">
        <f t="shared" si="7"/>
        <v>EMP5009 Rup Kumar Mandal</v>
      </c>
      <c r="AH412" s="103">
        <f>if(AC412,if(and(hour(AC412+AH$7)&gt;9.5,(hour(AC412+AH$7)&lt;19.5)),AC412+AH$7,_xlfn.workday.intl(int(AC412),1,"0000001",Holidays!A:A)+hour(AC412+AH$7-$B$1)/24+minute(AC412)/1440),"")</f>
        <v>46220.42639</v>
      </c>
      <c r="AI412" s="104">
        <v>46218.47931722223</v>
      </c>
      <c r="AJ412" s="105" t="s">
        <v>14</v>
      </c>
      <c r="AK412" s="111">
        <f t="shared" si="8"/>
        <v>0</v>
      </c>
      <c r="AL412" s="112" t="str">
        <f t="shared" si="9"/>
        <v>EMP5009 Rup Kumar Mandal</v>
      </c>
      <c r="AM412" s="113"/>
      <c r="AN412" s="114" t="s">
        <v>672</v>
      </c>
      <c r="AO412" s="115"/>
      <c r="AP412" s="115"/>
      <c r="AQ412" s="115"/>
      <c r="AR412" s="115"/>
      <c r="AS412" s="115"/>
      <c r="AT412" s="115"/>
      <c r="AU412" s="115"/>
      <c r="AV412" s="115"/>
      <c r="AW412" s="115"/>
      <c r="AX412" s="115"/>
      <c r="AY412" s="115"/>
    </row>
    <row r="413">
      <c r="A413" s="95">
        <f t="shared" si="11"/>
        <v>5364</v>
      </c>
      <c r="B413" s="96">
        <v>46216.94332173611</v>
      </c>
      <c r="C413" s="97">
        <v>3285.0</v>
      </c>
      <c r="D413" s="97" t="s">
        <v>255</v>
      </c>
      <c r="E413" s="98" t="s">
        <v>2218</v>
      </c>
      <c r="F413" s="97"/>
      <c r="G413" s="97" t="s">
        <v>551</v>
      </c>
      <c r="H413" s="99" t="s">
        <v>138</v>
      </c>
      <c r="I413" s="100" t="s">
        <v>64</v>
      </c>
      <c r="J413" s="101" t="s">
        <v>641</v>
      </c>
      <c r="K413" s="100"/>
      <c r="L413" s="102" t="s">
        <v>2215</v>
      </c>
      <c r="M413" s="103">
        <f>if(B413,if(and(hour(B413+M$7)&gt;9.5,(hour(B413+M$7)&lt;19.5)),B413+M$7,_xlfn.workday.intl(int(B413),1,"0000001",Holidays!A:A)+hour(B413+M$7-$B$1)/24+minute(B413)/1440),"")</f>
        <v>46217.69306</v>
      </c>
      <c r="N413" s="104">
        <v>46217.453439907404</v>
      </c>
      <c r="O413" s="105" t="s">
        <v>14</v>
      </c>
      <c r="P413" s="106">
        <f t="shared" si="1"/>
        <v>0</v>
      </c>
      <c r="Q413" s="107" t="s">
        <v>72</v>
      </c>
      <c r="R413" s="108" t="s">
        <v>434</v>
      </c>
      <c r="S413" s="103">
        <f>if(M413,if(and(hour(M413+S$7)&gt;9.5,(hour(M413+S$7)&lt;19.5)),M413+S$7,_xlfn.workday.intl(int(M413),1,"0000001",Holidays!A:A)+hour(M413+S$7-$B$1)/24+minute(M413)/1440),"")</f>
        <v>46217.7</v>
      </c>
      <c r="T413" s="104">
        <v>46217.453891006946</v>
      </c>
      <c r="U413" s="105" t="s">
        <v>14</v>
      </c>
      <c r="V413" s="109">
        <f t="shared" si="2"/>
        <v>0</v>
      </c>
      <c r="W413" s="110" t="str">
        <f t="shared" si="3"/>
        <v>EMP5009 Rup Kumar Mandal</v>
      </c>
      <c r="X413" s="103">
        <f>if(S413,if(and(hour(S413+X$7)&gt;9.5,(hour(S413+X$7)&lt;19.5)),S413+X$7,_xlfn.workday.intl(int(S413),1,"0000001",Holidays!A:A)+hour(S413+X$7-$B$1)/24+minute(S413)/1440),"")</f>
        <v>46217.80417</v>
      </c>
      <c r="Y413" s="104">
        <v>46217.61782530093</v>
      </c>
      <c r="Z413" s="105" t="s">
        <v>14</v>
      </c>
      <c r="AA413" s="111">
        <f t="shared" si="4"/>
        <v>0</v>
      </c>
      <c r="AB413" s="110" t="str">
        <f t="shared" si="5"/>
        <v>EMP5009 Rup Kumar Mandal</v>
      </c>
      <c r="AC413" s="103">
        <f>if(X413,_xlfn.WORKDAY.INTL(X413,AC$7,"0000001",Holidays!A:A)+hour(X413)/24+MINUTE(X413)/1440,"")</f>
        <v>46218.80417</v>
      </c>
      <c r="AD413" s="104">
        <v>46217.454320868055</v>
      </c>
      <c r="AE413" s="105" t="s">
        <v>14</v>
      </c>
      <c r="AF413" s="111">
        <f t="shared" si="6"/>
        <v>0</v>
      </c>
      <c r="AG413" s="110" t="str">
        <f t="shared" si="7"/>
        <v>EMP5009 Rup Kumar Mandal</v>
      </c>
      <c r="AH413" s="103">
        <f>if(AC413,if(and(hour(AC413+AH$7)&gt;9.5,(hour(AC413+AH$7)&lt;19.5)),AC413+AH$7,_xlfn.workday.intl(int(AC413),1,"0000001",Holidays!A:A)+hour(AC413+AH$7-$B$1)/24+minute(AC413)/1440),"")</f>
        <v>46220.42917</v>
      </c>
      <c r="AI413" s="104">
        <v>46218.47930310185</v>
      </c>
      <c r="AJ413" s="105" t="s">
        <v>14</v>
      </c>
      <c r="AK413" s="111">
        <f t="shared" si="8"/>
        <v>0</v>
      </c>
      <c r="AL413" s="112" t="str">
        <f t="shared" si="9"/>
        <v>EMP5009 Rup Kumar Mandal</v>
      </c>
      <c r="AM413" s="113"/>
      <c r="AN413" s="114" t="s">
        <v>672</v>
      </c>
      <c r="AO413" s="115"/>
      <c r="AP413" s="115"/>
      <c r="AQ413" s="115"/>
      <c r="AR413" s="115"/>
      <c r="AS413" s="115"/>
      <c r="AT413" s="115"/>
      <c r="AU413" s="115"/>
      <c r="AV413" s="115"/>
      <c r="AW413" s="115"/>
      <c r="AX413" s="115"/>
      <c r="AY413" s="115"/>
    </row>
    <row r="414">
      <c r="A414" s="95">
        <f t="shared" si="11"/>
        <v>5365</v>
      </c>
      <c r="B414" s="96">
        <v>46216.94450377315</v>
      </c>
      <c r="C414" s="97">
        <v>3285.0</v>
      </c>
      <c r="D414" s="97" t="s">
        <v>255</v>
      </c>
      <c r="E414" s="98" t="s">
        <v>2219</v>
      </c>
      <c r="F414" s="97"/>
      <c r="G414" s="97" t="s">
        <v>551</v>
      </c>
      <c r="H414" s="99" t="s">
        <v>138</v>
      </c>
      <c r="I414" s="100" t="s">
        <v>64</v>
      </c>
      <c r="J414" s="101" t="s">
        <v>641</v>
      </c>
      <c r="K414" s="100"/>
      <c r="L414" s="102" t="s">
        <v>2215</v>
      </c>
      <c r="M414" s="103">
        <f>if(B414,if(and(hour(B414+M$7)&gt;9.5,(hour(B414+M$7)&lt;19.5)),B414+M$7,_xlfn.workday.intl(int(B414),1,"0000001",Holidays!A:A)+hour(B414+M$7-$B$1)/24+minute(B414)/1440),"")</f>
        <v>46217.69444</v>
      </c>
      <c r="N414" s="104">
        <v>46217.45345244213</v>
      </c>
      <c r="O414" s="105" t="s">
        <v>14</v>
      </c>
      <c r="P414" s="106">
        <f t="shared" si="1"/>
        <v>0</v>
      </c>
      <c r="Q414" s="107" t="s">
        <v>72</v>
      </c>
      <c r="R414" s="108" t="s">
        <v>434</v>
      </c>
      <c r="S414" s="103">
        <f>if(M414,if(and(hour(M414+S$7)&gt;9.5,(hour(M414+S$7)&lt;19.5)),M414+S$7,_xlfn.workday.intl(int(M414),1,"0000001",Holidays!A:A)+hour(M414+S$7-$B$1)/24+minute(M414)/1440),"")</f>
        <v>46217.70139</v>
      </c>
      <c r="T414" s="104">
        <v>46217.45389917824</v>
      </c>
      <c r="U414" s="105" t="s">
        <v>14</v>
      </c>
      <c r="V414" s="109">
        <f t="shared" si="2"/>
        <v>0</v>
      </c>
      <c r="W414" s="110" t="str">
        <f t="shared" si="3"/>
        <v>EMP5009 Rup Kumar Mandal</v>
      </c>
      <c r="X414" s="103">
        <f>if(S414,if(and(hour(S414+X$7)&gt;9.5,(hour(S414+X$7)&lt;19.5)),S414+X$7,_xlfn.workday.intl(int(S414),1,"0000001",Holidays!A:A)+hour(S414+X$7-$B$1)/24+minute(S414)/1440),"")</f>
        <v>46217.80556</v>
      </c>
      <c r="Y414" s="104">
        <v>46217.45403759259</v>
      </c>
      <c r="Z414" s="105" t="s">
        <v>14</v>
      </c>
      <c r="AA414" s="111">
        <f t="shared" si="4"/>
        <v>0</v>
      </c>
      <c r="AB414" s="110" t="str">
        <f t="shared" si="5"/>
        <v>EMP5009 Rup Kumar Mandal</v>
      </c>
      <c r="AC414" s="103">
        <f>if(X414,_xlfn.WORKDAY.INTL(X414,AC$7,"0000001",Holidays!A:A)+hour(X414)/24+MINUTE(X414)/1440,"")</f>
        <v>46218.80556</v>
      </c>
      <c r="AD414" s="104">
        <v>46217.617650381944</v>
      </c>
      <c r="AE414" s="105" t="s">
        <v>14</v>
      </c>
      <c r="AF414" s="111">
        <f t="shared" si="6"/>
        <v>0</v>
      </c>
      <c r="AG414" s="110" t="str">
        <f t="shared" si="7"/>
        <v>EMP5009 Rup Kumar Mandal</v>
      </c>
      <c r="AH414" s="103">
        <f>if(AC414,if(and(hour(AC414+AH$7)&gt;9.5,(hour(AC414+AH$7)&lt;19.5)),AC414+AH$7,_xlfn.workday.intl(int(AC414),1,"0000001",Holidays!A:A)+hour(AC414+AH$7-$B$1)/24+minute(AC414)/1440),"")</f>
        <v>46220.43056</v>
      </c>
      <c r="AI414" s="104">
        <v>46218.4793334375</v>
      </c>
      <c r="AJ414" s="105" t="s">
        <v>14</v>
      </c>
      <c r="AK414" s="111">
        <f t="shared" si="8"/>
        <v>0</v>
      </c>
      <c r="AL414" s="112" t="str">
        <f t="shared" si="9"/>
        <v>EMP5009 Rup Kumar Mandal</v>
      </c>
      <c r="AM414" s="113"/>
      <c r="AN414" s="114" t="s">
        <v>672</v>
      </c>
      <c r="AO414" s="115"/>
      <c r="AP414" s="115"/>
      <c r="AQ414" s="115"/>
      <c r="AR414" s="115"/>
      <c r="AS414" s="115"/>
      <c r="AT414" s="115"/>
      <c r="AU414" s="115"/>
      <c r="AV414" s="115"/>
      <c r="AW414" s="115"/>
      <c r="AX414" s="115"/>
      <c r="AY414" s="115"/>
    </row>
    <row r="415">
      <c r="A415" s="95">
        <f t="shared" si="11"/>
        <v>5366</v>
      </c>
      <c r="B415" s="96">
        <v>46216.94594608796</v>
      </c>
      <c r="C415" s="97">
        <v>2577.0</v>
      </c>
      <c r="D415" s="97" t="s">
        <v>255</v>
      </c>
      <c r="E415" s="98" t="s">
        <v>2220</v>
      </c>
      <c r="F415" s="97"/>
      <c r="G415" s="97" t="s">
        <v>2221</v>
      </c>
      <c r="H415" s="99" t="s">
        <v>103</v>
      </c>
      <c r="I415" s="100" t="s">
        <v>64</v>
      </c>
      <c r="J415" s="101" t="s">
        <v>641</v>
      </c>
      <c r="K415" s="100"/>
      <c r="L415" s="102" t="s">
        <v>2215</v>
      </c>
      <c r="M415" s="103">
        <f>if(B415,if(and(hour(B415+M$7)&gt;9.5,(hour(B415+M$7)&lt;19.5)),B415+M$7,_xlfn.workday.intl(int(B415),1,"0000001",Holidays!A:A)+hour(B415+M$7-$B$1)/24+minute(B415)/1440),"")</f>
        <v>46217.69583</v>
      </c>
      <c r="N415" s="104">
        <v>46217.45346696759</v>
      </c>
      <c r="O415" s="105" t="s">
        <v>14</v>
      </c>
      <c r="P415" s="106">
        <f t="shared" si="1"/>
        <v>0</v>
      </c>
      <c r="Q415" s="107" t="s">
        <v>72</v>
      </c>
      <c r="R415" s="108" t="s">
        <v>434</v>
      </c>
      <c r="S415" s="103">
        <f>if(M415,if(and(hour(M415+S$7)&gt;9.5,(hour(M415+S$7)&lt;19.5)),M415+S$7,_xlfn.workday.intl(int(M415),1,"0000001",Holidays!A:A)+hour(M415+S$7-$B$1)/24+minute(M415)/1440),"")</f>
        <v>46217.70278</v>
      </c>
      <c r="T415" s="104">
        <v>46217.45389917824</v>
      </c>
      <c r="U415" s="105" t="s">
        <v>14</v>
      </c>
      <c r="V415" s="109">
        <f t="shared" si="2"/>
        <v>0</v>
      </c>
      <c r="W415" s="110" t="str">
        <f t="shared" si="3"/>
        <v>EMP5009 Rup Kumar Mandal</v>
      </c>
      <c r="X415" s="103">
        <f>if(S415,if(and(hour(S415+X$7)&gt;9.5,(hour(S415+X$7)&lt;19.5)),S415+X$7,_xlfn.workday.intl(int(S415),1,"0000001",Holidays!A:A)+hour(S415+X$7-$B$1)/24+minute(S415)/1440),"")</f>
        <v>46217.80694</v>
      </c>
      <c r="Y415" s="104">
        <v>46217.454044108796</v>
      </c>
      <c r="Z415" s="105" t="s">
        <v>14</v>
      </c>
      <c r="AA415" s="111">
        <f t="shared" si="4"/>
        <v>0</v>
      </c>
      <c r="AB415" s="110" t="str">
        <f t="shared" si="5"/>
        <v>EMP5009 Rup Kumar Mandal</v>
      </c>
      <c r="AC415" s="103">
        <f>if(X415,_xlfn.WORKDAY.INTL(X415,AC$7,"0000001",Holidays!A:A)+hour(X415)/24+MINUTE(X415)/1440,"")</f>
        <v>46218.80694</v>
      </c>
      <c r="AD415" s="104">
        <v>46217.454336469906</v>
      </c>
      <c r="AE415" s="105" t="s">
        <v>14</v>
      </c>
      <c r="AF415" s="111">
        <f t="shared" si="6"/>
        <v>0</v>
      </c>
      <c r="AG415" s="110" t="str">
        <f t="shared" si="7"/>
        <v>EMP5009 Rup Kumar Mandal</v>
      </c>
      <c r="AH415" s="103">
        <f>if(AC415,if(and(hour(AC415+AH$7)&gt;9.5,(hour(AC415+AH$7)&lt;19.5)),AC415+AH$7,_xlfn.workday.intl(int(AC415),1,"0000001",Holidays!A:A)+hour(AC415+AH$7-$B$1)/24+minute(AC415)/1440),"")</f>
        <v>46220.43194</v>
      </c>
      <c r="AI415" s="104">
        <v>46218.47934311343</v>
      </c>
      <c r="AJ415" s="105" t="s">
        <v>14</v>
      </c>
      <c r="AK415" s="111">
        <f t="shared" si="8"/>
        <v>0</v>
      </c>
      <c r="AL415" s="112" t="str">
        <f t="shared" si="9"/>
        <v>EMP5009 Rup Kumar Mandal</v>
      </c>
      <c r="AM415" s="113"/>
      <c r="AN415" s="114" t="s">
        <v>672</v>
      </c>
      <c r="AO415" s="115"/>
      <c r="AP415" s="115"/>
      <c r="AQ415" s="115"/>
      <c r="AR415" s="115"/>
      <c r="AS415" s="115"/>
      <c r="AT415" s="115"/>
      <c r="AU415" s="115"/>
      <c r="AV415" s="115"/>
      <c r="AW415" s="115"/>
      <c r="AX415" s="115"/>
      <c r="AY415" s="115"/>
    </row>
    <row r="416">
      <c r="A416" s="95">
        <f t="shared" si="11"/>
        <v>5367</v>
      </c>
      <c r="B416" s="96">
        <v>46216.94893850695</v>
      </c>
      <c r="C416" s="97">
        <v>2781.0</v>
      </c>
      <c r="D416" s="97" t="s">
        <v>255</v>
      </c>
      <c r="E416" s="98" t="s">
        <v>2222</v>
      </c>
      <c r="F416" s="97"/>
      <c r="G416" s="97" t="s">
        <v>551</v>
      </c>
      <c r="H416" s="99" t="s">
        <v>103</v>
      </c>
      <c r="I416" s="100" t="s">
        <v>64</v>
      </c>
      <c r="J416" s="101" t="s">
        <v>641</v>
      </c>
      <c r="K416" s="100"/>
      <c r="L416" s="102" t="s">
        <v>2215</v>
      </c>
      <c r="M416" s="103">
        <f>if(B416,if(and(hour(B416+M$7)&gt;9.5,(hour(B416+M$7)&lt;19.5)),B416+M$7,_xlfn.workday.intl(int(B416),1,"0000001",Holidays!A:A)+hour(B416+M$7-$B$1)/24+minute(B416)/1440),"")</f>
        <v>46217.69861</v>
      </c>
      <c r="N416" s="104">
        <v>46217.45348362268</v>
      </c>
      <c r="O416" s="105" t="s">
        <v>14</v>
      </c>
      <c r="P416" s="106">
        <f t="shared" si="1"/>
        <v>0</v>
      </c>
      <c r="Q416" s="107" t="s">
        <v>72</v>
      </c>
      <c r="R416" s="108" t="s">
        <v>434</v>
      </c>
      <c r="S416" s="103">
        <f>if(M416,if(and(hour(M416+S$7)&gt;9.5,(hour(M416+S$7)&lt;19.5)),M416+S$7,_xlfn.workday.intl(int(M416),1,"0000001",Holidays!A:A)+hour(M416+S$7-$B$1)/24+minute(M416)/1440),"")</f>
        <v>46217.70556</v>
      </c>
      <c r="T416" s="104">
        <v>46217.4539065625</v>
      </c>
      <c r="U416" s="105" t="s">
        <v>14</v>
      </c>
      <c r="V416" s="109">
        <f t="shared" si="2"/>
        <v>0</v>
      </c>
      <c r="W416" s="110" t="str">
        <f t="shared" si="3"/>
        <v>EMP5009 Rup Kumar Mandal</v>
      </c>
      <c r="X416" s="103">
        <f>if(S416,if(and(hour(S416+X$7)&gt;9.5,(hour(S416+X$7)&lt;19.5)),S416+X$7,_xlfn.workday.intl(int(S416),1,"0000001",Holidays!A:A)+hour(S416+X$7-$B$1)/24+minute(S416)/1440),"")</f>
        <v>46217.80972</v>
      </c>
      <c r="Y416" s="104">
        <v>46217.61726097223</v>
      </c>
      <c r="Z416" s="105" t="s">
        <v>14</v>
      </c>
      <c r="AA416" s="111">
        <f t="shared" si="4"/>
        <v>0</v>
      </c>
      <c r="AB416" s="110" t="str">
        <f t="shared" si="5"/>
        <v>EMP5009 Rup Kumar Mandal</v>
      </c>
      <c r="AC416" s="103">
        <f>if(X416,_xlfn.WORKDAY.INTL(X416,AC$7,"0000001",Holidays!A:A)+hour(X416)/24+MINUTE(X416)/1440,"")</f>
        <v>46218.80972</v>
      </c>
      <c r="AD416" s="104">
        <v>46217.61771332176</v>
      </c>
      <c r="AE416" s="105" t="s">
        <v>14</v>
      </c>
      <c r="AF416" s="111">
        <f t="shared" si="6"/>
        <v>0</v>
      </c>
      <c r="AG416" s="110" t="str">
        <f t="shared" si="7"/>
        <v>EMP5009 Rup Kumar Mandal</v>
      </c>
      <c r="AH416" s="103">
        <f>if(AC416,if(and(hour(AC416+AH$7)&gt;9.5,(hour(AC416+AH$7)&lt;19.5)),AC416+AH$7,_xlfn.workday.intl(int(AC416),1,"0000001",Holidays!A:A)+hour(AC416+AH$7-$B$1)/24+minute(AC416)/1440),"")</f>
        <v>46220.43472</v>
      </c>
      <c r="AI416" s="104">
        <v>46218.479372511574</v>
      </c>
      <c r="AJ416" s="105" t="s">
        <v>14</v>
      </c>
      <c r="AK416" s="111">
        <f t="shared" si="8"/>
        <v>0</v>
      </c>
      <c r="AL416" s="112" t="str">
        <f t="shared" si="9"/>
        <v>EMP5009 Rup Kumar Mandal</v>
      </c>
      <c r="AM416" s="113"/>
      <c r="AN416" s="114" t="s">
        <v>672</v>
      </c>
      <c r="AO416" s="115"/>
      <c r="AP416" s="115"/>
      <c r="AQ416" s="115"/>
      <c r="AR416" s="115"/>
      <c r="AS416" s="115"/>
      <c r="AT416" s="115"/>
      <c r="AU416" s="115"/>
      <c r="AV416" s="115"/>
      <c r="AW416" s="115"/>
      <c r="AX416" s="115"/>
      <c r="AY416" s="115"/>
    </row>
    <row r="417">
      <c r="A417" s="95">
        <f t="shared" si="11"/>
        <v>5368</v>
      </c>
      <c r="B417" s="96">
        <v>46216.95057814815</v>
      </c>
      <c r="C417" s="97">
        <v>3361.0</v>
      </c>
      <c r="D417" s="97" t="s">
        <v>255</v>
      </c>
      <c r="E417" s="98" t="s">
        <v>2223</v>
      </c>
      <c r="F417" s="97"/>
      <c r="G417" s="97" t="s">
        <v>2221</v>
      </c>
      <c r="H417" s="99" t="s">
        <v>147</v>
      </c>
      <c r="I417" s="100" t="s">
        <v>64</v>
      </c>
      <c r="J417" s="101" t="s">
        <v>641</v>
      </c>
      <c r="K417" s="100"/>
      <c r="L417" s="102" t="s">
        <v>2215</v>
      </c>
      <c r="M417" s="103">
        <f>if(B417,if(and(hour(B417+M$7)&gt;9.5,(hour(B417+M$7)&lt;19.5)),B417+M$7,_xlfn.workday.intl(int(B417),1,"0000001",Holidays!A:A)+hour(B417+M$7-$B$1)/24+minute(B417)/1440),"")</f>
        <v>46217.7</v>
      </c>
      <c r="N417" s="104">
        <v>46217.45350643518</v>
      </c>
      <c r="O417" s="105" t="s">
        <v>14</v>
      </c>
      <c r="P417" s="106">
        <f t="shared" si="1"/>
        <v>0</v>
      </c>
      <c r="Q417" s="107" t="s">
        <v>72</v>
      </c>
      <c r="R417" s="108" t="s">
        <v>434</v>
      </c>
      <c r="S417" s="103">
        <f>if(M417,if(and(hour(M417+S$7)&gt;9.5,(hour(M417+S$7)&lt;19.5)),M417+S$7,_xlfn.workday.intl(int(M417),1,"0000001",Holidays!A:A)+hour(M417+S$7-$B$1)/24+minute(M417)/1440),"")</f>
        <v>46217.70694</v>
      </c>
      <c r="T417" s="104">
        <v>46217.45391487268</v>
      </c>
      <c r="U417" s="105" t="s">
        <v>14</v>
      </c>
      <c r="V417" s="109">
        <f t="shared" si="2"/>
        <v>0</v>
      </c>
      <c r="W417" s="110" t="str">
        <f t="shared" si="3"/>
        <v>EMP5009 Rup Kumar Mandal</v>
      </c>
      <c r="X417" s="103">
        <f>if(S417,if(and(hour(S417+X$7)&gt;9.5,(hour(S417+X$7)&lt;19.5)),S417+X$7,_xlfn.workday.intl(int(S417),1,"0000001",Holidays!A:A)+hour(S417+X$7-$B$1)/24+minute(S417)/1440),"")</f>
        <v>46217.81111</v>
      </c>
      <c r="Y417" s="104">
        <v>46217.45405167824</v>
      </c>
      <c r="Z417" s="105" t="s">
        <v>14</v>
      </c>
      <c r="AA417" s="111">
        <f t="shared" si="4"/>
        <v>0</v>
      </c>
      <c r="AB417" s="110" t="str">
        <f t="shared" si="5"/>
        <v>EMP5009 Rup Kumar Mandal</v>
      </c>
      <c r="AC417" s="103">
        <f>if(X417,_xlfn.WORKDAY.INTL(X417,AC$7,"0000001",Holidays!A:A)+hour(X417)/24+MINUTE(X417)/1440,"")</f>
        <v>46218.81111</v>
      </c>
      <c r="AD417" s="104">
        <v>46217.45434067129</v>
      </c>
      <c r="AE417" s="105" t="s">
        <v>14</v>
      </c>
      <c r="AF417" s="111">
        <f t="shared" si="6"/>
        <v>0</v>
      </c>
      <c r="AG417" s="110" t="str">
        <f t="shared" si="7"/>
        <v>EMP5009 Rup Kumar Mandal</v>
      </c>
      <c r="AH417" s="103">
        <f>if(AC417,if(and(hour(AC417+AH$7)&gt;9.5,(hour(AC417+AH$7)&lt;19.5)),AC417+AH$7,_xlfn.workday.intl(int(AC417),1,"0000001",Holidays!A:A)+hour(AC417+AH$7-$B$1)/24+minute(AC417)/1440),"")</f>
        <v>46220.43611</v>
      </c>
      <c r="AI417" s="104">
        <v>46218.479362199076</v>
      </c>
      <c r="AJ417" s="105" t="s">
        <v>14</v>
      </c>
      <c r="AK417" s="111">
        <f t="shared" si="8"/>
        <v>0</v>
      </c>
      <c r="AL417" s="112" t="str">
        <f t="shared" si="9"/>
        <v>EMP5009 Rup Kumar Mandal</v>
      </c>
      <c r="AM417" s="113"/>
      <c r="AN417" s="114" t="s">
        <v>672</v>
      </c>
      <c r="AO417" s="115"/>
      <c r="AP417" s="115"/>
      <c r="AQ417" s="115"/>
      <c r="AR417" s="115"/>
      <c r="AS417" s="115"/>
      <c r="AT417" s="115"/>
      <c r="AU417" s="115"/>
      <c r="AV417" s="115"/>
      <c r="AW417" s="115"/>
      <c r="AX417" s="115"/>
      <c r="AY417" s="115"/>
    </row>
    <row r="418">
      <c r="A418" s="95">
        <f t="shared" si="11"/>
        <v>5369</v>
      </c>
      <c r="B418" s="96">
        <v>46216.952517048616</v>
      </c>
      <c r="C418" s="289">
        <v>3.3083375E7</v>
      </c>
      <c r="D418" s="97" t="s">
        <v>255</v>
      </c>
      <c r="E418" s="98" t="s">
        <v>2224</v>
      </c>
      <c r="F418" s="97"/>
      <c r="G418" s="97" t="s">
        <v>2221</v>
      </c>
      <c r="H418" s="99" t="s">
        <v>138</v>
      </c>
      <c r="I418" s="100" t="s">
        <v>64</v>
      </c>
      <c r="J418" s="101" t="s">
        <v>641</v>
      </c>
      <c r="K418" s="100"/>
      <c r="L418" s="102" t="s">
        <v>2215</v>
      </c>
      <c r="M418" s="103">
        <f>if(B418,if(and(hour(B418+M$7)&gt;9.5,(hour(B418+M$7)&lt;19.5)),B418+M$7,_xlfn.workday.intl(int(B418),1,"0000001",Holidays!A:A)+hour(B418+M$7-$B$1)/24+minute(B418)/1440),"")</f>
        <v>46217.70208</v>
      </c>
      <c r="N418" s="104">
        <v>46217.45352789352</v>
      </c>
      <c r="O418" s="105" t="s">
        <v>14</v>
      </c>
      <c r="P418" s="106">
        <f t="shared" si="1"/>
        <v>0</v>
      </c>
      <c r="Q418" s="107" t="s">
        <v>72</v>
      </c>
      <c r="R418" s="108" t="s">
        <v>434</v>
      </c>
      <c r="S418" s="103">
        <f>if(M418,if(and(hour(M418+S$7)&gt;9.5,(hour(M418+S$7)&lt;19.5)),M418+S$7,_xlfn.workday.intl(int(M418),1,"0000001",Holidays!A:A)+hour(M418+S$7-$B$1)/24+minute(M418)/1440),"")</f>
        <v>46217.70903</v>
      </c>
      <c r="T418" s="104">
        <v>46217.45392572916</v>
      </c>
      <c r="U418" s="105" t="s">
        <v>14</v>
      </c>
      <c r="V418" s="109">
        <f t="shared" si="2"/>
        <v>0</v>
      </c>
      <c r="W418" s="110" t="str">
        <f t="shared" si="3"/>
        <v>EMP5009 Rup Kumar Mandal</v>
      </c>
      <c r="X418" s="103">
        <f>if(S418,if(and(hour(S418+X$7)&gt;9.5,(hour(S418+X$7)&lt;19.5)),S418+X$7,_xlfn.workday.intl(int(S418),1,"0000001",Holidays!A:A)+hour(S418+X$7-$B$1)/24+minute(S418)/1440),"")</f>
        <v>46217.81319</v>
      </c>
      <c r="Y418" s="104">
        <v>46217.4540619676</v>
      </c>
      <c r="Z418" s="105" t="s">
        <v>14</v>
      </c>
      <c r="AA418" s="111">
        <f t="shared" si="4"/>
        <v>0</v>
      </c>
      <c r="AB418" s="110" t="str">
        <f t="shared" si="5"/>
        <v>EMP5009 Rup Kumar Mandal</v>
      </c>
      <c r="AC418" s="103">
        <f>if(X418,_xlfn.WORKDAY.INTL(X418,AC$7,"0000001",Holidays!A:A)+hour(X418)/24+MINUTE(X418)/1440,"")</f>
        <v>46218.81319</v>
      </c>
      <c r="AD418" s="104">
        <v>46217.45434819444</v>
      </c>
      <c r="AE418" s="105" t="s">
        <v>14</v>
      </c>
      <c r="AF418" s="111">
        <f t="shared" si="6"/>
        <v>0</v>
      </c>
      <c r="AG418" s="110" t="str">
        <f t="shared" si="7"/>
        <v>EMP5009 Rup Kumar Mandal</v>
      </c>
      <c r="AH418" s="103">
        <f>if(AC418,if(and(hour(AC418+AH$7)&gt;9.5,(hour(AC418+AH$7)&lt;19.5)),AC418+AH$7,_xlfn.workday.intl(int(AC418),1,"0000001",Holidays!A:A)+hour(AC418+AH$7-$B$1)/24+minute(AC418)/1440),"")</f>
        <v>46220.43819</v>
      </c>
      <c r="AI418" s="104">
        <v>46218.479370960646</v>
      </c>
      <c r="AJ418" s="105" t="s">
        <v>14</v>
      </c>
      <c r="AK418" s="111">
        <f t="shared" si="8"/>
        <v>0</v>
      </c>
      <c r="AL418" s="112" t="str">
        <f t="shared" si="9"/>
        <v>EMP5009 Rup Kumar Mandal</v>
      </c>
      <c r="AM418" s="113"/>
      <c r="AN418" s="114" t="s">
        <v>672</v>
      </c>
      <c r="AO418" s="115"/>
      <c r="AP418" s="115"/>
      <c r="AQ418" s="115"/>
      <c r="AR418" s="115"/>
      <c r="AS418" s="115"/>
      <c r="AT418" s="115"/>
      <c r="AU418" s="115"/>
      <c r="AV418" s="115"/>
      <c r="AW418" s="115"/>
      <c r="AX418" s="115"/>
      <c r="AY418" s="115"/>
    </row>
    <row r="419">
      <c r="A419" s="95">
        <f t="shared" si="11"/>
        <v>5370</v>
      </c>
      <c r="B419" s="96">
        <v>46216.95405111111</v>
      </c>
      <c r="C419" s="97">
        <v>2782.0</v>
      </c>
      <c r="D419" s="97" t="s">
        <v>255</v>
      </c>
      <c r="E419" s="98" t="s">
        <v>2225</v>
      </c>
      <c r="F419" s="97"/>
      <c r="G419" s="97" t="s">
        <v>2221</v>
      </c>
      <c r="H419" s="99" t="s">
        <v>103</v>
      </c>
      <c r="I419" s="100" t="s">
        <v>64</v>
      </c>
      <c r="J419" s="101" t="s">
        <v>641</v>
      </c>
      <c r="K419" s="100"/>
      <c r="L419" s="102" t="s">
        <v>2215</v>
      </c>
      <c r="M419" s="103">
        <f>if(B419,if(and(hour(B419+M$7)&gt;9.5,(hour(B419+M$7)&lt;19.5)),B419+M$7,_xlfn.workday.intl(int(B419),1,"0000001",Holidays!A:A)+hour(B419+M$7-$B$1)/24+minute(B419)/1440),"")</f>
        <v>46217.70347</v>
      </c>
      <c r="N419" s="104">
        <v>46217.453559270834</v>
      </c>
      <c r="O419" s="105" t="s">
        <v>14</v>
      </c>
      <c r="P419" s="106">
        <f t="shared" si="1"/>
        <v>0</v>
      </c>
      <c r="Q419" s="107" t="s">
        <v>72</v>
      </c>
      <c r="R419" s="108" t="s">
        <v>434</v>
      </c>
      <c r="S419" s="103">
        <f>if(M419,if(and(hour(M419+S$7)&gt;9.5,(hour(M419+S$7)&lt;19.5)),M419+S$7,_xlfn.workday.intl(int(M419),1,"0000001",Holidays!A:A)+hour(M419+S$7-$B$1)/24+minute(M419)/1440),"")</f>
        <v>46217.71042</v>
      </c>
      <c r="T419" s="104">
        <v>46217.61717438657</v>
      </c>
      <c r="U419" s="105" t="s">
        <v>14</v>
      </c>
      <c r="V419" s="109">
        <f t="shared" si="2"/>
        <v>0</v>
      </c>
      <c r="W419" s="110" t="str">
        <f t="shared" si="3"/>
        <v>EMP5009 Rup Kumar Mandal</v>
      </c>
      <c r="X419" s="103">
        <f>if(S419,if(and(hour(S419+X$7)&gt;9.5,(hour(S419+X$7)&lt;19.5)),S419+X$7,_xlfn.workday.intl(int(S419),1,"0000001",Holidays!A:A)+hour(S419+X$7-$B$1)/24+minute(S419)/1440),"")</f>
        <v>46217.81458</v>
      </c>
      <c r="Y419" s="104">
        <v>46217.61731339121</v>
      </c>
      <c r="Z419" s="105" t="s">
        <v>14</v>
      </c>
      <c r="AA419" s="111">
        <f t="shared" si="4"/>
        <v>0</v>
      </c>
      <c r="AB419" s="110" t="str">
        <f t="shared" si="5"/>
        <v>EMP5009 Rup Kumar Mandal</v>
      </c>
      <c r="AC419" s="103">
        <f>if(X419,_xlfn.WORKDAY.INTL(X419,AC$7,"0000001",Holidays!A:A)+hour(X419)/24+MINUTE(X419)/1440,"")</f>
        <v>46218.81458</v>
      </c>
      <c r="AD419" s="104">
        <v>46217.45435712963</v>
      </c>
      <c r="AE419" s="105" t="s">
        <v>14</v>
      </c>
      <c r="AF419" s="111">
        <f t="shared" si="6"/>
        <v>0</v>
      </c>
      <c r="AG419" s="110" t="str">
        <f t="shared" si="7"/>
        <v>EMP5009 Rup Kumar Mandal</v>
      </c>
      <c r="AH419" s="103">
        <f>if(AC419,if(and(hour(AC419+AH$7)&gt;9.5,(hour(AC419+AH$7)&lt;19.5)),AC419+AH$7,_xlfn.workday.intl(int(AC419),1,"0000001",Holidays!A:A)+hour(AC419+AH$7-$B$1)/24+minute(AC419)/1440),"")</f>
        <v>46220.43958</v>
      </c>
      <c r="AI419" s="104">
        <v>46218.47937798611</v>
      </c>
      <c r="AJ419" s="105" t="s">
        <v>14</v>
      </c>
      <c r="AK419" s="111">
        <f t="shared" si="8"/>
        <v>0</v>
      </c>
      <c r="AL419" s="112" t="str">
        <f t="shared" si="9"/>
        <v>EMP5009 Rup Kumar Mandal</v>
      </c>
      <c r="AM419" s="113"/>
      <c r="AN419" s="114" t="s">
        <v>672</v>
      </c>
      <c r="AO419" s="115"/>
      <c r="AP419" s="115"/>
      <c r="AQ419" s="115"/>
      <c r="AR419" s="115"/>
      <c r="AS419" s="115"/>
      <c r="AT419" s="115"/>
      <c r="AU419" s="115"/>
      <c r="AV419" s="115"/>
      <c r="AW419" s="115"/>
      <c r="AX419" s="115"/>
      <c r="AY419" s="115"/>
    </row>
    <row r="420">
      <c r="A420" s="95">
        <f t="shared" si="11"/>
        <v>5371</v>
      </c>
      <c r="B420" s="96">
        <v>46217.55946069444</v>
      </c>
      <c r="C420" s="97" t="s">
        <v>1699</v>
      </c>
      <c r="D420" s="97" t="s">
        <v>921</v>
      </c>
      <c r="E420" s="98" t="s">
        <v>2226</v>
      </c>
      <c r="F420" s="97"/>
      <c r="G420" s="97" t="s">
        <v>674</v>
      </c>
      <c r="H420" s="99" t="s">
        <v>62</v>
      </c>
      <c r="I420" s="100" t="s">
        <v>64</v>
      </c>
      <c r="J420" s="101" t="s">
        <v>662</v>
      </c>
      <c r="K420" s="100"/>
      <c r="L420" s="102" t="s">
        <v>2227</v>
      </c>
      <c r="M420" s="103">
        <f>if(B420,if(and(hour(B420+M$7)&gt;9.5,(hour(B420+M$7)&lt;19.5)),B420+M$7,_xlfn.workday.intl(int(B420),1,"0000001",Holidays!A:A)+hour(B420+M$7-$B$1)/24+minute(B420)/1440),"")</f>
        <v>46217.72613</v>
      </c>
      <c r="N420" s="104">
        <v>46217.61666626157</v>
      </c>
      <c r="O420" s="105" t="s">
        <v>14</v>
      </c>
      <c r="P420" s="106">
        <f t="shared" si="1"/>
        <v>0</v>
      </c>
      <c r="Q420" s="107" t="s">
        <v>72</v>
      </c>
      <c r="R420" s="108" t="s">
        <v>434</v>
      </c>
      <c r="S420" s="103">
        <f>if(M420,if(and(hour(M420+S$7)&gt;9.5,(hour(M420+S$7)&lt;19.5)),M420+S$7,_xlfn.workday.intl(int(M420),1,"0000001",Holidays!A:A)+hour(M420+S$7-$B$1)/24+minute(M420)/1440),"")</f>
        <v>46217.73307</v>
      </c>
      <c r="T420" s="104">
        <v>46217.616996365745</v>
      </c>
      <c r="U420" s="105" t="s">
        <v>14</v>
      </c>
      <c r="V420" s="109">
        <f t="shared" si="2"/>
        <v>0</v>
      </c>
      <c r="W420" s="110" t="str">
        <f t="shared" si="3"/>
        <v>EMP5009 Rup Kumar Mandal</v>
      </c>
      <c r="X420" s="103">
        <f>if(S420,if(and(hour(S420+X$7)&gt;9.5,(hour(S420+X$7)&lt;19.5)),S420+X$7,_xlfn.workday.intl(int(S420),1,"0000001",Holidays!A:A)+hour(S420+X$7-$B$1)/24+minute(S420)/1440),"")</f>
        <v>46218.44097</v>
      </c>
      <c r="Y420" s="104">
        <v>46217.61734768518</v>
      </c>
      <c r="Z420" s="105" t="s">
        <v>14</v>
      </c>
      <c r="AA420" s="111">
        <f t="shared" si="4"/>
        <v>0</v>
      </c>
      <c r="AB420" s="110" t="str">
        <f t="shared" si="5"/>
        <v>EMP5009 Rup Kumar Mandal</v>
      </c>
      <c r="AC420" s="103">
        <f>if(X420,_xlfn.WORKDAY.INTL(X420,AC$7,"0000001",Holidays!A:A)+hour(X420)/24+MINUTE(X420)/1440,"")</f>
        <v>46220.44097</v>
      </c>
      <c r="AD420" s="104">
        <v>46218.47945274306</v>
      </c>
      <c r="AE420" s="105" t="s">
        <v>14</v>
      </c>
      <c r="AF420" s="111">
        <f t="shared" si="6"/>
        <v>0</v>
      </c>
      <c r="AG420" s="110" t="str">
        <f t="shared" si="7"/>
        <v>EMP5009 Rup Kumar Mandal</v>
      </c>
      <c r="AH420" s="103">
        <f>if(AC420,if(and(hour(AC420+AH$7)&gt;9.5,(hour(AC420+AH$7)&lt;19.5)),AC420+AH$7,_xlfn.workday.intl(int(AC420),1,"0000001",Holidays!A:A)+hour(AC420+AH$7-$B$1)/24+minute(AC420)/1440),"")</f>
        <v>46220.48264</v>
      </c>
      <c r="AI420" s="104">
        <v>46218.47950168981</v>
      </c>
      <c r="AJ420" s="105" t="s">
        <v>14</v>
      </c>
      <c r="AK420" s="111">
        <f t="shared" si="8"/>
        <v>0</v>
      </c>
      <c r="AL420" s="112" t="str">
        <f t="shared" si="9"/>
        <v>EMP5009 Rup Kumar Mandal</v>
      </c>
      <c r="AM420" s="113"/>
      <c r="AN420" s="114" t="s">
        <v>672</v>
      </c>
      <c r="AO420" s="115"/>
      <c r="AP420" s="115"/>
      <c r="AQ420" s="115"/>
      <c r="AR420" s="115"/>
      <c r="AS420" s="115"/>
      <c r="AT420" s="115"/>
      <c r="AU420" s="115"/>
      <c r="AV420" s="115"/>
      <c r="AW420" s="115"/>
      <c r="AX420" s="115"/>
      <c r="AY420" s="115"/>
    </row>
    <row r="421">
      <c r="A421" s="95">
        <f t="shared" si="11"/>
        <v>5372</v>
      </c>
      <c r="B421" s="96">
        <v>46217.74988240741</v>
      </c>
      <c r="C421" s="97" t="s">
        <v>2231</v>
      </c>
      <c r="D421" s="97" t="s">
        <v>2228</v>
      </c>
      <c r="E421" s="98" t="s">
        <v>2229</v>
      </c>
      <c r="F421" s="98" t="s">
        <v>2232</v>
      </c>
      <c r="G421" s="97" t="s">
        <v>2193</v>
      </c>
      <c r="H421" s="99" t="s">
        <v>62</v>
      </c>
      <c r="I421" s="100" t="s">
        <v>64</v>
      </c>
      <c r="J421" s="101" t="s">
        <v>2067</v>
      </c>
      <c r="K421" s="100"/>
      <c r="L421" s="102" t="s">
        <v>2230</v>
      </c>
      <c r="M421" s="103">
        <f>if(B421,if(and(hour(B421+M$7)&gt;9.5,(hour(B421+M$7)&lt;19.5)),B421+M$7,_xlfn.workday.intl(int(B421),1,"0000001",Holidays!A:A)+hour(B421+M$7-$B$1)/24+minute(B421)/1440),"")</f>
        <v>46218.49931</v>
      </c>
      <c r="N421" s="104">
        <v>46217.817527164356</v>
      </c>
      <c r="O421" s="105" t="s">
        <v>14</v>
      </c>
      <c r="P421" s="106">
        <f t="shared" si="1"/>
        <v>0</v>
      </c>
      <c r="Q421" s="107" t="s">
        <v>15</v>
      </c>
      <c r="R421" s="108" t="s">
        <v>434</v>
      </c>
      <c r="S421" s="103">
        <f>if(M421,if(and(hour(M421+S$7)&gt;9.5,(hour(M421+S$7)&lt;19.5)),M421+S$7,_xlfn.workday.intl(int(M421),1,"0000001",Holidays!A:A)+hour(M421+S$7-$B$1)/24+minute(M421)/1440),"")</f>
        <v>46218.50625</v>
      </c>
      <c r="T421" s="104">
        <v>46217.817612314815</v>
      </c>
      <c r="U421" s="105" t="s">
        <v>14</v>
      </c>
      <c r="V421" s="109">
        <f t="shared" si="2"/>
        <v>0</v>
      </c>
      <c r="W421" s="110" t="str">
        <f t="shared" si="3"/>
        <v>EMP0042 HULESHWAR KUMAR SAHU</v>
      </c>
      <c r="X421" s="103">
        <f>if(S421,if(and(hour(S421+X$7)&gt;9.5,(hour(S421+X$7)&lt;19.5)),S421+X$7,_xlfn.workday.intl(int(S421),1,"0000001",Holidays!A:A)+hour(S421+X$7-$B$1)/24+minute(S421)/1440),"")</f>
        <v>46218.61042</v>
      </c>
      <c r="Y421" s="104">
        <v>46217.817664270835</v>
      </c>
      <c r="Z421" s="105" t="s">
        <v>14</v>
      </c>
      <c r="AA421" s="111">
        <f t="shared" si="4"/>
        <v>0</v>
      </c>
      <c r="AB421" s="110" t="str">
        <f t="shared" si="5"/>
        <v>EMP0042 HULESHWAR KUMAR SAHU</v>
      </c>
      <c r="AC421" s="103">
        <f>if(X421,_xlfn.WORKDAY.INTL(X421,AC$7,"0000001",Holidays!A:A)+hour(X421)/24+MINUTE(X421)/1440,"")</f>
        <v>46220.61042</v>
      </c>
      <c r="AD421" s="104">
        <v>46218.801252997684</v>
      </c>
      <c r="AE421" s="105" t="s">
        <v>14</v>
      </c>
      <c r="AF421" s="111">
        <f t="shared" si="6"/>
        <v>0</v>
      </c>
      <c r="AG421" s="110" t="str">
        <f t="shared" si="7"/>
        <v>EMP0042 HULESHWAR KUMAR SAHU</v>
      </c>
      <c r="AH421" s="103">
        <f>if(AC421,if(and(hour(AC421+AH$7)&gt;9.5,(hour(AC421+AH$7)&lt;19.5)),AC421+AH$7,_xlfn.workday.intl(int(AC421),1,"0000001",Holidays!A:A)+hour(AC421+AH$7-$B$1)/24+minute(AC421)/1440),"")</f>
        <v>46220.65208</v>
      </c>
      <c r="AI421" s="104">
        <v>46218.80127127314</v>
      </c>
      <c r="AJ421" s="105" t="s">
        <v>14</v>
      </c>
      <c r="AK421" s="111">
        <f t="shared" si="8"/>
        <v>0</v>
      </c>
      <c r="AL421" s="112" t="str">
        <f t="shared" si="9"/>
        <v>EMP0042 HULESHWAR KUMAR SAHU</v>
      </c>
      <c r="AM421" s="113"/>
      <c r="AN421" s="114" t="s">
        <v>672</v>
      </c>
      <c r="AO421" s="115"/>
      <c r="AP421" s="115"/>
      <c r="AQ421" s="115"/>
      <c r="AR421" s="115"/>
      <c r="AS421" s="115"/>
      <c r="AT421" s="115"/>
      <c r="AU421" s="115"/>
      <c r="AV421" s="115"/>
      <c r="AW421" s="115"/>
      <c r="AX421" s="115"/>
      <c r="AY421" s="115"/>
    </row>
    <row r="422">
      <c r="A422" s="95">
        <f t="shared" si="11"/>
        <v>5373</v>
      </c>
      <c r="B422" s="96">
        <v>46218.495863460645</v>
      </c>
      <c r="C422" s="97" t="s">
        <v>2236</v>
      </c>
      <c r="D422" s="97" t="s">
        <v>186</v>
      </c>
      <c r="E422" s="98" t="s">
        <v>2233</v>
      </c>
      <c r="F422" s="97"/>
      <c r="G422" s="97" t="s">
        <v>2234</v>
      </c>
      <c r="H422" s="99" t="s">
        <v>138</v>
      </c>
      <c r="I422" s="100" t="s">
        <v>64</v>
      </c>
      <c r="J422" s="101" t="s">
        <v>1178</v>
      </c>
      <c r="K422" s="100"/>
      <c r="L422" s="102" t="s">
        <v>2235</v>
      </c>
      <c r="M422" s="103">
        <f>if(B422,if(and(hour(B422+M$7)&gt;9.5,(hour(B422+M$7)&lt;19.5)),B422+M$7,_xlfn.workday.intl(int(B422),1,"0000001",Holidays!A:A)+hour(B422+M$7-$B$1)/24+minute(B422)/1440),"")</f>
        <v>46218.66253</v>
      </c>
      <c r="N422" s="104">
        <v>46218.503333078705</v>
      </c>
      <c r="O422" s="105" t="s">
        <v>14</v>
      </c>
      <c r="P422" s="106">
        <f t="shared" si="1"/>
        <v>0</v>
      </c>
      <c r="Q422" s="107" t="s">
        <v>61</v>
      </c>
      <c r="R422" s="108" t="s">
        <v>434</v>
      </c>
      <c r="S422" s="103">
        <f>if(M422,if(and(hour(M422+S$7)&gt;9.5,(hour(M422+S$7)&lt;19.5)),M422+S$7,_xlfn.workday.intl(int(M422),1,"0000001",Holidays!A:A)+hour(M422+S$7-$B$1)/24+minute(M422)/1440),"")</f>
        <v>46218.66947</v>
      </c>
      <c r="T422" s="104">
        <v>46218.50339539352</v>
      </c>
      <c r="U422" s="105" t="s">
        <v>14</v>
      </c>
      <c r="V422" s="109">
        <f t="shared" si="2"/>
        <v>0</v>
      </c>
      <c r="W422" s="110" t="str">
        <f t="shared" si="3"/>
        <v>EMP0021 Tamanna Dewangan</v>
      </c>
      <c r="X422" s="103">
        <f>if(S422,if(and(hour(S422+X$7)&gt;9.5,(hour(S422+X$7)&lt;19.5)),S422+X$7,_xlfn.workday.intl(int(S422),1,"0000001",Holidays!A:A)+hour(S422+X$7-$B$1)/24+minute(S422)/1440),"")</f>
        <v>46218.77364</v>
      </c>
      <c r="Y422" s="104">
        <v>46218.503439259264</v>
      </c>
      <c r="Z422" s="105" t="s">
        <v>14</v>
      </c>
      <c r="AA422" s="111">
        <f t="shared" si="4"/>
        <v>0</v>
      </c>
      <c r="AB422" s="110" t="str">
        <f t="shared" si="5"/>
        <v>EMP0021 Tamanna Dewangan</v>
      </c>
      <c r="AC422" s="103">
        <f>if(X422,_xlfn.WORKDAY.INTL(X422,AC$7,"0000001",Holidays!A:A)+hour(X422)/24+MINUTE(X422)/1440,"")</f>
        <v>46220.77361</v>
      </c>
      <c r="AD422" s="104">
        <v>46218.851391331016</v>
      </c>
      <c r="AE422" s="105" t="s">
        <v>14</v>
      </c>
      <c r="AF422" s="111">
        <f t="shared" si="6"/>
        <v>0</v>
      </c>
      <c r="AG422" s="110" t="str">
        <f t="shared" si="7"/>
        <v>EMP0021 Tamanna Dewangan</v>
      </c>
      <c r="AH422" s="103">
        <f>if(AC422,if(and(hour(AC422+AH$7)&gt;9.5,(hour(AC422+AH$7)&lt;19.5)),AC422+AH$7,_xlfn.workday.intl(int(AC422),1,"0000001",Holidays!A:A)+hour(AC422+AH$7-$B$1)/24+minute(AC422)/1440),"")</f>
        <v>46220.81528</v>
      </c>
      <c r="AI422" s="104">
        <v>46218.85145519676</v>
      </c>
      <c r="AJ422" s="105" t="s">
        <v>14</v>
      </c>
      <c r="AK422" s="111">
        <f t="shared" si="8"/>
        <v>0</v>
      </c>
      <c r="AL422" s="112" t="str">
        <f t="shared" si="9"/>
        <v>EMP0021 Tamanna Dewangan</v>
      </c>
      <c r="AM422" s="113"/>
      <c r="AN422" s="114" t="s">
        <v>672</v>
      </c>
      <c r="AO422" s="115"/>
      <c r="AP422" s="115"/>
      <c r="AQ422" s="115"/>
      <c r="AR422" s="115"/>
      <c r="AS422" s="115"/>
      <c r="AT422" s="115"/>
      <c r="AU422" s="115"/>
      <c r="AV422" s="115"/>
      <c r="AW422" s="115"/>
      <c r="AX422" s="115"/>
      <c r="AY422" s="115"/>
    </row>
    <row r="423">
      <c r="A423" s="95">
        <f t="shared" si="11"/>
        <v>5374</v>
      </c>
      <c r="B423" s="96">
        <v>46218.51386076389</v>
      </c>
      <c r="C423" s="97" t="s">
        <v>2241</v>
      </c>
      <c r="D423" s="97" t="s">
        <v>2237</v>
      </c>
      <c r="E423" s="98" t="s">
        <v>2238</v>
      </c>
      <c r="F423" s="97"/>
      <c r="G423" s="97" t="s">
        <v>2239</v>
      </c>
      <c r="H423" s="99" t="s">
        <v>62</v>
      </c>
      <c r="I423" s="100" t="s">
        <v>64</v>
      </c>
      <c r="J423" s="101" t="s">
        <v>2067</v>
      </c>
      <c r="K423" s="100"/>
      <c r="L423" s="102" t="s">
        <v>2240</v>
      </c>
      <c r="M423" s="103">
        <f>if(B423,if(and(hour(B423+M$7)&gt;9.5,(hour(B423+M$7)&lt;19.5)),B423+M$7,_xlfn.workday.intl(int(B423),1,"0000001",Holidays!A:A)+hour(B423+M$7-$B$1)/24+minute(B423)/1440),"")</f>
        <v>46218.68053</v>
      </c>
      <c r="N423" s="104">
        <v>46218.53204796296</v>
      </c>
      <c r="O423" s="105" t="s">
        <v>14</v>
      </c>
      <c r="P423" s="106">
        <f t="shared" si="1"/>
        <v>0</v>
      </c>
      <c r="Q423" s="107" t="s">
        <v>48</v>
      </c>
      <c r="R423" s="108" t="s">
        <v>434</v>
      </c>
      <c r="S423" s="103">
        <f>if(M423,if(and(hour(M423+S$7)&gt;9.5,(hour(M423+S$7)&lt;19.5)),M423+S$7,_xlfn.workday.intl(int(M423),1,"0000001",Holidays!A:A)+hour(M423+S$7-$B$1)/24+minute(M423)/1440),"")</f>
        <v>46218.68747</v>
      </c>
      <c r="T423" s="104">
        <v>46218.532123680554</v>
      </c>
      <c r="U423" s="105" t="s">
        <v>14</v>
      </c>
      <c r="V423" s="109">
        <f t="shared" si="2"/>
        <v>0</v>
      </c>
      <c r="W423" s="110" t="str">
        <f t="shared" si="3"/>
        <v>EMP0237 Swarnendu Chakraborty</v>
      </c>
      <c r="X423" s="103">
        <f>if(S423,if(and(hour(S423+X$7)&gt;9.5,(hour(S423+X$7)&lt;19.5)),S423+X$7,_xlfn.workday.intl(int(S423),1,"0000001",Holidays!A:A)+hour(S423+X$7-$B$1)/24+minute(S423)/1440),"")</f>
        <v>46218.79164</v>
      </c>
      <c r="Y423" s="104">
        <v>46218.53217356482</v>
      </c>
      <c r="Z423" s="105" t="s">
        <v>14</v>
      </c>
      <c r="AA423" s="111">
        <f t="shared" si="4"/>
        <v>0</v>
      </c>
      <c r="AB423" s="110" t="str">
        <f t="shared" si="5"/>
        <v>EMP0237 Swarnendu Chakraborty</v>
      </c>
      <c r="AC423" s="103">
        <f>if(X423,_xlfn.WORKDAY.INTL(X423,AC$7,"0000001",Holidays!A:A)+hour(X423)/24+MINUTE(X423)/1440,"")</f>
        <v>46220.79097</v>
      </c>
      <c r="AD423" s="104">
        <v>46218.80143759259</v>
      </c>
      <c r="AE423" s="105" t="s">
        <v>14</v>
      </c>
      <c r="AF423" s="111">
        <f t="shared" si="6"/>
        <v>0</v>
      </c>
      <c r="AG423" s="110" t="str">
        <f t="shared" si="7"/>
        <v>EMP0237 Swarnendu Chakraborty</v>
      </c>
      <c r="AH423" s="103">
        <f>if(AC423,if(and(hour(AC423+AH$7)&gt;9.5,(hour(AC423+AH$7)&lt;19.5)),AC423+AH$7,_xlfn.workday.intl(int(AC423),1,"0000001",Holidays!A:A)+hour(AC423+AH$7-$B$1)/24+minute(AC423)/1440),"")</f>
        <v>46220.83264</v>
      </c>
      <c r="AI423" s="104">
        <v>46218.801458738424</v>
      </c>
      <c r="AJ423" s="105" t="s">
        <v>14</v>
      </c>
      <c r="AK423" s="111">
        <f t="shared" si="8"/>
        <v>0</v>
      </c>
      <c r="AL423" s="112" t="str">
        <f t="shared" si="9"/>
        <v>EMP0237 Swarnendu Chakraborty</v>
      </c>
      <c r="AM423" s="113"/>
      <c r="AN423" s="114" t="s">
        <v>672</v>
      </c>
      <c r="AO423" s="115"/>
      <c r="AP423" s="115"/>
      <c r="AQ423" s="115"/>
      <c r="AR423" s="115"/>
      <c r="AS423" s="115"/>
      <c r="AT423" s="115"/>
      <c r="AU423" s="115"/>
      <c r="AV423" s="115"/>
      <c r="AW423" s="115"/>
      <c r="AX423" s="115"/>
      <c r="AY423" s="115"/>
    </row>
    <row r="424">
      <c r="A424" s="95">
        <f t="shared" si="11"/>
        <v>5375</v>
      </c>
      <c r="B424" s="96">
        <v>46218.57777695602</v>
      </c>
      <c r="C424" s="97" t="s">
        <v>1712</v>
      </c>
      <c r="D424" s="97" t="s">
        <v>122</v>
      </c>
      <c r="E424" s="98" t="s">
        <v>2242</v>
      </c>
      <c r="F424" s="97"/>
      <c r="G424" s="97" t="s">
        <v>2243</v>
      </c>
      <c r="H424" s="99" t="s">
        <v>126</v>
      </c>
      <c r="I424" s="100" t="s">
        <v>64</v>
      </c>
      <c r="J424" s="101" t="s">
        <v>198</v>
      </c>
      <c r="K424" s="100"/>
      <c r="L424" s="102" t="s">
        <v>2244</v>
      </c>
      <c r="M424" s="103">
        <f>if(B424,if(and(hour(B424+M$7)&gt;9.5,(hour(B424+M$7)&lt;19.5)),B424+M$7,_xlfn.workday.intl(int(B424),1,"0000001",Holidays!A:A)+hour(B424+M$7-$B$1)/24+minute(B424)/1440),"")</f>
        <v>46218.74444</v>
      </c>
      <c r="N424" s="104">
        <v>46218.64049877315</v>
      </c>
      <c r="O424" s="105" t="s">
        <v>14</v>
      </c>
      <c r="P424" s="106">
        <f t="shared" si="1"/>
        <v>0</v>
      </c>
      <c r="Q424" s="107" t="s">
        <v>15</v>
      </c>
      <c r="R424" s="108" t="s">
        <v>434</v>
      </c>
      <c r="S424" s="103">
        <f>if(M424,if(and(hour(M424+S$7)&gt;9.5,(hour(M424+S$7)&lt;19.5)),M424+S$7,_xlfn.workday.intl(int(M424),1,"0000001",Holidays!A:A)+hour(M424+S$7-$B$1)/24+minute(M424)/1440),"")</f>
        <v>46218.75139</v>
      </c>
      <c r="T424" s="104">
        <v>46218.64058409722</v>
      </c>
      <c r="U424" s="105" t="s">
        <v>14</v>
      </c>
      <c r="V424" s="109">
        <f t="shared" si="2"/>
        <v>0</v>
      </c>
      <c r="W424" s="110" t="str">
        <f t="shared" si="3"/>
        <v>EMP0042 HULESHWAR KUMAR SAHU</v>
      </c>
      <c r="X424" s="103">
        <f>if(S424,if(and(hour(S424+X$7)&gt;9.5,(hour(S424+X$7)&lt;19.5)),S424+X$7,_xlfn.workday.intl(int(S424),1,"0000001",Holidays!A:A)+hour(S424+X$7-$B$1)/24+minute(S424)/1440),"")</f>
        <v>46220.41806</v>
      </c>
      <c r="Y424" s="104">
        <v>46218.64064394676</v>
      </c>
      <c r="Z424" s="105" t="s">
        <v>14</v>
      </c>
      <c r="AA424" s="111">
        <f t="shared" si="4"/>
        <v>0</v>
      </c>
      <c r="AB424" s="110" t="str">
        <f t="shared" si="5"/>
        <v>EMP0042 HULESHWAR KUMAR SAHU</v>
      </c>
      <c r="AC424" s="103">
        <f>if(X424,_xlfn.WORKDAY.INTL(X424,AC$7,"0000001",Holidays!A:A)+hour(X424)/24+MINUTE(X424)/1440,"")</f>
        <v>46221.41806</v>
      </c>
      <c r="AD424" s="104">
        <v>46218.825930520834</v>
      </c>
      <c r="AE424" s="105" t="s">
        <v>14</v>
      </c>
      <c r="AF424" s="111">
        <f t="shared" si="6"/>
        <v>0</v>
      </c>
      <c r="AG424" s="110" t="str">
        <f t="shared" si="7"/>
        <v>EMP0042 HULESHWAR KUMAR SAHU</v>
      </c>
      <c r="AH424" s="103">
        <f>if(AC424,if(and(hour(AC424+AH$7)&gt;9.5,(hour(AC424+AH$7)&lt;19.5)),AC424+AH$7,_xlfn.workday.intl(int(AC424),1,"0000001",Holidays!A:A)+hour(AC424+AH$7-$B$1)/24+minute(AC424)/1440),"")</f>
        <v>46221.45972</v>
      </c>
      <c r="AI424" s="104">
        <v>46218.82596893518</v>
      </c>
      <c r="AJ424" s="105" t="s">
        <v>14</v>
      </c>
      <c r="AK424" s="111">
        <f t="shared" si="8"/>
        <v>0</v>
      </c>
      <c r="AL424" s="112" t="str">
        <f t="shared" si="9"/>
        <v>EMP0042 HULESHWAR KUMAR SAHU</v>
      </c>
      <c r="AM424" s="113"/>
      <c r="AN424" s="114" t="s">
        <v>672</v>
      </c>
      <c r="AO424" s="115"/>
      <c r="AP424" s="115"/>
      <c r="AQ424" s="115"/>
      <c r="AR424" s="115"/>
      <c r="AS424" s="115"/>
      <c r="AT424" s="115"/>
      <c r="AU424" s="115"/>
      <c r="AV424" s="115"/>
      <c r="AW424" s="115"/>
      <c r="AX424" s="115"/>
      <c r="AY424" s="115"/>
    </row>
    <row r="425">
      <c r="A425" s="95">
        <f t="shared" si="11"/>
        <v>5376</v>
      </c>
      <c r="B425" s="96">
        <v>46218.59526587963</v>
      </c>
      <c r="C425" s="97" t="s">
        <v>1716</v>
      </c>
      <c r="D425" s="97" t="s">
        <v>2245</v>
      </c>
      <c r="E425" s="98" t="s">
        <v>2246</v>
      </c>
      <c r="F425" s="97"/>
      <c r="G425" s="97" t="s">
        <v>354</v>
      </c>
      <c r="H425" s="99" t="s">
        <v>126</v>
      </c>
      <c r="I425" s="100" t="s">
        <v>64</v>
      </c>
      <c r="J425" s="101" t="s">
        <v>206</v>
      </c>
      <c r="K425" s="100"/>
      <c r="L425" s="102" t="s">
        <v>2247</v>
      </c>
      <c r="M425" s="103">
        <f>if(B425,if(and(hour(B425+M$7)&gt;9.5,(hour(B425+M$7)&lt;19.5)),B425+M$7,_xlfn.workday.intl(int(B425),1,"0000001",Holidays!A:A)+hour(B425+M$7-$B$1)/24+minute(B425)/1440),"")</f>
        <v>46218.76193</v>
      </c>
      <c r="N425" s="104">
        <v>46218.640787094904</v>
      </c>
      <c r="O425" s="105" t="s">
        <v>14</v>
      </c>
      <c r="P425" s="106">
        <f t="shared" si="1"/>
        <v>0</v>
      </c>
      <c r="Q425" s="107" t="s">
        <v>48</v>
      </c>
      <c r="R425" s="108" t="s">
        <v>434</v>
      </c>
      <c r="S425" s="103">
        <f>if(M425,if(and(hour(M425+S$7)&gt;9.5,(hour(M425+S$7)&lt;19.5)),M425+S$7,_xlfn.workday.intl(int(M425),1,"0000001",Holidays!A:A)+hour(M425+S$7-$B$1)/24+minute(M425)/1440),"")</f>
        <v>46218.76888</v>
      </c>
      <c r="T425" s="104">
        <v>46218.64085575231</v>
      </c>
      <c r="U425" s="105" t="s">
        <v>14</v>
      </c>
      <c r="V425" s="109">
        <f t="shared" si="2"/>
        <v>0</v>
      </c>
      <c r="W425" s="110" t="str">
        <f t="shared" si="3"/>
        <v>EMP0237 Swarnendu Chakraborty</v>
      </c>
      <c r="X425" s="103">
        <f>if(S425,if(and(hour(S425+X$7)&gt;9.5,(hour(S425+X$7)&lt;19.5)),S425+X$7,_xlfn.workday.intl(int(S425),1,"0000001",Holidays!A:A)+hour(S425+X$7-$B$1)/24+minute(S425)/1440),"")</f>
        <v>46220.43542</v>
      </c>
      <c r="Y425" s="104">
        <v>46218.64088111111</v>
      </c>
      <c r="Z425" s="105" t="s">
        <v>14</v>
      </c>
      <c r="AA425" s="111">
        <f t="shared" si="4"/>
        <v>0</v>
      </c>
      <c r="AB425" s="110" t="str">
        <f t="shared" si="5"/>
        <v>EMP0237 Swarnendu Chakraborty</v>
      </c>
      <c r="AC425" s="103">
        <f>if(X425,_xlfn.WORKDAY.INTL(X425,AC$7,"0000001",Holidays!A:A)+hour(X425)/24+MINUTE(X425)/1440,"")</f>
        <v>46221.43542</v>
      </c>
      <c r="AD425" s="104">
        <v>46218.6410397338</v>
      </c>
      <c r="AE425" s="105" t="s">
        <v>14</v>
      </c>
      <c r="AF425" s="111">
        <f t="shared" si="6"/>
        <v>0</v>
      </c>
      <c r="AG425" s="110" t="str">
        <f t="shared" si="7"/>
        <v>EMP0237 Swarnendu Chakraborty</v>
      </c>
      <c r="AH425" s="103">
        <f>if(AC425,if(and(hour(AC425+AH$7)&gt;9.5,(hour(AC425+AH$7)&lt;19.5)),AC425+AH$7,_xlfn.workday.intl(int(AC425),1,"0000001",Holidays!A:A)+hour(AC425+AH$7-$B$1)/24+minute(AC425)/1440),"")</f>
        <v>46221.47708</v>
      </c>
      <c r="AI425" s="104">
        <v>46220.66693008102</v>
      </c>
      <c r="AJ425" s="105" t="s">
        <v>14</v>
      </c>
      <c r="AK425" s="111">
        <f t="shared" si="8"/>
        <v>0</v>
      </c>
      <c r="AL425" s="112" t="str">
        <f t="shared" si="9"/>
        <v>EMP0237 Swarnendu Chakraborty</v>
      </c>
      <c r="AM425" s="113"/>
      <c r="AN425" s="114" t="s">
        <v>672</v>
      </c>
      <c r="AO425" s="115"/>
      <c r="AP425" s="115"/>
      <c r="AQ425" s="115"/>
      <c r="AR425" s="115"/>
      <c r="AS425" s="115"/>
      <c r="AT425" s="115"/>
      <c r="AU425" s="115"/>
      <c r="AV425" s="115"/>
      <c r="AW425" s="115"/>
      <c r="AX425" s="115"/>
      <c r="AY425" s="115"/>
    </row>
    <row r="426">
      <c r="A426" s="95">
        <f t="shared" si="11"/>
        <v>5377</v>
      </c>
      <c r="B426" s="96">
        <v>46218.648725879626</v>
      </c>
      <c r="C426" s="97" t="s">
        <v>913</v>
      </c>
      <c r="D426" s="97" t="s">
        <v>207</v>
      </c>
      <c r="E426" s="98" t="s">
        <v>2248</v>
      </c>
      <c r="F426" s="97"/>
      <c r="G426" s="97" t="s">
        <v>354</v>
      </c>
      <c r="H426" s="99" t="s">
        <v>138</v>
      </c>
      <c r="I426" s="100" t="s">
        <v>64</v>
      </c>
      <c r="J426" s="101" t="s">
        <v>206</v>
      </c>
      <c r="K426" s="100"/>
      <c r="L426" s="102" t="s">
        <v>2249</v>
      </c>
      <c r="M426" s="103">
        <f>if(B426,if(and(hour(B426+M$7)&gt;9.5,(hour(B426+M$7)&lt;19.5)),B426+M$7,_xlfn.workday.intl(int(B426),1,"0000001",Holidays!A:A)+hour(B426+M$7-$B$1)/24+minute(B426)/1440),"")</f>
        <v>46218.81539</v>
      </c>
      <c r="N426" s="104">
        <v>46218.68495865741</v>
      </c>
      <c r="O426" s="105" t="s">
        <v>14</v>
      </c>
      <c r="P426" s="106">
        <f t="shared" si="1"/>
        <v>0</v>
      </c>
      <c r="Q426" s="107" t="s">
        <v>48</v>
      </c>
      <c r="R426" s="108" t="s">
        <v>434</v>
      </c>
      <c r="S426" s="103">
        <f>if(M426,if(and(hour(M426+S$7)&gt;9.5,(hour(M426+S$7)&lt;19.5)),M426+S$7,_xlfn.workday.intl(int(M426),1,"0000001",Holidays!A:A)+hour(M426+S$7-$B$1)/24+minute(M426)/1440),"")</f>
        <v>46218.82234</v>
      </c>
      <c r="T426" s="104">
        <v>46218.6850294676</v>
      </c>
      <c r="U426" s="105" t="s">
        <v>14</v>
      </c>
      <c r="V426" s="109">
        <f t="shared" si="2"/>
        <v>0</v>
      </c>
      <c r="W426" s="110" t="str">
        <f t="shared" si="3"/>
        <v>EMP0237 Swarnendu Chakraborty</v>
      </c>
      <c r="X426" s="103">
        <f>if(S426,if(and(hour(S426+X$7)&gt;9.5,(hour(S426+X$7)&lt;19.5)),S426+X$7,_xlfn.workday.intl(int(S426),1,"0000001",Holidays!A:A)+hour(S426+X$7-$B$1)/24+minute(S426)/1440),"")</f>
        <v>46220.53056</v>
      </c>
      <c r="Y426" s="104">
        <v>46218.68508445602</v>
      </c>
      <c r="Z426" s="105" t="s">
        <v>14</v>
      </c>
      <c r="AA426" s="111">
        <f t="shared" si="4"/>
        <v>0</v>
      </c>
      <c r="AB426" s="110" t="str">
        <f t="shared" si="5"/>
        <v>EMP0237 Swarnendu Chakraborty</v>
      </c>
      <c r="AC426" s="103">
        <f>if(X426,_xlfn.WORKDAY.INTL(X426,AC$7,"0000001",Holidays!A:A)+hour(X426)/24+MINUTE(X426)/1440,"")</f>
        <v>46221.53056</v>
      </c>
      <c r="AD426" s="104">
        <v>46220.66687966435</v>
      </c>
      <c r="AE426" s="105" t="s">
        <v>14</v>
      </c>
      <c r="AF426" s="111">
        <f t="shared" si="6"/>
        <v>0</v>
      </c>
      <c r="AG426" s="110" t="str">
        <f t="shared" si="7"/>
        <v>EMP0237 Swarnendu Chakraborty</v>
      </c>
      <c r="AH426" s="103">
        <f>if(AC426,if(and(hour(AC426+AH$7)&gt;9.5,(hour(AC426+AH$7)&lt;19.5)),AC426+AH$7,_xlfn.workday.intl(int(AC426),1,"0000001",Holidays!A:A)+hour(AC426+AH$7-$B$1)/24+minute(AC426)/1440),"")</f>
        <v>46221.57222</v>
      </c>
      <c r="AI426" s="104">
        <v>46220.66694894676</v>
      </c>
      <c r="AJ426" s="105" t="s">
        <v>14</v>
      </c>
      <c r="AK426" s="111">
        <f t="shared" si="8"/>
        <v>0</v>
      </c>
      <c r="AL426" s="112" t="str">
        <f t="shared" si="9"/>
        <v>EMP0237 Swarnendu Chakraborty</v>
      </c>
      <c r="AM426" s="113"/>
      <c r="AN426" s="114" t="s">
        <v>672</v>
      </c>
      <c r="AO426" s="115"/>
      <c r="AP426" s="115"/>
      <c r="AQ426" s="115"/>
      <c r="AR426" s="115"/>
      <c r="AS426" s="115"/>
      <c r="AT426" s="115"/>
      <c r="AU426" s="115"/>
      <c r="AV426" s="115"/>
      <c r="AW426" s="115"/>
      <c r="AX426" s="115"/>
      <c r="AY426" s="115"/>
    </row>
    <row r="427">
      <c r="A427" s="95">
        <f t="shared" si="11"/>
        <v>5378</v>
      </c>
      <c r="B427" s="96">
        <v>46218.672593055555</v>
      </c>
      <c r="C427" s="97" t="s">
        <v>166</v>
      </c>
      <c r="D427" s="97" t="s">
        <v>1580</v>
      </c>
      <c r="E427" s="98" t="s">
        <v>2250</v>
      </c>
      <c r="F427" s="97"/>
      <c r="G427" s="97" t="s">
        <v>166</v>
      </c>
      <c r="H427" s="99" t="s">
        <v>62</v>
      </c>
      <c r="I427" s="100" t="s">
        <v>64</v>
      </c>
      <c r="J427" s="101" t="s">
        <v>1579</v>
      </c>
      <c r="K427" s="100"/>
      <c r="L427" s="102" t="s">
        <v>2251</v>
      </c>
      <c r="M427" s="103">
        <f>if(B427,if(and(hour(B427+M$7)&gt;9.5,(hour(B427+M$7)&lt;19.5)),B427+M$7,_xlfn.workday.intl(int(B427),1,"0000001",Holidays!A:A)+hour(B427+M$7-$B$1)/24+minute(B427)/1440),"")</f>
        <v>46220.42222</v>
      </c>
      <c r="N427" s="104">
        <v>46218.68513116898</v>
      </c>
      <c r="O427" s="105" t="s">
        <v>14</v>
      </c>
      <c r="P427" s="106">
        <f t="shared" si="1"/>
        <v>0</v>
      </c>
      <c r="Q427" s="107" t="s">
        <v>15</v>
      </c>
      <c r="R427" s="108" t="s">
        <v>434</v>
      </c>
      <c r="S427" s="103">
        <f>if(M427,if(and(hour(M427+S$7)&gt;9.5,(hour(M427+S$7)&lt;19.5)),M427+S$7,_xlfn.workday.intl(int(M427),1,"0000001",Holidays!A:A)+hour(M427+S$7-$B$1)/24+minute(M427)/1440),"")</f>
        <v>46220.42917</v>
      </c>
      <c r="T427" s="104">
        <v>46218.68524947917</v>
      </c>
      <c r="U427" s="105" t="s">
        <v>14</v>
      </c>
      <c r="V427" s="109">
        <f t="shared" si="2"/>
        <v>0</v>
      </c>
      <c r="W427" s="110" t="str">
        <f t="shared" si="3"/>
        <v>EMP0042 HULESHWAR KUMAR SAHU</v>
      </c>
      <c r="X427" s="103">
        <f>if(S427,if(and(hour(S427+X$7)&gt;9.5,(hour(S427+X$7)&lt;19.5)),S427+X$7,_xlfn.workday.intl(int(S427),1,"0000001",Holidays!A:A)+hour(S427+X$7-$B$1)/24+minute(S427)/1440),"")</f>
        <v>46220.53333</v>
      </c>
      <c r="Y427" s="104">
        <v>46218.68538026621</v>
      </c>
      <c r="Z427" s="105" t="s">
        <v>14</v>
      </c>
      <c r="AA427" s="111">
        <f t="shared" si="4"/>
        <v>0</v>
      </c>
      <c r="AB427" s="110" t="str">
        <f t="shared" si="5"/>
        <v>EMP0042 HULESHWAR KUMAR SAHU</v>
      </c>
      <c r="AC427" s="103">
        <f>if(X427,_xlfn.WORKDAY.INTL(X427,AC$7,"0000001",Holidays!A:A)+hour(X427)/24+MINUTE(X427)/1440,"")</f>
        <v>46221.53333</v>
      </c>
      <c r="AD427" s="104">
        <v>46218.82672131945</v>
      </c>
      <c r="AE427" s="105" t="s">
        <v>14</v>
      </c>
      <c r="AF427" s="111">
        <f t="shared" si="6"/>
        <v>0</v>
      </c>
      <c r="AG427" s="110" t="str">
        <f t="shared" si="7"/>
        <v>EMP0042 HULESHWAR KUMAR SAHU</v>
      </c>
      <c r="AH427" s="103">
        <f>if(AC427,if(and(hour(AC427+AH$7)&gt;9.5,(hour(AC427+AH$7)&lt;19.5)),AC427+AH$7,_xlfn.workday.intl(int(AC427),1,"0000001",Holidays!A:A)+hour(AC427+AH$7-$B$1)/24+minute(AC427)/1440),"")</f>
        <v>46221.575</v>
      </c>
      <c r="AI427" s="104">
        <v>46218.82674709491</v>
      </c>
      <c r="AJ427" s="105" t="s">
        <v>14</v>
      </c>
      <c r="AK427" s="111">
        <f t="shared" si="8"/>
        <v>0</v>
      </c>
      <c r="AL427" s="112" t="str">
        <f t="shared" si="9"/>
        <v>EMP0042 HULESHWAR KUMAR SAHU</v>
      </c>
      <c r="AM427" s="113"/>
      <c r="AN427" s="114" t="s">
        <v>672</v>
      </c>
      <c r="AO427" s="115"/>
      <c r="AP427" s="115"/>
      <c r="AQ427" s="115"/>
      <c r="AR427" s="115"/>
      <c r="AS427" s="115"/>
      <c r="AT427" s="115"/>
      <c r="AU427" s="115"/>
      <c r="AV427" s="115"/>
      <c r="AW427" s="115"/>
      <c r="AX427" s="115"/>
      <c r="AY427" s="115"/>
    </row>
    <row r="428">
      <c r="A428" s="95">
        <f t="shared" si="11"/>
        <v>5379</v>
      </c>
      <c r="B428" s="96">
        <v>46219.48169716435</v>
      </c>
      <c r="C428" s="97" t="s">
        <v>1731</v>
      </c>
      <c r="D428" s="97" t="s">
        <v>1969</v>
      </c>
      <c r="E428" s="98" t="s">
        <v>2253</v>
      </c>
      <c r="F428" s="97"/>
      <c r="G428" s="97" t="s">
        <v>2254</v>
      </c>
      <c r="H428" s="99" t="s">
        <v>147</v>
      </c>
      <c r="I428" s="100" t="s">
        <v>324</v>
      </c>
      <c r="J428" s="101" t="s">
        <v>2252</v>
      </c>
      <c r="K428" s="100"/>
      <c r="L428" s="102" t="s">
        <v>2255</v>
      </c>
      <c r="M428" s="103">
        <f>if(B428,if(and(hour(B428+M$7)&gt;9.5,(hour(B428+M$7)&lt;19.5)),B428+M$7,_xlfn.workday.intl(int(B428),1,"0000001",Holidays!A:A)+hour(B428+M$7-$B$1)/24+minute(B428)/1440),"")</f>
        <v>46219.64836</v>
      </c>
      <c r="N428" s="104">
        <v>46219.48182162037</v>
      </c>
      <c r="O428" s="105" t="s">
        <v>14</v>
      </c>
      <c r="P428" s="106">
        <f t="shared" si="1"/>
        <v>0</v>
      </c>
      <c r="Q428" s="107" t="s">
        <v>15</v>
      </c>
      <c r="R428" s="108" t="s">
        <v>434</v>
      </c>
      <c r="S428" s="103">
        <f>if(M428,if(and(hour(M428+S$7)&gt;9.5,(hour(M428+S$7)&lt;19.5)),M428+S$7,_xlfn.workday.intl(int(M428),1,"0000001",Holidays!A:A)+hour(M428+S$7-$B$1)/24+minute(M428)/1440),"")</f>
        <v>46219.65531</v>
      </c>
      <c r="T428" s="104">
        <v>46219.48187643518</v>
      </c>
      <c r="U428" s="105" t="s">
        <v>14</v>
      </c>
      <c r="V428" s="109">
        <f t="shared" si="2"/>
        <v>0</v>
      </c>
      <c r="W428" s="110" t="str">
        <f t="shared" si="3"/>
        <v>EMP0042 HULESHWAR KUMAR SAHU</v>
      </c>
      <c r="X428" s="103">
        <f>if(S428,if(and(hour(S428+X$7)&gt;9.5,(hour(S428+X$7)&lt;19.5)),S428+X$7,_xlfn.workday.intl(int(S428),1,"0000001",Holidays!A:A)+hour(S428+X$7-$B$1)/24+minute(S428)/1440),"")</f>
        <v>46219.75947</v>
      </c>
      <c r="Y428" s="104">
        <v>46219.55883409722</v>
      </c>
      <c r="Z428" s="105" t="s">
        <v>14</v>
      </c>
      <c r="AA428" s="111">
        <f t="shared" si="4"/>
        <v>0</v>
      </c>
      <c r="AB428" s="110" t="str">
        <f t="shared" si="5"/>
        <v>EMP0042 HULESHWAR KUMAR SAHU</v>
      </c>
      <c r="AC428" s="103">
        <f>if(X428,_xlfn.WORKDAY.INTL(X428,AC$7,"0000001",Holidays!A:A)+hour(X428)/24+MINUTE(X428)/1440,"")</f>
        <v>46220.75903</v>
      </c>
      <c r="AD428" s="104">
        <v>46219.55893484954</v>
      </c>
      <c r="AE428" s="105" t="s">
        <v>14</v>
      </c>
      <c r="AF428" s="111">
        <f t="shared" si="6"/>
        <v>0</v>
      </c>
      <c r="AG428" s="110" t="str">
        <f t="shared" si="7"/>
        <v>EMP0042 HULESHWAR KUMAR SAHU</v>
      </c>
      <c r="AH428" s="103">
        <f>if(AC428,if(and(hour(AC428+AH$7)&gt;9.5,(hour(AC428+AH$7)&lt;19.5)),AC428+AH$7,_xlfn.workday.intl(int(AC428),1,"0000001",Holidays!A:A)+hour(AC428+AH$7-$B$1)/24+minute(AC428)/1440),"")</f>
        <v>46220.80069</v>
      </c>
      <c r="AI428" s="104">
        <v>46219.590793055555</v>
      </c>
      <c r="AJ428" s="105" t="s">
        <v>14</v>
      </c>
      <c r="AK428" s="111">
        <f t="shared" si="8"/>
        <v>0</v>
      </c>
      <c r="AL428" s="112" t="str">
        <f t="shared" si="9"/>
        <v>EMP0042 HULESHWAR KUMAR SAHU</v>
      </c>
      <c r="AM428" s="113"/>
      <c r="AN428" s="114" t="s">
        <v>672</v>
      </c>
      <c r="AO428" s="115"/>
      <c r="AP428" s="115"/>
      <c r="AQ428" s="115"/>
      <c r="AR428" s="115"/>
      <c r="AS428" s="115"/>
      <c r="AT428" s="115"/>
      <c r="AU428" s="115"/>
      <c r="AV428" s="115"/>
      <c r="AW428" s="115"/>
      <c r="AX428" s="115"/>
      <c r="AY428" s="115"/>
    </row>
    <row r="429">
      <c r="A429" s="95">
        <f t="shared" si="11"/>
        <v>5380</v>
      </c>
      <c r="B429" s="96">
        <v>46219.55490025463</v>
      </c>
      <c r="C429" s="97" t="s">
        <v>660</v>
      </c>
      <c r="D429" s="97" t="s">
        <v>186</v>
      </c>
      <c r="E429" s="98" t="s">
        <v>2256</v>
      </c>
      <c r="F429" s="97"/>
      <c r="G429" s="97" t="s">
        <v>2257</v>
      </c>
      <c r="H429" s="99" t="s">
        <v>147</v>
      </c>
      <c r="I429" s="100" t="s">
        <v>64</v>
      </c>
      <c r="J429" s="101" t="s">
        <v>303</v>
      </c>
      <c r="K429" s="100"/>
      <c r="L429" s="102" t="s">
        <v>2258</v>
      </c>
      <c r="M429" s="103">
        <f>if(B429,if(and(hour(B429+M$7)&gt;9.5,(hour(B429+M$7)&lt;19.5)),B429+M$7,_xlfn.workday.intl(int(B429),1,"0000001",Holidays!A:A)+hour(B429+M$7-$B$1)/24+minute(B429)/1440),"")</f>
        <v>46219.72157</v>
      </c>
      <c r="N429" s="104">
        <v>46219.55864700231</v>
      </c>
      <c r="O429" s="105" t="s">
        <v>14</v>
      </c>
      <c r="P429" s="106">
        <f t="shared" si="1"/>
        <v>0</v>
      </c>
      <c r="Q429" s="107" t="s">
        <v>15</v>
      </c>
      <c r="R429" s="108" t="s">
        <v>434</v>
      </c>
      <c r="S429" s="103">
        <f>if(M429,if(and(hour(M429+S$7)&gt;9.5,(hour(M429+S$7)&lt;19.5)),M429+S$7,_xlfn.workday.intl(int(M429),1,"0000001",Holidays!A:A)+hour(M429+S$7-$B$1)/24+minute(M429)/1440),"")</f>
        <v>46219.72851</v>
      </c>
      <c r="T429" s="104">
        <v>46219.55874234954</v>
      </c>
      <c r="U429" s="105" t="s">
        <v>14</v>
      </c>
      <c r="V429" s="109">
        <f t="shared" si="2"/>
        <v>0</v>
      </c>
      <c r="W429" s="110" t="str">
        <f t="shared" si="3"/>
        <v>EMP0042 HULESHWAR KUMAR SAHU</v>
      </c>
      <c r="X429" s="103">
        <f>if(S429,if(and(hour(S429+X$7)&gt;9.5,(hour(S429+X$7)&lt;19.5)),S429+X$7,_xlfn.workday.intl(int(S429),1,"0000001",Holidays!A:A)+hour(S429+X$7-$B$1)/24+minute(S429)/1440),"")</f>
        <v>46219.83268</v>
      </c>
      <c r="Y429" s="104">
        <v>46219.558844479165</v>
      </c>
      <c r="Z429" s="105" t="s">
        <v>14</v>
      </c>
      <c r="AA429" s="111">
        <f t="shared" si="4"/>
        <v>0</v>
      </c>
      <c r="AB429" s="110" t="str">
        <f t="shared" si="5"/>
        <v>EMP0042 HULESHWAR KUMAR SAHU</v>
      </c>
      <c r="AC429" s="103">
        <f>if(X429,_xlfn.WORKDAY.INTL(X429,AC$7,"0000001",Holidays!A:A)+hour(X429)/24+MINUTE(X429)/1440,"")</f>
        <v>46220.83264</v>
      </c>
      <c r="AD429" s="104">
        <v>46219.590873622685</v>
      </c>
      <c r="AE429" s="105" t="s">
        <v>14</v>
      </c>
      <c r="AF429" s="111">
        <f t="shared" si="6"/>
        <v>0</v>
      </c>
      <c r="AG429" s="110" t="str">
        <f t="shared" si="7"/>
        <v>EMP0042 HULESHWAR KUMAR SAHU</v>
      </c>
      <c r="AH429" s="103">
        <f>if(AC429,if(and(hour(AC429+AH$7)&gt;9.5,(hour(AC429+AH$7)&lt;19.5)),AC429+AH$7,_xlfn.workday.intl(int(AC429),1,"0000001",Holidays!A:A)+hour(AC429+AH$7-$B$1)/24+minute(AC429)/1440),"")</f>
        <v>46221.45764</v>
      </c>
      <c r="AI429" s="104">
        <v>46219.59082226852</v>
      </c>
      <c r="AJ429" s="105" t="s">
        <v>14</v>
      </c>
      <c r="AK429" s="111">
        <f t="shared" si="8"/>
        <v>0</v>
      </c>
      <c r="AL429" s="112" t="str">
        <f t="shared" si="9"/>
        <v>EMP0042 HULESHWAR KUMAR SAHU</v>
      </c>
      <c r="AM429" s="113"/>
      <c r="AN429" s="114" t="s">
        <v>672</v>
      </c>
      <c r="AO429" s="115"/>
      <c r="AP429" s="115"/>
      <c r="AQ429" s="115"/>
      <c r="AR429" s="115"/>
      <c r="AS429" s="115"/>
      <c r="AT429" s="115"/>
      <c r="AU429" s="115"/>
      <c r="AV429" s="115"/>
      <c r="AW429" s="115"/>
      <c r="AX429" s="115"/>
      <c r="AY429" s="115"/>
    </row>
    <row r="430">
      <c r="A430" s="95">
        <f t="shared" si="11"/>
        <v>5381</v>
      </c>
      <c r="B430" s="96">
        <v>46219.59809489583</v>
      </c>
      <c r="C430" s="97" t="s">
        <v>1738</v>
      </c>
      <c r="D430" s="97" t="s">
        <v>142</v>
      </c>
      <c r="E430" s="98" t="s">
        <v>2260</v>
      </c>
      <c r="F430" s="97"/>
      <c r="G430" s="97" t="s">
        <v>1738</v>
      </c>
      <c r="H430" s="99" t="s">
        <v>62</v>
      </c>
      <c r="I430" s="100" t="s">
        <v>64</v>
      </c>
      <c r="J430" s="101" t="s">
        <v>2259</v>
      </c>
      <c r="K430" s="100"/>
      <c r="L430" s="102" t="s">
        <v>1738</v>
      </c>
      <c r="M430" s="103">
        <f>if(B430,if(and(hour(B430+M$7)&gt;9.5,(hour(B430+M$7)&lt;19.5)),B430+M$7,_xlfn.workday.intl(int(B430),1,"0000001",Holidays!A:A)+hour(B430+M$7-$B$1)/24+minute(B430)/1440),"")</f>
        <v>46219.76476</v>
      </c>
      <c r="N430" s="104">
        <v>46219.71251865741</v>
      </c>
      <c r="O430" s="105" t="s">
        <v>14</v>
      </c>
      <c r="P430" s="106">
        <f t="shared" si="1"/>
        <v>0</v>
      </c>
      <c r="Q430" s="107" t="s">
        <v>15</v>
      </c>
      <c r="R430" s="108" t="s">
        <v>434</v>
      </c>
      <c r="S430" s="103">
        <f>if(M430,if(and(hour(M430+S$7)&gt;9.5,(hour(M430+S$7)&lt;19.5)),M430+S$7,_xlfn.workday.intl(int(M430),1,"0000001",Holidays!A:A)+hour(M430+S$7-$B$1)/24+minute(M430)/1440),"")</f>
        <v>46219.77171</v>
      </c>
      <c r="T430" s="104">
        <v>46219.713258020834</v>
      </c>
      <c r="U430" s="105" t="s">
        <v>14</v>
      </c>
      <c r="V430" s="109">
        <f t="shared" si="2"/>
        <v>0</v>
      </c>
      <c r="W430" s="110" t="str">
        <f t="shared" si="3"/>
        <v>EMP0042 HULESHWAR KUMAR SAHU</v>
      </c>
      <c r="X430" s="103">
        <f>if(S430,if(and(hour(S430+X$7)&gt;9.5,(hour(S430+X$7)&lt;19.5)),S430+X$7,_xlfn.workday.intl(int(S430),1,"0000001",Holidays!A:A)+hour(S430+X$7-$B$1)/24+minute(S430)/1440),"")</f>
        <v>46220.47986</v>
      </c>
      <c r="Y430" s="104">
        <v>46219.71348872685</v>
      </c>
      <c r="Z430" s="105" t="s">
        <v>14</v>
      </c>
      <c r="AA430" s="111">
        <f t="shared" si="4"/>
        <v>0</v>
      </c>
      <c r="AB430" s="110" t="str">
        <f t="shared" si="5"/>
        <v>EMP0042 HULESHWAR KUMAR SAHU</v>
      </c>
      <c r="AC430" s="103">
        <f>if(X430,_xlfn.WORKDAY.INTL(X430,AC$7,"0000001",Holidays!A:A)+hour(X430)/24+MINUTE(X430)/1440,"")</f>
        <v>46221.47986</v>
      </c>
      <c r="AD430" s="104">
        <v>46220.60779306713</v>
      </c>
      <c r="AE430" s="105" t="s">
        <v>14</v>
      </c>
      <c r="AF430" s="111">
        <f t="shared" si="6"/>
        <v>0</v>
      </c>
      <c r="AG430" s="110" t="str">
        <f t="shared" si="7"/>
        <v>EMP0042 HULESHWAR KUMAR SAHU</v>
      </c>
      <c r="AH430" s="103">
        <f>if(AC430,if(and(hour(AC430+AH$7)&gt;9.5,(hour(AC430+AH$7)&lt;19.5)),AC430+AH$7,_xlfn.workday.intl(int(AC430),1,"0000001",Holidays!A:A)+hour(AC430+AH$7-$B$1)/24+minute(AC430)/1440),"")</f>
        <v>46221.52153</v>
      </c>
      <c r="AI430" s="104">
        <v>46220.60781403935</v>
      </c>
      <c r="AJ430" s="105" t="s">
        <v>14</v>
      </c>
      <c r="AK430" s="111">
        <f t="shared" si="8"/>
        <v>0</v>
      </c>
      <c r="AL430" s="112" t="str">
        <f t="shared" si="9"/>
        <v>EMP0042 HULESHWAR KUMAR SAHU</v>
      </c>
      <c r="AM430" s="113"/>
      <c r="AN430" s="114" t="s">
        <v>672</v>
      </c>
      <c r="AO430" s="115"/>
      <c r="AP430" s="115"/>
      <c r="AQ430" s="115"/>
      <c r="AR430" s="115"/>
      <c r="AS430" s="115"/>
      <c r="AT430" s="115"/>
      <c r="AU430" s="115"/>
      <c r="AV430" s="115"/>
      <c r="AW430" s="115"/>
      <c r="AX430" s="115"/>
      <c r="AY430" s="115"/>
    </row>
    <row r="431">
      <c r="A431" s="95">
        <f t="shared" si="11"/>
        <v>5382</v>
      </c>
      <c r="B431" s="96">
        <v>46219.60925026621</v>
      </c>
      <c r="C431" s="97" t="s">
        <v>1744</v>
      </c>
      <c r="D431" s="97" t="s">
        <v>264</v>
      </c>
      <c r="E431" s="98" t="s">
        <v>2261</v>
      </c>
      <c r="F431" s="97"/>
      <c r="G431" s="97" t="s">
        <v>269</v>
      </c>
      <c r="H431" s="99" t="s">
        <v>62</v>
      </c>
      <c r="I431" s="100" t="s">
        <v>64</v>
      </c>
      <c r="J431" s="101" t="s">
        <v>263</v>
      </c>
      <c r="K431" s="100"/>
      <c r="L431" s="102" t="s">
        <v>1744</v>
      </c>
      <c r="M431" s="103">
        <f>if(B431,if(and(hour(B431+M$7)&gt;9.5,(hour(B431+M$7)&lt;19.5)),B431+M$7,_xlfn.workday.intl(int(B431),1,"0000001",Holidays!A:A)+hour(B431+M$7-$B$1)/24+minute(B431)/1440),"")</f>
        <v>46219.77592</v>
      </c>
      <c r="N431" s="104">
        <v>46219.71258471065</v>
      </c>
      <c r="O431" s="105" t="s">
        <v>14</v>
      </c>
      <c r="P431" s="106">
        <f t="shared" si="1"/>
        <v>0</v>
      </c>
      <c r="Q431" s="107" t="s">
        <v>61</v>
      </c>
      <c r="R431" s="108" t="s">
        <v>434</v>
      </c>
      <c r="S431" s="103">
        <f>if(M431,if(and(hour(M431+S$7)&gt;9.5,(hour(M431+S$7)&lt;19.5)),M431+S$7,_xlfn.workday.intl(int(M431),1,"0000001",Holidays!A:A)+hour(M431+S$7-$B$1)/24+minute(M431)/1440),"")</f>
        <v>46219.78286</v>
      </c>
      <c r="T431" s="104">
        <v>46219.71329680555</v>
      </c>
      <c r="U431" s="105" t="s">
        <v>14</v>
      </c>
      <c r="V431" s="109">
        <f t="shared" si="2"/>
        <v>0</v>
      </c>
      <c r="W431" s="110" t="str">
        <f t="shared" si="3"/>
        <v>EMP0021 Tamanna Dewangan</v>
      </c>
      <c r="X431" s="103">
        <f>if(S431,if(and(hour(S431+X$7)&gt;9.5,(hour(S431+X$7)&lt;19.5)),S431+X$7,_xlfn.workday.intl(int(S431),1,"0000001",Holidays!A:A)+hour(S431+X$7-$B$1)/24+minute(S431)/1440),"")</f>
        <v>46220.49097</v>
      </c>
      <c r="Y431" s="104">
        <v>46219.713496909724</v>
      </c>
      <c r="Z431" s="105" t="s">
        <v>14</v>
      </c>
      <c r="AA431" s="111">
        <f t="shared" si="4"/>
        <v>0</v>
      </c>
      <c r="AB431" s="110" t="str">
        <f t="shared" si="5"/>
        <v>EMP0021 Tamanna Dewangan</v>
      </c>
      <c r="AC431" s="103">
        <f>if(X431,_xlfn.WORKDAY.INTL(X431,AC$7,"0000001",Holidays!A:A)+hour(X431)/24+MINUTE(X431)/1440,"")</f>
        <v>46221.49097</v>
      </c>
      <c r="AD431" s="104">
        <v>46220.60783657407</v>
      </c>
      <c r="AE431" s="105" t="s">
        <v>14</v>
      </c>
      <c r="AF431" s="111">
        <f t="shared" si="6"/>
        <v>0</v>
      </c>
      <c r="AG431" s="110" t="str">
        <f t="shared" si="7"/>
        <v>EMP0021 Tamanna Dewangan</v>
      </c>
      <c r="AH431" s="103">
        <f>if(AC431,if(and(hour(AC431+AH$7)&gt;9.5,(hour(AC431+AH$7)&lt;19.5)),AC431+AH$7,_xlfn.workday.intl(int(AC431),1,"0000001",Holidays!A:A)+hour(AC431+AH$7-$B$1)/24+minute(AC431)/1440),"")</f>
        <v>46221.53264</v>
      </c>
      <c r="AI431" s="104">
        <v>46220.60786354166</v>
      </c>
      <c r="AJ431" s="105" t="s">
        <v>14</v>
      </c>
      <c r="AK431" s="111">
        <f t="shared" si="8"/>
        <v>0</v>
      </c>
      <c r="AL431" s="112" t="str">
        <f t="shared" si="9"/>
        <v>EMP0021 Tamanna Dewangan</v>
      </c>
      <c r="AM431" s="113"/>
      <c r="AN431" s="114" t="s">
        <v>672</v>
      </c>
      <c r="AO431" s="115"/>
      <c r="AP431" s="115"/>
      <c r="AQ431" s="115"/>
      <c r="AR431" s="115"/>
      <c r="AS431" s="115"/>
      <c r="AT431" s="115"/>
      <c r="AU431" s="115"/>
      <c r="AV431" s="115"/>
      <c r="AW431" s="115"/>
      <c r="AX431" s="115"/>
      <c r="AY431" s="115"/>
    </row>
    <row r="432">
      <c r="A432" s="95">
        <f t="shared" si="11"/>
        <v>5383</v>
      </c>
      <c r="B432" s="96">
        <v>46219.61033888889</v>
      </c>
      <c r="C432" s="97" t="s">
        <v>1748</v>
      </c>
      <c r="D432" s="97" t="s">
        <v>264</v>
      </c>
      <c r="E432" s="98" t="s">
        <v>2262</v>
      </c>
      <c r="F432" s="97"/>
      <c r="G432" s="97" t="s">
        <v>2263</v>
      </c>
      <c r="H432" s="99" t="s">
        <v>62</v>
      </c>
      <c r="I432" s="100" t="s">
        <v>64</v>
      </c>
      <c r="J432" s="101" t="s">
        <v>263</v>
      </c>
      <c r="K432" s="100"/>
      <c r="L432" s="102" t="s">
        <v>1748</v>
      </c>
      <c r="M432" s="103">
        <f>if(B432,if(and(hour(B432+M$7)&gt;9.5,(hour(B432+M$7)&lt;19.5)),B432+M$7,_xlfn.workday.intl(int(B432),1,"0000001",Holidays!A:A)+hour(B432+M$7-$B$1)/24+minute(B432)/1440),"")</f>
        <v>46219.77701</v>
      </c>
      <c r="N432" s="104">
        <v>46219.712635613425</v>
      </c>
      <c r="O432" s="105" t="s">
        <v>14</v>
      </c>
      <c r="P432" s="106">
        <f t="shared" si="1"/>
        <v>0</v>
      </c>
      <c r="Q432" s="107" t="s">
        <v>15</v>
      </c>
      <c r="R432" s="108" t="s">
        <v>434</v>
      </c>
      <c r="S432" s="103">
        <f>if(M432,if(and(hour(M432+S$7)&gt;9.5,(hour(M432+S$7)&lt;19.5)),M432+S$7,_xlfn.workday.intl(int(M432),1,"0000001",Holidays!A:A)+hour(M432+S$7-$B$1)/24+minute(M432)/1440),"")</f>
        <v>46219.78395</v>
      </c>
      <c r="T432" s="104">
        <v>46219.71331840278</v>
      </c>
      <c r="U432" s="105" t="s">
        <v>14</v>
      </c>
      <c r="V432" s="109">
        <f t="shared" si="2"/>
        <v>0</v>
      </c>
      <c r="W432" s="110" t="str">
        <f t="shared" si="3"/>
        <v>EMP0042 HULESHWAR KUMAR SAHU</v>
      </c>
      <c r="X432" s="103">
        <f>if(S432,if(and(hour(S432+X$7)&gt;9.5,(hour(S432+X$7)&lt;19.5)),S432+X$7,_xlfn.workday.intl(int(S432),1,"0000001",Holidays!A:A)+hour(S432+X$7-$B$1)/24+minute(S432)/1440),"")</f>
        <v>46220.49167</v>
      </c>
      <c r="Y432" s="104">
        <v>46219.71352263889</v>
      </c>
      <c r="Z432" s="105" t="s">
        <v>14</v>
      </c>
      <c r="AA432" s="111">
        <f t="shared" si="4"/>
        <v>0</v>
      </c>
      <c r="AB432" s="110" t="str">
        <f t="shared" si="5"/>
        <v>EMP0042 HULESHWAR KUMAR SAHU</v>
      </c>
      <c r="AC432" s="103">
        <f>if(X432,_xlfn.WORKDAY.INTL(X432,AC$7,"0000001",Holidays!A:A)+hour(X432)/24+MINUTE(X432)/1440,"")</f>
        <v>46221.49167</v>
      </c>
      <c r="AD432" s="104">
        <v>46220.60792927083</v>
      </c>
      <c r="AE432" s="105" t="s">
        <v>14</v>
      </c>
      <c r="AF432" s="111">
        <f t="shared" si="6"/>
        <v>0</v>
      </c>
      <c r="AG432" s="110" t="str">
        <f t="shared" si="7"/>
        <v>EMP0042 HULESHWAR KUMAR SAHU</v>
      </c>
      <c r="AH432" s="103">
        <f>if(AC432,if(and(hour(AC432+AH$7)&gt;9.5,(hour(AC432+AH$7)&lt;19.5)),AC432+AH$7,_xlfn.workday.intl(int(AC432),1,"0000001",Holidays!A:A)+hour(AC432+AH$7-$B$1)/24+minute(AC432)/1440),"")</f>
        <v>46221.53333</v>
      </c>
      <c r="AI432" s="104">
        <v>46220.60795041667</v>
      </c>
      <c r="AJ432" s="105" t="s">
        <v>14</v>
      </c>
      <c r="AK432" s="111">
        <f t="shared" si="8"/>
        <v>0</v>
      </c>
      <c r="AL432" s="112" t="str">
        <f t="shared" si="9"/>
        <v>EMP0042 HULESHWAR KUMAR SAHU</v>
      </c>
      <c r="AM432" s="113"/>
      <c r="AN432" s="114" t="s">
        <v>672</v>
      </c>
      <c r="AO432" s="115"/>
      <c r="AP432" s="115"/>
      <c r="AQ432" s="115"/>
      <c r="AR432" s="115"/>
      <c r="AS432" s="115"/>
      <c r="AT432" s="115"/>
      <c r="AU432" s="115"/>
      <c r="AV432" s="115"/>
      <c r="AW432" s="115"/>
      <c r="AX432" s="115"/>
      <c r="AY432" s="115"/>
    </row>
    <row r="433">
      <c r="A433" s="95">
        <f t="shared" si="11"/>
        <v>5384</v>
      </c>
      <c r="B433" s="96">
        <v>46219.669256030094</v>
      </c>
      <c r="C433" s="97" t="s">
        <v>694</v>
      </c>
      <c r="D433" s="97" t="s">
        <v>186</v>
      </c>
      <c r="E433" s="98" t="s">
        <v>2264</v>
      </c>
      <c r="F433" s="97"/>
      <c r="G433" s="97" t="s">
        <v>2265</v>
      </c>
      <c r="H433" s="99" t="s">
        <v>126</v>
      </c>
      <c r="I433" s="100" t="s">
        <v>64</v>
      </c>
      <c r="J433" s="101" t="s">
        <v>303</v>
      </c>
      <c r="K433" s="100"/>
      <c r="L433" s="102" t="s">
        <v>2266</v>
      </c>
      <c r="M433" s="103">
        <f>if(B433,if(and(hour(B433+M$7)&gt;9.5,(hour(B433+M$7)&lt;19.5)),B433+M$7,_xlfn.workday.intl(int(B433),1,"0000001",Holidays!A:A)+hour(B433+M$7-$B$1)/24+minute(B433)/1440),"")</f>
        <v>46220.41875</v>
      </c>
      <c r="N433" s="104">
        <v>46219.71272409722</v>
      </c>
      <c r="O433" s="105" t="s">
        <v>14</v>
      </c>
      <c r="P433" s="106">
        <f t="shared" si="1"/>
        <v>0</v>
      </c>
      <c r="Q433" s="107" t="s">
        <v>15</v>
      </c>
      <c r="R433" s="108" t="s">
        <v>434</v>
      </c>
      <c r="S433" s="103">
        <f>if(M433,if(and(hour(M433+S$7)&gt;9.5,(hour(M433+S$7)&lt;19.5)),M433+S$7,_xlfn.workday.intl(int(M433),1,"0000001",Holidays!A:A)+hour(M433+S$7-$B$1)/24+minute(M433)/1440),"")</f>
        <v>46220.42569</v>
      </c>
      <c r="T433" s="104">
        <v>46219.71333724537</v>
      </c>
      <c r="U433" s="105" t="s">
        <v>14</v>
      </c>
      <c r="V433" s="109">
        <f t="shared" si="2"/>
        <v>0</v>
      </c>
      <c r="W433" s="110" t="str">
        <f t="shared" si="3"/>
        <v>EMP0042 HULESHWAR KUMAR SAHU</v>
      </c>
      <c r="X433" s="103">
        <f>if(S433,if(and(hour(S433+X$7)&gt;9.5,(hour(S433+X$7)&lt;19.5)),S433+X$7,_xlfn.workday.intl(int(S433),1,"0000001",Holidays!A:A)+hour(S433+X$7-$B$1)/24+minute(S433)/1440),"")</f>
        <v>46220.52986</v>
      </c>
      <c r="Y433" s="104">
        <v>46219.71353915509</v>
      </c>
      <c r="Z433" s="105" t="s">
        <v>14</v>
      </c>
      <c r="AA433" s="111">
        <f t="shared" si="4"/>
        <v>0</v>
      </c>
      <c r="AB433" s="110" t="str">
        <f t="shared" si="5"/>
        <v>EMP0042 HULESHWAR KUMAR SAHU</v>
      </c>
      <c r="AC433" s="103">
        <f>if(X433,_xlfn.WORKDAY.INTL(X433,AC$7,"0000001",Holidays!A:A)+hour(X433)/24+MINUTE(X433)/1440,"")</f>
        <v>46221.52986</v>
      </c>
      <c r="AD433" s="104">
        <v>46220.60802722222</v>
      </c>
      <c r="AE433" s="105" t="s">
        <v>14</v>
      </c>
      <c r="AF433" s="111">
        <f t="shared" si="6"/>
        <v>0</v>
      </c>
      <c r="AG433" s="110" t="str">
        <f t="shared" si="7"/>
        <v>EMP0042 HULESHWAR KUMAR SAHU</v>
      </c>
      <c r="AH433" s="103">
        <f>if(AC433,if(and(hour(AC433+AH$7)&gt;9.5,(hour(AC433+AH$7)&lt;19.5)),AC433+AH$7,_xlfn.workday.intl(int(AC433),1,"0000001",Holidays!A:A)+hour(AC433+AH$7-$B$1)/24+minute(AC433)/1440),"")</f>
        <v>46221.57153</v>
      </c>
      <c r="AI433" s="104">
        <v>46220.60808655093</v>
      </c>
      <c r="AJ433" s="105" t="s">
        <v>14</v>
      </c>
      <c r="AK433" s="111">
        <f t="shared" si="8"/>
        <v>0</v>
      </c>
      <c r="AL433" s="112" t="str">
        <f t="shared" si="9"/>
        <v>EMP0042 HULESHWAR KUMAR SAHU</v>
      </c>
      <c r="AM433" s="113"/>
      <c r="AN433" s="114" t="s">
        <v>672</v>
      </c>
      <c r="AO433" s="115"/>
      <c r="AP433" s="115"/>
      <c r="AQ433" s="115"/>
      <c r="AR433" s="115"/>
      <c r="AS433" s="115"/>
      <c r="AT433" s="115"/>
      <c r="AU433" s="115"/>
      <c r="AV433" s="115"/>
      <c r="AW433" s="115"/>
      <c r="AX433" s="115"/>
      <c r="AY433" s="115"/>
    </row>
    <row r="434">
      <c r="A434" s="95">
        <f t="shared" si="11"/>
        <v>5385</v>
      </c>
      <c r="B434" s="96">
        <v>46219.68596703703</v>
      </c>
      <c r="C434" s="97" t="s">
        <v>1759</v>
      </c>
      <c r="D434" s="97" t="s">
        <v>1232</v>
      </c>
      <c r="E434" s="98" t="s">
        <v>2267</v>
      </c>
      <c r="F434" s="97"/>
      <c r="G434" s="97" t="s">
        <v>674</v>
      </c>
      <c r="H434" s="99" t="s">
        <v>62</v>
      </c>
      <c r="I434" s="100" t="s">
        <v>64</v>
      </c>
      <c r="J434" s="101" t="s">
        <v>662</v>
      </c>
      <c r="K434" s="100"/>
      <c r="L434" s="102" t="s">
        <v>2268</v>
      </c>
      <c r="M434" s="103">
        <f>if(B434,if(and(hour(B434+M$7)&gt;9.5,(hour(B434+M$7)&lt;19.5)),B434+M$7,_xlfn.workday.intl(int(B434),1,"0000001",Holidays!A:A)+hour(B434+M$7-$B$1)/24+minute(B434)/1440),"")</f>
        <v>46220.43542</v>
      </c>
      <c r="N434" s="104">
        <v>46219.71306181713</v>
      </c>
      <c r="O434" s="105" t="s">
        <v>14</v>
      </c>
      <c r="P434" s="106">
        <f t="shared" si="1"/>
        <v>0</v>
      </c>
      <c r="Q434" s="107" t="s">
        <v>72</v>
      </c>
      <c r="R434" s="108" t="s">
        <v>434</v>
      </c>
      <c r="S434" s="103">
        <f>if(M434,if(and(hour(M434+S$7)&gt;9.5,(hour(M434+S$7)&lt;19.5)),M434+S$7,_xlfn.workday.intl(int(M434),1,"0000001",Holidays!A:A)+hour(M434+S$7-$B$1)/24+minute(M434)/1440),"")</f>
        <v>46220.44236</v>
      </c>
      <c r="T434" s="104">
        <v>46219.7136559375</v>
      </c>
      <c r="U434" s="105" t="s">
        <v>14</v>
      </c>
      <c r="V434" s="109">
        <f t="shared" si="2"/>
        <v>0</v>
      </c>
      <c r="W434" s="110" t="str">
        <f t="shared" si="3"/>
        <v>EMP5009 Rup Kumar Mandal</v>
      </c>
      <c r="X434" s="103">
        <f>if(S434,if(and(hour(S434+X$7)&gt;9.5,(hour(S434+X$7)&lt;19.5)),S434+X$7,_xlfn.workday.intl(int(S434),1,"0000001",Holidays!A:A)+hour(S434+X$7-$B$1)/24+minute(S434)/1440),"")</f>
        <v>46220.54653</v>
      </c>
      <c r="Y434" s="104">
        <v>46219.7142086574</v>
      </c>
      <c r="Z434" s="105" t="s">
        <v>14</v>
      </c>
      <c r="AA434" s="111">
        <f t="shared" si="4"/>
        <v>0</v>
      </c>
      <c r="AB434" s="110" t="str">
        <f t="shared" si="5"/>
        <v>EMP5009 Rup Kumar Mandal</v>
      </c>
      <c r="AC434" s="103">
        <f>if(X434,_xlfn.WORKDAY.INTL(X434,AC$7,"0000001",Holidays!A:A)+hour(X434)/24+MINUTE(X434)/1440,"")</f>
        <v>46221.54653</v>
      </c>
      <c r="AD434" s="104">
        <v>46220.78761010416</v>
      </c>
      <c r="AE434" s="105" t="s">
        <v>14</v>
      </c>
      <c r="AF434" s="111">
        <f t="shared" si="6"/>
        <v>0</v>
      </c>
      <c r="AG434" s="110" t="str">
        <f t="shared" si="7"/>
        <v>EMP5009 Rup Kumar Mandal</v>
      </c>
      <c r="AH434" s="103">
        <f>if(AC434,if(and(hour(AC434+AH$7)&gt;9.5,(hour(AC434+AH$7)&lt;19.5)),AC434+AH$7,_xlfn.workday.intl(int(AC434),1,"0000001",Holidays!A:A)+hour(AC434+AH$7-$B$1)/24+minute(AC434)/1440),"")</f>
        <v>46221.58819</v>
      </c>
      <c r="AI434" s="104">
        <v>46221.43484315972</v>
      </c>
      <c r="AJ434" s="105" t="s">
        <v>14</v>
      </c>
      <c r="AK434" s="111">
        <f t="shared" si="8"/>
        <v>0</v>
      </c>
      <c r="AL434" s="112" t="str">
        <f t="shared" si="9"/>
        <v>EMP5009 Rup Kumar Mandal</v>
      </c>
      <c r="AM434" s="113"/>
      <c r="AN434" s="114" t="s">
        <v>672</v>
      </c>
      <c r="AO434" s="115"/>
      <c r="AP434" s="115"/>
      <c r="AQ434" s="115"/>
      <c r="AR434" s="115"/>
      <c r="AS434" s="115"/>
      <c r="AT434" s="115"/>
      <c r="AU434" s="115"/>
      <c r="AV434" s="115"/>
      <c r="AW434" s="115"/>
      <c r="AX434" s="115"/>
      <c r="AY434" s="115"/>
    </row>
    <row r="435">
      <c r="A435" s="95">
        <f t="shared" si="11"/>
        <v>5386</v>
      </c>
      <c r="B435" s="96">
        <v>46219.69026297454</v>
      </c>
      <c r="C435" s="97" t="s">
        <v>1762</v>
      </c>
      <c r="D435" s="97" t="s">
        <v>1300</v>
      </c>
      <c r="E435" s="98" t="s">
        <v>2269</v>
      </c>
      <c r="F435" s="97"/>
      <c r="G435" s="97" t="s">
        <v>648</v>
      </c>
      <c r="H435" s="99" t="s">
        <v>62</v>
      </c>
      <c r="I435" s="100" t="s">
        <v>64</v>
      </c>
      <c r="J435" s="101" t="s">
        <v>662</v>
      </c>
      <c r="K435" s="100"/>
      <c r="L435" s="102" t="s">
        <v>2270</v>
      </c>
      <c r="M435" s="103">
        <f>if(B435,if(and(hour(B435+M$7)&gt;9.5,(hour(B435+M$7)&lt;19.5)),B435+M$7,_xlfn.workday.intl(int(B435),1,"0000001",Holidays!A:A)+hour(B435+M$7-$B$1)/24+minute(B435)/1440),"")</f>
        <v>46220.43958</v>
      </c>
      <c r="N435" s="104">
        <v>46219.71314716435</v>
      </c>
      <c r="O435" s="105" t="s">
        <v>14</v>
      </c>
      <c r="P435" s="106">
        <f t="shared" si="1"/>
        <v>0</v>
      </c>
      <c r="Q435" s="107" t="s">
        <v>72</v>
      </c>
      <c r="R435" s="108" t="s">
        <v>434</v>
      </c>
      <c r="S435" s="103">
        <f>if(M435,if(and(hour(M435+S$7)&gt;9.5,(hour(M435+S$7)&lt;19.5)),M435+S$7,_xlfn.workday.intl(int(M435),1,"0000001",Holidays!A:A)+hour(M435+S$7-$B$1)/24+minute(M435)/1440),"")</f>
        <v>46220.44653</v>
      </c>
      <c r="T435" s="104">
        <v>46219.71367841435</v>
      </c>
      <c r="U435" s="105" t="s">
        <v>14</v>
      </c>
      <c r="V435" s="109">
        <f t="shared" si="2"/>
        <v>0</v>
      </c>
      <c r="W435" s="110" t="str">
        <f t="shared" si="3"/>
        <v>EMP5009 Rup Kumar Mandal</v>
      </c>
      <c r="X435" s="103">
        <f>if(S435,if(and(hour(S435+X$7)&gt;9.5,(hour(S435+X$7)&lt;19.5)),S435+X$7,_xlfn.workday.intl(int(S435),1,"0000001",Holidays!A:A)+hour(S435+X$7-$B$1)/24+minute(S435)/1440),"")</f>
        <v>46220.55069</v>
      </c>
      <c r="Y435" s="104">
        <v>46219.714197002315</v>
      </c>
      <c r="Z435" s="105" t="s">
        <v>14</v>
      </c>
      <c r="AA435" s="111">
        <f t="shared" si="4"/>
        <v>0</v>
      </c>
      <c r="AB435" s="110" t="str">
        <f t="shared" si="5"/>
        <v>EMP5009 Rup Kumar Mandal</v>
      </c>
      <c r="AC435" s="103">
        <f>if(X435,_xlfn.WORKDAY.INTL(X435,AC$7,"0000001",Holidays!A:A)+hour(X435)/24+MINUTE(X435)/1440,"")</f>
        <v>46221.55069</v>
      </c>
      <c r="AD435" s="104">
        <v>46220.78764606481</v>
      </c>
      <c r="AE435" s="105" t="s">
        <v>14</v>
      </c>
      <c r="AF435" s="111">
        <f t="shared" si="6"/>
        <v>0</v>
      </c>
      <c r="AG435" s="110" t="str">
        <f t="shared" si="7"/>
        <v>EMP5009 Rup Kumar Mandal</v>
      </c>
      <c r="AH435" s="103">
        <f>if(AC435,if(and(hour(AC435+AH$7)&gt;9.5,(hour(AC435+AH$7)&lt;19.5)),AC435+AH$7,_xlfn.workday.intl(int(AC435),1,"0000001",Holidays!A:A)+hour(AC435+AH$7-$B$1)/24+minute(AC435)/1440),"")</f>
        <v>46221.59236</v>
      </c>
      <c r="AI435" s="104">
        <v>46221.43484954861</v>
      </c>
      <c r="AJ435" s="105" t="s">
        <v>14</v>
      </c>
      <c r="AK435" s="111">
        <f t="shared" si="8"/>
        <v>0</v>
      </c>
      <c r="AL435" s="112" t="str">
        <f t="shared" si="9"/>
        <v>EMP5009 Rup Kumar Mandal</v>
      </c>
      <c r="AM435" s="113"/>
      <c r="AN435" s="114" t="s">
        <v>672</v>
      </c>
      <c r="AO435" s="115"/>
      <c r="AP435" s="115"/>
      <c r="AQ435" s="115"/>
      <c r="AR435" s="115"/>
      <c r="AS435" s="115"/>
      <c r="AT435" s="115"/>
      <c r="AU435" s="115"/>
      <c r="AV435" s="115"/>
      <c r="AW435" s="115"/>
      <c r="AX435" s="115"/>
      <c r="AY435" s="115"/>
    </row>
    <row r="436">
      <c r="A436" s="95">
        <f t="shared" si="11"/>
        <v>5387</v>
      </c>
      <c r="B436" s="96">
        <v>46220.50156336806</v>
      </c>
      <c r="C436" s="97" t="s">
        <v>1447</v>
      </c>
      <c r="D436" s="97" t="s">
        <v>186</v>
      </c>
      <c r="E436" s="98" t="s">
        <v>2271</v>
      </c>
      <c r="F436" s="97"/>
      <c r="G436" s="97" t="s">
        <v>2272</v>
      </c>
      <c r="H436" s="99" t="s">
        <v>147</v>
      </c>
      <c r="I436" s="100" t="s">
        <v>64</v>
      </c>
      <c r="J436" s="101" t="s">
        <v>303</v>
      </c>
      <c r="K436" s="100"/>
      <c r="L436" s="102" t="s">
        <v>2273</v>
      </c>
      <c r="M436" s="103">
        <f>if(B436,if(and(hour(B436+M$7)&gt;9.5,(hour(B436+M$7)&lt;19.5)),B436+M$7,_xlfn.workday.intl(int(B436),1,"0000001",Holidays!A:A)+hour(B436+M$7-$B$1)/24+minute(B436)/1440),"")</f>
        <v>46220.66823</v>
      </c>
      <c r="N436" s="104">
        <v>46220.607551678244</v>
      </c>
      <c r="O436" s="105" t="s">
        <v>14</v>
      </c>
      <c r="P436" s="106">
        <f t="shared" si="1"/>
        <v>0</v>
      </c>
      <c r="Q436" s="107" t="s">
        <v>61</v>
      </c>
      <c r="R436" s="108" t="s">
        <v>434</v>
      </c>
      <c r="S436" s="103">
        <f>if(M436,if(and(hour(M436+S$7)&gt;9.5,(hour(M436+S$7)&lt;19.5)),M436+S$7,_xlfn.workday.intl(int(M436),1,"0000001",Holidays!A:A)+hour(M436+S$7-$B$1)/24+minute(M436)/1440),"")</f>
        <v>46220.67517</v>
      </c>
      <c r="T436" s="104">
        <v>46220.57760012732</v>
      </c>
      <c r="U436" s="105" t="s">
        <v>14</v>
      </c>
      <c r="V436" s="109">
        <f t="shared" si="2"/>
        <v>0</v>
      </c>
      <c r="W436" s="110" t="str">
        <f t="shared" si="3"/>
        <v>EMP0021 Tamanna Dewangan</v>
      </c>
      <c r="X436" s="103">
        <f>if(S436,if(and(hour(S436+X$7)&gt;9.5,(hour(S436+X$7)&lt;19.5)),S436+X$7,_xlfn.workday.intl(int(S436),1,"0000001",Holidays!A:A)+hour(S436+X$7-$B$1)/24+minute(S436)/1440),"")</f>
        <v>46220.77934</v>
      </c>
      <c r="Y436" s="104">
        <v>46220.60763421297</v>
      </c>
      <c r="Z436" s="105" t="s">
        <v>14</v>
      </c>
      <c r="AA436" s="111">
        <f t="shared" si="4"/>
        <v>0</v>
      </c>
      <c r="AB436" s="110" t="str">
        <f t="shared" si="5"/>
        <v>EMP0021 Tamanna Dewangan</v>
      </c>
      <c r="AC436" s="103">
        <f>if(X436,_xlfn.WORKDAY.INTL(X436,AC$7,"0000001",Holidays!A:A)+hour(X436)/24+MINUTE(X436)/1440,"")</f>
        <v>46221.77917</v>
      </c>
      <c r="AD436" s="104">
        <v>46220.60774092593</v>
      </c>
      <c r="AE436" s="105" t="s">
        <v>14</v>
      </c>
      <c r="AF436" s="111">
        <f t="shared" si="6"/>
        <v>0</v>
      </c>
      <c r="AG436" s="110" t="str">
        <f t="shared" si="7"/>
        <v>EMP0021 Tamanna Dewangan</v>
      </c>
      <c r="AH436" s="103">
        <f>if(AC436,if(and(hour(AC436+AH$7)&gt;9.5,(hour(AC436+AH$7)&lt;19.5)),AC436+AH$7,_xlfn.workday.intl(int(AC436),1,"0000001",Holidays!A:A)+hour(AC436+AH$7-$B$1)/24+minute(AC436)/1440),"")</f>
        <v>46221.82083</v>
      </c>
      <c r="AI436" s="104">
        <v>46220.60822671297</v>
      </c>
      <c r="AJ436" s="105" t="s">
        <v>14</v>
      </c>
      <c r="AK436" s="111">
        <f t="shared" si="8"/>
        <v>0</v>
      </c>
      <c r="AL436" s="112" t="str">
        <f t="shared" si="9"/>
        <v>EMP0021 Tamanna Dewangan</v>
      </c>
      <c r="AM436" s="113"/>
      <c r="AN436" s="114" t="s">
        <v>672</v>
      </c>
      <c r="AO436" s="115"/>
      <c r="AP436" s="115"/>
      <c r="AQ436" s="115"/>
      <c r="AR436" s="115"/>
      <c r="AS436" s="115"/>
      <c r="AT436" s="115"/>
      <c r="AU436" s="115"/>
      <c r="AV436" s="115"/>
      <c r="AW436" s="115"/>
      <c r="AX436" s="115"/>
      <c r="AY436" s="115"/>
    </row>
    <row r="437">
      <c r="A437" s="95">
        <f t="shared" si="11"/>
        <v>5388</v>
      </c>
      <c r="B437" s="96">
        <v>46220.5625246412</v>
      </c>
      <c r="C437" s="97" t="s">
        <v>2277</v>
      </c>
      <c r="D437" s="97" t="s">
        <v>186</v>
      </c>
      <c r="E437" s="98" t="s">
        <v>2274</v>
      </c>
      <c r="F437" s="97"/>
      <c r="G437" s="97" t="s">
        <v>2275</v>
      </c>
      <c r="H437" s="99" t="s">
        <v>126</v>
      </c>
      <c r="I437" s="100" t="s">
        <v>64</v>
      </c>
      <c r="J437" s="101" t="s">
        <v>303</v>
      </c>
      <c r="K437" s="100"/>
      <c r="L437" s="102" t="s">
        <v>2276</v>
      </c>
      <c r="M437" s="103">
        <f>if(B437,if(and(hour(B437+M$7)&gt;9.5,(hour(B437+M$7)&lt;19.5)),B437+M$7,_xlfn.workday.intl(int(B437),1,"0000001",Holidays!A:A)+hour(B437+M$7-$B$1)/24+minute(B437)/1440),"")</f>
        <v>46220.72919</v>
      </c>
      <c r="N437" s="104">
        <v>46220.57749643519</v>
      </c>
      <c r="O437" s="105" t="s">
        <v>14</v>
      </c>
      <c r="P437" s="106">
        <f t="shared" si="1"/>
        <v>0</v>
      </c>
      <c r="Q437" s="107" t="s">
        <v>15</v>
      </c>
      <c r="R437" s="108" t="s">
        <v>434</v>
      </c>
      <c r="S437" s="103">
        <f>if(M437,if(and(hour(M437+S$7)&gt;9.5,(hour(M437+S$7)&lt;19.5)),M437+S$7,_xlfn.workday.intl(int(M437),1,"0000001",Holidays!A:A)+hour(M437+S$7-$B$1)/24+minute(M437)/1440),"")</f>
        <v>46220.73614</v>
      </c>
      <c r="T437" s="104">
        <v>46220.577620254626</v>
      </c>
      <c r="U437" s="105" t="s">
        <v>14</v>
      </c>
      <c r="V437" s="109">
        <f t="shared" si="2"/>
        <v>0</v>
      </c>
      <c r="W437" s="110" t="str">
        <f t="shared" si="3"/>
        <v>EMP0042 HULESHWAR KUMAR SAHU</v>
      </c>
      <c r="X437" s="103">
        <f>if(S437,if(and(hour(S437+X$7)&gt;9.5,(hour(S437+X$7)&lt;19.5)),S437+X$7,_xlfn.workday.intl(int(S437),1,"0000001",Holidays!A:A)+hour(S437+X$7-$B$1)/24+minute(S437)/1440),"")</f>
        <v>46221.44444</v>
      </c>
      <c r="Y437" s="104">
        <v>46220.607653009254</v>
      </c>
      <c r="Z437" s="105" t="s">
        <v>14</v>
      </c>
      <c r="AA437" s="111">
        <f t="shared" si="4"/>
        <v>0</v>
      </c>
      <c r="AB437" s="110" t="str">
        <f t="shared" si="5"/>
        <v>EMP0042 HULESHWAR KUMAR SAHU</v>
      </c>
      <c r="AC437" s="103">
        <f>if(X437,_xlfn.WORKDAY.INTL(X437,AC$7,"0000001",Holidays!A:A)+hour(X437)/24+MINUTE(X437)/1440,"")</f>
        <v>46223.44444</v>
      </c>
      <c r="AD437" s="104">
        <v>46221.527775925926</v>
      </c>
      <c r="AE437" s="105" t="s">
        <v>14</v>
      </c>
      <c r="AF437" s="111">
        <f t="shared" si="6"/>
        <v>0</v>
      </c>
      <c r="AG437" s="110" t="str">
        <f t="shared" si="7"/>
        <v>EMP0042 HULESHWAR KUMAR SAHU</v>
      </c>
      <c r="AH437" s="103">
        <f>if(AC437,if(and(hour(AC437+AH$7)&gt;9.5,(hour(AC437+AH$7)&lt;19.5)),AC437+AH$7,_xlfn.workday.intl(int(AC437),1,"0000001",Holidays!A:A)+hour(AC437+AH$7-$B$1)/24+minute(AC437)/1440),"")</f>
        <v>46223.48611</v>
      </c>
      <c r="AI437" s="104">
        <v>46221.527819490744</v>
      </c>
      <c r="AJ437" s="105" t="s">
        <v>14</v>
      </c>
      <c r="AK437" s="111">
        <f t="shared" si="8"/>
        <v>0</v>
      </c>
      <c r="AL437" s="112" t="str">
        <f t="shared" si="9"/>
        <v>EMP0042 HULESHWAR KUMAR SAHU</v>
      </c>
      <c r="AM437" s="113"/>
      <c r="AN437" s="114" t="s">
        <v>672</v>
      </c>
      <c r="AO437" s="115"/>
      <c r="AP437" s="115"/>
      <c r="AQ437" s="115"/>
      <c r="AR437" s="115"/>
      <c r="AS437" s="115"/>
      <c r="AT437" s="115"/>
      <c r="AU437" s="115"/>
      <c r="AV437" s="115"/>
      <c r="AW437" s="115"/>
      <c r="AX437" s="115"/>
      <c r="AY437" s="115"/>
    </row>
    <row r="438">
      <c r="A438" s="95">
        <f t="shared" si="11"/>
        <v>5389</v>
      </c>
      <c r="B438" s="96">
        <v>46220.75625957176</v>
      </c>
      <c r="C438" s="97" t="s">
        <v>519</v>
      </c>
      <c r="D438" s="97" t="s">
        <v>769</v>
      </c>
      <c r="E438" s="98" t="s">
        <v>2278</v>
      </c>
      <c r="F438" s="97"/>
      <c r="G438" s="97" t="s">
        <v>2279</v>
      </c>
      <c r="H438" s="99" t="s">
        <v>62</v>
      </c>
      <c r="I438" s="100" t="s">
        <v>64</v>
      </c>
      <c r="J438" s="101" t="s">
        <v>768</v>
      </c>
      <c r="K438" s="100"/>
      <c r="L438" s="102" t="s">
        <v>518</v>
      </c>
      <c r="M438" s="103">
        <f>if(B438,if(and(hour(B438+M$7)&gt;9.5,(hour(B438+M$7)&lt;19.5)),B438+M$7,_xlfn.workday.intl(int(B438),1,"0000001",Holidays!A:A)+hour(B438+M$7-$B$1)/24+minute(B438)/1440),"")</f>
        <v>46221.50625</v>
      </c>
      <c r="N438" s="104">
        <v>46220.78688810185</v>
      </c>
      <c r="O438" s="105" t="s">
        <v>14</v>
      </c>
      <c r="P438" s="106">
        <f t="shared" si="1"/>
        <v>0</v>
      </c>
      <c r="Q438" s="107" t="s">
        <v>72</v>
      </c>
      <c r="R438" s="108" t="s">
        <v>434</v>
      </c>
      <c r="S438" s="103">
        <f>if(M438,if(and(hour(M438+S$7)&gt;9.5,(hour(M438+S$7)&lt;19.5)),M438+S$7,_xlfn.workday.intl(int(M438),1,"0000001",Holidays!A:A)+hour(M438+S$7-$B$1)/24+minute(M438)/1440),"")</f>
        <v>46221.51319</v>
      </c>
      <c r="T438" s="104">
        <v>46220.787193055556</v>
      </c>
      <c r="U438" s="105" t="s">
        <v>14</v>
      </c>
      <c r="V438" s="109">
        <f t="shared" si="2"/>
        <v>0</v>
      </c>
      <c r="W438" s="110" t="str">
        <f t="shared" si="3"/>
        <v>EMP5009 Rup Kumar Mandal</v>
      </c>
      <c r="X438" s="103">
        <f>if(S438,if(and(hour(S438+X$7)&gt;9.5,(hour(S438+X$7)&lt;19.5)),S438+X$7,_xlfn.workday.intl(int(S438),1,"0000001",Holidays!A:A)+hour(S438+X$7-$B$1)/24+minute(S438)/1440),"")</f>
        <v>46221.61736</v>
      </c>
      <c r="Y438" s="104">
        <v>46220.78729165509</v>
      </c>
      <c r="Z438" s="105" t="s">
        <v>14</v>
      </c>
      <c r="AA438" s="111">
        <f t="shared" si="4"/>
        <v>0</v>
      </c>
      <c r="AB438" s="110" t="str">
        <f t="shared" si="5"/>
        <v>EMP5009 Rup Kumar Mandal</v>
      </c>
      <c r="AC438" s="103">
        <f>if(X438,_xlfn.WORKDAY.INTL(X438,AC$7,"0000001",Holidays!A:A)+hour(X438)/24+MINUTE(X438)/1440,"")</f>
        <v>46223.61736</v>
      </c>
      <c r="AD438" s="104">
        <v>46221.434706678236</v>
      </c>
      <c r="AE438" s="105" t="s">
        <v>14</v>
      </c>
      <c r="AF438" s="111">
        <f t="shared" si="6"/>
        <v>0</v>
      </c>
      <c r="AG438" s="110" t="str">
        <f t="shared" si="7"/>
        <v>EMP5009 Rup Kumar Mandal</v>
      </c>
      <c r="AH438" s="103">
        <f>if(AC438,if(and(hour(AC438+AH$7)&gt;9.5,(hour(AC438+AH$7)&lt;19.5)),AC438+AH$7,_xlfn.workday.intl(int(AC438),1,"0000001",Holidays!A:A)+hour(AC438+AH$7-$B$1)/24+minute(AC438)/1440),"")</f>
        <v>46223.65903</v>
      </c>
      <c r="AI438" s="104">
        <v>46221.43475017361</v>
      </c>
      <c r="AJ438" s="105" t="s">
        <v>14</v>
      </c>
      <c r="AK438" s="111">
        <f t="shared" si="8"/>
        <v>0</v>
      </c>
      <c r="AL438" s="112" t="str">
        <f t="shared" si="9"/>
        <v>EMP5009 Rup Kumar Mandal</v>
      </c>
      <c r="AM438" s="113"/>
      <c r="AN438" s="114" t="s">
        <v>672</v>
      </c>
      <c r="AO438" s="115"/>
      <c r="AP438" s="115"/>
      <c r="AQ438" s="115"/>
      <c r="AR438" s="115"/>
      <c r="AS438" s="115"/>
      <c r="AT438" s="115"/>
      <c r="AU438" s="115"/>
      <c r="AV438" s="115"/>
      <c r="AW438" s="115"/>
      <c r="AX438" s="115"/>
      <c r="AY438" s="115"/>
    </row>
    <row r="439">
      <c r="A439" s="95">
        <f t="shared" si="11"/>
        <v>5390</v>
      </c>
      <c r="B439" s="96">
        <v>46220.75804748843</v>
      </c>
      <c r="C439" s="97" t="s">
        <v>519</v>
      </c>
      <c r="D439" s="97" t="s">
        <v>769</v>
      </c>
      <c r="E439" s="98" t="s">
        <v>2280</v>
      </c>
      <c r="F439" s="97"/>
      <c r="G439" s="97" t="s">
        <v>2281</v>
      </c>
      <c r="H439" s="99" t="s">
        <v>62</v>
      </c>
      <c r="I439" s="100" t="s">
        <v>64</v>
      </c>
      <c r="J439" s="101" t="s">
        <v>768</v>
      </c>
      <c r="K439" s="100"/>
      <c r="L439" s="102" t="s">
        <v>2282</v>
      </c>
      <c r="M439" s="103">
        <f>if(B439,if(and(hour(B439+M$7)&gt;9.5,(hour(B439+M$7)&lt;19.5)),B439+M$7,_xlfn.workday.intl(int(B439),1,"0000001",Holidays!A:A)+hour(B439+M$7-$B$1)/24+minute(B439)/1440),"")</f>
        <v>46221.50764</v>
      </c>
      <c r="N439" s="104">
        <v>46220.786918425925</v>
      </c>
      <c r="O439" s="105" t="s">
        <v>14</v>
      </c>
      <c r="P439" s="106">
        <f t="shared" si="1"/>
        <v>0</v>
      </c>
      <c r="Q439" s="107" t="s">
        <v>61</v>
      </c>
      <c r="R439" s="108" t="s">
        <v>434</v>
      </c>
      <c r="S439" s="103">
        <f>if(M439,if(and(hour(M439+S$7)&gt;9.5,(hour(M439+S$7)&lt;19.5)),M439+S$7,_xlfn.workday.intl(int(M439),1,"0000001",Holidays!A:A)+hour(M439+S$7-$B$1)/24+minute(M439)/1440),"")</f>
        <v>46221.51458</v>
      </c>
      <c r="T439" s="104">
        <v>46220.78720925926</v>
      </c>
      <c r="U439" s="105" t="s">
        <v>14</v>
      </c>
      <c r="V439" s="109">
        <f t="shared" si="2"/>
        <v>0</v>
      </c>
      <c r="W439" s="110" t="str">
        <f t="shared" si="3"/>
        <v>EMP0021 Tamanna Dewangan</v>
      </c>
      <c r="X439" s="103">
        <f>if(S439,if(and(hour(S439+X$7)&gt;9.5,(hour(S439+X$7)&lt;19.5)),S439+X$7,_xlfn.workday.intl(int(S439),1,"0000001",Holidays!A:A)+hour(S439+X$7-$B$1)/24+minute(S439)/1440),"")</f>
        <v>46221.61875</v>
      </c>
      <c r="Y439" s="104">
        <v>46220.787314814814</v>
      </c>
      <c r="Z439" s="105" t="s">
        <v>14</v>
      </c>
      <c r="AA439" s="111">
        <f t="shared" si="4"/>
        <v>0</v>
      </c>
      <c r="AB439" s="110" t="str">
        <f t="shared" si="5"/>
        <v>EMP0021 Tamanna Dewangan</v>
      </c>
      <c r="AC439" s="103">
        <f>if(X439,_xlfn.WORKDAY.INTL(X439,AC$7,"0000001",Holidays!A:A)+hour(X439)/24+MINUTE(X439)/1440,"")</f>
        <v>46223.61875</v>
      </c>
      <c r="AD439" s="104">
        <v>46221.434726238425</v>
      </c>
      <c r="AE439" s="105" t="s">
        <v>14</v>
      </c>
      <c r="AF439" s="111">
        <f t="shared" si="6"/>
        <v>0</v>
      </c>
      <c r="AG439" s="110" t="str">
        <f t="shared" si="7"/>
        <v>EMP0021 Tamanna Dewangan</v>
      </c>
      <c r="AH439" s="103">
        <f>if(AC439,if(and(hour(AC439+AH$7)&gt;9.5,(hour(AC439+AH$7)&lt;19.5)),AC439+AH$7,_xlfn.workday.intl(int(AC439),1,"0000001",Holidays!A:A)+hour(AC439+AH$7-$B$1)/24+minute(AC439)/1440),"")</f>
        <v>46223.66042</v>
      </c>
      <c r="AI439" s="104">
        <v>46221.43475233796</v>
      </c>
      <c r="AJ439" s="105" t="s">
        <v>14</v>
      </c>
      <c r="AK439" s="111">
        <f t="shared" si="8"/>
        <v>0</v>
      </c>
      <c r="AL439" s="112" t="str">
        <f t="shared" si="9"/>
        <v>EMP0021 Tamanna Dewangan</v>
      </c>
      <c r="AM439" s="113"/>
      <c r="AN439" s="114" t="s">
        <v>672</v>
      </c>
      <c r="AO439" s="115"/>
      <c r="AP439" s="115"/>
      <c r="AQ439" s="115"/>
      <c r="AR439" s="115"/>
      <c r="AS439" s="115"/>
      <c r="AT439" s="115"/>
      <c r="AU439" s="115"/>
      <c r="AV439" s="115"/>
      <c r="AW439" s="115"/>
      <c r="AX439" s="115"/>
      <c r="AY439" s="115"/>
    </row>
    <row r="440">
      <c r="A440" s="95">
        <f t="shared" si="11"/>
        <v>5391</v>
      </c>
      <c r="B440" s="96">
        <v>46220.76226318287</v>
      </c>
      <c r="C440" s="97" t="s">
        <v>2285</v>
      </c>
      <c r="D440" s="97" t="s">
        <v>769</v>
      </c>
      <c r="E440" s="98" t="s">
        <v>2283</v>
      </c>
      <c r="F440" s="97"/>
      <c r="G440" s="97" t="s">
        <v>2284</v>
      </c>
      <c r="H440" s="99" t="s">
        <v>62</v>
      </c>
      <c r="I440" s="100" t="s">
        <v>64</v>
      </c>
      <c r="J440" s="101" t="s">
        <v>768</v>
      </c>
      <c r="K440" s="100"/>
      <c r="L440" s="102" t="s">
        <v>518</v>
      </c>
      <c r="M440" s="103">
        <f>if(B440,if(and(hour(B440+M$7)&gt;9.5,(hour(B440+M$7)&lt;19.5)),B440+M$7,_xlfn.workday.intl(int(B440),1,"0000001",Holidays!A:A)+hour(B440+M$7-$B$1)/24+minute(B440)/1440),"")</f>
        <v>46221.51181</v>
      </c>
      <c r="N440" s="104">
        <v>46220.7869387963</v>
      </c>
      <c r="O440" s="105" t="s">
        <v>14</v>
      </c>
      <c r="P440" s="106">
        <f t="shared" si="1"/>
        <v>0</v>
      </c>
      <c r="Q440" s="107" t="s">
        <v>72</v>
      </c>
      <c r="R440" s="108" t="s">
        <v>434</v>
      </c>
      <c r="S440" s="103">
        <f>if(M440,if(and(hour(M440+S$7)&gt;9.5,(hour(M440+S$7)&lt;19.5)),M440+S$7,_xlfn.workday.intl(int(M440),1,"0000001",Holidays!A:A)+hour(M440+S$7-$B$1)/24+minute(M440)/1440),"")</f>
        <v>46221.51875</v>
      </c>
      <c r="T440" s="104">
        <v>46220.787234421296</v>
      </c>
      <c r="U440" s="105" t="s">
        <v>14</v>
      </c>
      <c r="V440" s="109">
        <f t="shared" si="2"/>
        <v>0</v>
      </c>
      <c r="W440" s="110" t="str">
        <f t="shared" si="3"/>
        <v>EMP5009 Rup Kumar Mandal</v>
      </c>
      <c r="X440" s="103">
        <f>if(S440,if(and(hour(S440+X$7)&gt;9.5,(hour(S440+X$7)&lt;19.5)),S440+X$7,_xlfn.workday.intl(int(S440),1,"0000001",Holidays!A:A)+hour(S440+X$7-$B$1)/24+minute(S440)/1440),"")</f>
        <v>46221.62292</v>
      </c>
      <c r="Y440" s="104">
        <v>46220.787338333335</v>
      </c>
      <c r="Z440" s="105" t="s">
        <v>14</v>
      </c>
      <c r="AA440" s="111">
        <f t="shared" si="4"/>
        <v>0</v>
      </c>
      <c r="AB440" s="110" t="str">
        <f t="shared" si="5"/>
        <v>EMP5009 Rup Kumar Mandal</v>
      </c>
      <c r="AC440" s="103">
        <f>if(X440,_xlfn.WORKDAY.INTL(X440,AC$7,"0000001",Holidays!A:A)+hour(X440)/24+MINUTE(X440)/1440,"")</f>
        <v>46223.62292</v>
      </c>
      <c r="AD440" s="104">
        <v>46221.434726238425</v>
      </c>
      <c r="AE440" s="105" t="s">
        <v>14</v>
      </c>
      <c r="AF440" s="111">
        <f t="shared" si="6"/>
        <v>0</v>
      </c>
      <c r="AG440" s="110" t="str">
        <f t="shared" si="7"/>
        <v>EMP5009 Rup Kumar Mandal</v>
      </c>
      <c r="AH440" s="103">
        <f>if(AC440,if(and(hour(AC440+AH$7)&gt;9.5,(hour(AC440+AH$7)&lt;19.5)),AC440+AH$7,_xlfn.workday.intl(int(AC440),1,"0000001",Holidays!A:A)+hour(AC440+AH$7-$B$1)/24+minute(AC440)/1440),"")</f>
        <v>46223.66458</v>
      </c>
      <c r="AI440" s="104">
        <v>46221.4347628588</v>
      </c>
      <c r="AJ440" s="105" t="s">
        <v>14</v>
      </c>
      <c r="AK440" s="111">
        <f t="shared" si="8"/>
        <v>0</v>
      </c>
      <c r="AL440" s="112" t="str">
        <f t="shared" si="9"/>
        <v>EMP5009 Rup Kumar Mandal</v>
      </c>
      <c r="AM440" s="113"/>
      <c r="AN440" s="114" t="s">
        <v>672</v>
      </c>
      <c r="AO440" s="115"/>
      <c r="AP440" s="115"/>
      <c r="AQ440" s="115"/>
      <c r="AR440" s="115"/>
      <c r="AS440" s="115"/>
      <c r="AT440" s="115"/>
      <c r="AU440" s="115"/>
      <c r="AV440" s="115"/>
      <c r="AW440" s="115"/>
      <c r="AX440" s="115"/>
      <c r="AY440" s="115"/>
    </row>
    <row r="441">
      <c r="A441" s="95">
        <f t="shared" si="11"/>
        <v>5392</v>
      </c>
      <c r="B441" s="96">
        <v>46220.76461084491</v>
      </c>
      <c r="C441" s="97" t="s">
        <v>1787</v>
      </c>
      <c r="D441" s="97" t="s">
        <v>769</v>
      </c>
      <c r="E441" s="98" t="s">
        <v>2286</v>
      </c>
      <c r="F441" s="97"/>
      <c r="G441" s="97" t="s">
        <v>2287</v>
      </c>
      <c r="H441" s="99" t="s">
        <v>62</v>
      </c>
      <c r="I441" s="100" t="s">
        <v>64</v>
      </c>
      <c r="J441" s="101" t="s">
        <v>768</v>
      </c>
      <c r="K441" s="100"/>
      <c r="L441" s="102" t="s">
        <v>518</v>
      </c>
      <c r="M441" s="103">
        <f>if(B441,if(and(hour(B441+M$7)&gt;9.5,(hour(B441+M$7)&lt;19.5)),B441+M$7,_xlfn.workday.intl(int(B441),1,"0000001",Holidays!A:A)+hour(B441+M$7-$B$1)/24+minute(B441)/1440),"")</f>
        <v>46221.51458</v>
      </c>
      <c r="N441" s="104">
        <v>46220.78695045139</v>
      </c>
      <c r="O441" s="105" t="s">
        <v>14</v>
      </c>
      <c r="P441" s="106">
        <f t="shared" si="1"/>
        <v>0</v>
      </c>
      <c r="Q441" s="107" t="s">
        <v>72</v>
      </c>
      <c r="R441" s="108" t="s">
        <v>434</v>
      </c>
      <c r="S441" s="103">
        <f>if(M441,if(and(hour(M441+S$7)&gt;9.5,(hour(M441+S$7)&lt;19.5)),M441+S$7,_xlfn.workday.intl(int(M441),1,"0000001",Holidays!A:A)+hour(M441+S$7-$B$1)/24+minute(M441)/1440),"")</f>
        <v>46221.52153</v>
      </c>
      <c r="T441" s="104">
        <v>46220.787257523145</v>
      </c>
      <c r="U441" s="105" t="s">
        <v>14</v>
      </c>
      <c r="V441" s="109">
        <f t="shared" si="2"/>
        <v>0</v>
      </c>
      <c r="W441" s="110" t="str">
        <f t="shared" si="3"/>
        <v>EMP5009 Rup Kumar Mandal</v>
      </c>
      <c r="X441" s="103">
        <f>if(S441,if(and(hour(S441+X$7)&gt;9.5,(hour(S441+X$7)&lt;19.5)),S441+X$7,_xlfn.workday.intl(int(S441),1,"0000001",Holidays!A:A)+hour(S441+X$7-$B$1)/24+minute(S441)/1440),"")</f>
        <v>46221.62569</v>
      </c>
      <c r="Y441" s="104">
        <v>46220.78736914352</v>
      </c>
      <c r="Z441" s="105" t="s">
        <v>14</v>
      </c>
      <c r="AA441" s="111">
        <f t="shared" si="4"/>
        <v>0</v>
      </c>
      <c r="AB441" s="110" t="str">
        <f t="shared" si="5"/>
        <v>EMP5009 Rup Kumar Mandal</v>
      </c>
      <c r="AC441" s="103">
        <f>if(X441,_xlfn.WORKDAY.INTL(X441,AC$7,"0000001",Holidays!A:A)+hour(X441)/24+MINUTE(X441)/1440,"")</f>
        <v>46223.62569</v>
      </c>
      <c r="AD441" s="104">
        <v>46221.434726238425</v>
      </c>
      <c r="AE441" s="105" t="s">
        <v>14</v>
      </c>
      <c r="AF441" s="111">
        <f t="shared" si="6"/>
        <v>0</v>
      </c>
      <c r="AG441" s="110" t="str">
        <f t="shared" si="7"/>
        <v>EMP5009 Rup Kumar Mandal</v>
      </c>
      <c r="AH441" s="103">
        <f>if(AC441,if(and(hour(AC441+AH$7)&gt;9.5,(hour(AC441+AH$7)&lt;19.5)),AC441+AH$7,_xlfn.workday.intl(int(AC441),1,"0000001",Holidays!A:A)+hour(AC441+AH$7-$B$1)/24+minute(AC441)/1440),"")</f>
        <v>46223.66736</v>
      </c>
      <c r="AI441" s="104">
        <v>46221.4347628588</v>
      </c>
      <c r="AJ441" s="105" t="s">
        <v>14</v>
      </c>
      <c r="AK441" s="111">
        <f t="shared" si="8"/>
        <v>0</v>
      </c>
      <c r="AL441" s="112" t="str">
        <f t="shared" si="9"/>
        <v>EMP5009 Rup Kumar Mandal</v>
      </c>
      <c r="AM441" s="113"/>
      <c r="AN441" s="114" t="s">
        <v>672</v>
      </c>
      <c r="AO441" s="115"/>
      <c r="AP441" s="115"/>
      <c r="AQ441" s="115"/>
      <c r="AR441" s="115"/>
      <c r="AS441" s="115"/>
      <c r="AT441" s="115"/>
      <c r="AU441" s="115"/>
      <c r="AV441" s="115"/>
      <c r="AW441" s="115"/>
      <c r="AX441" s="115"/>
      <c r="AY441" s="115"/>
    </row>
    <row r="442">
      <c r="A442" s="95">
        <f t="shared" si="11"/>
        <v>5393</v>
      </c>
      <c r="B442" s="96">
        <v>46221.452969687496</v>
      </c>
      <c r="C442" s="97" t="s">
        <v>754</v>
      </c>
      <c r="D442" s="97" t="s">
        <v>207</v>
      </c>
      <c r="E442" s="98" t="s">
        <v>2288</v>
      </c>
      <c r="F442" s="97"/>
      <c r="G442" s="97" t="s">
        <v>211</v>
      </c>
      <c r="H442" s="99" t="s">
        <v>62</v>
      </c>
      <c r="I442" s="100" t="s">
        <v>64</v>
      </c>
      <c r="J442" s="101" t="s">
        <v>206</v>
      </c>
      <c r="K442" s="100"/>
      <c r="L442" s="102" t="s">
        <v>2289</v>
      </c>
      <c r="M442" s="103">
        <f>if(B442,if(and(hour(B442+M$7)&gt;9.5,(hour(B442+M$7)&lt;19.5)),B442+M$7,_xlfn.workday.intl(int(B442),1,"0000001",Holidays!A:A)+hour(B442+M$7-$B$1)/24+minute(B442)/1440),"")</f>
        <v>46221.61964</v>
      </c>
      <c r="N442" s="104">
        <v>46221.47032224537</v>
      </c>
      <c r="O442" s="105" t="s">
        <v>14</v>
      </c>
      <c r="P442" s="106">
        <f t="shared" si="1"/>
        <v>0</v>
      </c>
      <c r="Q442" s="107" t="s">
        <v>48</v>
      </c>
      <c r="R442" s="108" t="s">
        <v>434</v>
      </c>
      <c r="S442" s="103">
        <f>if(M442,if(and(hour(M442+S$7)&gt;9.5,(hour(M442+S$7)&lt;19.5)),M442+S$7,_xlfn.workday.intl(int(M442),1,"0000001",Holidays!A:A)+hour(M442+S$7-$B$1)/24+minute(M442)/1440),"")</f>
        <v>46221.62658</v>
      </c>
      <c r="T442" s="104">
        <v>46221.47045804399</v>
      </c>
      <c r="U442" s="105" t="s">
        <v>14</v>
      </c>
      <c r="V442" s="109">
        <f t="shared" si="2"/>
        <v>0</v>
      </c>
      <c r="W442" s="110" t="str">
        <f t="shared" si="3"/>
        <v>EMP0237 Swarnendu Chakraborty</v>
      </c>
      <c r="X442" s="103">
        <f>if(S442,if(and(hour(S442+X$7)&gt;9.5,(hour(S442+X$7)&lt;19.5)),S442+X$7,_xlfn.workday.intl(int(S442),1,"0000001",Holidays!A:A)+hour(S442+X$7-$B$1)/24+minute(S442)/1440),"")</f>
        <v>46221.73075</v>
      </c>
      <c r="Y442" s="104">
        <v>46221.61908369213</v>
      </c>
      <c r="Z442" s="105" t="s">
        <v>14</v>
      </c>
      <c r="AA442" s="111">
        <f t="shared" si="4"/>
        <v>0</v>
      </c>
      <c r="AB442" s="110" t="str">
        <f t="shared" si="5"/>
        <v>EMP0237 Swarnendu Chakraborty</v>
      </c>
      <c r="AC442" s="103">
        <f>if(X442,_xlfn.WORKDAY.INTL(X442,AC$7,"0000001",Holidays!A:A)+hour(X442)/24+MINUTE(X442)/1440,"")</f>
        <v>46223.73056</v>
      </c>
      <c r="AD442" s="104">
        <v>46221.619134953704</v>
      </c>
      <c r="AE442" s="105" t="s">
        <v>14</v>
      </c>
      <c r="AF442" s="111">
        <f t="shared" si="6"/>
        <v>0</v>
      </c>
      <c r="AG442" s="110" t="str">
        <f t="shared" si="7"/>
        <v>EMP0237 Swarnendu Chakraborty</v>
      </c>
      <c r="AH442" s="103">
        <f>if(AC442,if(and(hour(AC442+AH$7)&gt;9.5,(hour(AC442+AH$7)&lt;19.5)),AC442+AH$7,_xlfn.workday.intl(int(AC442),1,"0000001",Holidays!A:A)+hour(AC442+AH$7-$B$1)/24+minute(AC442)/1440),"")</f>
        <v>46223.77222</v>
      </c>
      <c r="AI442" s="104">
        <v>46223.49132725694</v>
      </c>
      <c r="AJ442" s="105" t="s">
        <v>14</v>
      </c>
      <c r="AK442" s="111">
        <f t="shared" si="8"/>
        <v>0</v>
      </c>
      <c r="AL442" s="112" t="str">
        <f t="shared" si="9"/>
        <v>EMP0237 Swarnendu Chakraborty</v>
      </c>
      <c r="AM442" s="113"/>
      <c r="AN442" s="114" t="s">
        <v>672</v>
      </c>
      <c r="AO442" s="115"/>
      <c r="AP442" s="115"/>
      <c r="AQ442" s="115"/>
      <c r="AR442" s="115"/>
      <c r="AS442" s="115"/>
      <c r="AT442" s="115"/>
      <c r="AU442" s="115"/>
      <c r="AV442" s="115"/>
      <c r="AW442" s="115"/>
      <c r="AX442" s="115"/>
      <c r="AY442" s="115"/>
    </row>
    <row r="443">
      <c r="A443" s="95">
        <f t="shared" si="11"/>
        <v>5394</v>
      </c>
      <c r="B443" s="96">
        <v>46221.60938085648</v>
      </c>
      <c r="C443" s="97" t="s">
        <v>1796</v>
      </c>
      <c r="D443" s="97" t="s">
        <v>277</v>
      </c>
      <c r="E443" s="98" t="s">
        <v>2290</v>
      </c>
      <c r="F443" s="97"/>
      <c r="G443" s="97" t="s">
        <v>75</v>
      </c>
      <c r="H443" s="99" t="s">
        <v>138</v>
      </c>
      <c r="I443" s="100" t="s">
        <v>64</v>
      </c>
      <c r="J443" s="101" t="s">
        <v>67</v>
      </c>
      <c r="K443" s="100"/>
      <c r="L443" s="102" t="s">
        <v>76</v>
      </c>
      <c r="M443" s="103">
        <f>if(B443,if(and(hour(B443+M$7)&gt;9.5,(hour(B443+M$7)&lt;19.5)),B443+M$7,_xlfn.workday.intl(int(B443),1,"0000001",Holidays!A:A)+hour(B443+M$7-$B$1)/24+minute(B443)/1440),"")</f>
        <v>46221.77605</v>
      </c>
      <c r="N443" s="104">
        <v>46221.61882982639</v>
      </c>
      <c r="O443" s="105" t="s">
        <v>14</v>
      </c>
      <c r="P443" s="106">
        <f t="shared" si="1"/>
        <v>0</v>
      </c>
      <c r="Q443" s="107" t="s">
        <v>15</v>
      </c>
      <c r="R443" s="108" t="s">
        <v>434</v>
      </c>
      <c r="S443" s="103">
        <f>if(M443,if(and(hour(M443+S$7)&gt;9.5,(hour(M443+S$7)&lt;19.5)),M443+S$7,_xlfn.workday.intl(int(M443),1,"0000001",Holidays!A:A)+hour(M443+S$7-$B$1)/24+minute(M443)/1440),"")</f>
        <v>46221.78299</v>
      </c>
      <c r="T443" s="104">
        <v>46221.61894155093</v>
      </c>
      <c r="U443" s="105" t="s">
        <v>14</v>
      </c>
      <c r="V443" s="109">
        <f t="shared" si="2"/>
        <v>0</v>
      </c>
      <c r="W443" s="110" t="str">
        <f t="shared" si="3"/>
        <v>EMP0042 HULESHWAR KUMAR SAHU</v>
      </c>
      <c r="X443" s="103">
        <f>if(S443,if(and(hour(S443+X$7)&gt;9.5,(hour(S443+X$7)&lt;19.5)),S443+X$7,_xlfn.workday.intl(int(S443),1,"0000001",Holidays!A:A)+hour(S443+X$7-$B$1)/24+minute(S443)/1440),"")</f>
        <v>46223.49097</v>
      </c>
      <c r="Y443" s="104">
        <v>46221.619033124996</v>
      </c>
      <c r="Z443" s="105" t="s">
        <v>14</v>
      </c>
      <c r="AA443" s="111">
        <f t="shared" si="4"/>
        <v>0</v>
      </c>
      <c r="AB443" s="110" t="str">
        <f t="shared" si="5"/>
        <v>EMP0042 HULESHWAR KUMAR SAHU</v>
      </c>
      <c r="AC443" s="103">
        <f>if(X443,_xlfn.WORKDAY.INTL(X443,AC$7,"0000001",Holidays!A:A)+hour(X443)/24+MINUTE(X443)/1440,"")</f>
        <v>46224.49097</v>
      </c>
      <c r="AD443" s="104">
        <v>46224.45440216435</v>
      </c>
      <c r="AE443" s="105" t="s">
        <v>14</v>
      </c>
      <c r="AF443" s="111">
        <f t="shared" si="6"/>
        <v>0</v>
      </c>
      <c r="AG443" s="110" t="str">
        <f t="shared" si="7"/>
        <v>EMP0042 HULESHWAR KUMAR SAHU</v>
      </c>
      <c r="AH443" s="103">
        <f>if(AC443,if(and(hour(AC443+AH$7)&gt;9.5,(hour(AC443+AH$7)&lt;19.5)),AC443+AH$7,_xlfn.workday.intl(int(AC443),1,"0000001",Holidays!A:A)+hour(AC443+AH$7-$B$1)/24+minute(AC443)/1440),"")</f>
        <v>46224.53264</v>
      </c>
      <c r="AI443" s="104">
        <v>46224.454527141206</v>
      </c>
      <c r="AJ443" s="105" t="s">
        <v>14</v>
      </c>
      <c r="AK443" s="111">
        <f t="shared" si="8"/>
        <v>0</v>
      </c>
      <c r="AL443" s="112" t="str">
        <f t="shared" si="9"/>
        <v>EMP0042 HULESHWAR KUMAR SAHU</v>
      </c>
      <c r="AM443" s="113"/>
      <c r="AN443" s="114" t="s">
        <v>672</v>
      </c>
      <c r="AO443" s="115"/>
      <c r="AP443" s="115"/>
      <c r="AQ443" s="115"/>
      <c r="AR443" s="115"/>
      <c r="AS443" s="115"/>
      <c r="AT443" s="115"/>
      <c r="AU443" s="115"/>
      <c r="AV443" s="115"/>
      <c r="AW443" s="115"/>
      <c r="AX443" s="115"/>
      <c r="AY443" s="115"/>
    </row>
    <row r="444">
      <c r="A444" s="95">
        <f t="shared" si="11"/>
        <v>5395</v>
      </c>
      <c r="B444" s="96">
        <v>46221.610434780094</v>
      </c>
      <c r="C444" s="97" t="s">
        <v>913</v>
      </c>
      <c r="D444" s="97" t="s">
        <v>207</v>
      </c>
      <c r="E444" s="98" t="s">
        <v>2291</v>
      </c>
      <c r="F444" s="97"/>
      <c r="G444" s="97" t="s">
        <v>354</v>
      </c>
      <c r="H444" s="99" t="s">
        <v>62</v>
      </c>
      <c r="I444" s="100" t="s">
        <v>64</v>
      </c>
      <c r="J444" s="101" t="s">
        <v>206</v>
      </c>
      <c r="K444" s="100"/>
      <c r="L444" s="102" t="s">
        <v>2292</v>
      </c>
      <c r="M444" s="103">
        <f>if(B444,if(and(hour(B444+M$7)&gt;9.5,(hour(B444+M$7)&lt;19.5)),B444+M$7,_xlfn.workday.intl(int(B444),1,"0000001",Holidays!A:A)+hour(B444+M$7-$B$1)/24+minute(B444)/1440),"")+2-6/24</f>
        <v>46223.5271</v>
      </c>
      <c r="N444" s="104">
        <v>46221.636272476855</v>
      </c>
      <c r="O444" s="105" t="s">
        <v>14</v>
      </c>
      <c r="P444" s="106">
        <f t="shared" si="1"/>
        <v>0</v>
      </c>
      <c r="Q444" s="107" t="s">
        <v>48</v>
      </c>
      <c r="R444" s="108" t="s">
        <v>434</v>
      </c>
      <c r="S444" s="103">
        <f>if(M444,if(and(hour(M444+S$7)&gt;9.5,(hour(M444+S$7)&lt;19.5)),M444+S$7,_xlfn.workday.intl(int(M444),1,"0000001",Holidays!A:A)+hour(M444+S$7-$B$1)/24+minute(M444)/1440),"")</f>
        <v>46223.53405</v>
      </c>
      <c r="T444" s="104">
        <v>46221.63640240741</v>
      </c>
      <c r="U444" s="105" t="s">
        <v>14</v>
      </c>
      <c r="V444" s="109">
        <f t="shared" si="2"/>
        <v>0</v>
      </c>
      <c r="W444" s="110" t="str">
        <f t="shared" si="3"/>
        <v>EMP0237 Swarnendu Chakraborty</v>
      </c>
      <c r="X444" s="103">
        <f>if(S444,if(and(hour(S444+X$7)&gt;9.5,(hour(S444+X$7)&lt;19.5)),S444+X$7,_xlfn.workday.intl(int(S444),1,"0000001",Holidays!A:A)+hour(S444+X$7-$B$1)/24+minute(S444)/1440),"")</f>
        <v>46223.63821</v>
      </c>
      <c r="Y444" s="104">
        <v>46221.6364412963</v>
      </c>
      <c r="Z444" s="105" t="s">
        <v>14</v>
      </c>
      <c r="AA444" s="111">
        <f t="shared" si="4"/>
        <v>0</v>
      </c>
      <c r="AB444" s="110" t="str">
        <f t="shared" si="5"/>
        <v>EMP0237 Swarnendu Chakraborty</v>
      </c>
      <c r="AC444" s="103">
        <f>if(X444,_xlfn.WORKDAY.INTL(X444,AC$7,"0000001",Holidays!A:A)+hour(X444)/24+MINUTE(X444)/1440,"")</f>
        <v>46224.63819</v>
      </c>
      <c r="AD444" s="104">
        <v>46224.45442565972</v>
      </c>
      <c r="AE444" s="105" t="s">
        <v>14</v>
      </c>
      <c r="AF444" s="111">
        <f t="shared" si="6"/>
        <v>0</v>
      </c>
      <c r="AG444" s="110" t="str">
        <f t="shared" si="7"/>
        <v>EMP0237 Swarnendu Chakraborty</v>
      </c>
      <c r="AH444" s="103">
        <f>if(AC444,if(and(hour(AC444+AH$7)&gt;9.5,(hour(AC444+AH$7)&lt;19.5)),AC444+AH$7,_xlfn.workday.intl(int(AC444),1,"0000001",Holidays!A:A)+hour(AC444+AH$7-$B$1)/24+minute(AC444)/1440),"")</f>
        <v>46224.67986</v>
      </c>
      <c r="AI444" s="104">
        <v>46224.46914878472</v>
      </c>
      <c r="AJ444" s="105" t="s">
        <v>14</v>
      </c>
      <c r="AK444" s="111">
        <f t="shared" si="8"/>
        <v>0</v>
      </c>
      <c r="AL444" s="112" t="str">
        <f t="shared" si="9"/>
        <v>EMP0237 Swarnendu Chakraborty</v>
      </c>
      <c r="AM444" s="113"/>
      <c r="AN444" s="114" t="s">
        <v>672</v>
      </c>
      <c r="AO444" s="115"/>
      <c r="AP444" s="115"/>
      <c r="AQ444" s="115"/>
      <c r="AR444" s="115"/>
      <c r="AS444" s="115"/>
      <c r="AT444" s="115"/>
      <c r="AU444" s="115"/>
      <c r="AV444" s="115"/>
      <c r="AW444" s="115"/>
      <c r="AX444" s="115"/>
      <c r="AY444" s="115"/>
    </row>
    <row r="445">
      <c r="A445" s="95">
        <f t="shared" si="11"/>
        <v>5396</v>
      </c>
      <c r="B445" s="96">
        <v>46221.6767652662</v>
      </c>
      <c r="C445" s="97" t="s">
        <v>1802</v>
      </c>
      <c r="D445" s="97" t="s">
        <v>264</v>
      </c>
      <c r="E445" s="98" t="s">
        <v>2293</v>
      </c>
      <c r="F445" s="97"/>
      <c r="G445" s="97" t="s">
        <v>1802</v>
      </c>
      <c r="H445" s="99" t="s">
        <v>62</v>
      </c>
      <c r="I445" s="100" t="s">
        <v>64</v>
      </c>
      <c r="J445" s="101" t="s">
        <v>263</v>
      </c>
      <c r="K445" s="100"/>
      <c r="L445" s="102" t="s">
        <v>2294</v>
      </c>
      <c r="M445" s="103">
        <f>if(B445,if(and(hour(B445+M$7)&gt;9.5,(hour(B445+M$7)&lt;19.5)),B445+M$7,_xlfn.workday.intl(int(B445),1,"0000001",Holidays!A:A)+hour(B445+M$7-$B$1)/24+minute(B445)/1440),"")+2/24</f>
        <v>46223.50972</v>
      </c>
      <c r="N445" s="104">
        <v>46223.47312108796</v>
      </c>
      <c r="O445" s="105" t="s">
        <v>14</v>
      </c>
      <c r="P445" s="106">
        <f t="shared" si="1"/>
        <v>0</v>
      </c>
      <c r="Q445" s="107" t="s">
        <v>15</v>
      </c>
      <c r="R445" s="108" t="s">
        <v>434</v>
      </c>
      <c r="S445" s="103">
        <f>if(M445,if(and(hour(M445+S$7)&gt;9.5,(hour(M445+S$7)&lt;19.5)),M445+S$7,_xlfn.workday.intl(int(M445),1,"0000001",Holidays!A:A)+hour(M445+S$7-$B$1)/24+minute(M445)/1440),"")</f>
        <v>46223.51667</v>
      </c>
      <c r="T445" s="104">
        <v>46223.47328597222</v>
      </c>
      <c r="U445" s="105" t="s">
        <v>14</v>
      </c>
      <c r="V445" s="109">
        <f t="shared" si="2"/>
        <v>0</v>
      </c>
      <c r="W445" s="110" t="str">
        <f t="shared" si="3"/>
        <v>EMP0042 HULESHWAR KUMAR SAHU</v>
      </c>
      <c r="X445" s="103">
        <f>if(S445,if(and(hour(S445+X$7)&gt;9.5,(hour(S445+X$7)&lt;19.5)),S445+X$7,_xlfn.workday.intl(int(S445),1,"0000001",Holidays!A:A)+hour(S445+X$7-$B$1)/24+minute(S445)/1440),"")</f>
        <v>46223.62083</v>
      </c>
      <c r="Y445" s="104">
        <v>46223.47608395833</v>
      </c>
      <c r="Z445" s="105" t="s">
        <v>14</v>
      </c>
      <c r="AA445" s="111">
        <f t="shared" si="4"/>
        <v>0</v>
      </c>
      <c r="AB445" s="110" t="str">
        <f t="shared" si="5"/>
        <v>EMP0042 HULESHWAR KUMAR SAHU</v>
      </c>
      <c r="AC445" s="103">
        <f>if(X445,_xlfn.WORKDAY.INTL(X445,AC$7,"0000001",Holidays!A:A)+hour(X445)/24+MINUTE(X445)/1440,"")</f>
        <v>46224.62083</v>
      </c>
      <c r="AD445" s="104">
        <v>46223.501375567124</v>
      </c>
      <c r="AE445" s="105" t="s">
        <v>14</v>
      </c>
      <c r="AF445" s="111">
        <f t="shared" si="6"/>
        <v>0</v>
      </c>
      <c r="AG445" s="110" t="str">
        <f t="shared" si="7"/>
        <v>EMP0042 HULESHWAR KUMAR SAHU</v>
      </c>
      <c r="AH445" s="103">
        <f>if(AC445,if(and(hour(AC445+AH$7)&gt;9.5,(hour(AC445+AH$7)&lt;19.5)),AC445+AH$7,_xlfn.workday.intl(int(AC445),1,"0000001",Holidays!A:A)+hour(AC445+AH$7-$B$1)/24+minute(AC445)/1440),"")</f>
        <v>46224.6625</v>
      </c>
      <c r="AI445" s="104">
        <v>46223.50140984954</v>
      </c>
      <c r="AJ445" s="105" t="s">
        <v>14</v>
      </c>
      <c r="AK445" s="111">
        <f t="shared" si="8"/>
        <v>0</v>
      </c>
      <c r="AL445" s="112" t="str">
        <f t="shared" si="9"/>
        <v>EMP0042 HULESHWAR KUMAR SAHU</v>
      </c>
      <c r="AM445" s="113"/>
      <c r="AN445" s="114" t="s">
        <v>672</v>
      </c>
      <c r="AO445" s="115"/>
      <c r="AP445" s="115"/>
      <c r="AQ445" s="115"/>
      <c r="AR445" s="115"/>
      <c r="AS445" s="115"/>
      <c r="AT445" s="115"/>
      <c r="AU445" s="115"/>
      <c r="AV445" s="115"/>
      <c r="AW445" s="115"/>
      <c r="AX445" s="115"/>
      <c r="AY445" s="115"/>
    </row>
    <row r="446">
      <c r="A446" s="95">
        <f t="shared" si="11"/>
        <v>5397</v>
      </c>
      <c r="B446" s="96">
        <v>46223.47238622685</v>
      </c>
      <c r="C446" s="97" t="s">
        <v>1806</v>
      </c>
      <c r="D446" s="97" t="s">
        <v>2295</v>
      </c>
      <c r="E446" s="98" t="s">
        <v>2296</v>
      </c>
      <c r="F446" s="97"/>
      <c r="G446" s="97" t="s">
        <v>2297</v>
      </c>
      <c r="H446" s="99" t="s">
        <v>126</v>
      </c>
      <c r="I446" s="100" t="s">
        <v>324</v>
      </c>
      <c r="J446" s="101" t="s">
        <v>1968</v>
      </c>
      <c r="K446" s="100"/>
      <c r="L446" s="102" t="s">
        <v>2298</v>
      </c>
      <c r="M446" s="103">
        <f>if(B446,if(and(hour(B446+M$7)&gt;9.5,(hour(B446+M$7)&lt;19.5)),B446+M$7,_xlfn.workday.intl(int(B446),1,"0000001",Holidays!A:A)+hour(B446+M$7-$B$1)/24+minute(B446)/1440),"")</f>
        <v>46223.63905</v>
      </c>
      <c r="N446" s="104">
        <v>46223.47320381945</v>
      </c>
      <c r="O446" s="105" t="s">
        <v>14</v>
      </c>
      <c r="P446" s="106">
        <f t="shared" si="1"/>
        <v>0</v>
      </c>
      <c r="Q446" s="107" t="s">
        <v>72</v>
      </c>
      <c r="R446" s="108" t="s">
        <v>434</v>
      </c>
      <c r="S446" s="103">
        <f>if(M446,if(and(hour(M446+S$7)&gt;9.5,(hour(M446+S$7)&lt;19.5)),M446+S$7,_xlfn.workday.intl(int(M446),1,"0000001",Holidays!A:A)+hour(M446+S$7-$B$1)/24+minute(M446)/1440),"")</f>
        <v>46223.646</v>
      </c>
      <c r="T446" s="104">
        <v>46223.47331912037</v>
      </c>
      <c r="U446" s="105" t="s">
        <v>14</v>
      </c>
      <c r="V446" s="109">
        <f t="shared" si="2"/>
        <v>0</v>
      </c>
      <c r="W446" s="110" t="str">
        <f t="shared" si="3"/>
        <v>EMP5009 Rup Kumar Mandal</v>
      </c>
      <c r="X446" s="103">
        <f>if(S446,if(and(hour(S446+X$7)&gt;9.5,(hour(S446+X$7)&lt;19.5)),S446+X$7,_xlfn.workday.intl(int(S446),1,"0000001",Holidays!A:A)+hour(S446+X$7-$B$1)/24+minute(S446)/1440),"")</f>
        <v>46223.75016</v>
      </c>
      <c r="Y446" s="104">
        <v>46223.47610476852</v>
      </c>
      <c r="Z446" s="105" t="s">
        <v>14</v>
      </c>
      <c r="AA446" s="111">
        <f t="shared" si="4"/>
        <v>0</v>
      </c>
      <c r="AB446" s="110" t="str">
        <f t="shared" si="5"/>
        <v>EMP5009 Rup Kumar Mandal</v>
      </c>
      <c r="AC446" s="103">
        <f>if(X446,_xlfn.WORKDAY.INTL(X446,AC$7,"0000001",Holidays!A:A)+hour(X446)/24+MINUTE(X446)/1440,"")</f>
        <v>46224.75</v>
      </c>
      <c r="AD446" s="104">
        <v>46223.50110673611</v>
      </c>
      <c r="AE446" s="105" t="s">
        <v>14</v>
      </c>
      <c r="AF446" s="111">
        <f t="shared" si="6"/>
        <v>0</v>
      </c>
      <c r="AG446" s="110" t="str">
        <f t="shared" si="7"/>
        <v>EMP5009 Rup Kumar Mandal</v>
      </c>
      <c r="AH446" s="103">
        <f>if(AC446,if(and(hour(AC446+AH$7)&gt;9.5,(hour(AC446+AH$7)&lt;19.5)),AC446+AH$7,_xlfn.workday.intl(int(AC446),1,"0000001",Holidays!A:A)+hour(AC446+AH$7-$B$1)/24+minute(AC446)/1440),"")</f>
        <v>46224.79167</v>
      </c>
      <c r="AI446" s="104">
        <v>46223.501155370366</v>
      </c>
      <c r="AJ446" s="105" t="s">
        <v>14</v>
      </c>
      <c r="AK446" s="111">
        <f t="shared" si="8"/>
        <v>0</v>
      </c>
      <c r="AL446" s="112" t="str">
        <f t="shared" si="9"/>
        <v>EMP5009 Rup Kumar Mandal</v>
      </c>
      <c r="AM446" s="113"/>
      <c r="AN446" s="114" t="s">
        <v>672</v>
      </c>
      <c r="AO446" s="115"/>
      <c r="AP446" s="115"/>
      <c r="AQ446" s="115"/>
      <c r="AR446" s="115"/>
      <c r="AS446" s="115"/>
      <c r="AT446" s="115"/>
      <c r="AU446" s="115"/>
      <c r="AV446" s="115"/>
      <c r="AW446" s="115"/>
      <c r="AX446" s="115"/>
      <c r="AY446" s="115"/>
    </row>
    <row r="447">
      <c r="A447" s="95">
        <f t="shared" si="11"/>
        <v>5398</v>
      </c>
      <c r="B447" s="96">
        <v>46223.58005916666</v>
      </c>
      <c r="C447" s="97" t="s">
        <v>1809</v>
      </c>
      <c r="D447" s="97" t="s">
        <v>921</v>
      </c>
      <c r="E447" s="98" t="s">
        <v>2300</v>
      </c>
      <c r="F447" s="97"/>
      <c r="G447" s="97" t="s">
        <v>674</v>
      </c>
      <c r="H447" s="99" t="s">
        <v>138</v>
      </c>
      <c r="I447" s="100" t="s">
        <v>64</v>
      </c>
      <c r="J447" s="101" t="s">
        <v>662</v>
      </c>
      <c r="K447" s="100"/>
      <c r="L447" s="102" t="s">
        <v>2301</v>
      </c>
      <c r="M447" s="103">
        <f>if(B447,if(and(hour(B447+M$7)&gt;9.5,(hour(B447+M$7)&lt;19.5)),B447+M$7,_xlfn.workday.intl(int(B447),1,"0000001",Holidays!A:A)+hour(B447+M$7-$B$1)/24+minute(B447)/1440),"")</f>
        <v>46223.74673</v>
      </c>
      <c r="N447" s="104">
        <v>46223.64472359954</v>
      </c>
      <c r="O447" s="105" t="s">
        <v>14</v>
      </c>
      <c r="P447" s="106">
        <f t="shared" si="1"/>
        <v>0</v>
      </c>
      <c r="Q447" s="107" t="s">
        <v>72</v>
      </c>
      <c r="R447" s="108" t="s">
        <v>434</v>
      </c>
      <c r="S447" s="103">
        <f>if(M447,if(and(hour(M447+S$7)&gt;9.5,(hour(M447+S$7)&lt;19.5)),M447+S$7,_xlfn.workday.intl(int(M447),1,"0000001",Holidays!A:A)+hour(M447+S$7-$B$1)/24+minute(M447)/1440),"")</f>
        <v>46223.75367</v>
      </c>
      <c r="T447" s="104">
        <v>46223.64479634259</v>
      </c>
      <c r="U447" s="105" t="s">
        <v>14</v>
      </c>
      <c r="V447" s="109">
        <f t="shared" si="2"/>
        <v>0</v>
      </c>
      <c r="W447" s="110" t="str">
        <f t="shared" si="3"/>
        <v>EMP5009 Rup Kumar Mandal</v>
      </c>
      <c r="X447" s="103">
        <f>if(S447,if(and(hour(S447+X$7)&gt;9.5,(hour(S447+X$7)&lt;19.5)),S447+X$7,_xlfn.workday.intl(int(S447),1,"0000001",Holidays!A:A)+hour(S447+X$7-$B$1)/24+minute(S447)/1440),"")</f>
        <v>46224.42014</v>
      </c>
      <c r="Y447" s="104">
        <v>46223.644881307875</v>
      </c>
      <c r="Z447" s="105" t="s">
        <v>14</v>
      </c>
      <c r="AA447" s="111">
        <f t="shared" si="4"/>
        <v>0</v>
      </c>
      <c r="AB447" s="110" t="str">
        <f t="shared" si="5"/>
        <v>EMP5009 Rup Kumar Mandal</v>
      </c>
      <c r="AC447" s="103">
        <f>if(X447,_xlfn.WORKDAY.INTL(X447,AC$7,"0000001",Holidays!A:A)+hour(X447)/24+MINUTE(X447)/1440,"")</f>
        <v>46225.42014</v>
      </c>
      <c r="AD447" s="104">
        <v>46224.746793831015</v>
      </c>
      <c r="AE447" s="105" t="s">
        <v>14</v>
      </c>
      <c r="AF447" s="111">
        <f t="shared" si="6"/>
        <v>0</v>
      </c>
      <c r="AG447" s="110" t="str">
        <f t="shared" si="7"/>
        <v>EMP5009 Rup Kumar Mandal</v>
      </c>
      <c r="AH447" s="103">
        <f>if(AC447,if(and(hour(AC447+AH$7)&gt;9.5,(hour(AC447+AH$7)&lt;19.5)),AC447+AH$7,_xlfn.workday.intl(int(AC447),1,"0000001",Holidays!A:A)+hour(AC447+AH$7-$B$1)/24+minute(AC447)/1440),"")</f>
        <v>46225.46181</v>
      </c>
      <c r="AI447" s="104">
        <v>46224.74681174768</v>
      </c>
      <c r="AJ447" s="105" t="s">
        <v>14</v>
      </c>
      <c r="AK447" s="111">
        <f t="shared" si="8"/>
        <v>0</v>
      </c>
      <c r="AL447" s="112" t="str">
        <f t="shared" si="9"/>
        <v>EMP5009 Rup Kumar Mandal</v>
      </c>
      <c r="AM447" s="113"/>
      <c r="AN447" s="114" t="s">
        <v>672</v>
      </c>
      <c r="AO447" s="115"/>
      <c r="AP447" s="115"/>
      <c r="AQ447" s="115"/>
      <c r="AR447" s="115"/>
      <c r="AS447" s="115"/>
      <c r="AT447" s="115"/>
      <c r="AU447" s="115"/>
      <c r="AV447" s="115"/>
      <c r="AW447" s="115"/>
      <c r="AX447" s="115"/>
      <c r="AY447" s="115"/>
    </row>
    <row r="448">
      <c r="A448" s="95">
        <f t="shared" si="11"/>
        <v>5399</v>
      </c>
      <c r="B448" s="96">
        <v>46224.624142037035</v>
      </c>
      <c r="C448" s="97" t="s">
        <v>1812</v>
      </c>
      <c r="D448" s="97" t="s">
        <v>142</v>
      </c>
      <c r="E448" s="98" t="s">
        <v>2302</v>
      </c>
      <c r="F448" s="97"/>
      <c r="G448" s="97" t="s">
        <v>1812</v>
      </c>
      <c r="H448" s="99" t="s">
        <v>62</v>
      </c>
      <c r="I448" s="100" t="s">
        <v>64</v>
      </c>
      <c r="J448" s="101" t="s">
        <v>47</v>
      </c>
      <c r="K448" s="100"/>
      <c r="L448" s="102" t="s">
        <v>1812</v>
      </c>
      <c r="M448" s="103">
        <f>if(B448,if(and(hour(B448+M$7)&gt;9.5,(hour(B448+M$7)&lt;19.5)),B448+M$7,_xlfn.workday.intl(int(B448),1,"0000001",Holidays!A:A)+hour(B448+M$7-$B$1)/24+minute(B448)/1440),"")</f>
        <v>46224.79081</v>
      </c>
      <c r="N448" s="104">
        <v>46224.69713997685</v>
      </c>
      <c r="O448" s="105" t="s">
        <v>14</v>
      </c>
      <c r="P448" s="106">
        <f t="shared" si="1"/>
        <v>0</v>
      </c>
      <c r="Q448" s="107" t="s">
        <v>15</v>
      </c>
      <c r="R448" s="108" t="s">
        <v>434</v>
      </c>
      <c r="S448" s="103">
        <f>if(M448,if(and(hour(M448+S$7)&gt;9.5,(hour(M448+S$7)&lt;19.5)),M448+S$7,_xlfn.workday.intl(int(M448),1,"0000001",Holidays!A:A)+hour(M448+S$7-$B$1)/24+minute(M448)/1440),"")</f>
        <v>46224.79775</v>
      </c>
      <c r="T448" s="104">
        <v>46224.69728141204</v>
      </c>
      <c r="U448" s="105" t="s">
        <v>14</v>
      </c>
      <c r="V448" s="109">
        <f t="shared" si="2"/>
        <v>0</v>
      </c>
      <c r="W448" s="110" t="str">
        <f t="shared" si="3"/>
        <v>EMP0042 HULESHWAR KUMAR SAHU</v>
      </c>
      <c r="X448" s="103">
        <f>if(S448,if(and(hour(S448+X$7)&gt;9.5,(hour(S448+X$7)&lt;19.5)),S448+X$7,_xlfn.workday.intl(int(S448),1,"0000001",Holidays!A:A)+hour(S448+X$7-$B$1)/24+minute(S448)/1440),"")</f>
        <v>46225.46389</v>
      </c>
      <c r="Y448" s="104">
        <v>46224.81694454861</v>
      </c>
      <c r="Z448" s="105" t="s">
        <v>14</v>
      </c>
      <c r="AA448" s="111">
        <f t="shared" si="4"/>
        <v>0</v>
      </c>
      <c r="AB448" s="110" t="str">
        <f t="shared" si="5"/>
        <v>EMP0042 HULESHWAR KUMAR SAHU</v>
      </c>
      <c r="AC448" s="103">
        <f>if(X448,_xlfn.WORKDAY.INTL(X448,AC$7,"0000001",Holidays!A:A)+hour(X448)/24+MINUTE(X448)/1440,"")</f>
        <v>46226.46389</v>
      </c>
      <c r="AD448" s="104">
        <v>46224.81692171296</v>
      </c>
      <c r="AE448" s="105" t="s">
        <v>14</v>
      </c>
      <c r="AF448" s="111">
        <f t="shared" si="6"/>
        <v>0</v>
      </c>
      <c r="AG448" s="110" t="str">
        <f t="shared" si="7"/>
        <v>EMP0042 HULESHWAR KUMAR SAHU</v>
      </c>
      <c r="AH448" s="103">
        <f>if(AC448,if(and(hour(AC448+AH$7)&gt;9.5,(hour(AC448+AH$7)&lt;19.5)),AC448+AH$7,_xlfn.workday.intl(int(AC448),1,"0000001",Holidays!A:A)+hour(AC448+AH$7-$B$1)/24+minute(AC448)/1440),"")</f>
        <v>46226.50556</v>
      </c>
      <c r="AI448" s="104">
        <v>46224.81697508102</v>
      </c>
      <c r="AJ448" s="105" t="s">
        <v>14</v>
      </c>
      <c r="AK448" s="111">
        <f t="shared" si="8"/>
        <v>0</v>
      </c>
      <c r="AL448" s="112" t="str">
        <f t="shared" si="9"/>
        <v>EMP0042 HULESHWAR KUMAR SAHU</v>
      </c>
      <c r="AM448" s="113"/>
      <c r="AN448" s="114" t="s">
        <v>672</v>
      </c>
      <c r="AO448" s="115"/>
      <c r="AP448" s="115"/>
      <c r="AQ448" s="115"/>
      <c r="AR448" s="115"/>
      <c r="AS448" s="115"/>
      <c r="AT448" s="115"/>
      <c r="AU448" s="115"/>
      <c r="AV448" s="115"/>
      <c r="AW448" s="115"/>
      <c r="AX448" s="115"/>
      <c r="AY448" s="115"/>
    </row>
    <row r="449">
      <c r="A449" s="95">
        <f t="shared" si="11"/>
        <v>5400</v>
      </c>
      <c r="B449" s="96">
        <v>46224.62504395834</v>
      </c>
      <c r="C449" s="97" t="s">
        <v>1815</v>
      </c>
      <c r="D449" s="97" t="s">
        <v>142</v>
      </c>
      <c r="E449" s="98" t="s">
        <v>2303</v>
      </c>
      <c r="F449" s="97"/>
      <c r="G449" s="97" t="s">
        <v>1815</v>
      </c>
      <c r="H449" s="99" t="s">
        <v>62</v>
      </c>
      <c r="I449" s="100" t="s">
        <v>64</v>
      </c>
      <c r="J449" s="101" t="s">
        <v>47</v>
      </c>
      <c r="K449" s="100"/>
      <c r="L449" s="102" t="s">
        <v>1815</v>
      </c>
      <c r="M449" s="103">
        <f>if(B449,if(and(hour(B449+M$7)&gt;9.5,(hour(B449+M$7)&lt;19.5)),B449+M$7,_xlfn.workday.intl(int(B449),1,"0000001",Holidays!A:A)+hour(B449+M$7-$B$1)/24+minute(B449)/1440),"")</f>
        <v>46224.79171</v>
      </c>
      <c r="N449" s="104">
        <v>46224.69716846065</v>
      </c>
      <c r="O449" s="105" t="s">
        <v>14</v>
      </c>
      <c r="P449" s="106">
        <f t="shared" si="1"/>
        <v>0</v>
      </c>
      <c r="Q449" s="107" t="s">
        <v>15</v>
      </c>
      <c r="R449" s="108" t="s">
        <v>434</v>
      </c>
      <c r="S449" s="103">
        <f>if(M449,if(and(hour(M449+S$7)&gt;9.5,(hour(M449+S$7)&lt;19.5)),M449+S$7,_xlfn.workday.intl(int(M449),1,"0000001",Holidays!A:A)+hour(M449+S$7-$B$1)/24+minute(M449)/1440),"")</f>
        <v>46224.79866</v>
      </c>
      <c r="T449" s="104">
        <v>46224.697322314816</v>
      </c>
      <c r="U449" s="105" t="s">
        <v>14</v>
      </c>
      <c r="V449" s="109">
        <f t="shared" si="2"/>
        <v>0</v>
      </c>
      <c r="W449" s="110" t="str">
        <f t="shared" si="3"/>
        <v>EMP0042 HULESHWAR KUMAR SAHU</v>
      </c>
      <c r="X449" s="103">
        <f>if(S449,if(and(hour(S449+X$7)&gt;9.5,(hour(S449+X$7)&lt;19.5)),S449+X$7,_xlfn.workday.intl(int(S449),1,"0000001",Holidays!A:A)+hour(S449+X$7-$B$1)/24+minute(S449)/1440),"")</f>
        <v>46225.46528</v>
      </c>
      <c r="Y449" s="104">
        <v>46224.81690431713</v>
      </c>
      <c r="Z449" s="105" t="s">
        <v>14</v>
      </c>
      <c r="AA449" s="111">
        <f t="shared" si="4"/>
        <v>0</v>
      </c>
      <c r="AB449" s="110" t="str">
        <f t="shared" si="5"/>
        <v>EMP0042 HULESHWAR KUMAR SAHU</v>
      </c>
      <c r="AC449" s="103">
        <f>if(X449,_xlfn.WORKDAY.INTL(X449,AC$7,"0000001",Holidays!A:A)+hour(X449)/24+MINUTE(X449)/1440,"")</f>
        <v>46226.46528</v>
      </c>
      <c r="AD449" s="104">
        <v>46224.81694153935</v>
      </c>
      <c r="AE449" s="105" t="s">
        <v>14</v>
      </c>
      <c r="AF449" s="111">
        <f t="shared" si="6"/>
        <v>0</v>
      </c>
      <c r="AG449" s="110" t="str">
        <f t="shared" si="7"/>
        <v>EMP0042 HULESHWAR KUMAR SAHU</v>
      </c>
      <c r="AH449" s="103">
        <f>if(AC449,if(and(hour(AC449+AH$7)&gt;9.5,(hour(AC449+AH$7)&lt;19.5)),AC449+AH$7,_xlfn.workday.intl(int(AC449),1,"0000001",Holidays!A:A)+hour(AC449+AH$7-$B$1)/24+minute(AC449)/1440),"")</f>
        <v>46226.50694</v>
      </c>
      <c r="AI449" s="104">
        <v>46224.8169981713</v>
      </c>
      <c r="AJ449" s="105" t="s">
        <v>14</v>
      </c>
      <c r="AK449" s="111">
        <f t="shared" si="8"/>
        <v>0</v>
      </c>
      <c r="AL449" s="112" t="str">
        <f t="shared" si="9"/>
        <v>EMP0042 HULESHWAR KUMAR SAHU</v>
      </c>
      <c r="AM449" s="113"/>
      <c r="AN449" s="114" t="s">
        <v>672</v>
      </c>
      <c r="AO449" s="115"/>
      <c r="AP449" s="115"/>
      <c r="AQ449" s="115"/>
      <c r="AR449" s="115"/>
      <c r="AS449" s="115"/>
      <c r="AT449" s="115"/>
      <c r="AU449" s="115"/>
      <c r="AV449" s="115"/>
      <c r="AW449" s="115"/>
      <c r="AX449" s="115"/>
      <c r="AY449" s="115"/>
    </row>
    <row r="450">
      <c r="A450" s="95">
        <f t="shared" si="11"/>
        <v>5401</v>
      </c>
      <c r="B450" s="96">
        <v>46225.426519664354</v>
      </c>
      <c r="C450" s="97" t="s">
        <v>2306</v>
      </c>
      <c r="D450" s="97" t="s">
        <v>207</v>
      </c>
      <c r="E450" s="98" t="s">
        <v>2304</v>
      </c>
      <c r="F450" s="98" t="s">
        <v>2307</v>
      </c>
      <c r="G450" s="97" t="s">
        <v>354</v>
      </c>
      <c r="H450" s="99" t="s">
        <v>62</v>
      </c>
      <c r="I450" s="100" t="s">
        <v>64</v>
      </c>
      <c r="J450" s="101" t="s">
        <v>206</v>
      </c>
      <c r="K450" s="100"/>
      <c r="L450" s="102" t="s">
        <v>2305</v>
      </c>
      <c r="M450" s="103">
        <f>if(B450,if(and(hour(B450+M$7)&gt;9.5,(hour(B450+M$7)&lt;19.5)),B450+M$7,_xlfn.workday.intl(int(B450),1,"0000001",Holidays!A:A)+hour(B450+M$7-$B$1)/24+minute(B450)/1440),"")</f>
        <v>46225.59319</v>
      </c>
      <c r="N450" s="104">
        <v>46225.44678261574</v>
      </c>
      <c r="O450" s="105" t="s">
        <v>14</v>
      </c>
      <c r="P450" s="106">
        <f t="shared" si="1"/>
        <v>0</v>
      </c>
      <c r="Q450" s="107" t="s">
        <v>61</v>
      </c>
      <c r="R450" s="108" t="s">
        <v>434</v>
      </c>
      <c r="S450" s="103">
        <f>if(M450,if(and(hour(M450+S$7)&gt;9.5,(hour(M450+S$7)&lt;19.5)),M450+S$7,_xlfn.workday.intl(int(M450),1,"0000001",Holidays!A:A)+hour(M450+S$7-$B$1)/24+minute(M450)/1440),"")</f>
        <v>46225.60013</v>
      </c>
      <c r="T450" s="104">
        <v>46225.44688791667</v>
      </c>
      <c r="U450" s="105" t="s">
        <v>14</v>
      </c>
      <c r="V450" s="109">
        <f t="shared" si="2"/>
        <v>0</v>
      </c>
      <c r="W450" s="110" t="str">
        <f t="shared" si="3"/>
        <v>EMP0021 Tamanna Dewangan</v>
      </c>
      <c r="X450" s="103">
        <f>if(S450,if(and(hour(S450+X$7)&gt;9.5,(hour(S450+X$7)&lt;19.5)),S450+X$7,_xlfn.workday.intl(int(S450),1,"0000001",Holidays!A:A)+hour(S450+X$7-$B$1)/24+minute(S450)/1440),"")</f>
        <v>46225.7043</v>
      </c>
      <c r="Y450" s="104">
        <v>46225.44693805555</v>
      </c>
      <c r="Z450" s="105" t="s">
        <v>14</v>
      </c>
      <c r="AA450" s="111">
        <f t="shared" si="4"/>
        <v>0</v>
      </c>
      <c r="AB450" s="110" t="str">
        <f t="shared" si="5"/>
        <v>EMP0021 Tamanna Dewangan</v>
      </c>
      <c r="AC450" s="103">
        <f>if(X450,_xlfn.WORKDAY.INTL(X450,AC$7,"0000001",Holidays!A:A)+hour(X450)/24+MINUTE(X450)/1440,"")</f>
        <v>46226.70417</v>
      </c>
      <c r="AD450" s="104">
        <v>46226.446826238425</v>
      </c>
      <c r="AE450" s="105" t="s">
        <v>14</v>
      </c>
      <c r="AF450" s="111">
        <f t="shared" si="6"/>
        <v>0</v>
      </c>
      <c r="AG450" s="110" t="str">
        <f t="shared" si="7"/>
        <v>EMP0021 Tamanna Dewangan</v>
      </c>
      <c r="AH450" s="103">
        <f>if(AC450,if(and(hour(AC450+AH$7)&gt;9.5,(hour(AC450+AH$7)&lt;19.5)),AC450+AH$7,_xlfn.workday.intl(int(AC450),1,"0000001",Holidays!A:A)+hour(AC450+AH$7-$B$1)/24+minute(AC450)/1440),"")</f>
        <v>46226.74583</v>
      </c>
      <c r="AI450" s="104">
        <v>46226.446916307876</v>
      </c>
      <c r="AJ450" s="105" t="s">
        <v>14</v>
      </c>
      <c r="AK450" s="111">
        <f t="shared" si="8"/>
        <v>0</v>
      </c>
      <c r="AL450" s="112" t="str">
        <f t="shared" si="9"/>
        <v>EMP0021 Tamanna Dewangan</v>
      </c>
      <c r="AM450" s="113"/>
      <c r="AN450" s="114" t="s">
        <v>672</v>
      </c>
      <c r="AO450" s="115"/>
      <c r="AP450" s="115"/>
      <c r="AQ450" s="115"/>
      <c r="AR450" s="115"/>
      <c r="AS450" s="115"/>
      <c r="AT450" s="115"/>
      <c r="AU450" s="115"/>
      <c r="AV450" s="115"/>
      <c r="AW450" s="115"/>
      <c r="AX450" s="115"/>
      <c r="AY450" s="115"/>
    </row>
    <row r="451">
      <c r="A451" s="95">
        <f t="shared" si="11"/>
        <v>5402</v>
      </c>
      <c r="B451" s="96">
        <v>46225.42953061343</v>
      </c>
      <c r="C451" s="97" t="s">
        <v>1716</v>
      </c>
      <c r="D451" s="97" t="s">
        <v>207</v>
      </c>
      <c r="E451" s="98" t="s">
        <v>2308</v>
      </c>
      <c r="F451" s="98" t="s">
        <v>2310</v>
      </c>
      <c r="G451" s="97" t="s">
        <v>354</v>
      </c>
      <c r="H451" s="99" t="s">
        <v>62</v>
      </c>
      <c r="I451" s="100" t="s">
        <v>64</v>
      </c>
      <c r="J451" s="101" t="s">
        <v>206</v>
      </c>
      <c r="K451" s="100"/>
      <c r="L451" s="102" t="s">
        <v>2309</v>
      </c>
      <c r="M451" s="103">
        <f>if(B451,if(and(hour(B451+M$7)&gt;9.5,(hour(B451+M$7)&lt;19.5)),B451+M$7,_xlfn.workday.intl(int(B451),1,"0000001",Holidays!A:A)+hour(B451+M$7-$B$1)/24+minute(B451)/1440),"")</f>
        <v>46225.5962</v>
      </c>
      <c r="N451" s="104">
        <v>46225.44681006944</v>
      </c>
      <c r="O451" s="105" t="s">
        <v>14</v>
      </c>
      <c r="P451" s="106">
        <f t="shared" si="1"/>
        <v>0</v>
      </c>
      <c r="Q451" s="107" t="s">
        <v>48</v>
      </c>
      <c r="R451" s="108" t="s">
        <v>434</v>
      </c>
      <c r="S451" s="103">
        <f>if(M451,if(and(hour(M451+S$7)&gt;9.5,(hour(M451+S$7)&lt;19.5)),M451+S$7,_xlfn.workday.intl(int(M451),1,"0000001",Holidays!A:A)+hour(M451+S$7-$B$1)/24+minute(M451)/1440),"")</f>
        <v>46225.60314</v>
      </c>
      <c r="T451" s="104">
        <v>46225.44690484954</v>
      </c>
      <c r="U451" s="105" t="s">
        <v>14</v>
      </c>
      <c r="V451" s="109">
        <f t="shared" si="2"/>
        <v>0</v>
      </c>
      <c r="W451" s="110" t="str">
        <f t="shared" si="3"/>
        <v>EMP0237 Swarnendu Chakraborty</v>
      </c>
      <c r="X451" s="103">
        <f>if(S451,if(and(hour(S451+X$7)&gt;9.5,(hour(S451+X$7)&lt;19.5)),S451+X$7,_xlfn.workday.intl(int(S451),1,"0000001",Holidays!A:A)+hour(S451+X$7-$B$1)/24+minute(S451)/1440),"")</f>
        <v>46225.70731</v>
      </c>
      <c r="Y451" s="104">
        <v>46225.44694849537</v>
      </c>
      <c r="Z451" s="105" t="s">
        <v>14</v>
      </c>
      <c r="AA451" s="111">
        <f t="shared" si="4"/>
        <v>0</v>
      </c>
      <c r="AB451" s="110" t="str">
        <f t="shared" si="5"/>
        <v>EMP0237 Swarnendu Chakraborty</v>
      </c>
      <c r="AC451" s="103">
        <f>if(X451,_xlfn.WORKDAY.INTL(X451,AC$7,"0000001",Holidays!A:A)+hour(X451)/24+MINUTE(X451)/1440,"")</f>
        <v>46226.70694</v>
      </c>
      <c r="AD451" s="104">
        <v>46226.60800876157</v>
      </c>
      <c r="AE451" s="105" t="s">
        <v>14</v>
      </c>
      <c r="AF451" s="111">
        <f t="shared" si="6"/>
        <v>0</v>
      </c>
      <c r="AG451" s="110" t="str">
        <f t="shared" si="7"/>
        <v>EMP0237 Swarnendu Chakraborty</v>
      </c>
      <c r="AH451" s="103">
        <f>if(AC451,if(and(hour(AC451+AH$7)&gt;9.5,(hour(AC451+AH$7)&lt;19.5)),AC451+AH$7,_xlfn.workday.intl(int(AC451),1,"0000001",Holidays!A:A)+hour(AC451+AH$7-$B$1)/24+minute(AC451)/1440),"")</f>
        <v>46226.74861</v>
      </c>
      <c r="AI451" s="104">
        <v>46226.72876090278</v>
      </c>
      <c r="AJ451" s="105" t="s">
        <v>14</v>
      </c>
      <c r="AK451" s="111">
        <f t="shared" si="8"/>
        <v>0</v>
      </c>
      <c r="AL451" s="112" t="str">
        <f t="shared" si="9"/>
        <v>EMP0237 Swarnendu Chakraborty</v>
      </c>
      <c r="AM451" s="113"/>
      <c r="AN451" s="114" t="s">
        <v>672</v>
      </c>
      <c r="AO451" s="115"/>
      <c r="AP451" s="115"/>
      <c r="AQ451" s="115"/>
      <c r="AR451" s="115"/>
      <c r="AS451" s="115"/>
      <c r="AT451" s="115"/>
      <c r="AU451" s="115"/>
      <c r="AV451" s="115"/>
      <c r="AW451" s="115"/>
      <c r="AX451" s="115"/>
      <c r="AY451" s="115"/>
    </row>
    <row r="452">
      <c r="A452" s="95">
        <f t="shared" si="11"/>
        <v>5403</v>
      </c>
      <c r="B452" s="96">
        <v>46225.46313862268</v>
      </c>
      <c r="C452" s="97" t="s">
        <v>1825</v>
      </c>
      <c r="D452" s="97" t="s">
        <v>207</v>
      </c>
      <c r="E452" s="98" t="s">
        <v>2311</v>
      </c>
      <c r="F452" s="98" t="s">
        <v>2314</v>
      </c>
      <c r="G452" s="97" t="s">
        <v>2312</v>
      </c>
      <c r="H452" s="99" t="s">
        <v>62</v>
      </c>
      <c r="I452" s="100" t="s">
        <v>64</v>
      </c>
      <c r="J452" s="101" t="s">
        <v>206</v>
      </c>
      <c r="K452" s="100"/>
      <c r="L452" s="102" t="s">
        <v>2313</v>
      </c>
      <c r="M452" s="103">
        <f>if(B452,if(and(hour(B452+M$7)&gt;9.5,(hour(B452+M$7)&lt;19.5)),B452+M$7,_xlfn.workday.intl(int(B452),1,"0000001",Holidays!A:A)+hour(B452+M$7-$B$1)/24+minute(B452)/1440),"")</f>
        <v>46225.62981</v>
      </c>
      <c r="N452" s="104">
        <v>46225.47228476852</v>
      </c>
      <c r="O452" s="105" t="s">
        <v>14</v>
      </c>
      <c r="P452" s="106">
        <f t="shared" si="1"/>
        <v>0</v>
      </c>
      <c r="Q452" s="107" t="s">
        <v>72</v>
      </c>
      <c r="R452" s="108" t="s">
        <v>434</v>
      </c>
      <c r="S452" s="103">
        <f>if(M452,if(and(hour(M452+S$7)&gt;9.5,(hour(M452+S$7)&lt;19.5)),M452+S$7,_xlfn.workday.intl(int(M452),1,"0000001",Holidays!A:A)+hour(M452+S$7-$B$1)/24+minute(M452)/1440),"")</f>
        <v>46225.63675</v>
      </c>
      <c r="T452" s="104">
        <v>46225.47252077547</v>
      </c>
      <c r="U452" s="105" t="s">
        <v>14</v>
      </c>
      <c r="V452" s="109">
        <f t="shared" si="2"/>
        <v>0</v>
      </c>
      <c r="W452" s="110" t="str">
        <f t="shared" si="3"/>
        <v>EMP5009 Rup Kumar Mandal</v>
      </c>
      <c r="X452" s="103">
        <f>if(S452,if(and(hour(S452+X$7)&gt;9.5,(hour(S452+X$7)&lt;19.5)),S452+X$7,_xlfn.workday.intl(int(S452),1,"0000001",Holidays!A:A)+hour(S452+X$7-$B$1)/24+minute(S452)/1440),"")</f>
        <v>46225.74092</v>
      </c>
      <c r="Y452" s="104">
        <v>46225.54894283565</v>
      </c>
      <c r="Z452" s="105" t="s">
        <v>14</v>
      </c>
      <c r="AA452" s="111">
        <f t="shared" si="4"/>
        <v>0</v>
      </c>
      <c r="AB452" s="110" t="str">
        <f t="shared" si="5"/>
        <v>EMP5009 Rup Kumar Mandal</v>
      </c>
      <c r="AC452" s="103">
        <f>if(X452,_xlfn.WORKDAY.INTL(X452,AC$7,"0000001",Holidays!A:A)+hour(X452)/24+MINUTE(X452)/1440,"")</f>
        <v>46226.74028</v>
      </c>
      <c r="AD452" s="104">
        <v>46226.447024699075</v>
      </c>
      <c r="AE452" s="105" t="s">
        <v>14</v>
      </c>
      <c r="AF452" s="111">
        <f t="shared" si="6"/>
        <v>0</v>
      </c>
      <c r="AG452" s="110" t="str">
        <f t="shared" si="7"/>
        <v>EMP5009 Rup Kumar Mandal</v>
      </c>
      <c r="AH452" s="103">
        <f>if(AC452,if(and(hour(AC452+AH$7)&gt;9.5,(hour(AC452+AH$7)&lt;19.5)),AC452+AH$7,_xlfn.workday.intl(int(AC452),1,"0000001",Holidays!A:A)+hour(AC452+AH$7-$B$1)/24+minute(AC452)/1440),"")</f>
        <v>46226.78194</v>
      </c>
      <c r="AI452" s="104">
        <v>46226.44704546296</v>
      </c>
      <c r="AJ452" s="105" t="s">
        <v>14</v>
      </c>
      <c r="AK452" s="111">
        <f t="shared" si="8"/>
        <v>0</v>
      </c>
      <c r="AL452" s="112" t="str">
        <f t="shared" si="9"/>
        <v>EMP5009 Rup Kumar Mandal</v>
      </c>
      <c r="AM452" s="113"/>
      <c r="AN452" s="114" t="s">
        <v>672</v>
      </c>
      <c r="AO452" s="115"/>
      <c r="AP452" s="115"/>
      <c r="AQ452" s="115"/>
      <c r="AR452" s="115"/>
      <c r="AS452" s="115"/>
      <c r="AT452" s="115"/>
      <c r="AU452" s="115"/>
      <c r="AV452" s="115"/>
      <c r="AW452" s="115"/>
      <c r="AX452" s="115"/>
      <c r="AY452" s="115"/>
    </row>
    <row r="453">
      <c r="A453" s="95">
        <f t="shared" si="11"/>
        <v>5404</v>
      </c>
      <c r="B453" s="96">
        <v>46225.60264377315</v>
      </c>
      <c r="C453" s="97" t="s">
        <v>882</v>
      </c>
      <c r="D453" s="97" t="s">
        <v>186</v>
      </c>
      <c r="E453" s="98" t="s">
        <v>2315</v>
      </c>
      <c r="F453" s="97"/>
      <c r="G453" s="97" t="s">
        <v>2316</v>
      </c>
      <c r="H453" s="99" t="s">
        <v>138</v>
      </c>
      <c r="I453" s="100" t="s">
        <v>64</v>
      </c>
      <c r="J453" s="101" t="s">
        <v>303</v>
      </c>
      <c r="K453" s="100"/>
      <c r="L453" s="102" t="s">
        <v>2317</v>
      </c>
      <c r="M453" s="103">
        <f>if(B453,if(and(hour(B453+M$7)&gt;9.5,(hour(B453+M$7)&lt;19.5)),B453+M$7,_xlfn.workday.intl(int(B453),1,"0000001",Holidays!A:A)+hour(B453+M$7-$B$1)/24+minute(B453)/1440),"")</f>
        <v>46225.76931</v>
      </c>
      <c r="N453" s="104">
        <v>46225.658853182875</v>
      </c>
      <c r="O453" s="105" t="s">
        <v>14</v>
      </c>
      <c r="P453" s="106">
        <f t="shared" si="1"/>
        <v>0</v>
      </c>
      <c r="Q453" s="107" t="s">
        <v>15</v>
      </c>
      <c r="R453" s="108" t="s">
        <v>434</v>
      </c>
      <c r="S453" s="103">
        <f>if(M453,if(and(hour(M453+S$7)&gt;9.5,(hour(M453+S$7)&lt;19.5)),M453+S$7,_xlfn.workday.intl(int(M453),1,"0000001",Holidays!A:A)+hour(M453+S$7-$B$1)/24+minute(M453)/1440),"")</f>
        <v>46225.77625</v>
      </c>
      <c r="T453" s="104">
        <v>46225.65971219908</v>
      </c>
      <c r="U453" s="105" t="s">
        <v>14</v>
      </c>
      <c r="V453" s="109">
        <f t="shared" si="2"/>
        <v>0</v>
      </c>
      <c r="W453" s="110" t="str">
        <f t="shared" si="3"/>
        <v>EMP0042 HULESHWAR KUMAR SAHU</v>
      </c>
      <c r="X453" s="103">
        <f>if(S453,if(and(hour(S453+X$7)&gt;9.5,(hour(S453+X$7)&lt;19.5)),S453+X$7,_xlfn.workday.intl(int(S453),1,"0000001",Holidays!A:A)+hour(S453+X$7-$B$1)/24+minute(S453)/1440),"")</f>
        <v>46226.48403</v>
      </c>
      <c r="Y453" s="104">
        <v>46225.660072314815</v>
      </c>
      <c r="Z453" s="105" t="s">
        <v>14</v>
      </c>
      <c r="AA453" s="111">
        <f t="shared" si="4"/>
        <v>0</v>
      </c>
      <c r="AB453" s="110" t="str">
        <f t="shared" si="5"/>
        <v>EMP0042 HULESHWAR KUMAR SAHU</v>
      </c>
      <c r="AC453" s="103">
        <f>if(X453,_xlfn.WORKDAY.INTL(X453,AC$7,"0000001",Holidays!A:A)+hour(X453)/24+MINUTE(X453)/1440,"")</f>
        <v>46227.48403</v>
      </c>
      <c r="AD453" s="104">
        <v>46226.728908125</v>
      </c>
      <c r="AE453" s="105" t="s">
        <v>14</v>
      </c>
      <c r="AF453" s="111">
        <f t="shared" si="6"/>
        <v>0</v>
      </c>
      <c r="AG453" s="110" t="str">
        <f t="shared" si="7"/>
        <v>EMP0042 HULESHWAR KUMAR SAHU</v>
      </c>
      <c r="AH453" s="103">
        <f>if(AC453,if(and(hour(AC453+AH$7)&gt;9.5,(hour(AC453+AH$7)&lt;19.5)),AC453+AH$7,_xlfn.workday.intl(int(AC453),1,"0000001",Holidays!A:A)+hour(AC453+AH$7-$B$1)/24+minute(AC453)/1440),"")</f>
        <v>46227.52569</v>
      </c>
      <c r="AI453" s="104">
        <v>46226.72894710649</v>
      </c>
      <c r="AJ453" s="105" t="s">
        <v>14</v>
      </c>
      <c r="AK453" s="111">
        <f t="shared" si="8"/>
        <v>0</v>
      </c>
      <c r="AL453" s="112" t="str">
        <f t="shared" si="9"/>
        <v>EMP0042 HULESHWAR KUMAR SAHU</v>
      </c>
      <c r="AM453" s="113"/>
      <c r="AN453" s="114" t="s">
        <v>672</v>
      </c>
      <c r="AO453" s="115"/>
      <c r="AP453" s="115"/>
      <c r="AQ453" s="115"/>
      <c r="AR453" s="115"/>
      <c r="AS453" s="115"/>
      <c r="AT453" s="115"/>
      <c r="AU453" s="115"/>
      <c r="AV453" s="115"/>
      <c r="AW453" s="115"/>
      <c r="AX453" s="115"/>
      <c r="AY453" s="115"/>
    </row>
    <row r="454">
      <c r="A454" s="95">
        <f t="shared" si="11"/>
        <v>5405</v>
      </c>
      <c r="B454" s="96">
        <v>46226.469709756944</v>
      </c>
      <c r="C454" s="97" t="s">
        <v>1830</v>
      </c>
      <c r="D454" s="97" t="s">
        <v>207</v>
      </c>
      <c r="E454" s="98" t="s">
        <v>2318</v>
      </c>
      <c r="F454" s="98" t="s">
        <v>2321</v>
      </c>
      <c r="G454" s="97" t="s">
        <v>2319</v>
      </c>
      <c r="H454" s="99" t="s">
        <v>62</v>
      </c>
      <c r="I454" s="100" t="s">
        <v>64</v>
      </c>
      <c r="J454" s="101" t="s">
        <v>206</v>
      </c>
      <c r="K454" s="100"/>
      <c r="L454" s="102" t="s">
        <v>2320</v>
      </c>
      <c r="M454" s="103">
        <f>if(B454,if(and(hour(B454+M$7)&gt;9.5,(hour(B454+M$7)&lt;19.5)),B454+M$7,_xlfn.workday.intl(int(B454),1,"0000001",Holidays!A:A)+hour(B454+M$7-$B$1)/24+minute(B454)/1440),"")</f>
        <v>46226.63638</v>
      </c>
      <c r="N454" s="104">
        <v>46226.480699594904</v>
      </c>
      <c r="O454" s="105" t="s">
        <v>14</v>
      </c>
      <c r="P454" s="106">
        <f t="shared" si="1"/>
        <v>0</v>
      </c>
      <c r="Q454" s="107" t="s">
        <v>48</v>
      </c>
      <c r="R454" s="108" t="s">
        <v>434</v>
      </c>
      <c r="S454" s="103">
        <f>if(M454,if(and(hour(M454+S$7)&gt;9.5,(hour(M454+S$7)&lt;19.5)),M454+S$7,_xlfn.workday.intl(int(M454),1,"0000001",Holidays!A:A)+hour(M454+S$7-$B$1)/24+minute(M454)/1440),"")</f>
        <v>46226.64332</v>
      </c>
      <c r="T454" s="104">
        <v>46226.48097619213</v>
      </c>
      <c r="U454" s="105" t="s">
        <v>14</v>
      </c>
      <c r="V454" s="109">
        <f t="shared" si="2"/>
        <v>0</v>
      </c>
      <c r="W454" s="110" t="str">
        <f t="shared" si="3"/>
        <v>EMP0237 Swarnendu Chakraborty</v>
      </c>
      <c r="X454" s="103">
        <f>if(S454,if(and(hour(S454+X$7)&gt;9.5,(hour(S454+X$7)&lt;19.5)),S454+X$7,_xlfn.workday.intl(int(S454),1,"0000001",Holidays!A:A)+hour(S454+X$7-$B$1)/24+minute(S454)/1440),"")</f>
        <v>46226.74749</v>
      </c>
      <c r="Y454" s="104">
        <v>46226.60764105324</v>
      </c>
      <c r="Z454" s="105" t="s">
        <v>14</v>
      </c>
      <c r="AA454" s="111">
        <f t="shared" si="4"/>
        <v>0</v>
      </c>
      <c r="AB454" s="110" t="str">
        <f t="shared" si="5"/>
        <v>EMP0237 Swarnendu Chakraborty</v>
      </c>
      <c r="AC454" s="103">
        <f>if(X454,_xlfn.WORKDAY.INTL(X454,AC$7,"0000001",Holidays!A:A)+hour(X454)/24+MINUTE(X454)/1440,"")</f>
        <v>46227.74722</v>
      </c>
      <c r="AD454" s="104">
        <v>46227.48672775463</v>
      </c>
      <c r="AE454" s="105" t="s">
        <v>14</v>
      </c>
      <c r="AF454" s="111">
        <f t="shared" si="6"/>
        <v>0</v>
      </c>
      <c r="AG454" s="110" t="str">
        <f t="shared" si="7"/>
        <v>EMP0237 Swarnendu Chakraborty</v>
      </c>
      <c r="AH454" s="103">
        <f>if(AC454,if(and(hour(AC454+AH$7)&gt;9.5,(hour(AC454+AH$7)&lt;19.5)),AC454+AH$7,_xlfn.workday.intl(int(AC454),1,"0000001",Holidays!A:A)+hour(AC454+AH$7-$B$1)/24+minute(AC454)/1440),"")</f>
        <v>46227.78889</v>
      </c>
      <c r="AI454" s="104">
        <v>46227.486757708335</v>
      </c>
      <c r="AJ454" s="105" t="s">
        <v>14</v>
      </c>
      <c r="AK454" s="111">
        <f t="shared" si="8"/>
        <v>0</v>
      </c>
      <c r="AL454" s="112" t="str">
        <f t="shared" si="9"/>
        <v>EMP0237 Swarnendu Chakraborty</v>
      </c>
      <c r="AM454" s="113"/>
      <c r="AN454" s="114" t="s">
        <v>672</v>
      </c>
      <c r="AO454" s="115"/>
      <c r="AP454" s="115"/>
      <c r="AQ454" s="115"/>
      <c r="AR454" s="115"/>
      <c r="AS454" s="115"/>
      <c r="AT454" s="115"/>
      <c r="AU454" s="115"/>
      <c r="AV454" s="115"/>
      <c r="AW454" s="115"/>
      <c r="AX454" s="115"/>
      <c r="AY454" s="115"/>
    </row>
    <row r="455">
      <c r="A455" s="95">
        <f t="shared" si="11"/>
        <v>5406</v>
      </c>
      <c r="B455" s="96">
        <v>46226.478272430555</v>
      </c>
      <c r="C455" s="97" t="s">
        <v>1833</v>
      </c>
      <c r="D455" s="97" t="s">
        <v>264</v>
      </c>
      <c r="E455" s="98" t="s">
        <v>2322</v>
      </c>
      <c r="F455" s="97"/>
      <c r="G455" s="97" t="s">
        <v>2323</v>
      </c>
      <c r="H455" s="99" t="s">
        <v>62</v>
      </c>
      <c r="I455" s="100" t="s">
        <v>64</v>
      </c>
      <c r="J455" s="101" t="s">
        <v>263</v>
      </c>
      <c r="K455" s="100"/>
      <c r="L455" s="102" t="s">
        <v>1833</v>
      </c>
      <c r="M455" s="103">
        <f>if(B455,if(and(hour(B455+M$7)&gt;9.5,(hour(B455+M$7)&lt;19.5)),B455+M$7,_xlfn.workday.intl(int(B455),1,"0000001",Holidays!A:A)+hour(B455+M$7-$B$1)/24+minute(B455)/1440),"")</f>
        <v>46226.64494</v>
      </c>
      <c r="N455" s="104">
        <v>46226.48086927083</v>
      </c>
      <c r="O455" s="105" t="s">
        <v>14</v>
      </c>
      <c r="P455" s="106">
        <f t="shared" si="1"/>
        <v>0</v>
      </c>
      <c r="Q455" s="107" t="s">
        <v>61</v>
      </c>
      <c r="R455" s="108" t="s">
        <v>434</v>
      </c>
      <c r="S455" s="103">
        <f>if(M455,if(and(hour(M455+S$7)&gt;9.5,(hour(M455+S$7)&lt;19.5)),M455+S$7,_xlfn.workday.intl(int(M455),1,"0000001",Holidays!A:A)+hour(M455+S$7-$B$1)/24+minute(M455)/1440),"")</f>
        <v>46226.65188</v>
      </c>
      <c r="T455" s="104">
        <v>46226.480997199076</v>
      </c>
      <c r="U455" s="105" t="s">
        <v>14</v>
      </c>
      <c r="V455" s="109">
        <f t="shared" si="2"/>
        <v>0</v>
      </c>
      <c r="W455" s="110" t="str">
        <f t="shared" si="3"/>
        <v>EMP0021 Tamanna Dewangan</v>
      </c>
      <c r="X455" s="103">
        <f>if(S455,if(and(hour(S455+X$7)&gt;9.5,(hour(S455+X$7)&lt;19.5)),S455+X$7,_xlfn.workday.intl(int(S455),1,"0000001",Holidays!A:A)+hour(S455+X$7-$B$1)/24+minute(S455)/1440),"")</f>
        <v>46226.75605</v>
      </c>
      <c r="Y455" s="104">
        <v>46226.60766732639</v>
      </c>
      <c r="Z455" s="105" t="s">
        <v>14</v>
      </c>
      <c r="AA455" s="111">
        <f t="shared" si="4"/>
        <v>0</v>
      </c>
      <c r="AB455" s="110" t="str">
        <f t="shared" si="5"/>
        <v>EMP0021 Tamanna Dewangan</v>
      </c>
      <c r="AC455" s="103">
        <f>if(X455,_xlfn.WORKDAY.INTL(X455,AC$7,"0000001",Holidays!A:A)+hour(X455)/24+MINUTE(X455)/1440,"")</f>
        <v>46227.75556</v>
      </c>
      <c r="AD455" s="104">
        <v>46226.72919165509</v>
      </c>
      <c r="AE455" s="105" t="s">
        <v>14</v>
      </c>
      <c r="AF455" s="111">
        <f t="shared" si="6"/>
        <v>0</v>
      </c>
      <c r="AG455" s="110" t="str">
        <f t="shared" si="7"/>
        <v>EMP0021 Tamanna Dewangan</v>
      </c>
      <c r="AH455" s="103">
        <f>if(AC455,if(and(hour(AC455+AH$7)&gt;9.5,(hour(AC455+AH$7)&lt;19.5)),AC455+AH$7,_xlfn.workday.intl(int(AC455),1,"0000001",Holidays!A:A)+hour(AC455+AH$7-$B$1)/24+minute(AC455)/1440),"")</f>
        <v>46227.79722</v>
      </c>
      <c r="AI455" s="104">
        <v>46226.72920594907</v>
      </c>
      <c r="AJ455" s="105" t="s">
        <v>14</v>
      </c>
      <c r="AK455" s="111">
        <f t="shared" si="8"/>
        <v>0</v>
      </c>
      <c r="AL455" s="112" t="str">
        <f t="shared" si="9"/>
        <v>EMP0021 Tamanna Dewangan</v>
      </c>
      <c r="AM455" s="113"/>
      <c r="AN455" s="114" t="s">
        <v>672</v>
      </c>
      <c r="AO455" s="115"/>
      <c r="AP455" s="115"/>
      <c r="AQ455" s="115"/>
      <c r="AR455" s="115"/>
      <c r="AS455" s="115"/>
      <c r="AT455" s="115"/>
      <c r="AU455" s="115"/>
      <c r="AV455" s="115"/>
      <c r="AW455" s="115"/>
      <c r="AX455" s="115"/>
      <c r="AY455" s="115"/>
    </row>
    <row r="456">
      <c r="A456" s="95">
        <f t="shared" si="11"/>
        <v>5407</v>
      </c>
      <c r="B456" s="96">
        <v>46226.514405925926</v>
      </c>
      <c r="C456" s="97" t="s">
        <v>166</v>
      </c>
      <c r="D456" s="97" t="s">
        <v>49</v>
      </c>
      <c r="E456" s="98" t="s">
        <v>2324</v>
      </c>
      <c r="F456" s="97"/>
      <c r="G456" s="97" t="s">
        <v>2325</v>
      </c>
      <c r="H456" s="99" t="s">
        <v>62</v>
      </c>
      <c r="I456" s="100" t="s">
        <v>64</v>
      </c>
      <c r="J456" s="101" t="s">
        <v>47</v>
      </c>
      <c r="K456" s="100"/>
      <c r="L456" s="102" t="s">
        <v>2326</v>
      </c>
      <c r="M456" s="103">
        <f>if(B456,if(and(hour(B456+M$7)&gt;9.5,(hour(B456+M$7)&lt;19.5)),B456+M$7,_xlfn.workday.intl(int(B456),1,"0000001",Holidays!A:A)+hour(B456+M$7-$B$1)/24+minute(B456)/1440),"")</f>
        <v>46226.68107</v>
      </c>
      <c r="N456" s="104">
        <v>46226.60719565972</v>
      </c>
      <c r="O456" s="105" t="s">
        <v>14</v>
      </c>
      <c r="P456" s="106">
        <f t="shared" si="1"/>
        <v>0</v>
      </c>
      <c r="Q456" s="107" t="s">
        <v>15</v>
      </c>
      <c r="R456" s="108" t="s">
        <v>434</v>
      </c>
      <c r="S456" s="103">
        <f>if(M456,if(and(hour(M456+S$7)&gt;9.5,(hour(M456+S$7)&lt;19.5)),M456+S$7,_xlfn.workday.intl(int(M456),1,"0000001",Holidays!A:A)+hour(M456+S$7-$B$1)/24+minute(M456)/1440),"")</f>
        <v>46226.68802</v>
      </c>
      <c r="T456" s="104">
        <v>46226.60752510416</v>
      </c>
      <c r="U456" s="105" t="s">
        <v>14</v>
      </c>
      <c r="V456" s="109">
        <f t="shared" si="2"/>
        <v>0</v>
      </c>
      <c r="W456" s="110" t="str">
        <f t="shared" si="3"/>
        <v>EMP0042 HULESHWAR KUMAR SAHU</v>
      </c>
      <c r="X456" s="103">
        <f>if(S456,if(and(hour(S456+X$7)&gt;9.5,(hour(S456+X$7)&lt;19.5)),S456+X$7,_xlfn.workday.intl(int(S456),1,"0000001",Holidays!A:A)+hour(S456+X$7-$B$1)/24+minute(S456)/1440),"")</f>
        <v>46226.79218</v>
      </c>
      <c r="Y456" s="104">
        <v>46226.60770494213</v>
      </c>
      <c r="Z456" s="105" t="s">
        <v>14</v>
      </c>
      <c r="AA456" s="111">
        <f t="shared" si="4"/>
        <v>0</v>
      </c>
      <c r="AB456" s="110" t="str">
        <f t="shared" si="5"/>
        <v>EMP0042 HULESHWAR KUMAR SAHU</v>
      </c>
      <c r="AC456" s="103">
        <f>if(X456,_xlfn.WORKDAY.INTL(X456,AC$7,"0000001",Holidays!A:A)+hour(X456)/24+MINUTE(X456)/1440,"")</f>
        <v>46227.79167</v>
      </c>
      <c r="AD456" s="104">
        <v>46227.44431877315</v>
      </c>
      <c r="AE456" s="105" t="s">
        <v>14</v>
      </c>
      <c r="AF456" s="111">
        <f t="shared" si="6"/>
        <v>0</v>
      </c>
      <c r="AG456" s="110" t="str">
        <f t="shared" si="7"/>
        <v>EMP0042 HULESHWAR KUMAR SAHU</v>
      </c>
      <c r="AH456" s="103">
        <f>if(AC456,if(and(hour(AC456+AH$7)&gt;9.5,(hour(AC456+AH$7)&lt;19.5)),AC456+AH$7,_xlfn.workday.intl(int(AC456),1,"0000001",Holidays!A:A)+hour(AC456+AH$7-$B$1)/24+minute(AC456)/1440),"")</f>
        <v>46228.41667</v>
      </c>
      <c r="AI456" s="104">
        <v>46227.44436857638</v>
      </c>
      <c r="AJ456" s="105" t="s">
        <v>14</v>
      </c>
      <c r="AK456" s="111">
        <f t="shared" si="8"/>
        <v>0</v>
      </c>
      <c r="AL456" s="112" t="str">
        <f t="shared" si="9"/>
        <v>EMP0042 HULESHWAR KUMAR SAHU</v>
      </c>
      <c r="AM456" s="113"/>
      <c r="AN456" s="114" t="s">
        <v>672</v>
      </c>
      <c r="AO456" s="115"/>
      <c r="AP456" s="115"/>
      <c r="AQ456" s="115"/>
      <c r="AR456" s="115"/>
      <c r="AS456" s="115"/>
      <c r="AT456" s="115"/>
      <c r="AU456" s="115"/>
      <c r="AV456" s="115"/>
      <c r="AW456" s="115"/>
      <c r="AX456" s="115"/>
      <c r="AY456" s="115"/>
    </row>
    <row r="457">
      <c r="A457" s="95">
        <f t="shared" si="11"/>
        <v>5408</v>
      </c>
      <c r="B457" s="96">
        <v>46226.59484712963</v>
      </c>
      <c r="C457" s="97" t="s">
        <v>2329</v>
      </c>
      <c r="D457" s="97" t="s">
        <v>357</v>
      </c>
      <c r="E457" s="98" t="s">
        <v>2327</v>
      </c>
      <c r="F457" s="98" t="s">
        <v>2330</v>
      </c>
      <c r="G457" s="97" t="s">
        <v>2328</v>
      </c>
      <c r="H457" s="99" t="s">
        <v>62</v>
      </c>
      <c r="I457" s="100" t="s">
        <v>64</v>
      </c>
      <c r="J457" s="101" t="s">
        <v>1253</v>
      </c>
      <c r="K457" s="100"/>
      <c r="L457" s="102" t="s">
        <v>492</v>
      </c>
      <c r="M457" s="103">
        <f>if(B457,if(and(hour(B457+M$7)&gt;9.5,(hour(B457+M$7)&lt;19.5)),B457+M$7,_xlfn.workday.intl(int(B457),1,"0000001",Holidays!A:A)+hour(B457+M$7-$B$1)/24+minute(B457)/1440),"")</f>
        <v>46226.76151</v>
      </c>
      <c r="N457" s="104">
        <v>46226.60720341435</v>
      </c>
      <c r="O457" s="105" t="s">
        <v>14</v>
      </c>
      <c r="P457" s="106">
        <f t="shared" si="1"/>
        <v>0</v>
      </c>
      <c r="Q457" s="107" t="s">
        <v>48</v>
      </c>
      <c r="R457" s="108" t="s">
        <v>434</v>
      </c>
      <c r="S457" s="103">
        <f>if(M457,if(and(hour(M457+S$7)&gt;9.5,(hour(M457+S$7)&lt;19.5)),M457+S$7,_xlfn.workday.intl(int(M457),1,"0000001",Holidays!A:A)+hour(M457+S$7-$B$1)/24+minute(M457)/1440),"")</f>
        <v>46226.76846</v>
      </c>
      <c r="T457" s="104">
        <v>46226.60754509259</v>
      </c>
      <c r="U457" s="105" t="s">
        <v>14</v>
      </c>
      <c r="V457" s="109">
        <f t="shared" si="2"/>
        <v>0</v>
      </c>
      <c r="W457" s="110" t="str">
        <f t="shared" si="3"/>
        <v>EMP0237 Swarnendu Chakraborty</v>
      </c>
      <c r="X457" s="103">
        <f>if(S457,if(and(hour(S457+X$7)&gt;9.5,(hour(S457+X$7)&lt;19.5)),S457+X$7,_xlfn.workday.intl(int(S457),1,"0000001",Holidays!A:A)+hour(S457+X$7-$B$1)/24+minute(S457)/1440),"")</f>
        <v>46227.43472</v>
      </c>
      <c r="Y457" s="104">
        <v>46226.607718125</v>
      </c>
      <c r="Z457" s="105" t="s">
        <v>14</v>
      </c>
      <c r="AA457" s="111">
        <f t="shared" si="4"/>
        <v>0</v>
      </c>
      <c r="AB457" s="110" t="str">
        <f t="shared" si="5"/>
        <v>EMP0237 Swarnendu Chakraborty</v>
      </c>
      <c r="AC457" s="103">
        <f>if(X457,_xlfn.WORKDAY.INTL(X457,AC$7,"0000001",Holidays!A:A)+hour(X457)/24+MINUTE(X457)/1440,"")</f>
        <v>46228.43472</v>
      </c>
      <c r="AD457" s="104">
        <v>46227.662855393515</v>
      </c>
      <c r="AE457" s="105" t="s">
        <v>14</v>
      </c>
      <c r="AF457" s="111">
        <f t="shared" si="6"/>
        <v>0</v>
      </c>
      <c r="AG457" s="110" t="str">
        <f t="shared" si="7"/>
        <v>EMP0237 Swarnendu Chakraborty</v>
      </c>
      <c r="AH457" s="103">
        <f>if(AC457,if(and(hour(AC457+AH$7)&gt;9.5,(hour(AC457+AH$7)&lt;19.5)),AC457+AH$7,_xlfn.workday.intl(int(AC457),1,"0000001",Holidays!A:A)+hour(AC457+AH$7-$B$1)/24+minute(AC457)/1440),"")</f>
        <v>46228.47639</v>
      </c>
      <c r="AI457" s="104">
        <v>46227.662885694444</v>
      </c>
      <c r="AJ457" s="105" t="s">
        <v>14</v>
      </c>
      <c r="AK457" s="111">
        <f t="shared" si="8"/>
        <v>0</v>
      </c>
      <c r="AL457" s="112" t="str">
        <f t="shared" si="9"/>
        <v>EMP0237 Swarnendu Chakraborty</v>
      </c>
      <c r="AM457" s="113"/>
      <c r="AN457" s="114" t="s">
        <v>672</v>
      </c>
      <c r="AO457" s="115"/>
      <c r="AP457" s="115"/>
      <c r="AQ457" s="115"/>
      <c r="AR457" s="115"/>
      <c r="AS457" s="115"/>
      <c r="AT457" s="115"/>
      <c r="AU457" s="115"/>
      <c r="AV457" s="115"/>
      <c r="AW457" s="115"/>
      <c r="AX457" s="115"/>
      <c r="AY457" s="115"/>
    </row>
    <row r="458">
      <c r="A458" s="95">
        <f t="shared" si="11"/>
        <v>5409</v>
      </c>
      <c r="B458" s="96">
        <v>46226.596240370374</v>
      </c>
      <c r="C458" s="97" t="s">
        <v>1847</v>
      </c>
      <c r="D458" s="97" t="s">
        <v>357</v>
      </c>
      <c r="E458" s="98" t="s">
        <v>2331</v>
      </c>
      <c r="F458" s="97"/>
      <c r="G458" s="97" t="s">
        <v>1842</v>
      </c>
      <c r="H458" s="99" t="s">
        <v>138</v>
      </c>
      <c r="I458" s="100" t="s">
        <v>64</v>
      </c>
      <c r="J458" s="101" t="s">
        <v>1253</v>
      </c>
      <c r="K458" s="100"/>
      <c r="L458" s="102" t="s">
        <v>492</v>
      </c>
      <c r="M458" s="103">
        <f>if(B458,if(and(hour(B458+M$7)&gt;9.5,(hour(B458+M$7)&lt;19.5)),B458+M$7,_xlfn.workday.intl(int(B458),1,"0000001",Holidays!A:A)+hour(B458+M$7-$B$1)/24+minute(B458)/1440),"")</f>
        <v>46226.76291</v>
      </c>
      <c r="N458" s="104">
        <v>46226.60724168981</v>
      </c>
      <c r="O458" s="105" t="s">
        <v>14</v>
      </c>
      <c r="P458" s="106">
        <f t="shared" si="1"/>
        <v>0</v>
      </c>
      <c r="Q458" s="107" t="s">
        <v>72</v>
      </c>
      <c r="R458" s="108" t="s">
        <v>434</v>
      </c>
      <c r="S458" s="103">
        <f>if(M458,if(and(hour(M458+S$7)&gt;9.5,(hour(M458+S$7)&lt;19.5)),M458+S$7,_xlfn.workday.intl(int(M458),1,"0000001",Holidays!A:A)+hour(M458+S$7-$B$1)/24+minute(M458)/1440),"")</f>
        <v>46226.76985</v>
      </c>
      <c r="T458" s="104">
        <v>46226.607568541665</v>
      </c>
      <c r="U458" s="105" t="s">
        <v>14</v>
      </c>
      <c r="V458" s="109">
        <f t="shared" si="2"/>
        <v>0</v>
      </c>
      <c r="W458" s="110" t="str">
        <f t="shared" si="3"/>
        <v>EMP5009 Rup Kumar Mandal</v>
      </c>
      <c r="X458" s="103">
        <f>if(S458,if(and(hour(S458+X$7)&gt;9.5,(hour(S458+X$7)&lt;19.5)),S458+X$7,_xlfn.workday.intl(int(S458),1,"0000001",Holidays!A:A)+hour(S458+X$7-$B$1)/24+minute(S458)/1440),"")</f>
        <v>46227.43611</v>
      </c>
      <c r="Y458" s="104">
        <v>46226.60773859954</v>
      </c>
      <c r="Z458" s="105" t="s">
        <v>14</v>
      </c>
      <c r="AA458" s="111">
        <f t="shared" si="4"/>
        <v>0</v>
      </c>
      <c r="AB458" s="110" t="str">
        <f t="shared" si="5"/>
        <v>EMP5009 Rup Kumar Mandal</v>
      </c>
      <c r="AC458" s="103">
        <f>if(X458,_xlfn.WORKDAY.INTL(X458,AC$7,"0000001",Holidays!A:A)+hour(X458)/24+MINUTE(X458)/1440,"")</f>
        <v>46228.43611</v>
      </c>
      <c r="AD458" s="104">
        <v>46226.72950069445</v>
      </c>
      <c r="AE458" s="105" t="s">
        <v>14</v>
      </c>
      <c r="AF458" s="111">
        <f t="shared" si="6"/>
        <v>0</v>
      </c>
      <c r="AG458" s="110" t="str">
        <f t="shared" si="7"/>
        <v>EMP5009 Rup Kumar Mandal</v>
      </c>
      <c r="AH458" s="103">
        <f>if(AC458,if(and(hour(AC458+AH$7)&gt;9.5,(hour(AC458+AH$7)&lt;19.5)),AC458+AH$7,_xlfn.workday.intl(int(AC458),1,"0000001",Holidays!A:A)+hour(AC458+AH$7-$B$1)/24+minute(AC458)/1440),"")</f>
        <v>46228.47778</v>
      </c>
      <c r="AI458" s="104">
        <v>46226.72952550926</v>
      </c>
      <c r="AJ458" s="105" t="s">
        <v>14</v>
      </c>
      <c r="AK458" s="111">
        <f t="shared" si="8"/>
        <v>0</v>
      </c>
      <c r="AL458" s="112" t="str">
        <f t="shared" si="9"/>
        <v>EMP5009 Rup Kumar Mandal</v>
      </c>
      <c r="AM458" s="113"/>
      <c r="AN458" s="114" t="s">
        <v>672</v>
      </c>
      <c r="AO458" s="115"/>
      <c r="AP458" s="115"/>
      <c r="AQ458" s="115"/>
      <c r="AR458" s="115"/>
      <c r="AS458" s="115"/>
      <c r="AT458" s="115"/>
      <c r="AU458" s="115"/>
      <c r="AV458" s="115"/>
      <c r="AW458" s="115"/>
      <c r="AX458" s="115"/>
      <c r="AY458" s="115"/>
    </row>
    <row r="459">
      <c r="A459" s="95">
        <f t="shared" si="11"/>
        <v>5410</v>
      </c>
      <c r="B459" s="96">
        <v>46226.66151012732</v>
      </c>
      <c r="C459" s="97" t="s">
        <v>136</v>
      </c>
      <c r="D459" s="97" t="s">
        <v>215</v>
      </c>
      <c r="E459" s="98" t="s">
        <v>2332</v>
      </c>
      <c r="F459" s="97"/>
      <c r="G459" s="97" t="s">
        <v>2333</v>
      </c>
      <c r="H459" s="99" t="s">
        <v>62</v>
      </c>
      <c r="I459" s="100" t="s">
        <v>64</v>
      </c>
      <c r="J459" s="101" t="s">
        <v>214</v>
      </c>
      <c r="K459" s="100"/>
      <c r="L459" s="102" t="s">
        <v>2334</v>
      </c>
      <c r="M459" s="103">
        <f>if(B459,if(and(hour(B459+M$7)&gt;9.5,(hour(B459+M$7)&lt;19.5)),B459+M$7,_xlfn.workday.intl(int(B459),1,"0000001",Holidays!A:A)+hour(B459+M$7-$B$1)/24+minute(B459)/1440),"")</f>
        <v>46226.82818</v>
      </c>
      <c r="N459" s="104">
        <v>46226.72799284723</v>
      </c>
      <c r="O459" s="105" t="s">
        <v>14</v>
      </c>
      <c r="P459" s="106">
        <f t="shared" si="1"/>
        <v>0</v>
      </c>
      <c r="Q459" s="107" t="s">
        <v>61</v>
      </c>
      <c r="R459" s="108" t="s">
        <v>434</v>
      </c>
      <c r="S459" s="103">
        <f>if(M459,if(and(hour(M459+S$7)&gt;9.5,(hour(M459+S$7)&lt;19.5)),M459+S$7,_xlfn.workday.intl(int(M459),1,"0000001",Holidays!A:A)+hour(M459+S$7-$B$1)/24+minute(M459)/1440),"")</f>
        <v>46227.45278</v>
      </c>
      <c r="T459" s="104">
        <v>46226.72809261574</v>
      </c>
      <c r="U459" s="105" t="s">
        <v>14</v>
      </c>
      <c r="V459" s="109">
        <f t="shared" si="2"/>
        <v>0</v>
      </c>
      <c r="W459" s="110" t="str">
        <f t="shared" si="3"/>
        <v>EMP0021 Tamanna Dewangan</v>
      </c>
      <c r="X459" s="103">
        <f>if(S459,if(and(hour(S459+X$7)&gt;9.5,(hour(S459+X$7)&lt;19.5)),S459+X$7,_xlfn.workday.intl(int(S459),1,"0000001",Holidays!A:A)+hour(S459+X$7-$B$1)/24+minute(S459)/1440),"")</f>
        <v>46227.55694</v>
      </c>
      <c r="Y459" s="104">
        <v>46227.44519663195</v>
      </c>
      <c r="Z459" s="105" t="s">
        <v>14</v>
      </c>
      <c r="AA459" s="111">
        <f t="shared" si="4"/>
        <v>0</v>
      </c>
      <c r="AB459" s="110" t="str">
        <f t="shared" si="5"/>
        <v>EMP0021 Tamanna Dewangan</v>
      </c>
      <c r="AC459" s="103">
        <f>if(X459,_xlfn.WORKDAY.INTL(X459,AC$7,"0000001",Holidays!A:A)+hour(X459)/24+MINUTE(X459)/1440,"")</f>
        <v>46228.55694</v>
      </c>
      <c r="AD459" s="104">
        <v>46228.43345167824</v>
      </c>
      <c r="AE459" s="105" t="s">
        <v>14</v>
      </c>
      <c r="AF459" s="111">
        <f t="shared" si="6"/>
        <v>0</v>
      </c>
      <c r="AG459" s="110" t="str">
        <f t="shared" si="7"/>
        <v>EMP0021 Tamanna Dewangan</v>
      </c>
      <c r="AH459" s="103">
        <f>if(AC459,if(and(hour(AC459+AH$7)&gt;9.5,(hour(AC459+AH$7)&lt;19.5)),AC459+AH$7,_xlfn.workday.intl(int(AC459),1,"0000001",Holidays!A:A)+hour(AC459+AH$7-$B$1)/24+minute(AC459)/1440),"")</f>
        <v>46228.59861</v>
      </c>
      <c r="AI459" s="104">
        <v>46228.43348788194</v>
      </c>
      <c r="AJ459" s="105" t="s">
        <v>14</v>
      </c>
      <c r="AK459" s="111">
        <f t="shared" si="8"/>
        <v>0</v>
      </c>
      <c r="AL459" s="112" t="str">
        <f t="shared" si="9"/>
        <v>EMP0021 Tamanna Dewangan</v>
      </c>
      <c r="AM459" s="113"/>
      <c r="AN459" s="114" t="s">
        <v>672</v>
      </c>
      <c r="AO459" s="115"/>
      <c r="AP459" s="115"/>
      <c r="AQ459" s="115"/>
      <c r="AR459" s="115"/>
      <c r="AS459" s="115"/>
      <c r="AT459" s="115"/>
      <c r="AU459" s="115"/>
      <c r="AV459" s="115"/>
      <c r="AW459" s="115"/>
      <c r="AX459" s="115"/>
      <c r="AY459" s="115"/>
    </row>
    <row r="460">
      <c r="A460" s="95">
        <f t="shared" si="11"/>
        <v>5411</v>
      </c>
      <c r="B460" s="96">
        <v>46226.66671984954</v>
      </c>
      <c r="C460" s="97" t="s">
        <v>2336</v>
      </c>
      <c r="D460" s="97" t="s">
        <v>122</v>
      </c>
      <c r="E460" s="98" t="s">
        <v>2335</v>
      </c>
      <c r="F460" s="97"/>
      <c r="G460" s="97" t="s">
        <v>2336</v>
      </c>
      <c r="H460" s="99" t="s">
        <v>126</v>
      </c>
      <c r="I460" s="100" t="s">
        <v>64</v>
      </c>
      <c r="J460" s="101" t="s">
        <v>198</v>
      </c>
      <c r="K460" s="100"/>
      <c r="L460" s="102" t="s">
        <v>2336</v>
      </c>
      <c r="M460" s="103">
        <f>if(B460,if(and(hour(B460+M$7)&gt;9.5,(hour(B460+M$7)&lt;19.5)),B460+M$7,_xlfn.workday.intl(int(B460),1,"0000001",Holidays!A:A)+hour(B460+M$7-$B$1)/24+minute(B460)/1440),"")</f>
        <v>46227.41667</v>
      </c>
      <c r="N460" s="104">
        <v>46226.72816478009</v>
      </c>
      <c r="O460" s="105" t="s">
        <v>14</v>
      </c>
      <c r="P460" s="106">
        <f t="shared" si="1"/>
        <v>0</v>
      </c>
      <c r="Q460" s="107" t="s">
        <v>48</v>
      </c>
      <c r="R460" s="108" t="s">
        <v>434</v>
      </c>
      <c r="S460" s="103">
        <f>if(M460,if(and(hour(M460+S$7)&gt;9.5,(hour(M460+S$7)&lt;19.5)),M460+S$7,_xlfn.workday.intl(int(M460),1,"0000001",Holidays!A:A)+hour(M460+S$7-$B$1)/24+minute(M460)/1440),"")</f>
        <v>46227.42361</v>
      </c>
      <c r="T460" s="104">
        <v>46226.72823320601</v>
      </c>
      <c r="U460" s="105" t="s">
        <v>14</v>
      </c>
      <c r="V460" s="109">
        <f t="shared" si="2"/>
        <v>0</v>
      </c>
      <c r="W460" s="110" t="str">
        <f t="shared" si="3"/>
        <v>EMP0237 Swarnendu Chakraborty</v>
      </c>
      <c r="X460" s="103">
        <f>if(S460,if(and(hour(S460+X$7)&gt;9.5,(hour(S460+X$7)&lt;19.5)),S460+X$7,_xlfn.workday.intl(int(S460),1,"0000001",Holidays!A:A)+hour(S460+X$7-$B$1)/24+minute(S460)/1440),"")</f>
        <v>46227.52778</v>
      </c>
      <c r="Y460" s="104">
        <v>46227.45907188657</v>
      </c>
      <c r="Z460" s="105" t="s">
        <v>14</v>
      </c>
      <c r="AA460" s="111">
        <f t="shared" si="4"/>
        <v>0</v>
      </c>
      <c r="AB460" s="110" t="str">
        <f t="shared" si="5"/>
        <v>EMP0237 Swarnendu Chakraborty</v>
      </c>
      <c r="AC460" s="103">
        <f>if(X460,_xlfn.WORKDAY.INTL(X460,AC$7,"0000001",Holidays!A:A)+hour(X460)/24+MINUTE(X460)/1440,"")</f>
        <v>46228.52778</v>
      </c>
      <c r="AD460" s="104">
        <v>46227.71203381944</v>
      </c>
      <c r="AE460" s="105" t="s">
        <v>14</v>
      </c>
      <c r="AF460" s="111">
        <f t="shared" si="6"/>
        <v>0</v>
      </c>
      <c r="AG460" s="110" t="str">
        <f t="shared" si="7"/>
        <v>EMP0237 Swarnendu Chakraborty</v>
      </c>
      <c r="AH460" s="103">
        <f>if(AC460,if(and(hour(AC460+AH$7)&gt;9.5,(hour(AC460+AH$7)&lt;19.5)),AC460+AH$7,_xlfn.workday.intl(int(AC460),1,"0000001",Holidays!A:A)+hour(AC460+AH$7-$B$1)/24+minute(AC460)/1440),"")</f>
        <v>46228.56944</v>
      </c>
      <c r="AI460" s="104">
        <v>46227.712069444446</v>
      </c>
      <c r="AJ460" s="105" t="s">
        <v>14</v>
      </c>
      <c r="AK460" s="111">
        <f t="shared" si="8"/>
        <v>0</v>
      </c>
      <c r="AL460" s="112" t="str">
        <f t="shared" si="9"/>
        <v>EMP0237 Swarnendu Chakraborty</v>
      </c>
      <c r="AM460" s="113"/>
      <c r="AN460" s="114" t="s">
        <v>672</v>
      </c>
      <c r="AO460" s="115"/>
      <c r="AP460" s="115"/>
      <c r="AQ460" s="115"/>
      <c r="AR460" s="115"/>
      <c r="AS460" s="115"/>
      <c r="AT460" s="115"/>
      <c r="AU460" s="115"/>
      <c r="AV460" s="115"/>
      <c r="AW460" s="115"/>
      <c r="AX460" s="115"/>
      <c r="AY460" s="115"/>
    </row>
    <row r="461">
      <c r="A461" s="95">
        <f t="shared" si="11"/>
        <v>5412</v>
      </c>
      <c r="B461" s="96">
        <v>46226.68844438657</v>
      </c>
      <c r="C461" s="97" t="s">
        <v>1858</v>
      </c>
      <c r="D461" s="97" t="s">
        <v>769</v>
      </c>
      <c r="E461" s="98" t="s">
        <v>2337</v>
      </c>
      <c r="F461" s="97"/>
      <c r="G461" s="97" t="s">
        <v>2338</v>
      </c>
      <c r="H461" s="99" t="s">
        <v>62</v>
      </c>
      <c r="I461" s="100" t="s">
        <v>64</v>
      </c>
      <c r="J461" s="101" t="s">
        <v>768</v>
      </c>
      <c r="K461" s="100"/>
      <c r="L461" s="102" t="s">
        <v>518</v>
      </c>
      <c r="M461" s="103">
        <f>if(B461,if(and(hour(B461+M$7)&gt;9.5,(hour(B461+M$7)&lt;19.5)),B461+M$7,_xlfn.workday.intl(int(B461),1,"0000001",Holidays!A:A)+hour(B461+M$7-$B$1)/24+minute(B461)/1440),"")</f>
        <v>46227.43819</v>
      </c>
      <c r="N461" s="104">
        <v>46226.72827266203</v>
      </c>
      <c r="O461" s="105" t="s">
        <v>14</v>
      </c>
      <c r="P461" s="106">
        <f t="shared" si="1"/>
        <v>0</v>
      </c>
      <c r="Q461" s="107" t="s">
        <v>72</v>
      </c>
      <c r="R461" s="108" t="s">
        <v>434</v>
      </c>
      <c r="S461" s="103">
        <f>if(M461,if(and(hour(M461+S$7)&gt;9.5,(hour(M461+S$7)&lt;19.5)),M461+S$7,_xlfn.workday.intl(int(M461),1,"0000001",Holidays!A:A)+hour(M461+S$7-$B$1)/24+minute(M461)/1440),"")</f>
        <v>46227.44514</v>
      </c>
      <c r="T461" s="104">
        <v>46226.72853787037</v>
      </c>
      <c r="U461" s="105" t="s">
        <v>14</v>
      </c>
      <c r="V461" s="109">
        <f t="shared" si="2"/>
        <v>0</v>
      </c>
      <c r="W461" s="110" t="str">
        <f t="shared" si="3"/>
        <v>EMP5009 Rup Kumar Mandal</v>
      </c>
      <c r="X461" s="103">
        <f>if(S461,if(and(hour(S461+X$7)&gt;9.5,(hour(S461+X$7)&lt;19.5)),S461+X$7,_xlfn.workday.intl(int(S461),1,"0000001",Holidays!A:A)+hour(S461+X$7-$B$1)/24+minute(S461)/1440),"")</f>
        <v>46227.54931</v>
      </c>
      <c r="Y461" s="104">
        <v>46227.45909737269</v>
      </c>
      <c r="Z461" s="105" t="s">
        <v>14</v>
      </c>
      <c r="AA461" s="111">
        <f t="shared" si="4"/>
        <v>0</v>
      </c>
      <c r="AB461" s="110" t="str">
        <f t="shared" si="5"/>
        <v>EMP5009 Rup Kumar Mandal</v>
      </c>
      <c r="AC461" s="103">
        <f>if(X461,_xlfn.WORKDAY.INTL(X461,AC$7,"0000001",Holidays!A:A)+hour(X461)/24+MINUTE(X461)/1440,"")</f>
        <v>46228.54931</v>
      </c>
      <c r="AD461" s="104">
        <v>46227.49348671296</v>
      </c>
      <c r="AE461" s="105" t="s">
        <v>14</v>
      </c>
      <c r="AF461" s="111">
        <f t="shared" si="6"/>
        <v>0</v>
      </c>
      <c r="AG461" s="110" t="str">
        <f t="shared" si="7"/>
        <v>EMP5009 Rup Kumar Mandal</v>
      </c>
      <c r="AH461" s="103">
        <f>if(AC461,if(and(hour(AC461+AH$7)&gt;9.5,(hour(AC461+AH$7)&lt;19.5)),AC461+AH$7,_xlfn.workday.intl(int(AC461),1,"0000001",Holidays!A:A)+hour(AC461+AH$7-$B$1)/24+minute(AC461)/1440),"")</f>
        <v>46228.59097</v>
      </c>
      <c r="AI461" s="104">
        <v>46227.493535173606</v>
      </c>
      <c r="AJ461" s="105" t="s">
        <v>14</v>
      </c>
      <c r="AK461" s="111">
        <f t="shared" si="8"/>
        <v>0</v>
      </c>
      <c r="AL461" s="112" t="str">
        <f t="shared" si="9"/>
        <v>EMP5009 Rup Kumar Mandal</v>
      </c>
      <c r="AM461" s="113"/>
      <c r="AN461" s="114" t="s">
        <v>672</v>
      </c>
      <c r="AO461" s="115"/>
      <c r="AP461" s="115"/>
      <c r="AQ461" s="115"/>
      <c r="AR461" s="115"/>
      <c r="AS461" s="115"/>
      <c r="AT461" s="115"/>
      <c r="AU461" s="115"/>
      <c r="AV461" s="115"/>
      <c r="AW461" s="115"/>
      <c r="AX461" s="115"/>
      <c r="AY461" s="115"/>
    </row>
    <row r="462">
      <c r="A462" s="95">
        <f t="shared" si="11"/>
        <v>5413</v>
      </c>
      <c r="B462" s="96">
        <v>46226.71112228009</v>
      </c>
      <c r="C462" s="97" t="s">
        <v>1861</v>
      </c>
      <c r="D462" s="97" t="s">
        <v>207</v>
      </c>
      <c r="E462" s="98" t="s">
        <v>2339</v>
      </c>
      <c r="F462" s="97"/>
      <c r="G462" s="97" t="s">
        <v>354</v>
      </c>
      <c r="H462" s="99" t="s">
        <v>126</v>
      </c>
      <c r="I462" s="100" t="s">
        <v>64</v>
      </c>
      <c r="J462" s="101" t="s">
        <v>206</v>
      </c>
      <c r="K462" s="100"/>
      <c r="L462" s="102" t="s">
        <v>2340</v>
      </c>
      <c r="M462" s="103">
        <f>if(B462,if(and(hour(B462+M$7)&gt;9.5,(hour(B462+M$7)&lt;19.5)),B462+M$7,_xlfn.workday.intl(int(B462),1,"0000001",Holidays!A:A)+hour(B462+M$7-$B$1)/24+minute(B462)/1440),"")</f>
        <v>46227.46111</v>
      </c>
      <c r="N462" s="104">
        <v>46226.72829855324</v>
      </c>
      <c r="O462" s="105" t="s">
        <v>14</v>
      </c>
      <c r="P462" s="106">
        <f t="shared" si="1"/>
        <v>0</v>
      </c>
      <c r="Q462" s="107" t="s">
        <v>48</v>
      </c>
      <c r="R462" s="108" t="s">
        <v>434</v>
      </c>
      <c r="S462" s="103">
        <f>if(M462,if(and(hour(M462+S$7)&gt;9.5,(hour(M462+S$7)&lt;19.5)),M462+S$7,_xlfn.workday.intl(int(M462),1,"0000001",Holidays!A:A)+hour(M462+S$7-$B$1)/24+minute(M462)/1440),"")</f>
        <v>46227.46806</v>
      </c>
      <c r="T462" s="104">
        <v>46226.72855947917</v>
      </c>
      <c r="U462" s="105" t="s">
        <v>14</v>
      </c>
      <c r="V462" s="109">
        <f t="shared" si="2"/>
        <v>0</v>
      </c>
      <c r="W462" s="110" t="str">
        <f t="shared" si="3"/>
        <v>EMP0237 Swarnendu Chakraborty</v>
      </c>
      <c r="X462" s="103">
        <f>if(S462,if(and(hour(S462+X$7)&gt;9.5,(hour(S462+X$7)&lt;19.5)),S462+X$7,_xlfn.workday.intl(int(S462),1,"0000001",Holidays!A:A)+hour(S462+X$7-$B$1)/24+minute(S462)/1440),"")</f>
        <v>46227.57222</v>
      </c>
      <c r="Y462" s="104">
        <v>46227.45913751157</v>
      </c>
      <c r="Z462" s="105" t="s">
        <v>14</v>
      </c>
      <c r="AA462" s="111">
        <f t="shared" si="4"/>
        <v>0</v>
      </c>
      <c r="AB462" s="110" t="str">
        <f t="shared" si="5"/>
        <v>EMP0237 Swarnendu Chakraborty</v>
      </c>
      <c r="AC462" s="103">
        <f>if(X462,_xlfn.WORKDAY.INTL(X462,AC$7,"0000001",Holidays!A:A)+hour(X462)/24+MINUTE(X462)/1440,"")</f>
        <v>46228.57222</v>
      </c>
      <c r="AD462" s="104">
        <v>46228.43200050926</v>
      </c>
      <c r="AE462" s="105" t="s">
        <v>14</v>
      </c>
      <c r="AF462" s="111">
        <f t="shared" si="6"/>
        <v>0</v>
      </c>
      <c r="AG462" s="110" t="str">
        <f t="shared" si="7"/>
        <v>EMP0237 Swarnendu Chakraborty</v>
      </c>
      <c r="AH462" s="103">
        <f>if(AC462,if(and(hour(AC462+AH$7)&gt;9.5,(hour(AC462+AH$7)&lt;19.5)),AC462+AH$7,_xlfn.workday.intl(int(AC462),1,"0000001",Holidays!A:A)+hour(AC462+AH$7-$B$1)/24+minute(AC462)/1440),"")</f>
        <v>46228.61389</v>
      </c>
      <c r="AI462" s="104">
        <v>46228.432040555555</v>
      </c>
      <c r="AJ462" s="105" t="s">
        <v>14</v>
      </c>
      <c r="AK462" s="111">
        <f t="shared" si="8"/>
        <v>0</v>
      </c>
      <c r="AL462" s="112" t="str">
        <f t="shared" si="9"/>
        <v>EMP0237 Swarnendu Chakraborty</v>
      </c>
      <c r="AM462" s="113"/>
      <c r="AN462" s="114" t="s">
        <v>672</v>
      </c>
      <c r="AO462" s="115"/>
      <c r="AP462" s="115"/>
      <c r="AQ462" s="115"/>
      <c r="AR462" s="115"/>
      <c r="AS462" s="115"/>
      <c r="AT462" s="115"/>
      <c r="AU462" s="115"/>
      <c r="AV462" s="115"/>
      <c r="AW462" s="115"/>
      <c r="AX462" s="115"/>
      <c r="AY462" s="115"/>
    </row>
    <row r="463">
      <c r="A463" s="95">
        <f t="shared" si="11"/>
        <v>5414</v>
      </c>
      <c r="B463" s="96">
        <v>46227.508027662036</v>
      </c>
      <c r="C463" s="97" t="s">
        <v>1870</v>
      </c>
      <c r="D463" s="97" t="s">
        <v>357</v>
      </c>
      <c r="E463" s="98" t="s">
        <v>2341</v>
      </c>
      <c r="F463" s="97"/>
      <c r="G463" s="97" t="s">
        <v>74</v>
      </c>
      <c r="H463" s="99" t="s">
        <v>62</v>
      </c>
      <c r="I463" s="100" t="s">
        <v>64</v>
      </c>
      <c r="J463" s="101" t="s">
        <v>1253</v>
      </c>
      <c r="K463" s="100"/>
      <c r="L463" s="102" t="s">
        <v>492</v>
      </c>
      <c r="M463" s="103">
        <f>if(B463,if(and(hour(B463+M$7)&gt;9.5,(hour(B463+M$7)&lt;19.5)),B463+M$7,_xlfn.workday.intl(int(B463),1,"0000001",Holidays!A:A)+hour(B463+M$7-$B$1)/24+minute(B463)/1440),"")</f>
        <v>46227.67469</v>
      </c>
      <c r="N463" s="104">
        <v>46227.50905234954</v>
      </c>
      <c r="O463" s="105" t="s">
        <v>14</v>
      </c>
      <c r="P463" s="106">
        <f t="shared" si="1"/>
        <v>0</v>
      </c>
      <c r="Q463" s="107" t="s">
        <v>48</v>
      </c>
      <c r="R463" s="108" t="s">
        <v>434</v>
      </c>
      <c r="S463" s="103">
        <f>if(M463,if(and(hour(M463+S$7)&gt;9.5,(hour(M463+S$7)&lt;19.5)),M463+S$7,_xlfn.workday.intl(int(M463),1,"0000001",Holidays!A:A)+hour(M463+S$7-$B$1)/24+minute(M463)/1440),"")</f>
        <v>46227.68164</v>
      </c>
      <c r="T463" s="104">
        <v>46227.509108275466</v>
      </c>
      <c r="U463" s="105" t="s">
        <v>14</v>
      </c>
      <c r="V463" s="109">
        <f t="shared" si="2"/>
        <v>0</v>
      </c>
      <c r="W463" s="110" t="str">
        <f t="shared" si="3"/>
        <v>EMP0237 Swarnendu Chakraborty</v>
      </c>
      <c r="X463" s="103">
        <f>if(S463,if(and(hour(S463+X$7)&gt;9.5,(hour(S463+X$7)&lt;19.5)),S463+X$7,_xlfn.workday.intl(int(S463),1,"0000001",Holidays!A:A)+hour(S463+X$7-$B$1)/24+minute(S463)/1440),"")</f>
        <v>46227.78581</v>
      </c>
      <c r="Y463" s="104">
        <v>46227.50914013889</v>
      </c>
      <c r="Z463" s="105" t="s">
        <v>14</v>
      </c>
      <c r="AA463" s="111">
        <f t="shared" si="4"/>
        <v>0</v>
      </c>
      <c r="AB463" s="110" t="str">
        <f t="shared" si="5"/>
        <v>EMP0237 Swarnendu Chakraborty</v>
      </c>
      <c r="AC463" s="103">
        <f>if(X463,_xlfn.WORKDAY.INTL(X463,AC$7,"0000001",Holidays!A:A)+hour(X463)/24+MINUTE(X463)/1440,"")</f>
        <v>46228.78542</v>
      </c>
      <c r="AD463" s="104">
        <v>46227.66257533565</v>
      </c>
      <c r="AE463" s="105" t="s">
        <v>14</v>
      </c>
      <c r="AF463" s="111">
        <f t="shared" si="6"/>
        <v>0</v>
      </c>
      <c r="AG463" s="110" t="str">
        <f t="shared" si="7"/>
        <v>EMP0237 Swarnendu Chakraborty</v>
      </c>
      <c r="AH463" s="103">
        <f>if(AC463,if(and(hour(AC463+AH$7)&gt;9.5,(hour(AC463+AH$7)&lt;19.5)),AC463+AH$7,_xlfn.workday.intl(int(AC463),1,"0000001",Holidays!A:A)+hour(AC463+AH$7-$B$1)/24+minute(AC463)/1440),"")</f>
        <v>46228.82708</v>
      </c>
      <c r="AI463" s="104">
        <v>46227.66259854166</v>
      </c>
      <c r="AJ463" s="105" t="s">
        <v>14</v>
      </c>
      <c r="AK463" s="111">
        <f t="shared" si="8"/>
        <v>0</v>
      </c>
      <c r="AL463" s="112" t="str">
        <f t="shared" si="9"/>
        <v>EMP0237 Swarnendu Chakraborty</v>
      </c>
      <c r="AM463" s="113"/>
      <c r="AN463" s="114" t="s">
        <v>672</v>
      </c>
      <c r="AO463" s="115"/>
      <c r="AP463" s="115"/>
      <c r="AQ463" s="115"/>
      <c r="AR463" s="115"/>
      <c r="AS463" s="115"/>
      <c r="AT463" s="115"/>
      <c r="AU463" s="115"/>
      <c r="AV463" s="115"/>
      <c r="AW463" s="115"/>
      <c r="AX463" s="115"/>
      <c r="AY463" s="115"/>
    </row>
    <row r="464">
      <c r="A464" s="95">
        <f t="shared" si="11"/>
        <v>5415</v>
      </c>
      <c r="B464" s="96">
        <v>46227.662031203705</v>
      </c>
      <c r="C464" s="97" t="s">
        <v>1873</v>
      </c>
      <c r="D464" s="97" t="s">
        <v>142</v>
      </c>
      <c r="E464" s="98" t="s">
        <v>2342</v>
      </c>
      <c r="F464" s="97"/>
      <c r="G464" s="97" t="s">
        <v>168</v>
      </c>
      <c r="H464" s="99" t="s">
        <v>147</v>
      </c>
      <c r="I464" s="100" t="s">
        <v>64</v>
      </c>
      <c r="J464" s="101" t="s">
        <v>141</v>
      </c>
      <c r="K464" s="100"/>
      <c r="L464" s="102" t="s">
        <v>2343</v>
      </c>
      <c r="M464" s="103">
        <f>if(B464,if(and(hour(B464+M$7)&gt;9.5,(hour(B464+M$7)&lt;19.5)),B464+M$7,_xlfn.workday.intl(int(B464),1,"0000001",Holidays!A:A)+hour(B464+M$7-$B$1)/24+minute(B464)/1440),"")</f>
        <v>46227.8287</v>
      </c>
      <c r="N464" s="104">
        <v>46227.66232721065</v>
      </c>
      <c r="O464" s="105" t="s">
        <v>14</v>
      </c>
      <c r="P464" s="106">
        <f t="shared" si="1"/>
        <v>0</v>
      </c>
      <c r="Q464" s="107" t="s">
        <v>61</v>
      </c>
      <c r="R464" s="108" t="s">
        <v>434</v>
      </c>
      <c r="S464" s="103">
        <f>if(M464,if(and(hour(M464+S$7)&gt;9.5,(hour(M464+S$7)&lt;19.5)),M464+S$7,_xlfn.workday.intl(int(M464),1,"0000001",Holidays!A:A)+hour(M464+S$7-$B$1)/24+minute(M464)/1440),"")</f>
        <v>46228.45347</v>
      </c>
      <c r="T464" s="104">
        <v>46227.66237471065</v>
      </c>
      <c r="U464" s="105" t="s">
        <v>14</v>
      </c>
      <c r="V464" s="109">
        <f t="shared" si="2"/>
        <v>0</v>
      </c>
      <c r="W464" s="110" t="str">
        <f t="shared" si="3"/>
        <v>EMP0021 Tamanna Dewangan</v>
      </c>
      <c r="X464" s="103">
        <f>if(S464,if(and(hour(S464+X$7)&gt;9.5,(hour(S464+X$7)&lt;19.5)),S464+X$7,_xlfn.workday.intl(int(S464),1,"0000001",Holidays!A:A)+hour(S464+X$7-$B$1)/24+minute(S464)/1440),"")</f>
        <v>46228.55764</v>
      </c>
      <c r="Y464" s="104">
        <v>46227.71191618056</v>
      </c>
      <c r="Z464" s="105" t="s">
        <v>14</v>
      </c>
      <c r="AA464" s="111">
        <f t="shared" si="4"/>
        <v>0</v>
      </c>
      <c r="AB464" s="110" t="str">
        <f t="shared" si="5"/>
        <v>EMP0021 Tamanna Dewangan</v>
      </c>
      <c r="AC464" s="103">
        <f>if(X464,_xlfn.WORKDAY.INTL(X464,AC$7,"0000001",Holidays!A:A)+hour(X464)/24+MINUTE(X464)/1440,"")</f>
        <v>46230.55764</v>
      </c>
      <c r="AD464" s="104">
        <v>46227.71194393518</v>
      </c>
      <c r="AE464" s="105" t="s">
        <v>14</v>
      </c>
      <c r="AF464" s="111">
        <f t="shared" si="6"/>
        <v>0</v>
      </c>
      <c r="AG464" s="110" t="str">
        <f t="shared" si="7"/>
        <v>EMP0021 Tamanna Dewangan</v>
      </c>
      <c r="AH464" s="103">
        <f>if(AC464,if(and(hour(AC464+AH$7)&gt;9.5,(hour(AC464+AH$7)&lt;19.5)),AC464+AH$7,_xlfn.workday.intl(int(AC464),1,"0000001",Holidays!A:A)+hour(AC464+AH$7-$B$1)/24+minute(AC464)/1440),"")</f>
        <v>46230.59931</v>
      </c>
      <c r="AI464" s="104">
        <v>46227.71197266204</v>
      </c>
      <c r="AJ464" s="105" t="s">
        <v>14</v>
      </c>
      <c r="AK464" s="111">
        <f t="shared" si="8"/>
        <v>0</v>
      </c>
      <c r="AL464" s="112" t="str">
        <f t="shared" si="9"/>
        <v>EMP0021 Tamanna Dewangan</v>
      </c>
      <c r="AM464" s="113"/>
      <c r="AN464" s="114" t="s">
        <v>672</v>
      </c>
      <c r="AO464" s="115"/>
      <c r="AP464" s="115"/>
      <c r="AQ464" s="115"/>
      <c r="AR464" s="115"/>
      <c r="AS464" s="115"/>
      <c r="AT464" s="115"/>
      <c r="AU464" s="115"/>
      <c r="AV464" s="115"/>
      <c r="AW464" s="115"/>
      <c r="AX464" s="115"/>
      <c r="AY464" s="115"/>
    </row>
    <row r="465">
      <c r="A465" s="95">
        <f t="shared" si="11"/>
        <v>5416</v>
      </c>
      <c r="B465" s="96">
        <v>46227.69601540509</v>
      </c>
      <c r="C465" s="97" t="s">
        <v>1716</v>
      </c>
      <c r="D465" s="97" t="s">
        <v>207</v>
      </c>
      <c r="E465" s="98" t="s">
        <v>2344</v>
      </c>
      <c r="F465" s="97"/>
      <c r="G465" s="97" t="s">
        <v>354</v>
      </c>
      <c r="H465" s="99" t="s">
        <v>126</v>
      </c>
      <c r="I465" s="100" t="s">
        <v>64</v>
      </c>
      <c r="J465" s="101" t="s">
        <v>206</v>
      </c>
      <c r="K465" s="100"/>
      <c r="L465" s="102" t="s">
        <v>2345</v>
      </c>
      <c r="M465" s="103">
        <f>if(B465,if(and(hour(B465+M$7)&gt;9.5,(hour(B465+M$7)&lt;19.5)),B465+M$7,_xlfn.workday.intl(int(B465),1,"0000001",Holidays!A:A)+hour(B465+M$7-$B$1)/24+minute(B465)/1440),"")</f>
        <v>46228.44583</v>
      </c>
      <c r="N465" s="104">
        <v>46227.71222701389</v>
      </c>
      <c r="O465" s="105" t="s">
        <v>14</v>
      </c>
      <c r="P465" s="106">
        <f t="shared" si="1"/>
        <v>0</v>
      </c>
      <c r="Q465" s="107" t="s">
        <v>48</v>
      </c>
      <c r="R465" s="108" t="s">
        <v>434</v>
      </c>
      <c r="S465" s="103">
        <f>if(M465,if(and(hour(M465+S$7)&gt;9.5,(hour(M465+S$7)&lt;19.5)),M465+S$7,_xlfn.workday.intl(int(M465),1,"0000001",Holidays!A:A)+hour(M465+S$7-$B$1)/24+minute(M465)/1440),"")</f>
        <v>46228.45278</v>
      </c>
      <c r="T465" s="104">
        <v>46227.712485752316</v>
      </c>
      <c r="U465" s="105" t="s">
        <v>14</v>
      </c>
      <c r="V465" s="109">
        <f t="shared" si="2"/>
        <v>0</v>
      </c>
      <c r="W465" s="110" t="str">
        <f t="shared" si="3"/>
        <v>EMP0237 Swarnendu Chakraborty</v>
      </c>
      <c r="X465" s="103">
        <f>if(S465,if(and(hour(S465+X$7)&gt;9.5,(hour(S465+X$7)&lt;19.5)),S465+X$7,_xlfn.workday.intl(int(S465),1,"0000001",Holidays!A:A)+hour(S465+X$7-$B$1)/24+minute(S465)/1440),"")</f>
        <v>46228.55694</v>
      </c>
      <c r="Y465" s="104">
        <v>46228.36155908565</v>
      </c>
      <c r="Z465" s="105" t="s">
        <v>14</v>
      </c>
      <c r="AA465" s="111">
        <f t="shared" si="4"/>
        <v>0</v>
      </c>
      <c r="AB465" s="110" t="str">
        <f t="shared" si="5"/>
        <v>EMP0237 Swarnendu Chakraborty</v>
      </c>
      <c r="AC465" s="103">
        <f>if(X465,_xlfn.WORKDAY.INTL(X465,AC$7,"0000001",Holidays!A:A)+hour(X465)/24+MINUTE(X465)/1440,"")</f>
        <v>46230.55694</v>
      </c>
      <c r="AD465" s="104">
        <v>46228.36160153935</v>
      </c>
      <c r="AE465" s="105" t="s">
        <v>14</v>
      </c>
      <c r="AF465" s="111">
        <f t="shared" si="6"/>
        <v>0</v>
      </c>
      <c r="AG465" s="110" t="str">
        <f t="shared" si="7"/>
        <v>EMP0237 Swarnendu Chakraborty</v>
      </c>
      <c r="AH465" s="103">
        <f>if(AC465,if(and(hour(AC465+AH$7)&gt;9.5,(hour(AC465+AH$7)&lt;19.5)),AC465+AH$7,_xlfn.workday.intl(int(AC465),1,"0000001",Holidays!A:A)+hour(AC465+AH$7-$B$1)/24+minute(AC465)/1440),"")</f>
        <v>46230.59861</v>
      </c>
      <c r="AI465" s="104">
        <v>46228.36165859953</v>
      </c>
      <c r="AJ465" s="105" t="s">
        <v>14</v>
      </c>
      <c r="AK465" s="111">
        <f t="shared" si="8"/>
        <v>0</v>
      </c>
      <c r="AL465" s="112" t="str">
        <f t="shared" si="9"/>
        <v>EMP0237 Swarnendu Chakraborty</v>
      </c>
      <c r="AM465" s="113"/>
      <c r="AN465" s="114" t="s">
        <v>672</v>
      </c>
      <c r="AO465" s="115"/>
      <c r="AP465" s="115"/>
      <c r="AQ465" s="115"/>
      <c r="AR465" s="115"/>
      <c r="AS465" s="115"/>
      <c r="AT465" s="115"/>
      <c r="AU465" s="115"/>
      <c r="AV465" s="115"/>
      <c r="AW465" s="115"/>
      <c r="AX465" s="115"/>
      <c r="AY465" s="115"/>
    </row>
    <row r="466">
      <c r="A466" s="95">
        <f t="shared" si="11"/>
        <v>5417</v>
      </c>
      <c r="B466" s="96">
        <v>46227.70886747685</v>
      </c>
      <c r="C466" s="97" t="s">
        <v>407</v>
      </c>
      <c r="D466" s="97" t="s">
        <v>255</v>
      </c>
      <c r="E466" s="98" t="s">
        <v>2346</v>
      </c>
      <c r="F466" s="97"/>
      <c r="G466" s="97" t="s">
        <v>2347</v>
      </c>
      <c r="H466" s="99" t="s">
        <v>62</v>
      </c>
      <c r="I466" s="100" t="s">
        <v>64</v>
      </c>
      <c r="J466" s="101" t="s">
        <v>513</v>
      </c>
      <c r="K466" s="100"/>
      <c r="L466" s="102" t="s">
        <v>518</v>
      </c>
      <c r="M466" s="103">
        <f>if(B466,if(and(hour(B466+M$7)&gt;9.5,(hour(B466+M$7)&lt;19.5)),B466+M$7,_xlfn.workday.intl(int(B466),1,"0000001",Holidays!A:A)+hour(B466+M$7-$B$1)/24+minute(B466)/1440),"")</f>
        <v>46228.45833</v>
      </c>
      <c r="N466" s="104">
        <v>46227.712307696755</v>
      </c>
      <c r="O466" s="105" t="s">
        <v>14</v>
      </c>
      <c r="P466" s="106">
        <f t="shared" si="1"/>
        <v>0</v>
      </c>
      <c r="Q466" s="107" t="s">
        <v>72</v>
      </c>
      <c r="R466" s="108" t="s">
        <v>434</v>
      </c>
      <c r="S466" s="103">
        <f>if(M466,if(and(hour(M466+S$7)&gt;9.5,(hour(M466+S$7)&lt;19.5)),M466+S$7,_xlfn.workday.intl(int(M466),1,"0000001",Holidays!A:A)+hour(M466+S$7-$B$1)/24+minute(M466)/1440),"")</f>
        <v>46228.46528</v>
      </c>
      <c r="T466" s="104">
        <v>46227.71249907407</v>
      </c>
      <c r="U466" s="105" t="s">
        <v>14</v>
      </c>
      <c r="V466" s="109">
        <f t="shared" si="2"/>
        <v>0</v>
      </c>
      <c r="W466" s="110" t="str">
        <f t="shared" si="3"/>
        <v>EMP5009 Rup Kumar Mandal</v>
      </c>
      <c r="X466" s="103">
        <f>if(S466,if(and(hour(S466+X$7)&gt;9.5,(hour(S466+X$7)&lt;19.5)),S466+X$7,_xlfn.workday.intl(int(S466),1,"0000001",Holidays!A:A)+hour(S466+X$7-$B$1)/24+minute(S466)/1440),"")</f>
        <v>46228.56944</v>
      </c>
      <c r="Y466" s="104">
        <v>46227.71296266204</v>
      </c>
      <c r="Z466" s="105" t="s">
        <v>14</v>
      </c>
      <c r="AA466" s="111">
        <f t="shared" si="4"/>
        <v>0</v>
      </c>
      <c r="AB466" s="110" t="str">
        <f t="shared" si="5"/>
        <v>EMP5009 Rup Kumar Mandal</v>
      </c>
      <c r="AC466" s="103">
        <f>if(X466,_xlfn.WORKDAY.INTL(X466,AC$7,"0000001",Holidays!A:A)+hour(X466)/24+MINUTE(X466)/1440,"")</f>
        <v>46230.56944</v>
      </c>
      <c r="AD466" s="104">
        <v>46227.712996319446</v>
      </c>
      <c r="AE466" s="105" t="s">
        <v>14</v>
      </c>
      <c r="AF466" s="111">
        <f t="shared" si="6"/>
        <v>0</v>
      </c>
      <c r="AG466" s="110" t="str">
        <f t="shared" si="7"/>
        <v>EMP5009 Rup Kumar Mandal</v>
      </c>
      <c r="AH466" s="103">
        <f>if(AC466,if(and(hour(AC466+AH$7)&gt;9.5,(hour(AC466+AH$7)&lt;19.5)),AC466+AH$7,_xlfn.workday.intl(int(AC466),1,"0000001",Holidays!A:A)+hour(AC466+AH$7-$B$1)/24+minute(AC466)/1440),"")</f>
        <v>46230.61111</v>
      </c>
      <c r="AI466" s="104">
        <v>46228.36167384259</v>
      </c>
      <c r="AJ466" s="105" t="s">
        <v>14</v>
      </c>
      <c r="AK466" s="111">
        <f t="shared" si="8"/>
        <v>0</v>
      </c>
      <c r="AL466" s="112" t="str">
        <f t="shared" si="9"/>
        <v>EMP5009 Rup Kumar Mandal</v>
      </c>
      <c r="AM466" s="113"/>
      <c r="AN466" s="114" t="s">
        <v>672</v>
      </c>
      <c r="AO466" s="115"/>
      <c r="AP466" s="115"/>
      <c r="AQ466" s="115"/>
      <c r="AR466" s="115"/>
      <c r="AS466" s="115"/>
      <c r="AT466" s="115"/>
      <c r="AU466" s="115"/>
      <c r="AV466" s="115"/>
      <c r="AW466" s="115"/>
      <c r="AX466" s="115"/>
      <c r="AY466" s="115"/>
    </row>
    <row r="467">
      <c r="A467" s="95">
        <f t="shared" si="11"/>
        <v>5418</v>
      </c>
      <c r="B467" s="96">
        <v>46227.71033376157</v>
      </c>
      <c r="C467" s="97" t="s">
        <v>410</v>
      </c>
      <c r="D467" s="97" t="s">
        <v>255</v>
      </c>
      <c r="E467" s="98" t="s">
        <v>2348</v>
      </c>
      <c r="F467" s="97"/>
      <c r="G467" s="97" t="s">
        <v>2347</v>
      </c>
      <c r="H467" s="99" t="s">
        <v>62</v>
      </c>
      <c r="I467" s="100" t="s">
        <v>64</v>
      </c>
      <c r="J467" s="101" t="s">
        <v>513</v>
      </c>
      <c r="K467" s="100"/>
      <c r="L467" s="102" t="s">
        <v>518</v>
      </c>
      <c r="M467" s="103">
        <f>if(B467,if(and(hour(B467+M$7)&gt;9.5,(hour(B467+M$7)&lt;19.5)),B467+M$7,_xlfn.workday.intl(int(B467),1,"0000001",Holidays!A:A)+hour(B467+M$7-$B$1)/24+minute(B467)/1440),"")</f>
        <v>46228.45972</v>
      </c>
      <c r="N467" s="104">
        <v>46227.71236208333</v>
      </c>
      <c r="O467" s="105" t="s">
        <v>14</v>
      </c>
      <c r="P467" s="106">
        <f t="shared" si="1"/>
        <v>0</v>
      </c>
      <c r="Q467" s="107" t="s">
        <v>72</v>
      </c>
      <c r="R467" s="108" t="s">
        <v>434</v>
      </c>
      <c r="S467" s="103">
        <f>if(M467,if(and(hour(M467+S$7)&gt;9.5,(hour(M467+S$7)&lt;19.5)),M467+S$7,_xlfn.workday.intl(int(M467),1,"0000001",Holidays!A:A)+hour(M467+S$7-$B$1)/24+minute(M467)/1440),"")</f>
        <v>46228.46667</v>
      </c>
      <c r="T467" s="104">
        <v>46227.71251648148</v>
      </c>
      <c r="U467" s="105" t="s">
        <v>14</v>
      </c>
      <c r="V467" s="109">
        <f t="shared" si="2"/>
        <v>0</v>
      </c>
      <c r="W467" s="110" t="str">
        <f t="shared" si="3"/>
        <v>EMP5009 Rup Kumar Mandal</v>
      </c>
      <c r="X467" s="103">
        <f>if(S467,if(and(hour(S467+X$7)&gt;9.5,(hour(S467+X$7)&lt;19.5)),S467+X$7,_xlfn.workday.intl(int(S467),1,"0000001",Holidays!A:A)+hour(S467+X$7-$B$1)/24+minute(S467)/1440),"")</f>
        <v>46228.57083</v>
      </c>
      <c r="Y467" s="104">
        <v>46227.71297060185</v>
      </c>
      <c r="Z467" s="105" t="s">
        <v>14</v>
      </c>
      <c r="AA467" s="111">
        <f t="shared" si="4"/>
        <v>0</v>
      </c>
      <c r="AB467" s="110" t="str">
        <f t="shared" si="5"/>
        <v>EMP5009 Rup Kumar Mandal</v>
      </c>
      <c r="AC467" s="103">
        <f>if(X467,_xlfn.WORKDAY.INTL(X467,AC$7,"0000001",Holidays!A:A)+hour(X467)/24+MINUTE(X467)/1440,"")</f>
        <v>46230.57083</v>
      </c>
      <c r="AD467" s="104">
        <v>46227.7130155787</v>
      </c>
      <c r="AE467" s="105" t="s">
        <v>14</v>
      </c>
      <c r="AF467" s="111">
        <f t="shared" si="6"/>
        <v>0</v>
      </c>
      <c r="AG467" s="110" t="str">
        <f t="shared" si="7"/>
        <v>EMP5009 Rup Kumar Mandal</v>
      </c>
      <c r="AH467" s="103">
        <f>if(AC467,if(and(hour(AC467+AH$7)&gt;9.5,(hour(AC467+AH$7)&lt;19.5)),AC467+AH$7,_xlfn.workday.intl(int(AC467),1,"0000001",Holidays!A:A)+hour(AC467+AH$7-$B$1)/24+minute(AC467)/1440),"")</f>
        <v>46230.6125</v>
      </c>
      <c r="AI467" s="104">
        <v>46228.361695486106</v>
      </c>
      <c r="AJ467" s="105" t="s">
        <v>14</v>
      </c>
      <c r="AK467" s="111">
        <f t="shared" si="8"/>
        <v>0</v>
      </c>
      <c r="AL467" s="112" t="str">
        <f t="shared" si="9"/>
        <v>EMP5009 Rup Kumar Mandal</v>
      </c>
      <c r="AM467" s="113"/>
      <c r="AN467" s="114" t="s">
        <v>672</v>
      </c>
      <c r="AO467" s="115"/>
      <c r="AP467" s="115"/>
      <c r="AQ467" s="115"/>
      <c r="AR467" s="115"/>
      <c r="AS467" s="115"/>
      <c r="AT467" s="115"/>
      <c r="AU467" s="115"/>
      <c r="AV467" s="115"/>
      <c r="AW467" s="115"/>
      <c r="AX467" s="115"/>
      <c r="AY467" s="115"/>
    </row>
    <row r="468">
      <c r="A468" s="95">
        <f t="shared" si="11"/>
        <v>5419</v>
      </c>
      <c r="B468" s="96">
        <v>46228.43532579861</v>
      </c>
      <c r="C468" s="97" t="s">
        <v>660</v>
      </c>
      <c r="D468" s="97" t="s">
        <v>186</v>
      </c>
      <c r="E468" s="98" t="s">
        <v>2349</v>
      </c>
      <c r="F468" s="97"/>
      <c r="G468" s="97" t="s">
        <v>2350</v>
      </c>
      <c r="H468" s="99" t="s">
        <v>126</v>
      </c>
      <c r="I468" s="100" t="s">
        <v>64</v>
      </c>
      <c r="J468" s="101" t="s">
        <v>303</v>
      </c>
      <c r="K468" s="100"/>
      <c r="L468" s="102" t="s">
        <v>2351</v>
      </c>
      <c r="M468" s="103">
        <f>if(B468,if(and(hour(B468+M$7)&gt;9.5,(hour(B468+M$7)&lt;19.5)),B468+M$7,_xlfn.workday.intl(int(B468),1,"0000001",Holidays!A:A)+hour(B468+M$7-$B$1)/24+minute(B468)/1440),"")</f>
        <v>46228.60199</v>
      </c>
      <c r="N468" s="104">
        <v>46228.47199310185</v>
      </c>
      <c r="O468" s="105" t="s">
        <v>14</v>
      </c>
      <c r="P468" s="106">
        <f t="shared" si="1"/>
        <v>0</v>
      </c>
      <c r="Q468" s="107" t="s">
        <v>61</v>
      </c>
      <c r="R468" s="108" t="s">
        <v>434</v>
      </c>
      <c r="S468" s="103">
        <f>if(M468,if(and(hour(M468+S$7)&gt;9.5,(hour(M468+S$7)&lt;19.5)),M468+S$7,_xlfn.workday.intl(int(M468),1,"0000001",Holidays!A:A)+hour(M468+S$7-$B$1)/24+minute(M468)/1440),"")</f>
        <v>46228.60894</v>
      </c>
      <c r="T468" s="104">
        <v>46228.47207765046</v>
      </c>
      <c r="U468" s="105" t="s">
        <v>14</v>
      </c>
      <c r="V468" s="109">
        <f t="shared" si="2"/>
        <v>0</v>
      </c>
      <c r="W468" s="110" t="str">
        <f t="shared" si="3"/>
        <v>EMP0021 Tamanna Dewangan</v>
      </c>
      <c r="X468" s="103">
        <f>if(S468,if(and(hour(S468+X$7)&gt;9.5,(hour(S468+X$7)&lt;19.5)),S468+X$7,_xlfn.workday.intl(int(S468),1,"0000001",Holidays!A:A)+hour(S468+X$7-$B$1)/24+minute(S468)/1440),"")</f>
        <v>46228.7131</v>
      </c>
      <c r="Y468" s="104">
        <v>46228.528380891206</v>
      </c>
      <c r="Z468" s="105" t="s">
        <v>14</v>
      </c>
      <c r="AA468" s="111">
        <f t="shared" si="4"/>
        <v>0</v>
      </c>
      <c r="AB468" s="110" t="str">
        <f t="shared" si="5"/>
        <v>EMP0021 Tamanna Dewangan</v>
      </c>
      <c r="AC468" s="103">
        <f>if(X468,_xlfn.WORKDAY.INTL(X468,AC$7,"0000001",Holidays!A:A)+hour(X468)/24+MINUTE(X468)/1440,"")</f>
        <v>46230.7125</v>
      </c>
      <c r="AD468" s="104">
        <v>46228.61702355324</v>
      </c>
      <c r="AE468" s="105" t="s">
        <v>14</v>
      </c>
      <c r="AF468" s="111">
        <f t="shared" si="6"/>
        <v>0</v>
      </c>
      <c r="AG468" s="110" t="str">
        <f t="shared" si="7"/>
        <v>EMP0021 Tamanna Dewangan</v>
      </c>
      <c r="AH468" s="103">
        <f>if(AC468,if(and(hour(AC468+AH$7)&gt;9.5,(hour(AC468+AH$7)&lt;19.5)),AC468+AH$7,_xlfn.workday.intl(int(AC468),1,"0000001",Holidays!A:A)+hour(AC468+AH$7-$B$1)/24+minute(AC468)/1440),"")</f>
        <v>46230.75417</v>
      </c>
      <c r="AI468" s="104">
        <v>46228.61716541667</v>
      </c>
      <c r="AJ468" s="105" t="s">
        <v>14</v>
      </c>
      <c r="AK468" s="111">
        <f t="shared" si="8"/>
        <v>0</v>
      </c>
      <c r="AL468" s="112" t="str">
        <f t="shared" si="9"/>
        <v>EMP0021 Tamanna Dewangan</v>
      </c>
      <c r="AM468" s="113"/>
      <c r="AN468" s="114" t="s">
        <v>672</v>
      </c>
      <c r="AO468" s="115"/>
      <c r="AP468" s="115"/>
      <c r="AQ468" s="115"/>
      <c r="AR468" s="115"/>
      <c r="AS468" s="115"/>
      <c r="AT468" s="115"/>
      <c r="AU468" s="115"/>
      <c r="AV468" s="115"/>
      <c r="AW468" s="115"/>
      <c r="AX468" s="115"/>
      <c r="AY468" s="115"/>
    </row>
    <row r="469">
      <c r="A469" s="95">
        <f t="shared" si="11"/>
        <v>5420</v>
      </c>
      <c r="B469" s="96">
        <v>46228.442210312496</v>
      </c>
      <c r="C469" s="97" t="s">
        <v>249</v>
      </c>
      <c r="D469" s="97" t="s">
        <v>186</v>
      </c>
      <c r="E469" s="98" t="s">
        <v>2352</v>
      </c>
      <c r="F469" s="97"/>
      <c r="G469" s="97" t="s">
        <v>2353</v>
      </c>
      <c r="H469" s="99" t="s">
        <v>62</v>
      </c>
      <c r="I469" s="100" t="s">
        <v>64</v>
      </c>
      <c r="J469" s="101" t="s">
        <v>303</v>
      </c>
      <c r="K469" s="100"/>
      <c r="L469" s="102" t="s">
        <v>2354</v>
      </c>
      <c r="M469" s="103">
        <f>if(B469,if(and(hour(B469+M$7)&gt;9.5,(hour(B469+M$7)&lt;19.5)),B469+M$7,_xlfn.workday.intl(int(B469),1,"0000001",Holidays!A:A)+hour(B469+M$7-$B$1)/24+minute(B469)/1440),"")</f>
        <v>46228.60888</v>
      </c>
      <c r="N469" s="104">
        <v>46228.472176689815</v>
      </c>
      <c r="O469" s="105" t="s">
        <v>14</v>
      </c>
      <c r="P469" s="106">
        <f t="shared" si="1"/>
        <v>0</v>
      </c>
      <c r="Q469" s="107" t="s">
        <v>15</v>
      </c>
      <c r="R469" s="108" t="s">
        <v>434</v>
      </c>
      <c r="S469" s="103">
        <f>if(M469,if(and(hour(M469+S$7)&gt;9.5,(hour(M469+S$7)&lt;19.5)),M469+S$7,_xlfn.workday.intl(int(M469),1,"0000001",Holidays!A:A)+hour(M469+S$7-$B$1)/24+minute(M469)/1440),"")</f>
        <v>46228.61582</v>
      </c>
      <c r="T469" s="104">
        <v>46228.4723046875</v>
      </c>
      <c r="U469" s="105" t="s">
        <v>14</v>
      </c>
      <c r="V469" s="109">
        <f t="shared" si="2"/>
        <v>0</v>
      </c>
      <c r="W469" s="110" t="str">
        <f t="shared" si="3"/>
        <v>EMP0042 HULESHWAR KUMAR SAHU</v>
      </c>
      <c r="X469" s="103">
        <f>if(S469,if(and(hour(S469+X$7)&gt;9.5,(hour(S469+X$7)&lt;19.5)),S469+X$7,_xlfn.workday.intl(int(S469),1,"0000001",Holidays!A:A)+hour(S469+X$7-$B$1)/24+minute(S469)/1440),"")</f>
        <v>46228.71999</v>
      </c>
      <c r="Y469" s="104">
        <v>46228.52839474537</v>
      </c>
      <c r="Z469" s="105" t="s">
        <v>14</v>
      </c>
      <c r="AA469" s="111">
        <f t="shared" si="4"/>
        <v>0</v>
      </c>
      <c r="AB469" s="110" t="str">
        <f t="shared" si="5"/>
        <v>EMP0042 HULESHWAR KUMAR SAHU</v>
      </c>
      <c r="AC469" s="103">
        <f>if(X469,_xlfn.WORKDAY.INTL(X469,AC$7,"0000001",Holidays!A:A)+hour(X469)/24+MINUTE(X469)/1440,"")</f>
        <v>46230.71944</v>
      </c>
      <c r="AD469" s="104">
        <v>46228.61710041667</v>
      </c>
      <c r="AE469" s="105" t="s">
        <v>14</v>
      </c>
      <c r="AF469" s="111">
        <f t="shared" si="6"/>
        <v>0</v>
      </c>
      <c r="AG469" s="110" t="str">
        <f t="shared" si="7"/>
        <v>EMP0042 HULESHWAR KUMAR SAHU</v>
      </c>
      <c r="AH469" s="103">
        <f>if(AC469,if(and(hour(AC469+AH$7)&gt;9.5,(hour(AC469+AH$7)&lt;19.5)),AC469+AH$7,_xlfn.workday.intl(int(AC469),1,"0000001",Holidays!A:A)+hour(AC469+AH$7-$B$1)/24+minute(AC469)/1440),"")</f>
        <v>46230.76111</v>
      </c>
      <c r="AI469" s="104">
        <v>46228.617181967595</v>
      </c>
      <c r="AJ469" s="105" t="s">
        <v>14</v>
      </c>
      <c r="AK469" s="111">
        <f t="shared" si="8"/>
        <v>0</v>
      </c>
      <c r="AL469" s="112" t="str">
        <f t="shared" si="9"/>
        <v>EMP0042 HULESHWAR KUMAR SAHU</v>
      </c>
      <c r="AM469" s="113"/>
      <c r="AN469" s="114" t="s">
        <v>672</v>
      </c>
      <c r="AO469" s="115"/>
      <c r="AP469" s="115"/>
      <c r="AQ469" s="115"/>
      <c r="AR469" s="115"/>
      <c r="AS469" s="115"/>
      <c r="AT469" s="115"/>
      <c r="AU469" s="115"/>
      <c r="AV469" s="115"/>
      <c r="AW469" s="115"/>
      <c r="AX469" s="115"/>
      <c r="AY469" s="115"/>
    </row>
    <row r="470">
      <c r="A470" s="95">
        <f t="shared" si="11"/>
        <v>5421</v>
      </c>
      <c r="B470" s="96">
        <v>46228.44357984954</v>
      </c>
      <c r="C470" s="97" t="s">
        <v>1147</v>
      </c>
      <c r="D470" s="97" t="s">
        <v>186</v>
      </c>
      <c r="E470" s="98" t="s">
        <v>2355</v>
      </c>
      <c r="F470" s="97"/>
      <c r="G470" s="97" t="s">
        <v>2356</v>
      </c>
      <c r="H470" s="99" t="s">
        <v>62</v>
      </c>
      <c r="I470" s="100" t="s">
        <v>64</v>
      </c>
      <c r="J470" s="101" t="s">
        <v>303</v>
      </c>
      <c r="K470" s="100"/>
      <c r="L470" s="102" t="s">
        <v>2357</v>
      </c>
      <c r="M470" s="103">
        <f>if(B470,if(and(hour(B470+M$7)&gt;9.5,(hour(B470+M$7)&lt;19.5)),B470+M$7,_xlfn.workday.intl(int(B470),1,"0000001",Holidays!A:A)+hour(B470+M$7-$B$1)/24+minute(B470)/1440),"")</f>
        <v>46228.61025</v>
      </c>
      <c r="N470" s="104">
        <v>46228.472368055554</v>
      </c>
      <c r="O470" s="105" t="s">
        <v>14</v>
      </c>
      <c r="P470" s="106">
        <f t="shared" si="1"/>
        <v>0</v>
      </c>
      <c r="Q470" s="107" t="s">
        <v>15</v>
      </c>
      <c r="R470" s="108" t="s">
        <v>434</v>
      </c>
      <c r="S470" s="103">
        <f>if(M470,if(and(hour(M470+S$7)&gt;9.5,(hour(M470+S$7)&lt;19.5)),M470+S$7,_xlfn.workday.intl(int(M470),1,"0000001",Holidays!A:A)+hour(M470+S$7-$B$1)/24+minute(M470)/1440),"")</f>
        <v>46228.61719</v>
      </c>
      <c r="T470" s="104">
        <v>46228.47247482639</v>
      </c>
      <c r="U470" s="105" t="s">
        <v>14</v>
      </c>
      <c r="V470" s="109">
        <f t="shared" si="2"/>
        <v>0</v>
      </c>
      <c r="W470" s="110" t="str">
        <f t="shared" si="3"/>
        <v>EMP0042 HULESHWAR KUMAR SAHU</v>
      </c>
      <c r="X470" s="103">
        <f>if(S470,if(and(hour(S470+X$7)&gt;9.5,(hour(S470+X$7)&lt;19.5)),S470+X$7,_xlfn.workday.intl(int(S470),1,"0000001",Holidays!A:A)+hour(S470+X$7-$B$1)/24+minute(S470)/1440),"")</f>
        <v>46228.72136</v>
      </c>
      <c r="Y470" s="104">
        <v>46228.528410405095</v>
      </c>
      <c r="Z470" s="105" t="s">
        <v>14</v>
      </c>
      <c r="AA470" s="111">
        <f t="shared" si="4"/>
        <v>0</v>
      </c>
      <c r="AB470" s="110" t="str">
        <f t="shared" si="5"/>
        <v>EMP0042 HULESHWAR KUMAR SAHU</v>
      </c>
      <c r="AC470" s="103">
        <f>if(X470,_xlfn.WORKDAY.INTL(X470,AC$7,"0000001",Holidays!A:A)+hour(X470)/24+MINUTE(X470)/1440,"")</f>
        <v>46230.72083</v>
      </c>
      <c r="AD470" s="104">
        <v>46228.61713126158</v>
      </c>
      <c r="AE470" s="105" t="s">
        <v>14</v>
      </c>
      <c r="AF470" s="111">
        <f t="shared" si="6"/>
        <v>0</v>
      </c>
      <c r="AG470" s="110" t="str">
        <f t="shared" si="7"/>
        <v>EMP0042 HULESHWAR KUMAR SAHU</v>
      </c>
      <c r="AH470" s="103">
        <f>if(AC470,if(and(hour(AC470+AH$7)&gt;9.5,(hour(AC470+AH$7)&lt;19.5)),AC470+AH$7,_xlfn.workday.intl(int(AC470),1,"0000001",Holidays!A:A)+hour(AC470+AH$7-$B$1)/24+minute(AC470)/1440),"")</f>
        <v>46230.7625</v>
      </c>
      <c r="AI470" s="104">
        <v>46228.617201898145</v>
      </c>
      <c r="AJ470" s="105" t="s">
        <v>14</v>
      </c>
      <c r="AK470" s="111">
        <f t="shared" si="8"/>
        <v>0</v>
      </c>
      <c r="AL470" s="112" t="str">
        <f t="shared" si="9"/>
        <v>EMP0042 HULESHWAR KUMAR SAHU</v>
      </c>
      <c r="AM470" s="113"/>
      <c r="AN470" s="114" t="s">
        <v>672</v>
      </c>
      <c r="AO470" s="115"/>
      <c r="AP470" s="115"/>
      <c r="AQ470" s="115"/>
      <c r="AR470" s="115"/>
      <c r="AS470" s="115"/>
      <c r="AT470" s="115"/>
      <c r="AU470" s="115"/>
      <c r="AV470" s="115"/>
      <c r="AW470" s="115"/>
      <c r="AX470" s="115"/>
      <c r="AY470" s="115"/>
    </row>
    <row r="471">
      <c r="A471" s="95">
        <f t="shared" si="11"/>
        <v>5422</v>
      </c>
      <c r="B471" s="96">
        <v>46228.631272569444</v>
      </c>
      <c r="C471" s="97" t="s">
        <v>1900</v>
      </c>
      <c r="D471" s="97" t="s">
        <v>142</v>
      </c>
      <c r="E471" s="98" t="s">
        <v>2358</v>
      </c>
      <c r="F471" s="97"/>
      <c r="G471" s="97" t="s">
        <v>146</v>
      </c>
      <c r="H471" s="99" t="s">
        <v>147</v>
      </c>
      <c r="I471" s="100" t="s">
        <v>64</v>
      </c>
      <c r="J471" s="101" t="s">
        <v>141</v>
      </c>
      <c r="K471" s="100"/>
      <c r="L471" s="102" t="s">
        <v>2359</v>
      </c>
      <c r="M471" s="103">
        <f>if(B471,if(and(hour(B471+M$7)&gt;9.5,(hour(B471+M$7)&lt;19.5)),B471+M$7,_xlfn.workday.intl(int(B471),1,"0000001",Holidays!A:A)+hour(B471+M$7-$B$1)/24+minute(B471)/1440),"")</f>
        <v>46228.79794</v>
      </c>
      <c r="N471" s="104">
        <v>46228.66735394676</v>
      </c>
      <c r="O471" s="105" t="s">
        <v>14</v>
      </c>
      <c r="P471" s="106">
        <f t="shared" si="1"/>
        <v>0</v>
      </c>
      <c r="Q471" s="107" t="s">
        <v>15</v>
      </c>
      <c r="R471" s="108" t="s">
        <v>434</v>
      </c>
      <c r="S471" s="103">
        <f>if(M471,if(and(hour(M471+S$7)&gt;9.5,(hour(M471+S$7)&lt;19.5)),M471+S$7,_xlfn.workday.intl(int(M471),1,"0000001",Holidays!A:A)+hour(M471+S$7-$B$1)/24+minute(M471)/1440),"")</f>
        <v>46228.80488</v>
      </c>
      <c r="T471" s="104">
        <v>46228.66743972222</v>
      </c>
      <c r="U471" s="105" t="s">
        <v>14</v>
      </c>
      <c r="V471" s="109">
        <f t="shared" si="2"/>
        <v>0</v>
      </c>
      <c r="W471" s="110" t="str">
        <f t="shared" si="3"/>
        <v>EMP0042 HULESHWAR KUMAR SAHU</v>
      </c>
      <c r="X471" s="103">
        <f>if(S471,if(and(hour(S471+X$7)&gt;9.5,(hour(S471+X$7)&lt;19.5)),S471+X$7,_xlfn.workday.intl(int(S471),1,"0000001",Holidays!A:A)+hour(S471+X$7-$B$1)/24+minute(S471)/1440),"")</f>
        <v>46230.47153</v>
      </c>
      <c r="Y471" s="104">
        <v>46228.667477650466</v>
      </c>
      <c r="Z471" s="105" t="s">
        <v>14</v>
      </c>
      <c r="AA471" s="111">
        <f t="shared" si="4"/>
        <v>0</v>
      </c>
      <c r="AB471" s="110" t="str">
        <f t="shared" si="5"/>
        <v>EMP0042 HULESHWAR KUMAR SAHU</v>
      </c>
      <c r="AC471" s="103">
        <f>if(X471,_xlfn.WORKDAY.INTL(X471,AC$7,"0000001",Holidays!A:A)+hour(X471)/24+MINUTE(X471)/1440,"")</f>
        <v>46231.47153</v>
      </c>
      <c r="AD471" s="104">
        <v>46228.66754513889</v>
      </c>
      <c r="AE471" s="105" t="s">
        <v>14</v>
      </c>
      <c r="AF471" s="111">
        <f t="shared" si="6"/>
        <v>0</v>
      </c>
      <c r="AG471" s="110" t="str">
        <f t="shared" si="7"/>
        <v>EMP0042 HULESHWAR KUMAR SAHU</v>
      </c>
      <c r="AH471" s="103">
        <f>if(AC471,if(and(hour(AC471+AH$7)&gt;9.5,(hour(AC471+AH$7)&lt;19.5)),AC471+AH$7,_xlfn.workday.intl(int(AC471),1,"0000001",Holidays!A:A)+hour(AC471+AH$7-$B$1)/24+minute(AC471)/1440),"")</f>
        <v>46231.51319</v>
      </c>
      <c r="AI471" s="104">
        <v>46228.66758155092</v>
      </c>
      <c r="AJ471" s="105" t="s">
        <v>14</v>
      </c>
      <c r="AK471" s="111">
        <f t="shared" si="8"/>
        <v>0</v>
      </c>
      <c r="AL471" s="112" t="str">
        <f t="shared" si="9"/>
        <v>EMP0042 HULESHWAR KUMAR SAHU</v>
      </c>
      <c r="AM471" s="113"/>
      <c r="AN471" s="114" t="s">
        <v>672</v>
      </c>
      <c r="AO471" s="115"/>
      <c r="AP471" s="115"/>
      <c r="AQ471" s="115"/>
      <c r="AR471" s="115"/>
      <c r="AS471" s="115"/>
      <c r="AT471" s="115"/>
      <c r="AU471" s="115"/>
      <c r="AV471" s="115"/>
      <c r="AW471" s="115"/>
      <c r="AX471" s="115"/>
      <c r="AY471" s="115"/>
    </row>
    <row r="472">
      <c r="A472" s="95">
        <f t="shared" si="11"/>
        <v>5423</v>
      </c>
      <c r="B472" s="96">
        <v>46230.42657490741</v>
      </c>
      <c r="C472" s="97" t="s">
        <v>1590</v>
      </c>
      <c r="D472" s="97" t="s">
        <v>186</v>
      </c>
      <c r="E472" s="98" t="s">
        <v>2360</v>
      </c>
      <c r="F472" s="97"/>
      <c r="G472" s="97" t="s">
        <v>2361</v>
      </c>
      <c r="H472" s="99" t="s">
        <v>126</v>
      </c>
      <c r="I472" s="100" t="s">
        <v>64</v>
      </c>
      <c r="J472" s="101" t="s">
        <v>303</v>
      </c>
      <c r="K472" s="100"/>
      <c r="L472" s="102" t="s">
        <v>2362</v>
      </c>
      <c r="M472" s="103">
        <f>if(B472,if(and(hour(B472+M$7)&gt;9.5,(hour(B472+M$7)&lt;19.5)),B472+M$7,_xlfn.workday.intl(int(B472),1,"0000001",Holidays!A:A)+hour(B472+M$7-$B$1)/24+minute(B472)/1440),"")</f>
        <v>46230.59324</v>
      </c>
      <c r="N472" s="104">
        <v>46230.435517164355</v>
      </c>
      <c r="O472" s="105" t="s">
        <v>14</v>
      </c>
      <c r="P472" s="106">
        <f t="shared" si="1"/>
        <v>0</v>
      </c>
      <c r="Q472" s="107" t="s">
        <v>15</v>
      </c>
      <c r="R472" s="108" t="s">
        <v>434</v>
      </c>
      <c r="S472" s="103">
        <f>if(M472,if(and(hour(M472+S$7)&gt;9.5,(hour(M472+S$7)&lt;19.5)),M472+S$7,_xlfn.workday.intl(int(M472),1,"0000001",Holidays!A:A)+hour(M472+S$7-$B$1)/24+minute(M472)/1440),"")</f>
        <v>46230.60019</v>
      </c>
      <c r="T472" s="104">
        <v>46230.43558290509</v>
      </c>
      <c r="U472" s="105" t="s">
        <v>14</v>
      </c>
      <c r="V472" s="109">
        <f t="shared" si="2"/>
        <v>0</v>
      </c>
      <c r="W472" s="110" t="str">
        <f t="shared" si="3"/>
        <v>EMP0042 HULESHWAR KUMAR SAHU</v>
      </c>
      <c r="X472" s="103">
        <f>if(S472,if(and(hour(S472+X$7)&gt;9.5,(hour(S472+X$7)&lt;19.5)),S472+X$7,_xlfn.workday.intl(int(S472),1,"0000001",Holidays!A:A)+hour(S472+X$7-$B$1)/24+minute(S472)/1440),"")</f>
        <v>46230.70435</v>
      </c>
      <c r="Y472" s="104">
        <v>46230.43561194444</v>
      </c>
      <c r="Z472" s="105" t="s">
        <v>14</v>
      </c>
      <c r="AA472" s="111">
        <f t="shared" si="4"/>
        <v>0</v>
      </c>
      <c r="AB472" s="110" t="str">
        <f t="shared" si="5"/>
        <v>EMP0042 HULESHWAR KUMAR SAHU</v>
      </c>
      <c r="AC472" s="103">
        <f>if(X472,_xlfn.WORKDAY.INTL(X472,AC$7,"0000001",Holidays!A:A)+hour(X472)/24+MINUTE(X472)/1440,"")</f>
        <v>46231.70417</v>
      </c>
      <c r="AD472" s="104">
        <v>46230.69839038195</v>
      </c>
      <c r="AE472" s="105" t="s">
        <v>14</v>
      </c>
      <c r="AF472" s="111">
        <f t="shared" si="6"/>
        <v>0</v>
      </c>
      <c r="AG472" s="110" t="str">
        <f t="shared" si="7"/>
        <v>EMP0042 HULESHWAR KUMAR SAHU</v>
      </c>
      <c r="AH472" s="103">
        <f>if(AC472,if(and(hour(AC472+AH$7)&gt;9.5,(hour(AC472+AH$7)&lt;19.5)),AC472+AH$7,_xlfn.workday.intl(int(AC472),1,"0000001",Holidays!A:A)+hour(AC472+AH$7-$B$1)/24+minute(AC472)/1440),"")</f>
        <v>46231.74583</v>
      </c>
      <c r="AI472" s="104">
        <v>46230.698483796295</v>
      </c>
      <c r="AJ472" s="105" t="s">
        <v>14</v>
      </c>
      <c r="AK472" s="111">
        <f t="shared" si="8"/>
        <v>0</v>
      </c>
      <c r="AL472" s="112" t="str">
        <f t="shared" si="9"/>
        <v>EMP0042 HULESHWAR KUMAR SAHU</v>
      </c>
      <c r="AM472" s="113"/>
      <c r="AN472" s="114" t="s">
        <v>672</v>
      </c>
      <c r="AO472" s="115"/>
      <c r="AP472" s="115"/>
      <c r="AQ472" s="115"/>
      <c r="AR472" s="115"/>
      <c r="AS472" s="115"/>
      <c r="AT472" s="115"/>
      <c r="AU472" s="115"/>
      <c r="AV472" s="115"/>
      <c r="AW472" s="115"/>
      <c r="AX472" s="115"/>
      <c r="AY472" s="115"/>
    </row>
    <row r="473">
      <c r="A473" s="95">
        <f t="shared" si="11"/>
        <v>5424</v>
      </c>
      <c r="B473" s="96">
        <v>46230.50820423611</v>
      </c>
      <c r="C473" s="97" t="s">
        <v>355</v>
      </c>
      <c r="D473" s="97" t="s">
        <v>122</v>
      </c>
      <c r="E473" s="98" t="s">
        <v>2363</v>
      </c>
      <c r="F473" s="98" t="s">
        <v>2365</v>
      </c>
      <c r="G473" s="97" t="s">
        <v>2364</v>
      </c>
      <c r="H473" s="99" t="s">
        <v>103</v>
      </c>
      <c r="I473" s="100" t="s">
        <v>64</v>
      </c>
      <c r="J473" s="101" t="s">
        <v>198</v>
      </c>
      <c r="K473" s="100"/>
      <c r="L473" s="102" t="s">
        <v>2364</v>
      </c>
      <c r="M473" s="103">
        <f>if(B473,if(and(hour(B473+M$7)&gt;9.5,(hour(B473+M$7)&lt;19.5)),B473+M$7,_xlfn.workday.intl(int(B473),1,"0000001",Holidays!A:A)+hour(B473+M$7-$B$1)/24+minute(B473)/1440),"")</f>
        <v>46230.67487</v>
      </c>
      <c r="N473" s="104">
        <v>46230.64294346065</v>
      </c>
      <c r="O473" s="105" t="s">
        <v>14</v>
      </c>
      <c r="P473" s="106">
        <f t="shared" si="1"/>
        <v>0</v>
      </c>
      <c r="Q473" s="107" t="s">
        <v>15</v>
      </c>
      <c r="R473" s="108" t="s">
        <v>434</v>
      </c>
      <c r="S473" s="103">
        <f>if(M473,if(and(hour(M473+S$7)&gt;9.5,(hour(M473+S$7)&lt;19.5)),M473+S$7,_xlfn.workday.intl(int(M473),1,"0000001",Holidays!A:A)+hour(M473+S$7-$B$1)/24+minute(M473)/1440),"")</f>
        <v>46230.68182</v>
      </c>
      <c r="T473" s="104">
        <v>46230.64302391204</v>
      </c>
      <c r="U473" s="105" t="s">
        <v>14</v>
      </c>
      <c r="V473" s="109">
        <f t="shared" si="2"/>
        <v>0</v>
      </c>
      <c r="W473" s="110" t="str">
        <f t="shared" si="3"/>
        <v>EMP0042 HULESHWAR KUMAR SAHU</v>
      </c>
      <c r="X473" s="103">
        <f>if(S473,if(and(hour(S473+X$7)&gt;9.5,(hour(S473+X$7)&lt;19.5)),S473+X$7,_xlfn.workday.intl(int(S473),1,"0000001",Holidays!A:A)+hour(S473+X$7-$B$1)/24+minute(S473)/1440),"")</f>
        <v>46230.78598</v>
      </c>
      <c r="Y473" s="104">
        <v>46230.69921957176</v>
      </c>
      <c r="Z473" s="105" t="s">
        <v>14</v>
      </c>
      <c r="AA473" s="111">
        <f t="shared" si="4"/>
        <v>0</v>
      </c>
      <c r="AB473" s="110" t="str">
        <f t="shared" si="5"/>
        <v>EMP0042 HULESHWAR KUMAR SAHU</v>
      </c>
      <c r="AC473" s="103">
        <f>if(X473,_xlfn.WORKDAY.INTL(X473,AC$7,"0000001",Holidays!A:A)+hour(X473)/24+MINUTE(X473)/1440,"")</f>
        <v>46231.78542</v>
      </c>
      <c r="AD473" s="104">
        <v>46230.699283124995</v>
      </c>
      <c r="AE473" s="105" t="s">
        <v>14</v>
      </c>
      <c r="AF473" s="111">
        <f t="shared" si="6"/>
        <v>0</v>
      </c>
      <c r="AG473" s="110" t="str">
        <f t="shared" si="7"/>
        <v>EMP0042 HULESHWAR KUMAR SAHU</v>
      </c>
      <c r="AH473" s="103">
        <f>if(AC473,if(and(hour(AC473+AH$7)&gt;9.5,(hour(AC473+AH$7)&lt;19.5)),AC473+AH$7,_xlfn.workday.intl(int(AC473),1,"0000001",Holidays!A:A)+hour(AC473+AH$7-$B$1)/24+minute(AC473)/1440),"")</f>
        <v>46231.82708</v>
      </c>
      <c r="AI473" s="104">
        <v>46230.69933138889</v>
      </c>
      <c r="AJ473" s="105" t="s">
        <v>14</v>
      </c>
      <c r="AK473" s="111">
        <f t="shared" si="8"/>
        <v>0</v>
      </c>
      <c r="AL473" s="112" t="str">
        <f t="shared" si="9"/>
        <v>EMP0042 HULESHWAR KUMAR SAHU</v>
      </c>
      <c r="AM473" s="113"/>
      <c r="AN473" s="114" t="s">
        <v>672</v>
      </c>
      <c r="AO473" s="115"/>
      <c r="AP473" s="115"/>
      <c r="AQ473" s="115"/>
      <c r="AR473" s="115"/>
      <c r="AS473" s="115"/>
      <c r="AT473" s="115"/>
      <c r="AU473" s="115"/>
      <c r="AV473" s="115"/>
      <c r="AW473" s="115"/>
      <c r="AX473" s="115"/>
      <c r="AY473" s="115"/>
    </row>
    <row r="474">
      <c r="A474" s="95">
        <f t="shared" si="11"/>
        <v>5425</v>
      </c>
      <c r="B474" s="96">
        <v>46230.6784659838</v>
      </c>
      <c r="C474" s="97" t="s">
        <v>1918</v>
      </c>
      <c r="D474" s="97" t="s">
        <v>1580</v>
      </c>
      <c r="E474" s="98" t="s">
        <v>2366</v>
      </c>
      <c r="F474" s="97"/>
      <c r="G474" s="97" t="s">
        <v>166</v>
      </c>
      <c r="H474" s="99" t="s">
        <v>1144</v>
      </c>
      <c r="I474" s="100" t="s">
        <v>64</v>
      </c>
      <c r="J474" s="101" t="s">
        <v>1579</v>
      </c>
      <c r="K474" s="100"/>
      <c r="L474" s="102" t="s">
        <v>2367</v>
      </c>
      <c r="M474" s="103">
        <f>if(B474,if(and(hour(B474+M$7)&gt;9.5,(hour(B474+M$7)&lt;19.5)),B474+M$7,_xlfn.workday.intl(int(B474),1,"0000001",Holidays!A:A)+hour(B474+M$7-$B$1)/24+minute(B474)/1440),"")</f>
        <v>46231.42778</v>
      </c>
      <c r="N474" s="104">
        <v>46230.68994548611</v>
      </c>
      <c r="O474" s="105" t="s">
        <v>14</v>
      </c>
      <c r="P474" s="106">
        <f t="shared" si="1"/>
        <v>0</v>
      </c>
      <c r="Q474" s="107" t="s">
        <v>15</v>
      </c>
      <c r="R474" s="108" t="s">
        <v>434</v>
      </c>
      <c r="S474" s="103">
        <f>if(M474,if(and(hour(M474+S$7)&gt;9.5,(hour(M474+S$7)&lt;19.5)),M474+S$7,_xlfn.workday.intl(int(M474),1,"0000001",Holidays!A:A)+hour(M474+S$7-$B$1)/24+minute(M474)/1440),"")</f>
        <v>46231.43472</v>
      </c>
      <c r="T474" s="104">
        <v>46230.69003621528</v>
      </c>
      <c r="U474" s="105" t="s">
        <v>14</v>
      </c>
      <c r="V474" s="109">
        <f t="shared" si="2"/>
        <v>0</v>
      </c>
      <c r="W474" s="110" t="str">
        <f t="shared" si="3"/>
        <v>EMP0042 HULESHWAR KUMAR SAHU</v>
      </c>
      <c r="X474" s="103">
        <f>if(S474,if(and(hour(S474+X$7)&gt;9.5,(hour(S474+X$7)&lt;19.5)),S474+X$7,_xlfn.workday.intl(int(S474),1,"0000001",Holidays!A:A)+hour(S474+X$7-$B$1)/24+minute(S474)/1440),"")</f>
        <v>46231.53889</v>
      </c>
      <c r="Y474" s="104">
        <v>46230.7000562037</v>
      </c>
      <c r="Z474" s="105" t="s">
        <v>14</v>
      </c>
      <c r="AA474" s="111">
        <f t="shared" si="4"/>
        <v>0</v>
      </c>
      <c r="AB474" s="110" t="str">
        <f t="shared" si="5"/>
        <v>EMP0042 HULESHWAR KUMAR SAHU</v>
      </c>
      <c r="AC474" s="103">
        <f>if(X474,_xlfn.WORKDAY.INTL(X474,AC$7,"0000001",Holidays!A:A)+hour(X474)/24+MINUTE(X474)/1440,"")</f>
        <v>46232.53889</v>
      </c>
      <c r="AD474" s="104">
        <v>46230.7633152662</v>
      </c>
      <c r="AE474" s="105" t="s">
        <v>14</v>
      </c>
      <c r="AF474" s="111">
        <f t="shared" si="6"/>
        <v>0</v>
      </c>
      <c r="AG474" s="110" t="str">
        <f t="shared" si="7"/>
        <v>EMP0042 HULESHWAR KUMAR SAHU</v>
      </c>
      <c r="AH474" s="103">
        <f>if(AC474,if(and(hour(AC474+AH$7)&gt;9.5,(hour(AC474+AH$7)&lt;19.5)),AC474+AH$7,_xlfn.workday.intl(int(AC474),1,"0000001",Holidays!A:A)+hour(AC474+AH$7-$B$1)/24+minute(AC474)/1440),"")</f>
        <v>46232.58056</v>
      </c>
      <c r="AI474" s="104">
        <v>46230.76333052083</v>
      </c>
      <c r="AJ474" s="105" t="s">
        <v>14</v>
      </c>
      <c r="AK474" s="111">
        <f t="shared" si="8"/>
        <v>0</v>
      </c>
      <c r="AL474" s="112" t="str">
        <f t="shared" si="9"/>
        <v>EMP0042 HULESHWAR KUMAR SAHU</v>
      </c>
      <c r="AM474" s="113"/>
      <c r="AN474" s="114" t="s">
        <v>672</v>
      </c>
      <c r="AO474" s="115"/>
      <c r="AP474" s="115"/>
      <c r="AQ474" s="115"/>
      <c r="AR474" s="115"/>
      <c r="AS474" s="115"/>
      <c r="AT474" s="115"/>
      <c r="AU474" s="115"/>
      <c r="AV474" s="115"/>
      <c r="AW474" s="115"/>
      <c r="AX474" s="115"/>
      <c r="AY474" s="115"/>
    </row>
    <row r="475">
      <c r="A475" s="95">
        <f t="shared" si="11"/>
        <v>5426</v>
      </c>
      <c r="B475" s="96">
        <v>46230.71698834491</v>
      </c>
      <c r="C475" s="97" t="s">
        <v>1923</v>
      </c>
      <c r="D475" s="97" t="s">
        <v>186</v>
      </c>
      <c r="E475" s="98" t="s">
        <v>2368</v>
      </c>
      <c r="F475" s="97"/>
      <c r="G475" s="97" t="s">
        <v>2369</v>
      </c>
      <c r="H475" s="99" t="s">
        <v>138</v>
      </c>
      <c r="I475" s="100" t="s">
        <v>64</v>
      </c>
      <c r="J475" s="101" t="s">
        <v>303</v>
      </c>
      <c r="K475" s="100"/>
      <c r="L475" s="102" t="s">
        <v>2370</v>
      </c>
      <c r="M475" s="103">
        <f>if(B475,if(and(hour(B475+M$7)&gt;9.5,(hour(B475+M$7)&lt;19.5)),B475+M$7,_xlfn.workday.intl(int(B475),1,"0000001",Holidays!A:A)+hour(B475+M$7-$B$1)/24+minute(B475)/1440),"")</f>
        <v>46231.46667</v>
      </c>
      <c r="N475" s="104">
        <v>46230.76271657407</v>
      </c>
      <c r="O475" s="105" t="s">
        <v>14</v>
      </c>
      <c r="P475" s="106">
        <f t="shared" si="1"/>
        <v>0</v>
      </c>
      <c r="Q475" s="107" t="s">
        <v>15</v>
      </c>
      <c r="R475" s="108" t="s">
        <v>434</v>
      </c>
      <c r="S475" s="103">
        <f>if(M475,if(and(hour(M475+S$7)&gt;9.5,(hour(M475+S$7)&lt;19.5)),M475+S$7,_xlfn.workday.intl(int(M475),1,"0000001",Holidays!A:A)+hour(M475+S$7-$B$1)/24+minute(M475)/1440),"")</f>
        <v>46231.47361</v>
      </c>
      <c r="T475" s="104">
        <v>46230.76298328704</v>
      </c>
      <c r="U475" s="105" t="s">
        <v>14</v>
      </c>
      <c r="V475" s="109">
        <f t="shared" si="2"/>
        <v>0</v>
      </c>
      <c r="W475" s="110" t="str">
        <f t="shared" si="3"/>
        <v>EMP0042 HULESHWAR KUMAR SAHU</v>
      </c>
      <c r="X475" s="103">
        <f>if(S475,if(and(hour(S475+X$7)&gt;9.5,(hour(S475+X$7)&lt;19.5)),S475+X$7,_xlfn.workday.intl(int(S475),1,"0000001",Holidays!A:A)+hour(S475+X$7-$B$1)/24+minute(S475)/1440),"")</f>
        <v>46231.57778</v>
      </c>
      <c r="Y475" s="104">
        <v>46230.76322202546</v>
      </c>
      <c r="Z475" s="105" t="s">
        <v>14</v>
      </c>
      <c r="AA475" s="111">
        <f t="shared" si="4"/>
        <v>0</v>
      </c>
      <c r="AB475" s="110" t="str">
        <f t="shared" si="5"/>
        <v>EMP0042 HULESHWAR KUMAR SAHU</v>
      </c>
      <c r="AC475" s="103">
        <f>if(X475,_xlfn.WORKDAY.INTL(X475,AC$7,"0000001",Holidays!A:A)+hour(X475)/24+MINUTE(X475)/1440,"")</f>
        <v>46232.57778</v>
      </c>
      <c r="AD475" s="104">
        <v>46231.80676221065</v>
      </c>
      <c r="AE475" s="105" t="s">
        <v>14</v>
      </c>
      <c r="AF475" s="111">
        <f t="shared" si="6"/>
        <v>0</v>
      </c>
      <c r="AG475" s="110" t="str">
        <f t="shared" si="7"/>
        <v>EMP0042 HULESHWAR KUMAR SAHU</v>
      </c>
      <c r="AH475" s="103">
        <f>if(AC475,if(and(hour(AC475+AH$7)&gt;9.5,(hour(AC475+AH$7)&lt;19.5)),AC475+AH$7,_xlfn.workday.intl(int(AC475),1,"0000001",Holidays!A:A)+hour(AC475+AH$7-$B$1)/24+minute(AC475)/1440),"")</f>
        <v>46232.61944</v>
      </c>
      <c r="AI475" s="104">
        <v>46231.80681304398</v>
      </c>
      <c r="AJ475" s="105" t="s">
        <v>14</v>
      </c>
      <c r="AK475" s="111">
        <f t="shared" si="8"/>
        <v>0</v>
      </c>
      <c r="AL475" s="112" t="str">
        <f t="shared" si="9"/>
        <v>EMP0042 HULESHWAR KUMAR SAHU</v>
      </c>
      <c r="AM475" s="113"/>
      <c r="AN475" s="114" t="s">
        <v>672</v>
      </c>
      <c r="AO475" s="115"/>
      <c r="AP475" s="115"/>
      <c r="AQ475" s="115"/>
      <c r="AR475" s="115"/>
      <c r="AS475" s="115"/>
      <c r="AT475" s="115"/>
      <c r="AU475" s="115"/>
      <c r="AV475" s="115"/>
      <c r="AW475" s="115"/>
      <c r="AX475" s="115"/>
      <c r="AY475" s="115"/>
    </row>
    <row r="476">
      <c r="A476" s="95">
        <f t="shared" si="11"/>
        <v>5427</v>
      </c>
      <c r="B476" s="96">
        <v>46230.71809001158</v>
      </c>
      <c r="C476" s="97" t="s">
        <v>754</v>
      </c>
      <c r="D476" s="97" t="s">
        <v>186</v>
      </c>
      <c r="E476" s="98" t="s">
        <v>2371</v>
      </c>
      <c r="F476" s="97"/>
      <c r="G476" s="97" t="s">
        <v>2372</v>
      </c>
      <c r="H476" s="99" t="s">
        <v>126</v>
      </c>
      <c r="I476" s="100" t="s">
        <v>64</v>
      </c>
      <c r="J476" s="101" t="s">
        <v>303</v>
      </c>
      <c r="K476" s="100"/>
      <c r="L476" s="102" t="s">
        <v>2373</v>
      </c>
      <c r="M476" s="103">
        <f>if(B476,if(and(hour(B476+M$7)&gt;9.5,(hour(B476+M$7)&lt;19.5)),B476+M$7,_xlfn.workday.intl(int(B476),1,"0000001",Holidays!A:A)+hour(B476+M$7-$B$1)/24+minute(B476)/1440),"")</f>
        <v>46231.46806</v>
      </c>
      <c r="N476" s="104">
        <v>46230.7627721875</v>
      </c>
      <c r="O476" s="105" t="s">
        <v>14</v>
      </c>
      <c r="P476" s="106">
        <f t="shared" si="1"/>
        <v>0</v>
      </c>
      <c r="Q476" s="107" t="s">
        <v>15</v>
      </c>
      <c r="R476" s="108" t="s">
        <v>434</v>
      </c>
      <c r="S476" s="103">
        <f>if(M476,if(and(hour(M476+S$7)&gt;9.5,(hour(M476+S$7)&lt;19.5)),M476+S$7,_xlfn.workday.intl(int(M476),1,"0000001",Holidays!A:A)+hour(M476+S$7-$B$1)/24+minute(M476)/1440),"")</f>
        <v>46231.475</v>
      </c>
      <c r="T476" s="104">
        <v>46230.76301056713</v>
      </c>
      <c r="U476" s="105" t="s">
        <v>14</v>
      </c>
      <c r="V476" s="109">
        <f t="shared" si="2"/>
        <v>0</v>
      </c>
      <c r="W476" s="110" t="str">
        <f t="shared" si="3"/>
        <v>EMP0042 HULESHWAR KUMAR SAHU</v>
      </c>
      <c r="X476" s="103">
        <f>if(S476,if(and(hour(S476+X$7)&gt;9.5,(hour(S476+X$7)&lt;19.5)),S476+X$7,_xlfn.workday.intl(int(S476),1,"0000001",Holidays!A:A)+hour(S476+X$7-$B$1)/24+minute(S476)/1440),"")</f>
        <v>46231.57917</v>
      </c>
      <c r="Y476" s="104">
        <v>46230.76318475694</v>
      </c>
      <c r="Z476" s="105" t="s">
        <v>14</v>
      </c>
      <c r="AA476" s="111">
        <f t="shared" si="4"/>
        <v>0</v>
      </c>
      <c r="AB476" s="110" t="str">
        <f t="shared" si="5"/>
        <v>EMP0042 HULESHWAR KUMAR SAHU</v>
      </c>
      <c r="AC476" s="103">
        <f>if(X476,_xlfn.WORKDAY.INTL(X476,AC$7,"0000001",Holidays!A:A)+hour(X476)/24+MINUTE(X476)/1440,"")</f>
        <v>46232.57917</v>
      </c>
      <c r="AD476" s="104">
        <v>46231.810958842594</v>
      </c>
      <c r="AE476" s="105" t="s">
        <v>14</v>
      </c>
      <c r="AF476" s="111">
        <f t="shared" si="6"/>
        <v>0</v>
      </c>
      <c r="AG476" s="110" t="str">
        <f t="shared" si="7"/>
        <v>EMP0042 HULESHWAR KUMAR SAHU</v>
      </c>
      <c r="AH476" s="103">
        <f>if(AC476,if(and(hour(AC476+AH$7)&gt;9.5,(hour(AC476+AH$7)&lt;19.5)),AC476+AH$7,_xlfn.workday.intl(int(AC476),1,"0000001",Holidays!A:A)+hour(AC476+AH$7-$B$1)/24+minute(AC476)/1440),"")</f>
        <v>46232.62083</v>
      </c>
      <c r="AI476" s="104">
        <v>46231.810984525466</v>
      </c>
      <c r="AJ476" s="105" t="s">
        <v>14</v>
      </c>
      <c r="AK476" s="111">
        <f t="shared" si="8"/>
        <v>0</v>
      </c>
      <c r="AL476" s="112" t="str">
        <f t="shared" si="9"/>
        <v>EMP0042 HULESHWAR KUMAR SAHU</v>
      </c>
      <c r="AM476" s="113"/>
      <c r="AN476" s="114" t="s">
        <v>672</v>
      </c>
      <c r="AO476" s="115"/>
      <c r="AP476" s="115"/>
      <c r="AQ476" s="115"/>
      <c r="AR476" s="115"/>
      <c r="AS476" s="115"/>
      <c r="AT476" s="115"/>
      <c r="AU476" s="115"/>
      <c r="AV476" s="115"/>
      <c r="AW476" s="115"/>
      <c r="AX476" s="115"/>
      <c r="AY476" s="115"/>
    </row>
    <row r="477">
      <c r="A477" s="95">
        <f t="shared" si="11"/>
        <v>5428</v>
      </c>
      <c r="B477" s="96">
        <v>46230.71909918981</v>
      </c>
      <c r="C477" s="97" t="s">
        <v>1931</v>
      </c>
      <c r="D477" s="97" t="s">
        <v>186</v>
      </c>
      <c r="E477" s="98" t="s">
        <v>2374</v>
      </c>
      <c r="F477" s="97"/>
      <c r="G477" s="97" t="s">
        <v>2375</v>
      </c>
      <c r="H477" s="99" t="s">
        <v>103</v>
      </c>
      <c r="I477" s="100" t="s">
        <v>64</v>
      </c>
      <c r="J477" s="101" t="s">
        <v>303</v>
      </c>
      <c r="K477" s="100"/>
      <c r="L477" s="102" t="s">
        <v>2376</v>
      </c>
      <c r="M477" s="103">
        <f>if(B477,if(and(hour(B477+M$7)&gt;9.5,(hour(B477+M$7)&lt;19.5)),B477+M$7,_xlfn.workday.intl(int(B477),1,"0000001",Holidays!A:A)+hour(B477+M$7-$B$1)/24+minute(B477)/1440),"")</f>
        <v>46231.46875</v>
      </c>
      <c r="N477" s="104">
        <v>46230.762894803236</v>
      </c>
      <c r="O477" s="105" t="s">
        <v>14</v>
      </c>
      <c r="P477" s="106">
        <f t="shared" si="1"/>
        <v>0</v>
      </c>
      <c r="Q477" s="107" t="s">
        <v>15</v>
      </c>
      <c r="R477" s="108" t="s">
        <v>434</v>
      </c>
      <c r="S477" s="103">
        <f>if(M477,if(and(hour(M477+S$7)&gt;9.5,(hour(M477+S$7)&lt;19.5)),M477+S$7,_xlfn.workday.intl(int(M477),1,"0000001",Holidays!A:A)+hour(M477+S$7-$B$1)/24+minute(M477)/1440),"")</f>
        <v>46231.47569</v>
      </c>
      <c r="T477" s="104">
        <v>46230.763034814816</v>
      </c>
      <c r="U477" s="105" t="s">
        <v>14</v>
      </c>
      <c r="V477" s="109">
        <f t="shared" si="2"/>
        <v>0</v>
      </c>
      <c r="W477" s="110" t="str">
        <f t="shared" si="3"/>
        <v>EMP0042 HULESHWAR KUMAR SAHU</v>
      </c>
      <c r="X477" s="103">
        <f>if(S477,if(and(hour(S477+X$7)&gt;9.5,(hour(S477+X$7)&lt;19.5)),S477+X$7,_xlfn.workday.intl(int(S477),1,"0000001",Holidays!A:A)+hour(S477+X$7-$B$1)/24+minute(S477)/1440),"")</f>
        <v>46231.57986</v>
      </c>
      <c r="Y477" s="104">
        <v>46230.763206331016</v>
      </c>
      <c r="Z477" s="105" t="s">
        <v>14</v>
      </c>
      <c r="AA477" s="111">
        <f t="shared" si="4"/>
        <v>0</v>
      </c>
      <c r="AB477" s="110" t="str">
        <f t="shared" si="5"/>
        <v>EMP0042 HULESHWAR KUMAR SAHU</v>
      </c>
      <c r="AC477" s="103">
        <f>if(X477,_xlfn.WORKDAY.INTL(X477,AC$7,"0000001",Holidays!A:A)+hour(X477)/24+MINUTE(X477)/1440,"")</f>
        <v>46232.57986</v>
      </c>
      <c r="AD477" s="104">
        <v>46231.61375653935</v>
      </c>
      <c r="AE477" s="105" t="s">
        <v>14</v>
      </c>
      <c r="AF477" s="111">
        <f t="shared" si="6"/>
        <v>0</v>
      </c>
      <c r="AG477" s="110" t="str">
        <f t="shared" si="7"/>
        <v>EMP0042 HULESHWAR KUMAR SAHU</v>
      </c>
      <c r="AH477" s="103">
        <f>if(AC477,if(and(hour(AC477+AH$7)&gt;9.5,(hour(AC477+AH$7)&lt;19.5)),AC477+AH$7,_xlfn.workday.intl(int(AC477),1,"0000001",Holidays!A:A)+hour(AC477+AH$7-$B$1)/24+minute(AC477)/1440),"")</f>
        <v>46232.62153</v>
      </c>
      <c r="AI477" s="104">
        <v>46231.61378270833</v>
      </c>
      <c r="AJ477" s="105" t="s">
        <v>14</v>
      </c>
      <c r="AK477" s="111">
        <f t="shared" si="8"/>
        <v>0</v>
      </c>
      <c r="AL477" s="112" t="str">
        <f t="shared" si="9"/>
        <v>EMP0042 HULESHWAR KUMAR SAHU</v>
      </c>
      <c r="AM477" s="113"/>
      <c r="AN477" s="114" t="s">
        <v>672</v>
      </c>
      <c r="AO477" s="115"/>
      <c r="AP477" s="115"/>
      <c r="AQ477" s="115"/>
      <c r="AR477" s="115"/>
      <c r="AS477" s="115"/>
      <c r="AT477" s="115"/>
      <c r="AU477" s="115"/>
      <c r="AV477" s="115"/>
      <c r="AW477" s="115"/>
      <c r="AX477" s="115"/>
      <c r="AY477" s="115"/>
    </row>
    <row r="478">
      <c r="A478" s="95">
        <f t="shared" si="11"/>
        <v>5429</v>
      </c>
      <c r="B478" s="96">
        <v>46231.39877525463</v>
      </c>
      <c r="C478" s="97" t="s">
        <v>1147</v>
      </c>
      <c r="D478" s="97" t="s">
        <v>186</v>
      </c>
      <c r="E478" s="98" t="s">
        <v>2377</v>
      </c>
      <c r="F478" s="98" t="s">
        <v>2380</v>
      </c>
      <c r="G478" s="97" t="s">
        <v>2378</v>
      </c>
      <c r="H478" s="99" t="s">
        <v>62</v>
      </c>
      <c r="I478" s="100" t="s">
        <v>64</v>
      </c>
      <c r="J478" s="101" t="s">
        <v>303</v>
      </c>
      <c r="K478" s="100"/>
      <c r="L478" s="102" t="s">
        <v>2379</v>
      </c>
      <c r="M478" s="103">
        <f>if(B478,if(and(hour(B478+M$7)&gt;9.5,(hour(B478+M$7)&lt;19.5)),B478+M$7,_xlfn.workday.intl(int(B478),1,"0000001",Holidays!A:A)+hour(B478+M$7-$B$1)/24+minute(B478)/1440),"")</f>
        <v>46231.56544</v>
      </c>
      <c r="N478" s="104">
        <v>46231.4426725463</v>
      </c>
      <c r="O478" s="105" t="s">
        <v>14</v>
      </c>
      <c r="P478" s="106">
        <f t="shared" si="1"/>
        <v>0</v>
      </c>
      <c r="Q478" s="107" t="s">
        <v>15</v>
      </c>
      <c r="R478" s="108" t="s">
        <v>434</v>
      </c>
      <c r="S478" s="103">
        <f>if(M478,if(and(hour(M478+S$7)&gt;9.5,(hour(M478+S$7)&lt;19.5)),M478+S$7,_xlfn.workday.intl(int(M478),1,"0000001",Holidays!A:A)+hour(M478+S$7-$B$1)/24+minute(M478)/1440),"")</f>
        <v>46231.57239</v>
      </c>
      <c r="T478" s="104">
        <v>46231.44277234953</v>
      </c>
      <c r="U478" s="105" t="s">
        <v>14</v>
      </c>
      <c r="V478" s="109">
        <f t="shared" si="2"/>
        <v>0</v>
      </c>
      <c r="W478" s="110" t="str">
        <f t="shared" si="3"/>
        <v>EMP0042 HULESHWAR KUMAR SAHU</v>
      </c>
      <c r="X478" s="103">
        <f>if(S478,if(and(hour(S478+X$7)&gt;9.5,(hour(S478+X$7)&lt;19.5)),S478+X$7,_xlfn.workday.intl(int(S478),1,"0000001",Holidays!A:A)+hour(S478+X$7-$B$1)/24+minute(S478)/1440),"")</f>
        <v>46231.67655</v>
      </c>
      <c r="Y478" s="104">
        <v>46231.44282894676</v>
      </c>
      <c r="Z478" s="105" t="s">
        <v>14</v>
      </c>
      <c r="AA478" s="111">
        <f t="shared" si="4"/>
        <v>0</v>
      </c>
      <c r="AB478" s="110" t="str">
        <f t="shared" si="5"/>
        <v>EMP0042 HULESHWAR KUMAR SAHU</v>
      </c>
      <c r="AC478" s="103">
        <f>if(X478,_xlfn.WORKDAY.INTL(X478,AC$7,"0000001",Holidays!A:A)+hour(X478)/24+MINUTE(X478)/1440,"")</f>
        <v>46232.67639</v>
      </c>
      <c r="AD478" s="104">
        <v>46231.61383956019</v>
      </c>
      <c r="AE478" s="105" t="s">
        <v>14</v>
      </c>
      <c r="AF478" s="111">
        <f t="shared" si="6"/>
        <v>0</v>
      </c>
      <c r="AG478" s="110" t="str">
        <f t="shared" si="7"/>
        <v>EMP0042 HULESHWAR KUMAR SAHU</v>
      </c>
      <c r="AH478" s="103">
        <f>if(AC478,if(and(hour(AC478+AH$7)&gt;9.5,(hour(AC478+AH$7)&lt;19.5)),AC478+AH$7,_xlfn.workday.intl(int(AC478),1,"0000001",Holidays!A:A)+hour(AC478+AH$7-$B$1)/24+minute(AC478)/1440),"")</f>
        <v>46232.71806</v>
      </c>
      <c r="AI478" s="104">
        <v>46231.61386662037</v>
      </c>
      <c r="AJ478" s="105" t="s">
        <v>14</v>
      </c>
      <c r="AK478" s="111">
        <f t="shared" si="8"/>
        <v>0</v>
      </c>
      <c r="AL478" s="112" t="str">
        <f t="shared" si="9"/>
        <v>EMP0042 HULESHWAR KUMAR SAHU</v>
      </c>
      <c r="AM478" s="113"/>
      <c r="AN478" s="114" t="s">
        <v>672</v>
      </c>
      <c r="AO478" s="115"/>
      <c r="AP478" s="115"/>
      <c r="AQ478" s="115"/>
      <c r="AR478" s="115"/>
      <c r="AS478" s="115"/>
      <c r="AT478" s="115"/>
      <c r="AU478" s="115"/>
      <c r="AV478" s="115"/>
      <c r="AW478" s="115"/>
      <c r="AX478" s="115"/>
      <c r="AY478" s="115"/>
    </row>
    <row r="479">
      <c r="A479" s="95">
        <f t="shared" si="11"/>
        <v>5430</v>
      </c>
      <c r="B479" s="96">
        <v>46231.44063655093</v>
      </c>
      <c r="C479" s="97" t="s">
        <v>1940</v>
      </c>
      <c r="D479" s="97" t="s">
        <v>264</v>
      </c>
      <c r="E479" s="98" t="s">
        <v>2382</v>
      </c>
      <c r="F479" s="97"/>
      <c r="G479" s="97" t="s">
        <v>354</v>
      </c>
      <c r="H479" s="99" t="s">
        <v>62</v>
      </c>
      <c r="I479" s="100" t="s">
        <v>64</v>
      </c>
      <c r="J479" s="101" t="s">
        <v>2381</v>
      </c>
      <c r="K479" s="100"/>
      <c r="L479" s="102" t="s">
        <v>2383</v>
      </c>
      <c r="M479" s="103">
        <f>if(B479,if(and(hour(B479+M$7)&gt;9.5,(hour(B479+M$7)&lt;19.5)),B479+M$7,_xlfn.workday.intl(int(B479),1,"0000001",Holidays!A:A)+hour(B479+M$7-$B$1)/24+minute(B479)/1440),"")</f>
        <v>46231.6073</v>
      </c>
      <c r="N479" s="104">
        <v>46231.44269552083</v>
      </c>
      <c r="O479" s="105" t="s">
        <v>14</v>
      </c>
      <c r="P479" s="106">
        <f t="shared" si="1"/>
        <v>0</v>
      </c>
      <c r="Q479" s="107" t="s">
        <v>15</v>
      </c>
      <c r="R479" s="108" t="s">
        <v>434</v>
      </c>
      <c r="S479" s="103">
        <f>if(M479,if(and(hour(M479+S$7)&gt;9.5,(hour(M479+S$7)&lt;19.5)),M479+S$7,_xlfn.workday.intl(int(M479),1,"0000001",Holidays!A:A)+hour(M479+S$7-$B$1)/24+minute(M479)/1440),"")</f>
        <v>46231.61425</v>
      </c>
      <c r="T479" s="104">
        <v>46231.44278846065</v>
      </c>
      <c r="U479" s="105" t="s">
        <v>14</v>
      </c>
      <c r="V479" s="109">
        <f t="shared" si="2"/>
        <v>0</v>
      </c>
      <c r="W479" s="110" t="str">
        <f t="shared" si="3"/>
        <v>EMP0042 HULESHWAR KUMAR SAHU</v>
      </c>
      <c r="X479" s="103">
        <f>if(S479,if(and(hour(S479+X$7)&gt;9.5,(hour(S479+X$7)&lt;19.5)),S479+X$7,_xlfn.workday.intl(int(S479),1,"0000001",Holidays!A:A)+hour(S479+X$7-$B$1)/24+minute(S479)/1440),"")</f>
        <v>46231.71841</v>
      </c>
      <c r="Y479" s="104">
        <v>46231.44289630787</v>
      </c>
      <c r="Z479" s="105" t="s">
        <v>14</v>
      </c>
      <c r="AA479" s="111">
        <f t="shared" si="4"/>
        <v>0</v>
      </c>
      <c r="AB479" s="110" t="str">
        <f t="shared" si="5"/>
        <v>EMP0042 HULESHWAR KUMAR SAHU</v>
      </c>
      <c r="AC479" s="103">
        <f>if(X479,_xlfn.WORKDAY.INTL(X479,AC$7,"0000001",Holidays!A:A)+hour(X479)/24+MINUTE(X479)/1440,"")</f>
        <v>46232.71806</v>
      </c>
      <c r="AD479" s="104">
        <v>46232.479853576384</v>
      </c>
      <c r="AE479" s="105" t="s">
        <v>14</v>
      </c>
      <c r="AF479" s="111">
        <f t="shared" si="6"/>
        <v>0</v>
      </c>
      <c r="AG479" s="110" t="str">
        <f t="shared" si="7"/>
        <v>EMP0042 HULESHWAR KUMAR SAHU</v>
      </c>
      <c r="AH479" s="103">
        <f>if(AC479,if(and(hour(AC479+AH$7)&gt;9.5,(hour(AC479+AH$7)&lt;19.5)),AC479+AH$7,_xlfn.workday.intl(int(AC479),1,"0000001",Holidays!A:A)+hour(AC479+AH$7-$B$1)/24+minute(AC479)/1440),"")</f>
        <v>46232.75972</v>
      </c>
      <c r="AI479" s="104">
        <v>46232.754899629625</v>
      </c>
      <c r="AJ479" s="105" t="s">
        <v>14</v>
      </c>
      <c r="AK479" s="111">
        <f t="shared" si="8"/>
        <v>0</v>
      </c>
      <c r="AL479" s="112" t="str">
        <f t="shared" si="9"/>
        <v>EMP0042 HULESHWAR KUMAR SAHU</v>
      </c>
      <c r="AM479" s="113"/>
      <c r="AN479" s="114" t="s">
        <v>672</v>
      </c>
      <c r="AO479" s="115"/>
      <c r="AP479" s="115"/>
      <c r="AQ479" s="115"/>
      <c r="AR479" s="115"/>
      <c r="AS479" s="115"/>
      <c r="AT479" s="115"/>
      <c r="AU479" s="115"/>
      <c r="AV479" s="115"/>
      <c r="AW479" s="115"/>
      <c r="AX479" s="115"/>
      <c r="AY479" s="115"/>
    </row>
    <row r="480">
      <c r="A480" s="95">
        <f t="shared" si="11"/>
        <v>5431</v>
      </c>
      <c r="B480" s="96">
        <v>46231.44938651621</v>
      </c>
      <c r="C480" s="97" t="s">
        <v>1944</v>
      </c>
      <c r="D480" s="97" t="s">
        <v>264</v>
      </c>
      <c r="E480" s="98" t="s">
        <v>2385</v>
      </c>
      <c r="F480" s="98" t="s">
        <v>2387</v>
      </c>
      <c r="G480" s="97" t="s">
        <v>360</v>
      </c>
      <c r="H480" s="99" t="s">
        <v>62</v>
      </c>
      <c r="I480" s="100" t="s">
        <v>64</v>
      </c>
      <c r="J480" s="101" t="s">
        <v>2384</v>
      </c>
      <c r="K480" s="100"/>
      <c r="L480" s="102" t="s">
        <v>2386</v>
      </c>
      <c r="M480" s="103">
        <f>if(B480,if(and(hour(B480+M$7)&gt;9.5,(hour(B480+M$7)&lt;19.5)),B480+M$7,_xlfn.workday.intl(int(B480),1,"0000001",Holidays!A:A)+hour(B480+M$7-$B$1)/24+minute(B480)/1440),"")</f>
        <v>46231.61605</v>
      </c>
      <c r="N480" s="104">
        <v>46231.489094097225</v>
      </c>
      <c r="O480" s="105" t="s">
        <v>14</v>
      </c>
      <c r="P480" s="106">
        <f t="shared" si="1"/>
        <v>0</v>
      </c>
      <c r="Q480" s="107" t="s">
        <v>15</v>
      </c>
      <c r="R480" s="108" t="s">
        <v>434</v>
      </c>
      <c r="S480" s="103">
        <f>if(M480,if(and(hour(M480+S$7)&gt;9.5,(hour(M480+S$7)&lt;19.5)),M480+S$7,_xlfn.workday.intl(int(M480),1,"0000001",Holidays!A:A)+hour(M480+S$7-$B$1)/24+minute(M480)/1440),"")</f>
        <v>46231.623</v>
      </c>
      <c r="T480" s="104">
        <v>46231.48935212963</v>
      </c>
      <c r="U480" s="105" t="s">
        <v>14</v>
      </c>
      <c r="V480" s="109">
        <f t="shared" si="2"/>
        <v>0</v>
      </c>
      <c r="W480" s="110" t="str">
        <f t="shared" si="3"/>
        <v>EMP0042 HULESHWAR KUMAR SAHU</v>
      </c>
      <c r="X480" s="103">
        <f>if(S480,if(and(hour(S480+X$7)&gt;9.5,(hour(S480+X$7)&lt;19.5)),S480+X$7,_xlfn.workday.intl(int(S480),1,"0000001",Holidays!A:A)+hour(S480+X$7-$B$1)/24+minute(S480)/1440),"")+1-6/24</f>
        <v>46232.47716</v>
      </c>
      <c r="Y480" s="104">
        <v>46232.472766203704</v>
      </c>
      <c r="Z480" s="105" t="s">
        <v>14</v>
      </c>
      <c r="AA480" s="111">
        <f t="shared" si="4"/>
        <v>0</v>
      </c>
      <c r="AB480" s="110" t="str">
        <f t="shared" si="5"/>
        <v>EMP0042 HULESHWAR KUMAR SAHU</v>
      </c>
      <c r="AC480" s="103">
        <f>if(X480,_xlfn.WORKDAY.INTL(X480,AC$7,"0000001",Holidays!A:A)+hour(X480)/24+MINUTE(X480)/1440,"")</f>
        <v>46233.47708</v>
      </c>
      <c r="AD480" s="104">
        <v>46232.4798809375</v>
      </c>
      <c r="AE480" s="105" t="s">
        <v>14</v>
      </c>
      <c r="AF480" s="111">
        <f t="shared" si="6"/>
        <v>0</v>
      </c>
      <c r="AG480" s="110" t="str">
        <f t="shared" si="7"/>
        <v>EMP0042 HULESHWAR KUMAR SAHU</v>
      </c>
      <c r="AH480" s="103">
        <f>if(AC480,if(and(hour(AC480+AH$7)&gt;9.5,(hour(AC480+AH$7)&lt;19.5)),AC480+AH$7,_xlfn.workday.intl(int(AC480),1,"0000001",Holidays!A:A)+hour(AC480+AH$7-$B$1)/24+minute(AC480)/1440),"")</f>
        <v>46233.51875</v>
      </c>
      <c r="AI480" s="104">
        <v>46233.49896813657</v>
      </c>
      <c r="AJ480" s="105" t="s">
        <v>14</v>
      </c>
      <c r="AK480" s="111">
        <f t="shared" si="8"/>
        <v>0</v>
      </c>
      <c r="AL480" s="112" t="str">
        <f t="shared" si="9"/>
        <v>EMP0042 HULESHWAR KUMAR SAHU</v>
      </c>
      <c r="AM480" s="113"/>
      <c r="AN480" s="114" t="s">
        <v>672</v>
      </c>
      <c r="AO480" s="115"/>
      <c r="AP480" s="115"/>
      <c r="AQ480" s="115"/>
      <c r="AR480" s="115"/>
      <c r="AS480" s="115"/>
      <c r="AT480" s="115"/>
      <c r="AU480" s="115"/>
      <c r="AV480" s="115"/>
      <c r="AW480" s="115"/>
      <c r="AX480" s="115"/>
      <c r="AY480" s="115"/>
    </row>
    <row r="481">
      <c r="A481" s="95">
        <f t="shared" si="11"/>
        <v>5432</v>
      </c>
      <c r="B481" s="96">
        <v>46231.48809409722</v>
      </c>
      <c r="C481" s="97" t="s">
        <v>2390</v>
      </c>
      <c r="D481" s="97" t="s">
        <v>505</v>
      </c>
      <c r="E481" s="98" t="s">
        <v>2388</v>
      </c>
      <c r="F481" s="98" t="s">
        <v>2391</v>
      </c>
      <c r="G481" s="97" t="s">
        <v>2389</v>
      </c>
      <c r="H481" s="99" t="s">
        <v>62</v>
      </c>
      <c r="I481" s="100" t="s">
        <v>64</v>
      </c>
      <c r="J481" s="101" t="s">
        <v>504</v>
      </c>
      <c r="K481" s="100"/>
      <c r="L481" s="102" t="s">
        <v>2390</v>
      </c>
      <c r="M481" s="103">
        <f>if(B481,if(and(hour(B481+M$7)&gt;9.5,(hour(B481+M$7)&lt;19.5)),B481+M$7,_xlfn.workday.intl(int(B481),1,"0000001",Holidays!A:A)+hour(B481+M$7-$B$1)/24+minute(B481)/1440),"")</f>
        <v>46231.65476</v>
      </c>
      <c r="N481" s="104">
        <v>46231.489109675924</v>
      </c>
      <c r="O481" s="105" t="s">
        <v>14</v>
      </c>
      <c r="P481" s="106">
        <f t="shared" si="1"/>
        <v>0</v>
      </c>
      <c r="Q481" s="107" t="s">
        <v>15</v>
      </c>
      <c r="R481" s="108" t="s">
        <v>434</v>
      </c>
      <c r="S481" s="103">
        <f>if(M481,if(and(hour(M481+S$7)&gt;9.5,(hour(M481+S$7)&lt;19.5)),M481+S$7,_xlfn.workday.intl(int(M481),1,"0000001",Holidays!A:A)+hour(M481+S$7-$B$1)/24+minute(M481)/1440),"")</f>
        <v>46231.66171</v>
      </c>
      <c r="T481" s="104">
        <v>46231.48936893519</v>
      </c>
      <c r="U481" s="105" t="s">
        <v>14</v>
      </c>
      <c r="V481" s="109">
        <f t="shared" si="2"/>
        <v>0</v>
      </c>
      <c r="W481" s="110" t="str">
        <f t="shared" si="3"/>
        <v>EMP0042 HULESHWAR KUMAR SAHU</v>
      </c>
      <c r="X481" s="103">
        <f>if(S481,if(and(hour(S481+X$7)&gt;9.5,(hour(S481+X$7)&lt;19.5)),S481+X$7,_xlfn.workday.intl(int(S481),1,"0000001",Holidays!A:A)+hour(S481+X$7-$B$1)/24+minute(S481)/1440),"")</f>
        <v>46231.76587</v>
      </c>
      <c r="Y481" s="104">
        <v>46231.613450613426</v>
      </c>
      <c r="Z481" s="105" t="s">
        <v>14</v>
      </c>
      <c r="AA481" s="111">
        <f t="shared" si="4"/>
        <v>0</v>
      </c>
      <c r="AB481" s="110" t="str">
        <f t="shared" si="5"/>
        <v>EMP0042 HULESHWAR KUMAR SAHU</v>
      </c>
      <c r="AC481" s="103">
        <f>if(X481,_xlfn.WORKDAY.INTL(X481,AC$7,"0000001",Holidays!A:A)+hour(X481)/24+MINUTE(X481)/1440,"")</f>
        <v>46232.76528</v>
      </c>
      <c r="AD481" s="104">
        <v>46231.61348893518</v>
      </c>
      <c r="AE481" s="105" t="s">
        <v>14</v>
      </c>
      <c r="AF481" s="111">
        <f t="shared" si="6"/>
        <v>0</v>
      </c>
      <c r="AG481" s="110" t="str">
        <f t="shared" si="7"/>
        <v>EMP0042 HULESHWAR KUMAR SAHU</v>
      </c>
      <c r="AH481" s="103">
        <f>if(AC481,if(and(hour(AC481+AH$7)&gt;9.5,(hour(AC481+AH$7)&lt;19.5)),AC481+AH$7,_xlfn.workday.intl(int(AC481),1,"0000001",Holidays!A:A)+hour(AC481+AH$7-$B$1)/24+minute(AC481)/1440),"")</f>
        <v>46232.80694</v>
      </c>
      <c r="AI481" s="104">
        <v>46231.61351289352</v>
      </c>
      <c r="AJ481" s="105" t="s">
        <v>14</v>
      </c>
      <c r="AK481" s="111">
        <f t="shared" si="8"/>
        <v>0</v>
      </c>
      <c r="AL481" s="112" t="str">
        <f t="shared" si="9"/>
        <v>EMP0042 HULESHWAR KUMAR SAHU</v>
      </c>
      <c r="AM481" s="113"/>
      <c r="AN481" s="114" t="s">
        <v>672</v>
      </c>
      <c r="AO481" s="115"/>
      <c r="AP481" s="115"/>
      <c r="AQ481" s="115"/>
      <c r="AR481" s="115"/>
      <c r="AS481" s="115"/>
      <c r="AT481" s="115"/>
      <c r="AU481" s="115"/>
      <c r="AV481" s="115"/>
      <c r="AW481" s="115"/>
      <c r="AX481" s="115"/>
      <c r="AY481" s="115"/>
    </row>
    <row r="482">
      <c r="A482" s="95">
        <f t="shared" si="11"/>
        <v>5433</v>
      </c>
      <c r="B482" s="96">
        <v>46232.41648895833</v>
      </c>
      <c r="C482" s="97" t="s">
        <v>1953</v>
      </c>
      <c r="D482" s="97" t="s">
        <v>357</v>
      </c>
      <c r="E482" s="98" t="s">
        <v>2392</v>
      </c>
      <c r="F482" s="97"/>
      <c r="G482" s="97" t="s">
        <v>1842</v>
      </c>
      <c r="H482" s="99" t="s">
        <v>62</v>
      </c>
      <c r="I482" s="100" t="s">
        <v>64</v>
      </c>
      <c r="J482" s="101" t="s">
        <v>1253</v>
      </c>
      <c r="K482" s="100"/>
      <c r="L482" s="102" t="s">
        <v>492</v>
      </c>
      <c r="M482" s="103">
        <f>if(B482,if(and(hour(B482+M$7)&gt;9.5,(hour(B482+M$7)&lt;19.5)),B482+M$7,_xlfn.workday.intl(int(B482),1,"0000001",Holidays!A:A)+hour(B482+M$7-$B$1)/24+minute(B482)/1440),"")</f>
        <v>46232.58316</v>
      </c>
      <c r="N482" s="104">
        <v>46232.41692267361</v>
      </c>
      <c r="O482" s="105" t="s">
        <v>14</v>
      </c>
      <c r="P482" s="106">
        <f t="shared" si="1"/>
        <v>0</v>
      </c>
      <c r="Q482" s="107" t="s">
        <v>72</v>
      </c>
      <c r="R482" s="108" t="s">
        <v>434</v>
      </c>
      <c r="S482" s="103">
        <f>if(M482,if(and(hour(M482+S$7)&gt;9.5,(hour(M482+S$7)&lt;19.5)),M482+S$7,_xlfn.workday.intl(int(M482),1,"0000001",Holidays!A:A)+hour(M482+S$7-$B$1)/24+minute(M482)/1440),"")</f>
        <v>46232.5901</v>
      </c>
      <c r="T482" s="104">
        <v>46232.4169902662</v>
      </c>
      <c r="U482" s="105" t="s">
        <v>14</v>
      </c>
      <c r="V482" s="109">
        <f t="shared" si="2"/>
        <v>0</v>
      </c>
      <c r="W482" s="110" t="str">
        <f t="shared" si="3"/>
        <v>EMP5009 Rup Kumar Mandal</v>
      </c>
      <c r="X482" s="103">
        <f>if(S482,if(and(hour(S482+X$7)&gt;9.5,(hour(S482+X$7)&lt;19.5)),S482+X$7,_xlfn.workday.intl(int(S482),1,"0000001",Holidays!A:A)+hour(S482+X$7-$B$1)/24+minute(S482)/1440),"")</f>
        <v>46232.69427</v>
      </c>
      <c r="Y482" s="104">
        <v>46232.41701326389</v>
      </c>
      <c r="Z482" s="105" t="s">
        <v>14</v>
      </c>
      <c r="AA482" s="111">
        <f t="shared" si="4"/>
        <v>0</v>
      </c>
      <c r="AB482" s="110" t="str">
        <f t="shared" si="5"/>
        <v>EMP5009 Rup Kumar Mandal</v>
      </c>
      <c r="AC482" s="103">
        <f>if(X482,_xlfn.WORKDAY.INTL(X482,AC$7,"0000001",Holidays!A:A)+hour(X482)/24+MINUTE(X482)/1440,"")</f>
        <v>46233.69375</v>
      </c>
      <c r="AD482" s="104">
        <v>46232.47990746528</v>
      </c>
      <c r="AE482" s="105" t="s">
        <v>14</v>
      </c>
      <c r="AF482" s="111">
        <f t="shared" si="6"/>
        <v>0</v>
      </c>
      <c r="AG482" s="110" t="str">
        <f t="shared" si="7"/>
        <v>EMP5009 Rup Kumar Mandal</v>
      </c>
      <c r="AH482" s="103">
        <f>if(AC482,if(and(hour(AC482+AH$7)&gt;9.5,(hour(AC482+AH$7)&lt;19.5)),AC482+AH$7,_xlfn.workday.intl(int(AC482),1,"0000001",Holidays!A:A)+hour(AC482+AH$7-$B$1)/24+minute(AC482)/1440),"")</f>
        <v>46233.73542</v>
      </c>
      <c r="AI482" s="104">
        <v>46233.43470987269</v>
      </c>
      <c r="AJ482" s="105" t="s">
        <v>14</v>
      </c>
      <c r="AK482" s="111">
        <f t="shared" si="8"/>
        <v>0</v>
      </c>
      <c r="AL482" s="112" t="str">
        <f t="shared" si="9"/>
        <v>EMP5009 Rup Kumar Mandal</v>
      </c>
      <c r="AM482" s="113"/>
      <c r="AN482" s="114" t="s">
        <v>672</v>
      </c>
      <c r="AO482" s="115"/>
      <c r="AP482" s="115"/>
      <c r="AQ482" s="115"/>
      <c r="AR482" s="115"/>
      <c r="AS482" s="115"/>
      <c r="AT482" s="115"/>
      <c r="AU482" s="115"/>
      <c r="AV482" s="115"/>
      <c r="AW482" s="115"/>
      <c r="AX482" s="115"/>
      <c r="AY482" s="115"/>
    </row>
    <row r="483">
      <c r="A483" s="95">
        <f t="shared" si="11"/>
        <v>5434</v>
      </c>
      <c r="B483" s="96">
        <v>46232.422057083335</v>
      </c>
      <c r="C483" s="97" t="s">
        <v>1955</v>
      </c>
      <c r="D483" s="97" t="s">
        <v>186</v>
      </c>
      <c r="E483" s="98" t="s">
        <v>2393</v>
      </c>
      <c r="F483" s="97"/>
      <c r="G483" s="97" t="s">
        <v>2394</v>
      </c>
      <c r="H483" s="99" t="s">
        <v>147</v>
      </c>
      <c r="I483" s="100" t="s">
        <v>64</v>
      </c>
      <c r="J483" s="101" t="s">
        <v>303</v>
      </c>
      <c r="K483" s="100"/>
      <c r="L483" s="102" t="s">
        <v>2395</v>
      </c>
      <c r="M483" s="103">
        <f>if(B483,if(and(hour(B483+M$7)&gt;9.5,(hour(B483+M$7)&lt;19.5)),B483+M$7,_xlfn.workday.intl(int(B483),1,"0000001",Holidays!A:A)+hour(B483+M$7-$B$1)/24+minute(B483)/1440),"")</f>
        <v>46232.58872</v>
      </c>
      <c r="N483" s="104">
        <v>46232.43844791666</v>
      </c>
      <c r="O483" s="105" t="s">
        <v>14</v>
      </c>
      <c r="P483" s="106">
        <f t="shared" si="1"/>
        <v>0</v>
      </c>
      <c r="Q483" s="107" t="s">
        <v>15</v>
      </c>
      <c r="R483" s="108" t="s">
        <v>434</v>
      </c>
      <c r="S483" s="103">
        <f>if(M483,if(and(hour(M483+S$7)&gt;9.5,(hour(M483+S$7)&lt;19.5)),M483+S$7,_xlfn.workday.intl(int(M483),1,"0000001",Holidays!A:A)+hour(M483+S$7-$B$1)/24+minute(M483)/1440),"")</f>
        <v>46232.59567</v>
      </c>
      <c r="T483" s="104">
        <v>46232.43849939815</v>
      </c>
      <c r="U483" s="105" t="s">
        <v>14</v>
      </c>
      <c r="V483" s="109">
        <f t="shared" si="2"/>
        <v>0</v>
      </c>
      <c r="W483" s="110" t="str">
        <f t="shared" si="3"/>
        <v>EMP0042 HULESHWAR KUMAR SAHU</v>
      </c>
      <c r="X483" s="103">
        <f>if(S483,if(and(hour(S483+X$7)&gt;9.5,(hour(S483+X$7)&lt;19.5)),S483+X$7,_xlfn.workday.intl(int(S483),1,"0000001",Holidays!A:A)+hour(S483+X$7-$B$1)/24+minute(S483)/1440),"")</f>
        <v>46232.69983</v>
      </c>
      <c r="Y483" s="104">
        <v>46232.43855287037</v>
      </c>
      <c r="Z483" s="105" t="s">
        <v>14</v>
      </c>
      <c r="AA483" s="111">
        <f t="shared" si="4"/>
        <v>0</v>
      </c>
      <c r="AB483" s="110" t="str">
        <f t="shared" si="5"/>
        <v>EMP0042 HULESHWAR KUMAR SAHU</v>
      </c>
      <c r="AC483" s="103">
        <f>if(X483,_xlfn.WORKDAY.INTL(X483,AC$7,"0000001",Holidays!A:A)+hour(X483)/24+MINUTE(X483)/1440,"")</f>
        <v>46233.69931</v>
      </c>
      <c r="AD483" s="104">
        <v>46232.479928125</v>
      </c>
      <c r="AE483" s="105" t="s">
        <v>14</v>
      </c>
      <c r="AF483" s="111">
        <f t="shared" si="6"/>
        <v>0</v>
      </c>
      <c r="AG483" s="110" t="str">
        <f t="shared" si="7"/>
        <v>EMP0042 HULESHWAR KUMAR SAHU</v>
      </c>
      <c r="AH483" s="103">
        <f>if(AC483,if(and(hour(AC483+AH$7)&gt;9.5,(hour(AC483+AH$7)&lt;19.5)),AC483+AH$7,_xlfn.workday.intl(int(AC483),1,"0000001",Holidays!A:A)+hour(AC483+AH$7-$B$1)/24+minute(AC483)/1440),"")</f>
        <v>46233.74097</v>
      </c>
      <c r="AI483" s="104">
        <v>46233.452552511575</v>
      </c>
      <c r="AJ483" s="105" t="s">
        <v>14</v>
      </c>
      <c r="AK483" s="111">
        <f t="shared" si="8"/>
        <v>0</v>
      </c>
      <c r="AL483" s="112" t="str">
        <f t="shared" si="9"/>
        <v>EMP0042 HULESHWAR KUMAR SAHU</v>
      </c>
      <c r="AM483" s="113"/>
      <c r="AN483" s="114" t="s">
        <v>672</v>
      </c>
      <c r="AO483" s="115"/>
      <c r="AP483" s="115"/>
      <c r="AQ483" s="115"/>
      <c r="AR483" s="115"/>
      <c r="AS483" s="115"/>
      <c r="AT483" s="115"/>
      <c r="AU483" s="115"/>
      <c r="AV483" s="115"/>
      <c r="AW483" s="115"/>
      <c r="AX483" s="115"/>
      <c r="AY483" s="115"/>
    </row>
    <row r="484">
      <c r="A484" s="95">
        <f t="shared" si="11"/>
        <v>5435</v>
      </c>
      <c r="B484" s="96">
        <v>46232.50577290509</v>
      </c>
      <c r="C484" s="97" t="s">
        <v>1716</v>
      </c>
      <c r="D484" s="97" t="s">
        <v>207</v>
      </c>
      <c r="E484" s="98" t="s">
        <v>2396</v>
      </c>
      <c r="F484" s="97"/>
      <c r="G484" s="97" t="s">
        <v>354</v>
      </c>
      <c r="H484" s="99" t="s">
        <v>62</v>
      </c>
      <c r="I484" s="100" t="s">
        <v>64</v>
      </c>
      <c r="J484" s="101" t="s">
        <v>206</v>
      </c>
      <c r="K484" s="100"/>
      <c r="L484" s="102" t="s">
        <v>2397</v>
      </c>
      <c r="M484" s="103">
        <f>if(B484,if(and(hour(B484+M$7)&gt;9.5,(hour(B484+M$7)&lt;19.5)),B484+M$7,_xlfn.workday.intl(int(B484),1,"0000001",Holidays!A:A)+hour(B484+M$7-$B$1)/24+minute(B484)/1440),"")</f>
        <v>46232.67244</v>
      </c>
      <c r="N484" s="104">
        <v>46232.50961594908</v>
      </c>
      <c r="O484" s="105" t="s">
        <v>14</v>
      </c>
      <c r="P484" s="106">
        <f t="shared" si="1"/>
        <v>0</v>
      </c>
      <c r="Q484" s="107" t="s">
        <v>72</v>
      </c>
      <c r="R484" s="108" t="s">
        <v>434</v>
      </c>
      <c r="S484" s="103">
        <f>if(M484,if(and(hour(M484+S$7)&gt;9.5,(hour(M484+S$7)&lt;19.5)),M484+S$7,_xlfn.workday.intl(int(M484),1,"0000001",Holidays!A:A)+hour(M484+S$7-$B$1)/24+minute(M484)/1440),"")</f>
        <v>46232.67938</v>
      </c>
      <c r="T484" s="104">
        <v>46232.50969523148</v>
      </c>
      <c r="U484" s="105" t="s">
        <v>14</v>
      </c>
      <c r="V484" s="109">
        <f t="shared" si="2"/>
        <v>0</v>
      </c>
      <c r="W484" s="110" t="str">
        <f t="shared" si="3"/>
        <v>EMP5009 Rup Kumar Mandal</v>
      </c>
      <c r="X484" s="103">
        <f>if(S484,if(and(hour(S484+X$7)&gt;9.5,(hour(S484+X$7)&lt;19.5)),S484+X$7,_xlfn.workday.intl(int(S484),1,"0000001",Holidays!A:A)+hour(S484+X$7-$B$1)/24+minute(S484)/1440),"")</f>
        <v>46232.78355</v>
      </c>
      <c r="Y484" s="104">
        <v>46232.50972695602</v>
      </c>
      <c r="Z484" s="105" t="s">
        <v>14</v>
      </c>
      <c r="AA484" s="111">
        <f t="shared" si="4"/>
        <v>0</v>
      </c>
      <c r="AB484" s="110" t="str">
        <f t="shared" si="5"/>
        <v>EMP5009 Rup Kumar Mandal</v>
      </c>
      <c r="AC484" s="103">
        <f>if(X484,_xlfn.WORKDAY.INTL(X484,AC$7,"0000001",Holidays!A:A)+hour(X484)/24+MINUTE(X484)/1440,"")</f>
        <v>46233.78333</v>
      </c>
      <c r="AD484" s="104">
        <v>46233.434784745376</v>
      </c>
      <c r="AE484" s="105" t="s">
        <v>14</v>
      </c>
      <c r="AF484" s="111">
        <f t="shared" si="6"/>
        <v>0</v>
      </c>
      <c r="AG484" s="110" t="str">
        <f t="shared" si="7"/>
        <v>EMP5009 Rup Kumar Mandal</v>
      </c>
      <c r="AH484" s="103">
        <f>if(AC484,if(and(hour(AC484+AH$7)&gt;9.5,(hour(AC484+AH$7)&lt;19.5)),AC484+AH$7,_xlfn.workday.intl(int(AC484),1,"0000001",Holidays!A:A)+hour(AC484+AH$7-$B$1)/24+minute(AC484)/1440),"")</f>
        <v>46233.825</v>
      </c>
      <c r="AI484" s="104">
        <v>46233.43482699074</v>
      </c>
      <c r="AJ484" s="105" t="s">
        <v>14</v>
      </c>
      <c r="AK484" s="111">
        <f t="shared" si="8"/>
        <v>0</v>
      </c>
      <c r="AL484" s="112" t="str">
        <f t="shared" si="9"/>
        <v>EMP5009 Rup Kumar Mandal</v>
      </c>
      <c r="AM484" s="113"/>
      <c r="AN484" s="114" t="s">
        <v>672</v>
      </c>
      <c r="AO484" s="115"/>
      <c r="AP484" s="115"/>
      <c r="AQ484" s="115"/>
      <c r="AR484" s="115"/>
      <c r="AS484" s="115"/>
      <c r="AT484" s="115"/>
      <c r="AU484" s="115"/>
      <c r="AV484" s="115"/>
      <c r="AW484" s="115"/>
      <c r="AX484" s="115"/>
      <c r="AY484" s="115"/>
    </row>
    <row r="485">
      <c r="A485" s="95">
        <f t="shared" si="11"/>
        <v>5436</v>
      </c>
      <c r="B485" s="96">
        <v>46232.51223476852</v>
      </c>
      <c r="C485" s="97" t="s">
        <v>955</v>
      </c>
      <c r="D485" s="97" t="s">
        <v>142</v>
      </c>
      <c r="E485" s="98" t="s">
        <v>2398</v>
      </c>
      <c r="F485" s="97"/>
      <c r="G485" s="97" t="s">
        <v>146</v>
      </c>
      <c r="H485" s="99" t="s">
        <v>126</v>
      </c>
      <c r="I485" s="100" t="s">
        <v>64</v>
      </c>
      <c r="J485" s="101" t="s">
        <v>141</v>
      </c>
      <c r="K485" s="100"/>
      <c r="L485" s="102" t="s">
        <v>2399</v>
      </c>
      <c r="M485" s="103">
        <f>if(B485,if(and(hour(B485+M$7)&gt;9.5,(hour(B485+M$7)&lt;19.5)),B485+M$7,_xlfn.workday.intl(int(B485),1,"0000001",Holidays!A:A)+hour(B485+M$7-$B$1)/24+minute(B485)/1440),"")</f>
        <v>46232.6789</v>
      </c>
      <c r="N485" s="104">
        <v>46232.625942708335</v>
      </c>
      <c r="O485" s="105" t="s">
        <v>14</v>
      </c>
      <c r="P485" s="106">
        <f t="shared" si="1"/>
        <v>0</v>
      </c>
      <c r="Q485" s="107" t="s">
        <v>15</v>
      </c>
      <c r="R485" s="108" t="s">
        <v>434</v>
      </c>
      <c r="S485" s="103">
        <f>if(M485,if(and(hour(M485+S$7)&gt;9.5,(hour(M485+S$7)&lt;19.5)),M485+S$7,_xlfn.workday.intl(int(M485),1,"0000001",Holidays!A:A)+hour(M485+S$7-$B$1)/24+minute(M485)/1440),"")</f>
        <v>46232.68585</v>
      </c>
      <c r="T485" s="104">
        <v>46232.626028750004</v>
      </c>
      <c r="U485" s="105" t="s">
        <v>14</v>
      </c>
      <c r="V485" s="109">
        <f t="shared" si="2"/>
        <v>0</v>
      </c>
      <c r="W485" s="110" t="str">
        <f t="shared" si="3"/>
        <v>EMP0042 HULESHWAR KUMAR SAHU</v>
      </c>
      <c r="X485" s="103">
        <f>if(S485,if(and(hour(S485+X$7)&gt;9.5,(hour(S485+X$7)&lt;19.5)),S485+X$7,_xlfn.workday.intl(int(S485),1,"0000001",Holidays!A:A)+hour(S485+X$7-$B$1)/24+minute(S485)/1440),"")</f>
        <v>46232.79001</v>
      </c>
      <c r="Y485" s="104">
        <v>46232.69820182871</v>
      </c>
      <c r="Z485" s="105" t="s">
        <v>14</v>
      </c>
      <c r="AA485" s="111">
        <f t="shared" si="4"/>
        <v>0</v>
      </c>
      <c r="AB485" s="110" t="str">
        <f t="shared" si="5"/>
        <v>EMP0042 HULESHWAR KUMAR SAHU</v>
      </c>
      <c r="AC485" s="103">
        <f>if(X485,_xlfn.WORKDAY.INTL(X485,AC$7,"0000001",Holidays!A:A)+hour(X485)/24+MINUTE(X485)/1440,"")</f>
        <v>46233.78958</v>
      </c>
      <c r="AD485" s="104">
        <v>46232.89402605324</v>
      </c>
      <c r="AE485" s="105" t="s">
        <v>14</v>
      </c>
      <c r="AF485" s="111">
        <f t="shared" si="6"/>
        <v>0</v>
      </c>
      <c r="AG485" s="110" t="str">
        <f t="shared" si="7"/>
        <v>EMP0042 HULESHWAR KUMAR SAHU</v>
      </c>
      <c r="AH485" s="103">
        <f>if(AC485,if(and(hour(AC485+AH$7)&gt;9.5,(hour(AC485+AH$7)&lt;19.5)),AC485+AH$7,_xlfn.workday.intl(int(AC485),1,"0000001",Holidays!A:A)+hour(AC485+AH$7-$B$1)/24+minute(AC485)/1440),"")</f>
        <v>46233.83125</v>
      </c>
      <c r="AI485" s="104">
        <v>46233.45272241898</v>
      </c>
      <c r="AJ485" s="105" t="s">
        <v>14</v>
      </c>
      <c r="AK485" s="111">
        <f t="shared" si="8"/>
        <v>0</v>
      </c>
      <c r="AL485" s="112" t="str">
        <f t="shared" si="9"/>
        <v>EMP0042 HULESHWAR KUMAR SAHU</v>
      </c>
      <c r="AM485" s="113"/>
      <c r="AN485" s="114" t="s">
        <v>672</v>
      </c>
      <c r="AO485" s="115"/>
      <c r="AP485" s="115"/>
      <c r="AQ485" s="115"/>
      <c r="AR485" s="115"/>
      <c r="AS485" s="115"/>
      <c r="AT485" s="115"/>
      <c r="AU485" s="115"/>
      <c r="AV485" s="115"/>
      <c r="AW485" s="115"/>
      <c r="AX485" s="115"/>
      <c r="AY485" s="115"/>
    </row>
    <row r="486">
      <c r="A486" s="95">
        <f t="shared" si="11"/>
        <v>5437</v>
      </c>
      <c r="B486" s="96">
        <v>46232.51336386574</v>
      </c>
      <c r="C486" s="97" t="s">
        <v>955</v>
      </c>
      <c r="D486" s="97" t="s">
        <v>142</v>
      </c>
      <c r="E486" s="98" t="s">
        <v>2400</v>
      </c>
      <c r="F486" s="97"/>
      <c r="G486" s="97" t="s">
        <v>168</v>
      </c>
      <c r="H486" s="99" t="s">
        <v>147</v>
      </c>
      <c r="I486" s="100" t="s">
        <v>64</v>
      </c>
      <c r="J486" s="101" t="s">
        <v>141</v>
      </c>
      <c r="K486" s="100"/>
      <c r="L486" s="102" t="s">
        <v>2401</v>
      </c>
      <c r="M486" s="103">
        <f>if(B486,if(and(hour(B486+M$7)&gt;9.5,(hour(B486+M$7)&lt;19.5)),B486+M$7,_xlfn.workday.intl(int(B486),1,"0000001",Holidays!A:A)+hour(B486+M$7-$B$1)/24+minute(B486)/1440),"")</f>
        <v>46232.68003</v>
      </c>
      <c r="N486" s="104">
        <v>46232.62595696759</v>
      </c>
      <c r="O486" s="105" t="s">
        <v>14</v>
      </c>
      <c r="P486" s="106">
        <f t="shared" si="1"/>
        <v>0</v>
      </c>
      <c r="Q486" s="107" t="s">
        <v>15</v>
      </c>
      <c r="R486" s="108" t="s">
        <v>434</v>
      </c>
      <c r="S486" s="103">
        <f>if(M486,if(and(hour(M486+S$7)&gt;9.5,(hour(M486+S$7)&lt;19.5)),M486+S$7,_xlfn.workday.intl(int(M486),1,"0000001",Holidays!A:A)+hour(M486+S$7-$B$1)/24+minute(M486)/1440),"")</f>
        <v>46232.68697</v>
      </c>
      <c r="T486" s="104">
        <v>46232.626069791666</v>
      </c>
      <c r="U486" s="105" t="s">
        <v>14</v>
      </c>
      <c r="V486" s="109">
        <f t="shared" si="2"/>
        <v>0</v>
      </c>
      <c r="W486" s="110" t="str">
        <f t="shared" si="3"/>
        <v>EMP0042 HULESHWAR KUMAR SAHU</v>
      </c>
      <c r="X486" s="103">
        <f>if(S486,if(and(hour(S486+X$7)&gt;9.5,(hour(S486+X$7)&lt;19.5)),S486+X$7,_xlfn.workday.intl(int(S486),1,"0000001",Holidays!A:A)+hour(S486+X$7-$B$1)/24+minute(S486)/1440),"")</f>
        <v>46232.79114</v>
      </c>
      <c r="Y486" s="104">
        <v>46232.69820246528</v>
      </c>
      <c r="Z486" s="105" t="s">
        <v>14</v>
      </c>
      <c r="AA486" s="111">
        <f t="shared" si="4"/>
        <v>0</v>
      </c>
      <c r="AB486" s="110" t="str">
        <f t="shared" si="5"/>
        <v>EMP0042 HULESHWAR KUMAR SAHU</v>
      </c>
      <c r="AC486" s="103">
        <f>if(X486,_xlfn.WORKDAY.INTL(X486,AC$7,"0000001",Holidays!A:A)+hour(X486)/24+MINUTE(X486)/1440,"")</f>
        <v>46233.79097</v>
      </c>
      <c r="AD486" s="104">
        <v>46232.894061875</v>
      </c>
      <c r="AE486" s="105" t="s">
        <v>14</v>
      </c>
      <c r="AF486" s="111">
        <f t="shared" si="6"/>
        <v>0</v>
      </c>
      <c r="AG486" s="110" t="str">
        <f t="shared" si="7"/>
        <v>EMP0042 HULESHWAR KUMAR SAHU</v>
      </c>
      <c r="AH486" s="103">
        <f>if(AC486,if(and(hour(AC486+AH$7)&gt;9.5,(hour(AC486+AH$7)&lt;19.5)),AC486+AH$7,_xlfn.workday.intl(int(AC486),1,"0000001",Holidays!A:A)+hour(AC486+AH$7-$B$1)/24+minute(AC486)/1440),"")</f>
        <v>46233.83264</v>
      </c>
      <c r="AI486" s="104">
        <v>46232.89420082176</v>
      </c>
      <c r="AJ486" s="105" t="s">
        <v>14</v>
      </c>
      <c r="AK486" s="111">
        <f t="shared" si="8"/>
        <v>0</v>
      </c>
      <c r="AL486" s="112" t="str">
        <f t="shared" si="9"/>
        <v>EMP0042 HULESHWAR KUMAR SAHU</v>
      </c>
      <c r="AM486" s="113"/>
      <c r="AN486" s="114" t="s">
        <v>672</v>
      </c>
      <c r="AO486" s="115"/>
      <c r="AP486" s="115"/>
      <c r="AQ486" s="115"/>
      <c r="AR486" s="115"/>
      <c r="AS486" s="115"/>
      <c r="AT486" s="115"/>
      <c r="AU486" s="115"/>
      <c r="AV486" s="115"/>
      <c r="AW486" s="115"/>
      <c r="AX486" s="115"/>
      <c r="AY486" s="115"/>
    </row>
    <row r="487">
      <c r="A487" s="95">
        <f t="shared" si="11"/>
        <v>5438</v>
      </c>
      <c r="B487" s="96">
        <v>46232.51430083333</v>
      </c>
      <c r="C487" s="97" t="s">
        <v>1966</v>
      </c>
      <c r="D487" s="97" t="s">
        <v>141</v>
      </c>
      <c r="E487" s="98" t="s">
        <v>2402</v>
      </c>
      <c r="F487" s="97"/>
      <c r="G487" s="97" t="s">
        <v>211</v>
      </c>
      <c r="H487" s="99" t="s">
        <v>126</v>
      </c>
      <c r="I487" s="100" t="s">
        <v>64</v>
      </c>
      <c r="J487" s="101" t="s">
        <v>141</v>
      </c>
      <c r="K487" s="100"/>
      <c r="L487" s="102" t="s">
        <v>2403</v>
      </c>
      <c r="M487" s="103">
        <f>if(B487,if(and(hour(B487+M$7)&gt;9.5,(hour(B487+M$7)&lt;19.5)),B487+M$7,_xlfn.workday.intl(int(B487),1,"0000001",Holidays!A:A)+hour(B487+M$7-$B$1)/24+minute(B487)/1440),"")</f>
        <v>46232.68097</v>
      </c>
      <c r="N487" s="104">
        <v>46232.62595696759</v>
      </c>
      <c r="O487" s="105" t="s">
        <v>14</v>
      </c>
      <c r="P487" s="106">
        <f t="shared" si="1"/>
        <v>0</v>
      </c>
      <c r="Q487" s="107" t="s">
        <v>15</v>
      </c>
      <c r="R487" s="108" t="s">
        <v>434</v>
      </c>
      <c r="S487" s="103">
        <f>if(M487,if(and(hour(M487+S$7)&gt;9.5,(hour(M487+S$7)&lt;19.5)),M487+S$7,_xlfn.workday.intl(int(M487),1,"0000001",Holidays!A:A)+hour(M487+S$7-$B$1)/24+minute(M487)/1440),"")</f>
        <v>46232.68791</v>
      </c>
      <c r="T487" s="104">
        <v>46232.62604553241</v>
      </c>
      <c r="U487" s="105" t="s">
        <v>14</v>
      </c>
      <c r="V487" s="109">
        <f t="shared" si="2"/>
        <v>0</v>
      </c>
      <c r="W487" s="110" t="str">
        <f t="shared" si="3"/>
        <v>EMP0042 HULESHWAR KUMAR SAHU</v>
      </c>
      <c r="X487" s="103">
        <f>if(S487,if(and(hour(S487+X$7)&gt;9.5,(hour(S487+X$7)&lt;19.5)),S487+X$7,_xlfn.workday.intl(int(S487),1,"0000001",Holidays!A:A)+hour(S487+X$7-$B$1)/24+minute(S487)/1440),"")</f>
        <v>46232.79208</v>
      </c>
      <c r="Y487" s="104">
        <v>46232.69821870371</v>
      </c>
      <c r="Z487" s="105" t="s">
        <v>14</v>
      </c>
      <c r="AA487" s="111">
        <f t="shared" si="4"/>
        <v>0</v>
      </c>
      <c r="AB487" s="110" t="str">
        <f t="shared" si="5"/>
        <v>EMP0042 HULESHWAR KUMAR SAHU</v>
      </c>
      <c r="AC487" s="103">
        <f>if(X487,_xlfn.WORKDAY.INTL(X487,AC$7,"0000001",Holidays!A:A)+hour(X487)/24+MINUTE(X487)/1440,"")</f>
        <v>46233.79167</v>
      </c>
      <c r="AD487" s="104">
        <v>46232.89408966435</v>
      </c>
      <c r="AE487" s="105" t="s">
        <v>14</v>
      </c>
      <c r="AF487" s="111">
        <f t="shared" si="6"/>
        <v>0</v>
      </c>
      <c r="AG487" s="110" t="str">
        <f t="shared" si="7"/>
        <v>EMP0042 HULESHWAR KUMAR SAHU</v>
      </c>
      <c r="AH487" s="103">
        <f>if(AC487,if(and(hour(AC487+AH$7)&gt;9.5,(hour(AC487+AH$7)&lt;19.5)),AC487+AH$7,_xlfn.workday.intl(int(AC487),1,"0000001",Holidays!A:A)+hour(AC487+AH$7-$B$1)/24+minute(AC487)/1440),"")</f>
        <v>46234.41667</v>
      </c>
      <c r="AI487" s="104">
        <v>46232.8941849074</v>
      </c>
      <c r="AJ487" s="105" t="s">
        <v>14</v>
      </c>
      <c r="AK487" s="111">
        <f t="shared" si="8"/>
        <v>0</v>
      </c>
      <c r="AL487" s="112" t="str">
        <f t="shared" si="9"/>
        <v>EMP0042 HULESHWAR KUMAR SAHU</v>
      </c>
      <c r="AM487" s="113"/>
      <c r="AN487" s="114" t="s">
        <v>672</v>
      </c>
      <c r="AO487" s="115"/>
      <c r="AP487" s="115"/>
      <c r="AQ487" s="115"/>
      <c r="AR487" s="115"/>
      <c r="AS487" s="115"/>
      <c r="AT487" s="115"/>
      <c r="AU487" s="115"/>
      <c r="AV487" s="115"/>
      <c r="AW487" s="115"/>
      <c r="AX487" s="115"/>
      <c r="AY487" s="115"/>
    </row>
    <row r="488">
      <c r="A488" s="95">
        <f t="shared" si="11"/>
        <v>5439</v>
      </c>
      <c r="B488" s="96">
        <v>46232.517431354165</v>
      </c>
      <c r="C488" s="97" t="s">
        <v>1972</v>
      </c>
      <c r="D488" s="97" t="s">
        <v>186</v>
      </c>
      <c r="E488" s="98" t="s">
        <v>2404</v>
      </c>
      <c r="F488" s="97"/>
      <c r="G488" s="97" t="s">
        <v>2405</v>
      </c>
      <c r="H488" s="99" t="s">
        <v>147</v>
      </c>
      <c r="I488" s="100" t="s">
        <v>64</v>
      </c>
      <c r="J488" s="101" t="s">
        <v>1178</v>
      </c>
      <c r="K488" s="100"/>
      <c r="L488" s="102" t="s">
        <v>2406</v>
      </c>
      <c r="M488" s="103">
        <f>if(B488,if(and(hour(B488+M$7)&gt;9.5,(hour(B488+M$7)&lt;19.5)),B488+M$7,_xlfn.workday.intl(int(B488),1,"0000001",Holidays!A:A)+hour(B488+M$7-$B$1)/24+minute(B488)/1440),"")</f>
        <v>46232.6841</v>
      </c>
      <c r="N488" s="104">
        <v>46232.62595696759</v>
      </c>
      <c r="O488" s="105" t="s">
        <v>14</v>
      </c>
      <c r="P488" s="106">
        <f t="shared" si="1"/>
        <v>0</v>
      </c>
      <c r="Q488" s="107" t="s">
        <v>15</v>
      </c>
      <c r="R488" s="108" t="s">
        <v>434</v>
      </c>
      <c r="S488" s="103">
        <f>if(M488,if(and(hour(M488+S$7)&gt;9.5,(hour(M488+S$7)&lt;19.5)),M488+S$7,_xlfn.workday.intl(int(M488),1,"0000001",Holidays!A:A)+hour(M488+S$7-$B$1)/24+minute(M488)/1440),"")</f>
        <v>46232.69104</v>
      </c>
      <c r="T488" s="104">
        <v>46232.6260775</v>
      </c>
      <c r="U488" s="105" t="s">
        <v>14</v>
      </c>
      <c r="V488" s="109">
        <f t="shared" si="2"/>
        <v>0</v>
      </c>
      <c r="W488" s="110" t="str">
        <f t="shared" si="3"/>
        <v>EMP0042 HULESHWAR KUMAR SAHU</v>
      </c>
      <c r="X488" s="103">
        <f>if(S488,if(and(hour(S488+X$7)&gt;9.5,(hour(S488+X$7)&lt;19.5)),S488+X$7,_xlfn.workday.intl(int(S488),1,"0000001",Holidays!A:A)+hour(S488+X$7-$B$1)/24+minute(S488)/1440),"")</f>
        <v>46232.79521</v>
      </c>
      <c r="Y488" s="104">
        <v>46232.69824054398</v>
      </c>
      <c r="Z488" s="105" t="s">
        <v>14</v>
      </c>
      <c r="AA488" s="111">
        <f t="shared" si="4"/>
        <v>0</v>
      </c>
      <c r="AB488" s="110" t="str">
        <f t="shared" si="5"/>
        <v>EMP0042 HULESHWAR KUMAR SAHU</v>
      </c>
      <c r="AC488" s="103">
        <f>if(X488,_xlfn.WORKDAY.INTL(X488,AC$7,"0000001",Holidays!A:A)+hour(X488)/24+MINUTE(X488)/1440,"")</f>
        <v>46233.79514</v>
      </c>
      <c r="AD488" s="104">
        <v>46232.89411320601</v>
      </c>
      <c r="AE488" s="105" t="s">
        <v>14</v>
      </c>
      <c r="AF488" s="111">
        <f t="shared" si="6"/>
        <v>0</v>
      </c>
      <c r="AG488" s="110" t="str">
        <f t="shared" si="7"/>
        <v>EMP0042 HULESHWAR KUMAR SAHU</v>
      </c>
      <c r="AH488" s="103">
        <f>if(AC488,if(and(hour(AC488+AH$7)&gt;9.5,(hour(AC488+AH$7)&lt;19.5)),AC488+AH$7,_xlfn.workday.intl(int(AC488),1,"0000001",Holidays!A:A)+hour(AC488+AH$7-$B$1)/24+minute(AC488)/1440),"")</f>
        <v>46234.42014</v>
      </c>
      <c r="AI488" s="104">
        <v>46232.89417119213</v>
      </c>
      <c r="AJ488" s="105" t="s">
        <v>14</v>
      </c>
      <c r="AK488" s="111">
        <f t="shared" si="8"/>
        <v>0</v>
      </c>
      <c r="AL488" s="112" t="str">
        <f t="shared" si="9"/>
        <v>EMP0042 HULESHWAR KUMAR SAHU</v>
      </c>
      <c r="AM488" s="113"/>
      <c r="AN488" s="114" t="s">
        <v>672</v>
      </c>
      <c r="AO488" s="115"/>
      <c r="AP488" s="115"/>
      <c r="AQ488" s="115"/>
      <c r="AR488" s="115"/>
      <c r="AS488" s="115"/>
      <c r="AT488" s="115"/>
      <c r="AU488" s="115"/>
      <c r="AV488" s="115"/>
      <c r="AW488" s="115"/>
      <c r="AX488" s="115"/>
      <c r="AY488" s="115"/>
    </row>
    <row r="489">
      <c r="A489" s="95">
        <f t="shared" si="11"/>
        <v>5440</v>
      </c>
      <c r="B489" s="96">
        <v>46233.54333313658</v>
      </c>
      <c r="C489" s="97" t="s">
        <v>355</v>
      </c>
      <c r="D489" s="97" t="s">
        <v>122</v>
      </c>
      <c r="E489" s="98" t="s">
        <v>2407</v>
      </c>
      <c r="F489" s="98" t="s">
        <v>2410</v>
      </c>
      <c r="G489" s="97" t="s">
        <v>2408</v>
      </c>
      <c r="H489" s="99" t="s">
        <v>103</v>
      </c>
      <c r="I489" s="100" t="s">
        <v>64</v>
      </c>
      <c r="J489" s="101" t="s">
        <v>198</v>
      </c>
      <c r="K489" s="100"/>
      <c r="L489" s="102" t="s">
        <v>2409</v>
      </c>
      <c r="M489" s="103">
        <f>if(B489,if(and(hour(B489+M$7)&gt;9.5,(hour(B489+M$7)&lt;19.5)),B489+M$7,_xlfn.workday.intl(int(B489),1,"0000001",Holidays!A:A)+hour(B489+M$7-$B$1)/24+minute(B489)/1440),"")</f>
        <v>46233.71</v>
      </c>
      <c r="N489" s="104">
        <v>46233.565383113426</v>
      </c>
      <c r="O489" s="105" t="s">
        <v>14</v>
      </c>
      <c r="P489" s="106">
        <f t="shared" si="1"/>
        <v>0</v>
      </c>
      <c r="Q489" s="107" t="s">
        <v>15</v>
      </c>
      <c r="R489" s="108" t="s">
        <v>434</v>
      </c>
      <c r="S489" s="103">
        <f>if(M489,if(and(hour(M489+S$7)&gt;9.5,(hour(M489+S$7)&lt;19.5)),M489+S$7,_xlfn.workday.intl(int(M489),1,"0000001",Holidays!A:A)+hour(M489+S$7-$B$1)/24+minute(M489)/1440),"")</f>
        <v>46233.71694</v>
      </c>
      <c r="T489" s="104">
        <v>46233.56545480324</v>
      </c>
      <c r="U489" s="105" t="s">
        <v>14</v>
      </c>
      <c r="V489" s="109">
        <f t="shared" si="2"/>
        <v>0</v>
      </c>
      <c r="W489" s="110" t="str">
        <f t="shared" si="3"/>
        <v>EMP0042 HULESHWAR KUMAR SAHU</v>
      </c>
      <c r="X489" s="103">
        <f>if(S489,if(and(hour(S489+X$7)&gt;9.5,(hour(S489+X$7)&lt;19.5)),S489+X$7,_xlfn.workday.intl(int(S489),1,"0000001",Holidays!A:A)+hour(S489+X$7-$B$1)/24+minute(S489)/1440),"")</f>
        <v>46233.82111</v>
      </c>
      <c r="Y489" s="104">
        <v>46233.56550025463</v>
      </c>
      <c r="Z489" s="105" t="s">
        <v>14</v>
      </c>
      <c r="AA489" s="111">
        <f t="shared" si="4"/>
        <v>0</v>
      </c>
      <c r="AB489" s="110" t="str">
        <f t="shared" si="5"/>
        <v>EMP0042 HULESHWAR KUMAR SAHU</v>
      </c>
      <c r="AC489" s="103">
        <f>if(X489,_xlfn.WORKDAY.INTL(X489,AC$7,"0000001",Holidays!A:A)+hour(X489)/24+MINUTE(X489)/1440,"")</f>
        <v>46234.82083</v>
      </c>
      <c r="AD489" s="104">
        <v>46234.784332916664</v>
      </c>
      <c r="AE489" s="105" t="s">
        <v>14</v>
      </c>
      <c r="AF489" s="111">
        <f t="shared" si="6"/>
        <v>0</v>
      </c>
      <c r="AG489" s="110" t="str">
        <f t="shared" si="7"/>
        <v>EMP0042 HULESHWAR KUMAR SAHU</v>
      </c>
      <c r="AH489" s="103">
        <f>if(AC489,if(and(hour(AC489+AH$7)&gt;9.5,(hour(AC489+AH$7)&lt;19.5)),AC489+AH$7,_xlfn.workday.intl(int(AC489),1,"0000001",Holidays!A:A)+hour(AC489+AH$7-$B$1)/24+minute(AC489)/1440),"")</f>
        <v>46235.44583</v>
      </c>
      <c r="AI489" s="104">
        <v>46234.784398194446</v>
      </c>
      <c r="AJ489" s="105" t="s">
        <v>14</v>
      </c>
      <c r="AK489" s="111">
        <f t="shared" si="8"/>
        <v>0</v>
      </c>
      <c r="AL489" s="112" t="str">
        <f t="shared" si="9"/>
        <v>EMP0042 HULESHWAR KUMAR SAHU</v>
      </c>
      <c r="AM489" s="113"/>
      <c r="AN489" s="114" t="s">
        <v>672</v>
      </c>
      <c r="AO489" s="115"/>
      <c r="AP489" s="115"/>
      <c r="AQ489" s="115"/>
      <c r="AR489" s="115"/>
      <c r="AS489" s="115"/>
      <c r="AT489" s="115"/>
      <c r="AU489" s="115"/>
      <c r="AV489" s="115"/>
      <c r="AW489" s="115"/>
      <c r="AX489" s="115"/>
      <c r="AY489" s="115"/>
    </row>
    <row r="490">
      <c r="A490" s="95">
        <f t="shared" si="11"/>
        <v>5441</v>
      </c>
      <c r="B490" s="96">
        <v>46233.624517233795</v>
      </c>
      <c r="C490" s="97" t="s">
        <v>1979</v>
      </c>
      <c r="D490" s="97" t="s">
        <v>334</v>
      </c>
      <c r="E490" s="98" t="s">
        <v>2412</v>
      </c>
      <c r="F490" s="98" t="s">
        <v>2415</v>
      </c>
      <c r="G490" s="97" t="s">
        <v>2413</v>
      </c>
      <c r="H490" s="99" t="s">
        <v>62</v>
      </c>
      <c r="I490" s="100" t="s">
        <v>64</v>
      </c>
      <c r="J490" s="101" t="s">
        <v>2411</v>
      </c>
      <c r="K490" s="100"/>
      <c r="L490" s="102" t="s">
        <v>2414</v>
      </c>
      <c r="M490" s="103">
        <f>if(B490,if(and(hour(B490+M$7)&gt;9.5,(hour(B490+M$7)&lt;19.5)),B490+M$7,_xlfn.workday.intl(int(B490),1,"0000001",Holidays!A:A)+hour(B490+M$7-$B$1)/24+minute(B490)/1440),"")</f>
        <v>46233.79118</v>
      </c>
      <c r="N490" s="104">
        <v>46233.71732193287</v>
      </c>
      <c r="O490" s="105" t="s">
        <v>14</v>
      </c>
      <c r="P490" s="106">
        <f t="shared" si="1"/>
        <v>0</v>
      </c>
      <c r="Q490" s="107" t="s">
        <v>72</v>
      </c>
      <c r="R490" s="108" t="s">
        <v>434</v>
      </c>
      <c r="S490" s="103">
        <f>if(M490,if(and(hour(M490+S$7)&gt;9.5,(hour(M490+S$7)&lt;19.5)),M490+S$7,_xlfn.workday.intl(int(M490),1,"0000001",Holidays!A:A)+hour(M490+S$7-$B$1)/24+minute(M490)/1440),"")</f>
        <v>46233.79813</v>
      </c>
      <c r="T490" s="104">
        <v>46233.71742195602</v>
      </c>
      <c r="U490" s="105" t="s">
        <v>14</v>
      </c>
      <c r="V490" s="109">
        <f t="shared" si="2"/>
        <v>0</v>
      </c>
      <c r="W490" s="110" t="str">
        <f t="shared" si="3"/>
        <v>EMP5009 Rup Kumar Mandal</v>
      </c>
      <c r="X490" s="103">
        <f>if(S490,if(and(hour(S490+X$7)&gt;9.5,(hour(S490+X$7)&lt;19.5)),S490+X$7,_xlfn.workday.intl(int(S490),1,"0000001",Holidays!A:A)+hour(S490+X$7-$B$1)/24+minute(S490)/1440),"")</f>
        <v>46234.46458</v>
      </c>
      <c r="Y490" s="104">
        <v>46233.83254408565</v>
      </c>
      <c r="Z490" s="105" t="s">
        <v>14</v>
      </c>
      <c r="AA490" s="111">
        <f t="shared" si="4"/>
        <v>0</v>
      </c>
      <c r="AB490" s="110" t="str">
        <f t="shared" si="5"/>
        <v>EMP5009 Rup Kumar Mandal</v>
      </c>
      <c r="AC490" s="103">
        <f>if(X490,_xlfn.WORKDAY.INTL(X490,AC$7,"0000001",Holidays!A:A)+hour(X490)/24+MINUTE(X490)/1440,"")</f>
        <v>46235.46458</v>
      </c>
      <c r="AD490" s="104">
        <v>46234.79736491898</v>
      </c>
      <c r="AE490" s="105" t="s">
        <v>14</v>
      </c>
      <c r="AF490" s="111">
        <f t="shared" si="6"/>
        <v>0</v>
      </c>
      <c r="AG490" s="110" t="str">
        <f t="shared" si="7"/>
        <v>EMP5009 Rup Kumar Mandal</v>
      </c>
      <c r="AH490" s="103">
        <f>if(AC490,if(and(hour(AC490+AH$7)&gt;9.5,(hour(AC490+AH$7)&lt;19.5)),AC490+AH$7,_xlfn.workday.intl(int(AC490),1,"0000001",Holidays!A:A)+hour(AC490+AH$7-$B$1)/24+minute(AC490)/1440),"")</f>
        <v>46235.50625</v>
      </c>
      <c r="AI490" s="104">
        <v>46234.797402083335</v>
      </c>
      <c r="AJ490" s="105" t="s">
        <v>14</v>
      </c>
      <c r="AK490" s="111">
        <f t="shared" si="8"/>
        <v>0</v>
      </c>
      <c r="AL490" s="112" t="str">
        <f t="shared" si="9"/>
        <v>EMP5009 Rup Kumar Mandal</v>
      </c>
      <c r="AM490" s="113"/>
      <c r="AN490" s="114" t="s">
        <v>672</v>
      </c>
      <c r="AO490" s="115"/>
      <c r="AP490" s="115"/>
      <c r="AQ490" s="115"/>
      <c r="AR490" s="115"/>
      <c r="AS490" s="115"/>
      <c r="AT490" s="115"/>
      <c r="AU490" s="115"/>
      <c r="AV490" s="115"/>
      <c r="AW490" s="115"/>
      <c r="AX490" s="115"/>
      <c r="AY490" s="115"/>
    </row>
    <row r="491">
      <c r="A491" s="95">
        <f t="shared" si="11"/>
        <v>5442</v>
      </c>
      <c r="B491" s="96">
        <v>46234.50277872685</v>
      </c>
      <c r="C491" s="97" t="s">
        <v>1014</v>
      </c>
      <c r="D491" s="97" t="s">
        <v>186</v>
      </c>
      <c r="E491" s="98" t="s">
        <v>2416</v>
      </c>
      <c r="F491" s="97"/>
      <c r="G491" s="97" t="s">
        <v>2417</v>
      </c>
      <c r="H491" s="99" t="s">
        <v>138</v>
      </c>
      <c r="I491" s="100" t="s">
        <v>64</v>
      </c>
      <c r="J491" s="101" t="s">
        <v>303</v>
      </c>
      <c r="K491" s="100"/>
      <c r="L491" s="102" t="s">
        <v>2418</v>
      </c>
      <c r="M491" s="103">
        <f>if(B491,if(and(hour(B491+M$7)&gt;9.5,(hour(B491+M$7)&lt;19.5)),B491+M$7,_xlfn.workday.intl(int(B491),1,"0000001",Holidays!A:A)+hour(B491+M$7-$B$1)/24+minute(B491)/1440),"")</f>
        <v>46234.66945</v>
      </c>
      <c r="N491" s="104">
        <v>46234.656493055554</v>
      </c>
      <c r="O491" s="105" t="s">
        <v>14</v>
      </c>
      <c r="P491" s="106">
        <f t="shared" si="1"/>
        <v>0</v>
      </c>
      <c r="Q491" s="107" t="s">
        <v>15</v>
      </c>
      <c r="R491" s="108" t="s">
        <v>434</v>
      </c>
      <c r="S491" s="103">
        <f>if(M491,if(and(hour(M491+S$7)&gt;9.5,(hour(M491+S$7)&lt;19.5)),M491+S$7,_xlfn.workday.intl(int(M491),1,"0000001",Holidays!A:A)+hour(M491+S$7-$B$1)/24+minute(M491)/1440),"")</f>
        <v>46234.67639</v>
      </c>
      <c r="T491" s="104">
        <v>46234.6565625</v>
      </c>
      <c r="U491" s="105" t="s">
        <v>14</v>
      </c>
      <c r="V491" s="109">
        <f t="shared" si="2"/>
        <v>0</v>
      </c>
      <c r="W491" s="110" t="str">
        <f t="shared" si="3"/>
        <v>EMP0042 HULESHWAR KUMAR SAHU</v>
      </c>
      <c r="X491" s="103">
        <f>if(S491,if(and(hour(S491+X$7)&gt;9.5,(hour(S491+X$7)&lt;19.5)),S491+X$7,_xlfn.workday.intl(int(S491),1,"0000001",Holidays!A:A)+hour(S491+X$7-$B$1)/24+minute(S491)/1440),"")</f>
        <v>46234.78056</v>
      </c>
      <c r="Y491" s="104">
        <v>46234.6568287037</v>
      </c>
      <c r="Z491" s="105" t="s">
        <v>14</v>
      </c>
      <c r="AA491" s="111">
        <f t="shared" si="4"/>
        <v>0</v>
      </c>
      <c r="AB491" s="110" t="str">
        <f t="shared" si="5"/>
        <v>EMP0042 HULESHWAR KUMAR SAHU</v>
      </c>
      <c r="AC491" s="103">
        <f>if(X491,_xlfn.WORKDAY.INTL(X491,AC$7,"0000001",Holidays!A:A)+hour(X491)/24+MINUTE(X491)/1440,"")</f>
        <v>46235.78056</v>
      </c>
      <c r="AD491" s="104">
        <v>46234.791437569445</v>
      </c>
      <c r="AE491" s="105" t="s">
        <v>14</v>
      </c>
      <c r="AF491" s="111">
        <f t="shared" si="6"/>
        <v>0</v>
      </c>
      <c r="AG491" s="110" t="str">
        <f t="shared" si="7"/>
        <v>EMP0042 HULESHWAR KUMAR SAHU</v>
      </c>
      <c r="AH491" s="103">
        <f>if(AC491,if(and(hour(AC491+AH$7)&gt;9.5,(hour(AC491+AH$7)&lt;19.5)),AC491+AH$7,_xlfn.workday.intl(int(AC491),1,"0000001",Holidays!A:A)+hour(AC491+AH$7-$B$1)/24+minute(AC491)/1440),"")</f>
        <v>46235.82222</v>
      </c>
      <c r="AI491" s="104">
        <v>46234.79135597222</v>
      </c>
      <c r="AJ491" s="105" t="s">
        <v>14</v>
      </c>
      <c r="AK491" s="111">
        <f t="shared" si="8"/>
        <v>0</v>
      </c>
      <c r="AL491" s="112" t="str">
        <f t="shared" si="9"/>
        <v>EMP0042 HULESHWAR KUMAR SAHU</v>
      </c>
      <c r="AM491" s="113"/>
      <c r="AN491" s="114" t="s">
        <v>672</v>
      </c>
      <c r="AO491" s="115"/>
      <c r="AP491" s="115"/>
      <c r="AQ491" s="115"/>
      <c r="AR491" s="115"/>
      <c r="AS491" s="115"/>
      <c r="AT491" s="115"/>
      <c r="AU491" s="115"/>
      <c r="AV491" s="115"/>
      <c r="AW491" s="115"/>
      <c r="AX491" s="115"/>
      <c r="AY491" s="115"/>
    </row>
    <row r="492">
      <c r="A492" s="95">
        <f t="shared" si="11"/>
        <v>5443</v>
      </c>
      <c r="B492" s="96">
        <v>46234.503897222225</v>
      </c>
      <c r="C492" s="97" t="s">
        <v>1989</v>
      </c>
      <c r="D492" s="97" t="s">
        <v>186</v>
      </c>
      <c r="E492" s="98" t="s">
        <v>2419</v>
      </c>
      <c r="F492" s="97"/>
      <c r="G492" s="97" t="s">
        <v>2420</v>
      </c>
      <c r="H492" s="99" t="s">
        <v>126</v>
      </c>
      <c r="I492" s="100" t="s">
        <v>64</v>
      </c>
      <c r="J492" s="101" t="s">
        <v>1178</v>
      </c>
      <c r="K492" s="100"/>
      <c r="L492" s="102" t="s">
        <v>2421</v>
      </c>
      <c r="M492" s="103">
        <f>if(B492,if(and(hour(B492+M$7)&gt;9.5,(hour(B492+M$7)&lt;19.5)),B492+M$7,_xlfn.workday.intl(int(B492),1,"0000001",Holidays!A:A)+hour(B492+M$7-$B$1)/24+minute(B492)/1440),"")</f>
        <v>46234.67056</v>
      </c>
      <c r="N492" s="104">
        <v>46234.65650462963</v>
      </c>
      <c r="O492" s="105" t="s">
        <v>14</v>
      </c>
      <c r="P492" s="106">
        <f t="shared" si="1"/>
        <v>0</v>
      </c>
      <c r="Q492" s="107" t="s">
        <v>15</v>
      </c>
      <c r="R492" s="108" t="s">
        <v>434</v>
      </c>
      <c r="S492" s="103">
        <f>if(M492,if(and(hour(M492+S$7)&gt;9.5,(hour(M492+S$7)&lt;19.5)),M492+S$7,_xlfn.workday.intl(int(M492),1,"0000001",Holidays!A:A)+hour(M492+S$7-$B$1)/24+minute(M492)/1440),"")</f>
        <v>46234.67751</v>
      </c>
      <c r="T492" s="104">
        <v>46234.65659722222</v>
      </c>
      <c r="U492" s="105" t="s">
        <v>14</v>
      </c>
      <c r="V492" s="109">
        <f t="shared" si="2"/>
        <v>0</v>
      </c>
      <c r="W492" s="110" t="str">
        <f t="shared" si="3"/>
        <v>EMP0042 HULESHWAR KUMAR SAHU</v>
      </c>
      <c r="X492" s="103">
        <f>if(S492,if(and(hour(S492+X$7)&gt;9.5,(hour(S492+X$7)&lt;19.5)),S492+X$7,_xlfn.workday.intl(int(S492),1,"0000001",Holidays!A:A)+hour(S492+X$7-$B$1)/24+minute(S492)/1440),"")</f>
        <v>46234.78168</v>
      </c>
      <c r="Y492" s="104">
        <v>46234.657060185185</v>
      </c>
      <c r="Z492" s="105" t="s">
        <v>14</v>
      </c>
      <c r="AA492" s="111">
        <f t="shared" si="4"/>
        <v>0</v>
      </c>
      <c r="AB492" s="110" t="str">
        <f t="shared" si="5"/>
        <v>EMP0042 HULESHWAR KUMAR SAHU</v>
      </c>
      <c r="AC492" s="103">
        <f>if(X492,_xlfn.WORKDAY.INTL(X492,AC$7,"0000001",Holidays!A:A)+hour(X492)/24+MINUTE(X492)/1440,"")</f>
        <v>46235.78125</v>
      </c>
      <c r="AD492" s="104">
        <v>46234.791746863426</v>
      </c>
      <c r="AE492" s="105" t="s">
        <v>14</v>
      </c>
      <c r="AF492" s="111">
        <f t="shared" si="6"/>
        <v>0</v>
      </c>
      <c r="AG492" s="110" t="str">
        <f t="shared" si="7"/>
        <v>EMP0042 HULESHWAR KUMAR SAHU</v>
      </c>
      <c r="AH492" s="103">
        <f>if(AC492,if(and(hour(AC492+AH$7)&gt;9.5,(hour(AC492+AH$7)&lt;19.5)),AC492+AH$7,_xlfn.workday.intl(int(AC492),1,"0000001",Holidays!A:A)+hour(AC492+AH$7-$B$1)/24+minute(AC492)/1440),"")</f>
        <v>46235.82292</v>
      </c>
      <c r="AI492" s="104">
        <v>46234.79181766204</v>
      </c>
      <c r="AJ492" s="105" t="s">
        <v>14</v>
      </c>
      <c r="AK492" s="111">
        <f t="shared" si="8"/>
        <v>0</v>
      </c>
      <c r="AL492" s="112" t="str">
        <f t="shared" si="9"/>
        <v>EMP0042 HULESHWAR KUMAR SAHU</v>
      </c>
      <c r="AM492" s="113"/>
      <c r="AN492" s="114" t="s">
        <v>672</v>
      </c>
      <c r="AO492" s="115"/>
      <c r="AP492" s="115"/>
      <c r="AQ492" s="115"/>
      <c r="AR492" s="115"/>
      <c r="AS492" s="115"/>
      <c r="AT492" s="115"/>
      <c r="AU492" s="115"/>
      <c r="AV492" s="115"/>
      <c r="AW492" s="115"/>
      <c r="AX492" s="115"/>
      <c r="AY492" s="115"/>
    </row>
    <row r="493">
      <c r="A493" s="95">
        <f t="shared" si="11"/>
        <v>5444</v>
      </c>
      <c r="B493" s="96">
        <v>46234.617532187505</v>
      </c>
      <c r="C493" s="97" t="s">
        <v>1992</v>
      </c>
      <c r="D493" s="97" t="s">
        <v>277</v>
      </c>
      <c r="E493" s="98" t="s">
        <v>2422</v>
      </c>
      <c r="F493" s="97"/>
      <c r="G493" s="97" t="s">
        <v>2423</v>
      </c>
      <c r="H493" s="99" t="s">
        <v>62</v>
      </c>
      <c r="I493" s="100" t="s">
        <v>64</v>
      </c>
      <c r="J493" s="101" t="s">
        <v>67</v>
      </c>
      <c r="K493" s="100"/>
      <c r="L493" s="102" t="s">
        <v>76</v>
      </c>
      <c r="M493" s="103">
        <f>if(B493,if(and(hour(B493+M$7)&gt;9.5,(hour(B493+M$7)&lt;19.5)),B493+M$7,_xlfn.workday.intl(int(B493),1,"0000001",Holidays!A:A)+hour(B493+M$7-$B$1)/24+minute(B493)/1440),"")</f>
        <v>46234.7842</v>
      </c>
      <c r="N493" s="104">
        <v>46234.78165348379</v>
      </c>
      <c r="O493" s="105" t="s">
        <v>14</v>
      </c>
      <c r="P493" s="106">
        <f t="shared" si="1"/>
        <v>0</v>
      </c>
      <c r="Q493" s="107" t="s">
        <v>72</v>
      </c>
      <c r="R493" s="108" t="s">
        <v>434</v>
      </c>
      <c r="S493" s="103">
        <f>if(M493,if(and(hour(M493+S$7)&gt;9.5,(hour(M493+S$7)&lt;19.5)),M493+S$7,_xlfn.workday.intl(int(M493),1,"0000001",Holidays!A:A)+hour(M493+S$7-$B$1)/24+minute(M493)/1440),"")</f>
        <v>46234.79114</v>
      </c>
      <c r="T493" s="104">
        <v>46234.78218759259</v>
      </c>
      <c r="U493" s="105" t="s">
        <v>14</v>
      </c>
      <c r="V493" s="109">
        <f t="shared" si="2"/>
        <v>0</v>
      </c>
      <c r="W493" s="110" t="str">
        <f t="shared" si="3"/>
        <v>EMP5009 Rup Kumar Mandal</v>
      </c>
      <c r="X493" s="103">
        <f>if(S493,if(and(hour(S493+X$7)&gt;9.5,(hour(S493+X$7)&lt;19.5)),S493+X$7,_xlfn.workday.intl(int(S493),1,"0000001",Holidays!A:A)+hour(S493+X$7-$B$1)/24+minute(S493)/1440),"")</f>
        <v>46235.49931</v>
      </c>
      <c r="Y493" s="104">
        <v>46234.782298819446</v>
      </c>
      <c r="Z493" s="105" t="s">
        <v>14</v>
      </c>
      <c r="AA493" s="111">
        <f t="shared" si="4"/>
        <v>0</v>
      </c>
      <c r="AB493" s="110" t="str">
        <f t="shared" si="5"/>
        <v>EMP5009 Rup Kumar Mandal</v>
      </c>
      <c r="AC493" s="103">
        <f>if(X493,_xlfn.WORKDAY.INTL(X493,AC$7,"0000001",Holidays!A:A)+hour(X493)/24+MINUTE(X493)/1440,"")</f>
        <v>46237.49931</v>
      </c>
      <c r="AD493" s="104">
        <v>46237.3983299074</v>
      </c>
      <c r="AE493" s="105" t="s">
        <v>14</v>
      </c>
      <c r="AF493" s="111">
        <f t="shared" si="6"/>
        <v>0</v>
      </c>
      <c r="AG493" s="110" t="str">
        <f t="shared" si="7"/>
        <v>EMP5009 Rup Kumar Mandal</v>
      </c>
      <c r="AH493" s="103">
        <f>if(AC493,if(and(hour(AC493+AH$7)&gt;9.5,(hour(AC493+AH$7)&lt;19.5)),AC493+AH$7,_xlfn.workday.intl(int(AC493),1,"0000001",Holidays!A:A)+hour(AC493+AH$7-$B$1)/24+minute(AC493)/1440),"")</f>
        <v>46237.54097</v>
      </c>
      <c r="AI493" s="104">
        <v>46237.3983891088</v>
      </c>
      <c r="AJ493" s="105" t="s">
        <v>14</v>
      </c>
      <c r="AK493" s="111">
        <f t="shared" si="8"/>
        <v>0</v>
      </c>
      <c r="AL493" s="112" t="str">
        <f t="shared" si="9"/>
        <v>EMP5009 Rup Kumar Mandal</v>
      </c>
      <c r="AM493" s="113"/>
      <c r="AN493" s="114" t="s">
        <v>672</v>
      </c>
      <c r="AO493" s="115"/>
      <c r="AP493" s="115"/>
      <c r="AQ493" s="115"/>
      <c r="AR493" s="115"/>
      <c r="AS493" s="115"/>
      <c r="AT493" s="115"/>
      <c r="AU493" s="115"/>
      <c r="AV493" s="115"/>
      <c r="AW493" s="115"/>
      <c r="AX493" s="115"/>
      <c r="AY493" s="115"/>
    </row>
    <row r="494">
      <c r="A494" s="95">
        <f t="shared" si="11"/>
        <v>5445</v>
      </c>
      <c r="B494" s="96">
        <v>46234.65238240741</v>
      </c>
      <c r="C494" s="97" t="s">
        <v>1996</v>
      </c>
      <c r="D494" s="97" t="s">
        <v>186</v>
      </c>
      <c r="E494" s="98" t="s">
        <v>2424</v>
      </c>
      <c r="F494" s="98" t="s">
        <v>2426</v>
      </c>
      <c r="G494" s="97" t="s">
        <v>1996</v>
      </c>
      <c r="H494" s="99" t="s">
        <v>138</v>
      </c>
      <c r="I494" s="100" t="s">
        <v>64</v>
      </c>
      <c r="J494" s="101" t="s">
        <v>303</v>
      </c>
      <c r="K494" s="100"/>
      <c r="L494" s="102" t="s">
        <v>2425</v>
      </c>
      <c r="M494" s="103">
        <f>if(B494,if(and(hour(B494+M$7)&gt;9.5,(hour(B494+M$7)&lt;19.5)),B494+M$7,_xlfn.workday.intl(int(B494),1,"0000001",Holidays!A:A)+hour(B494+M$7-$B$1)/24+minute(B494)/1440),"")</f>
        <v>46234.81905</v>
      </c>
      <c r="N494" s="104">
        <v>46234.781913240746</v>
      </c>
      <c r="O494" s="105" t="s">
        <v>14</v>
      </c>
      <c r="P494" s="106">
        <f t="shared" si="1"/>
        <v>0</v>
      </c>
      <c r="Q494" s="107" t="s">
        <v>15</v>
      </c>
      <c r="R494" s="108" t="s">
        <v>434</v>
      </c>
      <c r="S494" s="103">
        <f>if(M494,if(and(hour(M494+S$7)&gt;9.5,(hour(M494+S$7)&lt;19.5)),M494+S$7,_xlfn.workday.intl(int(M494),1,"0000001",Holidays!A:A)+hour(M494+S$7-$B$1)/24+minute(M494)/1440),"")</f>
        <v>46234.82599</v>
      </c>
      <c r="T494" s="104">
        <v>46235.60121273148</v>
      </c>
      <c r="U494" s="105" t="s">
        <v>14</v>
      </c>
      <c r="V494" s="109">
        <f t="shared" si="2"/>
        <v>0.775219213</v>
      </c>
      <c r="W494" s="110" t="str">
        <f t="shared" si="3"/>
        <v>EMP0042 HULESHWAR KUMAR SAHU</v>
      </c>
      <c r="X494" s="103">
        <f>if(S494,if(and(hour(S494+X$7)&gt;9.5,(hour(S494+X$7)&lt;19.5)),S494+X$7,_xlfn.workday.intl(int(S494),1,"0000001",Holidays!A:A)+hour(S494+X$7-$B$1)/24+minute(S494)/1440),"")</f>
        <v>46235.53403</v>
      </c>
      <c r="Y494" s="104">
        <v>46234.782316296296</v>
      </c>
      <c r="Z494" s="105" t="s">
        <v>14</v>
      </c>
      <c r="AA494" s="111">
        <f t="shared" si="4"/>
        <v>0</v>
      </c>
      <c r="AB494" s="110" t="str">
        <f t="shared" si="5"/>
        <v>EMP0042 HULESHWAR KUMAR SAHU</v>
      </c>
      <c r="AC494" s="103">
        <f>if(X494,_xlfn.WORKDAY.INTL(X494,AC$7,"0000001",Holidays!A:A)+hour(X494)/24+MINUTE(X494)/1440,"")</f>
        <v>46237.53403</v>
      </c>
      <c r="AD494" s="104">
        <v>46235.60135561343</v>
      </c>
      <c r="AE494" s="105" t="s">
        <v>14</v>
      </c>
      <c r="AF494" s="111">
        <f t="shared" si="6"/>
        <v>0</v>
      </c>
      <c r="AG494" s="110" t="str">
        <f t="shared" si="7"/>
        <v>EMP0042 HULESHWAR KUMAR SAHU</v>
      </c>
      <c r="AH494" s="103">
        <f>if(AC494,if(and(hour(AC494+AH$7)&gt;9.5,(hour(AC494+AH$7)&lt;19.5)),AC494+AH$7,_xlfn.workday.intl(int(AC494),1,"0000001",Holidays!A:A)+hour(AC494+AH$7-$B$1)/24+minute(AC494)/1440),"")</f>
        <v>46237.57569</v>
      </c>
      <c r="AI494" s="104">
        <v>46236.391170648145</v>
      </c>
      <c r="AJ494" s="105" t="s">
        <v>14</v>
      </c>
      <c r="AK494" s="111">
        <f t="shared" si="8"/>
        <v>0</v>
      </c>
      <c r="AL494" s="112" t="str">
        <f t="shared" si="9"/>
        <v>EMP0042 HULESHWAR KUMAR SAHU</v>
      </c>
      <c r="AM494" s="113"/>
      <c r="AN494" s="114" t="s">
        <v>672</v>
      </c>
      <c r="AO494" s="115"/>
      <c r="AP494" s="115"/>
      <c r="AQ494" s="115"/>
      <c r="AR494" s="115"/>
      <c r="AS494" s="115"/>
      <c r="AT494" s="115"/>
      <c r="AU494" s="115"/>
      <c r="AV494" s="115"/>
      <c r="AW494" s="115"/>
      <c r="AX494" s="115"/>
      <c r="AY494" s="115"/>
    </row>
    <row r="495">
      <c r="A495" s="95">
        <f t="shared" si="11"/>
        <v>5446</v>
      </c>
      <c r="B495" s="96">
        <v>46235.548439398146</v>
      </c>
      <c r="C495" s="97" t="s">
        <v>1999</v>
      </c>
      <c r="D495" s="97" t="s">
        <v>186</v>
      </c>
      <c r="E495" s="98" t="s">
        <v>2427</v>
      </c>
      <c r="F495" s="98" t="s">
        <v>2430</v>
      </c>
      <c r="G495" s="97" t="s">
        <v>2428</v>
      </c>
      <c r="H495" s="99" t="s">
        <v>62</v>
      </c>
      <c r="I495" s="100" t="s">
        <v>64</v>
      </c>
      <c r="J495" s="101" t="s">
        <v>303</v>
      </c>
      <c r="K495" s="100"/>
      <c r="L495" s="102" t="s">
        <v>2429</v>
      </c>
      <c r="M495" s="103">
        <f>if(B495,if(and(hour(B495+M$7)&gt;9.5,(hour(B495+M$7)&lt;19.5)),B495+M$7,_xlfn.workday.intl(int(B495),1,"0000001",Holidays!A:A)+hour(B495+M$7-$B$1)/24+minute(B495)/1440),"")</f>
        <v>46235.71511</v>
      </c>
      <c r="N495" s="104">
        <v>46235.60110458333</v>
      </c>
      <c r="O495" s="105" t="s">
        <v>14</v>
      </c>
      <c r="P495" s="106">
        <f t="shared" si="1"/>
        <v>0</v>
      </c>
      <c r="Q495" s="107" t="s">
        <v>72</v>
      </c>
      <c r="R495" s="108" t="s">
        <v>434</v>
      </c>
      <c r="S495" s="103">
        <f>if(M495,if(and(hour(M495+S$7)&gt;9.5,(hour(M495+S$7)&lt;19.5)),M495+S$7,_xlfn.workday.intl(int(M495),1,"0000001",Holidays!A:A)+hour(M495+S$7-$B$1)/24+minute(M495)/1440),"")</f>
        <v>46235.72205</v>
      </c>
      <c r="T495" s="104">
        <v>46235.60117810185</v>
      </c>
      <c r="U495" s="105" t="s">
        <v>14</v>
      </c>
      <c r="V495" s="109">
        <f t="shared" si="2"/>
        <v>0</v>
      </c>
      <c r="W495" s="110" t="str">
        <f t="shared" si="3"/>
        <v>EMP5009 Rup Kumar Mandal</v>
      </c>
      <c r="X495" s="103">
        <f>if(S495,if(and(hour(S495+X$7)&gt;9.5,(hour(S495+X$7)&lt;19.5)),S495+X$7,_xlfn.workday.intl(int(S495),1,"0000001",Holidays!A:A)+hour(S495+X$7-$B$1)/24+minute(S495)/1440),"")</f>
        <v>46235.82622</v>
      </c>
      <c r="Y495" s="104">
        <v>46235.60126967593</v>
      </c>
      <c r="Z495" s="105" t="s">
        <v>14</v>
      </c>
      <c r="AA495" s="111">
        <f t="shared" si="4"/>
        <v>0</v>
      </c>
      <c r="AB495" s="110" t="str">
        <f t="shared" si="5"/>
        <v>EMP5009 Rup Kumar Mandal</v>
      </c>
      <c r="AC495" s="103">
        <f>if(X495,_xlfn.WORKDAY.INTL(X495,AC$7,"0000001",Holidays!A:A)+hour(X495)/24+MINUTE(X495)/1440,"")</f>
        <v>46237.82569</v>
      </c>
      <c r="AD495" s="104">
        <v>46235.60136811342</v>
      </c>
      <c r="AE495" s="105" t="s">
        <v>14</v>
      </c>
      <c r="AF495" s="111">
        <f t="shared" si="6"/>
        <v>0</v>
      </c>
      <c r="AG495" s="110" t="str">
        <f t="shared" si="7"/>
        <v>EMP5009 Rup Kumar Mandal</v>
      </c>
      <c r="AH495" s="103">
        <f>if(AC495,if(and(hour(AC495+AH$7)&gt;9.5,(hour(AC495+AH$7)&lt;19.5)),AC495+AH$7,_xlfn.workday.intl(int(AC495),1,"0000001",Holidays!A:A)+hour(AC495+AH$7-$B$1)/24+minute(AC495)/1440),"")</f>
        <v>46238.45069</v>
      </c>
      <c r="AI495" s="104">
        <v>46236.39119634259</v>
      </c>
      <c r="AJ495" s="105" t="s">
        <v>14</v>
      </c>
      <c r="AK495" s="111">
        <f t="shared" si="8"/>
        <v>0</v>
      </c>
      <c r="AL495" s="112" t="str">
        <f t="shared" si="9"/>
        <v>EMP5009 Rup Kumar Mandal</v>
      </c>
      <c r="AM495" s="113"/>
      <c r="AN495" s="114" t="s">
        <v>672</v>
      </c>
      <c r="AO495" s="115"/>
      <c r="AP495" s="115"/>
      <c r="AQ495" s="115"/>
      <c r="AR495" s="115"/>
      <c r="AS495" s="115"/>
      <c r="AT495" s="115"/>
      <c r="AU495" s="115"/>
      <c r="AV495" s="115"/>
      <c r="AW495" s="115"/>
      <c r="AX495" s="115"/>
      <c r="AY495" s="115"/>
    </row>
    <row r="496">
      <c r="A496" s="95">
        <f t="shared" si="11"/>
        <v>5447</v>
      </c>
      <c r="B496" s="96">
        <v>46238.44047857639</v>
      </c>
      <c r="C496" s="97" t="s">
        <v>166</v>
      </c>
      <c r="D496" s="97" t="s">
        <v>142</v>
      </c>
      <c r="E496" s="98" t="s">
        <v>2431</v>
      </c>
      <c r="F496" s="97"/>
      <c r="G496" s="97" t="s">
        <v>146</v>
      </c>
      <c r="H496" s="99" t="s">
        <v>147</v>
      </c>
      <c r="I496" s="100" t="s">
        <v>64</v>
      </c>
      <c r="J496" s="101" t="s">
        <v>141</v>
      </c>
      <c r="K496" s="100"/>
      <c r="L496" s="102" t="s">
        <v>2432</v>
      </c>
      <c r="M496" s="103">
        <f>if(B496,if(and(hour(B496+M$7)&gt;9.5,(hour(B496+M$7)&lt;19.5)),B496+M$7,_xlfn.workday.intl(int(B496),1,"0000001",Holidays!A:A)+hour(B496+M$7-$B$1)/24+minute(B496)/1440),"")</f>
        <v>46238.60715</v>
      </c>
      <c r="N496" s="104">
        <v>46238.52272545139</v>
      </c>
      <c r="O496" s="105" t="s">
        <v>14</v>
      </c>
      <c r="P496" s="106">
        <f t="shared" si="1"/>
        <v>0</v>
      </c>
      <c r="Q496" s="107" t="s">
        <v>15</v>
      </c>
      <c r="R496" s="108" t="s">
        <v>434</v>
      </c>
      <c r="S496" s="103">
        <f>if(M496,if(and(hour(M496+S$7)&gt;9.5,(hour(M496+S$7)&lt;19.5)),M496+S$7,_xlfn.workday.intl(int(M496),1,"0000001",Holidays!A:A)+hour(M496+S$7-$B$1)/24+minute(M496)/1440),"")</f>
        <v>46238.61409</v>
      </c>
      <c r="T496" s="104">
        <v>46238.522814861106</v>
      </c>
      <c r="U496" s="105" t="s">
        <v>14</v>
      </c>
      <c r="V496" s="109">
        <f t="shared" si="2"/>
        <v>0</v>
      </c>
      <c r="W496" s="110" t="str">
        <f t="shared" si="3"/>
        <v>EMP0042 HULESHWAR KUMAR SAHU</v>
      </c>
      <c r="X496" s="103">
        <f>if(S496,if(and(hour(S496+X$7)&gt;9.5,(hour(S496+X$7)&lt;19.5)),S496+X$7,_xlfn.workday.intl(int(S496),1,"0000001",Holidays!A:A)+hour(S496+X$7-$B$1)/24+minute(S496)/1440),"")</f>
        <v>46238.71826</v>
      </c>
      <c r="Y496" s="104">
        <v>46238.52286773148</v>
      </c>
      <c r="Z496" s="105" t="s">
        <v>14</v>
      </c>
      <c r="AA496" s="111">
        <f t="shared" si="4"/>
        <v>0</v>
      </c>
      <c r="AB496" s="110" t="str">
        <f t="shared" si="5"/>
        <v>EMP0042 HULESHWAR KUMAR SAHU</v>
      </c>
      <c r="AC496" s="103">
        <f>if(X496,_xlfn.WORKDAY.INTL(X496,AC$7,"0000001",Holidays!A:A)+hour(X496)/24+MINUTE(X496)/1440,"")</f>
        <v>46239.71806</v>
      </c>
      <c r="AD496" s="104">
        <v>46238.523038796295</v>
      </c>
      <c r="AE496" s="105" t="s">
        <v>14</v>
      </c>
      <c r="AF496" s="111">
        <f t="shared" si="6"/>
        <v>0</v>
      </c>
      <c r="AG496" s="110" t="str">
        <f t="shared" si="7"/>
        <v>EMP0042 HULESHWAR KUMAR SAHU</v>
      </c>
      <c r="AH496" s="103">
        <f>if(AC496,if(and(hour(AC496+AH$7)&gt;9.5,(hour(AC496+AH$7)&lt;19.5)),AC496+AH$7,_xlfn.workday.intl(int(AC496),1,"0000001",Holidays!A:A)+hour(AC496+AH$7-$B$1)/24+minute(AC496)/1440),"")</f>
        <v>46239.75972</v>
      </c>
      <c r="AI496" s="104">
        <v>46238.585462731484</v>
      </c>
      <c r="AJ496" s="105" t="s">
        <v>14</v>
      </c>
      <c r="AK496" s="111">
        <f t="shared" si="8"/>
        <v>0</v>
      </c>
      <c r="AL496" s="112" t="str">
        <f t="shared" si="9"/>
        <v>EMP0042 HULESHWAR KUMAR SAHU</v>
      </c>
      <c r="AM496" s="113"/>
      <c r="AN496" s="114" t="s">
        <v>672</v>
      </c>
      <c r="AO496" s="115"/>
      <c r="AP496" s="115"/>
      <c r="AQ496" s="115"/>
      <c r="AR496" s="115"/>
      <c r="AS496" s="115"/>
      <c r="AT496" s="115"/>
      <c r="AU496" s="115"/>
      <c r="AV496" s="115"/>
      <c r="AW496" s="115"/>
      <c r="AX496" s="115"/>
      <c r="AY496" s="115"/>
    </row>
    <row r="497">
      <c r="A497" s="95">
        <f t="shared" si="11"/>
        <v>5448</v>
      </c>
      <c r="B497" s="96">
        <v>46239.42162140046</v>
      </c>
      <c r="C497" s="97" t="s">
        <v>166</v>
      </c>
      <c r="D497" s="97" t="s">
        <v>122</v>
      </c>
      <c r="E497" s="98" t="s">
        <v>2433</v>
      </c>
      <c r="F497" s="97"/>
      <c r="G497" s="97" t="s">
        <v>2434</v>
      </c>
      <c r="H497" s="99" t="s">
        <v>103</v>
      </c>
      <c r="I497" s="100" t="s">
        <v>64</v>
      </c>
      <c r="J497" s="101" t="s">
        <v>198</v>
      </c>
      <c r="K497" s="100"/>
      <c r="L497" s="102" t="s">
        <v>2435</v>
      </c>
      <c r="M497" s="103">
        <f>if(B497,if(and(hour(B497+M$7)&gt;9.5,(hour(B497+M$7)&lt;19.5)),B497+M$7,_xlfn.workday.intl(int(B497),1,"0000001",Holidays!A:A)+hour(B497+M$7-$B$1)/24+minute(B497)/1440),"")</f>
        <v>46239.58829</v>
      </c>
      <c r="N497" s="104">
        <v>46239.43764512731</v>
      </c>
      <c r="O497" s="105" t="s">
        <v>14</v>
      </c>
      <c r="P497" s="106">
        <f t="shared" si="1"/>
        <v>0</v>
      </c>
      <c r="Q497" s="107" t="s">
        <v>15</v>
      </c>
      <c r="R497" s="108" t="s">
        <v>434</v>
      </c>
      <c r="S497" s="103">
        <f>if(M497,if(and(hour(M497+S$7)&gt;9.5,(hour(M497+S$7)&lt;19.5)),M497+S$7,_xlfn.workday.intl(int(M497),1,"0000001",Holidays!A:A)+hour(M497+S$7-$B$1)/24+minute(M497)/1440),"")</f>
        <v>46239.59523</v>
      </c>
      <c r="T497" s="104">
        <v>46239.43772908565</v>
      </c>
      <c r="U497" s="105" t="s">
        <v>14</v>
      </c>
      <c r="V497" s="109">
        <f t="shared" si="2"/>
        <v>0</v>
      </c>
      <c r="W497" s="110" t="str">
        <f t="shared" si="3"/>
        <v>EMP0042 HULESHWAR KUMAR SAHU</v>
      </c>
      <c r="X497" s="103">
        <f>if(S497,if(and(hour(S497+X$7)&gt;9.5,(hour(S497+X$7)&lt;19.5)),S497+X$7,_xlfn.workday.intl(int(S497),1,"0000001",Holidays!A:A)+hour(S497+X$7-$B$1)/24+minute(S497)/1440),"")</f>
        <v>46239.6994</v>
      </c>
      <c r="Y497" s="104">
        <v>46239.437834282406</v>
      </c>
      <c r="Z497" s="105" t="s">
        <v>14</v>
      </c>
      <c r="AA497" s="111">
        <f t="shared" si="4"/>
        <v>0</v>
      </c>
      <c r="AB497" s="110" t="str">
        <f t="shared" si="5"/>
        <v>EMP0042 HULESHWAR KUMAR SAHU</v>
      </c>
      <c r="AC497" s="103">
        <f>if(X497,_xlfn.WORKDAY.INTL(X497,AC$7,"0000001",Holidays!A:A)+hour(X497)/24+MINUTE(X497)/1440,"")</f>
        <v>46240.69931</v>
      </c>
      <c r="AD497" s="104">
        <v>46239.80278834491</v>
      </c>
      <c r="AE497" s="105" t="s">
        <v>14</v>
      </c>
      <c r="AF497" s="111">
        <f t="shared" si="6"/>
        <v>0</v>
      </c>
      <c r="AG497" s="110" t="str">
        <f t="shared" si="7"/>
        <v>EMP0042 HULESHWAR KUMAR SAHU</v>
      </c>
      <c r="AH497" s="103">
        <f>if(AC497,if(and(hour(AC497+AH$7)&gt;9.5,(hour(AC497+AH$7)&lt;19.5)),AC497+AH$7,_xlfn.workday.intl(int(AC497),1,"0000001",Holidays!A:A)+hour(AC497+AH$7-$B$1)/24+minute(AC497)/1440),"")</f>
        <v>46240.74097</v>
      </c>
      <c r="AI497" s="104">
        <v>46239.80287675926</v>
      </c>
      <c r="AJ497" s="105" t="s">
        <v>14</v>
      </c>
      <c r="AK497" s="111">
        <f t="shared" si="8"/>
        <v>0</v>
      </c>
      <c r="AL497" s="112" t="str">
        <f t="shared" si="9"/>
        <v>EMP0042 HULESHWAR KUMAR SAHU</v>
      </c>
      <c r="AM497" s="113"/>
      <c r="AN497" s="114" t="s">
        <v>672</v>
      </c>
      <c r="AO497" s="115"/>
      <c r="AP497" s="115"/>
      <c r="AQ497" s="115"/>
      <c r="AR497" s="115"/>
      <c r="AS497" s="115"/>
      <c r="AT497" s="115"/>
      <c r="AU497" s="115"/>
      <c r="AV497" s="115"/>
      <c r="AW497" s="115"/>
      <c r="AX497" s="115"/>
      <c r="AY497" s="115"/>
    </row>
    <row r="498">
      <c r="A498" s="95">
        <f t="shared" si="11"/>
        <v>5449</v>
      </c>
      <c r="B498" s="96">
        <v>46239.50024336806</v>
      </c>
      <c r="C498" s="97" t="s">
        <v>166</v>
      </c>
      <c r="D498" s="97" t="s">
        <v>1767</v>
      </c>
      <c r="E498" s="98" t="s">
        <v>2436</v>
      </c>
      <c r="F498" s="97"/>
      <c r="G498" s="97" t="s">
        <v>355</v>
      </c>
      <c r="H498" s="99" t="s">
        <v>62</v>
      </c>
      <c r="I498" s="100" t="s">
        <v>64</v>
      </c>
      <c r="J498" s="101" t="s">
        <v>1648</v>
      </c>
      <c r="K498" s="100"/>
      <c r="L498" s="102" t="s">
        <v>2437</v>
      </c>
      <c r="M498" s="103">
        <f>if(B498,if(and(hour(B498+M$7)&gt;9.5,(hour(B498+M$7)&lt;19.5)),B498+M$7,_xlfn.workday.intl(int(B498),1,"0000001",Holidays!A:A)+hour(B498+M$7-$B$1)/24+minute(B498)/1440),"")</f>
        <v>46239.66691</v>
      </c>
      <c r="N498" s="104">
        <v>46239.525679212966</v>
      </c>
      <c r="O498" s="105" t="s">
        <v>14</v>
      </c>
      <c r="P498" s="106">
        <f t="shared" si="1"/>
        <v>0</v>
      </c>
      <c r="Q498" s="107" t="s">
        <v>15</v>
      </c>
      <c r="R498" s="108" t="s">
        <v>434</v>
      </c>
      <c r="S498" s="103">
        <f>if(M498,if(and(hour(M498+S$7)&gt;9.5,(hour(M498+S$7)&lt;19.5)),M498+S$7,_xlfn.workday.intl(int(M498),1,"0000001",Holidays!A:A)+hour(M498+S$7-$B$1)/24+minute(M498)/1440),"")</f>
        <v>46239.67385</v>
      </c>
      <c r="T498" s="104">
        <v>46239.52597635417</v>
      </c>
      <c r="U498" s="105" t="s">
        <v>14</v>
      </c>
      <c r="V498" s="109">
        <f t="shared" si="2"/>
        <v>0</v>
      </c>
      <c r="W498" s="110" t="str">
        <f t="shared" si="3"/>
        <v>EMP0042 HULESHWAR KUMAR SAHU</v>
      </c>
      <c r="X498" s="103">
        <f>if(S498,if(and(hour(S498+X$7)&gt;9.5,(hour(S498+X$7)&lt;19.5)),S498+X$7,_xlfn.workday.intl(int(S498),1,"0000001",Holidays!A:A)+hour(S498+X$7-$B$1)/24+minute(S498)/1440),"")</f>
        <v>46239.77802</v>
      </c>
      <c r="Y498" s="104">
        <v>46239.76039351852</v>
      </c>
      <c r="Z498" s="105" t="s">
        <v>14</v>
      </c>
      <c r="AA498" s="111">
        <f t="shared" si="4"/>
        <v>0</v>
      </c>
      <c r="AB498" s="110" t="str">
        <f t="shared" si="5"/>
        <v>EMP0042 HULESHWAR KUMAR SAHU</v>
      </c>
      <c r="AC498" s="103">
        <f>if(X498,_xlfn.WORKDAY.INTL(X498,AC$7,"0000001",Holidays!A:A)+hour(X498)/24+MINUTE(X498)/1440,"")</f>
        <v>46240.77778</v>
      </c>
      <c r="AD498" s="104">
        <v>46239.80280023148</v>
      </c>
      <c r="AE498" s="105" t="s">
        <v>14</v>
      </c>
      <c r="AF498" s="111">
        <f t="shared" si="6"/>
        <v>0</v>
      </c>
      <c r="AG498" s="110" t="str">
        <f t="shared" si="7"/>
        <v>EMP0042 HULESHWAR KUMAR SAHU</v>
      </c>
      <c r="AH498" s="103">
        <f>if(AC498,if(and(hour(AC498+AH$7)&gt;9.5,(hour(AC498+AH$7)&lt;19.5)),AC498+AH$7,_xlfn.workday.intl(int(AC498),1,"0000001",Holidays!A:A)+hour(AC498+AH$7-$B$1)/24+minute(AC498)/1440),"")</f>
        <v>46240.81944</v>
      </c>
      <c r="AI498" s="104">
        <v>46239.80291003472</v>
      </c>
      <c r="AJ498" s="105" t="s">
        <v>14</v>
      </c>
      <c r="AK498" s="111">
        <f t="shared" si="8"/>
        <v>0</v>
      </c>
      <c r="AL498" s="112" t="str">
        <f t="shared" si="9"/>
        <v>EMP0042 HULESHWAR KUMAR SAHU</v>
      </c>
      <c r="AM498" s="113"/>
      <c r="AN498" s="114" t="s">
        <v>672</v>
      </c>
      <c r="AO498" s="115"/>
      <c r="AP498" s="115"/>
      <c r="AQ498" s="115"/>
      <c r="AR498" s="115"/>
      <c r="AS498" s="115"/>
      <c r="AT498" s="115"/>
      <c r="AU498" s="115"/>
      <c r="AV498" s="115"/>
      <c r="AW498" s="115"/>
      <c r="AX498" s="115"/>
      <c r="AY498" s="115"/>
    </row>
    <row r="499">
      <c r="A499" s="95">
        <f t="shared" si="11"/>
        <v>5450</v>
      </c>
      <c r="B499" s="96">
        <v>46239.502143125</v>
      </c>
      <c r="C499" s="97" t="s">
        <v>2441</v>
      </c>
      <c r="D499" s="97" t="s">
        <v>2438</v>
      </c>
      <c r="E499" s="98" t="s">
        <v>2439</v>
      </c>
      <c r="F499" s="97"/>
      <c r="G499" s="97" t="s">
        <v>166</v>
      </c>
      <c r="H499" s="99" t="s">
        <v>62</v>
      </c>
      <c r="I499" s="100" t="s">
        <v>64</v>
      </c>
      <c r="J499" s="101" t="s">
        <v>1579</v>
      </c>
      <c r="K499" s="100"/>
      <c r="L499" s="102" t="s">
        <v>2440</v>
      </c>
      <c r="M499" s="103">
        <f>if(B499,if(and(hour(B499+M$7)&gt;9.5,(hour(B499+M$7)&lt;19.5)),B499+M$7,_xlfn.workday.intl(int(B499),1,"0000001",Holidays!A:A)+hour(B499+M$7-$B$1)/24+minute(B499)/1440),"")</f>
        <v>46239.66881</v>
      </c>
      <c r="N499" s="104">
        <v>46239.52570061343</v>
      </c>
      <c r="O499" s="105" t="s">
        <v>14</v>
      </c>
      <c r="P499" s="106">
        <f t="shared" si="1"/>
        <v>0</v>
      </c>
      <c r="Q499" s="107" t="s">
        <v>15</v>
      </c>
      <c r="R499" s="108" t="s">
        <v>434</v>
      </c>
      <c r="S499" s="103">
        <f>if(M499,if(and(hour(M499+S$7)&gt;9.5,(hour(M499+S$7)&lt;19.5)),M499+S$7,_xlfn.workday.intl(int(M499),1,"0000001",Holidays!A:A)+hour(M499+S$7-$B$1)/24+minute(M499)/1440),"")</f>
        <v>46239.67575</v>
      </c>
      <c r="T499" s="104">
        <v>46239.52599826389</v>
      </c>
      <c r="U499" s="105" t="s">
        <v>14</v>
      </c>
      <c r="V499" s="109">
        <f t="shared" si="2"/>
        <v>0</v>
      </c>
      <c r="W499" s="110" t="str">
        <f t="shared" si="3"/>
        <v>EMP0042 HULESHWAR KUMAR SAHU</v>
      </c>
      <c r="X499" s="103">
        <f>if(S499,if(and(hour(S499+X$7)&gt;9.5,(hour(S499+X$7)&lt;19.5)),S499+X$7,_xlfn.workday.intl(int(S499),1,"0000001",Holidays!A:A)+hour(S499+X$7-$B$1)/24+minute(S499)/1440),"")</f>
        <v>46239.77992</v>
      </c>
      <c r="Y499" s="104">
        <v>46239.76042824074</v>
      </c>
      <c r="Z499" s="105" t="s">
        <v>14</v>
      </c>
      <c r="AA499" s="111">
        <f t="shared" si="4"/>
        <v>0</v>
      </c>
      <c r="AB499" s="110" t="str">
        <f t="shared" si="5"/>
        <v>EMP0042 HULESHWAR KUMAR SAHU</v>
      </c>
      <c r="AC499" s="103">
        <f>if(X499,_xlfn.WORKDAY.INTL(X499,AC$7,"0000001",Holidays!A:A)+hour(X499)/24+MINUTE(X499)/1440,"")</f>
        <v>46240.77986</v>
      </c>
      <c r="AD499" s="104">
        <v>46239.80256840278</v>
      </c>
      <c r="AE499" s="105" t="s">
        <v>14</v>
      </c>
      <c r="AF499" s="111">
        <f t="shared" si="6"/>
        <v>0</v>
      </c>
      <c r="AG499" s="110" t="str">
        <f t="shared" si="7"/>
        <v>EMP0042 HULESHWAR KUMAR SAHU</v>
      </c>
      <c r="AH499" s="103">
        <f>if(AC499,if(and(hour(AC499+AH$7)&gt;9.5,(hour(AC499+AH$7)&lt;19.5)),AC499+AH$7,_xlfn.workday.intl(int(AC499),1,"0000001",Holidays!A:A)+hour(AC499+AH$7-$B$1)/24+minute(AC499)/1440),"")</f>
        <v>46240.82153</v>
      </c>
      <c r="AI499" s="104">
        <v>46239.803152974535</v>
      </c>
      <c r="AJ499" s="105" t="s">
        <v>14</v>
      </c>
      <c r="AK499" s="111">
        <f t="shared" si="8"/>
        <v>0</v>
      </c>
      <c r="AL499" s="112" t="str">
        <f t="shared" si="9"/>
        <v>EMP0042 HULESHWAR KUMAR SAHU</v>
      </c>
      <c r="AM499" s="113"/>
      <c r="AN499" s="114" t="s">
        <v>672</v>
      </c>
      <c r="AO499" s="115"/>
      <c r="AP499" s="115"/>
      <c r="AQ499" s="115"/>
      <c r="AR499" s="115"/>
      <c r="AS499" s="115"/>
      <c r="AT499" s="115"/>
      <c r="AU499" s="115"/>
      <c r="AV499" s="115"/>
      <c r="AW499" s="115"/>
      <c r="AX499" s="115"/>
      <c r="AY499" s="115"/>
    </row>
    <row r="500">
      <c r="A500" s="95">
        <f t="shared" si="11"/>
        <v>5451</v>
      </c>
      <c r="B500" s="96">
        <v>46239.50742545139</v>
      </c>
      <c r="C500" s="97" t="s">
        <v>2016</v>
      </c>
      <c r="D500" s="97" t="s">
        <v>1580</v>
      </c>
      <c r="E500" s="98" t="s">
        <v>2442</v>
      </c>
      <c r="F500" s="97"/>
      <c r="G500" s="97" t="s">
        <v>2443</v>
      </c>
      <c r="H500" s="99" t="s">
        <v>62</v>
      </c>
      <c r="I500" s="100" t="s">
        <v>64</v>
      </c>
      <c r="J500" s="101" t="s">
        <v>1579</v>
      </c>
      <c r="K500" s="100"/>
      <c r="L500" s="102" t="s">
        <v>2444</v>
      </c>
      <c r="M500" s="103">
        <f>if(B500,if(and(hour(B500+M$7)&gt;9.5,(hour(B500+M$7)&lt;19.5)),B500+M$7,_xlfn.workday.intl(int(B500),1,"0000001",Holidays!A:A)+hour(B500+M$7-$B$1)/24+minute(B500)/1440),"")</f>
        <v>46239.67409</v>
      </c>
      <c r="N500" s="104">
        <v>46239.52572600695</v>
      </c>
      <c r="O500" s="105" t="s">
        <v>14</v>
      </c>
      <c r="P500" s="106">
        <f t="shared" si="1"/>
        <v>0</v>
      </c>
      <c r="Q500" s="107" t="s">
        <v>15</v>
      </c>
      <c r="R500" s="108" t="s">
        <v>434</v>
      </c>
      <c r="S500" s="103">
        <f>if(M500,if(and(hour(M500+S$7)&gt;9.5,(hour(M500+S$7)&lt;19.5)),M500+S$7,_xlfn.workday.intl(int(M500),1,"0000001",Holidays!A:A)+hour(M500+S$7-$B$1)/24+minute(M500)/1440),"")</f>
        <v>46239.68104</v>
      </c>
      <c r="T500" s="104">
        <v>46239.52605019676</v>
      </c>
      <c r="U500" s="105" t="s">
        <v>14</v>
      </c>
      <c r="V500" s="109">
        <f t="shared" si="2"/>
        <v>0</v>
      </c>
      <c r="W500" s="110" t="str">
        <f t="shared" si="3"/>
        <v>EMP0042 HULESHWAR KUMAR SAHU</v>
      </c>
      <c r="X500" s="103">
        <f>if(S500,if(and(hour(S500+X$7)&gt;9.5,(hour(S500+X$7)&lt;19.5)),S500+X$7,_xlfn.workday.intl(int(S500),1,"0000001",Holidays!A:A)+hour(S500+X$7-$B$1)/24+minute(S500)/1440),"")</f>
        <v>46239.7852</v>
      </c>
      <c r="Y500" s="104">
        <v>46239.76045138889</v>
      </c>
      <c r="Z500" s="105" t="s">
        <v>14</v>
      </c>
      <c r="AA500" s="111">
        <f t="shared" si="4"/>
        <v>0</v>
      </c>
      <c r="AB500" s="110" t="str">
        <f t="shared" si="5"/>
        <v>EMP0042 HULESHWAR KUMAR SAHU</v>
      </c>
      <c r="AC500" s="103">
        <f>if(X500,_xlfn.WORKDAY.INTL(X500,AC$7,"0000001",Holidays!A:A)+hour(X500)/24+MINUTE(X500)/1440,"")</f>
        <v>46240.78472</v>
      </c>
      <c r="AD500" s="104">
        <v>46239.80258261574</v>
      </c>
      <c r="AE500" s="105" t="s">
        <v>14</v>
      </c>
      <c r="AF500" s="111">
        <f t="shared" si="6"/>
        <v>0</v>
      </c>
      <c r="AG500" s="110" t="str">
        <f t="shared" si="7"/>
        <v>EMP0042 HULESHWAR KUMAR SAHU</v>
      </c>
      <c r="AH500" s="103">
        <f>if(AC500,if(and(hour(AC500+AH$7)&gt;9.5,(hour(AC500+AH$7)&lt;19.5)),AC500+AH$7,_xlfn.workday.intl(int(AC500),1,"0000001",Holidays!A:A)+hour(AC500+AH$7-$B$1)/24+minute(AC500)/1440),"")</f>
        <v>46240.82639</v>
      </c>
      <c r="AI500" s="104"/>
      <c r="AJ500" s="105"/>
      <c r="AK500" s="111">
        <f t="shared" si="8"/>
        <v>0</v>
      </c>
      <c r="AL500" s="112" t="str">
        <f t="shared" si="9"/>
        <v>EMP0042 HULESHWAR KUMAR SAHU</v>
      </c>
      <c r="AM500" s="113"/>
      <c r="AN500" s="114" t="s">
        <v>672</v>
      </c>
      <c r="AO500" s="115"/>
      <c r="AP500" s="115"/>
      <c r="AQ500" s="115"/>
      <c r="AR500" s="115"/>
      <c r="AS500" s="115"/>
      <c r="AT500" s="115"/>
      <c r="AU500" s="115"/>
      <c r="AV500" s="115"/>
      <c r="AW500" s="115"/>
      <c r="AX500" s="115"/>
      <c r="AY500" s="115"/>
    </row>
    <row r="501">
      <c r="A501" s="95">
        <f t="shared" si="11"/>
        <v>5452</v>
      </c>
      <c r="B501" s="96">
        <v>46239.652294178246</v>
      </c>
      <c r="C501" s="97" t="s">
        <v>955</v>
      </c>
      <c r="D501" s="97" t="s">
        <v>142</v>
      </c>
      <c r="E501" s="98" t="s">
        <v>2445</v>
      </c>
      <c r="F501" s="97"/>
      <c r="G501" s="97" t="s">
        <v>2446</v>
      </c>
      <c r="H501" s="99" t="s">
        <v>126</v>
      </c>
      <c r="I501" s="100" t="s">
        <v>64</v>
      </c>
      <c r="J501" s="101" t="s">
        <v>141</v>
      </c>
      <c r="K501" s="100"/>
      <c r="L501" s="102" t="s">
        <v>2447</v>
      </c>
      <c r="M501" s="103">
        <f>if(B501,if(and(hour(B501+M$7)&gt;9.5,(hour(B501+M$7)&lt;19.5)),B501+M$7,_xlfn.workday.intl(int(B501),1,"0000001",Holidays!A:A)+hour(B501+M$7-$B$1)/24+minute(B501)/1440),"")</f>
        <v>46239.81896</v>
      </c>
      <c r="N501" s="104">
        <v>46239.681049004634</v>
      </c>
      <c r="O501" s="105" t="s">
        <v>14</v>
      </c>
      <c r="P501" s="106">
        <f t="shared" si="1"/>
        <v>0</v>
      </c>
      <c r="Q501" s="107" t="s">
        <v>15</v>
      </c>
      <c r="R501" s="108" t="s">
        <v>434</v>
      </c>
      <c r="S501" s="103">
        <f>if(M501,if(and(hour(M501+S$7)&gt;9.5,(hour(M501+S$7)&lt;19.5)),M501+S$7,_xlfn.workday.intl(int(M501),1,"0000001",Holidays!A:A)+hour(M501+S$7-$B$1)/24+minute(M501)/1440),"")</f>
        <v>46239.82591</v>
      </c>
      <c r="T501" s="104">
        <v>46239.68110873843</v>
      </c>
      <c r="U501" s="105" t="s">
        <v>14</v>
      </c>
      <c r="V501" s="109">
        <f t="shared" si="2"/>
        <v>0</v>
      </c>
      <c r="W501" s="110" t="str">
        <f t="shared" si="3"/>
        <v>EMP0042 HULESHWAR KUMAR SAHU</v>
      </c>
      <c r="X501" s="103">
        <f>if(S501,if(and(hour(S501+X$7)&gt;9.5,(hour(S501+X$7)&lt;19.5)),S501+X$7,_xlfn.workday.intl(int(S501),1,"0000001",Holidays!A:A)+hour(S501+X$7-$B$1)/24+minute(S501)/1440),"")</f>
        <v>46240.53403</v>
      </c>
      <c r="Y501" s="104">
        <v>46239.802121307875</v>
      </c>
      <c r="Z501" s="105" t="s">
        <v>14</v>
      </c>
      <c r="AA501" s="111">
        <f t="shared" si="4"/>
        <v>0</v>
      </c>
      <c r="AB501" s="110" t="str">
        <f t="shared" si="5"/>
        <v>EMP0042 HULESHWAR KUMAR SAHU</v>
      </c>
      <c r="AC501" s="103">
        <f>if(X501,_xlfn.WORKDAY.INTL(X501,AC$7,"0000001",Holidays!A:A)+hour(X501)/24+MINUTE(X501)/1440,"")</f>
        <v>46241.53403</v>
      </c>
      <c r="AD501" s="104">
        <v>46239.8026039699</v>
      </c>
      <c r="AE501" s="105" t="s">
        <v>14</v>
      </c>
      <c r="AF501" s="111">
        <f t="shared" si="6"/>
        <v>0</v>
      </c>
      <c r="AG501" s="110" t="str">
        <f t="shared" si="7"/>
        <v>EMP0042 HULESHWAR KUMAR SAHU</v>
      </c>
      <c r="AH501" s="103">
        <f>if(AC501,if(and(hour(AC501+AH$7)&gt;9.5,(hour(AC501+AH$7)&lt;19.5)),AC501+AH$7,_xlfn.workday.intl(int(AC501),1,"0000001",Holidays!A:A)+hour(AC501+AH$7-$B$1)/24+minute(AC501)/1440),"")</f>
        <v>46241.57569</v>
      </c>
      <c r="AI501" s="104"/>
      <c r="AJ501" s="105"/>
      <c r="AK501" s="111">
        <f t="shared" si="8"/>
        <v>0</v>
      </c>
      <c r="AL501" s="112" t="str">
        <f t="shared" si="9"/>
        <v>EMP0042 HULESHWAR KUMAR SAHU</v>
      </c>
      <c r="AM501" s="113"/>
      <c r="AN501" s="114" t="s">
        <v>672</v>
      </c>
      <c r="AO501" s="115"/>
      <c r="AP501" s="115"/>
      <c r="AQ501" s="115"/>
      <c r="AR501" s="115"/>
      <c r="AS501" s="115"/>
      <c r="AT501" s="115"/>
      <c r="AU501" s="115"/>
      <c r="AV501" s="115"/>
      <c r="AW501" s="115"/>
      <c r="AX501" s="115"/>
      <c r="AY501" s="115"/>
    </row>
    <row r="502">
      <c r="A502" s="95">
        <f t="shared" si="11"/>
        <v>5453</v>
      </c>
      <c r="B502" s="96">
        <v>46240.425679189815</v>
      </c>
      <c r="C502" s="97" t="s">
        <v>355</v>
      </c>
      <c r="D502" s="97" t="s">
        <v>122</v>
      </c>
      <c r="E502" s="98" t="s">
        <v>2448</v>
      </c>
      <c r="F502" s="98" t="s">
        <v>2451</v>
      </c>
      <c r="G502" s="97" t="s">
        <v>2449</v>
      </c>
      <c r="H502" s="99" t="s">
        <v>103</v>
      </c>
      <c r="I502" s="100" t="s">
        <v>64</v>
      </c>
      <c r="J502" s="101" t="s">
        <v>198</v>
      </c>
      <c r="K502" s="100"/>
      <c r="L502" s="102" t="s">
        <v>2450</v>
      </c>
      <c r="M502" s="103">
        <f>if(B502,if(and(hour(B502+M$7)&gt;9.5,(hour(B502+M$7)&lt;19.5)),B502+M$7,_xlfn.workday.intl(int(B502),1,"0000001",Holidays!A:A)+hour(B502+M$7-$B$1)/24+minute(B502)/1440),"")</f>
        <v>46240.59235</v>
      </c>
      <c r="N502" s="104">
        <v>46240.460359398145</v>
      </c>
      <c r="O502" s="105" t="s">
        <v>14</v>
      </c>
      <c r="P502" s="106">
        <f t="shared" si="1"/>
        <v>0</v>
      </c>
      <c r="Q502" s="107" t="s">
        <v>48</v>
      </c>
      <c r="R502" s="108" t="s">
        <v>434</v>
      </c>
      <c r="S502" s="103">
        <f>if(M502,if(and(hour(M502+S$7)&gt;9.5,(hour(M502+S$7)&lt;19.5)),M502+S$7,_xlfn.workday.intl(int(M502),1,"0000001",Holidays!A:A)+hour(M502+S$7-$B$1)/24+minute(M502)/1440),"")</f>
        <v>46240.59929</v>
      </c>
      <c r="T502" s="104">
        <v>46240.460513067126</v>
      </c>
      <c r="U502" s="105" t="s">
        <v>14</v>
      </c>
      <c r="V502" s="109">
        <f t="shared" si="2"/>
        <v>0</v>
      </c>
      <c r="W502" s="110" t="str">
        <f t="shared" si="3"/>
        <v>EMP0237 Swarnendu Chakraborty</v>
      </c>
      <c r="X502" s="103">
        <f>if(S502,if(and(hour(S502+X$7)&gt;9.5,(hour(S502+X$7)&lt;19.5)),S502+X$7,_xlfn.workday.intl(int(S502),1,"0000001",Holidays!A:A)+hour(S502+X$7-$B$1)/24+minute(S502)/1440),"")</f>
        <v>46240.70346</v>
      </c>
      <c r="Y502" s="104">
        <v>46240.46054511574</v>
      </c>
      <c r="Z502" s="105" t="s">
        <v>14</v>
      </c>
      <c r="AA502" s="111">
        <f t="shared" si="4"/>
        <v>0</v>
      </c>
      <c r="AB502" s="110" t="str">
        <f t="shared" si="5"/>
        <v>EMP0237 Swarnendu Chakraborty</v>
      </c>
      <c r="AC502" s="103">
        <f>if(X502,_xlfn.WORKDAY.INTL(X502,AC$7,"0000001",Holidays!A:A)+hour(X502)/24+MINUTE(X502)/1440,"")</f>
        <v>46241.70278</v>
      </c>
      <c r="AD502" s="104"/>
      <c r="AE502" s="105"/>
      <c r="AF502" s="111">
        <f t="shared" si="6"/>
        <v>0</v>
      </c>
      <c r="AG502" s="110" t="str">
        <f t="shared" si="7"/>
        <v>EMP0237 Swarnendu Chakraborty</v>
      </c>
      <c r="AH502" s="103">
        <f>if(AC502,if(and(hour(AC502+AH$7)&gt;9.5,(hour(AC502+AH$7)&lt;19.5)),AC502+AH$7,_xlfn.workday.intl(int(AC502),1,"0000001",Holidays!A:A)+hour(AC502+AH$7-$B$1)/24+minute(AC502)/1440),"")</f>
        <v>46241.74444</v>
      </c>
      <c r="AI502" s="104"/>
      <c r="AJ502" s="105"/>
      <c r="AK502" s="111">
        <f t="shared" si="8"/>
        <v>0</v>
      </c>
      <c r="AL502" s="112" t="str">
        <f t="shared" si="9"/>
        <v>EMP0237 Swarnendu Chakraborty</v>
      </c>
      <c r="AM502" s="113"/>
      <c r="AN502" s="114" t="s">
        <v>672</v>
      </c>
      <c r="AO502" s="115"/>
      <c r="AP502" s="115"/>
      <c r="AQ502" s="115"/>
      <c r="AR502" s="115"/>
      <c r="AS502" s="115"/>
      <c r="AT502" s="115"/>
      <c r="AU502" s="115"/>
      <c r="AV502" s="115"/>
      <c r="AW502" s="115"/>
      <c r="AX502" s="115"/>
      <c r="AY502" s="115"/>
    </row>
    <row r="503">
      <c r="A503" s="95">
        <f t="shared" si="11"/>
        <v>5454</v>
      </c>
      <c r="B503" s="96">
        <v>46240.42718716435</v>
      </c>
      <c r="C503" s="97" t="s">
        <v>166</v>
      </c>
      <c r="D503" s="97" t="s">
        <v>122</v>
      </c>
      <c r="E503" s="98" t="s">
        <v>2452</v>
      </c>
      <c r="F503" s="97"/>
      <c r="G503" s="97" t="s">
        <v>2453</v>
      </c>
      <c r="H503" s="99" t="s">
        <v>103</v>
      </c>
      <c r="I503" s="100" t="s">
        <v>64</v>
      </c>
      <c r="J503" s="101" t="s">
        <v>198</v>
      </c>
      <c r="K503" s="100"/>
      <c r="L503" s="102" t="s">
        <v>2454</v>
      </c>
      <c r="M503" s="103">
        <f>if(B503,if(and(hour(B503+M$7)&gt;9.5,(hour(B503+M$7)&lt;19.5)),B503+M$7,_xlfn.workday.intl(int(B503),1,"0000001",Holidays!A:A)+hour(B503+M$7-$B$1)/24+minute(B503)/1440),"")</f>
        <v>46240.59385</v>
      </c>
      <c r="N503" s="104">
        <v>46240.46058914352</v>
      </c>
      <c r="O503" s="105" t="s">
        <v>14</v>
      </c>
      <c r="P503" s="106">
        <f t="shared" si="1"/>
        <v>0</v>
      </c>
      <c r="Q503" s="107" t="s">
        <v>48</v>
      </c>
      <c r="R503" s="108" t="s">
        <v>434</v>
      </c>
      <c r="S503" s="103">
        <f>if(M503,if(and(hour(M503+S$7)&gt;9.5,(hour(M503+S$7)&lt;19.5)),M503+S$7,_xlfn.workday.intl(int(M503),1,"0000001",Holidays!A:A)+hour(M503+S$7-$B$1)/24+minute(M503)/1440),"")</f>
        <v>46240.6008</v>
      </c>
      <c r="T503" s="104">
        <v>46240.46063084491</v>
      </c>
      <c r="U503" s="105" t="s">
        <v>14</v>
      </c>
      <c r="V503" s="109">
        <f t="shared" si="2"/>
        <v>0</v>
      </c>
      <c r="W503" s="110" t="str">
        <f t="shared" si="3"/>
        <v>EMP0237 Swarnendu Chakraborty</v>
      </c>
      <c r="X503" s="103">
        <f>if(S503,if(and(hour(S503+X$7)&gt;9.5,(hour(S503+X$7)&lt;19.5)),S503+X$7,_xlfn.workday.intl(int(S503),1,"0000001",Holidays!A:A)+hour(S503+X$7-$B$1)/24+minute(S503)/1440),"")</f>
        <v>46240.70496</v>
      </c>
      <c r="Y503" s="104">
        <v>46240.46065987268</v>
      </c>
      <c r="Z503" s="105" t="s">
        <v>14</v>
      </c>
      <c r="AA503" s="111">
        <f t="shared" si="4"/>
        <v>0</v>
      </c>
      <c r="AB503" s="110" t="str">
        <f t="shared" si="5"/>
        <v>EMP0237 Swarnendu Chakraborty</v>
      </c>
      <c r="AC503" s="103">
        <f>if(X503,_xlfn.WORKDAY.INTL(X503,AC$7,"0000001",Holidays!A:A)+hour(X503)/24+MINUTE(X503)/1440,"")</f>
        <v>46241.70486</v>
      </c>
      <c r="AD503" s="104"/>
      <c r="AE503" s="105"/>
      <c r="AF503" s="111">
        <f t="shared" si="6"/>
        <v>0</v>
      </c>
      <c r="AG503" s="110" t="str">
        <f t="shared" si="7"/>
        <v>EMP0237 Swarnendu Chakraborty</v>
      </c>
      <c r="AH503" s="103">
        <f>if(AC503,if(and(hour(AC503+AH$7)&gt;9.5,(hour(AC503+AH$7)&lt;19.5)),AC503+AH$7,_xlfn.workday.intl(int(AC503),1,"0000001",Holidays!A:A)+hour(AC503+AH$7-$B$1)/24+minute(AC503)/1440),"")</f>
        <v>46241.74653</v>
      </c>
      <c r="AI503" s="104"/>
      <c r="AJ503" s="105"/>
      <c r="AK503" s="111">
        <f t="shared" si="8"/>
        <v>0</v>
      </c>
      <c r="AL503" s="112" t="str">
        <f t="shared" si="9"/>
        <v>EMP0237 Swarnendu Chakraborty</v>
      </c>
      <c r="AM503" s="113"/>
      <c r="AN503" s="114" t="s">
        <v>672</v>
      </c>
      <c r="AO503" s="115"/>
      <c r="AP503" s="115"/>
      <c r="AQ503" s="115"/>
      <c r="AR503" s="115"/>
      <c r="AS503" s="115"/>
      <c r="AT503" s="115"/>
      <c r="AU503" s="115"/>
      <c r="AV503" s="115"/>
      <c r="AW503" s="115"/>
      <c r="AX503" s="115"/>
      <c r="AY503" s="115"/>
    </row>
    <row r="504">
      <c r="A504" s="95">
        <f t="shared" si="11"/>
        <v>5455</v>
      </c>
      <c r="B504" s="96">
        <v>46240.545563287036</v>
      </c>
      <c r="C504" s="97" t="s">
        <v>2210</v>
      </c>
      <c r="D504" s="97" t="s">
        <v>2456</v>
      </c>
      <c r="E504" s="98" t="s">
        <v>2457</v>
      </c>
      <c r="F504" s="97"/>
      <c r="G504" s="97" t="s">
        <v>2458</v>
      </c>
      <c r="H504" s="99" t="s">
        <v>2459</v>
      </c>
      <c r="I504" s="100" t="s">
        <v>64</v>
      </c>
      <c r="J504" s="101" t="s">
        <v>2455</v>
      </c>
      <c r="K504" s="100"/>
      <c r="L504" s="102" t="s">
        <v>2460</v>
      </c>
      <c r="M504" s="103">
        <f>if(B504,if(and(hour(B504+M$7)&gt;9.5,(hour(B504+M$7)&lt;19.5)),B504+M$7,_xlfn.workday.intl(int(B504),1,"0000001",Holidays!A:A)+hour(B504+M$7-$B$1)/24+minute(B504)/1440),"")</f>
        <v>46240.71223</v>
      </c>
      <c r="N504" s="104"/>
      <c r="O504" s="105"/>
      <c r="P504" s="106">
        <f t="shared" si="1"/>
        <v>0</v>
      </c>
      <c r="Q504" s="107"/>
      <c r="R504" s="108"/>
      <c r="S504" s="103">
        <f>if(M504,if(and(hour(M504+S$7)&gt;9.5,(hour(M504+S$7)&lt;19.5)),M504+S$7,_xlfn.workday.intl(int(M504),1,"0000001",Holidays!A:A)+hour(M504+S$7-$B$1)/24+minute(M504)/1440),"")</f>
        <v>46240.71917</v>
      </c>
      <c r="T504" s="104"/>
      <c r="U504" s="105"/>
      <c r="V504" s="109">
        <f t="shared" si="2"/>
        <v>0</v>
      </c>
      <c r="W504" s="110" t="str">
        <f t="shared" si="3"/>
        <v/>
      </c>
      <c r="X504" s="103">
        <f>if(S504,if(and(hour(S504+X$7)&gt;9.5,(hour(S504+X$7)&lt;19.5)),S504+X$7,_xlfn.workday.intl(int(S504),1,"0000001",Holidays!A:A)+hour(S504+X$7-$B$1)/24+minute(S504)/1440),"")</f>
        <v>46240.82334</v>
      </c>
      <c r="Y504" s="104"/>
      <c r="Z504" s="105"/>
      <c r="AA504" s="111">
        <f t="shared" si="4"/>
        <v>0</v>
      </c>
      <c r="AB504" s="110" t="str">
        <f t="shared" si="5"/>
        <v/>
      </c>
      <c r="AC504" s="103">
        <f>if(X504,_xlfn.WORKDAY.INTL(X504,AC$7,"0000001",Holidays!A:A)+hour(X504)/24+MINUTE(X504)/1440,"")</f>
        <v>46241.82292</v>
      </c>
      <c r="AD504" s="104"/>
      <c r="AE504" s="105"/>
      <c r="AF504" s="111">
        <f t="shared" si="6"/>
        <v>0</v>
      </c>
      <c r="AG504" s="110" t="str">
        <f t="shared" si="7"/>
        <v/>
      </c>
      <c r="AH504" s="103">
        <f>if(AC504,if(and(hour(AC504+AH$7)&gt;9.5,(hour(AC504+AH$7)&lt;19.5)),AC504+AH$7,_xlfn.workday.intl(int(AC504),1,"0000001",Holidays!A:A)+hour(AC504+AH$7-$B$1)/24+minute(AC504)/1440),"")</f>
        <v>46242.44792</v>
      </c>
      <c r="AI504" s="104"/>
      <c r="AJ504" s="105"/>
      <c r="AK504" s="111">
        <f t="shared" si="8"/>
        <v>0</v>
      </c>
      <c r="AL504" s="112" t="str">
        <f t="shared" si="9"/>
        <v/>
      </c>
      <c r="AM504" s="113"/>
      <c r="AN504" s="114" t="s">
        <v>672</v>
      </c>
      <c r="AO504" s="115"/>
      <c r="AP504" s="115"/>
      <c r="AQ504" s="115"/>
      <c r="AR504" s="115"/>
      <c r="AS504" s="115"/>
      <c r="AT504" s="115"/>
      <c r="AU504" s="115"/>
      <c r="AV504" s="115"/>
      <c r="AW504" s="115"/>
      <c r="AX504" s="115"/>
      <c r="AY504" s="115"/>
    </row>
    <row r="505">
      <c r="A505" s="95">
        <f t="shared" si="11"/>
        <v>5456</v>
      </c>
      <c r="B505" s="96">
        <v>46240.55714831018</v>
      </c>
      <c r="C505" s="97" t="s">
        <v>355</v>
      </c>
      <c r="D505" s="97" t="s">
        <v>1580</v>
      </c>
      <c r="E505" s="98" t="s">
        <v>2461</v>
      </c>
      <c r="F505" s="97"/>
      <c r="G505" s="97" t="s">
        <v>2462</v>
      </c>
      <c r="H505" s="99" t="s">
        <v>126</v>
      </c>
      <c r="I505" s="100" t="s">
        <v>64</v>
      </c>
      <c r="J505" s="101" t="s">
        <v>1579</v>
      </c>
      <c r="K505" s="100"/>
      <c r="L505" s="102" t="s">
        <v>2463</v>
      </c>
      <c r="M505" s="103">
        <f>if(B505,if(and(hour(B505+M$7)&gt;9.5,(hour(B505+M$7)&lt;19.5)),B505+M$7,_xlfn.workday.intl(int(B505),1,"0000001",Holidays!A:A)+hour(B505+M$7-$B$1)/24+minute(B505)/1440),"")</f>
        <v>46240.72381</v>
      </c>
      <c r="N505" s="104"/>
      <c r="O505" s="105"/>
      <c r="P505" s="106">
        <f t="shared" si="1"/>
        <v>0</v>
      </c>
      <c r="Q505" s="107"/>
      <c r="R505" s="108"/>
      <c r="S505" s="103">
        <f>if(M505,if(and(hour(M505+S$7)&gt;9.5,(hour(M505+S$7)&lt;19.5)),M505+S$7,_xlfn.workday.intl(int(M505),1,"0000001",Holidays!A:A)+hour(M505+S$7-$B$1)/24+minute(M505)/1440),"")</f>
        <v>46240.73076</v>
      </c>
      <c r="T505" s="104"/>
      <c r="U505" s="105"/>
      <c r="V505" s="109">
        <f t="shared" si="2"/>
        <v>0</v>
      </c>
      <c r="W505" s="110" t="str">
        <f t="shared" si="3"/>
        <v/>
      </c>
      <c r="X505" s="103">
        <f>if(S505,if(and(hour(S505+X$7)&gt;9.5,(hour(S505+X$7)&lt;19.5)),S505+X$7,_xlfn.workday.intl(int(S505),1,"0000001",Holidays!A:A)+hour(S505+X$7-$B$1)/24+minute(S505)/1440),"")</f>
        <v>46241.43889</v>
      </c>
      <c r="Y505" s="104"/>
      <c r="Z505" s="105"/>
      <c r="AA505" s="111">
        <f t="shared" si="4"/>
        <v>0</v>
      </c>
      <c r="AB505" s="110" t="str">
        <f t="shared" si="5"/>
        <v/>
      </c>
      <c r="AC505" s="103">
        <f>if(X505,_xlfn.WORKDAY.INTL(X505,AC$7,"0000001",Holidays!A:A)+hour(X505)/24+MINUTE(X505)/1440,"")</f>
        <v>46242.43889</v>
      </c>
      <c r="AD505" s="104"/>
      <c r="AE505" s="105"/>
      <c r="AF505" s="111">
        <f t="shared" si="6"/>
        <v>0</v>
      </c>
      <c r="AG505" s="110" t="str">
        <f t="shared" si="7"/>
        <v/>
      </c>
      <c r="AH505" s="103">
        <f>if(AC505,if(and(hour(AC505+AH$7)&gt;9.5,(hour(AC505+AH$7)&lt;19.5)),AC505+AH$7,_xlfn.workday.intl(int(AC505),1,"0000001",Holidays!A:A)+hour(AC505+AH$7-$B$1)/24+minute(AC505)/1440),"")</f>
        <v>46242.48056</v>
      </c>
      <c r="AI505" s="104"/>
      <c r="AJ505" s="105"/>
      <c r="AK505" s="111">
        <f t="shared" si="8"/>
        <v>0</v>
      </c>
      <c r="AL505" s="112" t="str">
        <f t="shared" si="9"/>
        <v/>
      </c>
      <c r="AM505" s="113"/>
      <c r="AN505" s="114" t="s">
        <v>672</v>
      </c>
      <c r="AO505" s="115"/>
      <c r="AP505" s="115"/>
      <c r="AQ505" s="115"/>
      <c r="AR505" s="115"/>
      <c r="AS505" s="115"/>
      <c r="AT505" s="115"/>
      <c r="AU505" s="115"/>
      <c r="AV505" s="115"/>
      <c r="AW505" s="115"/>
      <c r="AX505" s="115"/>
      <c r="AY505" s="115"/>
    </row>
    <row r="506">
      <c r="A506" s="95">
        <f t="shared" si="11"/>
        <v>5457</v>
      </c>
      <c r="B506" s="96">
        <v>46240.60990202546</v>
      </c>
      <c r="C506" s="97" t="s">
        <v>2036</v>
      </c>
      <c r="D506" s="97" t="s">
        <v>1580</v>
      </c>
      <c r="E506" s="98" t="s">
        <v>2464</v>
      </c>
      <c r="F506" s="97"/>
      <c r="G506" s="97" t="s">
        <v>166</v>
      </c>
      <c r="H506" s="99" t="s">
        <v>62</v>
      </c>
      <c r="I506" s="100" t="s">
        <v>64</v>
      </c>
      <c r="J506" s="101" t="s">
        <v>1579</v>
      </c>
      <c r="K506" s="100"/>
      <c r="L506" s="102" t="s">
        <v>2465</v>
      </c>
      <c r="M506" s="103">
        <f>if(B506,if(and(hour(B506+M$7)&gt;9.5,(hour(B506+M$7)&lt;19.5)),B506+M$7,_xlfn.workday.intl(int(B506),1,"0000001",Holidays!A:A)+hour(B506+M$7-$B$1)/24+minute(B506)/1440),"")</f>
        <v>46240.77657</v>
      </c>
      <c r="N506" s="104"/>
      <c r="O506" s="105"/>
      <c r="P506" s="106">
        <f t="shared" si="1"/>
        <v>0</v>
      </c>
      <c r="Q506" s="107"/>
      <c r="R506" s="108"/>
      <c r="S506" s="103">
        <f>if(M506,if(and(hour(M506+S$7)&gt;9.5,(hour(M506+S$7)&lt;19.5)),M506+S$7,_xlfn.workday.intl(int(M506),1,"0000001",Holidays!A:A)+hour(M506+S$7-$B$1)/24+minute(M506)/1440),"")</f>
        <v>46240.78351</v>
      </c>
      <c r="T506" s="104"/>
      <c r="U506" s="105"/>
      <c r="V506" s="109">
        <f t="shared" si="2"/>
        <v>0</v>
      </c>
      <c r="W506" s="110" t="str">
        <f t="shared" si="3"/>
        <v/>
      </c>
      <c r="X506" s="103">
        <f>if(S506,if(and(hour(S506+X$7)&gt;9.5,(hour(S506+X$7)&lt;19.5)),S506+X$7,_xlfn.workday.intl(int(S506),1,"0000001",Holidays!A:A)+hour(S506+X$7-$B$1)/24+minute(S506)/1440),"")</f>
        <v>46241.49167</v>
      </c>
      <c r="Y506" s="104"/>
      <c r="Z506" s="105"/>
      <c r="AA506" s="111">
        <f t="shared" si="4"/>
        <v>0</v>
      </c>
      <c r="AB506" s="110" t="str">
        <f t="shared" si="5"/>
        <v/>
      </c>
      <c r="AC506" s="103">
        <f>if(X506,_xlfn.WORKDAY.INTL(X506,AC$7,"0000001",Holidays!A:A)+hour(X506)/24+MINUTE(X506)/1440,"")</f>
        <v>46242.49167</v>
      </c>
      <c r="AD506" s="104"/>
      <c r="AE506" s="105"/>
      <c r="AF506" s="111">
        <f t="shared" si="6"/>
        <v>0</v>
      </c>
      <c r="AG506" s="110" t="str">
        <f t="shared" si="7"/>
        <v/>
      </c>
      <c r="AH506" s="103">
        <f>if(AC506,if(and(hour(AC506+AH$7)&gt;9.5,(hour(AC506+AH$7)&lt;19.5)),AC506+AH$7,_xlfn.workday.intl(int(AC506),1,"0000001",Holidays!A:A)+hour(AC506+AH$7-$B$1)/24+minute(AC506)/1440),"")</f>
        <v>46242.53333</v>
      </c>
      <c r="AI506" s="104"/>
      <c r="AJ506" s="105"/>
      <c r="AK506" s="111">
        <f t="shared" si="8"/>
        <v>0</v>
      </c>
      <c r="AL506" s="112" t="str">
        <f t="shared" si="9"/>
        <v/>
      </c>
      <c r="AM506" s="113"/>
      <c r="AN506" s="114" t="s">
        <v>672</v>
      </c>
      <c r="AO506" s="115"/>
      <c r="AP506" s="115"/>
      <c r="AQ506" s="115"/>
      <c r="AR506" s="115"/>
      <c r="AS506" s="115"/>
      <c r="AT506" s="115"/>
      <c r="AU506" s="115"/>
      <c r="AV506" s="115"/>
      <c r="AW506" s="115"/>
      <c r="AX506" s="115"/>
      <c r="AY506" s="115"/>
    </row>
    <row r="507">
      <c r="A507" s="95" t="str">
        <f t="shared" si="11"/>
        <v/>
      </c>
      <c r="B507" s="100"/>
      <c r="C507" s="97"/>
      <c r="D507" s="97"/>
      <c r="E507" s="97"/>
      <c r="F507" s="97"/>
      <c r="G507" s="97"/>
      <c r="H507" s="99"/>
      <c r="I507" s="100"/>
      <c r="J507" s="101"/>
      <c r="K507" s="100"/>
      <c r="L507" s="102"/>
      <c r="M507" s="103" t="str">
        <f>if(B507,if(and(hour(B507+M$7)&gt;9.5,(hour(B507+M$7)&lt;19.5)),B507+M$7,_xlfn.workday.intl(int(B507),1,"0000001",Holidays!A:A)+hour(B507+M$7-$B$1)/24+minute(B507)/1440),"")</f>
        <v/>
      </c>
      <c r="N507" s="104"/>
      <c r="O507" s="105"/>
      <c r="P507" s="106" t="str">
        <f t="shared" si="1"/>
        <v/>
      </c>
      <c r="Q507" s="107"/>
      <c r="R507" s="108"/>
      <c r="S507" s="103" t="str">
        <f>if(M507,if(and(hour(M507+S$7)&gt;9.5,(hour(M507+S$7)&lt;19.5)),M507+S$7,_xlfn.workday.intl(int(M507),1,"0000001",Holidays!A:A)+hour(M507+S$7-$B$1)/24+minute(M507)/1440),"")</f>
        <v/>
      </c>
      <c r="T507" s="104"/>
      <c r="U507" s="105"/>
      <c r="V507" s="109" t="str">
        <f t="shared" si="2"/>
        <v/>
      </c>
      <c r="W507" s="110" t="str">
        <f t="shared" si="3"/>
        <v/>
      </c>
      <c r="X507" s="103" t="str">
        <f>if(S507,if(and(hour(S507+X$7)&gt;9.5,(hour(S507+X$7)&lt;19.5)),S507+X$7,_xlfn.workday.intl(int(S507),1,"0000001",Holidays!A:A)+hour(S507+X$7-$B$1)/24+minute(S507)/1440),"")</f>
        <v/>
      </c>
      <c r="Y507" s="104"/>
      <c r="Z507" s="105"/>
      <c r="AA507" s="111" t="str">
        <f t="shared" si="4"/>
        <v/>
      </c>
      <c r="AB507" s="110" t="str">
        <f t="shared" si="5"/>
        <v/>
      </c>
      <c r="AC507" s="103" t="str">
        <f>if(X507,_xlfn.WORKDAY.INTL(X507,AC$7,"0000001",Holidays!A:A)+hour(X507)/24+MINUTE(X507)/1440,"")</f>
        <v/>
      </c>
      <c r="AD507" s="104"/>
      <c r="AE507" s="105"/>
      <c r="AF507" s="111" t="str">
        <f t="shared" si="6"/>
        <v/>
      </c>
      <c r="AG507" s="110" t="str">
        <f t="shared" si="7"/>
        <v/>
      </c>
      <c r="AH507" s="103" t="str">
        <f>if(AC507,if(and(hour(AC507+AH$7)&gt;9.5,(hour(AC507+AH$7)&lt;19.5)),AC507+AH$7,_xlfn.workday.intl(int(AC507),1,"0000001",Holidays!A:A)+hour(AC507+AH$7-$B$1)/24+minute(AC507)/1440),"")</f>
        <v/>
      </c>
      <c r="AI507" s="104"/>
      <c r="AJ507" s="105"/>
      <c r="AK507" s="111" t="str">
        <f t="shared" si="8"/>
        <v/>
      </c>
      <c r="AL507" s="112" t="str">
        <f t="shared" si="9"/>
        <v/>
      </c>
      <c r="AM507" s="113"/>
      <c r="AN507" s="291" t="s">
        <v>2540</v>
      </c>
      <c r="AO507" s="115"/>
      <c r="AP507" s="115"/>
      <c r="AQ507" s="115"/>
      <c r="AR507" s="115"/>
      <c r="AS507" s="115"/>
      <c r="AT507" s="115"/>
      <c r="AU507" s="115"/>
      <c r="AV507" s="115"/>
      <c r="AW507" s="115"/>
      <c r="AX507" s="115"/>
      <c r="AY507" s="115"/>
    </row>
    <row r="508">
      <c r="A508" s="95" t="str">
        <f t="shared" si="11"/>
        <v/>
      </c>
      <c r="B508" s="100"/>
      <c r="C508" s="97"/>
      <c r="D508" s="97"/>
      <c r="E508" s="97"/>
      <c r="F508" s="97"/>
      <c r="G508" s="97"/>
      <c r="H508" s="99"/>
      <c r="I508" s="100"/>
      <c r="J508" s="101"/>
      <c r="K508" s="100"/>
      <c r="L508" s="102"/>
      <c r="M508" s="103" t="str">
        <f>if(B508,if(and(hour(B508+M$7)&gt;9.5,(hour(B508+M$7)&lt;19.5)),B508+M$7,_xlfn.workday.intl(int(B508),1,"0000001",Holidays!A:A)+hour(B508+M$7-$B$1)/24+minute(B508)/1440),"")</f>
        <v/>
      </c>
      <c r="N508" s="104"/>
      <c r="O508" s="105"/>
      <c r="P508" s="106" t="str">
        <f t="shared" si="1"/>
        <v/>
      </c>
      <c r="Q508" s="107"/>
      <c r="R508" s="108"/>
      <c r="S508" s="103" t="str">
        <f>if(M508,if(and(hour(M508+S$7)&gt;9.5,(hour(M508+S$7)&lt;19.5)),M508+S$7,_xlfn.workday.intl(int(M508),1,"0000001",Holidays!A:A)+hour(M508+S$7-$B$1)/24+minute(M508)/1440),"")</f>
        <v/>
      </c>
      <c r="T508" s="104"/>
      <c r="U508" s="105"/>
      <c r="V508" s="109" t="str">
        <f t="shared" si="2"/>
        <v/>
      </c>
      <c r="W508" s="110" t="str">
        <f t="shared" si="3"/>
        <v/>
      </c>
      <c r="X508" s="103" t="str">
        <f>if(S508,if(and(hour(S508+X$7)&gt;9.5,(hour(S508+X$7)&lt;19.5)),S508+X$7,_xlfn.workday.intl(int(S508),1,"0000001",Holidays!A:A)+hour(S508+X$7-$B$1)/24+minute(S508)/1440),"")</f>
        <v/>
      </c>
      <c r="Y508" s="104"/>
      <c r="Z508" s="105"/>
      <c r="AA508" s="111" t="str">
        <f t="shared" si="4"/>
        <v/>
      </c>
      <c r="AB508" s="110" t="str">
        <f t="shared" si="5"/>
        <v/>
      </c>
      <c r="AC508" s="103" t="str">
        <f>if(X508,_xlfn.WORKDAY.INTL(X508,AC$7,"0000001",Holidays!A:A)+hour(X508)/24+MINUTE(X508)/1440,"")</f>
        <v/>
      </c>
      <c r="AD508" s="104"/>
      <c r="AE508" s="105"/>
      <c r="AF508" s="111" t="str">
        <f t="shared" si="6"/>
        <v/>
      </c>
      <c r="AG508" s="110" t="str">
        <f t="shared" si="7"/>
        <v/>
      </c>
      <c r="AH508" s="103" t="str">
        <f>if(AC508,if(and(hour(AC508+AH$7)&gt;9.5,(hour(AC508+AH$7)&lt;19.5)),AC508+AH$7,_xlfn.workday.intl(int(AC508),1,"0000001",Holidays!A:A)+hour(AC508+AH$7-$B$1)/24+minute(AC508)/1440),"")</f>
        <v/>
      </c>
      <c r="AI508" s="104"/>
      <c r="AJ508" s="105"/>
      <c r="AK508" s="111" t="str">
        <f t="shared" si="8"/>
        <v/>
      </c>
      <c r="AL508" s="112" t="str">
        <f t="shared" si="9"/>
        <v/>
      </c>
      <c r="AM508" s="113"/>
      <c r="AN508" s="291" t="s">
        <v>2540</v>
      </c>
      <c r="AO508" s="115"/>
      <c r="AP508" s="115"/>
      <c r="AQ508" s="115"/>
      <c r="AR508" s="115"/>
      <c r="AS508" s="115"/>
      <c r="AT508" s="115"/>
      <c r="AU508" s="115"/>
      <c r="AV508" s="115"/>
      <c r="AW508" s="115"/>
      <c r="AX508" s="115"/>
      <c r="AY508" s="115"/>
    </row>
    <row r="509">
      <c r="A509" s="95" t="str">
        <f t="shared" si="11"/>
        <v/>
      </c>
      <c r="B509" s="100"/>
      <c r="C509" s="97"/>
      <c r="D509" s="97"/>
      <c r="E509" s="97"/>
      <c r="F509" s="97"/>
      <c r="G509" s="97"/>
      <c r="H509" s="99"/>
      <c r="I509" s="100"/>
      <c r="J509" s="101"/>
      <c r="K509" s="100"/>
      <c r="L509" s="102"/>
      <c r="M509" s="103" t="str">
        <f>if(B509,if(and(hour(B509+M$7)&gt;9.5,(hour(B509+M$7)&lt;19.5)),B509+M$7,_xlfn.workday.intl(int(B509),1,"0000001",Holidays!A:A)+hour(B509+M$7-$B$1)/24+minute(B509)/1440),"")</f>
        <v/>
      </c>
      <c r="N509" s="104"/>
      <c r="O509" s="105"/>
      <c r="P509" s="106" t="str">
        <f t="shared" si="1"/>
        <v/>
      </c>
      <c r="Q509" s="107"/>
      <c r="R509" s="108"/>
      <c r="S509" s="103" t="str">
        <f>if(M509,if(and(hour(M509+S$7)&gt;9.5,(hour(M509+S$7)&lt;19.5)),M509+S$7,_xlfn.workday.intl(int(M509),1,"0000001",Holidays!A:A)+hour(M509+S$7-$B$1)/24+minute(M509)/1440),"")</f>
        <v/>
      </c>
      <c r="T509" s="104"/>
      <c r="U509" s="105"/>
      <c r="V509" s="109" t="str">
        <f t="shared" si="2"/>
        <v/>
      </c>
      <c r="W509" s="110" t="str">
        <f t="shared" si="3"/>
        <v/>
      </c>
      <c r="X509" s="103" t="str">
        <f>if(S509,if(and(hour(S509+X$7)&gt;9.5,(hour(S509+X$7)&lt;19.5)),S509+X$7,_xlfn.workday.intl(int(S509),1,"0000001",Holidays!A:A)+hour(S509+X$7-$B$1)/24+minute(S509)/1440),"")</f>
        <v/>
      </c>
      <c r="Y509" s="104"/>
      <c r="Z509" s="105"/>
      <c r="AA509" s="111" t="str">
        <f t="shared" si="4"/>
        <v/>
      </c>
      <c r="AB509" s="110" t="str">
        <f t="shared" si="5"/>
        <v/>
      </c>
      <c r="AC509" s="103" t="str">
        <f>if(X509,_xlfn.WORKDAY.INTL(X509,AC$7,"0000001",Holidays!A:A)+hour(X509)/24+MINUTE(X509)/1440,"")</f>
        <v/>
      </c>
      <c r="AD509" s="104"/>
      <c r="AE509" s="105"/>
      <c r="AF509" s="111" t="str">
        <f t="shared" si="6"/>
        <v/>
      </c>
      <c r="AG509" s="110" t="str">
        <f t="shared" si="7"/>
        <v/>
      </c>
      <c r="AH509" s="103" t="str">
        <f>if(AC509,if(and(hour(AC509+AH$7)&gt;9.5,(hour(AC509+AH$7)&lt;19.5)),AC509+AH$7,_xlfn.workday.intl(int(AC509),1,"0000001",Holidays!A:A)+hour(AC509+AH$7-$B$1)/24+minute(AC509)/1440),"")</f>
        <v/>
      </c>
      <c r="AI509" s="104"/>
      <c r="AJ509" s="105"/>
      <c r="AK509" s="111" t="str">
        <f t="shared" si="8"/>
        <v/>
      </c>
      <c r="AL509" s="112" t="str">
        <f t="shared" si="9"/>
        <v/>
      </c>
      <c r="AM509" s="113"/>
      <c r="AN509" s="291" t="s">
        <v>2540</v>
      </c>
      <c r="AO509" s="115"/>
      <c r="AP509" s="115"/>
      <c r="AQ509" s="115"/>
      <c r="AR509" s="115"/>
      <c r="AS509" s="115"/>
      <c r="AT509" s="115"/>
      <c r="AU509" s="115"/>
      <c r="AV509" s="115"/>
      <c r="AW509" s="115"/>
      <c r="AX509" s="115"/>
      <c r="AY509" s="115"/>
    </row>
    <row r="510">
      <c r="A510" s="95" t="str">
        <f t="shared" si="11"/>
        <v/>
      </c>
      <c r="B510" s="100"/>
      <c r="C510" s="97"/>
      <c r="D510" s="97"/>
      <c r="E510" s="97"/>
      <c r="F510" s="97"/>
      <c r="G510" s="97"/>
      <c r="H510" s="99"/>
      <c r="I510" s="100"/>
      <c r="J510" s="101"/>
      <c r="K510" s="100"/>
      <c r="L510" s="102"/>
      <c r="M510" s="103" t="str">
        <f>if(B510,if(and(hour(B510+M$7)&gt;9.5,(hour(B510+M$7)&lt;19.5)),B510+M$7,_xlfn.workday.intl(int(B510),1,"0000001",Holidays!A:A)+hour(B510+M$7-$B$1)/24+minute(B510)/1440),"")</f>
        <v/>
      </c>
      <c r="N510" s="104"/>
      <c r="O510" s="105"/>
      <c r="P510" s="106" t="str">
        <f t="shared" si="1"/>
        <v/>
      </c>
      <c r="Q510" s="107"/>
      <c r="R510" s="108"/>
      <c r="S510" s="103" t="str">
        <f>if(M510,if(and(hour(M510+S$7)&gt;9.5,(hour(M510+S$7)&lt;19.5)),M510+S$7,_xlfn.workday.intl(int(M510),1,"0000001",Holidays!A:A)+hour(M510+S$7-$B$1)/24+minute(M510)/1440),"")</f>
        <v/>
      </c>
      <c r="T510" s="104"/>
      <c r="U510" s="105"/>
      <c r="V510" s="109" t="str">
        <f t="shared" si="2"/>
        <v/>
      </c>
      <c r="W510" s="110" t="str">
        <f t="shared" si="3"/>
        <v/>
      </c>
      <c r="X510" s="103" t="str">
        <f>if(S510,if(and(hour(S510+X$7)&gt;9.5,(hour(S510+X$7)&lt;19.5)),S510+X$7,_xlfn.workday.intl(int(S510),1,"0000001",Holidays!A:A)+hour(S510+X$7-$B$1)/24+minute(S510)/1440),"")</f>
        <v/>
      </c>
      <c r="Y510" s="104"/>
      <c r="Z510" s="105"/>
      <c r="AA510" s="111" t="str">
        <f t="shared" si="4"/>
        <v/>
      </c>
      <c r="AB510" s="110" t="str">
        <f t="shared" si="5"/>
        <v/>
      </c>
      <c r="AC510" s="103" t="str">
        <f>if(X510,_xlfn.WORKDAY.INTL(X510,AC$7,"0000001",Holidays!A:A)+hour(X510)/24+MINUTE(X510)/1440,"")</f>
        <v/>
      </c>
      <c r="AD510" s="104"/>
      <c r="AE510" s="105"/>
      <c r="AF510" s="111" t="str">
        <f t="shared" si="6"/>
        <v/>
      </c>
      <c r="AG510" s="110" t="str">
        <f t="shared" si="7"/>
        <v/>
      </c>
      <c r="AH510" s="103" t="str">
        <f>if(AC510,if(and(hour(AC510+AH$7)&gt;9.5,(hour(AC510+AH$7)&lt;19.5)),AC510+AH$7,_xlfn.workday.intl(int(AC510),1,"0000001",Holidays!A:A)+hour(AC510+AH$7-$B$1)/24+minute(AC510)/1440),"")</f>
        <v/>
      </c>
      <c r="AI510" s="104"/>
      <c r="AJ510" s="105"/>
      <c r="AK510" s="111" t="str">
        <f t="shared" si="8"/>
        <v/>
      </c>
      <c r="AL510" s="112" t="str">
        <f t="shared" si="9"/>
        <v/>
      </c>
      <c r="AM510" s="113"/>
      <c r="AN510" s="291" t="s">
        <v>2540</v>
      </c>
      <c r="AO510" s="115"/>
      <c r="AP510" s="115"/>
      <c r="AQ510" s="115"/>
      <c r="AR510" s="115"/>
      <c r="AS510" s="115"/>
      <c r="AT510" s="115"/>
      <c r="AU510" s="115"/>
      <c r="AV510" s="115"/>
      <c r="AW510" s="115"/>
      <c r="AX510" s="115"/>
      <c r="AY510" s="115"/>
    </row>
    <row r="511">
      <c r="A511" s="95" t="str">
        <f t="shared" si="11"/>
        <v/>
      </c>
      <c r="B511" s="100"/>
      <c r="C511" s="97"/>
      <c r="D511" s="97"/>
      <c r="E511" s="97"/>
      <c r="F511" s="97"/>
      <c r="G511" s="97"/>
      <c r="H511" s="99"/>
      <c r="I511" s="100"/>
      <c r="J511" s="101"/>
      <c r="K511" s="100"/>
      <c r="L511" s="102"/>
      <c r="M511" s="103" t="str">
        <f>if(B511,if(and(hour(B511+M$7)&gt;9.5,(hour(B511+M$7)&lt;19.5)),B511+M$7,_xlfn.workday.intl(int(B511),1,"0000001",Holidays!A:A)+hour(B511+M$7-$B$1)/24+minute(B511)/1440),"")</f>
        <v/>
      </c>
      <c r="N511" s="104"/>
      <c r="O511" s="105"/>
      <c r="P511" s="106" t="str">
        <f t="shared" si="1"/>
        <v/>
      </c>
      <c r="Q511" s="107"/>
      <c r="R511" s="108"/>
      <c r="S511" s="103" t="str">
        <f>if(M511,if(and(hour(M511+S$7)&gt;9.5,(hour(M511+S$7)&lt;19.5)),M511+S$7,_xlfn.workday.intl(int(M511),1,"0000001",Holidays!A:A)+hour(M511+S$7-$B$1)/24+minute(M511)/1440),"")</f>
        <v/>
      </c>
      <c r="T511" s="104"/>
      <c r="U511" s="105"/>
      <c r="V511" s="109" t="str">
        <f t="shared" si="2"/>
        <v/>
      </c>
      <c r="W511" s="110" t="str">
        <f t="shared" si="3"/>
        <v/>
      </c>
      <c r="X511" s="103" t="str">
        <f>if(S511,if(and(hour(S511+X$7)&gt;9.5,(hour(S511+X$7)&lt;19.5)),S511+X$7,_xlfn.workday.intl(int(S511),1,"0000001",Holidays!A:A)+hour(S511+X$7-$B$1)/24+minute(S511)/1440),"")</f>
        <v/>
      </c>
      <c r="Y511" s="104"/>
      <c r="Z511" s="105"/>
      <c r="AA511" s="111" t="str">
        <f t="shared" si="4"/>
        <v/>
      </c>
      <c r="AB511" s="110" t="str">
        <f t="shared" si="5"/>
        <v/>
      </c>
      <c r="AC511" s="103" t="str">
        <f>if(X511,_xlfn.WORKDAY.INTL(X511,AC$7,"0000001",Holidays!A:A)+hour(X511)/24+MINUTE(X511)/1440,"")</f>
        <v/>
      </c>
      <c r="AD511" s="104"/>
      <c r="AE511" s="105"/>
      <c r="AF511" s="111" t="str">
        <f t="shared" si="6"/>
        <v/>
      </c>
      <c r="AG511" s="110" t="str">
        <f t="shared" si="7"/>
        <v/>
      </c>
      <c r="AH511" s="103" t="str">
        <f>if(AC511,if(and(hour(AC511+AH$7)&gt;9.5,(hour(AC511+AH$7)&lt;19.5)),AC511+AH$7,_xlfn.workday.intl(int(AC511),1,"0000001",Holidays!A:A)+hour(AC511+AH$7-$B$1)/24+minute(AC511)/1440),"")</f>
        <v/>
      </c>
      <c r="AI511" s="104"/>
      <c r="AJ511" s="105"/>
      <c r="AK511" s="111" t="str">
        <f t="shared" si="8"/>
        <v/>
      </c>
      <c r="AL511" s="112" t="str">
        <f t="shared" si="9"/>
        <v/>
      </c>
      <c r="AM511" s="113"/>
      <c r="AN511" s="291" t="s">
        <v>2540</v>
      </c>
      <c r="AO511" s="115"/>
      <c r="AP511" s="115"/>
      <c r="AQ511" s="115"/>
      <c r="AR511" s="115"/>
      <c r="AS511" s="115"/>
      <c r="AT511" s="115"/>
      <c r="AU511" s="115"/>
      <c r="AV511" s="115"/>
      <c r="AW511" s="115"/>
      <c r="AX511" s="115"/>
      <c r="AY511" s="115"/>
    </row>
    <row r="512">
      <c r="A512" s="95" t="str">
        <f t="shared" si="11"/>
        <v/>
      </c>
      <c r="B512" s="100"/>
      <c r="C512" s="97"/>
      <c r="D512" s="97"/>
      <c r="E512" s="97"/>
      <c r="F512" s="97"/>
      <c r="G512" s="97"/>
      <c r="H512" s="99"/>
      <c r="I512" s="100"/>
      <c r="J512" s="101"/>
      <c r="K512" s="100"/>
      <c r="L512" s="102"/>
      <c r="M512" s="103" t="str">
        <f>if(B512,if(and(hour(B512+M$7)&gt;9.5,(hour(B512+M$7)&lt;19.5)),B512+M$7,_xlfn.workday.intl(int(B512),1,"0000001",Holidays!A:A)+hour(B512+M$7-$B$1)/24+minute(B512)/1440),"")</f>
        <v/>
      </c>
      <c r="N512" s="104"/>
      <c r="O512" s="105"/>
      <c r="P512" s="106" t="str">
        <f t="shared" si="1"/>
        <v/>
      </c>
      <c r="Q512" s="107"/>
      <c r="R512" s="108"/>
      <c r="S512" s="103" t="str">
        <f>if(M512,if(and(hour(M512+S$7)&gt;9.5,(hour(M512+S$7)&lt;19.5)),M512+S$7,_xlfn.workday.intl(int(M512),1,"0000001",Holidays!A:A)+hour(M512+S$7-$B$1)/24+minute(M512)/1440),"")</f>
        <v/>
      </c>
      <c r="T512" s="104"/>
      <c r="U512" s="105"/>
      <c r="V512" s="109" t="str">
        <f t="shared" si="2"/>
        <v/>
      </c>
      <c r="W512" s="110" t="str">
        <f t="shared" si="3"/>
        <v/>
      </c>
      <c r="X512" s="103" t="str">
        <f>if(S512,if(and(hour(S512+X$7)&gt;9.5,(hour(S512+X$7)&lt;19.5)),S512+X$7,_xlfn.workday.intl(int(S512),1,"0000001",Holidays!A:A)+hour(S512+X$7-$B$1)/24+minute(S512)/1440),"")</f>
        <v/>
      </c>
      <c r="Y512" s="104"/>
      <c r="Z512" s="105"/>
      <c r="AA512" s="111" t="str">
        <f t="shared" si="4"/>
        <v/>
      </c>
      <c r="AB512" s="110" t="str">
        <f t="shared" si="5"/>
        <v/>
      </c>
      <c r="AC512" s="103" t="str">
        <f>if(X512,_xlfn.WORKDAY.INTL(X512,AC$7,"0000001",Holidays!A:A)+hour(X512)/24+MINUTE(X512)/1440,"")</f>
        <v/>
      </c>
      <c r="AD512" s="104"/>
      <c r="AE512" s="105"/>
      <c r="AF512" s="111" t="str">
        <f t="shared" si="6"/>
        <v/>
      </c>
      <c r="AG512" s="110" t="str">
        <f t="shared" si="7"/>
        <v/>
      </c>
      <c r="AH512" s="103" t="str">
        <f>if(AC512,if(and(hour(AC512+AH$7)&gt;9.5,(hour(AC512+AH$7)&lt;19.5)),AC512+AH$7,_xlfn.workday.intl(int(AC512),1,"0000001",Holidays!A:A)+hour(AC512+AH$7-$B$1)/24+minute(AC512)/1440),"")</f>
        <v/>
      </c>
      <c r="AI512" s="104"/>
      <c r="AJ512" s="105"/>
      <c r="AK512" s="111" t="str">
        <f t="shared" si="8"/>
        <v/>
      </c>
      <c r="AL512" s="112" t="str">
        <f t="shared" si="9"/>
        <v/>
      </c>
      <c r="AM512" s="113"/>
      <c r="AN512" s="291" t="s">
        <v>2540</v>
      </c>
      <c r="AO512" s="115"/>
      <c r="AP512" s="115"/>
      <c r="AQ512" s="115"/>
      <c r="AR512" s="115"/>
      <c r="AS512" s="115"/>
      <c r="AT512" s="115"/>
      <c r="AU512" s="115"/>
      <c r="AV512" s="115"/>
      <c r="AW512" s="115"/>
      <c r="AX512" s="115"/>
      <c r="AY512" s="115"/>
    </row>
    <row r="513">
      <c r="A513" s="95" t="str">
        <f t="shared" si="11"/>
        <v/>
      </c>
      <c r="B513" s="100"/>
      <c r="C513" s="97"/>
      <c r="D513" s="97"/>
      <c r="E513" s="97"/>
      <c r="F513" s="97"/>
      <c r="G513" s="97"/>
      <c r="H513" s="99"/>
      <c r="I513" s="100"/>
      <c r="J513" s="101"/>
      <c r="K513" s="100"/>
      <c r="L513" s="102"/>
      <c r="M513" s="103" t="str">
        <f>if(B513,if(and(hour(B513+M$7)&gt;9.5,(hour(B513+M$7)&lt;19.5)),B513+M$7,_xlfn.workday.intl(int(B513),1,"0000001",Holidays!A:A)+hour(B513+M$7-$B$1)/24+minute(B513)/1440),"")</f>
        <v/>
      </c>
      <c r="N513" s="104"/>
      <c r="O513" s="105"/>
      <c r="P513" s="106" t="str">
        <f t="shared" si="1"/>
        <v/>
      </c>
      <c r="Q513" s="107"/>
      <c r="R513" s="108"/>
      <c r="S513" s="103" t="str">
        <f>if(M513,if(and(hour(M513+S$7)&gt;9.5,(hour(M513+S$7)&lt;19.5)),M513+S$7,_xlfn.workday.intl(int(M513),1,"0000001",Holidays!A:A)+hour(M513+S$7-$B$1)/24+minute(M513)/1440),"")</f>
        <v/>
      </c>
      <c r="T513" s="104"/>
      <c r="U513" s="105"/>
      <c r="V513" s="109" t="str">
        <f t="shared" si="2"/>
        <v/>
      </c>
      <c r="W513" s="110" t="str">
        <f t="shared" si="3"/>
        <v/>
      </c>
      <c r="X513" s="103" t="str">
        <f>if(S513,if(and(hour(S513+X$7)&gt;9.5,(hour(S513+X$7)&lt;19.5)),S513+X$7,_xlfn.workday.intl(int(S513),1,"0000001",Holidays!A:A)+hour(S513+X$7-$B$1)/24+minute(S513)/1440),"")</f>
        <v/>
      </c>
      <c r="Y513" s="104"/>
      <c r="Z513" s="105"/>
      <c r="AA513" s="111" t="str">
        <f t="shared" si="4"/>
        <v/>
      </c>
      <c r="AB513" s="110" t="str">
        <f t="shared" si="5"/>
        <v/>
      </c>
      <c r="AC513" s="103" t="str">
        <f>if(X513,_xlfn.WORKDAY.INTL(X513,AC$7,"0000001",Holidays!A:A)+hour(X513)/24+MINUTE(X513)/1440,"")</f>
        <v/>
      </c>
      <c r="AD513" s="104"/>
      <c r="AE513" s="105"/>
      <c r="AF513" s="111" t="str">
        <f t="shared" si="6"/>
        <v/>
      </c>
      <c r="AG513" s="110" t="str">
        <f t="shared" si="7"/>
        <v/>
      </c>
      <c r="AH513" s="103" t="str">
        <f>if(AC513,if(and(hour(AC513+AH$7)&gt;9.5,(hour(AC513+AH$7)&lt;19.5)),AC513+AH$7,_xlfn.workday.intl(int(AC513),1,"0000001",Holidays!A:A)+hour(AC513+AH$7-$B$1)/24+minute(AC513)/1440),"")</f>
        <v/>
      </c>
      <c r="AI513" s="104"/>
      <c r="AJ513" s="105"/>
      <c r="AK513" s="111" t="str">
        <f t="shared" si="8"/>
        <v/>
      </c>
      <c r="AL513" s="112" t="str">
        <f t="shared" si="9"/>
        <v/>
      </c>
      <c r="AM513" s="113"/>
      <c r="AN513" s="291" t="s">
        <v>2540</v>
      </c>
      <c r="AO513" s="115"/>
      <c r="AP513" s="115"/>
      <c r="AQ513" s="115"/>
      <c r="AR513" s="115"/>
      <c r="AS513" s="115"/>
      <c r="AT513" s="115"/>
      <c r="AU513" s="115"/>
      <c r="AV513" s="115"/>
      <c r="AW513" s="115"/>
      <c r="AX513" s="115"/>
      <c r="AY513" s="115"/>
    </row>
    <row r="514">
      <c r="A514" s="95" t="str">
        <f t="shared" si="11"/>
        <v/>
      </c>
      <c r="B514" s="100"/>
      <c r="C514" s="97"/>
      <c r="D514" s="97"/>
      <c r="E514" s="97"/>
      <c r="F514" s="97"/>
      <c r="G514" s="97"/>
      <c r="H514" s="99"/>
      <c r="I514" s="100"/>
      <c r="J514" s="101"/>
      <c r="K514" s="100"/>
      <c r="L514" s="102"/>
      <c r="M514" s="103" t="str">
        <f>if(B514,if(and(hour(B514+M$7)&gt;9.5,(hour(B514+M$7)&lt;19.5)),B514+M$7,_xlfn.workday.intl(int(B514),1,"0000001",Holidays!A:A)+hour(B514+M$7-$B$1)/24+minute(B514)/1440),"")</f>
        <v/>
      </c>
      <c r="N514" s="104"/>
      <c r="O514" s="105"/>
      <c r="P514" s="106" t="str">
        <f t="shared" si="1"/>
        <v/>
      </c>
      <c r="Q514" s="107"/>
      <c r="R514" s="108"/>
      <c r="S514" s="103" t="str">
        <f>if(M514,if(and(hour(M514+S$7)&gt;9.5,(hour(M514+S$7)&lt;19.5)),M514+S$7,_xlfn.workday.intl(int(M514),1,"0000001",Holidays!A:A)+hour(M514+S$7-$B$1)/24+minute(M514)/1440),"")</f>
        <v/>
      </c>
      <c r="T514" s="104"/>
      <c r="U514" s="105"/>
      <c r="V514" s="109" t="str">
        <f t="shared" si="2"/>
        <v/>
      </c>
      <c r="W514" s="110" t="str">
        <f t="shared" si="3"/>
        <v/>
      </c>
      <c r="X514" s="103" t="str">
        <f>if(S514,if(and(hour(S514+X$7)&gt;9.5,(hour(S514+X$7)&lt;19.5)),S514+X$7,_xlfn.workday.intl(int(S514),1,"0000001",Holidays!A:A)+hour(S514+X$7-$B$1)/24+minute(S514)/1440),"")</f>
        <v/>
      </c>
      <c r="Y514" s="104"/>
      <c r="Z514" s="105"/>
      <c r="AA514" s="111" t="str">
        <f t="shared" si="4"/>
        <v/>
      </c>
      <c r="AB514" s="110" t="str">
        <f t="shared" si="5"/>
        <v/>
      </c>
      <c r="AC514" s="103" t="str">
        <f>if(X514,_xlfn.WORKDAY.INTL(X514,AC$7,"0000001",Holidays!A:A)+hour(X514)/24+MINUTE(X514)/1440,"")</f>
        <v/>
      </c>
      <c r="AD514" s="104"/>
      <c r="AE514" s="105"/>
      <c r="AF514" s="111" t="str">
        <f t="shared" si="6"/>
        <v/>
      </c>
      <c r="AG514" s="110" t="str">
        <f t="shared" si="7"/>
        <v/>
      </c>
      <c r="AH514" s="103" t="str">
        <f>if(AC514,if(and(hour(AC514+AH$7)&gt;9.5,(hour(AC514+AH$7)&lt;19.5)),AC514+AH$7,_xlfn.workday.intl(int(AC514),1,"0000001",Holidays!A:A)+hour(AC514+AH$7-$B$1)/24+minute(AC514)/1440),"")</f>
        <v/>
      </c>
      <c r="AI514" s="104"/>
      <c r="AJ514" s="105"/>
      <c r="AK514" s="111" t="str">
        <f t="shared" si="8"/>
        <v/>
      </c>
      <c r="AL514" s="112" t="str">
        <f t="shared" si="9"/>
        <v/>
      </c>
      <c r="AM514" s="113"/>
      <c r="AN514" s="291" t="s">
        <v>2540</v>
      </c>
      <c r="AO514" s="115"/>
      <c r="AP514" s="115"/>
      <c r="AQ514" s="115"/>
      <c r="AR514" s="115"/>
      <c r="AS514" s="115"/>
      <c r="AT514" s="115"/>
      <c r="AU514" s="115"/>
      <c r="AV514" s="115"/>
      <c r="AW514" s="115"/>
      <c r="AX514" s="115"/>
      <c r="AY514" s="115"/>
    </row>
    <row r="515">
      <c r="A515" s="95" t="str">
        <f t="shared" si="11"/>
        <v/>
      </c>
      <c r="B515" s="100"/>
      <c r="C515" s="97"/>
      <c r="D515" s="97"/>
      <c r="E515" s="97"/>
      <c r="F515" s="97"/>
      <c r="G515" s="97"/>
      <c r="H515" s="99"/>
      <c r="I515" s="100"/>
      <c r="J515" s="101"/>
      <c r="K515" s="100"/>
      <c r="L515" s="102"/>
      <c r="M515" s="103" t="str">
        <f>if(B515,if(and(hour(B515+M$7)&gt;9.5,(hour(B515+M$7)&lt;19.5)),B515+M$7,_xlfn.workday.intl(int(B515),1,"0000001",Holidays!A:A)+hour(B515+M$7-$B$1)/24+minute(B515)/1440),"")</f>
        <v/>
      </c>
      <c r="N515" s="104"/>
      <c r="O515" s="105"/>
      <c r="P515" s="106" t="str">
        <f t="shared" si="1"/>
        <v/>
      </c>
      <c r="Q515" s="107"/>
      <c r="R515" s="108"/>
      <c r="S515" s="103" t="str">
        <f>if(M515,if(and(hour(M515+S$7)&gt;9.5,(hour(M515+S$7)&lt;19.5)),M515+S$7,_xlfn.workday.intl(int(M515),1,"0000001",Holidays!A:A)+hour(M515+S$7-$B$1)/24+minute(M515)/1440),"")</f>
        <v/>
      </c>
      <c r="T515" s="104"/>
      <c r="U515" s="105"/>
      <c r="V515" s="109" t="str">
        <f t="shared" si="2"/>
        <v/>
      </c>
      <c r="W515" s="110" t="str">
        <f t="shared" si="3"/>
        <v/>
      </c>
      <c r="X515" s="103" t="str">
        <f>if(S515,if(and(hour(S515+X$7)&gt;9.5,(hour(S515+X$7)&lt;19.5)),S515+X$7,_xlfn.workday.intl(int(S515),1,"0000001",Holidays!A:A)+hour(S515+X$7-$B$1)/24+minute(S515)/1440),"")</f>
        <v/>
      </c>
      <c r="Y515" s="104"/>
      <c r="Z515" s="105"/>
      <c r="AA515" s="111" t="str">
        <f t="shared" si="4"/>
        <v/>
      </c>
      <c r="AB515" s="110" t="str">
        <f t="shared" si="5"/>
        <v/>
      </c>
      <c r="AC515" s="103" t="str">
        <f>if(X515,_xlfn.WORKDAY.INTL(X515,AC$7,"0000001",Holidays!A:A)+hour(X515)/24+MINUTE(X515)/1440,"")</f>
        <v/>
      </c>
      <c r="AD515" s="104"/>
      <c r="AE515" s="105"/>
      <c r="AF515" s="111" t="str">
        <f t="shared" si="6"/>
        <v/>
      </c>
      <c r="AG515" s="110" t="str">
        <f t="shared" si="7"/>
        <v/>
      </c>
      <c r="AH515" s="103" t="str">
        <f>if(AC515,if(and(hour(AC515+AH$7)&gt;9.5,(hour(AC515+AH$7)&lt;19.5)),AC515+AH$7,_xlfn.workday.intl(int(AC515),1,"0000001",Holidays!A:A)+hour(AC515+AH$7-$B$1)/24+minute(AC515)/1440),"")</f>
        <v/>
      </c>
      <c r="AI515" s="104"/>
      <c r="AJ515" s="105"/>
      <c r="AK515" s="111" t="str">
        <f t="shared" si="8"/>
        <v/>
      </c>
      <c r="AL515" s="112" t="str">
        <f t="shared" si="9"/>
        <v/>
      </c>
      <c r="AM515" s="113"/>
      <c r="AN515" s="291" t="s">
        <v>2540</v>
      </c>
      <c r="AO515" s="115"/>
      <c r="AP515" s="115"/>
      <c r="AQ515" s="115"/>
      <c r="AR515" s="115"/>
      <c r="AS515" s="115"/>
      <c r="AT515" s="115"/>
      <c r="AU515" s="115"/>
      <c r="AV515" s="115"/>
      <c r="AW515" s="115"/>
      <c r="AX515" s="115"/>
      <c r="AY515" s="115"/>
    </row>
    <row r="516">
      <c r="A516" s="95" t="str">
        <f t="shared" si="11"/>
        <v/>
      </c>
      <c r="B516" s="100"/>
      <c r="C516" s="97"/>
      <c r="D516" s="97"/>
      <c r="E516" s="97"/>
      <c r="F516" s="97"/>
      <c r="G516" s="97"/>
      <c r="H516" s="99"/>
      <c r="I516" s="100"/>
      <c r="J516" s="101"/>
      <c r="K516" s="100"/>
      <c r="L516" s="102"/>
      <c r="M516" s="103" t="str">
        <f>if(B516,if(and(hour(B516+M$7)&gt;9.5,(hour(B516+M$7)&lt;19.5)),B516+M$7,_xlfn.workday.intl(int(B516),1,"0000001",Holidays!A:A)+hour(B516+M$7-$B$1)/24+minute(B516)/1440),"")</f>
        <v/>
      </c>
      <c r="N516" s="104"/>
      <c r="O516" s="105"/>
      <c r="P516" s="106" t="str">
        <f t="shared" si="1"/>
        <v/>
      </c>
      <c r="Q516" s="107"/>
      <c r="R516" s="108"/>
      <c r="S516" s="103" t="str">
        <f>if(M516,if(and(hour(M516+S$7)&gt;9.5,(hour(M516+S$7)&lt;19.5)),M516+S$7,_xlfn.workday.intl(int(M516),1,"0000001",Holidays!A:A)+hour(M516+S$7-$B$1)/24+minute(M516)/1440),"")</f>
        <v/>
      </c>
      <c r="T516" s="104"/>
      <c r="U516" s="105"/>
      <c r="V516" s="109" t="str">
        <f t="shared" si="2"/>
        <v/>
      </c>
      <c r="W516" s="110" t="str">
        <f t="shared" si="3"/>
        <v/>
      </c>
      <c r="X516" s="103" t="str">
        <f>if(S516,if(and(hour(S516+X$7)&gt;9.5,(hour(S516+X$7)&lt;19.5)),S516+X$7,_xlfn.workday.intl(int(S516),1,"0000001",Holidays!A:A)+hour(S516+X$7-$B$1)/24+minute(S516)/1440),"")</f>
        <v/>
      </c>
      <c r="Y516" s="104"/>
      <c r="Z516" s="105"/>
      <c r="AA516" s="111" t="str">
        <f t="shared" si="4"/>
        <v/>
      </c>
      <c r="AB516" s="110" t="str">
        <f t="shared" si="5"/>
        <v/>
      </c>
      <c r="AC516" s="103" t="str">
        <f>if(X516,_xlfn.WORKDAY.INTL(X516,AC$7,"0000001",Holidays!A:A)+hour(X516)/24+MINUTE(X516)/1440,"")</f>
        <v/>
      </c>
      <c r="AD516" s="104"/>
      <c r="AE516" s="105"/>
      <c r="AF516" s="111" t="str">
        <f t="shared" si="6"/>
        <v/>
      </c>
      <c r="AG516" s="110" t="str">
        <f t="shared" si="7"/>
        <v/>
      </c>
      <c r="AH516" s="103" t="str">
        <f>if(AC516,if(and(hour(AC516+AH$7)&gt;9.5,(hour(AC516+AH$7)&lt;19.5)),AC516+AH$7,_xlfn.workday.intl(int(AC516),1,"0000001",Holidays!A:A)+hour(AC516+AH$7-$B$1)/24+minute(AC516)/1440),"")</f>
        <v/>
      </c>
      <c r="AI516" s="104"/>
      <c r="AJ516" s="105"/>
      <c r="AK516" s="111" t="str">
        <f t="shared" si="8"/>
        <v/>
      </c>
      <c r="AL516" s="112" t="str">
        <f t="shared" si="9"/>
        <v/>
      </c>
      <c r="AM516" s="113"/>
      <c r="AN516" s="291" t="s">
        <v>2540</v>
      </c>
      <c r="AO516" s="115"/>
      <c r="AP516" s="115"/>
      <c r="AQ516" s="115"/>
      <c r="AR516" s="115"/>
      <c r="AS516" s="115"/>
      <c r="AT516" s="115"/>
      <c r="AU516" s="115"/>
      <c r="AV516" s="115"/>
      <c r="AW516" s="115"/>
      <c r="AX516" s="115"/>
      <c r="AY516" s="115"/>
    </row>
    <row r="517">
      <c r="A517" s="95" t="str">
        <f t="shared" si="11"/>
        <v/>
      </c>
      <c r="B517" s="100"/>
      <c r="C517" s="97"/>
      <c r="D517" s="97"/>
      <c r="E517" s="97"/>
      <c r="F517" s="97"/>
      <c r="G517" s="97"/>
      <c r="H517" s="99"/>
      <c r="I517" s="100"/>
      <c r="J517" s="101"/>
      <c r="K517" s="100"/>
      <c r="L517" s="102"/>
      <c r="M517" s="103" t="str">
        <f>if(B517,if(and(hour(B517+M$7)&gt;9.5,(hour(B517+M$7)&lt;19.5)),B517+M$7,_xlfn.workday.intl(int(B517),1,"0000001",Holidays!A:A)+hour(B517+M$7-$B$1)/24+minute(B517)/1440),"")</f>
        <v/>
      </c>
      <c r="N517" s="104"/>
      <c r="O517" s="105"/>
      <c r="P517" s="106" t="str">
        <f t="shared" si="1"/>
        <v/>
      </c>
      <c r="Q517" s="107"/>
      <c r="R517" s="108"/>
      <c r="S517" s="103" t="str">
        <f>if(M517,if(and(hour(M517+S$7)&gt;9.5,(hour(M517+S$7)&lt;19.5)),M517+S$7,_xlfn.workday.intl(int(M517),1,"0000001",Holidays!A:A)+hour(M517+S$7-$B$1)/24+minute(M517)/1440),"")</f>
        <v/>
      </c>
      <c r="T517" s="104"/>
      <c r="U517" s="105"/>
      <c r="V517" s="109" t="str">
        <f t="shared" si="2"/>
        <v/>
      </c>
      <c r="W517" s="110" t="str">
        <f t="shared" si="3"/>
        <v/>
      </c>
      <c r="X517" s="103" t="str">
        <f>if(S517,if(and(hour(S517+X$7)&gt;9.5,(hour(S517+X$7)&lt;19.5)),S517+X$7,_xlfn.workday.intl(int(S517),1,"0000001",Holidays!A:A)+hour(S517+X$7-$B$1)/24+minute(S517)/1440),"")</f>
        <v/>
      </c>
      <c r="Y517" s="104"/>
      <c r="Z517" s="105"/>
      <c r="AA517" s="111" t="str">
        <f t="shared" si="4"/>
        <v/>
      </c>
      <c r="AB517" s="110" t="str">
        <f t="shared" si="5"/>
        <v/>
      </c>
      <c r="AC517" s="103" t="str">
        <f>if(X517,_xlfn.WORKDAY.INTL(X517,AC$7,"0000001",Holidays!A:A)+hour(X517)/24+MINUTE(X517)/1440,"")</f>
        <v/>
      </c>
      <c r="AD517" s="104"/>
      <c r="AE517" s="105"/>
      <c r="AF517" s="111" t="str">
        <f t="shared" si="6"/>
        <v/>
      </c>
      <c r="AG517" s="110" t="str">
        <f t="shared" si="7"/>
        <v/>
      </c>
      <c r="AH517" s="103" t="str">
        <f>if(AC517,if(and(hour(AC517+AH$7)&gt;9.5,(hour(AC517+AH$7)&lt;19.5)),AC517+AH$7,_xlfn.workday.intl(int(AC517),1,"0000001",Holidays!A:A)+hour(AC517+AH$7-$B$1)/24+minute(AC517)/1440),"")</f>
        <v/>
      </c>
      <c r="AI517" s="104"/>
      <c r="AJ517" s="105"/>
      <c r="AK517" s="111" t="str">
        <f t="shared" si="8"/>
        <v/>
      </c>
      <c r="AL517" s="112" t="str">
        <f t="shared" si="9"/>
        <v/>
      </c>
      <c r="AM517" s="113"/>
      <c r="AN517" s="291" t="s">
        <v>2540</v>
      </c>
      <c r="AO517" s="115"/>
      <c r="AP517" s="115"/>
      <c r="AQ517" s="115"/>
      <c r="AR517" s="115"/>
      <c r="AS517" s="115"/>
      <c r="AT517" s="115"/>
      <c r="AU517" s="115"/>
      <c r="AV517" s="115"/>
      <c r="AW517" s="115"/>
      <c r="AX517" s="115"/>
      <c r="AY517" s="115"/>
    </row>
    <row r="518">
      <c r="A518" s="95" t="str">
        <f t="shared" si="11"/>
        <v/>
      </c>
      <c r="B518" s="100"/>
      <c r="C518" s="97"/>
      <c r="D518" s="97"/>
      <c r="E518" s="97"/>
      <c r="F518" s="97"/>
      <c r="G518" s="97"/>
      <c r="H518" s="99"/>
      <c r="I518" s="100"/>
      <c r="J518" s="101"/>
      <c r="K518" s="100"/>
      <c r="L518" s="102"/>
      <c r="M518" s="103" t="str">
        <f>if(B518,if(and(hour(B518+M$7)&gt;9.5,(hour(B518+M$7)&lt;19.5)),B518+M$7,_xlfn.workday.intl(int(B518),1,"0000001",Holidays!A:A)+hour(B518+M$7-$B$1)/24+minute(B518)/1440),"")</f>
        <v/>
      </c>
      <c r="N518" s="104"/>
      <c r="O518" s="105"/>
      <c r="P518" s="106" t="str">
        <f t="shared" si="1"/>
        <v/>
      </c>
      <c r="Q518" s="107"/>
      <c r="R518" s="108"/>
      <c r="S518" s="103" t="str">
        <f>if(M518,if(and(hour(M518+S$7)&gt;9.5,(hour(M518+S$7)&lt;19.5)),M518+S$7,_xlfn.workday.intl(int(M518),1,"0000001",Holidays!A:A)+hour(M518+S$7-$B$1)/24+minute(M518)/1440),"")</f>
        <v/>
      </c>
      <c r="T518" s="104"/>
      <c r="U518" s="105"/>
      <c r="V518" s="109" t="str">
        <f t="shared" si="2"/>
        <v/>
      </c>
      <c r="W518" s="110" t="str">
        <f t="shared" si="3"/>
        <v/>
      </c>
      <c r="X518" s="103" t="str">
        <f>if(S518,if(and(hour(S518+X$7)&gt;9.5,(hour(S518+X$7)&lt;19.5)),S518+X$7,_xlfn.workday.intl(int(S518),1,"0000001",Holidays!A:A)+hour(S518+X$7-$B$1)/24+minute(S518)/1440),"")</f>
        <v/>
      </c>
      <c r="Y518" s="104"/>
      <c r="Z518" s="105"/>
      <c r="AA518" s="111" t="str">
        <f t="shared" si="4"/>
        <v/>
      </c>
      <c r="AB518" s="110" t="str">
        <f t="shared" si="5"/>
        <v/>
      </c>
      <c r="AC518" s="103" t="str">
        <f>if(X518,_xlfn.WORKDAY.INTL(X518,AC$7,"0000001",Holidays!A:A)+hour(X518)/24+MINUTE(X518)/1440,"")</f>
        <v/>
      </c>
      <c r="AD518" s="104"/>
      <c r="AE518" s="105"/>
      <c r="AF518" s="111" t="str">
        <f t="shared" si="6"/>
        <v/>
      </c>
      <c r="AG518" s="110" t="str">
        <f t="shared" si="7"/>
        <v/>
      </c>
      <c r="AH518" s="103" t="str">
        <f>if(AC518,if(and(hour(AC518+AH$7)&gt;9.5,(hour(AC518+AH$7)&lt;19.5)),AC518+AH$7,_xlfn.workday.intl(int(AC518),1,"0000001",Holidays!A:A)+hour(AC518+AH$7-$B$1)/24+minute(AC518)/1440),"")</f>
        <v/>
      </c>
      <c r="AI518" s="104"/>
      <c r="AJ518" s="105"/>
      <c r="AK518" s="111" t="str">
        <f t="shared" si="8"/>
        <v/>
      </c>
      <c r="AL518" s="112" t="str">
        <f t="shared" si="9"/>
        <v/>
      </c>
      <c r="AM518" s="113"/>
      <c r="AN518" s="291" t="s">
        <v>2540</v>
      </c>
      <c r="AO518" s="115"/>
      <c r="AP518" s="115"/>
      <c r="AQ518" s="115"/>
      <c r="AR518" s="115"/>
      <c r="AS518" s="115"/>
      <c r="AT518" s="115"/>
      <c r="AU518" s="115"/>
      <c r="AV518" s="115"/>
      <c r="AW518" s="115"/>
      <c r="AX518" s="115"/>
      <c r="AY518" s="115"/>
    </row>
    <row r="519">
      <c r="A519" s="95" t="str">
        <f t="shared" si="11"/>
        <v/>
      </c>
      <c r="B519" s="100"/>
      <c r="C519" s="97"/>
      <c r="D519" s="97"/>
      <c r="E519" s="97"/>
      <c r="F519" s="97"/>
      <c r="G519" s="97"/>
      <c r="H519" s="99"/>
      <c r="I519" s="100"/>
      <c r="J519" s="101"/>
      <c r="K519" s="100"/>
      <c r="L519" s="102"/>
      <c r="M519" s="103" t="str">
        <f>if(B519,if(and(hour(B519+M$7)&gt;9.5,(hour(B519+M$7)&lt;19.5)),B519+M$7,_xlfn.workday.intl(int(B519),1,"0000001",Holidays!A:A)+hour(B519+M$7-$B$1)/24+minute(B519)/1440),"")</f>
        <v/>
      </c>
      <c r="N519" s="104"/>
      <c r="O519" s="105"/>
      <c r="P519" s="106" t="str">
        <f t="shared" si="1"/>
        <v/>
      </c>
      <c r="Q519" s="107"/>
      <c r="R519" s="108"/>
      <c r="S519" s="103" t="str">
        <f>if(M519,if(and(hour(M519+S$7)&gt;9.5,(hour(M519+S$7)&lt;19.5)),M519+S$7,_xlfn.workday.intl(int(M519),1,"0000001",Holidays!A:A)+hour(M519+S$7-$B$1)/24+minute(M519)/1440),"")</f>
        <v/>
      </c>
      <c r="T519" s="104"/>
      <c r="U519" s="105"/>
      <c r="V519" s="109" t="str">
        <f t="shared" si="2"/>
        <v/>
      </c>
      <c r="W519" s="110" t="str">
        <f t="shared" si="3"/>
        <v/>
      </c>
      <c r="X519" s="103" t="str">
        <f>if(S519,if(and(hour(S519+X$7)&gt;9.5,(hour(S519+X$7)&lt;19.5)),S519+X$7,_xlfn.workday.intl(int(S519),1,"0000001",Holidays!A:A)+hour(S519+X$7-$B$1)/24+minute(S519)/1440),"")</f>
        <v/>
      </c>
      <c r="Y519" s="104"/>
      <c r="Z519" s="105"/>
      <c r="AA519" s="111" t="str">
        <f t="shared" si="4"/>
        <v/>
      </c>
      <c r="AB519" s="110" t="str">
        <f t="shared" si="5"/>
        <v/>
      </c>
      <c r="AC519" s="103" t="str">
        <f>if(X519,_xlfn.WORKDAY.INTL(X519,AC$7,"0000001",Holidays!A:A)+hour(X519)/24+MINUTE(X519)/1440,"")</f>
        <v/>
      </c>
      <c r="AD519" s="104"/>
      <c r="AE519" s="105"/>
      <c r="AF519" s="111" t="str">
        <f t="shared" si="6"/>
        <v/>
      </c>
      <c r="AG519" s="110" t="str">
        <f t="shared" si="7"/>
        <v/>
      </c>
      <c r="AH519" s="103" t="str">
        <f>if(AC519,if(and(hour(AC519+AH$7)&gt;9.5,(hour(AC519+AH$7)&lt;19.5)),AC519+AH$7,_xlfn.workday.intl(int(AC519),1,"0000001",Holidays!A:A)+hour(AC519+AH$7-$B$1)/24+minute(AC519)/1440),"")</f>
        <v/>
      </c>
      <c r="AI519" s="104"/>
      <c r="AJ519" s="105"/>
      <c r="AK519" s="111" t="str">
        <f t="shared" si="8"/>
        <v/>
      </c>
      <c r="AL519" s="112" t="str">
        <f t="shared" si="9"/>
        <v/>
      </c>
      <c r="AM519" s="113"/>
      <c r="AN519" s="291" t="s">
        <v>2540</v>
      </c>
      <c r="AO519" s="115"/>
      <c r="AP519" s="115"/>
      <c r="AQ519" s="115"/>
      <c r="AR519" s="115"/>
      <c r="AS519" s="115"/>
      <c r="AT519" s="115"/>
      <c r="AU519" s="115"/>
      <c r="AV519" s="115"/>
      <c r="AW519" s="115"/>
      <c r="AX519" s="115"/>
      <c r="AY519" s="115"/>
    </row>
    <row r="520">
      <c r="A520" s="95" t="str">
        <f t="shared" si="11"/>
        <v/>
      </c>
      <c r="B520" s="100"/>
      <c r="C520" s="97"/>
      <c r="D520" s="97"/>
      <c r="E520" s="97"/>
      <c r="F520" s="97"/>
      <c r="G520" s="97"/>
      <c r="H520" s="99"/>
      <c r="I520" s="100"/>
      <c r="J520" s="101"/>
      <c r="K520" s="100"/>
      <c r="L520" s="102"/>
      <c r="M520" s="103" t="str">
        <f>if(B520,if(and(hour(B520+M$7)&gt;9.5,(hour(B520+M$7)&lt;19.5)),B520+M$7,_xlfn.workday.intl(int(B520),1,"0000001",Holidays!A:A)+hour(B520+M$7-$B$1)/24+minute(B520)/1440),"")</f>
        <v/>
      </c>
      <c r="N520" s="104"/>
      <c r="O520" s="105"/>
      <c r="P520" s="106" t="str">
        <f t="shared" si="1"/>
        <v/>
      </c>
      <c r="Q520" s="107"/>
      <c r="R520" s="108"/>
      <c r="S520" s="103" t="str">
        <f>if(M520,if(and(hour(M520+S$7)&gt;9.5,(hour(M520+S$7)&lt;19.5)),M520+S$7,_xlfn.workday.intl(int(M520),1,"0000001",Holidays!A:A)+hour(M520+S$7-$B$1)/24+minute(M520)/1440),"")</f>
        <v/>
      </c>
      <c r="T520" s="104"/>
      <c r="U520" s="105"/>
      <c r="V520" s="109" t="str">
        <f t="shared" si="2"/>
        <v/>
      </c>
      <c r="W520" s="110" t="str">
        <f t="shared" si="3"/>
        <v/>
      </c>
      <c r="X520" s="103" t="str">
        <f>if(S520,if(and(hour(S520+X$7)&gt;9.5,(hour(S520+X$7)&lt;19.5)),S520+X$7,_xlfn.workday.intl(int(S520),1,"0000001",Holidays!A:A)+hour(S520+X$7-$B$1)/24+minute(S520)/1440),"")</f>
        <v/>
      </c>
      <c r="Y520" s="104"/>
      <c r="Z520" s="105"/>
      <c r="AA520" s="111" t="str">
        <f t="shared" si="4"/>
        <v/>
      </c>
      <c r="AB520" s="110" t="str">
        <f t="shared" si="5"/>
        <v/>
      </c>
      <c r="AC520" s="103" t="str">
        <f>if(X520,_xlfn.WORKDAY.INTL(X520,AC$7,"0000001",Holidays!A:A)+hour(X520)/24+MINUTE(X520)/1440,"")</f>
        <v/>
      </c>
      <c r="AD520" s="104"/>
      <c r="AE520" s="105"/>
      <c r="AF520" s="111" t="str">
        <f t="shared" si="6"/>
        <v/>
      </c>
      <c r="AG520" s="110" t="str">
        <f t="shared" si="7"/>
        <v/>
      </c>
      <c r="AH520" s="103" t="str">
        <f>if(AC520,if(and(hour(AC520+AH$7)&gt;9.5,(hour(AC520+AH$7)&lt;19.5)),AC520+AH$7,_xlfn.workday.intl(int(AC520),1,"0000001",Holidays!A:A)+hour(AC520+AH$7-$B$1)/24+minute(AC520)/1440),"")</f>
        <v/>
      </c>
      <c r="AI520" s="104"/>
      <c r="AJ520" s="105"/>
      <c r="AK520" s="111" t="str">
        <f t="shared" si="8"/>
        <v/>
      </c>
      <c r="AL520" s="112" t="str">
        <f t="shared" si="9"/>
        <v/>
      </c>
      <c r="AM520" s="113"/>
      <c r="AN520" s="291" t="s">
        <v>2540</v>
      </c>
      <c r="AO520" s="115"/>
      <c r="AP520" s="115"/>
      <c r="AQ520" s="115"/>
      <c r="AR520" s="115"/>
      <c r="AS520" s="115"/>
      <c r="AT520" s="115"/>
      <c r="AU520" s="115"/>
      <c r="AV520" s="115"/>
      <c r="AW520" s="115"/>
      <c r="AX520" s="115"/>
      <c r="AY520" s="115"/>
    </row>
    <row r="521">
      <c r="A521" s="95" t="str">
        <f t="shared" si="11"/>
        <v/>
      </c>
      <c r="B521" s="100"/>
      <c r="C521" s="97"/>
      <c r="D521" s="97"/>
      <c r="E521" s="97"/>
      <c r="F521" s="97"/>
      <c r="G521" s="97"/>
      <c r="H521" s="99"/>
      <c r="I521" s="100"/>
      <c r="J521" s="101"/>
      <c r="K521" s="100"/>
      <c r="L521" s="102"/>
      <c r="M521" s="103" t="str">
        <f>if(B521,if(and(hour(B521+M$7)&gt;9.5,(hour(B521+M$7)&lt;19.5)),B521+M$7,_xlfn.workday.intl(int(B521),1,"0000001",Holidays!A:A)+hour(B521+M$7-$B$1)/24+minute(B521)/1440),"")</f>
        <v/>
      </c>
      <c r="N521" s="104"/>
      <c r="O521" s="105"/>
      <c r="P521" s="106" t="str">
        <f t="shared" si="1"/>
        <v/>
      </c>
      <c r="Q521" s="107"/>
      <c r="R521" s="108"/>
      <c r="S521" s="103" t="str">
        <f>if(M521,if(and(hour(M521+S$7)&gt;9.5,(hour(M521+S$7)&lt;19.5)),M521+S$7,_xlfn.workday.intl(int(M521),1,"0000001",Holidays!A:A)+hour(M521+S$7-$B$1)/24+minute(M521)/1440),"")</f>
        <v/>
      </c>
      <c r="T521" s="104"/>
      <c r="U521" s="105"/>
      <c r="V521" s="109" t="str">
        <f t="shared" si="2"/>
        <v/>
      </c>
      <c r="W521" s="110" t="str">
        <f t="shared" si="3"/>
        <v/>
      </c>
      <c r="X521" s="103" t="str">
        <f>if(S521,if(and(hour(S521+X$7)&gt;9.5,(hour(S521+X$7)&lt;19.5)),S521+X$7,_xlfn.workday.intl(int(S521),1,"0000001",Holidays!A:A)+hour(S521+X$7-$B$1)/24+minute(S521)/1440),"")</f>
        <v/>
      </c>
      <c r="Y521" s="104"/>
      <c r="Z521" s="105"/>
      <c r="AA521" s="111" t="str">
        <f t="shared" si="4"/>
        <v/>
      </c>
      <c r="AB521" s="110" t="str">
        <f t="shared" si="5"/>
        <v/>
      </c>
      <c r="AC521" s="103" t="str">
        <f>if(X521,_xlfn.WORKDAY.INTL(X521,AC$7,"0000001",Holidays!A:A)+hour(X521)/24+MINUTE(X521)/1440,"")</f>
        <v/>
      </c>
      <c r="AD521" s="104"/>
      <c r="AE521" s="105"/>
      <c r="AF521" s="111" t="str">
        <f t="shared" si="6"/>
        <v/>
      </c>
      <c r="AG521" s="110" t="str">
        <f t="shared" si="7"/>
        <v/>
      </c>
      <c r="AH521" s="103" t="str">
        <f>if(AC521,if(and(hour(AC521+AH$7)&gt;9.5,(hour(AC521+AH$7)&lt;19.5)),AC521+AH$7,_xlfn.workday.intl(int(AC521),1,"0000001",Holidays!A:A)+hour(AC521+AH$7-$B$1)/24+minute(AC521)/1440),"")</f>
        <v/>
      </c>
      <c r="AI521" s="104"/>
      <c r="AJ521" s="105"/>
      <c r="AK521" s="111" t="str">
        <f t="shared" si="8"/>
        <v/>
      </c>
      <c r="AL521" s="112" t="str">
        <f t="shared" si="9"/>
        <v/>
      </c>
      <c r="AM521" s="113"/>
      <c r="AN521" s="291" t="s">
        <v>2540</v>
      </c>
      <c r="AO521" s="115"/>
      <c r="AP521" s="115"/>
      <c r="AQ521" s="115"/>
      <c r="AR521" s="115"/>
      <c r="AS521" s="115"/>
      <c r="AT521" s="115"/>
      <c r="AU521" s="115"/>
      <c r="AV521" s="115"/>
      <c r="AW521" s="115"/>
      <c r="AX521" s="115"/>
      <c r="AY521" s="115"/>
    </row>
    <row r="522">
      <c r="A522" s="95" t="str">
        <f t="shared" si="11"/>
        <v/>
      </c>
      <c r="B522" s="100"/>
      <c r="C522" s="97"/>
      <c r="D522" s="97"/>
      <c r="E522" s="97"/>
      <c r="F522" s="97"/>
      <c r="G522" s="97"/>
      <c r="H522" s="99"/>
      <c r="I522" s="100"/>
      <c r="J522" s="101"/>
      <c r="K522" s="100"/>
      <c r="L522" s="102"/>
      <c r="M522" s="103" t="str">
        <f>if(B522,if(and(hour(B522+M$7)&gt;9.5,(hour(B522+M$7)&lt;19.5)),B522+M$7,_xlfn.workday.intl(int(B522),1,"0000001",Holidays!A:A)+hour(B522+M$7-$B$1)/24+minute(B522)/1440),"")</f>
        <v/>
      </c>
      <c r="N522" s="104"/>
      <c r="O522" s="105"/>
      <c r="P522" s="106" t="str">
        <f t="shared" si="1"/>
        <v/>
      </c>
      <c r="Q522" s="107"/>
      <c r="R522" s="108"/>
      <c r="S522" s="103" t="str">
        <f>if(M522,if(and(hour(M522+S$7)&gt;9.5,(hour(M522+S$7)&lt;19.5)),M522+S$7,_xlfn.workday.intl(int(M522),1,"0000001",Holidays!A:A)+hour(M522+S$7-$B$1)/24+minute(M522)/1440),"")</f>
        <v/>
      </c>
      <c r="T522" s="104"/>
      <c r="U522" s="105"/>
      <c r="V522" s="109" t="str">
        <f t="shared" si="2"/>
        <v/>
      </c>
      <c r="W522" s="110" t="str">
        <f t="shared" si="3"/>
        <v/>
      </c>
      <c r="X522" s="103" t="str">
        <f>if(S522,if(and(hour(S522+X$7)&gt;9.5,(hour(S522+X$7)&lt;19.5)),S522+X$7,_xlfn.workday.intl(int(S522),1,"0000001",Holidays!A:A)+hour(S522+X$7-$B$1)/24+minute(S522)/1440),"")</f>
        <v/>
      </c>
      <c r="Y522" s="104"/>
      <c r="Z522" s="105"/>
      <c r="AA522" s="111" t="str">
        <f t="shared" si="4"/>
        <v/>
      </c>
      <c r="AB522" s="110" t="str">
        <f t="shared" si="5"/>
        <v/>
      </c>
      <c r="AC522" s="103" t="str">
        <f>if(X522,_xlfn.WORKDAY.INTL(X522,AC$7,"0000001",Holidays!A:A)+hour(X522)/24+MINUTE(X522)/1440,"")</f>
        <v/>
      </c>
      <c r="AD522" s="104"/>
      <c r="AE522" s="105"/>
      <c r="AF522" s="111" t="str">
        <f t="shared" si="6"/>
        <v/>
      </c>
      <c r="AG522" s="110" t="str">
        <f t="shared" si="7"/>
        <v/>
      </c>
      <c r="AH522" s="103" t="str">
        <f>if(AC522,if(and(hour(AC522+AH$7)&gt;9.5,(hour(AC522+AH$7)&lt;19.5)),AC522+AH$7,_xlfn.workday.intl(int(AC522),1,"0000001",Holidays!A:A)+hour(AC522+AH$7-$B$1)/24+minute(AC522)/1440),"")</f>
        <v/>
      </c>
      <c r="AI522" s="104"/>
      <c r="AJ522" s="105"/>
      <c r="AK522" s="111" t="str">
        <f t="shared" si="8"/>
        <v/>
      </c>
      <c r="AL522" s="112" t="str">
        <f t="shared" si="9"/>
        <v/>
      </c>
      <c r="AM522" s="113"/>
      <c r="AN522" s="291" t="s">
        <v>2540</v>
      </c>
      <c r="AO522" s="115"/>
      <c r="AP522" s="115"/>
      <c r="AQ522" s="115"/>
      <c r="AR522" s="115"/>
      <c r="AS522" s="115"/>
      <c r="AT522" s="115"/>
      <c r="AU522" s="115"/>
      <c r="AV522" s="115"/>
      <c r="AW522" s="115"/>
      <c r="AX522" s="115"/>
      <c r="AY522" s="115"/>
    </row>
    <row r="523">
      <c r="A523" s="95" t="str">
        <f t="shared" si="11"/>
        <v/>
      </c>
      <c r="B523" s="100"/>
      <c r="C523" s="97"/>
      <c r="D523" s="97"/>
      <c r="E523" s="97"/>
      <c r="F523" s="97"/>
      <c r="G523" s="97"/>
      <c r="H523" s="99"/>
      <c r="I523" s="100"/>
      <c r="J523" s="101"/>
      <c r="K523" s="100"/>
      <c r="L523" s="102"/>
      <c r="M523" s="103" t="str">
        <f>if(B523,if(and(hour(B523+M$7)&gt;9.5,(hour(B523+M$7)&lt;19.5)),B523+M$7,_xlfn.workday.intl(int(B523),1,"0000001",Holidays!A:A)+hour(B523+M$7-$B$1)/24+minute(B523)/1440),"")</f>
        <v/>
      </c>
      <c r="N523" s="104"/>
      <c r="O523" s="105"/>
      <c r="P523" s="106" t="str">
        <f t="shared" si="1"/>
        <v/>
      </c>
      <c r="Q523" s="107"/>
      <c r="R523" s="108"/>
      <c r="S523" s="103" t="str">
        <f>if(M523,if(and(hour(M523+S$7)&gt;9.5,(hour(M523+S$7)&lt;19.5)),M523+S$7,_xlfn.workday.intl(int(M523),1,"0000001",Holidays!A:A)+hour(M523+S$7-$B$1)/24+minute(M523)/1440),"")</f>
        <v/>
      </c>
      <c r="T523" s="104"/>
      <c r="U523" s="105"/>
      <c r="V523" s="109" t="str">
        <f t="shared" si="2"/>
        <v/>
      </c>
      <c r="W523" s="110" t="str">
        <f t="shared" si="3"/>
        <v/>
      </c>
      <c r="X523" s="103" t="str">
        <f>if(S523,if(and(hour(S523+X$7)&gt;9.5,(hour(S523+X$7)&lt;19.5)),S523+X$7,_xlfn.workday.intl(int(S523),1,"0000001",Holidays!A:A)+hour(S523+X$7-$B$1)/24+minute(S523)/1440),"")</f>
        <v/>
      </c>
      <c r="Y523" s="104"/>
      <c r="Z523" s="105"/>
      <c r="AA523" s="111" t="str">
        <f t="shared" si="4"/>
        <v/>
      </c>
      <c r="AB523" s="110" t="str">
        <f t="shared" si="5"/>
        <v/>
      </c>
      <c r="AC523" s="103" t="str">
        <f>if(X523,_xlfn.WORKDAY.INTL(X523,AC$7,"0000001",Holidays!A:A)+hour(X523)/24+MINUTE(X523)/1440,"")</f>
        <v/>
      </c>
      <c r="AD523" s="104"/>
      <c r="AE523" s="105"/>
      <c r="AF523" s="111" t="str">
        <f t="shared" si="6"/>
        <v/>
      </c>
      <c r="AG523" s="110" t="str">
        <f t="shared" si="7"/>
        <v/>
      </c>
      <c r="AH523" s="103" t="str">
        <f>if(AC523,if(and(hour(AC523+AH$7)&gt;9.5,(hour(AC523+AH$7)&lt;19.5)),AC523+AH$7,_xlfn.workday.intl(int(AC523),1,"0000001",Holidays!A:A)+hour(AC523+AH$7-$B$1)/24+minute(AC523)/1440),"")</f>
        <v/>
      </c>
      <c r="AI523" s="104"/>
      <c r="AJ523" s="105"/>
      <c r="AK523" s="111" t="str">
        <f t="shared" si="8"/>
        <v/>
      </c>
      <c r="AL523" s="112" t="str">
        <f t="shared" si="9"/>
        <v/>
      </c>
      <c r="AM523" s="113"/>
      <c r="AN523" s="291" t="s">
        <v>2540</v>
      </c>
      <c r="AO523" s="115"/>
      <c r="AP523" s="115"/>
      <c r="AQ523" s="115"/>
      <c r="AR523" s="115"/>
      <c r="AS523" s="115"/>
      <c r="AT523" s="115"/>
      <c r="AU523" s="115"/>
      <c r="AV523" s="115"/>
      <c r="AW523" s="115"/>
      <c r="AX523" s="115"/>
      <c r="AY523" s="115"/>
    </row>
    <row r="524">
      <c r="A524" s="95" t="str">
        <f t="shared" si="11"/>
        <v/>
      </c>
      <c r="B524" s="100"/>
      <c r="C524" s="97"/>
      <c r="D524" s="97"/>
      <c r="E524" s="97"/>
      <c r="F524" s="97"/>
      <c r="G524" s="97"/>
      <c r="H524" s="99"/>
      <c r="I524" s="100"/>
      <c r="J524" s="101"/>
      <c r="K524" s="100"/>
      <c r="L524" s="102"/>
      <c r="M524" s="103" t="str">
        <f>if(B524,if(and(hour(B524+M$7)&gt;9.5,(hour(B524+M$7)&lt;19.5)),B524+M$7,_xlfn.workday.intl(int(B524),1,"0000001",Holidays!A:A)+hour(B524+M$7-$B$1)/24+minute(B524)/1440),"")</f>
        <v/>
      </c>
      <c r="N524" s="104"/>
      <c r="O524" s="105"/>
      <c r="P524" s="106" t="str">
        <f t="shared" si="1"/>
        <v/>
      </c>
      <c r="Q524" s="107"/>
      <c r="R524" s="108"/>
      <c r="S524" s="103" t="str">
        <f>if(M524,if(and(hour(M524+S$7)&gt;9.5,(hour(M524+S$7)&lt;19.5)),M524+S$7,_xlfn.workday.intl(int(M524),1,"0000001",Holidays!A:A)+hour(M524+S$7-$B$1)/24+minute(M524)/1440),"")</f>
        <v/>
      </c>
      <c r="T524" s="104"/>
      <c r="U524" s="105"/>
      <c r="V524" s="109" t="str">
        <f t="shared" si="2"/>
        <v/>
      </c>
      <c r="W524" s="110" t="str">
        <f t="shared" si="3"/>
        <v/>
      </c>
      <c r="X524" s="103" t="str">
        <f>if(S524,if(and(hour(S524+X$7)&gt;9.5,(hour(S524+X$7)&lt;19.5)),S524+X$7,_xlfn.workday.intl(int(S524),1,"0000001",Holidays!A:A)+hour(S524+X$7-$B$1)/24+minute(S524)/1440),"")</f>
        <v/>
      </c>
      <c r="Y524" s="104"/>
      <c r="Z524" s="105"/>
      <c r="AA524" s="111" t="str">
        <f t="shared" si="4"/>
        <v/>
      </c>
      <c r="AB524" s="110" t="str">
        <f t="shared" si="5"/>
        <v/>
      </c>
      <c r="AC524" s="103" t="str">
        <f>if(X524,_xlfn.WORKDAY.INTL(X524,AC$7,"0000001",Holidays!A:A)+hour(X524)/24+MINUTE(X524)/1440,"")</f>
        <v/>
      </c>
      <c r="AD524" s="104"/>
      <c r="AE524" s="105"/>
      <c r="AF524" s="111" t="str">
        <f t="shared" si="6"/>
        <v/>
      </c>
      <c r="AG524" s="110" t="str">
        <f t="shared" si="7"/>
        <v/>
      </c>
      <c r="AH524" s="103" t="str">
        <f>if(AC524,if(and(hour(AC524+AH$7)&gt;9.5,(hour(AC524+AH$7)&lt;19.5)),AC524+AH$7,_xlfn.workday.intl(int(AC524),1,"0000001",Holidays!A:A)+hour(AC524+AH$7-$B$1)/24+minute(AC524)/1440),"")</f>
        <v/>
      </c>
      <c r="AI524" s="104"/>
      <c r="AJ524" s="105"/>
      <c r="AK524" s="111" t="str">
        <f t="shared" si="8"/>
        <v/>
      </c>
      <c r="AL524" s="112" t="str">
        <f t="shared" si="9"/>
        <v/>
      </c>
      <c r="AM524" s="113"/>
      <c r="AN524" s="291" t="s">
        <v>2540</v>
      </c>
      <c r="AO524" s="115"/>
      <c r="AP524" s="115"/>
      <c r="AQ524" s="115"/>
      <c r="AR524" s="115"/>
      <c r="AS524" s="115"/>
      <c r="AT524" s="115"/>
      <c r="AU524" s="115"/>
      <c r="AV524" s="115"/>
      <c r="AW524" s="115"/>
      <c r="AX524" s="115"/>
      <c r="AY524" s="115"/>
    </row>
    <row r="525">
      <c r="A525" s="95" t="str">
        <f t="shared" si="11"/>
        <v/>
      </c>
      <c r="B525" s="100"/>
      <c r="C525" s="97"/>
      <c r="D525" s="97"/>
      <c r="E525" s="97"/>
      <c r="F525" s="97"/>
      <c r="G525" s="97"/>
      <c r="H525" s="99"/>
      <c r="I525" s="100"/>
      <c r="J525" s="101"/>
      <c r="K525" s="100"/>
      <c r="L525" s="102"/>
      <c r="M525" s="103" t="str">
        <f>if(B525,if(and(hour(B525+M$7)&gt;9.5,(hour(B525+M$7)&lt;19.5)),B525+M$7,_xlfn.workday.intl(int(B525),1,"0000001",Holidays!A:A)+hour(B525+M$7-$B$1)/24+minute(B525)/1440),"")</f>
        <v/>
      </c>
      <c r="N525" s="104"/>
      <c r="O525" s="105"/>
      <c r="P525" s="106" t="str">
        <f t="shared" si="1"/>
        <v/>
      </c>
      <c r="Q525" s="107"/>
      <c r="R525" s="108"/>
      <c r="S525" s="103" t="str">
        <f>if(M525,if(and(hour(M525+S$7)&gt;9.5,(hour(M525+S$7)&lt;19.5)),M525+S$7,_xlfn.workday.intl(int(M525),1,"0000001",Holidays!A:A)+hour(M525+S$7-$B$1)/24+minute(M525)/1440),"")</f>
        <v/>
      </c>
      <c r="T525" s="104"/>
      <c r="U525" s="105"/>
      <c r="V525" s="109" t="str">
        <f t="shared" si="2"/>
        <v/>
      </c>
      <c r="W525" s="110" t="str">
        <f t="shared" si="3"/>
        <v/>
      </c>
      <c r="X525" s="103" t="str">
        <f>if(S525,if(and(hour(S525+X$7)&gt;9.5,(hour(S525+X$7)&lt;19.5)),S525+X$7,_xlfn.workday.intl(int(S525),1,"0000001",Holidays!A:A)+hour(S525+X$7-$B$1)/24+minute(S525)/1440),"")</f>
        <v/>
      </c>
      <c r="Y525" s="104"/>
      <c r="Z525" s="105"/>
      <c r="AA525" s="111" t="str">
        <f t="shared" si="4"/>
        <v/>
      </c>
      <c r="AB525" s="110" t="str">
        <f t="shared" si="5"/>
        <v/>
      </c>
      <c r="AC525" s="103" t="str">
        <f>if(X525,_xlfn.WORKDAY.INTL(X525,AC$7,"0000001",Holidays!A:A)+hour(X525)/24+MINUTE(X525)/1440,"")</f>
        <v/>
      </c>
      <c r="AD525" s="104"/>
      <c r="AE525" s="105"/>
      <c r="AF525" s="111" t="str">
        <f t="shared" si="6"/>
        <v/>
      </c>
      <c r="AG525" s="110" t="str">
        <f t="shared" si="7"/>
        <v/>
      </c>
      <c r="AH525" s="103" t="str">
        <f>if(AC525,if(and(hour(AC525+AH$7)&gt;9.5,(hour(AC525+AH$7)&lt;19.5)),AC525+AH$7,_xlfn.workday.intl(int(AC525),1,"0000001",Holidays!A:A)+hour(AC525+AH$7-$B$1)/24+minute(AC525)/1440),"")</f>
        <v/>
      </c>
      <c r="AI525" s="104"/>
      <c r="AJ525" s="105"/>
      <c r="AK525" s="111" t="str">
        <f t="shared" si="8"/>
        <v/>
      </c>
      <c r="AL525" s="112" t="str">
        <f t="shared" si="9"/>
        <v/>
      </c>
      <c r="AM525" s="113"/>
      <c r="AN525" s="291" t="s">
        <v>2540</v>
      </c>
      <c r="AO525" s="115"/>
      <c r="AP525" s="115"/>
      <c r="AQ525" s="115"/>
      <c r="AR525" s="115"/>
      <c r="AS525" s="115"/>
      <c r="AT525" s="115"/>
      <c r="AU525" s="115"/>
      <c r="AV525" s="115"/>
      <c r="AW525" s="115"/>
      <c r="AX525" s="115"/>
      <c r="AY525" s="115"/>
    </row>
    <row r="526">
      <c r="A526" s="95" t="str">
        <f t="shared" si="11"/>
        <v/>
      </c>
      <c r="B526" s="100"/>
      <c r="C526" s="97"/>
      <c r="D526" s="97"/>
      <c r="E526" s="97"/>
      <c r="F526" s="97"/>
      <c r="G526" s="97"/>
      <c r="H526" s="99"/>
      <c r="I526" s="100"/>
      <c r="J526" s="101"/>
      <c r="K526" s="100"/>
      <c r="L526" s="102"/>
      <c r="M526" s="103" t="str">
        <f>if(B526,if(and(hour(B526+M$7)&gt;9.5,(hour(B526+M$7)&lt;19.5)),B526+M$7,_xlfn.workday.intl(int(B526),1,"0000001",Holidays!A:A)+hour(B526+M$7-$B$1)/24+minute(B526)/1440),"")</f>
        <v/>
      </c>
      <c r="N526" s="104"/>
      <c r="O526" s="105"/>
      <c r="P526" s="106" t="str">
        <f t="shared" si="1"/>
        <v/>
      </c>
      <c r="Q526" s="107"/>
      <c r="R526" s="108"/>
      <c r="S526" s="103" t="str">
        <f>if(M526,if(and(hour(M526+S$7)&gt;9.5,(hour(M526+S$7)&lt;19.5)),M526+S$7,_xlfn.workday.intl(int(M526),1,"0000001",Holidays!A:A)+hour(M526+S$7-$B$1)/24+minute(M526)/1440),"")</f>
        <v/>
      </c>
      <c r="T526" s="104"/>
      <c r="U526" s="105"/>
      <c r="V526" s="109" t="str">
        <f t="shared" si="2"/>
        <v/>
      </c>
      <c r="W526" s="110" t="str">
        <f t="shared" si="3"/>
        <v/>
      </c>
      <c r="X526" s="103" t="str">
        <f>if(S526,if(and(hour(S526+X$7)&gt;9.5,(hour(S526+X$7)&lt;19.5)),S526+X$7,_xlfn.workday.intl(int(S526),1,"0000001",Holidays!A:A)+hour(S526+X$7-$B$1)/24+minute(S526)/1440),"")</f>
        <v/>
      </c>
      <c r="Y526" s="104"/>
      <c r="Z526" s="105"/>
      <c r="AA526" s="111" t="str">
        <f t="shared" si="4"/>
        <v/>
      </c>
      <c r="AB526" s="110" t="str">
        <f t="shared" si="5"/>
        <v/>
      </c>
      <c r="AC526" s="103" t="str">
        <f>if(X526,_xlfn.WORKDAY.INTL(X526,AC$7,"0000001",Holidays!A:A)+hour(X526)/24+MINUTE(X526)/1440,"")</f>
        <v/>
      </c>
      <c r="AD526" s="104"/>
      <c r="AE526" s="105"/>
      <c r="AF526" s="111" t="str">
        <f t="shared" si="6"/>
        <v/>
      </c>
      <c r="AG526" s="110" t="str">
        <f t="shared" si="7"/>
        <v/>
      </c>
      <c r="AH526" s="103" t="str">
        <f>if(AC526,if(and(hour(AC526+AH$7)&gt;9.5,(hour(AC526+AH$7)&lt;19.5)),AC526+AH$7,_xlfn.workday.intl(int(AC526),1,"0000001",Holidays!A:A)+hour(AC526+AH$7-$B$1)/24+minute(AC526)/1440),"")</f>
        <v/>
      </c>
      <c r="AI526" s="104"/>
      <c r="AJ526" s="105"/>
      <c r="AK526" s="111" t="str">
        <f t="shared" si="8"/>
        <v/>
      </c>
      <c r="AL526" s="112" t="str">
        <f t="shared" si="9"/>
        <v/>
      </c>
      <c r="AM526" s="113"/>
      <c r="AN526" s="291" t="s">
        <v>2540</v>
      </c>
      <c r="AO526" s="115"/>
      <c r="AP526" s="115"/>
      <c r="AQ526" s="115"/>
      <c r="AR526" s="115"/>
      <c r="AS526" s="115"/>
      <c r="AT526" s="115"/>
      <c r="AU526" s="115"/>
      <c r="AV526" s="115"/>
      <c r="AW526" s="115"/>
      <c r="AX526" s="115"/>
      <c r="AY526" s="115"/>
    </row>
    <row r="527">
      <c r="A527" s="95" t="str">
        <f t="shared" si="11"/>
        <v/>
      </c>
      <c r="B527" s="100"/>
      <c r="C527" s="97"/>
      <c r="D527" s="97"/>
      <c r="E527" s="97"/>
      <c r="F527" s="97"/>
      <c r="G527" s="97"/>
      <c r="H527" s="99"/>
      <c r="I527" s="100"/>
      <c r="J527" s="101"/>
      <c r="K527" s="100"/>
      <c r="L527" s="102"/>
      <c r="M527" s="103" t="str">
        <f>if(B527,if(and(hour(B527+M$7)&gt;9.5,(hour(B527+M$7)&lt;19.5)),B527+M$7,_xlfn.workday.intl(int(B527),1,"0000001",Holidays!A:A)+hour(B527+M$7-$B$1)/24+minute(B527)/1440),"")</f>
        <v/>
      </c>
      <c r="N527" s="104"/>
      <c r="O527" s="105"/>
      <c r="P527" s="106" t="str">
        <f t="shared" si="1"/>
        <v/>
      </c>
      <c r="Q527" s="107"/>
      <c r="R527" s="108"/>
      <c r="S527" s="103" t="str">
        <f>if(M527,if(and(hour(M527+S$7)&gt;9.5,(hour(M527+S$7)&lt;19.5)),M527+S$7,_xlfn.workday.intl(int(M527),1,"0000001",Holidays!A:A)+hour(M527+S$7-$B$1)/24+minute(M527)/1440),"")</f>
        <v/>
      </c>
      <c r="T527" s="104"/>
      <c r="U527" s="105"/>
      <c r="V527" s="109" t="str">
        <f t="shared" si="2"/>
        <v/>
      </c>
      <c r="W527" s="110" t="str">
        <f t="shared" si="3"/>
        <v/>
      </c>
      <c r="X527" s="103" t="str">
        <f>if(S527,if(and(hour(S527+X$7)&gt;9.5,(hour(S527+X$7)&lt;19.5)),S527+X$7,_xlfn.workday.intl(int(S527),1,"0000001",Holidays!A:A)+hour(S527+X$7-$B$1)/24+minute(S527)/1440),"")</f>
        <v/>
      </c>
      <c r="Y527" s="104"/>
      <c r="Z527" s="105"/>
      <c r="AA527" s="111" t="str">
        <f t="shared" si="4"/>
        <v/>
      </c>
      <c r="AB527" s="110" t="str">
        <f t="shared" si="5"/>
        <v/>
      </c>
      <c r="AC527" s="103" t="str">
        <f>if(X527,_xlfn.WORKDAY.INTL(X527,AC$7,"0000001",Holidays!A:A)+hour(X527)/24+MINUTE(X527)/1440,"")</f>
        <v/>
      </c>
      <c r="AD527" s="104"/>
      <c r="AE527" s="105"/>
      <c r="AF527" s="111" t="str">
        <f t="shared" si="6"/>
        <v/>
      </c>
      <c r="AG527" s="110" t="str">
        <f t="shared" si="7"/>
        <v/>
      </c>
      <c r="AH527" s="103" t="str">
        <f>if(AC527,if(and(hour(AC527+AH$7)&gt;9.5,(hour(AC527+AH$7)&lt;19.5)),AC527+AH$7,_xlfn.workday.intl(int(AC527),1,"0000001",Holidays!A:A)+hour(AC527+AH$7-$B$1)/24+minute(AC527)/1440),"")</f>
        <v/>
      </c>
      <c r="AI527" s="104"/>
      <c r="AJ527" s="105"/>
      <c r="AK527" s="111" t="str">
        <f t="shared" si="8"/>
        <v/>
      </c>
      <c r="AL527" s="112" t="str">
        <f t="shared" si="9"/>
        <v/>
      </c>
      <c r="AM527" s="113"/>
      <c r="AN527" s="291" t="s">
        <v>2540</v>
      </c>
      <c r="AO527" s="115"/>
      <c r="AP527" s="115"/>
      <c r="AQ527" s="115"/>
      <c r="AR527" s="115"/>
      <c r="AS527" s="115"/>
      <c r="AT527" s="115"/>
      <c r="AU527" s="115"/>
      <c r="AV527" s="115"/>
      <c r="AW527" s="115"/>
      <c r="AX527" s="115"/>
      <c r="AY527" s="115"/>
    </row>
    <row r="528">
      <c r="A528" s="95" t="str">
        <f t="shared" si="11"/>
        <v/>
      </c>
      <c r="B528" s="100"/>
      <c r="C528" s="97"/>
      <c r="D528" s="97"/>
      <c r="E528" s="97"/>
      <c r="F528" s="97"/>
      <c r="G528" s="97"/>
      <c r="H528" s="99"/>
      <c r="I528" s="100"/>
      <c r="J528" s="101"/>
      <c r="K528" s="100"/>
      <c r="L528" s="102"/>
      <c r="M528" s="103" t="str">
        <f>if(B528,if(and(hour(B528+M$7)&gt;9.5,(hour(B528+M$7)&lt;19.5)),B528+M$7,_xlfn.workday.intl(int(B528),1,"0000001",Holidays!A:A)+hour(B528+M$7-$B$1)/24+minute(B528)/1440),"")</f>
        <v/>
      </c>
      <c r="N528" s="104"/>
      <c r="O528" s="105"/>
      <c r="P528" s="106" t="str">
        <f t="shared" si="1"/>
        <v/>
      </c>
      <c r="Q528" s="107"/>
      <c r="R528" s="108"/>
      <c r="S528" s="103" t="str">
        <f>if(M528,if(and(hour(M528+S$7)&gt;9.5,(hour(M528+S$7)&lt;19.5)),M528+S$7,_xlfn.workday.intl(int(M528),1,"0000001",Holidays!A:A)+hour(M528+S$7-$B$1)/24+minute(M528)/1440),"")</f>
        <v/>
      </c>
      <c r="T528" s="104"/>
      <c r="U528" s="105"/>
      <c r="V528" s="109" t="str">
        <f t="shared" si="2"/>
        <v/>
      </c>
      <c r="W528" s="110" t="str">
        <f t="shared" si="3"/>
        <v/>
      </c>
      <c r="X528" s="103" t="str">
        <f>if(S528,if(and(hour(S528+X$7)&gt;9.5,(hour(S528+X$7)&lt;19.5)),S528+X$7,_xlfn.workday.intl(int(S528),1,"0000001",Holidays!A:A)+hour(S528+X$7-$B$1)/24+minute(S528)/1440),"")</f>
        <v/>
      </c>
      <c r="Y528" s="104"/>
      <c r="Z528" s="105"/>
      <c r="AA528" s="111" t="str">
        <f t="shared" si="4"/>
        <v/>
      </c>
      <c r="AB528" s="110" t="str">
        <f t="shared" si="5"/>
        <v/>
      </c>
      <c r="AC528" s="103" t="str">
        <f>if(X528,_xlfn.WORKDAY.INTL(X528,AC$7,"0000001",Holidays!A:A)+hour(X528)/24+MINUTE(X528)/1440,"")</f>
        <v/>
      </c>
      <c r="AD528" s="104"/>
      <c r="AE528" s="105"/>
      <c r="AF528" s="111" t="str">
        <f t="shared" si="6"/>
        <v/>
      </c>
      <c r="AG528" s="110" t="str">
        <f t="shared" si="7"/>
        <v/>
      </c>
      <c r="AH528" s="103" t="str">
        <f>if(AC528,if(and(hour(AC528+AH$7)&gt;9.5,(hour(AC528+AH$7)&lt;19.5)),AC528+AH$7,_xlfn.workday.intl(int(AC528),1,"0000001",Holidays!A:A)+hour(AC528+AH$7-$B$1)/24+minute(AC528)/1440),"")</f>
        <v/>
      </c>
      <c r="AI528" s="104"/>
      <c r="AJ528" s="105"/>
      <c r="AK528" s="111" t="str">
        <f t="shared" si="8"/>
        <v/>
      </c>
      <c r="AL528" s="112" t="str">
        <f t="shared" si="9"/>
        <v/>
      </c>
      <c r="AM528" s="113"/>
      <c r="AN528" s="291" t="s">
        <v>2540</v>
      </c>
      <c r="AO528" s="115"/>
      <c r="AP528" s="115"/>
      <c r="AQ528" s="115"/>
      <c r="AR528" s="115"/>
      <c r="AS528" s="115"/>
      <c r="AT528" s="115"/>
      <c r="AU528" s="115"/>
      <c r="AV528" s="115"/>
      <c r="AW528" s="115"/>
      <c r="AX528" s="115"/>
      <c r="AY528" s="115"/>
    </row>
    <row r="529">
      <c r="A529" s="95" t="str">
        <f t="shared" si="11"/>
        <v/>
      </c>
      <c r="B529" s="100"/>
      <c r="C529" s="97"/>
      <c r="D529" s="97"/>
      <c r="E529" s="97"/>
      <c r="F529" s="97"/>
      <c r="G529" s="97"/>
      <c r="H529" s="99"/>
      <c r="I529" s="100"/>
      <c r="J529" s="101"/>
      <c r="K529" s="100"/>
      <c r="L529" s="102"/>
      <c r="M529" s="103" t="str">
        <f>if(B529,if(and(hour(B529+M$7)&gt;9.5,(hour(B529+M$7)&lt;19.5)),B529+M$7,_xlfn.workday.intl(int(B529),1,"0000001",Holidays!A:A)+hour(B529+M$7-$B$1)/24+minute(B529)/1440),"")</f>
        <v/>
      </c>
      <c r="N529" s="104"/>
      <c r="O529" s="105"/>
      <c r="P529" s="106" t="str">
        <f t="shared" si="1"/>
        <v/>
      </c>
      <c r="Q529" s="107"/>
      <c r="R529" s="108"/>
      <c r="S529" s="103" t="str">
        <f>if(M529,if(and(hour(M529+S$7)&gt;9.5,(hour(M529+S$7)&lt;19.5)),M529+S$7,_xlfn.workday.intl(int(M529),1,"0000001",Holidays!A:A)+hour(M529+S$7-$B$1)/24+minute(M529)/1440),"")</f>
        <v/>
      </c>
      <c r="T529" s="104"/>
      <c r="U529" s="105"/>
      <c r="V529" s="109" t="str">
        <f t="shared" si="2"/>
        <v/>
      </c>
      <c r="W529" s="110" t="str">
        <f t="shared" si="3"/>
        <v/>
      </c>
      <c r="X529" s="103" t="str">
        <f>if(S529,if(and(hour(S529+X$7)&gt;9.5,(hour(S529+X$7)&lt;19.5)),S529+X$7,_xlfn.workday.intl(int(S529),1,"0000001",Holidays!A:A)+hour(S529+X$7-$B$1)/24+minute(S529)/1440),"")</f>
        <v/>
      </c>
      <c r="Y529" s="104"/>
      <c r="Z529" s="105"/>
      <c r="AA529" s="111" t="str">
        <f t="shared" si="4"/>
        <v/>
      </c>
      <c r="AB529" s="110" t="str">
        <f t="shared" si="5"/>
        <v/>
      </c>
      <c r="AC529" s="103" t="str">
        <f>if(X529,_xlfn.WORKDAY.INTL(X529,AC$7,"0000001",Holidays!A:A)+hour(X529)/24+MINUTE(X529)/1440,"")</f>
        <v/>
      </c>
      <c r="AD529" s="104"/>
      <c r="AE529" s="105"/>
      <c r="AF529" s="111" t="str">
        <f t="shared" si="6"/>
        <v/>
      </c>
      <c r="AG529" s="110" t="str">
        <f t="shared" si="7"/>
        <v/>
      </c>
      <c r="AH529" s="103" t="str">
        <f>if(AC529,if(and(hour(AC529+AH$7)&gt;9.5,(hour(AC529+AH$7)&lt;19.5)),AC529+AH$7,_xlfn.workday.intl(int(AC529),1,"0000001",Holidays!A:A)+hour(AC529+AH$7-$B$1)/24+minute(AC529)/1440),"")</f>
        <v/>
      </c>
      <c r="AI529" s="104"/>
      <c r="AJ529" s="105"/>
      <c r="AK529" s="111" t="str">
        <f t="shared" si="8"/>
        <v/>
      </c>
      <c r="AL529" s="112" t="str">
        <f t="shared" si="9"/>
        <v/>
      </c>
      <c r="AM529" s="113"/>
      <c r="AN529" s="291" t="s">
        <v>2540</v>
      </c>
      <c r="AO529" s="115"/>
      <c r="AP529" s="115"/>
      <c r="AQ529" s="115"/>
      <c r="AR529" s="115"/>
      <c r="AS529" s="115"/>
      <c r="AT529" s="115"/>
      <c r="AU529" s="115"/>
      <c r="AV529" s="115"/>
      <c r="AW529" s="115"/>
      <c r="AX529" s="115"/>
      <c r="AY529" s="115"/>
    </row>
    <row r="530">
      <c r="A530" s="95" t="str">
        <f t="shared" si="11"/>
        <v/>
      </c>
      <c r="B530" s="100"/>
      <c r="C530" s="97"/>
      <c r="D530" s="97"/>
      <c r="E530" s="97"/>
      <c r="F530" s="97"/>
      <c r="G530" s="97"/>
      <c r="H530" s="99"/>
      <c r="I530" s="100"/>
      <c r="J530" s="101"/>
      <c r="K530" s="100"/>
      <c r="L530" s="102"/>
      <c r="M530" s="103" t="str">
        <f>if(B530,if(and(hour(B530+M$7)&gt;9.5,(hour(B530+M$7)&lt;19.5)),B530+M$7,_xlfn.workday.intl(int(B530),1,"0000001",Holidays!A:A)+hour(B530+M$7-$B$1)/24+minute(B530)/1440),"")</f>
        <v/>
      </c>
      <c r="N530" s="104"/>
      <c r="O530" s="105"/>
      <c r="P530" s="106" t="str">
        <f t="shared" si="1"/>
        <v/>
      </c>
      <c r="Q530" s="107"/>
      <c r="R530" s="108"/>
      <c r="S530" s="103" t="str">
        <f>if(M530,if(and(hour(M530+S$7)&gt;9.5,(hour(M530+S$7)&lt;19.5)),M530+S$7,_xlfn.workday.intl(int(M530),1,"0000001",Holidays!A:A)+hour(M530+S$7-$B$1)/24+minute(M530)/1440),"")</f>
        <v/>
      </c>
      <c r="T530" s="104"/>
      <c r="U530" s="105"/>
      <c r="V530" s="109" t="str">
        <f t="shared" si="2"/>
        <v/>
      </c>
      <c r="W530" s="110" t="str">
        <f t="shared" si="3"/>
        <v/>
      </c>
      <c r="X530" s="103" t="str">
        <f>if(S530,if(and(hour(S530+X$7)&gt;9.5,(hour(S530+X$7)&lt;19.5)),S530+X$7,_xlfn.workday.intl(int(S530),1,"0000001",Holidays!A:A)+hour(S530+X$7-$B$1)/24+minute(S530)/1440),"")</f>
        <v/>
      </c>
      <c r="Y530" s="104"/>
      <c r="Z530" s="105"/>
      <c r="AA530" s="111" t="str">
        <f t="shared" si="4"/>
        <v/>
      </c>
      <c r="AB530" s="110" t="str">
        <f t="shared" si="5"/>
        <v/>
      </c>
      <c r="AC530" s="103" t="str">
        <f>if(X530,_xlfn.WORKDAY.INTL(X530,AC$7,"0000001",Holidays!A:A)+hour(X530)/24+MINUTE(X530)/1440,"")</f>
        <v/>
      </c>
      <c r="AD530" s="104"/>
      <c r="AE530" s="105"/>
      <c r="AF530" s="111" t="str">
        <f t="shared" si="6"/>
        <v/>
      </c>
      <c r="AG530" s="110" t="str">
        <f t="shared" si="7"/>
        <v/>
      </c>
      <c r="AH530" s="103" t="str">
        <f>if(AC530,if(and(hour(AC530+AH$7)&gt;9.5,(hour(AC530+AH$7)&lt;19.5)),AC530+AH$7,_xlfn.workday.intl(int(AC530),1,"0000001",Holidays!A:A)+hour(AC530+AH$7-$B$1)/24+minute(AC530)/1440),"")</f>
        <v/>
      </c>
      <c r="AI530" s="104"/>
      <c r="AJ530" s="105"/>
      <c r="AK530" s="111" t="str">
        <f t="shared" si="8"/>
        <v/>
      </c>
      <c r="AL530" s="112" t="str">
        <f t="shared" si="9"/>
        <v/>
      </c>
      <c r="AM530" s="113"/>
      <c r="AN530" s="291" t="s">
        <v>2540</v>
      </c>
      <c r="AO530" s="115"/>
      <c r="AP530" s="115"/>
      <c r="AQ530" s="115"/>
      <c r="AR530" s="115"/>
      <c r="AS530" s="115"/>
      <c r="AT530" s="115"/>
      <c r="AU530" s="115"/>
      <c r="AV530" s="115"/>
      <c r="AW530" s="115"/>
      <c r="AX530" s="115"/>
      <c r="AY530" s="115"/>
    </row>
    <row r="531">
      <c r="A531" s="95" t="str">
        <f t="shared" si="11"/>
        <v/>
      </c>
      <c r="B531" s="100"/>
      <c r="C531" s="97"/>
      <c r="D531" s="97"/>
      <c r="E531" s="97"/>
      <c r="F531" s="97"/>
      <c r="G531" s="97"/>
      <c r="H531" s="99"/>
      <c r="I531" s="100"/>
      <c r="J531" s="101"/>
      <c r="K531" s="100"/>
      <c r="L531" s="102"/>
      <c r="M531" s="103" t="str">
        <f>if(B531,if(and(hour(B531+M$7)&gt;9.5,(hour(B531+M$7)&lt;19.5)),B531+M$7,_xlfn.workday.intl(int(B531),1,"0000001",Holidays!A:A)+hour(B531+M$7-$B$1)/24+minute(B531)/1440),"")</f>
        <v/>
      </c>
      <c r="N531" s="104"/>
      <c r="O531" s="105"/>
      <c r="P531" s="106" t="str">
        <f t="shared" si="1"/>
        <v/>
      </c>
      <c r="Q531" s="107"/>
      <c r="R531" s="108"/>
      <c r="S531" s="103" t="str">
        <f>if(M531,if(and(hour(M531+S$7)&gt;9.5,(hour(M531+S$7)&lt;19.5)),M531+S$7,_xlfn.workday.intl(int(M531),1,"0000001",Holidays!A:A)+hour(M531+S$7-$B$1)/24+minute(M531)/1440),"")</f>
        <v/>
      </c>
      <c r="T531" s="104"/>
      <c r="U531" s="105"/>
      <c r="V531" s="109" t="str">
        <f t="shared" si="2"/>
        <v/>
      </c>
      <c r="W531" s="110" t="str">
        <f t="shared" si="3"/>
        <v/>
      </c>
      <c r="X531" s="103" t="str">
        <f>if(S531,if(and(hour(S531+X$7)&gt;9.5,(hour(S531+X$7)&lt;19.5)),S531+X$7,_xlfn.workday.intl(int(S531),1,"0000001",Holidays!A:A)+hour(S531+X$7-$B$1)/24+minute(S531)/1440),"")</f>
        <v/>
      </c>
      <c r="Y531" s="104"/>
      <c r="Z531" s="105"/>
      <c r="AA531" s="111" t="str">
        <f t="shared" si="4"/>
        <v/>
      </c>
      <c r="AB531" s="110" t="str">
        <f t="shared" si="5"/>
        <v/>
      </c>
      <c r="AC531" s="103" t="str">
        <f>if(X531,_xlfn.WORKDAY.INTL(X531,AC$7,"0000001",Holidays!A:A)+hour(X531)/24+MINUTE(X531)/1440,"")</f>
        <v/>
      </c>
      <c r="AD531" s="104"/>
      <c r="AE531" s="105"/>
      <c r="AF531" s="111" t="str">
        <f t="shared" si="6"/>
        <v/>
      </c>
      <c r="AG531" s="110" t="str">
        <f t="shared" si="7"/>
        <v/>
      </c>
      <c r="AH531" s="103" t="str">
        <f>if(AC531,if(and(hour(AC531+AH$7)&gt;9.5,(hour(AC531+AH$7)&lt;19.5)),AC531+AH$7,_xlfn.workday.intl(int(AC531),1,"0000001",Holidays!A:A)+hour(AC531+AH$7-$B$1)/24+minute(AC531)/1440),"")</f>
        <v/>
      </c>
      <c r="AI531" s="104"/>
      <c r="AJ531" s="105"/>
      <c r="AK531" s="111" t="str">
        <f t="shared" si="8"/>
        <v/>
      </c>
      <c r="AL531" s="112" t="str">
        <f t="shared" si="9"/>
        <v/>
      </c>
      <c r="AM531" s="113"/>
      <c r="AN531" s="291" t="s">
        <v>2540</v>
      </c>
      <c r="AO531" s="115"/>
      <c r="AP531" s="115"/>
      <c r="AQ531" s="115"/>
      <c r="AR531" s="115"/>
      <c r="AS531" s="115"/>
      <c r="AT531" s="115"/>
      <c r="AU531" s="115"/>
      <c r="AV531" s="115"/>
      <c r="AW531" s="115"/>
      <c r="AX531" s="115"/>
      <c r="AY531" s="115"/>
    </row>
    <row r="532">
      <c r="A532" s="95" t="str">
        <f t="shared" si="11"/>
        <v/>
      </c>
      <c r="B532" s="100"/>
      <c r="C532" s="97"/>
      <c r="D532" s="97"/>
      <c r="E532" s="97"/>
      <c r="F532" s="97"/>
      <c r="G532" s="97"/>
      <c r="H532" s="99"/>
      <c r="I532" s="100"/>
      <c r="J532" s="101"/>
      <c r="K532" s="100"/>
      <c r="L532" s="102"/>
      <c r="M532" s="103" t="str">
        <f>if(B532,if(and(hour(B532+M$7)&gt;9.5,(hour(B532+M$7)&lt;19.5)),B532+M$7,_xlfn.workday.intl(int(B532),1,"0000001",Holidays!A:A)+hour(B532+M$7-$B$1)/24+minute(B532)/1440),"")</f>
        <v/>
      </c>
      <c r="N532" s="104"/>
      <c r="O532" s="105"/>
      <c r="P532" s="106" t="str">
        <f t="shared" si="1"/>
        <v/>
      </c>
      <c r="Q532" s="107"/>
      <c r="R532" s="108"/>
      <c r="S532" s="103" t="str">
        <f>if(M532,if(and(hour(M532+S$7)&gt;9.5,(hour(M532+S$7)&lt;19.5)),M532+S$7,_xlfn.workday.intl(int(M532),1,"0000001",Holidays!A:A)+hour(M532+S$7-$B$1)/24+minute(M532)/1440),"")</f>
        <v/>
      </c>
      <c r="T532" s="104"/>
      <c r="U532" s="105"/>
      <c r="V532" s="109" t="str">
        <f t="shared" si="2"/>
        <v/>
      </c>
      <c r="W532" s="110" t="str">
        <f t="shared" si="3"/>
        <v/>
      </c>
      <c r="X532" s="103" t="str">
        <f>if(S532,if(and(hour(S532+X$7)&gt;9.5,(hour(S532+X$7)&lt;19.5)),S532+X$7,_xlfn.workday.intl(int(S532),1,"0000001",Holidays!A:A)+hour(S532+X$7-$B$1)/24+minute(S532)/1440),"")</f>
        <v/>
      </c>
      <c r="Y532" s="104"/>
      <c r="Z532" s="105"/>
      <c r="AA532" s="111" t="str">
        <f t="shared" si="4"/>
        <v/>
      </c>
      <c r="AB532" s="110" t="str">
        <f t="shared" si="5"/>
        <v/>
      </c>
      <c r="AC532" s="103" t="str">
        <f>if(X532,_xlfn.WORKDAY.INTL(X532,AC$7,"0000001",Holidays!A:A)+hour(X532)/24+MINUTE(X532)/1440,"")</f>
        <v/>
      </c>
      <c r="AD532" s="104"/>
      <c r="AE532" s="105"/>
      <c r="AF532" s="111" t="str">
        <f t="shared" si="6"/>
        <v/>
      </c>
      <c r="AG532" s="110" t="str">
        <f t="shared" si="7"/>
        <v/>
      </c>
      <c r="AH532" s="103" t="str">
        <f>if(AC532,if(and(hour(AC532+AH$7)&gt;9.5,(hour(AC532+AH$7)&lt;19.5)),AC532+AH$7,_xlfn.workday.intl(int(AC532),1,"0000001",Holidays!A:A)+hour(AC532+AH$7-$B$1)/24+minute(AC532)/1440),"")</f>
        <v/>
      </c>
      <c r="AI532" s="104"/>
      <c r="AJ532" s="105"/>
      <c r="AK532" s="111" t="str">
        <f t="shared" si="8"/>
        <v/>
      </c>
      <c r="AL532" s="112" t="str">
        <f t="shared" si="9"/>
        <v/>
      </c>
      <c r="AM532" s="113"/>
      <c r="AN532" s="291" t="s">
        <v>2540</v>
      </c>
      <c r="AO532" s="115"/>
      <c r="AP532" s="115"/>
      <c r="AQ532" s="115"/>
      <c r="AR532" s="115"/>
      <c r="AS532" s="115"/>
      <c r="AT532" s="115"/>
      <c r="AU532" s="115"/>
      <c r="AV532" s="115"/>
      <c r="AW532" s="115"/>
      <c r="AX532" s="115"/>
      <c r="AY532" s="115"/>
    </row>
    <row r="533">
      <c r="A533" s="95" t="str">
        <f t="shared" si="11"/>
        <v/>
      </c>
      <c r="B533" s="100"/>
      <c r="C533" s="97"/>
      <c r="D533" s="97"/>
      <c r="E533" s="97"/>
      <c r="F533" s="97"/>
      <c r="G533" s="97"/>
      <c r="H533" s="99"/>
      <c r="I533" s="100"/>
      <c r="J533" s="101"/>
      <c r="K533" s="100"/>
      <c r="L533" s="102"/>
      <c r="M533" s="103" t="str">
        <f>if(B533,if(and(hour(B533+M$7)&gt;9.5,(hour(B533+M$7)&lt;19.5)),B533+M$7,_xlfn.workday.intl(int(B533),1,"0000001",Holidays!A:A)+hour(B533+M$7-$B$1)/24+minute(B533)/1440),"")</f>
        <v/>
      </c>
      <c r="N533" s="104"/>
      <c r="O533" s="105"/>
      <c r="P533" s="106" t="str">
        <f t="shared" si="1"/>
        <v/>
      </c>
      <c r="Q533" s="107"/>
      <c r="R533" s="108"/>
      <c r="S533" s="103" t="str">
        <f>if(M533,if(and(hour(M533+S$7)&gt;9.5,(hour(M533+S$7)&lt;19.5)),M533+S$7,_xlfn.workday.intl(int(M533),1,"0000001",Holidays!A:A)+hour(M533+S$7-$B$1)/24+minute(M533)/1440),"")</f>
        <v/>
      </c>
      <c r="T533" s="104"/>
      <c r="U533" s="105"/>
      <c r="V533" s="109" t="str">
        <f t="shared" si="2"/>
        <v/>
      </c>
      <c r="W533" s="110" t="str">
        <f t="shared" si="3"/>
        <v/>
      </c>
      <c r="X533" s="103" t="str">
        <f>if(S533,if(and(hour(S533+X$7)&gt;9.5,(hour(S533+X$7)&lt;19.5)),S533+X$7,_xlfn.workday.intl(int(S533),1,"0000001",Holidays!A:A)+hour(S533+X$7-$B$1)/24+minute(S533)/1440),"")</f>
        <v/>
      </c>
      <c r="Y533" s="104"/>
      <c r="Z533" s="105"/>
      <c r="AA533" s="111" t="str">
        <f t="shared" si="4"/>
        <v/>
      </c>
      <c r="AB533" s="110" t="str">
        <f t="shared" si="5"/>
        <v/>
      </c>
      <c r="AC533" s="103" t="str">
        <f>if(X533,_xlfn.WORKDAY.INTL(X533,AC$7,"0000001",Holidays!A:A)+hour(X533)/24+MINUTE(X533)/1440,"")</f>
        <v/>
      </c>
      <c r="AD533" s="104"/>
      <c r="AE533" s="105"/>
      <c r="AF533" s="111" t="str">
        <f t="shared" si="6"/>
        <v/>
      </c>
      <c r="AG533" s="110" t="str">
        <f t="shared" si="7"/>
        <v/>
      </c>
      <c r="AH533" s="103" t="str">
        <f>if(AC533,if(and(hour(AC533+AH$7)&gt;9.5,(hour(AC533+AH$7)&lt;19.5)),AC533+AH$7,_xlfn.workday.intl(int(AC533),1,"0000001",Holidays!A:A)+hour(AC533+AH$7-$B$1)/24+minute(AC533)/1440),"")</f>
        <v/>
      </c>
      <c r="AI533" s="104"/>
      <c r="AJ533" s="105"/>
      <c r="AK533" s="111" t="str">
        <f t="shared" si="8"/>
        <v/>
      </c>
      <c r="AL533" s="112" t="str">
        <f t="shared" si="9"/>
        <v/>
      </c>
      <c r="AM533" s="113"/>
      <c r="AN533" s="291" t="s">
        <v>2540</v>
      </c>
      <c r="AO533" s="115"/>
      <c r="AP533" s="115"/>
      <c r="AQ533" s="115"/>
      <c r="AR533" s="115"/>
      <c r="AS533" s="115"/>
      <c r="AT533" s="115"/>
      <c r="AU533" s="115"/>
      <c r="AV533" s="115"/>
      <c r="AW533" s="115"/>
      <c r="AX533" s="115"/>
      <c r="AY533" s="115"/>
    </row>
    <row r="534">
      <c r="A534" s="95" t="str">
        <f t="shared" si="11"/>
        <v/>
      </c>
      <c r="B534" s="100"/>
      <c r="C534" s="97"/>
      <c r="D534" s="97"/>
      <c r="E534" s="97"/>
      <c r="F534" s="97"/>
      <c r="G534" s="97"/>
      <c r="H534" s="99"/>
      <c r="I534" s="100"/>
      <c r="J534" s="101"/>
      <c r="K534" s="100"/>
      <c r="L534" s="102"/>
      <c r="M534" s="103" t="str">
        <f>if(B534,if(and(hour(B534+M$7)&gt;9.5,(hour(B534+M$7)&lt;19.5)),B534+M$7,_xlfn.workday.intl(int(B534),1,"0000001",Holidays!A:A)+hour(B534+M$7-$B$1)/24+minute(B534)/1440),"")</f>
        <v/>
      </c>
      <c r="N534" s="104"/>
      <c r="O534" s="105"/>
      <c r="P534" s="106" t="str">
        <f t="shared" si="1"/>
        <v/>
      </c>
      <c r="Q534" s="107"/>
      <c r="R534" s="108"/>
      <c r="S534" s="103" t="str">
        <f>if(M534,if(and(hour(M534+S$7)&gt;9.5,(hour(M534+S$7)&lt;19.5)),M534+S$7,_xlfn.workday.intl(int(M534),1,"0000001",Holidays!A:A)+hour(M534+S$7-$B$1)/24+minute(M534)/1440),"")</f>
        <v/>
      </c>
      <c r="T534" s="104"/>
      <c r="U534" s="105"/>
      <c r="V534" s="109" t="str">
        <f t="shared" si="2"/>
        <v/>
      </c>
      <c r="W534" s="110" t="str">
        <f t="shared" si="3"/>
        <v/>
      </c>
      <c r="X534" s="103" t="str">
        <f>if(S534,if(and(hour(S534+X$7)&gt;9.5,(hour(S534+X$7)&lt;19.5)),S534+X$7,_xlfn.workday.intl(int(S534),1,"0000001",Holidays!A:A)+hour(S534+X$7-$B$1)/24+minute(S534)/1440),"")</f>
        <v/>
      </c>
      <c r="Y534" s="104"/>
      <c r="Z534" s="105"/>
      <c r="AA534" s="111" t="str">
        <f t="shared" si="4"/>
        <v/>
      </c>
      <c r="AB534" s="110" t="str">
        <f t="shared" si="5"/>
        <v/>
      </c>
      <c r="AC534" s="103" t="str">
        <f>if(X534,_xlfn.WORKDAY.INTL(X534,AC$7,"0000001",Holidays!A:A)+hour(X534)/24+MINUTE(X534)/1440,"")</f>
        <v/>
      </c>
      <c r="AD534" s="104"/>
      <c r="AE534" s="105"/>
      <c r="AF534" s="111" t="str">
        <f t="shared" si="6"/>
        <v/>
      </c>
      <c r="AG534" s="110" t="str">
        <f t="shared" si="7"/>
        <v/>
      </c>
      <c r="AH534" s="103" t="str">
        <f>if(AC534,if(and(hour(AC534+AH$7)&gt;9.5,(hour(AC534+AH$7)&lt;19.5)),AC534+AH$7,_xlfn.workday.intl(int(AC534),1,"0000001",Holidays!A:A)+hour(AC534+AH$7-$B$1)/24+minute(AC534)/1440),"")</f>
        <v/>
      </c>
      <c r="AI534" s="104"/>
      <c r="AJ534" s="105"/>
      <c r="AK534" s="111" t="str">
        <f t="shared" si="8"/>
        <v/>
      </c>
      <c r="AL534" s="112" t="str">
        <f t="shared" si="9"/>
        <v/>
      </c>
      <c r="AM534" s="113"/>
      <c r="AN534" s="291" t="s">
        <v>2540</v>
      </c>
      <c r="AO534" s="115"/>
      <c r="AP534" s="115"/>
      <c r="AQ534" s="115"/>
      <c r="AR534" s="115"/>
      <c r="AS534" s="115"/>
      <c r="AT534" s="115"/>
      <c r="AU534" s="115"/>
      <c r="AV534" s="115"/>
      <c r="AW534" s="115"/>
      <c r="AX534" s="115"/>
      <c r="AY534" s="115"/>
    </row>
    <row r="535">
      <c r="A535" s="95" t="str">
        <f t="shared" si="11"/>
        <v/>
      </c>
      <c r="B535" s="100"/>
      <c r="C535" s="97"/>
      <c r="D535" s="97"/>
      <c r="E535" s="97"/>
      <c r="F535" s="97"/>
      <c r="G535" s="97"/>
      <c r="H535" s="99"/>
      <c r="I535" s="100"/>
      <c r="J535" s="101"/>
      <c r="K535" s="100"/>
      <c r="L535" s="102"/>
      <c r="M535" s="103" t="str">
        <f>if(B535,if(and(hour(B535+M$7)&gt;9.5,(hour(B535+M$7)&lt;19.5)),B535+M$7,_xlfn.workday.intl(int(B535),1,"0000001",Holidays!A:A)+hour(B535+M$7-$B$1)/24+minute(B535)/1440),"")</f>
        <v/>
      </c>
      <c r="N535" s="104"/>
      <c r="O535" s="105"/>
      <c r="P535" s="106" t="str">
        <f t="shared" si="1"/>
        <v/>
      </c>
      <c r="Q535" s="107"/>
      <c r="R535" s="108"/>
      <c r="S535" s="103" t="str">
        <f>if(M535,if(and(hour(M535+S$7)&gt;9.5,(hour(M535+S$7)&lt;19.5)),M535+S$7,_xlfn.workday.intl(int(M535),1,"0000001",Holidays!A:A)+hour(M535+S$7-$B$1)/24+minute(M535)/1440),"")</f>
        <v/>
      </c>
      <c r="T535" s="104"/>
      <c r="U535" s="105"/>
      <c r="V535" s="109" t="str">
        <f t="shared" si="2"/>
        <v/>
      </c>
      <c r="W535" s="110" t="str">
        <f t="shared" si="3"/>
        <v/>
      </c>
      <c r="X535" s="103" t="str">
        <f>if(S535,if(and(hour(S535+X$7)&gt;9.5,(hour(S535+X$7)&lt;19.5)),S535+X$7,_xlfn.workday.intl(int(S535),1,"0000001",Holidays!A:A)+hour(S535+X$7-$B$1)/24+minute(S535)/1440),"")</f>
        <v/>
      </c>
      <c r="Y535" s="104"/>
      <c r="Z535" s="105"/>
      <c r="AA535" s="111" t="str">
        <f t="shared" si="4"/>
        <v/>
      </c>
      <c r="AB535" s="110" t="str">
        <f t="shared" si="5"/>
        <v/>
      </c>
      <c r="AC535" s="103" t="str">
        <f>if(X535,_xlfn.WORKDAY.INTL(X535,AC$7,"0000001",Holidays!A:A)+hour(X535)/24+MINUTE(X535)/1440,"")</f>
        <v/>
      </c>
      <c r="AD535" s="104"/>
      <c r="AE535" s="105"/>
      <c r="AF535" s="111" t="str">
        <f t="shared" si="6"/>
        <v/>
      </c>
      <c r="AG535" s="110" t="str">
        <f t="shared" si="7"/>
        <v/>
      </c>
      <c r="AH535" s="103" t="str">
        <f>if(AC535,if(and(hour(AC535+AH$7)&gt;9.5,(hour(AC535+AH$7)&lt;19.5)),AC535+AH$7,_xlfn.workday.intl(int(AC535),1,"0000001",Holidays!A:A)+hour(AC535+AH$7-$B$1)/24+minute(AC535)/1440),"")</f>
        <v/>
      </c>
      <c r="AI535" s="104"/>
      <c r="AJ535" s="105"/>
      <c r="AK535" s="111" t="str">
        <f t="shared" si="8"/>
        <v/>
      </c>
      <c r="AL535" s="112" t="str">
        <f t="shared" si="9"/>
        <v/>
      </c>
      <c r="AM535" s="113"/>
      <c r="AN535" s="291" t="s">
        <v>2540</v>
      </c>
      <c r="AO535" s="115"/>
      <c r="AP535" s="115"/>
      <c r="AQ535" s="115"/>
      <c r="AR535" s="115"/>
      <c r="AS535" s="115"/>
      <c r="AT535" s="115"/>
      <c r="AU535" s="115"/>
      <c r="AV535" s="115"/>
      <c r="AW535" s="115"/>
      <c r="AX535" s="115"/>
      <c r="AY535" s="115"/>
    </row>
    <row r="536">
      <c r="A536" s="95" t="str">
        <f t="shared" si="11"/>
        <v/>
      </c>
      <c r="B536" s="100"/>
      <c r="C536" s="97"/>
      <c r="D536" s="97"/>
      <c r="E536" s="97"/>
      <c r="F536" s="97"/>
      <c r="G536" s="97"/>
      <c r="H536" s="99"/>
      <c r="I536" s="100"/>
      <c r="J536" s="101"/>
      <c r="K536" s="100"/>
      <c r="L536" s="102"/>
      <c r="M536" s="103" t="str">
        <f>if(B536,if(and(hour(B536+M$7)&gt;9.5,(hour(B536+M$7)&lt;19.5)),B536+M$7,_xlfn.workday.intl(int(B536),1,"0000001",Holidays!A:A)+hour(B536+M$7-$B$1)/24+minute(B536)/1440),"")</f>
        <v/>
      </c>
      <c r="N536" s="104"/>
      <c r="O536" s="105"/>
      <c r="P536" s="106" t="str">
        <f t="shared" si="1"/>
        <v/>
      </c>
      <c r="Q536" s="107"/>
      <c r="R536" s="108"/>
      <c r="S536" s="103" t="str">
        <f>if(M536,if(and(hour(M536+S$7)&gt;9.5,(hour(M536+S$7)&lt;19.5)),M536+S$7,_xlfn.workday.intl(int(M536),1,"0000001",Holidays!A:A)+hour(M536+S$7-$B$1)/24+minute(M536)/1440),"")</f>
        <v/>
      </c>
      <c r="T536" s="104"/>
      <c r="U536" s="105"/>
      <c r="V536" s="109" t="str">
        <f t="shared" si="2"/>
        <v/>
      </c>
      <c r="W536" s="110" t="str">
        <f t="shared" si="3"/>
        <v/>
      </c>
      <c r="X536" s="103" t="str">
        <f>if(S536,if(and(hour(S536+X$7)&gt;9.5,(hour(S536+X$7)&lt;19.5)),S536+X$7,_xlfn.workday.intl(int(S536),1,"0000001",Holidays!A:A)+hour(S536+X$7-$B$1)/24+minute(S536)/1440),"")</f>
        <v/>
      </c>
      <c r="Y536" s="104"/>
      <c r="Z536" s="105"/>
      <c r="AA536" s="111" t="str">
        <f t="shared" si="4"/>
        <v/>
      </c>
      <c r="AB536" s="110" t="str">
        <f t="shared" si="5"/>
        <v/>
      </c>
      <c r="AC536" s="103" t="str">
        <f>if(X536,_xlfn.WORKDAY.INTL(X536,AC$7,"0000001",Holidays!A:A)+hour(X536)/24+MINUTE(X536)/1440,"")</f>
        <v/>
      </c>
      <c r="AD536" s="104"/>
      <c r="AE536" s="105"/>
      <c r="AF536" s="111" t="str">
        <f t="shared" si="6"/>
        <v/>
      </c>
      <c r="AG536" s="110" t="str">
        <f t="shared" si="7"/>
        <v/>
      </c>
      <c r="AH536" s="103" t="str">
        <f>if(AC536,if(and(hour(AC536+AH$7)&gt;9.5,(hour(AC536+AH$7)&lt;19.5)),AC536+AH$7,_xlfn.workday.intl(int(AC536),1,"0000001",Holidays!A:A)+hour(AC536+AH$7-$B$1)/24+minute(AC536)/1440),"")</f>
        <v/>
      </c>
      <c r="AI536" s="104"/>
      <c r="AJ536" s="105"/>
      <c r="AK536" s="111" t="str">
        <f t="shared" si="8"/>
        <v/>
      </c>
      <c r="AL536" s="112" t="str">
        <f t="shared" si="9"/>
        <v/>
      </c>
      <c r="AM536" s="113"/>
      <c r="AN536" s="291" t="s">
        <v>2540</v>
      </c>
      <c r="AO536" s="115"/>
      <c r="AP536" s="115"/>
      <c r="AQ536" s="115"/>
      <c r="AR536" s="115"/>
      <c r="AS536" s="115"/>
      <c r="AT536" s="115"/>
      <c r="AU536" s="115"/>
      <c r="AV536" s="115"/>
      <c r="AW536" s="115"/>
      <c r="AX536" s="115"/>
      <c r="AY536" s="115"/>
    </row>
    <row r="537">
      <c r="A537" s="95" t="str">
        <f t="shared" si="11"/>
        <v/>
      </c>
      <c r="B537" s="100"/>
      <c r="C537" s="97"/>
      <c r="D537" s="97"/>
      <c r="E537" s="97"/>
      <c r="F537" s="97"/>
      <c r="G537" s="97"/>
      <c r="H537" s="99"/>
      <c r="I537" s="100"/>
      <c r="J537" s="101"/>
      <c r="K537" s="100"/>
      <c r="L537" s="102"/>
      <c r="M537" s="103" t="str">
        <f>if(B537,if(and(hour(B537+M$7)&gt;9.5,(hour(B537+M$7)&lt;19.5)),B537+M$7,_xlfn.workday.intl(int(B537),1,"0000001",Holidays!A:A)+hour(B537+M$7-$B$1)/24+minute(B537)/1440),"")</f>
        <v/>
      </c>
      <c r="N537" s="104"/>
      <c r="O537" s="105"/>
      <c r="P537" s="106" t="str">
        <f t="shared" si="1"/>
        <v/>
      </c>
      <c r="Q537" s="107"/>
      <c r="R537" s="108"/>
      <c r="S537" s="103" t="str">
        <f>if(M537,if(and(hour(M537+S$7)&gt;9.5,(hour(M537+S$7)&lt;19.5)),M537+S$7,_xlfn.workday.intl(int(M537),1,"0000001",Holidays!A:A)+hour(M537+S$7-$B$1)/24+minute(M537)/1440),"")</f>
        <v/>
      </c>
      <c r="T537" s="104"/>
      <c r="U537" s="105"/>
      <c r="V537" s="109" t="str">
        <f t="shared" si="2"/>
        <v/>
      </c>
      <c r="W537" s="110" t="str">
        <f t="shared" si="3"/>
        <v/>
      </c>
      <c r="X537" s="103" t="str">
        <f>if(S537,if(and(hour(S537+X$7)&gt;9.5,(hour(S537+X$7)&lt;19.5)),S537+X$7,_xlfn.workday.intl(int(S537),1,"0000001",Holidays!A:A)+hour(S537+X$7-$B$1)/24+minute(S537)/1440),"")</f>
        <v/>
      </c>
      <c r="Y537" s="104"/>
      <c r="Z537" s="105"/>
      <c r="AA537" s="111" t="str">
        <f t="shared" si="4"/>
        <v/>
      </c>
      <c r="AB537" s="110" t="str">
        <f t="shared" si="5"/>
        <v/>
      </c>
      <c r="AC537" s="103" t="str">
        <f>if(X537,_xlfn.WORKDAY.INTL(X537,AC$7,"0000001",Holidays!A:A)+hour(X537)/24+MINUTE(X537)/1440,"")</f>
        <v/>
      </c>
      <c r="AD537" s="104"/>
      <c r="AE537" s="105"/>
      <c r="AF537" s="111" t="str">
        <f t="shared" si="6"/>
        <v/>
      </c>
      <c r="AG537" s="110" t="str">
        <f t="shared" si="7"/>
        <v/>
      </c>
      <c r="AH537" s="103" t="str">
        <f>if(AC537,if(and(hour(AC537+AH$7)&gt;9.5,(hour(AC537+AH$7)&lt;19.5)),AC537+AH$7,_xlfn.workday.intl(int(AC537),1,"0000001",Holidays!A:A)+hour(AC537+AH$7-$B$1)/24+minute(AC537)/1440),"")</f>
        <v/>
      </c>
      <c r="AI537" s="104"/>
      <c r="AJ537" s="105"/>
      <c r="AK537" s="111" t="str">
        <f t="shared" si="8"/>
        <v/>
      </c>
      <c r="AL537" s="112" t="str">
        <f t="shared" si="9"/>
        <v/>
      </c>
      <c r="AM537" s="113"/>
      <c r="AN537" s="291" t="s">
        <v>2540</v>
      </c>
      <c r="AO537" s="115"/>
      <c r="AP537" s="115"/>
      <c r="AQ537" s="115"/>
      <c r="AR537" s="115"/>
      <c r="AS537" s="115"/>
      <c r="AT537" s="115"/>
      <c r="AU537" s="115"/>
      <c r="AV537" s="115"/>
      <c r="AW537" s="115"/>
      <c r="AX537" s="115"/>
      <c r="AY537" s="115"/>
    </row>
    <row r="538">
      <c r="A538" s="95" t="str">
        <f t="shared" si="11"/>
        <v/>
      </c>
      <c r="B538" s="100"/>
      <c r="C538" s="97"/>
      <c r="D538" s="97"/>
      <c r="E538" s="97"/>
      <c r="F538" s="97"/>
      <c r="G538" s="97"/>
      <c r="H538" s="99"/>
      <c r="I538" s="100"/>
      <c r="J538" s="101"/>
      <c r="K538" s="100"/>
      <c r="L538" s="102"/>
      <c r="M538" s="103" t="str">
        <f>if(B538,if(and(hour(B538+M$7)&gt;9.5,(hour(B538+M$7)&lt;19.5)),B538+M$7,_xlfn.workday.intl(int(B538),1,"0000001",Holidays!A:A)+hour(B538+M$7-$B$1)/24+minute(B538)/1440),"")</f>
        <v/>
      </c>
      <c r="N538" s="104"/>
      <c r="O538" s="105"/>
      <c r="P538" s="106" t="str">
        <f t="shared" si="1"/>
        <v/>
      </c>
      <c r="Q538" s="107"/>
      <c r="R538" s="108"/>
      <c r="S538" s="103" t="str">
        <f>if(M538,if(and(hour(M538+S$7)&gt;9.5,(hour(M538+S$7)&lt;19.5)),M538+S$7,_xlfn.workday.intl(int(M538),1,"0000001",Holidays!A:A)+hour(M538+S$7-$B$1)/24+minute(M538)/1440),"")</f>
        <v/>
      </c>
      <c r="T538" s="104"/>
      <c r="U538" s="105"/>
      <c r="V538" s="109" t="str">
        <f t="shared" si="2"/>
        <v/>
      </c>
      <c r="W538" s="110" t="str">
        <f t="shared" si="3"/>
        <v/>
      </c>
      <c r="X538" s="103" t="str">
        <f>if(S538,if(and(hour(S538+X$7)&gt;9.5,(hour(S538+X$7)&lt;19.5)),S538+X$7,_xlfn.workday.intl(int(S538),1,"0000001",Holidays!A:A)+hour(S538+X$7-$B$1)/24+minute(S538)/1440),"")</f>
        <v/>
      </c>
      <c r="Y538" s="104"/>
      <c r="Z538" s="105"/>
      <c r="AA538" s="111" t="str">
        <f t="shared" si="4"/>
        <v/>
      </c>
      <c r="AB538" s="110" t="str">
        <f t="shared" si="5"/>
        <v/>
      </c>
      <c r="AC538" s="103" t="str">
        <f>if(X538,_xlfn.WORKDAY.INTL(X538,AC$7,"0000001",Holidays!A:A)+hour(X538)/24+MINUTE(X538)/1440,"")</f>
        <v/>
      </c>
      <c r="AD538" s="104"/>
      <c r="AE538" s="105"/>
      <c r="AF538" s="111" t="str">
        <f t="shared" si="6"/>
        <v/>
      </c>
      <c r="AG538" s="110" t="str">
        <f t="shared" si="7"/>
        <v/>
      </c>
      <c r="AH538" s="103" t="str">
        <f>if(AC538,if(and(hour(AC538+AH$7)&gt;9.5,(hour(AC538+AH$7)&lt;19.5)),AC538+AH$7,_xlfn.workday.intl(int(AC538),1,"0000001",Holidays!A:A)+hour(AC538+AH$7-$B$1)/24+minute(AC538)/1440),"")</f>
        <v/>
      </c>
      <c r="AI538" s="104"/>
      <c r="AJ538" s="105"/>
      <c r="AK538" s="111" t="str">
        <f t="shared" si="8"/>
        <v/>
      </c>
      <c r="AL538" s="112" t="str">
        <f t="shared" si="9"/>
        <v/>
      </c>
      <c r="AM538" s="113"/>
      <c r="AN538" s="291" t="s">
        <v>2540</v>
      </c>
      <c r="AO538" s="115"/>
      <c r="AP538" s="115"/>
      <c r="AQ538" s="115"/>
      <c r="AR538" s="115"/>
      <c r="AS538" s="115"/>
      <c r="AT538" s="115"/>
      <c r="AU538" s="115"/>
      <c r="AV538" s="115"/>
      <c r="AW538" s="115"/>
      <c r="AX538" s="115"/>
      <c r="AY538" s="115"/>
    </row>
    <row r="539">
      <c r="A539" s="95" t="str">
        <f t="shared" si="11"/>
        <v/>
      </c>
      <c r="B539" s="100"/>
      <c r="C539" s="97"/>
      <c r="D539" s="97"/>
      <c r="E539" s="97"/>
      <c r="F539" s="97"/>
      <c r="G539" s="97"/>
      <c r="H539" s="99"/>
      <c r="I539" s="100"/>
      <c r="J539" s="101"/>
      <c r="K539" s="100"/>
      <c r="L539" s="102"/>
      <c r="M539" s="103" t="str">
        <f>if(B539,if(and(hour(B539+M$7)&gt;9.5,(hour(B539+M$7)&lt;19.5)),B539+M$7,_xlfn.workday.intl(int(B539),1,"0000001",Holidays!A:A)+hour(B539+M$7-$B$1)/24+minute(B539)/1440),"")</f>
        <v/>
      </c>
      <c r="N539" s="104"/>
      <c r="O539" s="105"/>
      <c r="P539" s="106" t="str">
        <f t="shared" si="1"/>
        <v/>
      </c>
      <c r="Q539" s="107"/>
      <c r="R539" s="108"/>
      <c r="S539" s="103" t="str">
        <f>if(M539,if(and(hour(M539+S$7)&gt;9.5,(hour(M539+S$7)&lt;19.5)),M539+S$7,_xlfn.workday.intl(int(M539),1,"0000001",Holidays!A:A)+hour(M539+S$7-$B$1)/24+minute(M539)/1440),"")</f>
        <v/>
      </c>
      <c r="T539" s="104"/>
      <c r="U539" s="105"/>
      <c r="V539" s="109" t="str">
        <f t="shared" si="2"/>
        <v/>
      </c>
      <c r="W539" s="110" t="str">
        <f t="shared" si="3"/>
        <v/>
      </c>
      <c r="X539" s="103" t="str">
        <f>if(S539,if(and(hour(S539+X$7)&gt;9.5,(hour(S539+X$7)&lt;19.5)),S539+X$7,_xlfn.workday.intl(int(S539),1,"0000001",Holidays!A:A)+hour(S539+X$7-$B$1)/24+minute(S539)/1440),"")</f>
        <v/>
      </c>
      <c r="Y539" s="104"/>
      <c r="Z539" s="105"/>
      <c r="AA539" s="111" t="str">
        <f t="shared" si="4"/>
        <v/>
      </c>
      <c r="AB539" s="110" t="str">
        <f t="shared" si="5"/>
        <v/>
      </c>
      <c r="AC539" s="103" t="str">
        <f>if(X539,_xlfn.WORKDAY.INTL(X539,AC$7,"0000001",Holidays!A:A)+hour(X539)/24+MINUTE(X539)/1440,"")</f>
        <v/>
      </c>
      <c r="AD539" s="104"/>
      <c r="AE539" s="105"/>
      <c r="AF539" s="111" t="str">
        <f t="shared" si="6"/>
        <v/>
      </c>
      <c r="AG539" s="110" t="str">
        <f t="shared" si="7"/>
        <v/>
      </c>
      <c r="AH539" s="103" t="str">
        <f>if(AC539,if(and(hour(AC539+AH$7)&gt;9.5,(hour(AC539+AH$7)&lt;19.5)),AC539+AH$7,_xlfn.workday.intl(int(AC539),1,"0000001",Holidays!A:A)+hour(AC539+AH$7-$B$1)/24+minute(AC539)/1440),"")</f>
        <v/>
      </c>
      <c r="AI539" s="104"/>
      <c r="AJ539" s="105"/>
      <c r="AK539" s="111" t="str">
        <f t="shared" si="8"/>
        <v/>
      </c>
      <c r="AL539" s="112" t="str">
        <f t="shared" si="9"/>
        <v/>
      </c>
      <c r="AM539" s="113"/>
      <c r="AN539" s="291" t="s">
        <v>2540</v>
      </c>
      <c r="AO539" s="115"/>
      <c r="AP539" s="115"/>
      <c r="AQ539" s="115"/>
      <c r="AR539" s="115"/>
      <c r="AS539" s="115"/>
      <c r="AT539" s="115"/>
      <c r="AU539" s="115"/>
      <c r="AV539" s="115"/>
      <c r="AW539" s="115"/>
      <c r="AX539" s="115"/>
      <c r="AY539" s="115"/>
    </row>
    <row r="540">
      <c r="A540" s="95" t="str">
        <f t="shared" si="11"/>
        <v/>
      </c>
      <c r="B540" s="100"/>
      <c r="C540" s="97"/>
      <c r="D540" s="97"/>
      <c r="E540" s="97"/>
      <c r="F540" s="97"/>
      <c r="G540" s="97"/>
      <c r="H540" s="99"/>
      <c r="I540" s="100"/>
      <c r="J540" s="101"/>
      <c r="K540" s="100"/>
      <c r="L540" s="102"/>
      <c r="M540" s="103" t="str">
        <f>if(B540,if(and(hour(B540+M$7)&gt;9.5,(hour(B540+M$7)&lt;19.5)),B540+M$7,_xlfn.workday.intl(int(B540),1,"0000001",Holidays!A:A)+hour(B540+M$7-$B$1)/24+minute(B540)/1440),"")</f>
        <v/>
      </c>
      <c r="N540" s="104"/>
      <c r="O540" s="105"/>
      <c r="P540" s="106" t="str">
        <f t="shared" si="1"/>
        <v/>
      </c>
      <c r="Q540" s="107"/>
      <c r="R540" s="108"/>
      <c r="S540" s="103" t="str">
        <f>if(M540,if(and(hour(M540+S$7)&gt;9.5,(hour(M540+S$7)&lt;19.5)),M540+S$7,_xlfn.workday.intl(int(M540),1,"0000001",Holidays!A:A)+hour(M540+S$7-$B$1)/24+minute(M540)/1440),"")</f>
        <v/>
      </c>
      <c r="T540" s="104"/>
      <c r="U540" s="105"/>
      <c r="V540" s="109" t="str">
        <f t="shared" si="2"/>
        <v/>
      </c>
      <c r="W540" s="110" t="str">
        <f t="shared" si="3"/>
        <v/>
      </c>
      <c r="X540" s="103" t="str">
        <f>if(S540,if(and(hour(S540+X$7)&gt;9.5,(hour(S540+X$7)&lt;19.5)),S540+X$7,_xlfn.workday.intl(int(S540),1,"0000001",Holidays!A:A)+hour(S540+X$7-$B$1)/24+minute(S540)/1440),"")</f>
        <v/>
      </c>
      <c r="Y540" s="104"/>
      <c r="Z540" s="105"/>
      <c r="AA540" s="111" t="str">
        <f t="shared" si="4"/>
        <v/>
      </c>
      <c r="AB540" s="110" t="str">
        <f t="shared" si="5"/>
        <v/>
      </c>
      <c r="AC540" s="103" t="str">
        <f>if(X540,_xlfn.WORKDAY.INTL(X540,AC$7,"0000001",Holidays!A:A)+hour(X540)/24+MINUTE(X540)/1440,"")</f>
        <v/>
      </c>
      <c r="AD540" s="104"/>
      <c r="AE540" s="105"/>
      <c r="AF540" s="111" t="str">
        <f t="shared" si="6"/>
        <v/>
      </c>
      <c r="AG540" s="110" t="str">
        <f t="shared" si="7"/>
        <v/>
      </c>
      <c r="AH540" s="103" t="str">
        <f>if(AC540,if(and(hour(AC540+AH$7)&gt;9.5,(hour(AC540+AH$7)&lt;19.5)),AC540+AH$7,_xlfn.workday.intl(int(AC540),1,"0000001",Holidays!A:A)+hour(AC540+AH$7-$B$1)/24+minute(AC540)/1440),"")</f>
        <v/>
      </c>
      <c r="AI540" s="104"/>
      <c r="AJ540" s="105"/>
      <c r="AK540" s="111" t="str">
        <f t="shared" si="8"/>
        <v/>
      </c>
      <c r="AL540" s="112" t="str">
        <f t="shared" si="9"/>
        <v/>
      </c>
      <c r="AM540" s="113"/>
      <c r="AN540" s="291" t="s">
        <v>2540</v>
      </c>
      <c r="AO540" s="115"/>
      <c r="AP540" s="115"/>
      <c r="AQ540" s="115"/>
      <c r="AR540" s="115"/>
      <c r="AS540" s="115"/>
      <c r="AT540" s="115"/>
      <c r="AU540" s="115"/>
      <c r="AV540" s="115"/>
      <c r="AW540" s="115"/>
      <c r="AX540" s="115"/>
      <c r="AY540" s="115"/>
    </row>
    <row r="541">
      <c r="A541" s="95" t="str">
        <f t="shared" si="11"/>
        <v/>
      </c>
      <c r="B541" s="100"/>
      <c r="C541" s="97"/>
      <c r="D541" s="97"/>
      <c r="E541" s="97"/>
      <c r="F541" s="97"/>
      <c r="G541" s="97"/>
      <c r="H541" s="99"/>
      <c r="I541" s="100"/>
      <c r="J541" s="101"/>
      <c r="K541" s="100"/>
      <c r="L541" s="102"/>
      <c r="M541" s="103" t="str">
        <f>if(B541,if(and(hour(B541+M$7)&gt;9.5,(hour(B541+M$7)&lt;19.5)),B541+M$7,_xlfn.workday.intl(int(B541),1,"0000001",Holidays!A:A)+hour(B541+M$7-$B$1)/24+minute(B541)/1440),"")</f>
        <v/>
      </c>
      <c r="N541" s="104"/>
      <c r="O541" s="105"/>
      <c r="P541" s="106" t="str">
        <f t="shared" si="1"/>
        <v/>
      </c>
      <c r="Q541" s="107"/>
      <c r="R541" s="108"/>
      <c r="S541" s="103" t="str">
        <f>if(M541,if(and(hour(M541+S$7)&gt;9.5,(hour(M541+S$7)&lt;19.5)),M541+S$7,_xlfn.workday.intl(int(M541),1,"0000001",Holidays!A:A)+hour(M541+S$7-$B$1)/24+minute(M541)/1440),"")</f>
        <v/>
      </c>
      <c r="T541" s="104"/>
      <c r="U541" s="105"/>
      <c r="V541" s="109" t="str">
        <f t="shared" si="2"/>
        <v/>
      </c>
      <c r="W541" s="110" t="str">
        <f t="shared" si="3"/>
        <v/>
      </c>
      <c r="X541" s="103" t="str">
        <f>if(S541,if(and(hour(S541+X$7)&gt;9.5,(hour(S541+X$7)&lt;19.5)),S541+X$7,_xlfn.workday.intl(int(S541),1,"0000001",Holidays!A:A)+hour(S541+X$7-$B$1)/24+minute(S541)/1440),"")</f>
        <v/>
      </c>
      <c r="Y541" s="104"/>
      <c r="Z541" s="105"/>
      <c r="AA541" s="111" t="str">
        <f t="shared" si="4"/>
        <v/>
      </c>
      <c r="AB541" s="110" t="str">
        <f t="shared" si="5"/>
        <v/>
      </c>
      <c r="AC541" s="103" t="str">
        <f>if(X541,_xlfn.WORKDAY.INTL(X541,AC$7,"0000001",Holidays!A:A)+hour(X541)/24+MINUTE(X541)/1440,"")</f>
        <v/>
      </c>
      <c r="AD541" s="104"/>
      <c r="AE541" s="105"/>
      <c r="AF541" s="111" t="str">
        <f t="shared" si="6"/>
        <v/>
      </c>
      <c r="AG541" s="110" t="str">
        <f t="shared" si="7"/>
        <v/>
      </c>
      <c r="AH541" s="103" t="str">
        <f>if(AC541,if(and(hour(AC541+AH$7)&gt;9.5,(hour(AC541+AH$7)&lt;19.5)),AC541+AH$7,_xlfn.workday.intl(int(AC541),1,"0000001",Holidays!A:A)+hour(AC541+AH$7-$B$1)/24+minute(AC541)/1440),"")</f>
        <v/>
      </c>
      <c r="AI541" s="104"/>
      <c r="AJ541" s="105"/>
      <c r="AK541" s="111" t="str">
        <f t="shared" si="8"/>
        <v/>
      </c>
      <c r="AL541" s="112" t="str">
        <f t="shared" si="9"/>
        <v/>
      </c>
      <c r="AM541" s="113"/>
      <c r="AN541" s="291" t="s">
        <v>2540</v>
      </c>
      <c r="AO541" s="115"/>
      <c r="AP541" s="115"/>
      <c r="AQ541" s="115"/>
      <c r="AR541" s="115"/>
      <c r="AS541" s="115"/>
      <c r="AT541" s="115"/>
      <c r="AU541" s="115"/>
      <c r="AV541" s="115"/>
      <c r="AW541" s="115"/>
      <c r="AX541" s="115"/>
      <c r="AY541" s="115"/>
    </row>
    <row r="542">
      <c r="A542" s="95" t="str">
        <f t="shared" si="11"/>
        <v/>
      </c>
      <c r="B542" s="100"/>
      <c r="C542" s="97"/>
      <c r="D542" s="97"/>
      <c r="E542" s="97"/>
      <c r="F542" s="97"/>
      <c r="G542" s="97"/>
      <c r="H542" s="99"/>
      <c r="I542" s="100"/>
      <c r="J542" s="101"/>
      <c r="K542" s="100"/>
      <c r="L542" s="102"/>
      <c r="M542" s="103" t="str">
        <f>if(B542,if(and(hour(B542+M$7)&gt;9.5,(hour(B542+M$7)&lt;19.5)),B542+M$7,_xlfn.workday.intl(int(B542),1,"0000001",Holidays!A:A)+hour(B542+M$7-$B$1)/24+minute(B542)/1440),"")</f>
        <v/>
      </c>
      <c r="N542" s="104"/>
      <c r="O542" s="105"/>
      <c r="P542" s="106" t="str">
        <f t="shared" si="1"/>
        <v/>
      </c>
      <c r="Q542" s="107"/>
      <c r="R542" s="108"/>
      <c r="S542" s="103" t="str">
        <f>if(M542,if(and(hour(M542+S$7)&gt;9.5,(hour(M542+S$7)&lt;19.5)),M542+S$7,_xlfn.workday.intl(int(M542),1,"0000001",Holidays!A:A)+hour(M542+S$7-$B$1)/24+minute(M542)/1440),"")</f>
        <v/>
      </c>
      <c r="T542" s="104"/>
      <c r="U542" s="105"/>
      <c r="V542" s="109" t="str">
        <f t="shared" si="2"/>
        <v/>
      </c>
      <c r="W542" s="110" t="str">
        <f t="shared" si="3"/>
        <v/>
      </c>
      <c r="X542" s="103" t="str">
        <f>if(S542,if(and(hour(S542+X$7)&gt;9.5,(hour(S542+X$7)&lt;19.5)),S542+X$7,_xlfn.workday.intl(int(S542),1,"0000001",Holidays!A:A)+hour(S542+X$7-$B$1)/24+minute(S542)/1440),"")</f>
        <v/>
      </c>
      <c r="Y542" s="104"/>
      <c r="Z542" s="105"/>
      <c r="AA542" s="111" t="str">
        <f t="shared" si="4"/>
        <v/>
      </c>
      <c r="AB542" s="110" t="str">
        <f t="shared" si="5"/>
        <v/>
      </c>
      <c r="AC542" s="103" t="str">
        <f>if(X542,_xlfn.WORKDAY.INTL(X542,AC$7,"0000001",Holidays!A:A)+hour(X542)/24+MINUTE(X542)/1440,"")</f>
        <v/>
      </c>
      <c r="AD542" s="104"/>
      <c r="AE542" s="105"/>
      <c r="AF542" s="111" t="str">
        <f t="shared" si="6"/>
        <v/>
      </c>
      <c r="AG542" s="110" t="str">
        <f t="shared" si="7"/>
        <v/>
      </c>
      <c r="AH542" s="103" t="str">
        <f>if(AC542,if(and(hour(AC542+AH$7)&gt;9.5,(hour(AC542+AH$7)&lt;19.5)),AC542+AH$7,_xlfn.workday.intl(int(AC542),1,"0000001",Holidays!A:A)+hour(AC542+AH$7-$B$1)/24+minute(AC542)/1440),"")</f>
        <v/>
      </c>
      <c r="AI542" s="104"/>
      <c r="AJ542" s="105"/>
      <c r="AK542" s="111" t="str">
        <f t="shared" si="8"/>
        <v/>
      </c>
      <c r="AL542" s="112" t="str">
        <f t="shared" si="9"/>
        <v/>
      </c>
      <c r="AM542" s="113"/>
      <c r="AN542" s="291" t="s">
        <v>2540</v>
      </c>
      <c r="AO542" s="115"/>
      <c r="AP542" s="115"/>
      <c r="AQ542" s="115"/>
      <c r="AR542" s="115"/>
      <c r="AS542" s="115"/>
      <c r="AT542" s="115"/>
      <c r="AU542" s="115"/>
      <c r="AV542" s="115"/>
      <c r="AW542" s="115"/>
      <c r="AX542" s="115"/>
      <c r="AY542" s="115"/>
    </row>
    <row r="543">
      <c r="A543" s="95" t="str">
        <f t="shared" si="11"/>
        <v/>
      </c>
      <c r="B543" s="100"/>
      <c r="C543" s="97"/>
      <c r="D543" s="97"/>
      <c r="E543" s="97"/>
      <c r="F543" s="97"/>
      <c r="G543" s="97"/>
      <c r="H543" s="99"/>
      <c r="I543" s="100"/>
      <c r="J543" s="101"/>
      <c r="K543" s="100"/>
      <c r="L543" s="102"/>
      <c r="M543" s="103" t="str">
        <f>if(B543,if(and(hour(B543+M$7)&gt;9.5,(hour(B543+M$7)&lt;19.5)),B543+M$7,_xlfn.workday.intl(int(B543),1,"0000001",Holidays!A:A)+hour(B543+M$7-$B$1)/24+minute(B543)/1440),"")</f>
        <v/>
      </c>
      <c r="N543" s="104"/>
      <c r="O543" s="105"/>
      <c r="P543" s="106" t="str">
        <f t="shared" si="1"/>
        <v/>
      </c>
      <c r="Q543" s="107"/>
      <c r="R543" s="108"/>
      <c r="S543" s="103" t="str">
        <f>if(M543,if(and(hour(M543+S$7)&gt;9.5,(hour(M543+S$7)&lt;19.5)),M543+S$7,_xlfn.workday.intl(int(M543),1,"0000001",Holidays!A:A)+hour(M543+S$7-$B$1)/24+minute(M543)/1440),"")</f>
        <v/>
      </c>
      <c r="T543" s="104"/>
      <c r="U543" s="105"/>
      <c r="V543" s="109" t="str">
        <f t="shared" si="2"/>
        <v/>
      </c>
      <c r="W543" s="110" t="str">
        <f t="shared" si="3"/>
        <v/>
      </c>
      <c r="X543" s="103" t="str">
        <f>if(S543,if(and(hour(S543+X$7)&gt;9.5,(hour(S543+X$7)&lt;19.5)),S543+X$7,_xlfn.workday.intl(int(S543),1,"0000001",Holidays!A:A)+hour(S543+X$7-$B$1)/24+minute(S543)/1440),"")</f>
        <v/>
      </c>
      <c r="Y543" s="104"/>
      <c r="Z543" s="105"/>
      <c r="AA543" s="111" t="str">
        <f t="shared" si="4"/>
        <v/>
      </c>
      <c r="AB543" s="110" t="str">
        <f t="shared" si="5"/>
        <v/>
      </c>
      <c r="AC543" s="103" t="str">
        <f>if(X543,_xlfn.WORKDAY.INTL(X543,AC$7,"0000001",Holidays!A:A)+hour(X543)/24+MINUTE(X543)/1440,"")</f>
        <v/>
      </c>
      <c r="AD543" s="104"/>
      <c r="AE543" s="105"/>
      <c r="AF543" s="111" t="str">
        <f t="shared" si="6"/>
        <v/>
      </c>
      <c r="AG543" s="110" t="str">
        <f t="shared" si="7"/>
        <v/>
      </c>
      <c r="AH543" s="103" t="str">
        <f>if(AC543,if(and(hour(AC543+AH$7)&gt;9.5,(hour(AC543+AH$7)&lt;19.5)),AC543+AH$7,_xlfn.workday.intl(int(AC543),1,"0000001",Holidays!A:A)+hour(AC543+AH$7-$B$1)/24+minute(AC543)/1440),"")</f>
        <v/>
      </c>
      <c r="AI543" s="104"/>
      <c r="AJ543" s="105"/>
      <c r="AK543" s="111" t="str">
        <f t="shared" si="8"/>
        <v/>
      </c>
      <c r="AL543" s="112" t="str">
        <f t="shared" si="9"/>
        <v/>
      </c>
      <c r="AM543" s="113"/>
      <c r="AN543" s="291" t="s">
        <v>2540</v>
      </c>
      <c r="AO543" s="115"/>
      <c r="AP543" s="115"/>
      <c r="AQ543" s="115"/>
      <c r="AR543" s="115"/>
      <c r="AS543" s="115"/>
      <c r="AT543" s="115"/>
      <c r="AU543" s="115"/>
      <c r="AV543" s="115"/>
      <c r="AW543" s="115"/>
      <c r="AX543" s="115"/>
      <c r="AY543" s="115"/>
    </row>
    <row r="544">
      <c r="A544" s="95" t="str">
        <f t="shared" si="11"/>
        <v/>
      </c>
      <c r="B544" s="100"/>
      <c r="C544" s="97"/>
      <c r="D544" s="97"/>
      <c r="E544" s="97"/>
      <c r="F544" s="97"/>
      <c r="G544" s="97"/>
      <c r="H544" s="99"/>
      <c r="I544" s="100"/>
      <c r="J544" s="101"/>
      <c r="K544" s="100"/>
      <c r="L544" s="102"/>
      <c r="M544" s="103" t="str">
        <f>if(B544,if(and(hour(B544+M$7)&gt;9.5,(hour(B544+M$7)&lt;19.5)),B544+M$7,_xlfn.workday.intl(int(B544),1,"0000001",Holidays!A:A)+hour(B544+M$7-$B$1)/24+minute(B544)/1440),"")</f>
        <v/>
      </c>
      <c r="N544" s="104"/>
      <c r="O544" s="105"/>
      <c r="P544" s="106" t="str">
        <f t="shared" si="1"/>
        <v/>
      </c>
      <c r="Q544" s="107"/>
      <c r="R544" s="108"/>
      <c r="S544" s="103" t="str">
        <f>if(M544,if(and(hour(M544+S$7)&gt;9.5,(hour(M544+S$7)&lt;19.5)),M544+S$7,_xlfn.workday.intl(int(M544),1,"0000001",Holidays!A:A)+hour(M544+S$7-$B$1)/24+minute(M544)/1440),"")</f>
        <v/>
      </c>
      <c r="T544" s="104"/>
      <c r="U544" s="105"/>
      <c r="V544" s="109" t="str">
        <f t="shared" si="2"/>
        <v/>
      </c>
      <c r="W544" s="110" t="str">
        <f t="shared" si="3"/>
        <v/>
      </c>
      <c r="X544" s="103" t="str">
        <f>if(S544,if(and(hour(S544+X$7)&gt;9.5,(hour(S544+X$7)&lt;19.5)),S544+X$7,_xlfn.workday.intl(int(S544),1,"0000001",Holidays!A:A)+hour(S544+X$7-$B$1)/24+minute(S544)/1440),"")</f>
        <v/>
      </c>
      <c r="Y544" s="104"/>
      <c r="Z544" s="105"/>
      <c r="AA544" s="111" t="str">
        <f t="shared" si="4"/>
        <v/>
      </c>
      <c r="AB544" s="110" t="str">
        <f t="shared" si="5"/>
        <v/>
      </c>
      <c r="AC544" s="103" t="str">
        <f>if(X544,_xlfn.WORKDAY.INTL(X544,AC$7,"0000001",Holidays!A:A)+hour(X544)/24+MINUTE(X544)/1440,"")</f>
        <v/>
      </c>
      <c r="AD544" s="104"/>
      <c r="AE544" s="105"/>
      <c r="AF544" s="111" t="str">
        <f t="shared" si="6"/>
        <v/>
      </c>
      <c r="AG544" s="110" t="str">
        <f t="shared" si="7"/>
        <v/>
      </c>
      <c r="AH544" s="103" t="str">
        <f>if(AC544,if(and(hour(AC544+AH$7)&gt;9.5,(hour(AC544+AH$7)&lt;19.5)),AC544+AH$7,_xlfn.workday.intl(int(AC544),1,"0000001",Holidays!A:A)+hour(AC544+AH$7-$B$1)/24+minute(AC544)/1440),"")</f>
        <v/>
      </c>
      <c r="AI544" s="104"/>
      <c r="AJ544" s="105"/>
      <c r="AK544" s="111" t="str">
        <f t="shared" si="8"/>
        <v/>
      </c>
      <c r="AL544" s="112" t="str">
        <f t="shared" si="9"/>
        <v/>
      </c>
      <c r="AM544" s="113"/>
      <c r="AN544" s="291" t="s">
        <v>2540</v>
      </c>
      <c r="AO544" s="115"/>
      <c r="AP544" s="115"/>
      <c r="AQ544" s="115"/>
      <c r="AR544" s="115"/>
      <c r="AS544" s="115"/>
      <c r="AT544" s="115"/>
      <c r="AU544" s="115"/>
      <c r="AV544" s="115"/>
      <c r="AW544" s="115"/>
      <c r="AX544" s="115"/>
      <c r="AY544" s="115"/>
    </row>
    <row r="545">
      <c r="A545" s="95" t="str">
        <f t="shared" si="11"/>
        <v/>
      </c>
      <c r="B545" s="100"/>
      <c r="C545" s="97"/>
      <c r="D545" s="97"/>
      <c r="E545" s="97"/>
      <c r="F545" s="97"/>
      <c r="G545" s="97"/>
      <c r="H545" s="99"/>
      <c r="I545" s="100"/>
      <c r="J545" s="101"/>
      <c r="K545" s="100"/>
      <c r="L545" s="102"/>
      <c r="M545" s="103" t="str">
        <f>if(B545,if(and(hour(B545+M$7)&gt;9.5,(hour(B545+M$7)&lt;19.5)),B545+M$7,_xlfn.workday.intl(int(B545),1,"0000001",Holidays!A:A)+hour(B545+M$7-$B$1)/24+minute(B545)/1440),"")</f>
        <v/>
      </c>
      <c r="N545" s="104"/>
      <c r="O545" s="105"/>
      <c r="P545" s="106" t="str">
        <f t="shared" si="1"/>
        <v/>
      </c>
      <c r="Q545" s="107"/>
      <c r="R545" s="108"/>
      <c r="S545" s="103" t="str">
        <f>if(M545,if(and(hour(M545+S$7)&gt;9.5,(hour(M545+S$7)&lt;19.5)),M545+S$7,_xlfn.workday.intl(int(M545),1,"0000001",Holidays!A:A)+hour(M545+S$7-$B$1)/24+minute(M545)/1440),"")</f>
        <v/>
      </c>
      <c r="T545" s="104"/>
      <c r="U545" s="105"/>
      <c r="V545" s="109" t="str">
        <f t="shared" si="2"/>
        <v/>
      </c>
      <c r="W545" s="110" t="str">
        <f t="shared" si="3"/>
        <v/>
      </c>
      <c r="X545" s="103" t="str">
        <f>if(S545,if(and(hour(S545+X$7)&gt;9.5,(hour(S545+X$7)&lt;19.5)),S545+X$7,_xlfn.workday.intl(int(S545),1,"0000001",Holidays!A:A)+hour(S545+X$7-$B$1)/24+minute(S545)/1440),"")</f>
        <v/>
      </c>
      <c r="Y545" s="104"/>
      <c r="Z545" s="105"/>
      <c r="AA545" s="111" t="str">
        <f t="shared" si="4"/>
        <v/>
      </c>
      <c r="AB545" s="110" t="str">
        <f t="shared" si="5"/>
        <v/>
      </c>
      <c r="AC545" s="103" t="str">
        <f>if(X545,_xlfn.WORKDAY.INTL(X545,AC$7,"0000001",Holidays!A:A)+hour(X545)/24+MINUTE(X545)/1440,"")</f>
        <v/>
      </c>
      <c r="AD545" s="104"/>
      <c r="AE545" s="105"/>
      <c r="AF545" s="111" t="str">
        <f t="shared" si="6"/>
        <v/>
      </c>
      <c r="AG545" s="110" t="str">
        <f t="shared" si="7"/>
        <v/>
      </c>
      <c r="AH545" s="103" t="str">
        <f>if(AC545,if(and(hour(AC545+AH$7)&gt;9.5,(hour(AC545+AH$7)&lt;19.5)),AC545+AH$7,_xlfn.workday.intl(int(AC545),1,"0000001",Holidays!A:A)+hour(AC545+AH$7-$B$1)/24+minute(AC545)/1440),"")</f>
        <v/>
      </c>
      <c r="AI545" s="104"/>
      <c r="AJ545" s="105"/>
      <c r="AK545" s="111" t="str">
        <f t="shared" si="8"/>
        <v/>
      </c>
      <c r="AL545" s="112" t="str">
        <f t="shared" si="9"/>
        <v/>
      </c>
      <c r="AM545" s="113"/>
      <c r="AN545" s="291" t="s">
        <v>2540</v>
      </c>
      <c r="AO545" s="115"/>
      <c r="AP545" s="115"/>
      <c r="AQ545" s="115"/>
      <c r="AR545" s="115"/>
      <c r="AS545" s="115"/>
      <c r="AT545" s="115"/>
      <c r="AU545" s="115"/>
      <c r="AV545" s="115"/>
      <c r="AW545" s="115"/>
      <c r="AX545" s="115"/>
      <c r="AY545" s="115"/>
    </row>
    <row r="546">
      <c r="A546" s="95" t="str">
        <f t="shared" si="11"/>
        <v/>
      </c>
      <c r="B546" s="100"/>
      <c r="C546" s="97"/>
      <c r="D546" s="97"/>
      <c r="E546" s="97"/>
      <c r="F546" s="97"/>
      <c r="G546" s="97"/>
      <c r="H546" s="99"/>
      <c r="I546" s="100"/>
      <c r="J546" s="101"/>
      <c r="K546" s="100"/>
      <c r="L546" s="102"/>
      <c r="M546" s="103" t="str">
        <f>if(B546,if(and(hour(B546+M$7)&gt;9.5,(hour(B546+M$7)&lt;19.5)),B546+M$7,_xlfn.workday.intl(int(B546),1,"0000001",Holidays!A:A)+hour(B546+M$7-$B$1)/24+minute(B546)/1440),"")</f>
        <v/>
      </c>
      <c r="N546" s="104"/>
      <c r="O546" s="105"/>
      <c r="P546" s="106" t="str">
        <f t="shared" si="1"/>
        <v/>
      </c>
      <c r="Q546" s="107"/>
      <c r="R546" s="108"/>
      <c r="S546" s="103" t="str">
        <f>if(M546,if(and(hour(M546+S$7)&gt;9.5,(hour(M546+S$7)&lt;19.5)),M546+S$7,_xlfn.workday.intl(int(M546),1,"0000001",Holidays!A:A)+hour(M546+S$7-$B$1)/24+minute(M546)/1440),"")</f>
        <v/>
      </c>
      <c r="T546" s="104"/>
      <c r="U546" s="105"/>
      <c r="V546" s="109" t="str">
        <f t="shared" si="2"/>
        <v/>
      </c>
      <c r="W546" s="110" t="str">
        <f t="shared" si="3"/>
        <v/>
      </c>
      <c r="X546" s="103" t="str">
        <f>if(S546,if(and(hour(S546+X$7)&gt;9.5,(hour(S546+X$7)&lt;19.5)),S546+X$7,_xlfn.workday.intl(int(S546),1,"0000001",Holidays!A:A)+hour(S546+X$7-$B$1)/24+minute(S546)/1440),"")</f>
        <v/>
      </c>
      <c r="Y546" s="104"/>
      <c r="Z546" s="105"/>
      <c r="AA546" s="111" t="str">
        <f t="shared" si="4"/>
        <v/>
      </c>
      <c r="AB546" s="110" t="str">
        <f t="shared" si="5"/>
        <v/>
      </c>
      <c r="AC546" s="103" t="str">
        <f>if(X546,_xlfn.WORKDAY.INTL(X546,AC$7,"0000001",Holidays!A:A)+hour(X546)/24+MINUTE(X546)/1440,"")</f>
        <v/>
      </c>
      <c r="AD546" s="104"/>
      <c r="AE546" s="105"/>
      <c r="AF546" s="111" t="str">
        <f t="shared" si="6"/>
        <v/>
      </c>
      <c r="AG546" s="110" t="str">
        <f t="shared" si="7"/>
        <v/>
      </c>
      <c r="AH546" s="103" t="str">
        <f>if(AC546,if(and(hour(AC546+AH$7)&gt;9.5,(hour(AC546+AH$7)&lt;19.5)),AC546+AH$7,_xlfn.workday.intl(int(AC546),1,"0000001",Holidays!A:A)+hour(AC546+AH$7-$B$1)/24+minute(AC546)/1440),"")</f>
        <v/>
      </c>
      <c r="AI546" s="104"/>
      <c r="AJ546" s="105"/>
      <c r="AK546" s="111" t="str">
        <f t="shared" si="8"/>
        <v/>
      </c>
      <c r="AL546" s="112" t="str">
        <f t="shared" si="9"/>
        <v/>
      </c>
      <c r="AM546" s="113"/>
      <c r="AN546" s="291" t="s">
        <v>2540</v>
      </c>
      <c r="AO546" s="115"/>
      <c r="AP546" s="115"/>
      <c r="AQ546" s="115"/>
      <c r="AR546" s="115"/>
      <c r="AS546" s="115"/>
      <c r="AT546" s="115"/>
      <c r="AU546" s="115"/>
      <c r="AV546" s="115"/>
      <c r="AW546" s="115"/>
      <c r="AX546" s="115"/>
      <c r="AY546" s="115"/>
    </row>
    <row r="547">
      <c r="A547" s="95" t="str">
        <f t="shared" si="11"/>
        <v/>
      </c>
      <c r="B547" s="100"/>
      <c r="C547" s="97"/>
      <c r="D547" s="97"/>
      <c r="E547" s="97"/>
      <c r="F547" s="97"/>
      <c r="G547" s="97"/>
      <c r="H547" s="99"/>
      <c r="I547" s="100"/>
      <c r="J547" s="101"/>
      <c r="K547" s="100"/>
      <c r="L547" s="102"/>
      <c r="M547" s="103" t="str">
        <f>if(B547,if(and(hour(B547+M$7)&gt;9.5,(hour(B547+M$7)&lt;19.5)),B547+M$7,_xlfn.workday.intl(int(B547),1,"0000001",Holidays!A:A)+hour(B547+M$7-$B$1)/24+minute(B547)/1440),"")</f>
        <v/>
      </c>
      <c r="N547" s="104"/>
      <c r="O547" s="105"/>
      <c r="P547" s="106" t="str">
        <f t="shared" si="1"/>
        <v/>
      </c>
      <c r="Q547" s="107"/>
      <c r="R547" s="108"/>
      <c r="S547" s="103" t="str">
        <f>if(M547,if(and(hour(M547+S$7)&gt;9.5,(hour(M547+S$7)&lt;19.5)),M547+S$7,_xlfn.workday.intl(int(M547),1,"0000001",Holidays!A:A)+hour(M547+S$7-$B$1)/24+minute(M547)/1440),"")</f>
        <v/>
      </c>
      <c r="T547" s="104"/>
      <c r="U547" s="105"/>
      <c r="V547" s="109" t="str">
        <f t="shared" si="2"/>
        <v/>
      </c>
      <c r="W547" s="110" t="str">
        <f t="shared" si="3"/>
        <v/>
      </c>
      <c r="X547" s="103" t="str">
        <f>if(S547,if(and(hour(S547+X$7)&gt;9.5,(hour(S547+X$7)&lt;19.5)),S547+X$7,_xlfn.workday.intl(int(S547),1,"0000001",Holidays!A:A)+hour(S547+X$7-$B$1)/24+minute(S547)/1440),"")</f>
        <v/>
      </c>
      <c r="Y547" s="104"/>
      <c r="Z547" s="105"/>
      <c r="AA547" s="111" t="str">
        <f t="shared" si="4"/>
        <v/>
      </c>
      <c r="AB547" s="110" t="str">
        <f t="shared" si="5"/>
        <v/>
      </c>
      <c r="AC547" s="103" t="str">
        <f>if(X547,_xlfn.WORKDAY.INTL(X547,AC$7,"0000001",Holidays!A:A)+hour(X547)/24+MINUTE(X547)/1440,"")</f>
        <v/>
      </c>
      <c r="AD547" s="104"/>
      <c r="AE547" s="105"/>
      <c r="AF547" s="111" t="str">
        <f t="shared" si="6"/>
        <v/>
      </c>
      <c r="AG547" s="110" t="str">
        <f t="shared" si="7"/>
        <v/>
      </c>
      <c r="AH547" s="103" t="str">
        <f>if(AC547,if(and(hour(AC547+AH$7)&gt;9.5,(hour(AC547+AH$7)&lt;19.5)),AC547+AH$7,_xlfn.workday.intl(int(AC547),1,"0000001",Holidays!A:A)+hour(AC547+AH$7-$B$1)/24+minute(AC547)/1440),"")</f>
        <v/>
      </c>
      <c r="AI547" s="104"/>
      <c r="AJ547" s="105"/>
      <c r="AK547" s="111" t="str">
        <f t="shared" si="8"/>
        <v/>
      </c>
      <c r="AL547" s="112" t="str">
        <f t="shared" si="9"/>
        <v/>
      </c>
      <c r="AM547" s="113"/>
      <c r="AN547" s="291" t="s">
        <v>2540</v>
      </c>
      <c r="AO547" s="115"/>
      <c r="AP547" s="115"/>
      <c r="AQ547" s="115"/>
      <c r="AR547" s="115"/>
      <c r="AS547" s="115"/>
      <c r="AT547" s="115"/>
      <c r="AU547" s="115"/>
      <c r="AV547" s="115"/>
      <c r="AW547" s="115"/>
      <c r="AX547" s="115"/>
      <c r="AY547" s="115"/>
    </row>
    <row r="548">
      <c r="A548" s="95" t="str">
        <f t="shared" si="11"/>
        <v/>
      </c>
      <c r="B548" s="100"/>
      <c r="C548" s="97"/>
      <c r="D548" s="97"/>
      <c r="E548" s="97"/>
      <c r="F548" s="97"/>
      <c r="G548" s="97"/>
      <c r="H548" s="99"/>
      <c r="I548" s="100"/>
      <c r="J548" s="101"/>
      <c r="K548" s="100"/>
      <c r="L548" s="102"/>
      <c r="M548" s="103" t="str">
        <f>if(B548,if(and(hour(B548+M$7)&gt;9.5,(hour(B548+M$7)&lt;19.5)),B548+M$7,_xlfn.workday.intl(int(B548),1,"0000001",Holidays!A:A)+hour(B548+M$7-$B$1)/24+minute(B548)/1440),"")</f>
        <v/>
      </c>
      <c r="N548" s="104"/>
      <c r="O548" s="105"/>
      <c r="P548" s="106" t="str">
        <f t="shared" si="1"/>
        <v/>
      </c>
      <c r="Q548" s="107"/>
      <c r="R548" s="108"/>
      <c r="S548" s="103" t="str">
        <f>if(M548,if(and(hour(M548+S$7)&gt;9.5,(hour(M548+S$7)&lt;19.5)),M548+S$7,_xlfn.workday.intl(int(M548),1,"0000001",Holidays!A:A)+hour(M548+S$7-$B$1)/24+minute(M548)/1440),"")</f>
        <v/>
      </c>
      <c r="T548" s="104"/>
      <c r="U548" s="105"/>
      <c r="V548" s="109" t="str">
        <f t="shared" si="2"/>
        <v/>
      </c>
      <c r="W548" s="110" t="str">
        <f t="shared" si="3"/>
        <v/>
      </c>
      <c r="X548" s="103" t="str">
        <f>if(S548,if(and(hour(S548+X$7)&gt;9.5,(hour(S548+X$7)&lt;19.5)),S548+X$7,_xlfn.workday.intl(int(S548),1,"0000001",Holidays!A:A)+hour(S548+X$7-$B$1)/24+minute(S548)/1440),"")</f>
        <v/>
      </c>
      <c r="Y548" s="104"/>
      <c r="Z548" s="105"/>
      <c r="AA548" s="111" t="str">
        <f t="shared" si="4"/>
        <v/>
      </c>
      <c r="AB548" s="110" t="str">
        <f t="shared" si="5"/>
        <v/>
      </c>
      <c r="AC548" s="103" t="str">
        <f>if(X548,_xlfn.WORKDAY.INTL(X548,AC$7,"0000001",Holidays!A:A)+hour(X548)/24+MINUTE(X548)/1440,"")</f>
        <v/>
      </c>
      <c r="AD548" s="104"/>
      <c r="AE548" s="105"/>
      <c r="AF548" s="111" t="str">
        <f t="shared" si="6"/>
        <v/>
      </c>
      <c r="AG548" s="110" t="str">
        <f t="shared" si="7"/>
        <v/>
      </c>
      <c r="AH548" s="103" t="str">
        <f>if(AC548,if(and(hour(AC548+AH$7)&gt;9.5,(hour(AC548+AH$7)&lt;19.5)),AC548+AH$7,_xlfn.workday.intl(int(AC548),1,"0000001",Holidays!A:A)+hour(AC548+AH$7-$B$1)/24+minute(AC548)/1440),"")</f>
        <v/>
      </c>
      <c r="AI548" s="104"/>
      <c r="AJ548" s="105"/>
      <c r="AK548" s="111" t="str">
        <f t="shared" si="8"/>
        <v/>
      </c>
      <c r="AL548" s="112" t="str">
        <f t="shared" si="9"/>
        <v/>
      </c>
      <c r="AM548" s="113"/>
      <c r="AN548" s="291" t="s">
        <v>2540</v>
      </c>
      <c r="AO548" s="115"/>
      <c r="AP548" s="115"/>
      <c r="AQ548" s="115"/>
      <c r="AR548" s="115"/>
      <c r="AS548" s="115"/>
      <c r="AT548" s="115"/>
      <c r="AU548" s="115"/>
      <c r="AV548" s="115"/>
      <c r="AW548" s="115"/>
      <c r="AX548" s="115"/>
      <c r="AY548" s="115"/>
    </row>
    <row r="549">
      <c r="A549" s="95" t="str">
        <f t="shared" si="11"/>
        <v/>
      </c>
      <c r="B549" s="100"/>
      <c r="C549" s="97"/>
      <c r="D549" s="97"/>
      <c r="E549" s="97"/>
      <c r="F549" s="97"/>
      <c r="G549" s="97"/>
      <c r="H549" s="99"/>
      <c r="I549" s="100"/>
      <c r="J549" s="101"/>
      <c r="K549" s="100"/>
      <c r="L549" s="102"/>
      <c r="M549" s="103" t="str">
        <f>if(B549,if(and(hour(B549+M$7)&gt;9.5,(hour(B549+M$7)&lt;19.5)),B549+M$7,_xlfn.workday.intl(int(B549),1,"0000001",Holidays!A:A)+hour(B549+M$7-$B$1)/24+minute(B549)/1440),"")</f>
        <v/>
      </c>
      <c r="N549" s="104"/>
      <c r="O549" s="105"/>
      <c r="P549" s="106" t="str">
        <f t="shared" si="1"/>
        <v/>
      </c>
      <c r="Q549" s="107"/>
      <c r="R549" s="108"/>
      <c r="S549" s="103" t="str">
        <f>if(M549,if(and(hour(M549+S$7)&gt;9.5,(hour(M549+S$7)&lt;19.5)),M549+S$7,_xlfn.workday.intl(int(M549),1,"0000001",Holidays!A:A)+hour(M549+S$7-$B$1)/24+minute(M549)/1440),"")</f>
        <v/>
      </c>
      <c r="T549" s="104"/>
      <c r="U549" s="105"/>
      <c r="V549" s="109" t="str">
        <f t="shared" si="2"/>
        <v/>
      </c>
      <c r="W549" s="110" t="str">
        <f t="shared" si="3"/>
        <v/>
      </c>
      <c r="X549" s="103" t="str">
        <f>if(S549,if(and(hour(S549+X$7)&gt;9.5,(hour(S549+X$7)&lt;19.5)),S549+X$7,_xlfn.workday.intl(int(S549),1,"0000001",Holidays!A:A)+hour(S549+X$7-$B$1)/24+minute(S549)/1440),"")</f>
        <v/>
      </c>
      <c r="Y549" s="104"/>
      <c r="Z549" s="105"/>
      <c r="AA549" s="111" t="str">
        <f t="shared" si="4"/>
        <v/>
      </c>
      <c r="AB549" s="110" t="str">
        <f t="shared" si="5"/>
        <v/>
      </c>
      <c r="AC549" s="103" t="str">
        <f>if(X549,_xlfn.WORKDAY.INTL(X549,AC$7,"0000001",Holidays!A:A)+hour(X549)/24+MINUTE(X549)/1440,"")</f>
        <v/>
      </c>
      <c r="AD549" s="104"/>
      <c r="AE549" s="105"/>
      <c r="AF549" s="111" t="str">
        <f t="shared" si="6"/>
        <v/>
      </c>
      <c r="AG549" s="110" t="str">
        <f t="shared" si="7"/>
        <v/>
      </c>
      <c r="AH549" s="103" t="str">
        <f>if(AC549,if(and(hour(AC549+AH$7)&gt;9.5,(hour(AC549+AH$7)&lt;19.5)),AC549+AH$7,_xlfn.workday.intl(int(AC549),1,"0000001",Holidays!A:A)+hour(AC549+AH$7-$B$1)/24+minute(AC549)/1440),"")</f>
        <v/>
      </c>
      <c r="AI549" s="104"/>
      <c r="AJ549" s="105"/>
      <c r="AK549" s="111" t="str">
        <f t="shared" si="8"/>
        <v/>
      </c>
      <c r="AL549" s="112" t="str">
        <f t="shared" si="9"/>
        <v/>
      </c>
      <c r="AM549" s="113"/>
      <c r="AN549" s="291" t="s">
        <v>2540</v>
      </c>
      <c r="AO549" s="115"/>
      <c r="AP549" s="115"/>
      <c r="AQ549" s="115"/>
      <c r="AR549" s="115"/>
      <c r="AS549" s="115"/>
      <c r="AT549" s="115"/>
      <c r="AU549" s="115"/>
      <c r="AV549" s="115"/>
      <c r="AW549" s="115"/>
      <c r="AX549" s="115"/>
      <c r="AY549" s="115"/>
    </row>
    <row r="550">
      <c r="A550" s="95" t="str">
        <f t="shared" si="11"/>
        <v/>
      </c>
      <c r="B550" s="100"/>
      <c r="C550" s="97"/>
      <c r="D550" s="97"/>
      <c r="E550" s="97"/>
      <c r="F550" s="97"/>
      <c r="G550" s="97"/>
      <c r="H550" s="99"/>
      <c r="I550" s="100"/>
      <c r="J550" s="101"/>
      <c r="K550" s="100"/>
      <c r="L550" s="102"/>
      <c r="M550" s="103" t="str">
        <f>if(B550,if(and(hour(B550+M$7)&gt;9.5,(hour(B550+M$7)&lt;19.5)),B550+M$7,_xlfn.workday.intl(int(B550),1,"0000001",Holidays!A:A)+hour(B550+M$7-$B$1)/24+minute(B550)/1440),"")</f>
        <v/>
      </c>
      <c r="N550" s="104"/>
      <c r="O550" s="105"/>
      <c r="P550" s="106" t="str">
        <f t="shared" si="1"/>
        <v/>
      </c>
      <c r="Q550" s="107"/>
      <c r="R550" s="108"/>
      <c r="S550" s="103" t="str">
        <f>if(M550,if(and(hour(M550+S$7)&gt;9.5,(hour(M550+S$7)&lt;19.5)),M550+S$7,_xlfn.workday.intl(int(M550),1,"0000001",Holidays!A:A)+hour(M550+S$7-$B$1)/24+minute(M550)/1440),"")</f>
        <v/>
      </c>
      <c r="T550" s="104"/>
      <c r="U550" s="105"/>
      <c r="V550" s="109" t="str">
        <f t="shared" si="2"/>
        <v/>
      </c>
      <c r="W550" s="110" t="str">
        <f t="shared" si="3"/>
        <v/>
      </c>
      <c r="X550" s="103" t="str">
        <f>if(S550,if(and(hour(S550+X$7)&gt;9.5,(hour(S550+X$7)&lt;19.5)),S550+X$7,_xlfn.workday.intl(int(S550),1,"0000001",Holidays!A:A)+hour(S550+X$7-$B$1)/24+minute(S550)/1440),"")</f>
        <v/>
      </c>
      <c r="Y550" s="104"/>
      <c r="Z550" s="105"/>
      <c r="AA550" s="111" t="str">
        <f t="shared" si="4"/>
        <v/>
      </c>
      <c r="AB550" s="110" t="str">
        <f t="shared" si="5"/>
        <v/>
      </c>
      <c r="AC550" s="103" t="str">
        <f>if(X550,_xlfn.WORKDAY.INTL(X550,AC$7,"0000001",Holidays!A:A)+hour(X550)/24+MINUTE(X550)/1440,"")</f>
        <v/>
      </c>
      <c r="AD550" s="104"/>
      <c r="AE550" s="105"/>
      <c r="AF550" s="111" t="str">
        <f t="shared" si="6"/>
        <v/>
      </c>
      <c r="AG550" s="110" t="str">
        <f t="shared" si="7"/>
        <v/>
      </c>
      <c r="AH550" s="103" t="str">
        <f>if(AC550,if(and(hour(AC550+AH$7)&gt;9.5,(hour(AC550+AH$7)&lt;19.5)),AC550+AH$7,_xlfn.workday.intl(int(AC550),1,"0000001",Holidays!A:A)+hour(AC550+AH$7-$B$1)/24+minute(AC550)/1440),"")</f>
        <v/>
      </c>
      <c r="AI550" s="104"/>
      <c r="AJ550" s="105"/>
      <c r="AK550" s="111" t="str">
        <f t="shared" si="8"/>
        <v/>
      </c>
      <c r="AL550" s="112" t="str">
        <f t="shared" si="9"/>
        <v/>
      </c>
      <c r="AM550" s="113"/>
      <c r="AN550" s="291" t="s">
        <v>2540</v>
      </c>
      <c r="AO550" s="115"/>
      <c r="AP550" s="115"/>
      <c r="AQ550" s="115"/>
      <c r="AR550" s="115"/>
      <c r="AS550" s="115"/>
      <c r="AT550" s="115"/>
      <c r="AU550" s="115"/>
      <c r="AV550" s="115"/>
      <c r="AW550" s="115"/>
      <c r="AX550" s="115"/>
      <c r="AY550" s="115"/>
    </row>
    <row r="551">
      <c r="A551" s="95" t="str">
        <f t="shared" si="11"/>
        <v/>
      </c>
      <c r="B551" s="100"/>
      <c r="C551" s="97"/>
      <c r="D551" s="97"/>
      <c r="E551" s="97"/>
      <c r="F551" s="97"/>
      <c r="G551" s="97"/>
      <c r="H551" s="99"/>
      <c r="I551" s="100"/>
      <c r="J551" s="101"/>
      <c r="K551" s="100"/>
      <c r="L551" s="102"/>
      <c r="M551" s="103" t="str">
        <f>if(B551,if(and(hour(B551+M$7)&gt;9.5,(hour(B551+M$7)&lt;19.5)),B551+M$7,_xlfn.workday.intl(int(B551),1,"0000001",Holidays!A:A)+hour(B551+M$7-$B$1)/24+minute(B551)/1440),"")</f>
        <v/>
      </c>
      <c r="N551" s="104"/>
      <c r="O551" s="105"/>
      <c r="P551" s="106" t="str">
        <f t="shared" si="1"/>
        <v/>
      </c>
      <c r="Q551" s="107"/>
      <c r="R551" s="108"/>
      <c r="S551" s="103" t="str">
        <f>if(M551,if(and(hour(M551+S$7)&gt;9.5,(hour(M551+S$7)&lt;19.5)),M551+S$7,_xlfn.workday.intl(int(M551),1,"0000001",Holidays!A:A)+hour(M551+S$7-$B$1)/24+minute(M551)/1440),"")</f>
        <v/>
      </c>
      <c r="T551" s="104"/>
      <c r="U551" s="105"/>
      <c r="V551" s="109" t="str">
        <f t="shared" si="2"/>
        <v/>
      </c>
      <c r="W551" s="110" t="str">
        <f t="shared" si="3"/>
        <v/>
      </c>
      <c r="X551" s="103" t="str">
        <f>if(S551,if(and(hour(S551+X$7)&gt;9.5,(hour(S551+X$7)&lt;19.5)),S551+X$7,_xlfn.workday.intl(int(S551),1,"0000001",Holidays!A:A)+hour(S551+X$7-$B$1)/24+minute(S551)/1440),"")</f>
        <v/>
      </c>
      <c r="Y551" s="104"/>
      <c r="Z551" s="105"/>
      <c r="AA551" s="111" t="str">
        <f t="shared" si="4"/>
        <v/>
      </c>
      <c r="AB551" s="110" t="str">
        <f t="shared" si="5"/>
        <v/>
      </c>
      <c r="AC551" s="103" t="str">
        <f>if(X551,_xlfn.WORKDAY.INTL(X551,AC$7,"0000001",Holidays!A:A)+hour(X551)/24+MINUTE(X551)/1440,"")</f>
        <v/>
      </c>
      <c r="AD551" s="104"/>
      <c r="AE551" s="105"/>
      <c r="AF551" s="111" t="str">
        <f t="shared" si="6"/>
        <v/>
      </c>
      <c r="AG551" s="110" t="str">
        <f t="shared" si="7"/>
        <v/>
      </c>
      <c r="AH551" s="103" t="str">
        <f>if(AC551,if(and(hour(AC551+AH$7)&gt;9.5,(hour(AC551+AH$7)&lt;19.5)),AC551+AH$7,_xlfn.workday.intl(int(AC551),1,"0000001",Holidays!A:A)+hour(AC551+AH$7-$B$1)/24+minute(AC551)/1440),"")</f>
        <v/>
      </c>
      <c r="AI551" s="104"/>
      <c r="AJ551" s="105"/>
      <c r="AK551" s="111" t="str">
        <f t="shared" si="8"/>
        <v/>
      </c>
      <c r="AL551" s="112" t="str">
        <f t="shared" si="9"/>
        <v/>
      </c>
      <c r="AM551" s="113"/>
      <c r="AN551" s="291" t="s">
        <v>2540</v>
      </c>
      <c r="AO551" s="115"/>
      <c r="AP551" s="115"/>
      <c r="AQ551" s="115"/>
      <c r="AR551" s="115"/>
      <c r="AS551" s="115"/>
      <c r="AT551" s="115"/>
      <c r="AU551" s="115"/>
      <c r="AV551" s="115"/>
      <c r="AW551" s="115"/>
      <c r="AX551" s="115"/>
      <c r="AY551" s="115"/>
    </row>
    <row r="552">
      <c r="A552" s="95" t="str">
        <f t="shared" si="11"/>
        <v/>
      </c>
      <c r="B552" s="100"/>
      <c r="C552" s="97"/>
      <c r="D552" s="97"/>
      <c r="E552" s="97"/>
      <c r="F552" s="97"/>
      <c r="G552" s="97"/>
      <c r="H552" s="99"/>
      <c r="I552" s="100"/>
      <c r="J552" s="101"/>
      <c r="K552" s="100"/>
      <c r="L552" s="102"/>
      <c r="M552" s="103" t="str">
        <f>if(B552,if(and(hour(B552+M$7)&gt;9.5,(hour(B552+M$7)&lt;19.5)),B552+M$7,_xlfn.workday.intl(int(B552),1,"0000001",Holidays!A:A)+hour(B552+M$7-$B$1)/24+minute(B552)/1440),"")</f>
        <v/>
      </c>
      <c r="N552" s="104"/>
      <c r="O552" s="105"/>
      <c r="P552" s="106" t="str">
        <f t="shared" si="1"/>
        <v/>
      </c>
      <c r="Q552" s="107"/>
      <c r="R552" s="108"/>
      <c r="S552" s="103" t="str">
        <f>if(M552,if(and(hour(M552+S$7)&gt;9.5,(hour(M552+S$7)&lt;19.5)),M552+S$7,_xlfn.workday.intl(int(M552),1,"0000001",Holidays!A:A)+hour(M552+S$7-$B$1)/24+minute(M552)/1440),"")</f>
        <v/>
      </c>
      <c r="T552" s="104"/>
      <c r="U552" s="105"/>
      <c r="V552" s="109" t="str">
        <f t="shared" si="2"/>
        <v/>
      </c>
      <c r="W552" s="110" t="str">
        <f t="shared" si="3"/>
        <v/>
      </c>
      <c r="X552" s="103" t="str">
        <f>if(S552,if(and(hour(S552+X$7)&gt;9.5,(hour(S552+X$7)&lt;19.5)),S552+X$7,_xlfn.workday.intl(int(S552),1,"0000001",Holidays!A:A)+hour(S552+X$7-$B$1)/24+minute(S552)/1440),"")</f>
        <v/>
      </c>
      <c r="Y552" s="104"/>
      <c r="Z552" s="105"/>
      <c r="AA552" s="111" t="str">
        <f t="shared" si="4"/>
        <v/>
      </c>
      <c r="AB552" s="110" t="str">
        <f t="shared" si="5"/>
        <v/>
      </c>
      <c r="AC552" s="103" t="str">
        <f>if(X552,_xlfn.WORKDAY.INTL(X552,AC$7,"0000001",Holidays!A:A)+hour(X552)/24+MINUTE(X552)/1440,"")</f>
        <v/>
      </c>
      <c r="AD552" s="104"/>
      <c r="AE552" s="105"/>
      <c r="AF552" s="111" t="str">
        <f t="shared" si="6"/>
        <v/>
      </c>
      <c r="AG552" s="110" t="str">
        <f t="shared" si="7"/>
        <v/>
      </c>
      <c r="AH552" s="103" t="str">
        <f>if(AC552,if(and(hour(AC552+AH$7)&gt;9.5,(hour(AC552+AH$7)&lt;19.5)),AC552+AH$7,_xlfn.workday.intl(int(AC552),1,"0000001",Holidays!A:A)+hour(AC552+AH$7-$B$1)/24+minute(AC552)/1440),"")</f>
        <v/>
      </c>
      <c r="AI552" s="104"/>
      <c r="AJ552" s="105"/>
      <c r="AK552" s="111" t="str">
        <f t="shared" si="8"/>
        <v/>
      </c>
      <c r="AL552" s="112" t="str">
        <f t="shared" si="9"/>
        <v/>
      </c>
      <c r="AM552" s="113"/>
      <c r="AN552" s="291" t="s">
        <v>2540</v>
      </c>
      <c r="AO552" s="115"/>
      <c r="AP552" s="115"/>
      <c r="AQ552" s="115"/>
      <c r="AR552" s="115"/>
      <c r="AS552" s="115"/>
      <c r="AT552" s="115"/>
      <c r="AU552" s="115"/>
      <c r="AV552" s="115"/>
      <c r="AW552" s="115"/>
      <c r="AX552" s="115"/>
      <c r="AY552" s="115"/>
    </row>
    <row r="553">
      <c r="A553" s="95" t="str">
        <f t="shared" si="11"/>
        <v/>
      </c>
      <c r="B553" s="100"/>
      <c r="C553" s="97"/>
      <c r="D553" s="97"/>
      <c r="E553" s="97"/>
      <c r="F553" s="97"/>
      <c r="G553" s="97"/>
      <c r="H553" s="99"/>
      <c r="I553" s="100"/>
      <c r="J553" s="101"/>
      <c r="K553" s="100"/>
      <c r="L553" s="102"/>
      <c r="M553" s="103" t="str">
        <f>if(B553,if(and(hour(B553+M$7)&gt;9.5,(hour(B553+M$7)&lt;19.5)),B553+M$7,_xlfn.workday.intl(int(B553),1,"0000001",Holidays!A:A)+hour(B553+M$7-$B$1)/24+minute(B553)/1440),"")</f>
        <v/>
      </c>
      <c r="N553" s="104"/>
      <c r="O553" s="105"/>
      <c r="P553" s="106" t="str">
        <f t="shared" si="1"/>
        <v/>
      </c>
      <c r="Q553" s="107"/>
      <c r="R553" s="108"/>
      <c r="S553" s="103" t="str">
        <f>if(M553,if(and(hour(M553+S$7)&gt;9.5,(hour(M553+S$7)&lt;19.5)),M553+S$7,_xlfn.workday.intl(int(M553),1,"0000001",Holidays!A:A)+hour(M553+S$7-$B$1)/24+minute(M553)/1440),"")</f>
        <v/>
      </c>
      <c r="T553" s="104"/>
      <c r="U553" s="105"/>
      <c r="V553" s="109" t="str">
        <f t="shared" si="2"/>
        <v/>
      </c>
      <c r="W553" s="110" t="str">
        <f t="shared" si="3"/>
        <v/>
      </c>
      <c r="X553" s="103" t="str">
        <f>if(S553,if(and(hour(S553+X$7)&gt;9.5,(hour(S553+X$7)&lt;19.5)),S553+X$7,_xlfn.workday.intl(int(S553),1,"0000001",Holidays!A:A)+hour(S553+X$7-$B$1)/24+minute(S553)/1440),"")</f>
        <v/>
      </c>
      <c r="Y553" s="104"/>
      <c r="Z553" s="105"/>
      <c r="AA553" s="111" t="str">
        <f t="shared" si="4"/>
        <v/>
      </c>
      <c r="AB553" s="110" t="str">
        <f t="shared" si="5"/>
        <v/>
      </c>
      <c r="AC553" s="103" t="str">
        <f>if(X553,_xlfn.WORKDAY.INTL(X553,AC$7,"0000001",Holidays!A:A)+hour(X553)/24+MINUTE(X553)/1440,"")</f>
        <v/>
      </c>
      <c r="AD553" s="104"/>
      <c r="AE553" s="105"/>
      <c r="AF553" s="111" t="str">
        <f t="shared" si="6"/>
        <v/>
      </c>
      <c r="AG553" s="110" t="str">
        <f t="shared" si="7"/>
        <v/>
      </c>
      <c r="AH553" s="103" t="str">
        <f>if(AC553,if(and(hour(AC553+AH$7)&gt;9.5,(hour(AC553+AH$7)&lt;19.5)),AC553+AH$7,_xlfn.workday.intl(int(AC553),1,"0000001",Holidays!A:A)+hour(AC553+AH$7-$B$1)/24+minute(AC553)/1440),"")</f>
        <v/>
      </c>
      <c r="AI553" s="104"/>
      <c r="AJ553" s="105"/>
      <c r="AK553" s="111" t="str">
        <f t="shared" si="8"/>
        <v/>
      </c>
      <c r="AL553" s="112" t="str">
        <f t="shared" si="9"/>
        <v/>
      </c>
      <c r="AM553" s="113"/>
      <c r="AN553" s="291" t="s">
        <v>2540</v>
      </c>
      <c r="AO553" s="115"/>
      <c r="AP553" s="115"/>
      <c r="AQ553" s="115"/>
      <c r="AR553" s="115"/>
      <c r="AS553" s="115"/>
      <c r="AT553" s="115"/>
      <c r="AU553" s="115"/>
      <c r="AV553" s="115"/>
      <c r="AW553" s="115"/>
      <c r="AX553" s="115"/>
      <c r="AY553" s="115"/>
    </row>
    <row r="554">
      <c r="A554" s="95" t="str">
        <f t="shared" si="11"/>
        <v/>
      </c>
      <c r="B554" s="100"/>
      <c r="C554" s="97"/>
      <c r="D554" s="97"/>
      <c r="E554" s="97"/>
      <c r="F554" s="97"/>
      <c r="G554" s="97"/>
      <c r="H554" s="99"/>
      <c r="I554" s="100"/>
      <c r="J554" s="101"/>
      <c r="K554" s="100"/>
      <c r="L554" s="102"/>
      <c r="M554" s="103" t="str">
        <f>if(B554,if(and(hour(B554+M$7)&gt;9.5,(hour(B554+M$7)&lt;19.5)),B554+M$7,_xlfn.workday.intl(int(B554),1,"0000001",Holidays!A:A)+hour(B554+M$7-$B$1)/24+minute(B554)/1440),"")</f>
        <v/>
      </c>
      <c r="N554" s="104"/>
      <c r="O554" s="105"/>
      <c r="P554" s="106" t="str">
        <f t="shared" si="1"/>
        <v/>
      </c>
      <c r="Q554" s="107"/>
      <c r="R554" s="108"/>
      <c r="S554" s="103" t="str">
        <f>if(M554,if(and(hour(M554+S$7)&gt;9.5,(hour(M554+S$7)&lt;19.5)),M554+S$7,_xlfn.workday.intl(int(M554),1,"0000001",Holidays!A:A)+hour(M554+S$7-$B$1)/24+minute(M554)/1440),"")</f>
        <v/>
      </c>
      <c r="T554" s="104"/>
      <c r="U554" s="105"/>
      <c r="V554" s="109" t="str">
        <f t="shared" si="2"/>
        <v/>
      </c>
      <c r="W554" s="110" t="str">
        <f t="shared" si="3"/>
        <v/>
      </c>
      <c r="X554" s="103" t="str">
        <f>if(S554,if(and(hour(S554+X$7)&gt;9.5,(hour(S554+X$7)&lt;19.5)),S554+X$7,_xlfn.workday.intl(int(S554),1,"0000001",Holidays!A:A)+hour(S554+X$7-$B$1)/24+minute(S554)/1440),"")</f>
        <v/>
      </c>
      <c r="Y554" s="104"/>
      <c r="Z554" s="105"/>
      <c r="AA554" s="111" t="str">
        <f t="shared" si="4"/>
        <v/>
      </c>
      <c r="AB554" s="110" t="str">
        <f t="shared" si="5"/>
        <v/>
      </c>
      <c r="AC554" s="103" t="str">
        <f>if(X554,_xlfn.WORKDAY.INTL(X554,AC$7,"0000001",Holidays!A:A)+hour(X554)/24+MINUTE(X554)/1440,"")</f>
        <v/>
      </c>
      <c r="AD554" s="104"/>
      <c r="AE554" s="105"/>
      <c r="AF554" s="111" t="str">
        <f t="shared" si="6"/>
        <v/>
      </c>
      <c r="AG554" s="110" t="str">
        <f t="shared" si="7"/>
        <v/>
      </c>
      <c r="AH554" s="103" t="str">
        <f>if(AC554,if(and(hour(AC554+AH$7)&gt;9.5,(hour(AC554+AH$7)&lt;19.5)),AC554+AH$7,_xlfn.workday.intl(int(AC554),1,"0000001",Holidays!A:A)+hour(AC554+AH$7-$B$1)/24+minute(AC554)/1440),"")</f>
        <v/>
      </c>
      <c r="AI554" s="104"/>
      <c r="AJ554" s="105"/>
      <c r="AK554" s="111" t="str">
        <f t="shared" si="8"/>
        <v/>
      </c>
      <c r="AL554" s="112" t="str">
        <f t="shared" si="9"/>
        <v/>
      </c>
      <c r="AM554" s="113"/>
      <c r="AN554" s="291" t="s">
        <v>2540</v>
      </c>
      <c r="AO554" s="115"/>
      <c r="AP554" s="115"/>
      <c r="AQ554" s="115"/>
      <c r="AR554" s="115"/>
      <c r="AS554" s="115"/>
      <c r="AT554" s="115"/>
      <c r="AU554" s="115"/>
      <c r="AV554" s="115"/>
      <c r="AW554" s="115"/>
      <c r="AX554" s="115"/>
      <c r="AY554" s="115"/>
    </row>
    <row r="555">
      <c r="A555" s="95" t="str">
        <f t="shared" si="11"/>
        <v/>
      </c>
      <c r="B555" s="100"/>
      <c r="C555" s="97"/>
      <c r="D555" s="97"/>
      <c r="E555" s="97"/>
      <c r="F555" s="97"/>
      <c r="G555" s="97"/>
      <c r="H555" s="99"/>
      <c r="I555" s="100"/>
      <c r="J555" s="101"/>
      <c r="K555" s="100"/>
      <c r="L555" s="102"/>
      <c r="M555" s="103" t="str">
        <f>if(B555,if(and(hour(B555+M$7)&gt;9.5,(hour(B555+M$7)&lt;19.5)),B555+M$7,_xlfn.workday.intl(int(B555),1,"0000001",Holidays!A:A)+hour(B555+M$7-$B$1)/24+minute(B555)/1440),"")</f>
        <v/>
      </c>
      <c r="N555" s="104"/>
      <c r="O555" s="105"/>
      <c r="P555" s="106" t="str">
        <f t="shared" si="1"/>
        <v/>
      </c>
      <c r="Q555" s="107"/>
      <c r="R555" s="108"/>
      <c r="S555" s="103" t="str">
        <f>if(M555,if(and(hour(M555+S$7)&gt;9.5,(hour(M555+S$7)&lt;19.5)),M555+S$7,_xlfn.workday.intl(int(M555),1,"0000001",Holidays!A:A)+hour(M555+S$7-$B$1)/24+minute(M555)/1440),"")</f>
        <v/>
      </c>
      <c r="T555" s="104"/>
      <c r="U555" s="105"/>
      <c r="V555" s="109" t="str">
        <f t="shared" si="2"/>
        <v/>
      </c>
      <c r="W555" s="110" t="str">
        <f t="shared" si="3"/>
        <v/>
      </c>
      <c r="X555" s="103" t="str">
        <f>if(S555,if(and(hour(S555+X$7)&gt;9.5,(hour(S555+X$7)&lt;19.5)),S555+X$7,_xlfn.workday.intl(int(S555),1,"0000001",Holidays!A:A)+hour(S555+X$7-$B$1)/24+minute(S555)/1440),"")</f>
        <v/>
      </c>
      <c r="Y555" s="104"/>
      <c r="Z555" s="105"/>
      <c r="AA555" s="111" t="str">
        <f t="shared" si="4"/>
        <v/>
      </c>
      <c r="AB555" s="110" t="str">
        <f t="shared" si="5"/>
        <v/>
      </c>
      <c r="AC555" s="103" t="str">
        <f>if(X555,_xlfn.WORKDAY.INTL(X555,AC$7,"0000001",Holidays!A:A)+hour(X555)/24+MINUTE(X555)/1440,"")</f>
        <v/>
      </c>
      <c r="AD555" s="104"/>
      <c r="AE555" s="105"/>
      <c r="AF555" s="111" t="str">
        <f t="shared" si="6"/>
        <v/>
      </c>
      <c r="AG555" s="110" t="str">
        <f t="shared" si="7"/>
        <v/>
      </c>
      <c r="AH555" s="103" t="str">
        <f>if(AC555,if(and(hour(AC555+AH$7)&gt;9.5,(hour(AC555+AH$7)&lt;19.5)),AC555+AH$7,_xlfn.workday.intl(int(AC555),1,"0000001",Holidays!A:A)+hour(AC555+AH$7-$B$1)/24+minute(AC555)/1440),"")</f>
        <v/>
      </c>
      <c r="AI555" s="104"/>
      <c r="AJ555" s="105"/>
      <c r="AK555" s="111" t="str">
        <f t="shared" si="8"/>
        <v/>
      </c>
      <c r="AL555" s="112" t="str">
        <f t="shared" si="9"/>
        <v/>
      </c>
      <c r="AM555" s="113"/>
      <c r="AN555" s="291" t="s">
        <v>2540</v>
      </c>
      <c r="AO555" s="115"/>
      <c r="AP555" s="115"/>
      <c r="AQ555" s="115"/>
      <c r="AR555" s="115"/>
      <c r="AS555" s="115"/>
      <c r="AT555" s="115"/>
      <c r="AU555" s="115"/>
      <c r="AV555" s="115"/>
      <c r="AW555" s="115"/>
      <c r="AX555" s="115"/>
      <c r="AY555" s="115"/>
    </row>
    <row r="556">
      <c r="A556" s="95" t="str">
        <f t="shared" si="11"/>
        <v/>
      </c>
      <c r="B556" s="100"/>
      <c r="C556" s="97"/>
      <c r="D556" s="97"/>
      <c r="E556" s="97"/>
      <c r="F556" s="97"/>
      <c r="G556" s="97"/>
      <c r="H556" s="99"/>
      <c r="I556" s="100"/>
      <c r="J556" s="101"/>
      <c r="K556" s="100"/>
      <c r="L556" s="102"/>
      <c r="M556" s="103" t="str">
        <f>if(B556,if(and(hour(B556+M$7)&gt;9.5,(hour(B556+M$7)&lt;19.5)),B556+M$7,_xlfn.workday.intl(int(B556),1,"0000001",Holidays!A:A)+hour(B556+M$7-$B$1)/24+minute(B556)/1440),"")</f>
        <v/>
      </c>
      <c r="N556" s="104"/>
      <c r="O556" s="105"/>
      <c r="P556" s="106" t="str">
        <f t="shared" si="1"/>
        <v/>
      </c>
      <c r="Q556" s="107"/>
      <c r="R556" s="108"/>
      <c r="S556" s="103" t="str">
        <f>if(M556,if(and(hour(M556+S$7)&gt;9.5,(hour(M556+S$7)&lt;19.5)),M556+S$7,_xlfn.workday.intl(int(M556),1,"0000001",Holidays!A:A)+hour(M556+S$7-$B$1)/24+minute(M556)/1440),"")</f>
        <v/>
      </c>
      <c r="T556" s="104"/>
      <c r="U556" s="105"/>
      <c r="V556" s="109" t="str">
        <f t="shared" si="2"/>
        <v/>
      </c>
      <c r="W556" s="110" t="str">
        <f t="shared" si="3"/>
        <v/>
      </c>
      <c r="X556" s="103" t="str">
        <f>if(S556,if(and(hour(S556+X$7)&gt;9.5,(hour(S556+X$7)&lt;19.5)),S556+X$7,_xlfn.workday.intl(int(S556),1,"0000001",Holidays!A:A)+hour(S556+X$7-$B$1)/24+minute(S556)/1440),"")</f>
        <v/>
      </c>
      <c r="Y556" s="104"/>
      <c r="Z556" s="105"/>
      <c r="AA556" s="111" t="str">
        <f t="shared" si="4"/>
        <v/>
      </c>
      <c r="AB556" s="110" t="str">
        <f t="shared" si="5"/>
        <v/>
      </c>
      <c r="AC556" s="103" t="str">
        <f>if(X556,_xlfn.WORKDAY.INTL(X556,AC$7,"0000001",Holidays!A:A)+hour(X556)/24+MINUTE(X556)/1440,"")</f>
        <v/>
      </c>
      <c r="AD556" s="104"/>
      <c r="AE556" s="105"/>
      <c r="AF556" s="111" t="str">
        <f t="shared" si="6"/>
        <v/>
      </c>
      <c r="AG556" s="110" t="str">
        <f t="shared" si="7"/>
        <v/>
      </c>
      <c r="AH556" s="103" t="str">
        <f>if(AC556,if(and(hour(AC556+AH$7)&gt;9.5,(hour(AC556+AH$7)&lt;19.5)),AC556+AH$7,_xlfn.workday.intl(int(AC556),1,"0000001",Holidays!A:A)+hour(AC556+AH$7-$B$1)/24+minute(AC556)/1440),"")</f>
        <v/>
      </c>
      <c r="AI556" s="104"/>
      <c r="AJ556" s="105"/>
      <c r="AK556" s="111" t="str">
        <f t="shared" si="8"/>
        <v/>
      </c>
      <c r="AL556" s="112" t="str">
        <f t="shared" si="9"/>
        <v/>
      </c>
      <c r="AM556" s="113"/>
      <c r="AN556" s="291" t="s">
        <v>2540</v>
      </c>
      <c r="AO556" s="115"/>
      <c r="AP556" s="115"/>
      <c r="AQ556" s="115"/>
      <c r="AR556" s="115"/>
      <c r="AS556" s="115"/>
      <c r="AT556" s="115"/>
      <c r="AU556" s="115"/>
      <c r="AV556" s="115"/>
      <c r="AW556" s="115"/>
      <c r="AX556" s="115"/>
      <c r="AY556" s="115"/>
    </row>
    <row r="557">
      <c r="A557" s="95" t="str">
        <f t="shared" si="11"/>
        <v/>
      </c>
      <c r="B557" s="100"/>
      <c r="C557" s="97"/>
      <c r="D557" s="97"/>
      <c r="E557" s="97"/>
      <c r="F557" s="97"/>
      <c r="G557" s="97"/>
      <c r="H557" s="99"/>
      <c r="I557" s="100"/>
      <c r="J557" s="101"/>
      <c r="K557" s="100"/>
      <c r="L557" s="102"/>
      <c r="M557" s="103" t="str">
        <f>if(B557,if(and(hour(B557+M$7)&gt;9.5,(hour(B557+M$7)&lt;19.5)),B557+M$7,_xlfn.workday.intl(int(B557),1,"0000001",Holidays!A:A)+hour(B557+M$7-$B$1)/24+minute(B557)/1440),"")</f>
        <v/>
      </c>
      <c r="N557" s="104"/>
      <c r="O557" s="105"/>
      <c r="P557" s="106" t="str">
        <f t="shared" si="1"/>
        <v/>
      </c>
      <c r="Q557" s="107"/>
      <c r="R557" s="108"/>
      <c r="S557" s="103" t="str">
        <f>if(M557,if(and(hour(M557+S$7)&gt;9.5,(hour(M557+S$7)&lt;19.5)),M557+S$7,_xlfn.workday.intl(int(M557),1,"0000001",Holidays!A:A)+hour(M557+S$7-$B$1)/24+minute(M557)/1440),"")</f>
        <v/>
      </c>
      <c r="T557" s="104"/>
      <c r="U557" s="105"/>
      <c r="V557" s="109" t="str">
        <f t="shared" si="2"/>
        <v/>
      </c>
      <c r="W557" s="110" t="str">
        <f t="shared" si="3"/>
        <v/>
      </c>
      <c r="X557" s="103" t="str">
        <f>if(S557,if(and(hour(S557+X$7)&gt;9.5,(hour(S557+X$7)&lt;19.5)),S557+X$7,_xlfn.workday.intl(int(S557),1,"0000001",Holidays!A:A)+hour(S557+X$7-$B$1)/24+minute(S557)/1440),"")</f>
        <v/>
      </c>
      <c r="Y557" s="104"/>
      <c r="Z557" s="105"/>
      <c r="AA557" s="111" t="str">
        <f t="shared" si="4"/>
        <v/>
      </c>
      <c r="AB557" s="110" t="str">
        <f t="shared" si="5"/>
        <v/>
      </c>
      <c r="AC557" s="103" t="str">
        <f>if(X557,_xlfn.WORKDAY.INTL(X557,AC$7,"0000001",Holidays!A:A)+hour(X557)/24+MINUTE(X557)/1440,"")</f>
        <v/>
      </c>
      <c r="AD557" s="104"/>
      <c r="AE557" s="105"/>
      <c r="AF557" s="111" t="str">
        <f t="shared" si="6"/>
        <v/>
      </c>
      <c r="AG557" s="110" t="str">
        <f t="shared" si="7"/>
        <v/>
      </c>
      <c r="AH557" s="103" t="str">
        <f>if(AC557,if(and(hour(AC557+AH$7)&gt;9.5,(hour(AC557+AH$7)&lt;19.5)),AC557+AH$7,_xlfn.workday.intl(int(AC557),1,"0000001",Holidays!A:A)+hour(AC557+AH$7-$B$1)/24+minute(AC557)/1440),"")</f>
        <v/>
      </c>
      <c r="AI557" s="104"/>
      <c r="AJ557" s="105"/>
      <c r="AK557" s="111" t="str">
        <f t="shared" si="8"/>
        <v/>
      </c>
      <c r="AL557" s="112" t="str">
        <f t="shared" si="9"/>
        <v/>
      </c>
      <c r="AM557" s="113"/>
      <c r="AN557" s="291" t="s">
        <v>2540</v>
      </c>
      <c r="AO557" s="115"/>
      <c r="AP557" s="115"/>
      <c r="AQ557" s="115"/>
      <c r="AR557" s="115"/>
      <c r="AS557" s="115"/>
      <c r="AT557" s="115"/>
      <c r="AU557" s="115"/>
      <c r="AV557" s="115"/>
      <c r="AW557" s="115"/>
      <c r="AX557" s="115"/>
      <c r="AY557" s="115"/>
    </row>
    <row r="558">
      <c r="A558" s="95" t="str">
        <f t="shared" si="11"/>
        <v/>
      </c>
      <c r="B558" s="100"/>
      <c r="C558" s="97"/>
      <c r="D558" s="97"/>
      <c r="E558" s="97"/>
      <c r="F558" s="97"/>
      <c r="G558" s="97"/>
      <c r="H558" s="99"/>
      <c r="I558" s="100"/>
      <c r="J558" s="101"/>
      <c r="K558" s="100"/>
      <c r="L558" s="102"/>
      <c r="M558" s="103" t="str">
        <f>if(B558,if(and(hour(B558+M$7)&gt;9.5,(hour(B558+M$7)&lt;19.5)),B558+M$7,_xlfn.workday.intl(int(B558),1,"0000001",Holidays!A:A)+hour(B558+M$7-$B$1)/24+minute(B558)/1440),"")</f>
        <v/>
      </c>
      <c r="N558" s="104"/>
      <c r="O558" s="105"/>
      <c r="P558" s="106" t="str">
        <f t="shared" si="1"/>
        <v/>
      </c>
      <c r="Q558" s="107"/>
      <c r="R558" s="108"/>
      <c r="S558" s="103" t="str">
        <f>if(M558,if(and(hour(M558+S$7)&gt;9.5,(hour(M558+S$7)&lt;19.5)),M558+S$7,_xlfn.workday.intl(int(M558),1,"0000001",Holidays!A:A)+hour(M558+S$7-$B$1)/24+minute(M558)/1440),"")</f>
        <v/>
      </c>
      <c r="T558" s="104"/>
      <c r="U558" s="105"/>
      <c r="V558" s="109" t="str">
        <f t="shared" si="2"/>
        <v/>
      </c>
      <c r="W558" s="110" t="str">
        <f t="shared" si="3"/>
        <v/>
      </c>
      <c r="X558" s="103" t="str">
        <f>if(S558,if(and(hour(S558+X$7)&gt;9.5,(hour(S558+X$7)&lt;19.5)),S558+X$7,_xlfn.workday.intl(int(S558),1,"0000001",Holidays!A:A)+hour(S558+X$7-$B$1)/24+minute(S558)/1440),"")</f>
        <v/>
      </c>
      <c r="Y558" s="104"/>
      <c r="Z558" s="105"/>
      <c r="AA558" s="111" t="str">
        <f t="shared" si="4"/>
        <v/>
      </c>
      <c r="AB558" s="110" t="str">
        <f t="shared" si="5"/>
        <v/>
      </c>
      <c r="AC558" s="103" t="str">
        <f>if(X558,_xlfn.WORKDAY.INTL(X558,AC$7,"0000001",Holidays!A:A)+hour(X558)/24+MINUTE(X558)/1440,"")</f>
        <v/>
      </c>
      <c r="AD558" s="104"/>
      <c r="AE558" s="105"/>
      <c r="AF558" s="111" t="str">
        <f t="shared" si="6"/>
        <v/>
      </c>
      <c r="AG558" s="110" t="str">
        <f t="shared" si="7"/>
        <v/>
      </c>
      <c r="AH558" s="103" t="str">
        <f>if(AC558,if(and(hour(AC558+AH$7)&gt;9.5,(hour(AC558+AH$7)&lt;19.5)),AC558+AH$7,_xlfn.workday.intl(int(AC558),1,"0000001",Holidays!A:A)+hour(AC558+AH$7-$B$1)/24+minute(AC558)/1440),"")</f>
        <v/>
      </c>
      <c r="AI558" s="104"/>
      <c r="AJ558" s="105"/>
      <c r="AK558" s="111" t="str">
        <f t="shared" si="8"/>
        <v/>
      </c>
      <c r="AL558" s="112" t="str">
        <f t="shared" si="9"/>
        <v/>
      </c>
      <c r="AM558" s="113"/>
      <c r="AN558" s="291" t="s">
        <v>2540</v>
      </c>
      <c r="AO558" s="115"/>
      <c r="AP558" s="115"/>
      <c r="AQ558" s="115"/>
      <c r="AR558" s="115"/>
      <c r="AS558" s="115"/>
      <c r="AT558" s="115"/>
      <c r="AU558" s="115"/>
      <c r="AV558" s="115"/>
      <c r="AW558" s="115"/>
      <c r="AX558" s="115"/>
      <c r="AY558" s="115"/>
    </row>
    <row r="559">
      <c r="A559" s="95" t="str">
        <f t="shared" si="11"/>
        <v/>
      </c>
      <c r="B559" s="100"/>
      <c r="C559" s="97"/>
      <c r="D559" s="97"/>
      <c r="E559" s="97"/>
      <c r="F559" s="97"/>
      <c r="G559" s="97"/>
      <c r="H559" s="99"/>
      <c r="I559" s="100"/>
      <c r="J559" s="101"/>
      <c r="K559" s="100"/>
      <c r="L559" s="102"/>
      <c r="M559" s="103" t="str">
        <f>if(B559,if(and(hour(B559+M$7)&gt;9.5,(hour(B559+M$7)&lt;19.5)),B559+M$7,_xlfn.workday.intl(int(B559),1,"0000001",Holidays!A:A)+hour(B559+M$7-$B$1)/24+minute(B559)/1440),"")</f>
        <v/>
      </c>
      <c r="N559" s="104"/>
      <c r="O559" s="105"/>
      <c r="P559" s="106" t="str">
        <f t="shared" si="1"/>
        <v/>
      </c>
      <c r="Q559" s="107"/>
      <c r="R559" s="108"/>
      <c r="S559" s="103" t="str">
        <f>if(M559,if(and(hour(M559+S$7)&gt;9.5,(hour(M559+S$7)&lt;19.5)),M559+S$7,_xlfn.workday.intl(int(M559),1,"0000001",Holidays!A:A)+hour(M559+S$7-$B$1)/24+minute(M559)/1440),"")</f>
        <v/>
      </c>
      <c r="T559" s="104"/>
      <c r="U559" s="105"/>
      <c r="V559" s="109" t="str">
        <f t="shared" si="2"/>
        <v/>
      </c>
      <c r="W559" s="110" t="str">
        <f t="shared" si="3"/>
        <v/>
      </c>
      <c r="X559" s="103" t="str">
        <f>if(S559,if(and(hour(S559+X$7)&gt;9.5,(hour(S559+X$7)&lt;19.5)),S559+X$7,_xlfn.workday.intl(int(S559),1,"0000001",Holidays!A:A)+hour(S559+X$7-$B$1)/24+minute(S559)/1440),"")</f>
        <v/>
      </c>
      <c r="Y559" s="104"/>
      <c r="Z559" s="105"/>
      <c r="AA559" s="111" t="str">
        <f t="shared" si="4"/>
        <v/>
      </c>
      <c r="AB559" s="110" t="str">
        <f t="shared" si="5"/>
        <v/>
      </c>
      <c r="AC559" s="103" t="str">
        <f>if(X559,_xlfn.WORKDAY.INTL(X559,AC$7,"0000001",Holidays!A:A)+hour(X559)/24+MINUTE(X559)/1440,"")</f>
        <v/>
      </c>
      <c r="AD559" s="104"/>
      <c r="AE559" s="105"/>
      <c r="AF559" s="111" t="str">
        <f t="shared" si="6"/>
        <v/>
      </c>
      <c r="AG559" s="110" t="str">
        <f t="shared" si="7"/>
        <v/>
      </c>
      <c r="AH559" s="103" t="str">
        <f>if(AC559,if(and(hour(AC559+AH$7)&gt;9.5,(hour(AC559+AH$7)&lt;19.5)),AC559+AH$7,_xlfn.workday.intl(int(AC559),1,"0000001",Holidays!A:A)+hour(AC559+AH$7-$B$1)/24+minute(AC559)/1440),"")</f>
        <v/>
      </c>
      <c r="AI559" s="104"/>
      <c r="AJ559" s="105"/>
      <c r="AK559" s="111" t="str">
        <f t="shared" si="8"/>
        <v/>
      </c>
      <c r="AL559" s="112" t="str">
        <f t="shared" si="9"/>
        <v/>
      </c>
      <c r="AM559" s="113"/>
      <c r="AN559" s="291" t="s">
        <v>2540</v>
      </c>
      <c r="AO559" s="115"/>
      <c r="AP559" s="115"/>
      <c r="AQ559" s="115"/>
      <c r="AR559" s="115"/>
      <c r="AS559" s="115"/>
      <c r="AT559" s="115"/>
      <c r="AU559" s="115"/>
      <c r="AV559" s="115"/>
      <c r="AW559" s="115"/>
      <c r="AX559" s="115"/>
      <c r="AY559" s="115"/>
    </row>
    <row r="560">
      <c r="A560" s="95" t="str">
        <f t="shared" si="11"/>
        <v/>
      </c>
      <c r="B560" s="100"/>
      <c r="C560" s="97"/>
      <c r="D560" s="97"/>
      <c r="E560" s="97"/>
      <c r="F560" s="97"/>
      <c r="G560" s="97"/>
      <c r="H560" s="99"/>
      <c r="I560" s="100"/>
      <c r="J560" s="101"/>
      <c r="K560" s="100"/>
      <c r="L560" s="102"/>
      <c r="M560" s="103" t="str">
        <f>if(B560,if(and(hour(B560+M$7)&gt;9.5,(hour(B560+M$7)&lt;19.5)),B560+M$7,_xlfn.workday.intl(int(B560),1,"0000001",Holidays!A:A)+hour(B560+M$7-$B$1)/24+minute(B560)/1440),"")</f>
        <v/>
      </c>
      <c r="N560" s="104"/>
      <c r="O560" s="105"/>
      <c r="P560" s="106" t="str">
        <f t="shared" si="1"/>
        <v/>
      </c>
      <c r="Q560" s="107"/>
      <c r="R560" s="108"/>
      <c r="S560" s="103" t="str">
        <f>if(M560,if(and(hour(M560+S$7)&gt;9.5,(hour(M560+S$7)&lt;19.5)),M560+S$7,_xlfn.workday.intl(int(M560),1,"0000001",Holidays!A:A)+hour(M560+S$7-$B$1)/24+minute(M560)/1440),"")</f>
        <v/>
      </c>
      <c r="T560" s="104"/>
      <c r="U560" s="105"/>
      <c r="V560" s="109" t="str">
        <f t="shared" si="2"/>
        <v/>
      </c>
      <c r="W560" s="110" t="str">
        <f t="shared" si="3"/>
        <v/>
      </c>
      <c r="X560" s="103" t="str">
        <f>if(S560,if(and(hour(S560+X$7)&gt;9.5,(hour(S560+X$7)&lt;19.5)),S560+X$7,_xlfn.workday.intl(int(S560),1,"0000001",Holidays!A:A)+hour(S560+X$7-$B$1)/24+minute(S560)/1440),"")</f>
        <v/>
      </c>
      <c r="Y560" s="104"/>
      <c r="Z560" s="105"/>
      <c r="AA560" s="111" t="str">
        <f t="shared" si="4"/>
        <v/>
      </c>
      <c r="AB560" s="110" t="str">
        <f t="shared" si="5"/>
        <v/>
      </c>
      <c r="AC560" s="103" t="str">
        <f>if(X560,_xlfn.WORKDAY.INTL(X560,AC$7,"0000001",Holidays!A:A)+hour(X560)/24+MINUTE(X560)/1440,"")</f>
        <v/>
      </c>
      <c r="AD560" s="104"/>
      <c r="AE560" s="105"/>
      <c r="AF560" s="111" t="str">
        <f t="shared" si="6"/>
        <v/>
      </c>
      <c r="AG560" s="110" t="str">
        <f t="shared" si="7"/>
        <v/>
      </c>
      <c r="AH560" s="103" t="str">
        <f>if(AC560,if(and(hour(AC560+AH$7)&gt;9.5,(hour(AC560+AH$7)&lt;19.5)),AC560+AH$7,_xlfn.workday.intl(int(AC560),1,"0000001",Holidays!A:A)+hour(AC560+AH$7-$B$1)/24+minute(AC560)/1440),"")</f>
        <v/>
      </c>
      <c r="AI560" s="104"/>
      <c r="AJ560" s="105"/>
      <c r="AK560" s="111" t="str">
        <f t="shared" si="8"/>
        <v/>
      </c>
      <c r="AL560" s="112" t="str">
        <f t="shared" si="9"/>
        <v/>
      </c>
      <c r="AM560" s="113"/>
      <c r="AN560" s="291" t="s">
        <v>2540</v>
      </c>
      <c r="AO560" s="115"/>
      <c r="AP560" s="115"/>
      <c r="AQ560" s="115"/>
      <c r="AR560" s="115"/>
      <c r="AS560" s="115"/>
      <c r="AT560" s="115"/>
      <c r="AU560" s="115"/>
      <c r="AV560" s="115"/>
      <c r="AW560" s="115"/>
      <c r="AX560" s="115"/>
      <c r="AY560" s="115"/>
    </row>
    <row r="561">
      <c r="A561" s="95" t="str">
        <f t="shared" si="11"/>
        <v/>
      </c>
      <c r="B561" s="100"/>
      <c r="C561" s="97"/>
      <c r="D561" s="97"/>
      <c r="E561" s="97"/>
      <c r="F561" s="97"/>
      <c r="G561" s="97"/>
      <c r="H561" s="99"/>
      <c r="I561" s="100"/>
      <c r="J561" s="101"/>
      <c r="K561" s="100"/>
      <c r="L561" s="102"/>
      <c r="M561" s="103" t="str">
        <f>if(B561,if(and(hour(B561+M$7)&gt;9.5,(hour(B561+M$7)&lt;19.5)),B561+M$7,_xlfn.workday.intl(int(B561),1,"0000001",Holidays!A:A)+hour(B561+M$7-$B$1)/24+minute(B561)/1440),"")</f>
        <v/>
      </c>
      <c r="N561" s="104"/>
      <c r="O561" s="105"/>
      <c r="P561" s="106" t="str">
        <f t="shared" si="1"/>
        <v/>
      </c>
      <c r="Q561" s="107"/>
      <c r="R561" s="108"/>
      <c r="S561" s="103" t="str">
        <f>if(M561,if(and(hour(M561+S$7)&gt;9.5,(hour(M561+S$7)&lt;19.5)),M561+S$7,_xlfn.workday.intl(int(M561),1,"0000001",Holidays!A:A)+hour(M561+S$7-$B$1)/24+minute(M561)/1440),"")</f>
        <v/>
      </c>
      <c r="T561" s="104"/>
      <c r="U561" s="105"/>
      <c r="V561" s="109" t="str">
        <f t="shared" si="2"/>
        <v/>
      </c>
      <c r="W561" s="110" t="str">
        <f t="shared" si="3"/>
        <v/>
      </c>
      <c r="X561" s="103" t="str">
        <f>if(S561,if(and(hour(S561+X$7)&gt;9.5,(hour(S561+X$7)&lt;19.5)),S561+X$7,_xlfn.workday.intl(int(S561),1,"0000001",Holidays!A:A)+hour(S561+X$7-$B$1)/24+minute(S561)/1440),"")</f>
        <v/>
      </c>
      <c r="Y561" s="104"/>
      <c r="Z561" s="105"/>
      <c r="AA561" s="111" t="str">
        <f t="shared" si="4"/>
        <v/>
      </c>
      <c r="AB561" s="110" t="str">
        <f t="shared" si="5"/>
        <v/>
      </c>
      <c r="AC561" s="103" t="str">
        <f>if(X561,_xlfn.WORKDAY.INTL(X561,AC$7,"0000001",Holidays!A:A)+hour(X561)/24+MINUTE(X561)/1440,"")</f>
        <v/>
      </c>
      <c r="AD561" s="104"/>
      <c r="AE561" s="105"/>
      <c r="AF561" s="111" t="str">
        <f t="shared" si="6"/>
        <v/>
      </c>
      <c r="AG561" s="110" t="str">
        <f t="shared" si="7"/>
        <v/>
      </c>
      <c r="AH561" s="103" t="str">
        <f>if(AC561,if(and(hour(AC561+AH$7)&gt;9.5,(hour(AC561+AH$7)&lt;19.5)),AC561+AH$7,_xlfn.workday.intl(int(AC561),1,"0000001",Holidays!A:A)+hour(AC561+AH$7-$B$1)/24+minute(AC561)/1440),"")</f>
        <v/>
      </c>
      <c r="AI561" s="104"/>
      <c r="AJ561" s="105"/>
      <c r="AK561" s="111" t="str">
        <f t="shared" si="8"/>
        <v/>
      </c>
      <c r="AL561" s="112" t="str">
        <f t="shared" si="9"/>
        <v/>
      </c>
      <c r="AM561" s="113"/>
      <c r="AN561" s="291" t="s">
        <v>2540</v>
      </c>
      <c r="AO561" s="115"/>
      <c r="AP561" s="115"/>
      <c r="AQ561" s="115"/>
      <c r="AR561" s="115"/>
      <c r="AS561" s="115"/>
      <c r="AT561" s="115"/>
      <c r="AU561" s="115"/>
      <c r="AV561" s="115"/>
      <c r="AW561" s="115"/>
      <c r="AX561" s="115"/>
      <c r="AY561" s="115"/>
    </row>
    <row r="562">
      <c r="A562" s="95" t="str">
        <f t="shared" si="11"/>
        <v/>
      </c>
      <c r="B562" s="100"/>
      <c r="C562" s="97"/>
      <c r="D562" s="97"/>
      <c r="E562" s="97"/>
      <c r="F562" s="97"/>
      <c r="G562" s="97"/>
      <c r="H562" s="99"/>
      <c r="I562" s="100"/>
      <c r="J562" s="101"/>
      <c r="K562" s="100"/>
      <c r="L562" s="102"/>
      <c r="M562" s="103" t="str">
        <f>if(B562,if(and(hour(B562+M$7)&gt;9.5,(hour(B562+M$7)&lt;19.5)),B562+M$7,_xlfn.workday.intl(int(B562),1,"0000001",Holidays!A:A)+hour(B562+M$7-$B$1)/24+minute(B562)/1440),"")</f>
        <v/>
      </c>
      <c r="N562" s="104"/>
      <c r="O562" s="105"/>
      <c r="P562" s="106" t="str">
        <f t="shared" si="1"/>
        <v/>
      </c>
      <c r="Q562" s="107"/>
      <c r="R562" s="108"/>
      <c r="S562" s="103" t="str">
        <f>if(M562,if(and(hour(M562+S$7)&gt;9.5,(hour(M562+S$7)&lt;19.5)),M562+S$7,_xlfn.workday.intl(int(M562),1,"0000001",Holidays!A:A)+hour(M562+S$7-$B$1)/24+minute(M562)/1440),"")</f>
        <v/>
      </c>
      <c r="T562" s="104"/>
      <c r="U562" s="105"/>
      <c r="V562" s="109" t="str">
        <f t="shared" si="2"/>
        <v/>
      </c>
      <c r="W562" s="110" t="str">
        <f t="shared" si="3"/>
        <v/>
      </c>
      <c r="X562" s="103" t="str">
        <f>if(S562,if(and(hour(S562+X$7)&gt;9.5,(hour(S562+X$7)&lt;19.5)),S562+X$7,_xlfn.workday.intl(int(S562),1,"0000001",Holidays!A:A)+hour(S562+X$7-$B$1)/24+minute(S562)/1440),"")</f>
        <v/>
      </c>
      <c r="Y562" s="104"/>
      <c r="Z562" s="105"/>
      <c r="AA562" s="111" t="str">
        <f t="shared" si="4"/>
        <v/>
      </c>
      <c r="AB562" s="110" t="str">
        <f t="shared" si="5"/>
        <v/>
      </c>
      <c r="AC562" s="103" t="str">
        <f>if(X562,_xlfn.WORKDAY.INTL(X562,AC$7,"0000001",Holidays!A:A)+hour(X562)/24+MINUTE(X562)/1440,"")</f>
        <v/>
      </c>
      <c r="AD562" s="104"/>
      <c r="AE562" s="105"/>
      <c r="AF562" s="111" t="str">
        <f t="shared" si="6"/>
        <v/>
      </c>
      <c r="AG562" s="110" t="str">
        <f t="shared" si="7"/>
        <v/>
      </c>
      <c r="AH562" s="103" t="str">
        <f>if(AC562,if(and(hour(AC562+AH$7)&gt;9.5,(hour(AC562+AH$7)&lt;19.5)),AC562+AH$7,_xlfn.workday.intl(int(AC562),1,"0000001",Holidays!A:A)+hour(AC562+AH$7-$B$1)/24+minute(AC562)/1440),"")</f>
        <v/>
      </c>
      <c r="AI562" s="104"/>
      <c r="AJ562" s="105"/>
      <c r="AK562" s="111" t="str">
        <f t="shared" si="8"/>
        <v/>
      </c>
      <c r="AL562" s="112" t="str">
        <f t="shared" si="9"/>
        <v/>
      </c>
      <c r="AM562" s="113"/>
      <c r="AN562" s="291" t="s">
        <v>2540</v>
      </c>
      <c r="AO562" s="115"/>
      <c r="AP562" s="115"/>
      <c r="AQ562" s="115"/>
      <c r="AR562" s="115"/>
      <c r="AS562" s="115"/>
      <c r="AT562" s="115"/>
      <c r="AU562" s="115"/>
      <c r="AV562" s="115"/>
      <c r="AW562" s="115"/>
      <c r="AX562" s="115"/>
      <c r="AY562" s="115"/>
    </row>
    <row r="563">
      <c r="A563" s="95" t="str">
        <f t="shared" si="11"/>
        <v/>
      </c>
      <c r="B563" s="100"/>
      <c r="C563" s="97"/>
      <c r="D563" s="97"/>
      <c r="E563" s="97"/>
      <c r="F563" s="97"/>
      <c r="G563" s="97"/>
      <c r="H563" s="99"/>
      <c r="I563" s="100"/>
      <c r="J563" s="101"/>
      <c r="K563" s="100"/>
      <c r="L563" s="102"/>
      <c r="M563" s="103" t="str">
        <f>if(B563,if(and(hour(B563+M$7)&gt;9.5,(hour(B563+M$7)&lt;19.5)),B563+M$7,_xlfn.workday.intl(int(B563),1,"0000001",Holidays!A:A)+hour(B563+M$7-$B$1)/24+minute(B563)/1440),"")</f>
        <v/>
      </c>
      <c r="N563" s="104"/>
      <c r="O563" s="105"/>
      <c r="P563" s="106" t="str">
        <f t="shared" si="1"/>
        <v/>
      </c>
      <c r="Q563" s="107"/>
      <c r="R563" s="108"/>
      <c r="S563" s="103" t="str">
        <f>if(M563,if(and(hour(M563+S$7)&gt;9.5,(hour(M563+S$7)&lt;19.5)),M563+S$7,_xlfn.workday.intl(int(M563),1,"0000001",Holidays!A:A)+hour(M563+S$7-$B$1)/24+minute(M563)/1440),"")</f>
        <v/>
      </c>
      <c r="T563" s="104"/>
      <c r="U563" s="105"/>
      <c r="V563" s="109" t="str">
        <f t="shared" si="2"/>
        <v/>
      </c>
      <c r="W563" s="110" t="str">
        <f t="shared" si="3"/>
        <v/>
      </c>
      <c r="X563" s="103" t="str">
        <f>if(S563,if(and(hour(S563+X$7)&gt;9.5,(hour(S563+X$7)&lt;19.5)),S563+X$7,_xlfn.workday.intl(int(S563),1,"0000001",Holidays!A:A)+hour(S563+X$7-$B$1)/24+minute(S563)/1440),"")</f>
        <v/>
      </c>
      <c r="Y563" s="104"/>
      <c r="Z563" s="105"/>
      <c r="AA563" s="111" t="str">
        <f t="shared" si="4"/>
        <v/>
      </c>
      <c r="AB563" s="110" t="str">
        <f t="shared" si="5"/>
        <v/>
      </c>
      <c r="AC563" s="103" t="str">
        <f>if(X563,_xlfn.WORKDAY.INTL(X563,AC$7,"0000001",Holidays!A:A)+hour(X563)/24+MINUTE(X563)/1440,"")</f>
        <v/>
      </c>
      <c r="AD563" s="104"/>
      <c r="AE563" s="105"/>
      <c r="AF563" s="111" t="str">
        <f t="shared" si="6"/>
        <v/>
      </c>
      <c r="AG563" s="110" t="str">
        <f t="shared" si="7"/>
        <v/>
      </c>
      <c r="AH563" s="103" t="str">
        <f>if(AC563,if(and(hour(AC563+AH$7)&gt;9.5,(hour(AC563+AH$7)&lt;19.5)),AC563+AH$7,_xlfn.workday.intl(int(AC563),1,"0000001",Holidays!A:A)+hour(AC563+AH$7-$B$1)/24+minute(AC563)/1440),"")</f>
        <v/>
      </c>
      <c r="AI563" s="104"/>
      <c r="AJ563" s="105"/>
      <c r="AK563" s="111" t="str">
        <f t="shared" si="8"/>
        <v/>
      </c>
      <c r="AL563" s="112" t="str">
        <f t="shared" si="9"/>
        <v/>
      </c>
      <c r="AM563" s="113"/>
      <c r="AN563" s="291" t="s">
        <v>2540</v>
      </c>
      <c r="AO563" s="115"/>
      <c r="AP563" s="115"/>
      <c r="AQ563" s="115"/>
      <c r="AR563" s="115"/>
      <c r="AS563" s="115"/>
      <c r="AT563" s="115"/>
      <c r="AU563" s="115"/>
      <c r="AV563" s="115"/>
      <c r="AW563" s="115"/>
      <c r="AX563" s="115"/>
      <c r="AY563" s="115"/>
    </row>
    <row r="564">
      <c r="A564" s="95" t="str">
        <f t="shared" si="11"/>
        <v/>
      </c>
      <c r="B564" s="100"/>
      <c r="C564" s="97"/>
      <c r="D564" s="97"/>
      <c r="E564" s="97"/>
      <c r="F564" s="97"/>
      <c r="G564" s="97"/>
      <c r="H564" s="99"/>
      <c r="I564" s="100"/>
      <c r="J564" s="101"/>
      <c r="K564" s="100"/>
      <c r="L564" s="102"/>
      <c r="M564" s="103" t="str">
        <f>if(B564,if(and(hour(B564+M$7)&gt;9.5,(hour(B564+M$7)&lt;19.5)),B564+M$7,_xlfn.workday.intl(int(B564),1,"0000001",Holidays!A:A)+hour(B564+M$7-$B$1)/24+minute(B564)/1440),"")</f>
        <v/>
      </c>
      <c r="N564" s="104"/>
      <c r="O564" s="105"/>
      <c r="P564" s="106" t="str">
        <f t="shared" si="1"/>
        <v/>
      </c>
      <c r="Q564" s="107"/>
      <c r="R564" s="108"/>
      <c r="S564" s="103" t="str">
        <f>if(M564,if(and(hour(M564+S$7)&gt;9.5,(hour(M564+S$7)&lt;19.5)),M564+S$7,_xlfn.workday.intl(int(M564),1,"0000001",Holidays!A:A)+hour(M564+S$7-$B$1)/24+minute(M564)/1440),"")</f>
        <v/>
      </c>
      <c r="T564" s="104"/>
      <c r="U564" s="105"/>
      <c r="V564" s="109" t="str">
        <f t="shared" si="2"/>
        <v/>
      </c>
      <c r="W564" s="110" t="str">
        <f t="shared" si="3"/>
        <v/>
      </c>
      <c r="X564" s="103" t="str">
        <f>if(S564,if(and(hour(S564+X$7)&gt;9.5,(hour(S564+X$7)&lt;19.5)),S564+X$7,_xlfn.workday.intl(int(S564),1,"0000001",Holidays!A:A)+hour(S564+X$7-$B$1)/24+minute(S564)/1440),"")</f>
        <v/>
      </c>
      <c r="Y564" s="104"/>
      <c r="Z564" s="105"/>
      <c r="AA564" s="111" t="str">
        <f t="shared" si="4"/>
        <v/>
      </c>
      <c r="AB564" s="110" t="str">
        <f t="shared" si="5"/>
        <v/>
      </c>
      <c r="AC564" s="103" t="str">
        <f>if(X564,_xlfn.WORKDAY.INTL(X564,AC$7,"0000001",Holidays!A:A)+hour(X564)/24+MINUTE(X564)/1440,"")</f>
        <v/>
      </c>
      <c r="AD564" s="104"/>
      <c r="AE564" s="105"/>
      <c r="AF564" s="111" t="str">
        <f t="shared" si="6"/>
        <v/>
      </c>
      <c r="AG564" s="110" t="str">
        <f t="shared" si="7"/>
        <v/>
      </c>
      <c r="AH564" s="103" t="str">
        <f>if(AC564,if(and(hour(AC564+AH$7)&gt;9.5,(hour(AC564+AH$7)&lt;19.5)),AC564+AH$7,_xlfn.workday.intl(int(AC564),1,"0000001",Holidays!A:A)+hour(AC564+AH$7-$B$1)/24+minute(AC564)/1440),"")</f>
        <v/>
      </c>
      <c r="AI564" s="104"/>
      <c r="AJ564" s="105"/>
      <c r="AK564" s="111" t="str">
        <f t="shared" si="8"/>
        <v/>
      </c>
      <c r="AL564" s="112" t="str">
        <f t="shared" si="9"/>
        <v/>
      </c>
      <c r="AM564" s="113"/>
      <c r="AN564" s="291" t="s">
        <v>2540</v>
      </c>
      <c r="AO564" s="115"/>
      <c r="AP564" s="115"/>
      <c r="AQ564" s="115"/>
      <c r="AR564" s="115"/>
      <c r="AS564" s="115"/>
      <c r="AT564" s="115"/>
      <c r="AU564" s="115"/>
      <c r="AV564" s="115"/>
      <c r="AW564" s="115"/>
      <c r="AX564" s="115"/>
      <c r="AY564" s="115"/>
    </row>
    <row r="565">
      <c r="A565" s="95" t="str">
        <f t="shared" si="11"/>
        <v/>
      </c>
      <c r="B565" s="100"/>
      <c r="C565" s="97"/>
      <c r="D565" s="97"/>
      <c r="E565" s="97"/>
      <c r="F565" s="97"/>
      <c r="G565" s="97"/>
      <c r="H565" s="99"/>
      <c r="I565" s="100"/>
      <c r="J565" s="101"/>
      <c r="K565" s="100"/>
      <c r="L565" s="102"/>
      <c r="M565" s="103" t="str">
        <f>if(B565,if(and(hour(B565+M$7)&gt;9.5,(hour(B565+M$7)&lt;19.5)),B565+M$7,_xlfn.workday.intl(int(B565),1,"0000001",Holidays!A:A)+hour(B565+M$7-$B$1)/24+minute(B565)/1440),"")</f>
        <v/>
      </c>
      <c r="N565" s="104"/>
      <c r="O565" s="105"/>
      <c r="P565" s="106" t="str">
        <f t="shared" si="1"/>
        <v/>
      </c>
      <c r="Q565" s="107"/>
      <c r="R565" s="108"/>
      <c r="S565" s="103" t="str">
        <f>if(M565,if(and(hour(M565+S$7)&gt;9.5,(hour(M565+S$7)&lt;19.5)),M565+S$7,_xlfn.workday.intl(int(M565),1,"0000001",Holidays!A:A)+hour(M565+S$7-$B$1)/24+minute(M565)/1440),"")</f>
        <v/>
      </c>
      <c r="T565" s="104"/>
      <c r="U565" s="105"/>
      <c r="V565" s="109" t="str">
        <f t="shared" si="2"/>
        <v/>
      </c>
      <c r="W565" s="110" t="str">
        <f t="shared" si="3"/>
        <v/>
      </c>
      <c r="X565" s="103" t="str">
        <f>if(S565,if(and(hour(S565+X$7)&gt;9.5,(hour(S565+X$7)&lt;19.5)),S565+X$7,_xlfn.workday.intl(int(S565),1,"0000001",Holidays!A:A)+hour(S565+X$7-$B$1)/24+minute(S565)/1440),"")</f>
        <v/>
      </c>
      <c r="Y565" s="104"/>
      <c r="Z565" s="105"/>
      <c r="AA565" s="111" t="str">
        <f t="shared" si="4"/>
        <v/>
      </c>
      <c r="AB565" s="110" t="str">
        <f t="shared" si="5"/>
        <v/>
      </c>
      <c r="AC565" s="103" t="str">
        <f>if(X565,_xlfn.WORKDAY.INTL(X565,AC$7,"0000001",Holidays!A:A)+hour(X565)/24+MINUTE(X565)/1440,"")</f>
        <v/>
      </c>
      <c r="AD565" s="104"/>
      <c r="AE565" s="105"/>
      <c r="AF565" s="111" t="str">
        <f t="shared" si="6"/>
        <v/>
      </c>
      <c r="AG565" s="110" t="str">
        <f t="shared" si="7"/>
        <v/>
      </c>
      <c r="AH565" s="103" t="str">
        <f>if(AC565,if(and(hour(AC565+AH$7)&gt;9.5,(hour(AC565+AH$7)&lt;19.5)),AC565+AH$7,_xlfn.workday.intl(int(AC565),1,"0000001",Holidays!A:A)+hour(AC565+AH$7-$B$1)/24+minute(AC565)/1440),"")</f>
        <v/>
      </c>
      <c r="AI565" s="104"/>
      <c r="AJ565" s="105"/>
      <c r="AK565" s="111" t="str">
        <f t="shared" si="8"/>
        <v/>
      </c>
      <c r="AL565" s="112" t="str">
        <f t="shared" si="9"/>
        <v/>
      </c>
      <c r="AM565" s="113"/>
      <c r="AN565" s="291" t="s">
        <v>2540</v>
      </c>
      <c r="AO565" s="115"/>
      <c r="AP565" s="115"/>
      <c r="AQ565" s="115"/>
      <c r="AR565" s="115"/>
      <c r="AS565" s="115"/>
      <c r="AT565" s="115"/>
      <c r="AU565" s="115"/>
      <c r="AV565" s="115"/>
      <c r="AW565" s="115"/>
      <c r="AX565" s="115"/>
      <c r="AY565" s="115"/>
    </row>
    <row r="566">
      <c r="A566" s="95" t="str">
        <f t="shared" si="11"/>
        <v/>
      </c>
      <c r="B566" s="100"/>
      <c r="C566" s="97"/>
      <c r="D566" s="97"/>
      <c r="E566" s="97"/>
      <c r="F566" s="97"/>
      <c r="G566" s="97"/>
      <c r="H566" s="99"/>
      <c r="I566" s="100"/>
      <c r="J566" s="101"/>
      <c r="K566" s="100"/>
      <c r="L566" s="102"/>
      <c r="M566" s="103" t="str">
        <f>if(B566,if(and(hour(B566+M$7)&gt;9.5,(hour(B566+M$7)&lt;19.5)),B566+M$7,_xlfn.workday.intl(int(B566),1,"0000001",Holidays!A:A)+hour(B566+M$7-$B$1)/24+minute(B566)/1440),"")</f>
        <v/>
      </c>
      <c r="N566" s="104"/>
      <c r="O566" s="105"/>
      <c r="P566" s="106" t="str">
        <f t="shared" si="1"/>
        <v/>
      </c>
      <c r="Q566" s="107"/>
      <c r="R566" s="108"/>
      <c r="S566" s="103" t="str">
        <f>if(M566,if(and(hour(M566+S$7)&gt;9.5,(hour(M566+S$7)&lt;19.5)),M566+S$7,_xlfn.workday.intl(int(M566),1,"0000001",Holidays!A:A)+hour(M566+S$7-$B$1)/24+minute(M566)/1440),"")</f>
        <v/>
      </c>
      <c r="T566" s="104"/>
      <c r="U566" s="105"/>
      <c r="V566" s="109" t="str">
        <f t="shared" si="2"/>
        <v/>
      </c>
      <c r="W566" s="110" t="str">
        <f t="shared" si="3"/>
        <v/>
      </c>
      <c r="X566" s="103" t="str">
        <f>if(S566,if(and(hour(S566+X$7)&gt;9.5,(hour(S566+X$7)&lt;19.5)),S566+X$7,_xlfn.workday.intl(int(S566),1,"0000001",Holidays!A:A)+hour(S566+X$7-$B$1)/24+minute(S566)/1440),"")</f>
        <v/>
      </c>
      <c r="Y566" s="104"/>
      <c r="Z566" s="105"/>
      <c r="AA566" s="111" t="str">
        <f t="shared" si="4"/>
        <v/>
      </c>
      <c r="AB566" s="110" t="str">
        <f t="shared" si="5"/>
        <v/>
      </c>
      <c r="AC566" s="103" t="str">
        <f>if(X566,_xlfn.WORKDAY.INTL(X566,AC$7,"0000001",Holidays!A:A)+hour(X566)/24+MINUTE(X566)/1440,"")</f>
        <v/>
      </c>
      <c r="AD566" s="104"/>
      <c r="AE566" s="105"/>
      <c r="AF566" s="111" t="str">
        <f t="shared" si="6"/>
        <v/>
      </c>
      <c r="AG566" s="110" t="str">
        <f t="shared" si="7"/>
        <v/>
      </c>
      <c r="AH566" s="103" t="str">
        <f>if(AC566,if(and(hour(AC566+AH$7)&gt;9.5,(hour(AC566+AH$7)&lt;19.5)),AC566+AH$7,_xlfn.workday.intl(int(AC566),1,"0000001",Holidays!A:A)+hour(AC566+AH$7-$B$1)/24+minute(AC566)/1440),"")</f>
        <v/>
      </c>
      <c r="AI566" s="104"/>
      <c r="AJ566" s="105"/>
      <c r="AK566" s="111" t="str">
        <f t="shared" si="8"/>
        <v/>
      </c>
      <c r="AL566" s="112" t="str">
        <f t="shared" si="9"/>
        <v/>
      </c>
      <c r="AM566" s="113"/>
      <c r="AN566" s="291" t="s">
        <v>2540</v>
      </c>
      <c r="AO566" s="115"/>
      <c r="AP566" s="115"/>
      <c r="AQ566" s="115"/>
      <c r="AR566" s="115"/>
      <c r="AS566" s="115"/>
      <c r="AT566" s="115"/>
      <c r="AU566" s="115"/>
      <c r="AV566" s="115"/>
      <c r="AW566" s="115"/>
      <c r="AX566" s="115"/>
      <c r="AY566" s="115"/>
    </row>
    <row r="567">
      <c r="A567" s="95" t="str">
        <f t="shared" si="11"/>
        <v/>
      </c>
      <c r="B567" s="100"/>
      <c r="C567" s="97"/>
      <c r="D567" s="97"/>
      <c r="E567" s="97"/>
      <c r="F567" s="97"/>
      <c r="G567" s="97"/>
      <c r="H567" s="99"/>
      <c r="I567" s="100"/>
      <c r="J567" s="101"/>
      <c r="K567" s="100"/>
      <c r="L567" s="102"/>
      <c r="M567" s="103" t="str">
        <f>if(B567,if(and(hour(B567+M$7)&gt;9.5,(hour(B567+M$7)&lt;19.5)),B567+M$7,_xlfn.workday.intl(int(B567),1,"0000001",Holidays!A:A)+hour(B567+M$7-$B$1)/24+minute(B567)/1440),"")</f>
        <v/>
      </c>
      <c r="N567" s="104"/>
      <c r="O567" s="105"/>
      <c r="P567" s="106" t="str">
        <f t="shared" si="1"/>
        <v/>
      </c>
      <c r="Q567" s="107"/>
      <c r="R567" s="108"/>
      <c r="S567" s="103" t="str">
        <f>if(M567,if(and(hour(M567+S$7)&gt;9.5,(hour(M567+S$7)&lt;19.5)),M567+S$7,_xlfn.workday.intl(int(M567),1,"0000001",Holidays!A:A)+hour(M567+S$7-$B$1)/24+minute(M567)/1440),"")</f>
        <v/>
      </c>
      <c r="T567" s="104"/>
      <c r="U567" s="105"/>
      <c r="V567" s="109" t="str">
        <f t="shared" si="2"/>
        <v/>
      </c>
      <c r="W567" s="110" t="str">
        <f t="shared" si="3"/>
        <v/>
      </c>
      <c r="X567" s="103" t="str">
        <f>if(S567,if(and(hour(S567+X$7)&gt;9.5,(hour(S567+X$7)&lt;19.5)),S567+X$7,_xlfn.workday.intl(int(S567),1,"0000001",Holidays!A:A)+hour(S567+X$7-$B$1)/24+minute(S567)/1440),"")</f>
        <v/>
      </c>
      <c r="Y567" s="104"/>
      <c r="Z567" s="105"/>
      <c r="AA567" s="111" t="str">
        <f t="shared" si="4"/>
        <v/>
      </c>
      <c r="AB567" s="110" t="str">
        <f t="shared" si="5"/>
        <v/>
      </c>
      <c r="AC567" s="103" t="str">
        <f>if(X567,_xlfn.WORKDAY.INTL(X567,AC$7,"0000001",Holidays!A:A)+hour(X567)/24+MINUTE(X567)/1440,"")</f>
        <v/>
      </c>
      <c r="AD567" s="104"/>
      <c r="AE567" s="105"/>
      <c r="AF567" s="111" t="str">
        <f t="shared" si="6"/>
        <v/>
      </c>
      <c r="AG567" s="110" t="str">
        <f t="shared" si="7"/>
        <v/>
      </c>
      <c r="AH567" s="103" t="str">
        <f>if(AC567,if(and(hour(AC567+AH$7)&gt;9.5,(hour(AC567+AH$7)&lt;19.5)),AC567+AH$7,_xlfn.workday.intl(int(AC567),1,"0000001",Holidays!A:A)+hour(AC567+AH$7-$B$1)/24+minute(AC567)/1440),"")</f>
        <v/>
      </c>
      <c r="AI567" s="104"/>
      <c r="AJ567" s="105"/>
      <c r="AK567" s="111" t="str">
        <f t="shared" si="8"/>
        <v/>
      </c>
      <c r="AL567" s="112" t="str">
        <f t="shared" si="9"/>
        <v/>
      </c>
      <c r="AM567" s="113"/>
      <c r="AN567" s="291" t="s">
        <v>2540</v>
      </c>
      <c r="AO567" s="115"/>
      <c r="AP567" s="115"/>
      <c r="AQ567" s="115"/>
      <c r="AR567" s="115"/>
      <c r="AS567" s="115"/>
      <c r="AT567" s="115"/>
      <c r="AU567" s="115"/>
      <c r="AV567" s="115"/>
      <c r="AW567" s="115"/>
      <c r="AX567" s="115"/>
      <c r="AY567" s="115"/>
    </row>
    <row r="568">
      <c r="A568" s="95" t="str">
        <f t="shared" si="11"/>
        <v/>
      </c>
      <c r="B568" s="100"/>
      <c r="C568" s="97"/>
      <c r="D568" s="97"/>
      <c r="E568" s="97"/>
      <c r="F568" s="97"/>
      <c r="G568" s="97"/>
      <c r="H568" s="99"/>
      <c r="I568" s="100"/>
      <c r="J568" s="101"/>
      <c r="K568" s="100"/>
      <c r="L568" s="102"/>
      <c r="M568" s="103" t="str">
        <f>if(B568,if(and(hour(B568+M$7)&gt;9.5,(hour(B568+M$7)&lt;19.5)),B568+M$7,_xlfn.workday.intl(int(B568),1,"0000001",Holidays!A:A)+hour(B568+M$7-$B$1)/24+minute(B568)/1440),"")</f>
        <v/>
      </c>
      <c r="N568" s="104"/>
      <c r="O568" s="105"/>
      <c r="P568" s="106" t="str">
        <f t="shared" si="1"/>
        <v/>
      </c>
      <c r="Q568" s="107"/>
      <c r="R568" s="108"/>
      <c r="S568" s="103" t="str">
        <f>if(M568,if(and(hour(M568+S$7)&gt;9.5,(hour(M568+S$7)&lt;19.5)),M568+S$7,_xlfn.workday.intl(int(M568),1,"0000001",Holidays!A:A)+hour(M568+S$7-$B$1)/24+minute(M568)/1440),"")</f>
        <v/>
      </c>
      <c r="T568" s="104"/>
      <c r="U568" s="105"/>
      <c r="V568" s="109" t="str">
        <f t="shared" si="2"/>
        <v/>
      </c>
      <c r="W568" s="110" t="str">
        <f t="shared" si="3"/>
        <v/>
      </c>
      <c r="X568" s="103" t="str">
        <f>if(S568,if(and(hour(S568+X$7)&gt;9.5,(hour(S568+X$7)&lt;19.5)),S568+X$7,_xlfn.workday.intl(int(S568),1,"0000001",Holidays!A:A)+hour(S568+X$7-$B$1)/24+minute(S568)/1440),"")</f>
        <v/>
      </c>
      <c r="Y568" s="104"/>
      <c r="Z568" s="105"/>
      <c r="AA568" s="111" t="str">
        <f t="shared" si="4"/>
        <v/>
      </c>
      <c r="AB568" s="110" t="str">
        <f t="shared" si="5"/>
        <v/>
      </c>
      <c r="AC568" s="103" t="str">
        <f>if(X568,_xlfn.WORKDAY.INTL(X568,AC$7,"0000001",Holidays!A:A)+hour(X568)/24+MINUTE(X568)/1440,"")</f>
        <v/>
      </c>
      <c r="AD568" s="104"/>
      <c r="AE568" s="105"/>
      <c r="AF568" s="111" t="str">
        <f t="shared" si="6"/>
        <v/>
      </c>
      <c r="AG568" s="110" t="str">
        <f t="shared" si="7"/>
        <v/>
      </c>
      <c r="AH568" s="103" t="str">
        <f>if(AC568,if(and(hour(AC568+AH$7)&gt;9.5,(hour(AC568+AH$7)&lt;19.5)),AC568+AH$7,_xlfn.workday.intl(int(AC568),1,"0000001",Holidays!A:A)+hour(AC568+AH$7-$B$1)/24+minute(AC568)/1440),"")</f>
        <v/>
      </c>
      <c r="AI568" s="104"/>
      <c r="AJ568" s="105"/>
      <c r="AK568" s="111" t="str">
        <f t="shared" si="8"/>
        <v/>
      </c>
      <c r="AL568" s="112" t="str">
        <f t="shared" si="9"/>
        <v/>
      </c>
      <c r="AM568" s="113"/>
      <c r="AN568" s="291" t="s">
        <v>2540</v>
      </c>
      <c r="AO568" s="115"/>
      <c r="AP568" s="115"/>
      <c r="AQ568" s="115"/>
      <c r="AR568" s="115"/>
      <c r="AS568" s="115"/>
      <c r="AT568" s="115"/>
      <c r="AU568" s="115"/>
      <c r="AV568" s="115"/>
      <c r="AW568" s="115"/>
      <c r="AX568" s="115"/>
      <c r="AY568" s="115"/>
    </row>
    <row r="569">
      <c r="A569" s="95" t="str">
        <f t="shared" si="11"/>
        <v/>
      </c>
      <c r="B569" s="100"/>
      <c r="C569" s="97"/>
      <c r="D569" s="97"/>
      <c r="E569" s="97"/>
      <c r="F569" s="97"/>
      <c r="G569" s="97"/>
      <c r="H569" s="99"/>
      <c r="I569" s="100"/>
      <c r="J569" s="101"/>
      <c r="K569" s="100"/>
      <c r="L569" s="102"/>
      <c r="M569" s="103" t="str">
        <f>if(B569,if(and(hour(B569+M$7)&gt;9.5,(hour(B569+M$7)&lt;19.5)),B569+M$7,_xlfn.workday.intl(int(B569),1,"0000001",Holidays!A:A)+hour(B569+M$7-$B$1)/24+minute(B569)/1440),"")</f>
        <v/>
      </c>
      <c r="N569" s="104"/>
      <c r="O569" s="105"/>
      <c r="P569" s="106" t="str">
        <f t="shared" si="1"/>
        <v/>
      </c>
      <c r="Q569" s="107"/>
      <c r="R569" s="108"/>
      <c r="S569" s="103" t="str">
        <f>if(M569,if(and(hour(M569+S$7)&gt;9.5,(hour(M569+S$7)&lt;19.5)),M569+S$7,_xlfn.workday.intl(int(M569),1,"0000001",Holidays!A:A)+hour(M569+S$7-$B$1)/24+minute(M569)/1440),"")</f>
        <v/>
      </c>
      <c r="T569" s="104"/>
      <c r="U569" s="105"/>
      <c r="V569" s="109" t="str">
        <f t="shared" si="2"/>
        <v/>
      </c>
      <c r="W569" s="110" t="str">
        <f t="shared" si="3"/>
        <v/>
      </c>
      <c r="X569" s="103" t="str">
        <f>if(S569,if(and(hour(S569+X$7)&gt;9.5,(hour(S569+X$7)&lt;19.5)),S569+X$7,_xlfn.workday.intl(int(S569),1,"0000001",Holidays!A:A)+hour(S569+X$7-$B$1)/24+minute(S569)/1440),"")</f>
        <v/>
      </c>
      <c r="Y569" s="104"/>
      <c r="Z569" s="105"/>
      <c r="AA569" s="111" t="str">
        <f t="shared" si="4"/>
        <v/>
      </c>
      <c r="AB569" s="110" t="str">
        <f t="shared" si="5"/>
        <v/>
      </c>
      <c r="AC569" s="103" t="str">
        <f>if(X569,_xlfn.WORKDAY.INTL(X569,AC$7,"0000001",Holidays!A:A)+hour(X569)/24+MINUTE(X569)/1440,"")</f>
        <v/>
      </c>
      <c r="AD569" s="104"/>
      <c r="AE569" s="105"/>
      <c r="AF569" s="111" t="str">
        <f t="shared" si="6"/>
        <v/>
      </c>
      <c r="AG569" s="110" t="str">
        <f t="shared" si="7"/>
        <v/>
      </c>
      <c r="AH569" s="103" t="str">
        <f>if(AC569,if(and(hour(AC569+AH$7)&gt;9.5,(hour(AC569+AH$7)&lt;19.5)),AC569+AH$7,_xlfn.workday.intl(int(AC569),1,"0000001",Holidays!A:A)+hour(AC569+AH$7-$B$1)/24+minute(AC569)/1440),"")</f>
        <v/>
      </c>
      <c r="AI569" s="104"/>
      <c r="AJ569" s="105"/>
      <c r="AK569" s="111" t="str">
        <f t="shared" si="8"/>
        <v/>
      </c>
      <c r="AL569" s="112" t="str">
        <f t="shared" si="9"/>
        <v/>
      </c>
      <c r="AM569" s="113"/>
      <c r="AN569" s="291" t="s">
        <v>2540</v>
      </c>
      <c r="AO569" s="115"/>
      <c r="AP569" s="115"/>
      <c r="AQ569" s="115"/>
      <c r="AR569" s="115"/>
      <c r="AS569" s="115"/>
      <c r="AT569" s="115"/>
      <c r="AU569" s="115"/>
      <c r="AV569" s="115"/>
      <c r="AW569" s="115"/>
      <c r="AX569" s="115"/>
      <c r="AY569" s="115"/>
    </row>
    <row r="570">
      <c r="A570" s="95" t="str">
        <f t="shared" si="11"/>
        <v/>
      </c>
      <c r="B570" s="100"/>
      <c r="C570" s="97"/>
      <c r="D570" s="97"/>
      <c r="E570" s="97"/>
      <c r="F570" s="97"/>
      <c r="G570" s="97"/>
      <c r="H570" s="99"/>
      <c r="I570" s="100"/>
      <c r="J570" s="101"/>
      <c r="K570" s="100"/>
      <c r="L570" s="102"/>
      <c r="M570" s="103" t="str">
        <f>if(B570,if(and(hour(B570+M$7)&gt;9.5,(hour(B570+M$7)&lt;19.5)),B570+M$7,_xlfn.workday.intl(int(B570),1,"0000001",Holidays!A:A)+hour(B570+M$7-$B$1)/24+minute(B570)/1440),"")</f>
        <v/>
      </c>
      <c r="N570" s="104"/>
      <c r="O570" s="105"/>
      <c r="P570" s="106" t="str">
        <f t="shared" si="1"/>
        <v/>
      </c>
      <c r="Q570" s="107"/>
      <c r="R570" s="108"/>
      <c r="S570" s="103" t="str">
        <f>if(M570,if(and(hour(M570+S$7)&gt;9.5,(hour(M570+S$7)&lt;19.5)),M570+S$7,_xlfn.workday.intl(int(M570),1,"0000001",Holidays!A:A)+hour(M570+S$7-$B$1)/24+minute(M570)/1440),"")</f>
        <v/>
      </c>
      <c r="T570" s="104"/>
      <c r="U570" s="105"/>
      <c r="V570" s="109" t="str">
        <f t="shared" si="2"/>
        <v/>
      </c>
      <c r="W570" s="110" t="str">
        <f t="shared" si="3"/>
        <v/>
      </c>
      <c r="X570" s="103" t="str">
        <f>if(S570,if(and(hour(S570+X$7)&gt;9.5,(hour(S570+X$7)&lt;19.5)),S570+X$7,_xlfn.workday.intl(int(S570),1,"0000001",Holidays!A:A)+hour(S570+X$7-$B$1)/24+minute(S570)/1440),"")</f>
        <v/>
      </c>
      <c r="Y570" s="104"/>
      <c r="Z570" s="105"/>
      <c r="AA570" s="111" t="str">
        <f t="shared" si="4"/>
        <v/>
      </c>
      <c r="AB570" s="110" t="str">
        <f t="shared" si="5"/>
        <v/>
      </c>
      <c r="AC570" s="103" t="str">
        <f>if(X570,_xlfn.WORKDAY.INTL(X570,AC$7,"0000001",Holidays!A:A)+hour(X570)/24+MINUTE(X570)/1440,"")</f>
        <v/>
      </c>
      <c r="AD570" s="104"/>
      <c r="AE570" s="105"/>
      <c r="AF570" s="111" t="str">
        <f t="shared" si="6"/>
        <v/>
      </c>
      <c r="AG570" s="110" t="str">
        <f t="shared" si="7"/>
        <v/>
      </c>
      <c r="AH570" s="103" t="str">
        <f>if(AC570,if(and(hour(AC570+AH$7)&gt;9.5,(hour(AC570+AH$7)&lt;19.5)),AC570+AH$7,_xlfn.workday.intl(int(AC570),1,"0000001",Holidays!A:A)+hour(AC570+AH$7-$B$1)/24+minute(AC570)/1440),"")</f>
        <v/>
      </c>
      <c r="AI570" s="104"/>
      <c r="AJ570" s="105"/>
      <c r="AK570" s="111" t="str">
        <f t="shared" si="8"/>
        <v/>
      </c>
      <c r="AL570" s="112" t="str">
        <f t="shared" si="9"/>
        <v/>
      </c>
      <c r="AM570" s="113"/>
      <c r="AN570" s="291" t="s">
        <v>2540</v>
      </c>
      <c r="AO570" s="115"/>
      <c r="AP570" s="115"/>
      <c r="AQ570" s="115"/>
      <c r="AR570" s="115"/>
      <c r="AS570" s="115"/>
      <c r="AT570" s="115"/>
      <c r="AU570" s="115"/>
      <c r="AV570" s="115"/>
      <c r="AW570" s="115"/>
      <c r="AX570" s="115"/>
      <c r="AY570" s="115"/>
    </row>
    <row r="571">
      <c r="A571" s="95" t="str">
        <f t="shared" si="11"/>
        <v/>
      </c>
      <c r="B571" s="100"/>
      <c r="C571" s="97"/>
      <c r="D571" s="97"/>
      <c r="E571" s="97"/>
      <c r="F571" s="97"/>
      <c r="G571" s="97"/>
      <c r="H571" s="99"/>
      <c r="I571" s="100"/>
      <c r="J571" s="101"/>
      <c r="K571" s="100"/>
      <c r="L571" s="102"/>
      <c r="M571" s="103" t="str">
        <f>if(B571,if(and(hour(B571+M$7)&gt;9.5,(hour(B571+M$7)&lt;19.5)),B571+M$7,_xlfn.workday.intl(int(B571),1,"0000001",Holidays!A:A)+hour(B571+M$7-$B$1)/24+minute(B571)/1440),"")</f>
        <v/>
      </c>
      <c r="N571" s="104"/>
      <c r="O571" s="105"/>
      <c r="P571" s="106" t="str">
        <f t="shared" si="1"/>
        <v/>
      </c>
      <c r="Q571" s="107"/>
      <c r="R571" s="108"/>
      <c r="S571" s="103" t="str">
        <f>if(M571,if(and(hour(M571+S$7)&gt;9.5,(hour(M571+S$7)&lt;19.5)),M571+S$7,_xlfn.workday.intl(int(M571),1,"0000001",Holidays!A:A)+hour(M571+S$7-$B$1)/24+minute(M571)/1440),"")</f>
        <v/>
      </c>
      <c r="T571" s="104"/>
      <c r="U571" s="105"/>
      <c r="V571" s="109" t="str">
        <f t="shared" si="2"/>
        <v/>
      </c>
      <c r="W571" s="110" t="str">
        <f t="shared" si="3"/>
        <v/>
      </c>
      <c r="X571" s="103" t="str">
        <f>if(S571,if(and(hour(S571+X$7)&gt;9.5,(hour(S571+X$7)&lt;19.5)),S571+X$7,_xlfn.workday.intl(int(S571),1,"0000001",Holidays!A:A)+hour(S571+X$7-$B$1)/24+minute(S571)/1440),"")</f>
        <v/>
      </c>
      <c r="Y571" s="104"/>
      <c r="Z571" s="105"/>
      <c r="AA571" s="111" t="str">
        <f t="shared" si="4"/>
        <v/>
      </c>
      <c r="AB571" s="110" t="str">
        <f t="shared" si="5"/>
        <v/>
      </c>
      <c r="AC571" s="103" t="str">
        <f>if(X571,_xlfn.WORKDAY.INTL(X571,AC$7,"0000001",Holidays!A:A)+hour(X571)/24+MINUTE(X571)/1440,"")</f>
        <v/>
      </c>
      <c r="AD571" s="104"/>
      <c r="AE571" s="105"/>
      <c r="AF571" s="111" t="str">
        <f t="shared" si="6"/>
        <v/>
      </c>
      <c r="AG571" s="110" t="str">
        <f t="shared" si="7"/>
        <v/>
      </c>
      <c r="AH571" s="103" t="str">
        <f>if(AC571,if(and(hour(AC571+AH$7)&gt;9.5,(hour(AC571+AH$7)&lt;19.5)),AC571+AH$7,_xlfn.workday.intl(int(AC571),1,"0000001",Holidays!A:A)+hour(AC571+AH$7-$B$1)/24+minute(AC571)/1440),"")</f>
        <v/>
      </c>
      <c r="AI571" s="104"/>
      <c r="AJ571" s="105"/>
      <c r="AK571" s="111" t="str">
        <f t="shared" si="8"/>
        <v/>
      </c>
      <c r="AL571" s="112" t="str">
        <f t="shared" si="9"/>
        <v/>
      </c>
      <c r="AM571" s="113"/>
      <c r="AN571" s="291" t="s">
        <v>2540</v>
      </c>
      <c r="AO571" s="115"/>
      <c r="AP571" s="115"/>
      <c r="AQ571" s="115"/>
      <c r="AR571" s="115"/>
      <c r="AS571" s="115"/>
      <c r="AT571" s="115"/>
      <c r="AU571" s="115"/>
      <c r="AV571" s="115"/>
      <c r="AW571" s="115"/>
      <c r="AX571" s="115"/>
      <c r="AY571" s="115"/>
    </row>
    <row r="572">
      <c r="A572" s="95" t="str">
        <f t="shared" si="11"/>
        <v/>
      </c>
      <c r="B572" s="100"/>
      <c r="C572" s="97"/>
      <c r="D572" s="97"/>
      <c r="E572" s="97"/>
      <c r="F572" s="97"/>
      <c r="G572" s="97"/>
      <c r="H572" s="99"/>
      <c r="I572" s="100"/>
      <c r="J572" s="101"/>
      <c r="K572" s="100"/>
      <c r="L572" s="102"/>
      <c r="M572" s="103" t="str">
        <f>if(B572,if(and(hour(B572+M$7)&gt;9.5,(hour(B572+M$7)&lt;19.5)),B572+M$7,_xlfn.workday.intl(int(B572),1,"0000001",Holidays!A:A)+hour(B572+M$7-$B$1)/24+minute(B572)/1440),"")</f>
        <v/>
      </c>
      <c r="N572" s="104"/>
      <c r="O572" s="105"/>
      <c r="P572" s="106" t="str">
        <f t="shared" si="1"/>
        <v/>
      </c>
      <c r="Q572" s="107"/>
      <c r="R572" s="108"/>
      <c r="S572" s="103" t="str">
        <f>if(M572,if(and(hour(M572+S$7)&gt;9.5,(hour(M572+S$7)&lt;19.5)),M572+S$7,_xlfn.workday.intl(int(M572),1,"0000001",Holidays!A:A)+hour(M572+S$7-$B$1)/24+minute(M572)/1440),"")</f>
        <v/>
      </c>
      <c r="T572" s="104"/>
      <c r="U572" s="105"/>
      <c r="V572" s="109" t="str">
        <f t="shared" si="2"/>
        <v/>
      </c>
      <c r="W572" s="110" t="str">
        <f t="shared" si="3"/>
        <v/>
      </c>
      <c r="X572" s="103" t="str">
        <f>if(S572,if(and(hour(S572+X$7)&gt;9.5,(hour(S572+X$7)&lt;19.5)),S572+X$7,_xlfn.workday.intl(int(S572),1,"0000001",Holidays!A:A)+hour(S572+X$7-$B$1)/24+minute(S572)/1440),"")</f>
        <v/>
      </c>
      <c r="Y572" s="104"/>
      <c r="Z572" s="105"/>
      <c r="AA572" s="111" t="str">
        <f t="shared" si="4"/>
        <v/>
      </c>
      <c r="AB572" s="110" t="str">
        <f t="shared" si="5"/>
        <v/>
      </c>
      <c r="AC572" s="103" t="str">
        <f>if(X572,_xlfn.WORKDAY.INTL(X572,AC$7,"0000001",Holidays!A:A)+hour(X572)/24+MINUTE(X572)/1440,"")</f>
        <v/>
      </c>
      <c r="AD572" s="104"/>
      <c r="AE572" s="105"/>
      <c r="AF572" s="111" t="str">
        <f t="shared" si="6"/>
        <v/>
      </c>
      <c r="AG572" s="110" t="str">
        <f t="shared" si="7"/>
        <v/>
      </c>
      <c r="AH572" s="103" t="str">
        <f>if(AC572,if(and(hour(AC572+AH$7)&gt;9.5,(hour(AC572+AH$7)&lt;19.5)),AC572+AH$7,_xlfn.workday.intl(int(AC572),1,"0000001",Holidays!A:A)+hour(AC572+AH$7-$B$1)/24+minute(AC572)/1440),"")</f>
        <v/>
      </c>
      <c r="AI572" s="104"/>
      <c r="AJ572" s="105"/>
      <c r="AK572" s="111" t="str">
        <f t="shared" si="8"/>
        <v/>
      </c>
      <c r="AL572" s="112" t="str">
        <f t="shared" si="9"/>
        <v/>
      </c>
      <c r="AM572" s="113"/>
      <c r="AN572" s="291" t="s">
        <v>2540</v>
      </c>
      <c r="AO572" s="115"/>
      <c r="AP572" s="115"/>
      <c r="AQ572" s="115"/>
      <c r="AR572" s="115"/>
      <c r="AS572" s="115"/>
      <c r="AT572" s="115"/>
      <c r="AU572" s="115"/>
      <c r="AV572" s="115"/>
      <c r="AW572" s="115"/>
      <c r="AX572" s="115"/>
      <c r="AY572" s="115"/>
    </row>
    <row r="573">
      <c r="A573" s="95" t="str">
        <f t="shared" si="11"/>
        <v/>
      </c>
      <c r="B573" s="100"/>
      <c r="C573" s="97"/>
      <c r="D573" s="97"/>
      <c r="E573" s="97"/>
      <c r="F573" s="97"/>
      <c r="G573" s="97"/>
      <c r="H573" s="99"/>
      <c r="I573" s="100"/>
      <c r="J573" s="101"/>
      <c r="K573" s="100"/>
      <c r="L573" s="102"/>
      <c r="M573" s="103" t="str">
        <f>if(B573,if(and(hour(B573+M$7)&gt;9.5,(hour(B573+M$7)&lt;19.5)),B573+M$7,_xlfn.workday.intl(int(B573),1,"0000001",Holidays!A:A)+hour(B573+M$7-$B$1)/24+minute(B573)/1440),"")</f>
        <v/>
      </c>
      <c r="N573" s="104"/>
      <c r="O573" s="105"/>
      <c r="P573" s="106" t="str">
        <f t="shared" si="1"/>
        <v/>
      </c>
      <c r="Q573" s="107"/>
      <c r="R573" s="108"/>
      <c r="S573" s="103" t="str">
        <f>if(M573,if(and(hour(M573+S$7)&gt;9.5,(hour(M573+S$7)&lt;19.5)),M573+S$7,_xlfn.workday.intl(int(M573),1,"0000001",Holidays!A:A)+hour(M573+S$7-$B$1)/24+minute(M573)/1440),"")</f>
        <v/>
      </c>
      <c r="T573" s="104"/>
      <c r="U573" s="105"/>
      <c r="V573" s="109" t="str">
        <f t="shared" si="2"/>
        <v/>
      </c>
      <c r="W573" s="110" t="str">
        <f t="shared" si="3"/>
        <v/>
      </c>
      <c r="X573" s="103" t="str">
        <f>if(S573,if(and(hour(S573+X$7)&gt;9.5,(hour(S573+X$7)&lt;19.5)),S573+X$7,_xlfn.workday.intl(int(S573),1,"0000001",Holidays!A:A)+hour(S573+X$7-$B$1)/24+minute(S573)/1440),"")</f>
        <v/>
      </c>
      <c r="Y573" s="104"/>
      <c r="Z573" s="105"/>
      <c r="AA573" s="111" t="str">
        <f t="shared" si="4"/>
        <v/>
      </c>
      <c r="AB573" s="110" t="str">
        <f t="shared" si="5"/>
        <v/>
      </c>
      <c r="AC573" s="103" t="str">
        <f>if(X573,_xlfn.WORKDAY.INTL(X573,AC$7,"0000001",Holidays!A:A)+hour(X573)/24+MINUTE(X573)/1440,"")</f>
        <v/>
      </c>
      <c r="AD573" s="104"/>
      <c r="AE573" s="105"/>
      <c r="AF573" s="111" t="str">
        <f t="shared" si="6"/>
        <v/>
      </c>
      <c r="AG573" s="110" t="str">
        <f t="shared" si="7"/>
        <v/>
      </c>
      <c r="AH573" s="103" t="str">
        <f>if(AC573,if(and(hour(AC573+AH$7)&gt;9.5,(hour(AC573+AH$7)&lt;19.5)),AC573+AH$7,_xlfn.workday.intl(int(AC573),1,"0000001",Holidays!A:A)+hour(AC573+AH$7-$B$1)/24+minute(AC573)/1440),"")</f>
        <v/>
      </c>
      <c r="AI573" s="104"/>
      <c r="AJ573" s="105"/>
      <c r="AK573" s="111" t="str">
        <f t="shared" si="8"/>
        <v/>
      </c>
      <c r="AL573" s="112" t="str">
        <f t="shared" si="9"/>
        <v/>
      </c>
      <c r="AM573" s="113"/>
      <c r="AN573" s="291" t="s">
        <v>2540</v>
      </c>
      <c r="AO573" s="115"/>
      <c r="AP573" s="115"/>
      <c r="AQ573" s="115"/>
      <c r="AR573" s="115"/>
      <c r="AS573" s="115"/>
      <c r="AT573" s="115"/>
      <c r="AU573" s="115"/>
      <c r="AV573" s="115"/>
      <c r="AW573" s="115"/>
      <c r="AX573" s="115"/>
      <c r="AY573" s="115"/>
    </row>
    <row r="574">
      <c r="A574" s="95" t="str">
        <f t="shared" si="11"/>
        <v/>
      </c>
      <c r="B574" s="100"/>
      <c r="C574" s="97"/>
      <c r="D574" s="97"/>
      <c r="E574" s="97"/>
      <c r="F574" s="97"/>
      <c r="G574" s="97"/>
      <c r="H574" s="99"/>
      <c r="I574" s="100"/>
      <c r="J574" s="101"/>
      <c r="K574" s="100"/>
      <c r="L574" s="102"/>
      <c r="M574" s="103" t="str">
        <f>if(B574,if(and(hour(B574+M$7)&gt;9.5,(hour(B574+M$7)&lt;19.5)),B574+M$7,_xlfn.workday.intl(int(B574),1,"0000001",Holidays!A:A)+hour(B574+M$7-$B$1)/24+minute(B574)/1440),"")</f>
        <v/>
      </c>
      <c r="N574" s="104"/>
      <c r="O574" s="105"/>
      <c r="P574" s="106" t="str">
        <f t="shared" si="1"/>
        <v/>
      </c>
      <c r="Q574" s="107"/>
      <c r="R574" s="108"/>
      <c r="S574" s="103" t="str">
        <f>if(M574,if(and(hour(M574+S$7)&gt;9.5,(hour(M574+S$7)&lt;19.5)),M574+S$7,_xlfn.workday.intl(int(M574),1,"0000001",Holidays!A:A)+hour(M574+S$7-$B$1)/24+minute(M574)/1440),"")</f>
        <v/>
      </c>
      <c r="T574" s="104"/>
      <c r="U574" s="105"/>
      <c r="V574" s="109" t="str">
        <f t="shared" si="2"/>
        <v/>
      </c>
      <c r="W574" s="110" t="str">
        <f t="shared" si="3"/>
        <v/>
      </c>
      <c r="X574" s="103" t="str">
        <f>if(S574,if(and(hour(S574+X$7)&gt;9.5,(hour(S574+X$7)&lt;19.5)),S574+X$7,_xlfn.workday.intl(int(S574),1,"0000001",Holidays!A:A)+hour(S574+X$7-$B$1)/24+minute(S574)/1440),"")</f>
        <v/>
      </c>
      <c r="Y574" s="104"/>
      <c r="Z574" s="105"/>
      <c r="AA574" s="111" t="str">
        <f t="shared" si="4"/>
        <v/>
      </c>
      <c r="AB574" s="110" t="str">
        <f t="shared" si="5"/>
        <v/>
      </c>
      <c r="AC574" s="103" t="str">
        <f>if(X574,_xlfn.WORKDAY.INTL(X574,AC$7,"0000001",Holidays!A:A)+hour(X574)/24+MINUTE(X574)/1440,"")</f>
        <v/>
      </c>
      <c r="AD574" s="104"/>
      <c r="AE574" s="105"/>
      <c r="AF574" s="111" t="str">
        <f t="shared" si="6"/>
        <v/>
      </c>
      <c r="AG574" s="110" t="str">
        <f t="shared" si="7"/>
        <v/>
      </c>
      <c r="AH574" s="103" t="str">
        <f>if(AC574,if(and(hour(AC574+AH$7)&gt;9.5,(hour(AC574+AH$7)&lt;19.5)),AC574+AH$7,_xlfn.workday.intl(int(AC574),1,"0000001",Holidays!A:A)+hour(AC574+AH$7-$B$1)/24+minute(AC574)/1440),"")</f>
        <v/>
      </c>
      <c r="AI574" s="104"/>
      <c r="AJ574" s="105"/>
      <c r="AK574" s="111" t="str">
        <f t="shared" si="8"/>
        <v/>
      </c>
      <c r="AL574" s="112" t="str">
        <f t="shared" si="9"/>
        <v/>
      </c>
      <c r="AM574" s="113"/>
      <c r="AN574" s="291" t="s">
        <v>2540</v>
      </c>
      <c r="AO574" s="115"/>
      <c r="AP574" s="115"/>
      <c r="AQ574" s="115"/>
      <c r="AR574" s="115"/>
      <c r="AS574" s="115"/>
      <c r="AT574" s="115"/>
      <c r="AU574" s="115"/>
      <c r="AV574" s="115"/>
      <c r="AW574" s="115"/>
      <c r="AX574" s="115"/>
      <c r="AY574" s="115"/>
    </row>
    <row r="575">
      <c r="A575" s="95" t="str">
        <f t="shared" si="11"/>
        <v/>
      </c>
      <c r="B575" s="100"/>
      <c r="C575" s="97"/>
      <c r="D575" s="97"/>
      <c r="E575" s="97"/>
      <c r="F575" s="97"/>
      <c r="G575" s="97"/>
      <c r="H575" s="99"/>
      <c r="I575" s="100"/>
      <c r="J575" s="101"/>
      <c r="K575" s="100"/>
      <c r="L575" s="102"/>
      <c r="M575" s="103" t="str">
        <f>if(B575,if(and(hour(B575+M$7)&gt;9.5,(hour(B575+M$7)&lt;19.5)),B575+M$7,_xlfn.workday.intl(int(B575),1,"0000001",Holidays!A:A)+hour(B575+M$7-$B$1)/24+minute(B575)/1440),"")</f>
        <v/>
      </c>
      <c r="N575" s="104"/>
      <c r="O575" s="105"/>
      <c r="P575" s="106" t="str">
        <f t="shared" si="1"/>
        <v/>
      </c>
      <c r="Q575" s="107"/>
      <c r="R575" s="108"/>
      <c r="S575" s="103" t="str">
        <f>if(M575,if(and(hour(M575+S$7)&gt;9.5,(hour(M575+S$7)&lt;19.5)),M575+S$7,_xlfn.workday.intl(int(M575),1,"0000001",Holidays!A:A)+hour(M575+S$7-$B$1)/24+minute(M575)/1440),"")</f>
        <v/>
      </c>
      <c r="T575" s="104"/>
      <c r="U575" s="105"/>
      <c r="V575" s="109" t="str">
        <f t="shared" si="2"/>
        <v/>
      </c>
      <c r="W575" s="110" t="str">
        <f t="shared" si="3"/>
        <v/>
      </c>
      <c r="X575" s="103" t="str">
        <f>if(S575,if(and(hour(S575+X$7)&gt;9.5,(hour(S575+X$7)&lt;19.5)),S575+X$7,_xlfn.workday.intl(int(S575),1,"0000001",Holidays!A:A)+hour(S575+X$7-$B$1)/24+minute(S575)/1440),"")</f>
        <v/>
      </c>
      <c r="Y575" s="104"/>
      <c r="Z575" s="105"/>
      <c r="AA575" s="111" t="str">
        <f t="shared" si="4"/>
        <v/>
      </c>
      <c r="AB575" s="110" t="str">
        <f t="shared" si="5"/>
        <v/>
      </c>
      <c r="AC575" s="103" t="str">
        <f>if(X575,_xlfn.WORKDAY.INTL(X575,AC$7,"0000001",Holidays!A:A)+hour(X575)/24+MINUTE(X575)/1440,"")</f>
        <v/>
      </c>
      <c r="AD575" s="104"/>
      <c r="AE575" s="105"/>
      <c r="AF575" s="111" t="str">
        <f t="shared" si="6"/>
        <v/>
      </c>
      <c r="AG575" s="110" t="str">
        <f t="shared" si="7"/>
        <v/>
      </c>
      <c r="AH575" s="103" t="str">
        <f>if(AC575,if(and(hour(AC575+AH$7)&gt;9.5,(hour(AC575+AH$7)&lt;19.5)),AC575+AH$7,_xlfn.workday.intl(int(AC575),1,"0000001",Holidays!A:A)+hour(AC575+AH$7-$B$1)/24+minute(AC575)/1440),"")</f>
        <v/>
      </c>
      <c r="AI575" s="104"/>
      <c r="AJ575" s="105"/>
      <c r="AK575" s="111" t="str">
        <f t="shared" si="8"/>
        <v/>
      </c>
      <c r="AL575" s="112" t="str">
        <f t="shared" si="9"/>
        <v/>
      </c>
      <c r="AM575" s="113"/>
      <c r="AN575" s="291" t="s">
        <v>2540</v>
      </c>
      <c r="AO575" s="115"/>
      <c r="AP575" s="115"/>
      <c r="AQ575" s="115"/>
      <c r="AR575" s="115"/>
      <c r="AS575" s="115"/>
      <c r="AT575" s="115"/>
      <c r="AU575" s="115"/>
      <c r="AV575" s="115"/>
      <c r="AW575" s="115"/>
      <c r="AX575" s="115"/>
      <c r="AY575" s="115"/>
    </row>
    <row r="576">
      <c r="A576" s="95" t="str">
        <f t="shared" si="11"/>
        <v/>
      </c>
      <c r="B576" s="100"/>
      <c r="C576" s="97"/>
      <c r="D576" s="97"/>
      <c r="E576" s="97"/>
      <c r="F576" s="97"/>
      <c r="G576" s="97"/>
      <c r="H576" s="99"/>
      <c r="I576" s="100"/>
      <c r="J576" s="101"/>
      <c r="K576" s="100"/>
      <c r="L576" s="102"/>
      <c r="M576" s="103" t="str">
        <f>if(B576,if(and(hour(B576+M$7)&gt;9.5,(hour(B576+M$7)&lt;19.5)),B576+M$7,_xlfn.workday.intl(int(B576),1,"0000001",Holidays!A:A)+hour(B576+M$7-$B$1)/24+minute(B576)/1440),"")</f>
        <v/>
      </c>
      <c r="N576" s="104"/>
      <c r="O576" s="105"/>
      <c r="P576" s="106" t="str">
        <f t="shared" si="1"/>
        <v/>
      </c>
      <c r="Q576" s="107"/>
      <c r="R576" s="108"/>
      <c r="S576" s="103" t="str">
        <f>if(M576,if(and(hour(M576+S$7)&gt;9.5,(hour(M576+S$7)&lt;19.5)),M576+S$7,_xlfn.workday.intl(int(M576),1,"0000001",Holidays!A:A)+hour(M576+S$7-$B$1)/24+minute(M576)/1440),"")</f>
        <v/>
      </c>
      <c r="T576" s="104"/>
      <c r="U576" s="105"/>
      <c r="V576" s="109" t="str">
        <f t="shared" si="2"/>
        <v/>
      </c>
      <c r="W576" s="110" t="str">
        <f t="shared" si="3"/>
        <v/>
      </c>
      <c r="X576" s="103" t="str">
        <f>if(S576,if(and(hour(S576+X$7)&gt;9.5,(hour(S576+X$7)&lt;19.5)),S576+X$7,_xlfn.workday.intl(int(S576),1,"0000001",Holidays!A:A)+hour(S576+X$7-$B$1)/24+minute(S576)/1440),"")</f>
        <v/>
      </c>
      <c r="Y576" s="104"/>
      <c r="Z576" s="105"/>
      <c r="AA576" s="111" t="str">
        <f t="shared" si="4"/>
        <v/>
      </c>
      <c r="AB576" s="110" t="str">
        <f t="shared" si="5"/>
        <v/>
      </c>
      <c r="AC576" s="103" t="str">
        <f>if(X576,_xlfn.WORKDAY.INTL(X576,AC$7,"0000001",Holidays!A:A)+hour(X576)/24+MINUTE(X576)/1440,"")</f>
        <v/>
      </c>
      <c r="AD576" s="104"/>
      <c r="AE576" s="105"/>
      <c r="AF576" s="111" t="str">
        <f t="shared" si="6"/>
        <v/>
      </c>
      <c r="AG576" s="110" t="str">
        <f t="shared" si="7"/>
        <v/>
      </c>
      <c r="AH576" s="103" t="str">
        <f>if(AC576,if(and(hour(AC576+AH$7)&gt;9.5,(hour(AC576+AH$7)&lt;19.5)),AC576+AH$7,_xlfn.workday.intl(int(AC576),1,"0000001",Holidays!A:A)+hour(AC576+AH$7-$B$1)/24+minute(AC576)/1440),"")</f>
        <v/>
      </c>
      <c r="AI576" s="104"/>
      <c r="AJ576" s="105"/>
      <c r="AK576" s="111" t="str">
        <f t="shared" si="8"/>
        <v/>
      </c>
      <c r="AL576" s="112" t="str">
        <f t="shared" si="9"/>
        <v/>
      </c>
      <c r="AM576" s="113"/>
      <c r="AN576" s="291" t="s">
        <v>2540</v>
      </c>
      <c r="AO576" s="115"/>
      <c r="AP576" s="115"/>
      <c r="AQ576" s="115"/>
      <c r="AR576" s="115"/>
      <c r="AS576" s="115"/>
      <c r="AT576" s="115"/>
      <c r="AU576" s="115"/>
      <c r="AV576" s="115"/>
      <c r="AW576" s="115"/>
      <c r="AX576" s="115"/>
      <c r="AY576" s="115"/>
    </row>
    <row r="577">
      <c r="A577" s="95" t="str">
        <f t="shared" si="11"/>
        <v/>
      </c>
      <c r="B577" s="100"/>
      <c r="C577" s="97"/>
      <c r="D577" s="97"/>
      <c r="E577" s="97"/>
      <c r="F577" s="97"/>
      <c r="G577" s="97"/>
      <c r="H577" s="99"/>
      <c r="I577" s="100"/>
      <c r="J577" s="101"/>
      <c r="K577" s="100"/>
      <c r="L577" s="102"/>
      <c r="M577" s="103" t="str">
        <f>if(B577,if(and(hour(B577+M$7)&gt;9.5,(hour(B577+M$7)&lt;19.5)),B577+M$7,_xlfn.workday.intl(int(B577),1,"0000001",Holidays!A:A)+hour(B577+M$7-$B$1)/24+minute(B577)/1440),"")</f>
        <v/>
      </c>
      <c r="N577" s="104"/>
      <c r="O577" s="105"/>
      <c r="P577" s="106" t="str">
        <f t="shared" si="1"/>
        <v/>
      </c>
      <c r="Q577" s="107"/>
      <c r="R577" s="108"/>
      <c r="S577" s="103" t="str">
        <f>if(M577,if(and(hour(M577+S$7)&gt;9.5,(hour(M577+S$7)&lt;19.5)),M577+S$7,_xlfn.workday.intl(int(M577),1,"0000001",Holidays!A:A)+hour(M577+S$7-$B$1)/24+minute(M577)/1440),"")</f>
        <v/>
      </c>
      <c r="T577" s="104"/>
      <c r="U577" s="105"/>
      <c r="V577" s="109" t="str">
        <f t="shared" si="2"/>
        <v/>
      </c>
      <c r="W577" s="110" t="str">
        <f t="shared" si="3"/>
        <v/>
      </c>
      <c r="X577" s="103" t="str">
        <f>if(S577,if(and(hour(S577+X$7)&gt;9.5,(hour(S577+X$7)&lt;19.5)),S577+X$7,_xlfn.workday.intl(int(S577),1,"0000001",Holidays!A:A)+hour(S577+X$7-$B$1)/24+minute(S577)/1440),"")</f>
        <v/>
      </c>
      <c r="Y577" s="104"/>
      <c r="Z577" s="105"/>
      <c r="AA577" s="111" t="str">
        <f t="shared" si="4"/>
        <v/>
      </c>
      <c r="AB577" s="110" t="str">
        <f t="shared" si="5"/>
        <v/>
      </c>
      <c r="AC577" s="103" t="str">
        <f>if(X577,_xlfn.WORKDAY.INTL(X577,AC$7,"0000001",Holidays!A:A)+hour(X577)/24+MINUTE(X577)/1440,"")</f>
        <v/>
      </c>
      <c r="AD577" s="104"/>
      <c r="AE577" s="105"/>
      <c r="AF577" s="111" t="str">
        <f t="shared" si="6"/>
        <v/>
      </c>
      <c r="AG577" s="110" t="str">
        <f t="shared" si="7"/>
        <v/>
      </c>
      <c r="AH577" s="103" t="str">
        <f>if(AC577,if(and(hour(AC577+AH$7)&gt;9.5,(hour(AC577+AH$7)&lt;19.5)),AC577+AH$7,_xlfn.workday.intl(int(AC577),1,"0000001",Holidays!A:A)+hour(AC577+AH$7-$B$1)/24+minute(AC577)/1440),"")</f>
        <v/>
      </c>
      <c r="AI577" s="104"/>
      <c r="AJ577" s="105"/>
      <c r="AK577" s="111" t="str">
        <f t="shared" si="8"/>
        <v/>
      </c>
      <c r="AL577" s="112" t="str">
        <f t="shared" si="9"/>
        <v/>
      </c>
      <c r="AM577" s="113"/>
      <c r="AN577" s="291" t="s">
        <v>2540</v>
      </c>
      <c r="AO577" s="115"/>
      <c r="AP577" s="115"/>
      <c r="AQ577" s="115"/>
      <c r="AR577" s="115"/>
      <c r="AS577" s="115"/>
      <c r="AT577" s="115"/>
      <c r="AU577" s="115"/>
      <c r="AV577" s="115"/>
      <c r="AW577" s="115"/>
      <c r="AX577" s="115"/>
      <c r="AY577" s="115"/>
    </row>
    <row r="578">
      <c r="A578" s="95" t="str">
        <f t="shared" si="11"/>
        <v/>
      </c>
      <c r="B578" s="100"/>
      <c r="C578" s="97"/>
      <c r="D578" s="97"/>
      <c r="E578" s="97"/>
      <c r="F578" s="97"/>
      <c r="G578" s="97"/>
      <c r="H578" s="99"/>
      <c r="I578" s="100"/>
      <c r="J578" s="101"/>
      <c r="K578" s="100"/>
      <c r="L578" s="102"/>
      <c r="M578" s="103" t="str">
        <f>if(B578,if(and(hour(B578+M$7)&gt;9.5,(hour(B578+M$7)&lt;19.5)),B578+M$7,_xlfn.workday.intl(int(B578),1,"0000001",Holidays!A:A)+hour(B578+M$7-$B$1)/24+minute(B578)/1440),"")</f>
        <v/>
      </c>
      <c r="N578" s="104"/>
      <c r="O578" s="105"/>
      <c r="P578" s="106" t="str">
        <f t="shared" si="1"/>
        <v/>
      </c>
      <c r="Q578" s="107"/>
      <c r="R578" s="108"/>
      <c r="S578" s="103" t="str">
        <f>if(M578,if(and(hour(M578+S$7)&gt;9.5,(hour(M578+S$7)&lt;19.5)),M578+S$7,_xlfn.workday.intl(int(M578),1,"0000001",Holidays!A:A)+hour(M578+S$7-$B$1)/24+minute(M578)/1440),"")</f>
        <v/>
      </c>
      <c r="T578" s="104"/>
      <c r="U578" s="105"/>
      <c r="V578" s="109" t="str">
        <f t="shared" si="2"/>
        <v/>
      </c>
      <c r="W578" s="110" t="str">
        <f t="shared" si="3"/>
        <v/>
      </c>
      <c r="X578" s="103" t="str">
        <f>if(S578,if(and(hour(S578+X$7)&gt;9.5,(hour(S578+X$7)&lt;19.5)),S578+X$7,_xlfn.workday.intl(int(S578),1,"0000001",Holidays!A:A)+hour(S578+X$7-$B$1)/24+minute(S578)/1440),"")</f>
        <v/>
      </c>
      <c r="Y578" s="104"/>
      <c r="Z578" s="105"/>
      <c r="AA578" s="111" t="str">
        <f t="shared" si="4"/>
        <v/>
      </c>
      <c r="AB578" s="110" t="str">
        <f t="shared" si="5"/>
        <v/>
      </c>
      <c r="AC578" s="103" t="str">
        <f>if(X578,_xlfn.WORKDAY.INTL(X578,AC$7,"0000001",Holidays!A:A)+hour(X578)/24+MINUTE(X578)/1440,"")</f>
        <v/>
      </c>
      <c r="AD578" s="104"/>
      <c r="AE578" s="105"/>
      <c r="AF578" s="111" t="str">
        <f t="shared" si="6"/>
        <v/>
      </c>
      <c r="AG578" s="110" t="str">
        <f t="shared" si="7"/>
        <v/>
      </c>
      <c r="AH578" s="103" t="str">
        <f>if(AC578,if(and(hour(AC578+AH$7)&gt;9.5,(hour(AC578+AH$7)&lt;19.5)),AC578+AH$7,_xlfn.workday.intl(int(AC578),1,"0000001",Holidays!A:A)+hour(AC578+AH$7-$B$1)/24+minute(AC578)/1440),"")</f>
        <v/>
      </c>
      <c r="AI578" s="104"/>
      <c r="AJ578" s="105"/>
      <c r="AK578" s="111" t="str">
        <f t="shared" si="8"/>
        <v/>
      </c>
      <c r="AL578" s="112" t="str">
        <f t="shared" si="9"/>
        <v/>
      </c>
      <c r="AM578" s="113"/>
      <c r="AN578" s="291" t="s">
        <v>2540</v>
      </c>
      <c r="AO578" s="115"/>
      <c r="AP578" s="115"/>
      <c r="AQ578" s="115"/>
      <c r="AR578" s="115"/>
      <c r="AS578" s="115"/>
      <c r="AT578" s="115"/>
      <c r="AU578" s="115"/>
      <c r="AV578" s="115"/>
      <c r="AW578" s="115"/>
      <c r="AX578" s="115"/>
      <c r="AY578" s="115"/>
    </row>
    <row r="579">
      <c r="A579" s="95" t="str">
        <f t="shared" si="11"/>
        <v/>
      </c>
      <c r="B579" s="100"/>
      <c r="C579" s="97"/>
      <c r="D579" s="97"/>
      <c r="E579" s="97"/>
      <c r="F579" s="97"/>
      <c r="G579" s="97"/>
      <c r="H579" s="99"/>
      <c r="I579" s="100"/>
      <c r="J579" s="101"/>
      <c r="K579" s="100"/>
      <c r="L579" s="102"/>
      <c r="M579" s="103" t="str">
        <f>if(B579,if(and(hour(B579+M$7)&gt;9.5,(hour(B579+M$7)&lt;19.5)),B579+M$7,_xlfn.workday.intl(int(B579),1,"0000001",Holidays!A:A)+hour(B579+M$7-$B$1)/24+minute(B579)/1440),"")</f>
        <v/>
      </c>
      <c r="N579" s="104"/>
      <c r="O579" s="105"/>
      <c r="P579" s="106" t="str">
        <f t="shared" si="1"/>
        <v/>
      </c>
      <c r="Q579" s="107"/>
      <c r="R579" s="108"/>
      <c r="S579" s="103" t="str">
        <f>if(M579,if(and(hour(M579+S$7)&gt;9.5,(hour(M579+S$7)&lt;19.5)),M579+S$7,_xlfn.workday.intl(int(M579),1,"0000001",Holidays!A:A)+hour(M579+S$7-$B$1)/24+minute(M579)/1440),"")</f>
        <v/>
      </c>
      <c r="T579" s="104"/>
      <c r="U579" s="105"/>
      <c r="V579" s="109" t="str">
        <f t="shared" si="2"/>
        <v/>
      </c>
      <c r="W579" s="110" t="str">
        <f t="shared" si="3"/>
        <v/>
      </c>
      <c r="X579" s="103" t="str">
        <f>if(S579,if(and(hour(S579+X$7)&gt;9.5,(hour(S579+X$7)&lt;19.5)),S579+X$7,_xlfn.workday.intl(int(S579),1,"0000001",Holidays!A:A)+hour(S579+X$7-$B$1)/24+minute(S579)/1440),"")</f>
        <v/>
      </c>
      <c r="Y579" s="104"/>
      <c r="Z579" s="105"/>
      <c r="AA579" s="111" t="str">
        <f t="shared" si="4"/>
        <v/>
      </c>
      <c r="AB579" s="110" t="str">
        <f t="shared" si="5"/>
        <v/>
      </c>
      <c r="AC579" s="103" t="str">
        <f>if(X579,_xlfn.WORKDAY.INTL(X579,AC$7,"0000001",Holidays!A:A)+hour(X579)/24+MINUTE(X579)/1440,"")</f>
        <v/>
      </c>
      <c r="AD579" s="104"/>
      <c r="AE579" s="105"/>
      <c r="AF579" s="111" t="str">
        <f t="shared" si="6"/>
        <v/>
      </c>
      <c r="AG579" s="110" t="str">
        <f t="shared" si="7"/>
        <v/>
      </c>
      <c r="AH579" s="103" t="str">
        <f>if(AC579,if(and(hour(AC579+AH$7)&gt;9.5,(hour(AC579+AH$7)&lt;19.5)),AC579+AH$7,_xlfn.workday.intl(int(AC579),1,"0000001",Holidays!A:A)+hour(AC579+AH$7-$B$1)/24+minute(AC579)/1440),"")</f>
        <v/>
      </c>
      <c r="AI579" s="104"/>
      <c r="AJ579" s="105"/>
      <c r="AK579" s="111" t="str">
        <f t="shared" si="8"/>
        <v/>
      </c>
      <c r="AL579" s="112" t="str">
        <f t="shared" si="9"/>
        <v/>
      </c>
      <c r="AM579" s="113"/>
      <c r="AN579" s="291" t="s">
        <v>2540</v>
      </c>
      <c r="AO579" s="115"/>
      <c r="AP579" s="115"/>
      <c r="AQ579" s="115"/>
      <c r="AR579" s="115"/>
      <c r="AS579" s="115"/>
      <c r="AT579" s="115"/>
      <c r="AU579" s="115"/>
      <c r="AV579" s="115"/>
      <c r="AW579" s="115"/>
      <c r="AX579" s="115"/>
      <c r="AY579" s="115"/>
    </row>
    <row r="580">
      <c r="A580" s="95" t="str">
        <f t="shared" si="11"/>
        <v/>
      </c>
      <c r="B580" s="100"/>
      <c r="C580" s="97"/>
      <c r="D580" s="97"/>
      <c r="E580" s="97"/>
      <c r="F580" s="97"/>
      <c r="G580" s="97"/>
      <c r="H580" s="99"/>
      <c r="I580" s="100"/>
      <c r="J580" s="101"/>
      <c r="K580" s="100"/>
      <c r="L580" s="102"/>
      <c r="M580" s="103" t="str">
        <f>if(B580,if(and(hour(B580+M$7)&gt;9.5,(hour(B580+M$7)&lt;19.5)),B580+M$7,_xlfn.workday.intl(int(B580),1,"0000001",Holidays!A:A)+hour(B580+M$7-$B$1)/24+minute(B580)/1440),"")</f>
        <v/>
      </c>
      <c r="N580" s="104"/>
      <c r="O580" s="105"/>
      <c r="P580" s="106" t="str">
        <f t="shared" si="1"/>
        <v/>
      </c>
      <c r="Q580" s="107"/>
      <c r="R580" s="108"/>
      <c r="S580" s="103" t="str">
        <f>if(M580,if(and(hour(M580+S$7)&gt;9.5,(hour(M580+S$7)&lt;19.5)),M580+S$7,_xlfn.workday.intl(int(M580),1,"0000001",Holidays!A:A)+hour(M580+S$7-$B$1)/24+minute(M580)/1440),"")</f>
        <v/>
      </c>
      <c r="T580" s="104"/>
      <c r="U580" s="105"/>
      <c r="V580" s="109" t="str">
        <f t="shared" si="2"/>
        <v/>
      </c>
      <c r="W580" s="110" t="str">
        <f t="shared" si="3"/>
        <v/>
      </c>
      <c r="X580" s="103" t="str">
        <f>if(S580,if(and(hour(S580+X$7)&gt;9.5,(hour(S580+X$7)&lt;19.5)),S580+X$7,_xlfn.workday.intl(int(S580),1,"0000001",Holidays!A:A)+hour(S580+X$7-$B$1)/24+minute(S580)/1440),"")</f>
        <v/>
      </c>
      <c r="Y580" s="104"/>
      <c r="Z580" s="105"/>
      <c r="AA580" s="111" t="str">
        <f t="shared" si="4"/>
        <v/>
      </c>
      <c r="AB580" s="110" t="str">
        <f t="shared" si="5"/>
        <v/>
      </c>
      <c r="AC580" s="103" t="str">
        <f>if(X580,_xlfn.WORKDAY.INTL(X580,AC$7,"0000001",Holidays!A:A)+hour(X580)/24+MINUTE(X580)/1440,"")</f>
        <v/>
      </c>
      <c r="AD580" s="104"/>
      <c r="AE580" s="105"/>
      <c r="AF580" s="111" t="str">
        <f t="shared" si="6"/>
        <v/>
      </c>
      <c r="AG580" s="110" t="str">
        <f t="shared" si="7"/>
        <v/>
      </c>
      <c r="AH580" s="103" t="str">
        <f>if(AC580,if(and(hour(AC580+AH$7)&gt;9.5,(hour(AC580+AH$7)&lt;19.5)),AC580+AH$7,_xlfn.workday.intl(int(AC580),1,"0000001",Holidays!A:A)+hour(AC580+AH$7-$B$1)/24+minute(AC580)/1440),"")</f>
        <v/>
      </c>
      <c r="AI580" s="104"/>
      <c r="AJ580" s="105"/>
      <c r="AK580" s="111" t="str">
        <f t="shared" si="8"/>
        <v/>
      </c>
      <c r="AL580" s="112" t="str">
        <f t="shared" si="9"/>
        <v/>
      </c>
      <c r="AM580" s="113"/>
      <c r="AN580" s="291" t="s">
        <v>2540</v>
      </c>
      <c r="AO580" s="115"/>
      <c r="AP580" s="115"/>
      <c r="AQ580" s="115"/>
      <c r="AR580" s="115"/>
      <c r="AS580" s="115"/>
      <c r="AT580" s="115"/>
      <c r="AU580" s="115"/>
      <c r="AV580" s="115"/>
      <c r="AW580" s="115"/>
      <c r="AX580" s="115"/>
      <c r="AY580" s="115"/>
    </row>
    <row r="581">
      <c r="A581" s="95" t="str">
        <f t="shared" si="11"/>
        <v/>
      </c>
      <c r="B581" s="100"/>
      <c r="C581" s="97"/>
      <c r="D581" s="97"/>
      <c r="E581" s="97"/>
      <c r="F581" s="97"/>
      <c r="G581" s="97"/>
      <c r="H581" s="99"/>
      <c r="I581" s="100"/>
      <c r="J581" s="101"/>
      <c r="K581" s="100"/>
      <c r="L581" s="102"/>
      <c r="M581" s="103" t="str">
        <f>if(B581,if(and(hour(B581+M$7)&gt;9.5,(hour(B581+M$7)&lt;19.5)),B581+M$7,_xlfn.workday.intl(int(B581),1,"0000001",Holidays!A:A)+hour(B581+M$7-$B$1)/24+minute(B581)/1440),"")</f>
        <v/>
      </c>
      <c r="N581" s="104"/>
      <c r="O581" s="105"/>
      <c r="P581" s="106" t="str">
        <f t="shared" si="1"/>
        <v/>
      </c>
      <c r="Q581" s="107"/>
      <c r="R581" s="108"/>
      <c r="S581" s="103" t="str">
        <f>if(M581,if(and(hour(M581+S$7)&gt;9.5,(hour(M581+S$7)&lt;19.5)),M581+S$7,_xlfn.workday.intl(int(M581),1,"0000001",Holidays!A:A)+hour(M581+S$7-$B$1)/24+minute(M581)/1440),"")</f>
        <v/>
      </c>
      <c r="T581" s="104"/>
      <c r="U581" s="105"/>
      <c r="V581" s="109" t="str">
        <f t="shared" si="2"/>
        <v/>
      </c>
      <c r="W581" s="110" t="str">
        <f t="shared" si="3"/>
        <v/>
      </c>
      <c r="X581" s="103" t="str">
        <f>if(S581,if(and(hour(S581+X$7)&gt;9.5,(hour(S581+X$7)&lt;19.5)),S581+X$7,_xlfn.workday.intl(int(S581),1,"0000001",Holidays!A:A)+hour(S581+X$7-$B$1)/24+minute(S581)/1440),"")</f>
        <v/>
      </c>
      <c r="Y581" s="104"/>
      <c r="Z581" s="105"/>
      <c r="AA581" s="111" t="str">
        <f t="shared" si="4"/>
        <v/>
      </c>
      <c r="AB581" s="110" t="str">
        <f t="shared" si="5"/>
        <v/>
      </c>
      <c r="AC581" s="103" t="str">
        <f>if(X581,_xlfn.WORKDAY.INTL(X581,AC$7,"0000001",Holidays!A:A)+hour(X581)/24+MINUTE(X581)/1440,"")</f>
        <v/>
      </c>
      <c r="AD581" s="104"/>
      <c r="AE581" s="105"/>
      <c r="AF581" s="111" t="str">
        <f t="shared" si="6"/>
        <v/>
      </c>
      <c r="AG581" s="110" t="str">
        <f t="shared" si="7"/>
        <v/>
      </c>
      <c r="AH581" s="103" t="str">
        <f>if(AC581,if(and(hour(AC581+AH$7)&gt;9.5,(hour(AC581+AH$7)&lt;19.5)),AC581+AH$7,_xlfn.workday.intl(int(AC581),1,"0000001",Holidays!A:A)+hour(AC581+AH$7-$B$1)/24+minute(AC581)/1440),"")</f>
        <v/>
      </c>
      <c r="AI581" s="104"/>
      <c r="AJ581" s="105"/>
      <c r="AK581" s="111" t="str">
        <f t="shared" si="8"/>
        <v/>
      </c>
      <c r="AL581" s="112" t="str">
        <f t="shared" si="9"/>
        <v/>
      </c>
      <c r="AM581" s="113"/>
      <c r="AN581" s="291" t="s">
        <v>2540</v>
      </c>
      <c r="AO581" s="115"/>
      <c r="AP581" s="115"/>
      <c r="AQ581" s="115"/>
      <c r="AR581" s="115"/>
      <c r="AS581" s="115"/>
      <c r="AT581" s="115"/>
      <c r="AU581" s="115"/>
      <c r="AV581" s="115"/>
      <c r="AW581" s="115"/>
      <c r="AX581" s="115"/>
      <c r="AY581" s="115"/>
    </row>
    <row r="582">
      <c r="A582" s="95" t="str">
        <f t="shared" si="11"/>
        <v/>
      </c>
      <c r="B582" s="100"/>
      <c r="C582" s="97"/>
      <c r="D582" s="97"/>
      <c r="E582" s="97"/>
      <c r="F582" s="97"/>
      <c r="G582" s="97"/>
      <c r="H582" s="99"/>
      <c r="I582" s="100"/>
      <c r="J582" s="101"/>
      <c r="K582" s="100"/>
      <c r="L582" s="102"/>
      <c r="M582" s="103" t="str">
        <f>if(B582,if(and(hour(B582+M$7)&gt;9.5,(hour(B582+M$7)&lt;19.5)),B582+M$7,_xlfn.workday.intl(int(B582),1,"0000001",Holidays!A:A)+hour(B582+M$7-$B$1)/24+minute(B582)/1440),"")</f>
        <v/>
      </c>
      <c r="N582" s="104"/>
      <c r="O582" s="105"/>
      <c r="P582" s="106" t="str">
        <f t="shared" si="1"/>
        <v/>
      </c>
      <c r="Q582" s="107"/>
      <c r="R582" s="108"/>
      <c r="S582" s="103" t="str">
        <f>if(M582,if(and(hour(M582+S$7)&gt;9.5,(hour(M582+S$7)&lt;19.5)),M582+S$7,_xlfn.workday.intl(int(M582),1,"0000001",Holidays!A:A)+hour(M582+S$7-$B$1)/24+minute(M582)/1440),"")</f>
        <v/>
      </c>
      <c r="T582" s="104"/>
      <c r="U582" s="105"/>
      <c r="V582" s="109" t="str">
        <f t="shared" si="2"/>
        <v/>
      </c>
      <c r="W582" s="110" t="str">
        <f t="shared" si="3"/>
        <v/>
      </c>
      <c r="X582" s="103" t="str">
        <f>if(S582,if(and(hour(S582+X$7)&gt;9.5,(hour(S582+X$7)&lt;19.5)),S582+X$7,_xlfn.workday.intl(int(S582),1,"0000001",Holidays!A:A)+hour(S582+X$7-$B$1)/24+minute(S582)/1440),"")</f>
        <v/>
      </c>
      <c r="Y582" s="104"/>
      <c r="Z582" s="105"/>
      <c r="AA582" s="111" t="str">
        <f t="shared" si="4"/>
        <v/>
      </c>
      <c r="AB582" s="110" t="str">
        <f t="shared" si="5"/>
        <v/>
      </c>
      <c r="AC582" s="103" t="str">
        <f>if(X582,_xlfn.WORKDAY.INTL(X582,AC$7,"0000001",Holidays!A:A)+hour(X582)/24+MINUTE(X582)/1440,"")</f>
        <v/>
      </c>
      <c r="AD582" s="104"/>
      <c r="AE582" s="105"/>
      <c r="AF582" s="111" t="str">
        <f t="shared" si="6"/>
        <v/>
      </c>
      <c r="AG582" s="110" t="str">
        <f t="shared" si="7"/>
        <v/>
      </c>
      <c r="AH582" s="103" t="str">
        <f>if(AC582,if(and(hour(AC582+AH$7)&gt;9.5,(hour(AC582+AH$7)&lt;19.5)),AC582+AH$7,_xlfn.workday.intl(int(AC582),1,"0000001",Holidays!A:A)+hour(AC582+AH$7-$B$1)/24+minute(AC582)/1440),"")</f>
        <v/>
      </c>
      <c r="AI582" s="104"/>
      <c r="AJ582" s="105"/>
      <c r="AK582" s="111" t="str">
        <f t="shared" si="8"/>
        <v/>
      </c>
      <c r="AL582" s="112" t="str">
        <f t="shared" si="9"/>
        <v/>
      </c>
      <c r="AM582" s="113"/>
      <c r="AN582" s="291" t="s">
        <v>2540</v>
      </c>
      <c r="AO582" s="115"/>
      <c r="AP582" s="115"/>
      <c r="AQ582" s="115"/>
      <c r="AR582" s="115"/>
      <c r="AS582" s="115"/>
      <c r="AT582" s="115"/>
      <c r="AU582" s="115"/>
      <c r="AV582" s="115"/>
      <c r="AW582" s="115"/>
      <c r="AX582" s="115"/>
      <c r="AY582" s="115"/>
    </row>
    <row r="583">
      <c r="A583" s="95" t="str">
        <f t="shared" si="11"/>
        <v/>
      </c>
      <c r="B583" s="100"/>
      <c r="C583" s="97"/>
      <c r="D583" s="97"/>
      <c r="E583" s="97"/>
      <c r="F583" s="97"/>
      <c r="G583" s="97"/>
      <c r="H583" s="99"/>
      <c r="I583" s="100"/>
      <c r="J583" s="101"/>
      <c r="K583" s="100"/>
      <c r="L583" s="102"/>
      <c r="M583" s="103" t="str">
        <f>if(B583,if(and(hour(B583+M$7)&gt;9.5,(hour(B583+M$7)&lt;19.5)),B583+M$7,_xlfn.workday.intl(int(B583),1,"0000001",Holidays!A:A)+hour(B583+M$7-$B$1)/24+minute(B583)/1440),"")</f>
        <v/>
      </c>
      <c r="N583" s="104"/>
      <c r="O583" s="105"/>
      <c r="P583" s="106" t="str">
        <f t="shared" si="1"/>
        <v/>
      </c>
      <c r="Q583" s="107"/>
      <c r="R583" s="108"/>
      <c r="S583" s="103" t="str">
        <f>if(M583,if(and(hour(M583+S$7)&gt;9.5,(hour(M583+S$7)&lt;19.5)),M583+S$7,_xlfn.workday.intl(int(M583),1,"0000001",Holidays!A:A)+hour(M583+S$7-$B$1)/24+minute(M583)/1440),"")</f>
        <v/>
      </c>
      <c r="T583" s="104"/>
      <c r="U583" s="105"/>
      <c r="V583" s="109" t="str">
        <f t="shared" si="2"/>
        <v/>
      </c>
      <c r="W583" s="110" t="str">
        <f t="shared" si="3"/>
        <v/>
      </c>
      <c r="X583" s="103" t="str">
        <f>if(S583,if(and(hour(S583+X$7)&gt;9.5,(hour(S583+X$7)&lt;19.5)),S583+X$7,_xlfn.workday.intl(int(S583),1,"0000001",Holidays!A:A)+hour(S583+X$7-$B$1)/24+minute(S583)/1440),"")</f>
        <v/>
      </c>
      <c r="Y583" s="104"/>
      <c r="Z583" s="105"/>
      <c r="AA583" s="111" t="str">
        <f t="shared" si="4"/>
        <v/>
      </c>
      <c r="AB583" s="110" t="str">
        <f t="shared" si="5"/>
        <v/>
      </c>
      <c r="AC583" s="103" t="str">
        <f>if(X583,_xlfn.WORKDAY.INTL(X583,AC$7,"0000001",Holidays!A:A)+hour(X583)/24+MINUTE(X583)/1440,"")</f>
        <v/>
      </c>
      <c r="AD583" s="104"/>
      <c r="AE583" s="105"/>
      <c r="AF583" s="111" t="str">
        <f t="shared" si="6"/>
        <v/>
      </c>
      <c r="AG583" s="110" t="str">
        <f t="shared" si="7"/>
        <v/>
      </c>
      <c r="AH583" s="103" t="str">
        <f>if(AC583,if(and(hour(AC583+AH$7)&gt;9.5,(hour(AC583+AH$7)&lt;19.5)),AC583+AH$7,_xlfn.workday.intl(int(AC583),1,"0000001",Holidays!A:A)+hour(AC583+AH$7-$B$1)/24+minute(AC583)/1440),"")</f>
        <v/>
      </c>
      <c r="AI583" s="104"/>
      <c r="AJ583" s="105"/>
      <c r="AK583" s="111" t="str">
        <f t="shared" si="8"/>
        <v/>
      </c>
      <c r="AL583" s="112" t="str">
        <f t="shared" si="9"/>
        <v/>
      </c>
      <c r="AM583" s="113"/>
      <c r="AN583" s="291" t="s">
        <v>2540</v>
      </c>
      <c r="AO583" s="115"/>
      <c r="AP583" s="115"/>
      <c r="AQ583" s="115"/>
      <c r="AR583" s="115"/>
      <c r="AS583" s="115"/>
      <c r="AT583" s="115"/>
      <c r="AU583" s="115"/>
      <c r="AV583" s="115"/>
      <c r="AW583" s="115"/>
      <c r="AX583" s="115"/>
      <c r="AY583" s="115"/>
    </row>
    <row r="584">
      <c r="A584" s="95" t="str">
        <f t="shared" si="11"/>
        <v/>
      </c>
      <c r="B584" s="100"/>
      <c r="C584" s="97"/>
      <c r="D584" s="97"/>
      <c r="E584" s="97"/>
      <c r="F584" s="97"/>
      <c r="G584" s="97"/>
      <c r="H584" s="99"/>
      <c r="I584" s="100"/>
      <c r="J584" s="101"/>
      <c r="K584" s="100"/>
      <c r="L584" s="102"/>
      <c r="M584" s="103" t="str">
        <f>if(B584,if(and(hour(B584+M$7)&gt;9.5,(hour(B584+M$7)&lt;19.5)),B584+M$7,_xlfn.workday.intl(int(B584),1,"0000001",Holidays!A:A)+hour(B584+M$7-$B$1)/24+minute(B584)/1440),"")</f>
        <v/>
      </c>
      <c r="N584" s="104"/>
      <c r="O584" s="105"/>
      <c r="P584" s="106" t="str">
        <f t="shared" si="1"/>
        <v/>
      </c>
      <c r="Q584" s="107"/>
      <c r="R584" s="108"/>
      <c r="S584" s="103" t="str">
        <f>if(M584,if(and(hour(M584+S$7)&gt;9.5,(hour(M584+S$7)&lt;19.5)),M584+S$7,_xlfn.workday.intl(int(M584),1,"0000001",Holidays!A:A)+hour(M584+S$7-$B$1)/24+minute(M584)/1440),"")</f>
        <v/>
      </c>
      <c r="T584" s="104"/>
      <c r="U584" s="105"/>
      <c r="V584" s="109" t="str">
        <f t="shared" si="2"/>
        <v/>
      </c>
      <c r="W584" s="110" t="str">
        <f t="shared" si="3"/>
        <v/>
      </c>
      <c r="X584" s="103" t="str">
        <f>if(S584,if(and(hour(S584+X$7)&gt;9.5,(hour(S584+X$7)&lt;19.5)),S584+X$7,_xlfn.workday.intl(int(S584),1,"0000001",Holidays!A:A)+hour(S584+X$7-$B$1)/24+minute(S584)/1440),"")</f>
        <v/>
      </c>
      <c r="Y584" s="104"/>
      <c r="Z584" s="105"/>
      <c r="AA584" s="111" t="str">
        <f t="shared" si="4"/>
        <v/>
      </c>
      <c r="AB584" s="110" t="str">
        <f t="shared" si="5"/>
        <v/>
      </c>
      <c r="AC584" s="103" t="str">
        <f>if(X584,_xlfn.WORKDAY.INTL(X584,AC$7,"0000001",Holidays!A:A)+hour(X584)/24+MINUTE(X584)/1440,"")</f>
        <v/>
      </c>
      <c r="AD584" s="104"/>
      <c r="AE584" s="105"/>
      <c r="AF584" s="111" t="str">
        <f t="shared" si="6"/>
        <v/>
      </c>
      <c r="AG584" s="110" t="str">
        <f t="shared" si="7"/>
        <v/>
      </c>
      <c r="AH584" s="103" t="str">
        <f>if(AC584,if(and(hour(AC584+AH$7)&gt;9.5,(hour(AC584+AH$7)&lt;19.5)),AC584+AH$7,_xlfn.workday.intl(int(AC584),1,"0000001",Holidays!A:A)+hour(AC584+AH$7-$B$1)/24+minute(AC584)/1440),"")</f>
        <v/>
      </c>
      <c r="AI584" s="104"/>
      <c r="AJ584" s="105"/>
      <c r="AK584" s="111" t="str">
        <f t="shared" si="8"/>
        <v/>
      </c>
      <c r="AL584" s="112" t="str">
        <f t="shared" si="9"/>
        <v/>
      </c>
      <c r="AM584" s="113"/>
      <c r="AN584" s="291" t="s">
        <v>2540</v>
      </c>
      <c r="AO584" s="115"/>
      <c r="AP584" s="115"/>
      <c r="AQ584" s="115"/>
      <c r="AR584" s="115"/>
      <c r="AS584" s="115"/>
      <c r="AT584" s="115"/>
      <c r="AU584" s="115"/>
      <c r="AV584" s="115"/>
      <c r="AW584" s="115"/>
      <c r="AX584" s="115"/>
      <c r="AY584" s="115"/>
    </row>
    <row r="585">
      <c r="A585" s="95" t="str">
        <f t="shared" si="11"/>
        <v/>
      </c>
      <c r="B585" s="100"/>
      <c r="C585" s="97"/>
      <c r="D585" s="97"/>
      <c r="E585" s="97"/>
      <c r="F585" s="97"/>
      <c r="G585" s="97"/>
      <c r="H585" s="99"/>
      <c r="I585" s="100"/>
      <c r="J585" s="101"/>
      <c r="K585" s="100"/>
      <c r="L585" s="102"/>
      <c r="M585" s="103" t="str">
        <f>if(B585,if(and(hour(B585+M$7)&gt;9.5,(hour(B585+M$7)&lt;19.5)),B585+M$7,_xlfn.workday.intl(int(B585),1,"0000001",Holidays!A:A)+hour(B585+M$7-$B$1)/24+minute(B585)/1440),"")</f>
        <v/>
      </c>
      <c r="N585" s="104"/>
      <c r="O585" s="105"/>
      <c r="P585" s="106" t="str">
        <f t="shared" si="1"/>
        <v/>
      </c>
      <c r="Q585" s="107"/>
      <c r="R585" s="108"/>
      <c r="S585" s="103" t="str">
        <f>if(M585,if(and(hour(M585+S$7)&gt;9.5,(hour(M585+S$7)&lt;19.5)),M585+S$7,_xlfn.workday.intl(int(M585),1,"0000001",Holidays!A:A)+hour(M585+S$7-$B$1)/24+minute(M585)/1440),"")</f>
        <v/>
      </c>
      <c r="T585" s="104"/>
      <c r="U585" s="105"/>
      <c r="V585" s="109" t="str">
        <f t="shared" si="2"/>
        <v/>
      </c>
      <c r="W585" s="110" t="str">
        <f t="shared" si="3"/>
        <v/>
      </c>
      <c r="X585" s="103" t="str">
        <f>if(S585,if(and(hour(S585+X$7)&gt;9.5,(hour(S585+X$7)&lt;19.5)),S585+X$7,_xlfn.workday.intl(int(S585),1,"0000001",Holidays!A:A)+hour(S585+X$7-$B$1)/24+minute(S585)/1440),"")</f>
        <v/>
      </c>
      <c r="Y585" s="104"/>
      <c r="Z585" s="105"/>
      <c r="AA585" s="111" t="str">
        <f t="shared" si="4"/>
        <v/>
      </c>
      <c r="AB585" s="110" t="str">
        <f t="shared" si="5"/>
        <v/>
      </c>
      <c r="AC585" s="103" t="str">
        <f>if(X585,_xlfn.WORKDAY.INTL(X585,AC$7,"0000001",Holidays!A:A)+hour(X585)/24+MINUTE(X585)/1440,"")</f>
        <v/>
      </c>
      <c r="AD585" s="104"/>
      <c r="AE585" s="105"/>
      <c r="AF585" s="111" t="str">
        <f t="shared" si="6"/>
        <v/>
      </c>
      <c r="AG585" s="110" t="str">
        <f t="shared" si="7"/>
        <v/>
      </c>
      <c r="AH585" s="103" t="str">
        <f>if(AC585,if(and(hour(AC585+AH$7)&gt;9.5,(hour(AC585+AH$7)&lt;19.5)),AC585+AH$7,_xlfn.workday.intl(int(AC585),1,"0000001",Holidays!A:A)+hour(AC585+AH$7-$B$1)/24+minute(AC585)/1440),"")</f>
        <v/>
      </c>
      <c r="AI585" s="104"/>
      <c r="AJ585" s="105"/>
      <c r="AK585" s="111" t="str">
        <f t="shared" si="8"/>
        <v/>
      </c>
      <c r="AL585" s="112" t="str">
        <f t="shared" si="9"/>
        <v/>
      </c>
      <c r="AM585" s="113"/>
      <c r="AN585" s="291" t="s">
        <v>2540</v>
      </c>
      <c r="AO585" s="115"/>
      <c r="AP585" s="115"/>
      <c r="AQ585" s="115"/>
      <c r="AR585" s="115"/>
      <c r="AS585" s="115"/>
      <c r="AT585" s="115"/>
      <c r="AU585" s="115"/>
      <c r="AV585" s="115"/>
      <c r="AW585" s="115"/>
      <c r="AX585" s="115"/>
      <c r="AY585" s="115"/>
    </row>
    <row r="586">
      <c r="A586" s="95" t="str">
        <f t="shared" si="11"/>
        <v/>
      </c>
      <c r="B586" s="100"/>
      <c r="C586" s="97"/>
      <c r="D586" s="97"/>
      <c r="E586" s="97"/>
      <c r="F586" s="97"/>
      <c r="G586" s="97"/>
      <c r="H586" s="99"/>
      <c r="I586" s="100"/>
      <c r="J586" s="101"/>
      <c r="K586" s="100"/>
      <c r="L586" s="102"/>
      <c r="M586" s="103" t="str">
        <f>if(B586,if(and(hour(B586+M$7)&gt;9.5,(hour(B586+M$7)&lt;19.5)),B586+M$7,_xlfn.workday.intl(int(B586),1,"0000001",Holidays!A:A)+hour(B586+M$7-$B$1)/24+minute(B586)/1440),"")</f>
        <v/>
      </c>
      <c r="N586" s="104"/>
      <c r="O586" s="105"/>
      <c r="P586" s="106" t="str">
        <f t="shared" si="1"/>
        <v/>
      </c>
      <c r="Q586" s="107"/>
      <c r="R586" s="108"/>
      <c r="S586" s="103" t="str">
        <f>if(M586,if(and(hour(M586+S$7)&gt;9.5,(hour(M586+S$7)&lt;19.5)),M586+S$7,_xlfn.workday.intl(int(M586),1,"0000001",Holidays!A:A)+hour(M586+S$7-$B$1)/24+minute(M586)/1440),"")</f>
        <v/>
      </c>
      <c r="T586" s="104"/>
      <c r="U586" s="105"/>
      <c r="V586" s="109" t="str">
        <f t="shared" si="2"/>
        <v/>
      </c>
      <c r="W586" s="110" t="str">
        <f t="shared" si="3"/>
        <v/>
      </c>
      <c r="X586" s="103" t="str">
        <f>if(S586,if(and(hour(S586+X$7)&gt;9.5,(hour(S586+X$7)&lt;19.5)),S586+X$7,_xlfn.workday.intl(int(S586),1,"0000001",Holidays!A:A)+hour(S586+X$7-$B$1)/24+minute(S586)/1440),"")</f>
        <v/>
      </c>
      <c r="Y586" s="104"/>
      <c r="Z586" s="105"/>
      <c r="AA586" s="111" t="str">
        <f t="shared" si="4"/>
        <v/>
      </c>
      <c r="AB586" s="110" t="str">
        <f t="shared" si="5"/>
        <v/>
      </c>
      <c r="AC586" s="103" t="str">
        <f>if(X586,_xlfn.WORKDAY.INTL(X586,AC$7,"0000001",Holidays!A:A)+hour(X586)/24+MINUTE(X586)/1440,"")</f>
        <v/>
      </c>
      <c r="AD586" s="104"/>
      <c r="AE586" s="105"/>
      <c r="AF586" s="111" t="str">
        <f t="shared" si="6"/>
        <v/>
      </c>
      <c r="AG586" s="110" t="str">
        <f t="shared" si="7"/>
        <v/>
      </c>
      <c r="AH586" s="103" t="str">
        <f>if(AC586,if(and(hour(AC586+AH$7)&gt;9.5,(hour(AC586+AH$7)&lt;19.5)),AC586+AH$7,_xlfn.workday.intl(int(AC586),1,"0000001",Holidays!A:A)+hour(AC586+AH$7-$B$1)/24+minute(AC586)/1440),"")</f>
        <v/>
      </c>
      <c r="AI586" s="104"/>
      <c r="AJ586" s="105"/>
      <c r="AK586" s="111" t="str">
        <f t="shared" si="8"/>
        <v/>
      </c>
      <c r="AL586" s="112" t="str">
        <f t="shared" si="9"/>
        <v/>
      </c>
      <c r="AM586" s="113"/>
      <c r="AN586" s="291" t="s">
        <v>2540</v>
      </c>
      <c r="AO586" s="115"/>
      <c r="AP586" s="115"/>
      <c r="AQ586" s="115"/>
      <c r="AR586" s="115"/>
      <c r="AS586" s="115"/>
      <c r="AT586" s="115"/>
      <c r="AU586" s="115"/>
      <c r="AV586" s="115"/>
      <c r="AW586" s="115"/>
      <c r="AX586" s="115"/>
      <c r="AY586" s="115"/>
    </row>
    <row r="587">
      <c r="A587" s="95" t="str">
        <f t="shared" si="11"/>
        <v/>
      </c>
      <c r="B587" s="100"/>
      <c r="C587" s="97"/>
      <c r="D587" s="97"/>
      <c r="E587" s="97"/>
      <c r="F587" s="97"/>
      <c r="G587" s="97"/>
      <c r="H587" s="99"/>
      <c r="I587" s="100"/>
      <c r="J587" s="101"/>
      <c r="K587" s="100"/>
      <c r="L587" s="102"/>
      <c r="M587" s="103" t="str">
        <f>if(B587,if(and(hour(B587+M$7)&gt;9.5,(hour(B587+M$7)&lt;19.5)),B587+M$7,_xlfn.workday.intl(int(B587),1,"0000001",Holidays!A:A)+hour(B587+M$7-$B$1)/24+minute(B587)/1440),"")</f>
        <v/>
      </c>
      <c r="N587" s="104"/>
      <c r="O587" s="105"/>
      <c r="P587" s="106" t="str">
        <f t="shared" si="1"/>
        <v/>
      </c>
      <c r="Q587" s="107"/>
      <c r="R587" s="108"/>
      <c r="S587" s="103" t="str">
        <f>if(M587,if(and(hour(M587+S$7)&gt;9.5,(hour(M587+S$7)&lt;19.5)),M587+S$7,_xlfn.workday.intl(int(M587),1,"0000001",Holidays!A:A)+hour(M587+S$7-$B$1)/24+minute(M587)/1440),"")</f>
        <v/>
      </c>
      <c r="T587" s="104"/>
      <c r="U587" s="105"/>
      <c r="V587" s="109" t="str">
        <f t="shared" si="2"/>
        <v/>
      </c>
      <c r="W587" s="110" t="str">
        <f t="shared" si="3"/>
        <v/>
      </c>
      <c r="X587" s="103" t="str">
        <f>if(S587,if(and(hour(S587+X$7)&gt;9.5,(hour(S587+X$7)&lt;19.5)),S587+X$7,_xlfn.workday.intl(int(S587),1,"0000001",Holidays!A:A)+hour(S587+X$7-$B$1)/24+minute(S587)/1440),"")</f>
        <v/>
      </c>
      <c r="Y587" s="104"/>
      <c r="Z587" s="105"/>
      <c r="AA587" s="111" t="str">
        <f t="shared" si="4"/>
        <v/>
      </c>
      <c r="AB587" s="110" t="str">
        <f t="shared" si="5"/>
        <v/>
      </c>
      <c r="AC587" s="103" t="str">
        <f>if(X587,_xlfn.WORKDAY.INTL(X587,AC$7,"0000001",Holidays!A:A)+hour(X587)/24+MINUTE(X587)/1440,"")</f>
        <v/>
      </c>
      <c r="AD587" s="104"/>
      <c r="AE587" s="105"/>
      <c r="AF587" s="111" t="str">
        <f t="shared" si="6"/>
        <v/>
      </c>
      <c r="AG587" s="110" t="str">
        <f t="shared" si="7"/>
        <v/>
      </c>
      <c r="AH587" s="103" t="str">
        <f>if(AC587,if(and(hour(AC587+AH$7)&gt;9.5,(hour(AC587+AH$7)&lt;19.5)),AC587+AH$7,_xlfn.workday.intl(int(AC587),1,"0000001",Holidays!A:A)+hour(AC587+AH$7-$B$1)/24+minute(AC587)/1440),"")</f>
        <v/>
      </c>
      <c r="AI587" s="104"/>
      <c r="AJ587" s="105"/>
      <c r="AK587" s="111" t="str">
        <f t="shared" si="8"/>
        <v/>
      </c>
      <c r="AL587" s="112" t="str">
        <f t="shared" si="9"/>
        <v/>
      </c>
      <c r="AM587" s="113"/>
      <c r="AN587" s="291" t="s">
        <v>2540</v>
      </c>
      <c r="AO587" s="115"/>
      <c r="AP587" s="115"/>
      <c r="AQ587" s="115"/>
      <c r="AR587" s="115"/>
      <c r="AS587" s="115"/>
      <c r="AT587" s="115"/>
      <c r="AU587" s="115"/>
      <c r="AV587" s="115"/>
      <c r="AW587" s="115"/>
      <c r="AX587" s="115"/>
      <c r="AY587" s="115"/>
    </row>
    <row r="588">
      <c r="A588" s="95" t="str">
        <f t="shared" si="11"/>
        <v/>
      </c>
      <c r="B588" s="100"/>
      <c r="C588" s="97"/>
      <c r="D588" s="97"/>
      <c r="E588" s="97"/>
      <c r="F588" s="97"/>
      <c r="G588" s="97"/>
      <c r="H588" s="99"/>
      <c r="I588" s="100"/>
      <c r="J588" s="101"/>
      <c r="K588" s="100"/>
      <c r="L588" s="102"/>
      <c r="M588" s="103" t="str">
        <f>if(B588,if(and(hour(B588+M$7)&gt;9.5,(hour(B588+M$7)&lt;19.5)),B588+M$7,_xlfn.workday.intl(int(B588),1,"0000001",Holidays!A:A)+hour(B588+M$7-$B$1)/24+minute(B588)/1440),"")</f>
        <v/>
      </c>
      <c r="N588" s="104"/>
      <c r="O588" s="105"/>
      <c r="P588" s="106" t="str">
        <f t="shared" si="1"/>
        <v/>
      </c>
      <c r="Q588" s="107"/>
      <c r="R588" s="108"/>
      <c r="S588" s="103" t="str">
        <f>if(M588,if(and(hour(M588+S$7)&gt;9.5,(hour(M588+S$7)&lt;19.5)),M588+S$7,_xlfn.workday.intl(int(M588),1,"0000001",Holidays!A:A)+hour(M588+S$7-$B$1)/24+minute(M588)/1440),"")</f>
        <v/>
      </c>
      <c r="T588" s="104"/>
      <c r="U588" s="105"/>
      <c r="V588" s="109" t="str">
        <f t="shared" si="2"/>
        <v/>
      </c>
      <c r="W588" s="110" t="str">
        <f t="shared" si="3"/>
        <v/>
      </c>
      <c r="X588" s="103" t="str">
        <f>if(S588,if(and(hour(S588+X$7)&gt;9.5,(hour(S588+X$7)&lt;19.5)),S588+X$7,_xlfn.workday.intl(int(S588),1,"0000001",Holidays!A:A)+hour(S588+X$7-$B$1)/24+minute(S588)/1440),"")</f>
        <v/>
      </c>
      <c r="Y588" s="104"/>
      <c r="Z588" s="105"/>
      <c r="AA588" s="111" t="str">
        <f t="shared" si="4"/>
        <v/>
      </c>
      <c r="AB588" s="110" t="str">
        <f t="shared" si="5"/>
        <v/>
      </c>
      <c r="AC588" s="103" t="str">
        <f>if(X588,_xlfn.WORKDAY.INTL(X588,AC$7,"0000001",Holidays!A:A)+hour(X588)/24+MINUTE(X588)/1440,"")</f>
        <v/>
      </c>
      <c r="AD588" s="104"/>
      <c r="AE588" s="105"/>
      <c r="AF588" s="111" t="str">
        <f t="shared" si="6"/>
        <v/>
      </c>
      <c r="AG588" s="110" t="str">
        <f t="shared" si="7"/>
        <v/>
      </c>
      <c r="AH588" s="103" t="str">
        <f>if(AC588,if(and(hour(AC588+AH$7)&gt;9.5,(hour(AC588+AH$7)&lt;19.5)),AC588+AH$7,_xlfn.workday.intl(int(AC588),1,"0000001",Holidays!A:A)+hour(AC588+AH$7-$B$1)/24+minute(AC588)/1440),"")</f>
        <v/>
      </c>
      <c r="AI588" s="104"/>
      <c r="AJ588" s="105"/>
      <c r="AK588" s="111" t="str">
        <f t="shared" si="8"/>
        <v/>
      </c>
      <c r="AL588" s="112" t="str">
        <f t="shared" si="9"/>
        <v/>
      </c>
      <c r="AM588" s="113"/>
      <c r="AN588" s="291" t="s">
        <v>2540</v>
      </c>
      <c r="AO588" s="115"/>
      <c r="AP588" s="115"/>
      <c r="AQ588" s="115"/>
      <c r="AR588" s="115"/>
      <c r="AS588" s="115"/>
      <c r="AT588" s="115"/>
      <c r="AU588" s="115"/>
      <c r="AV588" s="115"/>
      <c r="AW588" s="115"/>
      <c r="AX588" s="115"/>
      <c r="AY588" s="115"/>
    </row>
    <row r="589">
      <c r="A589" s="95" t="str">
        <f t="shared" si="11"/>
        <v/>
      </c>
      <c r="B589" s="100"/>
      <c r="C589" s="97"/>
      <c r="D589" s="97"/>
      <c r="E589" s="97"/>
      <c r="F589" s="97"/>
      <c r="G589" s="97"/>
      <c r="H589" s="99"/>
      <c r="I589" s="100"/>
      <c r="J589" s="101"/>
      <c r="K589" s="100"/>
      <c r="L589" s="102"/>
      <c r="M589" s="103" t="str">
        <f>if(B589,if(and(hour(B589+M$7)&gt;9.5,(hour(B589+M$7)&lt;19.5)),B589+M$7,_xlfn.workday.intl(int(B589),1,"0000001",Holidays!A:A)+hour(B589+M$7-$B$1)/24+minute(B589)/1440),"")</f>
        <v/>
      </c>
      <c r="N589" s="104"/>
      <c r="O589" s="105"/>
      <c r="P589" s="106" t="str">
        <f t="shared" si="1"/>
        <v/>
      </c>
      <c r="Q589" s="107"/>
      <c r="R589" s="108"/>
      <c r="S589" s="103" t="str">
        <f>if(M589,if(and(hour(M589+S$7)&gt;9.5,(hour(M589+S$7)&lt;19.5)),M589+S$7,_xlfn.workday.intl(int(M589),1,"0000001",Holidays!A:A)+hour(M589+S$7-$B$1)/24+minute(M589)/1440),"")</f>
        <v/>
      </c>
      <c r="T589" s="104"/>
      <c r="U589" s="105"/>
      <c r="V589" s="109" t="str">
        <f t="shared" si="2"/>
        <v/>
      </c>
      <c r="W589" s="110" t="str">
        <f t="shared" si="3"/>
        <v/>
      </c>
      <c r="X589" s="103" t="str">
        <f>if(S589,if(and(hour(S589+X$7)&gt;9.5,(hour(S589+X$7)&lt;19.5)),S589+X$7,_xlfn.workday.intl(int(S589),1,"0000001",Holidays!A:A)+hour(S589+X$7-$B$1)/24+minute(S589)/1440),"")</f>
        <v/>
      </c>
      <c r="Y589" s="104"/>
      <c r="Z589" s="105"/>
      <c r="AA589" s="111" t="str">
        <f t="shared" si="4"/>
        <v/>
      </c>
      <c r="AB589" s="110" t="str">
        <f t="shared" si="5"/>
        <v/>
      </c>
      <c r="AC589" s="103" t="str">
        <f>if(X589,_xlfn.WORKDAY.INTL(X589,AC$7,"0000001",Holidays!A:A)+hour(X589)/24+MINUTE(X589)/1440,"")</f>
        <v/>
      </c>
      <c r="AD589" s="104"/>
      <c r="AE589" s="105"/>
      <c r="AF589" s="111" t="str">
        <f t="shared" si="6"/>
        <v/>
      </c>
      <c r="AG589" s="110" t="str">
        <f t="shared" si="7"/>
        <v/>
      </c>
      <c r="AH589" s="103" t="str">
        <f>if(AC589,if(and(hour(AC589+AH$7)&gt;9.5,(hour(AC589+AH$7)&lt;19.5)),AC589+AH$7,_xlfn.workday.intl(int(AC589),1,"0000001",Holidays!A:A)+hour(AC589+AH$7-$B$1)/24+minute(AC589)/1440),"")</f>
        <v/>
      </c>
      <c r="AI589" s="104"/>
      <c r="AJ589" s="105"/>
      <c r="AK589" s="111" t="str">
        <f t="shared" si="8"/>
        <v/>
      </c>
      <c r="AL589" s="112" t="str">
        <f t="shared" si="9"/>
        <v/>
      </c>
      <c r="AM589" s="113"/>
      <c r="AN589" s="291" t="s">
        <v>2540</v>
      </c>
      <c r="AO589" s="115"/>
      <c r="AP589" s="115"/>
      <c r="AQ589" s="115"/>
      <c r="AR589" s="115"/>
      <c r="AS589" s="115"/>
      <c r="AT589" s="115"/>
      <c r="AU589" s="115"/>
      <c r="AV589" s="115"/>
      <c r="AW589" s="115"/>
      <c r="AX589" s="115"/>
      <c r="AY589" s="115"/>
    </row>
    <row r="590">
      <c r="A590" s="95" t="str">
        <f t="shared" si="11"/>
        <v/>
      </c>
      <c r="B590" s="100"/>
      <c r="C590" s="97"/>
      <c r="D590" s="97"/>
      <c r="E590" s="97"/>
      <c r="F590" s="97"/>
      <c r="G590" s="97"/>
      <c r="H590" s="99"/>
      <c r="I590" s="100"/>
      <c r="J590" s="101"/>
      <c r="K590" s="100"/>
      <c r="L590" s="102"/>
      <c r="M590" s="103" t="str">
        <f>if(B590,if(and(hour(B590+M$7)&gt;9.5,(hour(B590+M$7)&lt;19.5)),B590+M$7,_xlfn.workday.intl(int(B590),1,"0000001",Holidays!A:A)+hour(B590+M$7-$B$1)/24+minute(B590)/1440),"")</f>
        <v/>
      </c>
      <c r="N590" s="104"/>
      <c r="O590" s="105"/>
      <c r="P590" s="106" t="str">
        <f t="shared" si="1"/>
        <v/>
      </c>
      <c r="Q590" s="107"/>
      <c r="R590" s="108"/>
      <c r="S590" s="103" t="str">
        <f>if(M590,if(and(hour(M590+S$7)&gt;9.5,(hour(M590+S$7)&lt;19.5)),M590+S$7,_xlfn.workday.intl(int(M590),1,"0000001",Holidays!A:A)+hour(M590+S$7-$B$1)/24+minute(M590)/1440),"")</f>
        <v/>
      </c>
      <c r="T590" s="104"/>
      <c r="U590" s="105"/>
      <c r="V590" s="109" t="str">
        <f t="shared" si="2"/>
        <v/>
      </c>
      <c r="W590" s="110" t="str">
        <f t="shared" si="3"/>
        <v/>
      </c>
      <c r="X590" s="103" t="str">
        <f>if(S590,if(and(hour(S590+X$7)&gt;9.5,(hour(S590+X$7)&lt;19.5)),S590+X$7,_xlfn.workday.intl(int(S590),1,"0000001",Holidays!A:A)+hour(S590+X$7-$B$1)/24+minute(S590)/1440),"")</f>
        <v/>
      </c>
      <c r="Y590" s="104"/>
      <c r="Z590" s="105"/>
      <c r="AA590" s="111" t="str">
        <f t="shared" si="4"/>
        <v/>
      </c>
      <c r="AB590" s="110" t="str">
        <f t="shared" si="5"/>
        <v/>
      </c>
      <c r="AC590" s="103" t="str">
        <f>if(X590,_xlfn.WORKDAY.INTL(X590,AC$7,"0000001",Holidays!A:A)+hour(X590)/24+MINUTE(X590)/1440,"")</f>
        <v/>
      </c>
      <c r="AD590" s="104"/>
      <c r="AE590" s="105"/>
      <c r="AF590" s="111" t="str">
        <f t="shared" si="6"/>
        <v/>
      </c>
      <c r="AG590" s="110" t="str">
        <f t="shared" si="7"/>
        <v/>
      </c>
      <c r="AH590" s="103" t="str">
        <f>if(AC590,if(and(hour(AC590+AH$7)&gt;9.5,(hour(AC590+AH$7)&lt;19.5)),AC590+AH$7,_xlfn.workday.intl(int(AC590),1,"0000001",Holidays!A:A)+hour(AC590+AH$7-$B$1)/24+minute(AC590)/1440),"")</f>
        <v/>
      </c>
      <c r="AI590" s="104"/>
      <c r="AJ590" s="105"/>
      <c r="AK590" s="111" t="str">
        <f t="shared" si="8"/>
        <v/>
      </c>
      <c r="AL590" s="112" t="str">
        <f t="shared" si="9"/>
        <v/>
      </c>
      <c r="AM590" s="113"/>
      <c r="AN590" s="291" t="s">
        <v>2540</v>
      </c>
      <c r="AO590" s="115"/>
      <c r="AP590" s="115"/>
      <c r="AQ590" s="115"/>
      <c r="AR590" s="115"/>
      <c r="AS590" s="115"/>
      <c r="AT590" s="115"/>
      <c r="AU590" s="115"/>
      <c r="AV590" s="115"/>
      <c r="AW590" s="115"/>
      <c r="AX590" s="115"/>
      <c r="AY590" s="115"/>
    </row>
    <row r="591">
      <c r="A591" s="95" t="str">
        <f t="shared" si="11"/>
        <v/>
      </c>
      <c r="B591" s="100"/>
      <c r="C591" s="97"/>
      <c r="D591" s="97"/>
      <c r="E591" s="97"/>
      <c r="F591" s="97"/>
      <c r="G591" s="97"/>
      <c r="H591" s="99"/>
      <c r="I591" s="100"/>
      <c r="J591" s="101"/>
      <c r="K591" s="100"/>
      <c r="L591" s="102"/>
      <c r="M591" s="103" t="str">
        <f>if(B591,if(and(hour(B591+M$7)&gt;9.5,(hour(B591+M$7)&lt;19.5)),B591+M$7,_xlfn.workday.intl(int(B591),1,"0000001",Holidays!A:A)+hour(B591+M$7-$B$1)/24+minute(B591)/1440),"")</f>
        <v/>
      </c>
      <c r="N591" s="104"/>
      <c r="O591" s="105"/>
      <c r="P591" s="106" t="str">
        <f t="shared" si="1"/>
        <v/>
      </c>
      <c r="Q591" s="107"/>
      <c r="R591" s="108"/>
      <c r="S591" s="103" t="str">
        <f>if(M591,if(and(hour(M591+S$7)&gt;9.5,(hour(M591+S$7)&lt;19.5)),M591+S$7,_xlfn.workday.intl(int(M591),1,"0000001",Holidays!A:A)+hour(M591+S$7-$B$1)/24+minute(M591)/1440),"")</f>
        <v/>
      </c>
      <c r="T591" s="104"/>
      <c r="U591" s="105"/>
      <c r="V591" s="109" t="str">
        <f t="shared" si="2"/>
        <v/>
      </c>
      <c r="W591" s="110" t="str">
        <f t="shared" si="3"/>
        <v/>
      </c>
      <c r="X591" s="103" t="str">
        <f>if(S591,if(and(hour(S591+X$7)&gt;9.5,(hour(S591+X$7)&lt;19.5)),S591+X$7,_xlfn.workday.intl(int(S591),1,"0000001",Holidays!A:A)+hour(S591+X$7-$B$1)/24+minute(S591)/1440),"")</f>
        <v/>
      </c>
      <c r="Y591" s="104"/>
      <c r="Z591" s="105"/>
      <c r="AA591" s="111" t="str">
        <f t="shared" si="4"/>
        <v/>
      </c>
      <c r="AB591" s="110" t="str">
        <f t="shared" si="5"/>
        <v/>
      </c>
      <c r="AC591" s="103" t="str">
        <f>if(X591,_xlfn.WORKDAY.INTL(X591,AC$7,"0000001",Holidays!A:A)+hour(X591)/24+MINUTE(X591)/1440,"")</f>
        <v/>
      </c>
      <c r="AD591" s="104"/>
      <c r="AE591" s="105"/>
      <c r="AF591" s="111" t="str">
        <f t="shared" si="6"/>
        <v/>
      </c>
      <c r="AG591" s="110" t="str">
        <f t="shared" si="7"/>
        <v/>
      </c>
      <c r="AH591" s="103" t="str">
        <f>if(AC591,if(and(hour(AC591+AH$7)&gt;9.5,(hour(AC591+AH$7)&lt;19.5)),AC591+AH$7,_xlfn.workday.intl(int(AC591),1,"0000001",Holidays!A:A)+hour(AC591+AH$7-$B$1)/24+minute(AC591)/1440),"")</f>
        <v/>
      </c>
      <c r="AI591" s="104"/>
      <c r="AJ591" s="105"/>
      <c r="AK591" s="111" t="str">
        <f t="shared" si="8"/>
        <v/>
      </c>
      <c r="AL591" s="112" t="str">
        <f t="shared" si="9"/>
        <v/>
      </c>
      <c r="AM591" s="113"/>
      <c r="AN591" s="291" t="s">
        <v>2540</v>
      </c>
      <c r="AO591" s="115"/>
      <c r="AP591" s="115"/>
      <c r="AQ591" s="115"/>
      <c r="AR591" s="115"/>
      <c r="AS591" s="115"/>
      <c r="AT591" s="115"/>
      <c r="AU591" s="115"/>
      <c r="AV591" s="115"/>
      <c r="AW591" s="115"/>
      <c r="AX591" s="115"/>
      <c r="AY591" s="115"/>
    </row>
    <row r="592">
      <c r="A592" s="95" t="str">
        <f t="shared" si="11"/>
        <v/>
      </c>
      <c r="B592" s="100"/>
      <c r="C592" s="97"/>
      <c r="D592" s="97"/>
      <c r="E592" s="97"/>
      <c r="F592" s="97"/>
      <c r="G592" s="97"/>
      <c r="H592" s="99"/>
      <c r="I592" s="100"/>
      <c r="J592" s="101"/>
      <c r="K592" s="100"/>
      <c r="L592" s="102"/>
      <c r="M592" s="103" t="str">
        <f>if(B592,if(and(hour(B592+M$7)&gt;9.5,(hour(B592+M$7)&lt;19.5)),B592+M$7,_xlfn.workday.intl(int(B592),1,"0000001",Holidays!A:A)+hour(B592+M$7-$B$1)/24+minute(B592)/1440),"")</f>
        <v/>
      </c>
      <c r="N592" s="104"/>
      <c r="O592" s="105"/>
      <c r="P592" s="106" t="str">
        <f t="shared" si="1"/>
        <v/>
      </c>
      <c r="Q592" s="107"/>
      <c r="R592" s="108"/>
      <c r="S592" s="103" t="str">
        <f>if(M592,if(and(hour(M592+S$7)&gt;9.5,(hour(M592+S$7)&lt;19.5)),M592+S$7,_xlfn.workday.intl(int(M592),1,"0000001",Holidays!A:A)+hour(M592+S$7-$B$1)/24+minute(M592)/1440),"")</f>
        <v/>
      </c>
      <c r="T592" s="104"/>
      <c r="U592" s="105"/>
      <c r="V592" s="109" t="str">
        <f t="shared" si="2"/>
        <v/>
      </c>
      <c r="W592" s="110" t="str">
        <f t="shared" si="3"/>
        <v/>
      </c>
      <c r="X592" s="103" t="str">
        <f>if(S592,if(and(hour(S592+X$7)&gt;9.5,(hour(S592+X$7)&lt;19.5)),S592+X$7,_xlfn.workday.intl(int(S592),1,"0000001",Holidays!A:A)+hour(S592+X$7-$B$1)/24+minute(S592)/1440),"")</f>
        <v/>
      </c>
      <c r="Y592" s="104"/>
      <c r="Z592" s="105"/>
      <c r="AA592" s="111" t="str">
        <f t="shared" si="4"/>
        <v/>
      </c>
      <c r="AB592" s="110" t="str">
        <f t="shared" si="5"/>
        <v/>
      </c>
      <c r="AC592" s="103" t="str">
        <f>if(X592,_xlfn.WORKDAY.INTL(X592,AC$7,"0000001",Holidays!A:A)+hour(X592)/24+MINUTE(X592)/1440,"")</f>
        <v/>
      </c>
      <c r="AD592" s="104"/>
      <c r="AE592" s="105"/>
      <c r="AF592" s="111" t="str">
        <f t="shared" si="6"/>
        <v/>
      </c>
      <c r="AG592" s="110" t="str">
        <f t="shared" si="7"/>
        <v/>
      </c>
      <c r="AH592" s="103" t="str">
        <f>if(AC592,if(and(hour(AC592+AH$7)&gt;9.5,(hour(AC592+AH$7)&lt;19.5)),AC592+AH$7,_xlfn.workday.intl(int(AC592),1,"0000001",Holidays!A:A)+hour(AC592+AH$7-$B$1)/24+minute(AC592)/1440),"")</f>
        <v/>
      </c>
      <c r="AI592" s="104"/>
      <c r="AJ592" s="105"/>
      <c r="AK592" s="111" t="str">
        <f t="shared" si="8"/>
        <v/>
      </c>
      <c r="AL592" s="112" t="str">
        <f t="shared" si="9"/>
        <v/>
      </c>
      <c r="AM592" s="113"/>
      <c r="AN592" s="291" t="s">
        <v>2540</v>
      </c>
      <c r="AO592" s="115"/>
      <c r="AP592" s="115"/>
      <c r="AQ592" s="115"/>
      <c r="AR592" s="115"/>
      <c r="AS592" s="115"/>
      <c r="AT592" s="115"/>
      <c r="AU592" s="115"/>
      <c r="AV592" s="115"/>
      <c r="AW592" s="115"/>
      <c r="AX592" s="115"/>
      <c r="AY592" s="115"/>
    </row>
    <row r="593">
      <c r="A593" s="95" t="str">
        <f t="shared" si="11"/>
        <v/>
      </c>
      <c r="B593" s="100"/>
      <c r="C593" s="97"/>
      <c r="D593" s="97"/>
      <c r="E593" s="97"/>
      <c r="F593" s="97"/>
      <c r="G593" s="97"/>
      <c r="H593" s="99"/>
      <c r="I593" s="100"/>
      <c r="J593" s="101"/>
      <c r="K593" s="100"/>
      <c r="L593" s="102"/>
      <c r="M593" s="103" t="str">
        <f>if(B593,if(and(hour(B593+M$7)&gt;9.5,(hour(B593+M$7)&lt;19.5)),B593+M$7,_xlfn.workday.intl(int(B593),1,"0000001",Holidays!A:A)+hour(B593+M$7-$B$1)/24+minute(B593)/1440),"")</f>
        <v/>
      </c>
      <c r="N593" s="104"/>
      <c r="O593" s="105"/>
      <c r="P593" s="106" t="str">
        <f t="shared" si="1"/>
        <v/>
      </c>
      <c r="Q593" s="107"/>
      <c r="R593" s="108"/>
      <c r="S593" s="103" t="str">
        <f>if(M593,if(and(hour(M593+S$7)&gt;9.5,(hour(M593+S$7)&lt;19.5)),M593+S$7,_xlfn.workday.intl(int(M593),1,"0000001",Holidays!A:A)+hour(M593+S$7-$B$1)/24+minute(M593)/1440),"")</f>
        <v/>
      </c>
      <c r="T593" s="104"/>
      <c r="U593" s="105"/>
      <c r="V593" s="109" t="str">
        <f t="shared" si="2"/>
        <v/>
      </c>
      <c r="W593" s="110" t="str">
        <f t="shared" si="3"/>
        <v/>
      </c>
      <c r="X593" s="103" t="str">
        <f>if(S593,if(and(hour(S593+X$7)&gt;9.5,(hour(S593+X$7)&lt;19.5)),S593+X$7,_xlfn.workday.intl(int(S593),1,"0000001",Holidays!A:A)+hour(S593+X$7-$B$1)/24+minute(S593)/1440),"")</f>
        <v/>
      </c>
      <c r="Y593" s="104"/>
      <c r="Z593" s="105"/>
      <c r="AA593" s="111" t="str">
        <f t="shared" si="4"/>
        <v/>
      </c>
      <c r="AB593" s="110" t="str">
        <f t="shared" si="5"/>
        <v/>
      </c>
      <c r="AC593" s="103" t="str">
        <f>if(X593,_xlfn.WORKDAY.INTL(X593,AC$7,"0000001",Holidays!A:A)+hour(X593)/24+MINUTE(X593)/1440,"")</f>
        <v/>
      </c>
      <c r="AD593" s="104"/>
      <c r="AE593" s="105"/>
      <c r="AF593" s="111" t="str">
        <f t="shared" si="6"/>
        <v/>
      </c>
      <c r="AG593" s="110" t="str">
        <f t="shared" si="7"/>
        <v/>
      </c>
      <c r="AH593" s="103" t="str">
        <f>if(AC593,if(and(hour(AC593+AH$7)&gt;9.5,(hour(AC593+AH$7)&lt;19.5)),AC593+AH$7,_xlfn.workday.intl(int(AC593),1,"0000001",Holidays!A:A)+hour(AC593+AH$7-$B$1)/24+minute(AC593)/1440),"")</f>
        <v/>
      </c>
      <c r="AI593" s="104"/>
      <c r="AJ593" s="105"/>
      <c r="AK593" s="111" t="str">
        <f t="shared" si="8"/>
        <v/>
      </c>
      <c r="AL593" s="112" t="str">
        <f t="shared" si="9"/>
        <v/>
      </c>
      <c r="AM593" s="113"/>
      <c r="AN593" s="291" t="s">
        <v>2540</v>
      </c>
      <c r="AO593" s="115"/>
      <c r="AP593" s="115"/>
      <c r="AQ593" s="115"/>
      <c r="AR593" s="115"/>
      <c r="AS593" s="115"/>
      <c r="AT593" s="115"/>
      <c r="AU593" s="115"/>
      <c r="AV593" s="115"/>
      <c r="AW593" s="115"/>
      <c r="AX593" s="115"/>
      <c r="AY593" s="115"/>
    </row>
    <row r="594">
      <c r="A594" s="95" t="str">
        <f t="shared" si="11"/>
        <v/>
      </c>
      <c r="B594" s="100"/>
      <c r="C594" s="97"/>
      <c r="D594" s="97"/>
      <c r="E594" s="97"/>
      <c r="F594" s="97"/>
      <c r="G594" s="97"/>
      <c r="H594" s="99"/>
      <c r="I594" s="100"/>
      <c r="J594" s="101"/>
      <c r="K594" s="100"/>
      <c r="L594" s="102"/>
      <c r="M594" s="103" t="str">
        <f>if(B594,if(and(hour(B594+M$7)&gt;9.5,(hour(B594+M$7)&lt;19.5)),B594+M$7,_xlfn.workday.intl(int(B594),1,"0000001",Holidays!A:A)+hour(B594+M$7-$B$1)/24+minute(B594)/1440),"")</f>
        <v/>
      </c>
      <c r="N594" s="104"/>
      <c r="O594" s="105"/>
      <c r="P594" s="106" t="str">
        <f t="shared" si="1"/>
        <v/>
      </c>
      <c r="Q594" s="107"/>
      <c r="R594" s="108"/>
      <c r="S594" s="103" t="str">
        <f>if(M594,if(and(hour(M594+S$7)&gt;9.5,(hour(M594+S$7)&lt;19.5)),M594+S$7,_xlfn.workday.intl(int(M594),1,"0000001",Holidays!A:A)+hour(M594+S$7-$B$1)/24+minute(M594)/1440),"")</f>
        <v/>
      </c>
      <c r="T594" s="104"/>
      <c r="U594" s="105"/>
      <c r="V594" s="109" t="str">
        <f t="shared" si="2"/>
        <v/>
      </c>
      <c r="W594" s="110" t="str">
        <f t="shared" si="3"/>
        <v/>
      </c>
      <c r="X594" s="103" t="str">
        <f>if(S594,if(and(hour(S594+X$7)&gt;9.5,(hour(S594+X$7)&lt;19.5)),S594+X$7,_xlfn.workday.intl(int(S594),1,"0000001",Holidays!A:A)+hour(S594+X$7-$B$1)/24+minute(S594)/1440),"")</f>
        <v/>
      </c>
      <c r="Y594" s="104"/>
      <c r="Z594" s="105"/>
      <c r="AA594" s="111" t="str">
        <f t="shared" si="4"/>
        <v/>
      </c>
      <c r="AB594" s="110" t="str">
        <f t="shared" si="5"/>
        <v/>
      </c>
      <c r="AC594" s="103" t="str">
        <f>if(X594,_xlfn.WORKDAY.INTL(X594,AC$7,"0000001",Holidays!A:A)+hour(X594)/24+MINUTE(X594)/1440,"")</f>
        <v/>
      </c>
      <c r="AD594" s="104"/>
      <c r="AE594" s="105"/>
      <c r="AF594" s="111" t="str">
        <f t="shared" si="6"/>
        <v/>
      </c>
      <c r="AG594" s="110" t="str">
        <f t="shared" si="7"/>
        <v/>
      </c>
      <c r="AH594" s="103" t="str">
        <f>if(AC594,if(and(hour(AC594+AH$7)&gt;9.5,(hour(AC594+AH$7)&lt;19.5)),AC594+AH$7,_xlfn.workday.intl(int(AC594),1,"0000001",Holidays!A:A)+hour(AC594+AH$7-$B$1)/24+minute(AC594)/1440),"")</f>
        <v/>
      </c>
      <c r="AI594" s="104"/>
      <c r="AJ594" s="105"/>
      <c r="AK594" s="111" t="str">
        <f t="shared" si="8"/>
        <v/>
      </c>
      <c r="AL594" s="112" t="str">
        <f t="shared" si="9"/>
        <v/>
      </c>
      <c r="AM594" s="113"/>
      <c r="AN594" s="291" t="s">
        <v>2540</v>
      </c>
      <c r="AO594" s="115"/>
      <c r="AP594" s="115"/>
      <c r="AQ594" s="115"/>
      <c r="AR594" s="115"/>
      <c r="AS594" s="115"/>
      <c r="AT594" s="115"/>
      <c r="AU594" s="115"/>
      <c r="AV594" s="115"/>
      <c r="AW594" s="115"/>
      <c r="AX594" s="115"/>
      <c r="AY594" s="115"/>
    </row>
    <row r="595">
      <c r="A595" s="95" t="str">
        <f t="shared" si="11"/>
        <v/>
      </c>
      <c r="B595" s="100"/>
      <c r="C595" s="97"/>
      <c r="D595" s="97"/>
      <c r="E595" s="97"/>
      <c r="F595" s="97"/>
      <c r="G595" s="97"/>
      <c r="H595" s="99"/>
      <c r="I595" s="100"/>
      <c r="J595" s="101"/>
      <c r="K595" s="100"/>
      <c r="L595" s="102"/>
      <c r="M595" s="103" t="str">
        <f>if(B595,if(and(hour(B595+M$7)&gt;9.5,(hour(B595+M$7)&lt;19.5)),B595+M$7,_xlfn.workday.intl(int(B595),1,"0000001",Holidays!A:A)+hour(B595+M$7-$B$1)/24+minute(B595)/1440),"")</f>
        <v/>
      </c>
      <c r="N595" s="104"/>
      <c r="O595" s="105"/>
      <c r="P595" s="106" t="str">
        <f t="shared" si="1"/>
        <v/>
      </c>
      <c r="Q595" s="107"/>
      <c r="R595" s="108"/>
      <c r="S595" s="103" t="str">
        <f>if(M595,if(and(hour(M595+S$7)&gt;9.5,(hour(M595+S$7)&lt;19.5)),M595+S$7,_xlfn.workday.intl(int(M595),1,"0000001",Holidays!A:A)+hour(M595+S$7-$B$1)/24+minute(M595)/1440),"")</f>
        <v/>
      </c>
      <c r="T595" s="104"/>
      <c r="U595" s="105"/>
      <c r="V595" s="109" t="str">
        <f t="shared" si="2"/>
        <v/>
      </c>
      <c r="W595" s="110" t="str">
        <f t="shared" si="3"/>
        <v/>
      </c>
      <c r="X595" s="103" t="str">
        <f>if(S595,if(and(hour(S595+X$7)&gt;9.5,(hour(S595+X$7)&lt;19.5)),S595+X$7,_xlfn.workday.intl(int(S595),1,"0000001",Holidays!A:A)+hour(S595+X$7-$B$1)/24+minute(S595)/1440),"")</f>
        <v/>
      </c>
      <c r="Y595" s="104"/>
      <c r="Z595" s="105"/>
      <c r="AA595" s="111" t="str">
        <f t="shared" si="4"/>
        <v/>
      </c>
      <c r="AB595" s="110" t="str">
        <f t="shared" si="5"/>
        <v/>
      </c>
      <c r="AC595" s="103" t="str">
        <f>if(X595,_xlfn.WORKDAY.INTL(X595,AC$7,"0000001",Holidays!A:A)+hour(X595)/24+MINUTE(X595)/1440,"")</f>
        <v/>
      </c>
      <c r="AD595" s="104"/>
      <c r="AE595" s="105"/>
      <c r="AF595" s="111" t="str">
        <f t="shared" si="6"/>
        <v/>
      </c>
      <c r="AG595" s="110" t="str">
        <f t="shared" si="7"/>
        <v/>
      </c>
      <c r="AH595" s="103" t="str">
        <f>if(AC595,if(and(hour(AC595+AH$7)&gt;9.5,(hour(AC595+AH$7)&lt;19.5)),AC595+AH$7,_xlfn.workday.intl(int(AC595),1,"0000001",Holidays!A:A)+hour(AC595+AH$7-$B$1)/24+minute(AC595)/1440),"")</f>
        <v/>
      </c>
      <c r="AI595" s="104"/>
      <c r="AJ595" s="105"/>
      <c r="AK595" s="111" t="str">
        <f t="shared" si="8"/>
        <v/>
      </c>
      <c r="AL595" s="112" t="str">
        <f t="shared" si="9"/>
        <v/>
      </c>
      <c r="AM595" s="113"/>
      <c r="AN595" s="291" t="s">
        <v>2540</v>
      </c>
      <c r="AO595" s="115"/>
      <c r="AP595" s="115"/>
      <c r="AQ595" s="115"/>
      <c r="AR595" s="115"/>
      <c r="AS595" s="115"/>
      <c r="AT595" s="115"/>
      <c r="AU595" s="115"/>
      <c r="AV595" s="115"/>
      <c r="AW595" s="115"/>
      <c r="AX595" s="115"/>
      <c r="AY595" s="115"/>
    </row>
    <row r="596">
      <c r="A596" s="95" t="str">
        <f t="shared" si="11"/>
        <v/>
      </c>
      <c r="B596" s="100"/>
      <c r="C596" s="97"/>
      <c r="D596" s="97"/>
      <c r="E596" s="97"/>
      <c r="F596" s="97"/>
      <c r="G596" s="97"/>
      <c r="H596" s="99"/>
      <c r="I596" s="100"/>
      <c r="J596" s="101"/>
      <c r="K596" s="100"/>
      <c r="L596" s="102"/>
      <c r="M596" s="103" t="str">
        <f>if(B596,if(and(hour(B596+M$7)&gt;9.5,(hour(B596+M$7)&lt;19.5)),B596+M$7,_xlfn.workday.intl(int(B596),1,"0000001",Holidays!A:A)+hour(B596+M$7-$B$1)/24+minute(B596)/1440),"")</f>
        <v/>
      </c>
      <c r="N596" s="104"/>
      <c r="O596" s="105"/>
      <c r="P596" s="106" t="str">
        <f t="shared" si="1"/>
        <v/>
      </c>
      <c r="Q596" s="107"/>
      <c r="R596" s="108"/>
      <c r="S596" s="103" t="str">
        <f>if(M596,if(and(hour(M596+S$7)&gt;9.5,(hour(M596+S$7)&lt;19.5)),M596+S$7,_xlfn.workday.intl(int(M596),1,"0000001",Holidays!A:A)+hour(M596+S$7-$B$1)/24+minute(M596)/1440),"")</f>
        <v/>
      </c>
      <c r="T596" s="104"/>
      <c r="U596" s="105"/>
      <c r="V596" s="109" t="str">
        <f t="shared" si="2"/>
        <v/>
      </c>
      <c r="W596" s="110" t="str">
        <f t="shared" si="3"/>
        <v/>
      </c>
      <c r="X596" s="103" t="str">
        <f>if(S596,if(and(hour(S596+X$7)&gt;9.5,(hour(S596+X$7)&lt;19.5)),S596+X$7,_xlfn.workday.intl(int(S596),1,"0000001",Holidays!A:A)+hour(S596+X$7-$B$1)/24+minute(S596)/1440),"")</f>
        <v/>
      </c>
      <c r="Y596" s="104"/>
      <c r="Z596" s="105"/>
      <c r="AA596" s="111" t="str">
        <f t="shared" si="4"/>
        <v/>
      </c>
      <c r="AB596" s="110" t="str">
        <f t="shared" si="5"/>
        <v/>
      </c>
      <c r="AC596" s="103" t="str">
        <f>if(X596,_xlfn.WORKDAY.INTL(X596,AC$7,"0000001",Holidays!A:A)+hour(X596)/24+MINUTE(X596)/1440,"")</f>
        <v/>
      </c>
      <c r="AD596" s="104"/>
      <c r="AE596" s="105"/>
      <c r="AF596" s="111" t="str">
        <f t="shared" si="6"/>
        <v/>
      </c>
      <c r="AG596" s="110" t="str">
        <f t="shared" si="7"/>
        <v/>
      </c>
      <c r="AH596" s="103" t="str">
        <f>if(AC596,if(and(hour(AC596+AH$7)&gt;9.5,(hour(AC596+AH$7)&lt;19.5)),AC596+AH$7,_xlfn.workday.intl(int(AC596),1,"0000001",Holidays!A:A)+hour(AC596+AH$7-$B$1)/24+minute(AC596)/1440),"")</f>
        <v/>
      </c>
      <c r="AI596" s="104"/>
      <c r="AJ596" s="105"/>
      <c r="AK596" s="111" t="str">
        <f t="shared" si="8"/>
        <v/>
      </c>
      <c r="AL596" s="112" t="str">
        <f t="shared" si="9"/>
        <v/>
      </c>
      <c r="AM596" s="113"/>
      <c r="AN596" s="291" t="s">
        <v>2540</v>
      </c>
      <c r="AO596" s="115"/>
      <c r="AP596" s="115"/>
      <c r="AQ596" s="115"/>
      <c r="AR596" s="115"/>
      <c r="AS596" s="115"/>
      <c r="AT596" s="115"/>
      <c r="AU596" s="115"/>
      <c r="AV596" s="115"/>
      <c r="AW596" s="115"/>
      <c r="AX596" s="115"/>
      <c r="AY596" s="115"/>
    </row>
    <row r="597">
      <c r="A597" s="95" t="str">
        <f t="shared" si="11"/>
        <v/>
      </c>
      <c r="B597" s="100"/>
      <c r="C597" s="97"/>
      <c r="D597" s="97"/>
      <c r="E597" s="97"/>
      <c r="F597" s="97"/>
      <c r="G597" s="97"/>
      <c r="H597" s="99"/>
      <c r="I597" s="100"/>
      <c r="J597" s="101"/>
      <c r="K597" s="100"/>
      <c r="L597" s="102"/>
      <c r="M597" s="103" t="str">
        <f>if(B597,if(and(hour(B597+M$7)&gt;9.5,(hour(B597+M$7)&lt;19.5)),B597+M$7,_xlfn.workday.intl(int(B597),1,"0000001",Holidays!A:A)+hour(B597+M$7-$B$1)/24+minute(B597)/1440),"")</f>
        <v/>
      </c>
      <c r="N597" s="104"/>
      <c r="O597" s="105"/>
      <c r="P597" s="106" t="str">
        <f t="shared" si="1"/>
        <v/>
      </c>
      <c r="Q597" s="107"/>
      <c r="R597" s="108"/>
      <c r="S597" s="103" t="str">
        <f>if(M597,if(and(hour(M597+S$7)&gt;9.5,(hour(M597+S$7)&lt;19.5)),M597+S$7,_xlfn.workday.intl(int(M597),1,"0000001",Holidays!A:A)+hour(M597+S$7-$B$1)/24+minute(M597)/1440),"")</f>
        <v/>
      </c>
      <c r="T597" s="104"/>
      <c r="U597" s="105"/>
      <c r="V597" s="109" t="str">
        <f t="shared" si="2"/>
        <v/>
      </c>
      <c r="W597" s="110" t="str">
        <f t="shared" si="3"/>
        <v/>
      </c>
      <c r="X597" s="103" t="str">
        <f>if(S597,if(and(hour(S597+X$7)&gt;9.5,(hour(S597+X$7)&lt;19.5)),S597+X$7,_xlfn.workday.intl(int(S597),1,"0000001",Holidays!A:A)+hour(S597+X$7-$B$1)/24+minute(S597)/1440),"")</f>
        <v/>
      </c>
      <c r="Y597" s="104"/>
      <c r="Z597" s="105"/>
      <c r="AA597" s="111" t="str">
        <f t="shared" si="4"/>
        <v/>
      </c>
      <c r="AB597" s="110" t="str">
        <f t="shared" si="5"/>
        <v/>
      </c>
      <c r="AC597" s="103" t="str">
        <f>if(X597,_xlfn.WORKDAY.INTL(X597,AC$7,"0000001",Holidays!A:A)+hour(X597)/24+MINUTE(X597)/1440,"")</f>
        <v/>
      </c>
      <c r="AD597" s="104"/>
      <c r="AE597" s="105"/>
      <c r="AF597" s="111" t="str">
        <f t="shared" si="6"/>
        <v/>
      </c>
      <c r="AG597" s="110" t="str">
        <f t="shared" si="7"/>
        <v/>
      </c>
      <c r="AH597" s="103" t="str">
        <f>if(AC597,if(and(hour(AC597+AH$7)&gt;9.5,(hour(AC597+AH$7)&lt;19.5)),AC597+AH$7,_xlfn.workday.intl(int(AC597),1,"0000001",Holidays!A:A)+hour(AC597+AH$7-$B$1)/24+minute(AC597)/1440),"")</f>
        <v/>
      </c>
      <c r="AI597" s="104"/>
      <c r="AJ597" s="105"/>
      <c r="AK597" s="111" t="str">
        <f t="shared" si="8"/>
        <v/>
      </c>
      <c r="AL597" s="112" t="str">
        <f t="shared" si="9"/>
        <v/>
      </c>
      <c r="AM597" s="113"/>
      <c r="AN597" s="291" t="s">
        <v>2540</v>
      </c>
      <c r="AO597" s="115"/>
      <c r="AP597" s="115"/>
      <c r="AQ597" s="115"/>
      <c r="AR597" s="115"/>
      <c r="AS597" s="115"/>
      <c r="AT597" s="115"/>
      <c r="AU597" s="115"/>
      <c r="AV597" s="115"/>
      <c r="AW597" s="115"/>
      <c r="AX597" s="115"/>
      <c r="AY597" s="115"/>
    </row>
    <row r="598">
      <c r="A598" s="95" t="str">
        <f t="shared" si="11"/>
        <v/>
      </c>
      <c r="B598" s="100"/>
      <c r="C598" s="97"/>
      <c r="D598" s="97"/>
      <c r="E598" s="97"/>
      <c r="F598" s="97"/>
      <c r="G598" s="97"/>
      <c r="H598" s="99"/>
      <c r="I598" s="100"/>
      <c r="J598" s="101"/>
      <c r="K598" s="100"/>
      <c r="L598" s="102"/>
      <c r="M598" s="103" t="str">
        <f>if(B598,if(and(hour(B598+M$7)&gt;9.5,(hour(B598+M$7)&lt;19.5)),B598+M$7,_xlfn.workday.intl(int(B598),1,"0000001",Holidays!A:A)+hour(B598+M$7-$B$1)/24+minute(B598)/1440),"")</f>
        <v/>
      </c>
      <c r="N598" s="104"/>
      <c r="O598" s="105"/>
      <c r="P598" s="106" t="str">
        <f t="shared" si="1"/>
        <v/>
      </c>
      <c r="Q598" s="107"/>
      <c r="R598" s="108"/>
      <c r="S598" s="103" t="str">
        <f>if(M598,if(and(hour(M598+S$7)&gt;9.5,(hour(M598+S$7)&lt;19.5)),M598+S$7,_xlfn.workday.intl(int(M598),1,"0000001",Holidays!A:A)+hour(M598+S$7-$B$1)/24+minute(M598)/1440),"")</f>
        <v/>
      </c>
      <c r="T598" s="104"/>
      <c r="U598" s="105"/>
      <c r="V598" s="109" t="str">
        <f t="shared" si="2"/>
        <v/>
      </c>
      <c r="W598" s="110" t="str">
        <f t="shared" si="3"/>
        <v/>
      </c>
      <c r="X598" s="103" t="str">
        <f>if(S598,if(and(hour(S598+X$7)&gt;9.5,(hour(S598+X$7)&lt;19.5)),S598+X$7,_xlfn.workday.intl(int(S598),1,"0000001",Holidays!A:A)+hour(S598+X$7-$B$1)/24+minute(S598)/1440),"")</f>
        <v/>
      </c>
      <c r="Y598" s="104"/>
      <c r="Z598" s="105"/>
      <c r="AA598" s="111" t="str">
        <f t="shared" si="4"/>
        <v/>
      </c>
      <c r="AB598" s="110" t="str">
        <f t="shared" si="5"/>
        <v/>
      </c>
      <c r="AC598" s="103" t="str">
        <f>if(X598,_xlfn.WORKDAY.INTL(X598,AC$7,"0000001",Holidays!A:A)+hour(X598)/24+MINUTE(X598)/1440,"")</f>
        <v/>
      </c>
      <c r="AD598" s="104"/>
      <c r="AE598" s="105"/>
      <c r="AF598" s="111" t="str">
        <f t="shared" si="6"/>
        <v/>
      </c>
      <c r="AG598" s="110" t="str">
        <f t="shared" si="7"/>
        <v/>
      </c>
      <c r="AH598" s="103" t="str">
        <f>if(AC598,if(and(hour(AC598+AH$7)&gt;9.5,(hour(AC598+AH$7)&lt;19.5)),AC598+AH$7,_xlfn.workday.intl(int(AC598),1,"0000001",Holidays!A:A)+hour(AC598+AH$7-$B$1)/24+minute(AC598)/1440),"")</f>
        <v/>
      </c>
      <c r="AI598" s="104"/>
      <c r="AJ598" s="105"/>
      <c r="AK598" s="111" t="str">
        <f t="shared" si="8"/>
        <v/>
      </c>
      <c r="AL598" s="112" t="str">
        <f t="shared" si="9"/>
        <v/>
      </c>
      <c r="AM598" s="113"/>
      <c r="AN598" s="291" t="s">
        <v>2540</v>
      </c>
      <c r="AO598" s="115"/>
      <c r="AP598" s="115"/>
      <c r="AQ598" s="115"/>
      <c r="AR598" s="115"/>
      <c r="AS598" s="115"/>
      <c r="AT598" s="115"/>
      <c r="AU598" s="115"/>
      <c r="AV598" s="115"/>
      <c r="AW598" s="115"/>
      <c r="AX598" s="115"/>
      <c r="AY598" s="115"/>
    </row>
    <row r="599">
      <c r="A599" s="95" t="str">
        <f t="shared" si="11"/>
        <v/>
      </c>
      <c r="B599" s="100"/>
      <c r="C599" s="97"/>
      <c r="D599" s="97"/>
      <c r="E599" s="97"/>
      <c r="F599" s="97"/>
      <c r="G599" s="97"/>
      <c r="H599" s="99"/>
      <c r="I599" s="100"/>
      <c r="J599" s="101"/>
      <c r="K599" s="100"/>
      <c r="L599" s="102"/>
      <c r="M599" s="103" t="str">
        <f>if(B599,if(and(hour(B599+M$7)&gt;9.5,(hour(B599+M$7)&lt;19.5)),B599+M$7,_xlfn.workday.intl(int(B599),1,"0000001",Holidays!A:A)+hour(B599+M$7-$B$1)/24+minute(B599)/1440),"")</f>
        <v/>
      </c>
      <c r="N599" s="104"/>
      <c r="O599" s="105"/>
      <c r="P599" s="106" t="str">
        <f t="shared" si="1"/>
        <v/>
      </c>
      <c r="Q599" s="107"/>
      <c r="R599" s="108"/>
      <c r="S599" s="103" t="str">
        <f>if(M599,if(and(hour(M599+S$7)&gt;9.5,(hour(M599+S$7)&lt;19.5)),M599+S$7,_xlfn.workday.intl(int(M599),1,"0000001",Holidays!A:A)+hour(M599+S$7-$B$1)/24+minute(M599)/1440),"")</f>
        <v/>
      </c>
      <c r="T599" s="104"/>
      <c r="U599" s="105"/>
      <c r="V599" s="109" t="str">
        <f t="shared" si="2"/>
        <v/>
      </c>
      <c r="W599" s="110" t="str">
        <f t="shared" si="3"/>
        <v/>
      </c>
      <c r="X599" s="103" t="str">
        <f>if(S599,if(and(hour(S599+X$7)&gt;9.5,(hour(S599+X$7)&lt;19.5)),S599+X$7,_xlfn.workday.intl(int(S599),1,"0000001",Holidays!A:A)+hour(S599+X$7-$B$1)/24+minute(S599)/1440),"")</f>
        <v/>
      </c>
      <c r="Y599" s="104"/>
      <c r="Z599" s="105"/>
      <c r="AA599" s="111" t="str">
        <f t="shared" si="4"/>
        <v/>
      </c>
      <c r="AB599" s="110" t="str">
        <f t="shared" si="5"/>
        <v/>
      </c>
      <c r="AC599" s="103" t="str">
        <f>if(X599,_xlfn.WORKDAY.INTL(X599,AC$7,"0000001",Holidays!A:A)+hour(X599)/24+MINUTE(X599)/1440,"")</f>
        <v/>
      </c>
      <c r="AD599" s="104"/>
      <c r="AE599" s="105"/>
      <c r="AF599" s="111" t="str">
        <f t="shared" si="6"/>
        <v/>
      </c>
      <c r="AG599" s="110" t="str">
        <f t="shared" si="7"/>
        <v/>
      </c>
      <c r="AH599" s="103" t="str">
        <f>if(AC599,if(and(hour(AC599+AH$7)&gt;9.5,(hour(AC599+AH$7)&lt;19.5)),AC599+AH$7,_xlfn.workday.intl(int(AC599),1,"0000001",Holidays!A:A)+hour(AC599+AH$7-$B$1)/24+minute(AC599)/1440),"")</f>
        <v/>
      </c>
      <c r="AI599" s="104"/>
      <c r="AJ599" s="105"/>
      <c r="AK599" s="111" t="str">
        <f t="shared" si="8"/>
        <v/>
      </c>
      <c r="AL599" s="112" t="str">
        <f t="shared" si="9"/>
        <v/>
      </c>
      <c r="AM599" s="113"/>
      <c r="AN599" s="291" t="s">
        <v>2540</v>
      </c>
      <c r="AO599" s="115"/>
      <c r="AP599" s="115"/>
      <c r="AQ599" s="115"/>
      <c r="AR599" s="115"/>
      <c r="AS599" s="115"/>
      <c r="AT599" s="115"/>
      <c r="AU599" s="115"/>
      <c r="AV599" s="115"/>
      <c r="AW599" s="115"/>
      <c r="AX599" s="115"/>
      <c r="AY599" s="115"/>
    </row>
    <row r="600">
      <c r="A600" s="95" t="str">
        <f t="shared" si="11"/>
        <v/>
      </c>
      <c r="B600" s="100"/>
      <c r="C600" s="97"/>
      <c r="D600" s="97"/>
      <c r="E600" s="97"/>
      <c r="F600" s="97"/>
      <c r="G600" s="97"/>
      <c r="H600" s="99"/>
      <c r="I600" s="100"/>
      <c r="J600" s="101"/>
      <c r="K600" s="100"/>
      <c r="L600" s="102"/>
      <c r="M600" s="103" t="str">
        <f>if(B600,if(and(hour(B600+M$7)&gt;9.5,(hour(B600+M$7)&lt;19.5)),B600+M$7,_xlfn.workday.intl(int(B600),1,"0000001",Holidays!A:A)+hour(B600+M$7-$B$1)/24+minute(B600)/1440),"")</f>
        <v/>
      </c>
      <c r="N600" s="104"/>
      <c r="O600" s="105"/>
      <c r="P600" s="106" t="str">
        <f t="shared" si="1"/>
        <v/>
      </c>
      <c r="Q600" s="107"/>
      <c r="R600" s="108"/>
      <c r="S600" s="103" t="str">
        <f>if(M600,if(and(hour(M600+S$7)&gt;9.5,(hour(M600+S$7)&lt;19.5)),M600+S$7,_xlfn.workday.intl(int(M600),1,"0000001",Holidays!A:A)+hour(M600+S$7-$B$1)/24+minute(M600)/1440),"")</f>
        <v/>
      </c>
      <c r="T600" s="104"/>
      <c r="U600" s="105"/>
      <c r="V600" s="109" t="str">
        <f t="shared" si="2"/>
        <v/>
      </c>
      <c r="W600" s="110" t="str">
        <f t="shared" si="3"/>
        <v/>
      </c>
      <c r="X600" s="103" t="str">
        <f>if(S600,if(and(hour(S600+X$7)&gt;9.5,(hour(S600+X$7)&lt;19.5)),S600+X$7,_xlfn.workday.intl(int(S600),1,"0000001",Holidays!A:A)+hour(S600+X$7-$B$1)/24+minute(S600)/1440),"")</f>
        <v/>
      </c>
      <c r="Y600" s="104"/>
      <c r="Z600" s="105"/>
      <c r="AA600" s="111" t="str">
        <f t="shared" si="4"/>
        <v/>
      </c>
      <c r="AB600" s="110" t="str">
        <f t="shared" si="5"/>
        <v/>
      </c>
      <c r="AC600" s="103" t="str">
        <f>if(X600,_xlfn.WORKDAY.INTL(X600,AC$7,"0000001",Holidays!A:A)+hour(X600)/24+MINUTE(X600)/1440,"")</f>
        <v/>
      </c>
      <c r="AD600" s="104"/>
      <c r="AE600" s="105"/>
      <c r="AF600" s="111" t="str">
        <f t="shared" si="6"/>
        <v/>
      </c>
      <c r="AG600" s="110" t="str">
        <f t="shared" si="7"/>
        <v/>
      </c>
      <c r="AH600" s="103" t="str">
        <f>if(AC600,if(and(hour(AC600+AH$7)&gt;9.5,(hour(AC600+AH$7)&lt;19.5)),AC600+AH$7,_xlfn.workday.intl(int(AC600),1,"0000001",Holidays!A:A)+hour(AC600+AH$7-$B$1)/24+minute(AC600)/1440),"")</f>
        <v/>
      </c>
      <c r="AI600" s="104"/>
      <c r="AJ600" s="105"/>
      <c r="AK600" s="111" t="str">
        <f t="shared" si="8"/>
        <v/>
      </c>
      <c r="AL600" s="112" t="str">
        <f t="shared" si="9"/>
        <v/>
      </c>
      <c r="AM600" s="113"/>
      <c r="AN600" s="291" t="s">
        <v>2540</v>
      </c>
      <c r="AO600" s="115"/>
      <c r="AP600" s="115"/>
      <c r="AQ600" s="115"/>
      <c r="AR600" s="115"/>
      <c r="AS600" s="115"/>
      <c r="AT600" s="115"/>
      <c r="AU600" s="115"/>
      <c r="AV600" s="115"/>
      <c r="AW600" s="115"/>
      <c r="AX600" s="115"/>
      <c r="AY600" s="115"/>
    </row>
    <row r="601">
      <c r="A601" s="95" t="str">
        <f t="shared" si="11"/>
        <v/>
      </c>
      <c r="B601" s="100"/>
      <c r="C601" s="97"/>
      <c r="D601" s="97"/>
      <c r="E601" s="97"/>
      <c r="F601" s="97"/>
      <c r="G601" s="97"/>
      <c r="H601" s="99"/>
      <c r="I601" s="100"/>
      <c r="J601" s="101"/>
      <c r="K601" s="100"/>
      <c r="L601" s="102"/>
      <c r="M601" s="103" t="str">
        <f>if(B601,if(and(hour(B601+M$7)&gt;9.5,(hour(B601+M$7)&lt;19.5)),B601+M$7,_xlfn.workday.intl(int(B601),1,"0000001",Holidays!A:A)+hour(B601+M$7-$B$1)/24+minute(B601)/1440),"")</f>
        <v/>
      </c>
      <c r="N601" s="104"/>
      <c r="O601" s="105"/>
      <c r="P601" s="106" t="str">
        <f t="shared" si="1"/>
        <v/>
      </c>
      <c r="Q601" s="107"/>
      <c r="R601" s="108"/>
      <c r="S601" s="103" t="str">
        <f>if(M601,if(and(hour(M601+S$7)&gt;9.5,(hour(M601+S$7)&lt;19.5)),M601+S$7,_xlfn.workday.intl(int(M601),1,"0000001",Holidays!A:A)+hour(M601+S$7-$B$1)/24+minute(M601)/1440),"")</f>
        <v/>
      </c>
      <c r="T601" s="104"/>
      <c r="U601" s="105"/>
      <c r="V601" s="109" t="str">
        <f t="shared" si="2"/>
        <v/>
      </c>
      <c r="W601" s="110" t="str">
        <f t="shared" si="3"/>
        <v/>
      </c>
      <c r="X601" s="103" t="str">
        <f>if(S601,if(and(hour(S601+X$7)&gt;9.5,(hour(S601+X$7)&lt;19.5)),S601+X$7,_xlfn.workday.intl(int(S601),1,"0000001",Holidays!A:A)+hour(S601+X$7-$B$1)/24+minute(S601)/1440),"")</f>
        <v/>
      </c>
      <c r="Y601" s="104"/>
      <c r="Z601" s="105"/>
      <c r="AA601" s="111" t="str">
        <f t="shared" si="4"/>
        <v/>
      </c>
      <c r="AB601" s="110" t="str">
        <f t="shared" si="5"/>
        <v/>
      </c>
      <c r="AC601" s="103" t="str">
        <f>if(X601,_xlfn.WORKDAY.INTL(X601,AC$7,"0000001",Holidays!A:A)+hour(X601)/24+MINUTE(X601)/1440,"")</f>
        <v/>
      </c>
      <c r="AD601" s="104"/>
      <c r="AE601" s="105"/>
      <c r="AF601" s="111" t="str">
        <f t="shared" si="6"/>
        <v/>
      </c>
      <c r="AG601" s="110" t="str">
        <f t="shared" si="7"/>
        <v/>
      </c>
      <c r="AH601" s="103" t="str">
        <f>if(AC601,if(and(hour(AC601+AH$7)&gt;9.5,(hour(AC601+AH$7)&lt;19.5)),AC601+AH$7,_xlfn.workday.intl(int(AC601),1,"0000001",Holidays!A:A)+hour(AC601+AH$7-$B$1)/24+minute(AC601)/1440),"")</f>
        <v/>
      </c>
      <c r="AI601" s="104"/>
      <c r="AJ601" s="105"/>
      <c r="AK601" s="111" t="str">
        <f t="shared" si="8"/>
        <v/>
      </c>
      <c r="AL601" s="112" t="str">
        <f t="shared" si="9"/>
        <v/>
      </c>
      <c r="AM601" s="113"/>
      <c r="AN601" s="291" t="s">
        <v>2540</v>
      </c>
      <c r="AO601" s="115"/>
      <c r="AP601" s="115"/>
      <c r="AQ601" s="115"/>
      <c r="AR601" s="115"/>
      <c r="AS601" s="115"/>
      <c r="AT601" s="115"/>
      <c r="AU601" s="115"/>
      <c r="AV601" s="115"/>
      <c r="AW601" s="115"/>
      <c r="AX601" s="115"/>
      <c r="AY601" s="115"/>
    </row>
    <row r="602">
      <c r="A602" s="95" t="str">
        <f t="shared" si="11"/>
        <v/>
      </c>
      <c r="B602" s="100"/>
      <c r="C602" s="97"/>
      <c r="D602" s="97"/>
      <c r="E602" s="97"/>
      <c r="F602" s="97"/>
      <c r="G602" s="97"/>
      <c r="H602" s="99"/>
      <c r="I602" s="100"/>
      <c r="J602" s="101"/>
      <c r="K602" s="100"/>
      <c r="L602" s="102"/>
      <c r="M602" s="103" t="str">
        <f>if(B602,if(and(hour(B602+M$7)&gt;9.5,(hour(B602+M$7)&lt;19.5)),B602+M$7,_xlfn.workday.intl(int(B602),1,"0000001",Holidays!A:A)+hour(B602+M$7-$B$1)/24+minute(B602)/1440),"")</f>
        <v/>
      </c>
      <c r="N602" s="104"/>
      <c r="O602" s="105"/>
      <c r="P602" s="106" t="str">
        <f t="shared" si="1"/>
        <v/>
      </c>
      <c r="Q602" s="107"/>
      <c r="R602" s="108"/>
      <c r="S602" s="103" t="str">
        <f>if(M602,if(and(hour(M602+S$7)&gt;9.5,(hour(M602+S$7)&lt;19.5)),M602+S$7,_xlfn.workday.intl(int(M602),1,"0000001",Holidays!A:A)+hour(M602+S$7-$B$1)/24+minute(M602)/1440),"")</f>
        <v/>
      </c>
      <c r="T602" s="104"/>
      <c r="U602" s="105"/>
      <c r="V602" s="109" t="str">
        <f t="shared" si="2"/>
        <v/>
      </c>
      <c r="W602" s="110" t="str">
        <f t="shared" si="3"/>
        <v/>
      </c>
      <c r="X602" s="103" t="str">
        <f>if(S602,if(and(hour(S602+X$7)&gt;9.5,(hour(S602+X$7)&lt;19.5)),S602+X$7,_xlfn.workday.intl(int(S602),1,"0000001",Holidays!A:A)+hour(S602+X$7-$B$1)/24+minute(S602)/1440),"")</f>
        <v/>
      </c>
      <c r="Y602" s="104"/>
      <c r="Z602" s="105"/>
      <c r="AA602" s="111" t="str">
        <f t="shared" si="4"/>
        <v/>
      </c>
      <c r="AB602" s="110" t="str">
        <f t="shared" si="5"/>
        <v/>
      </c>
      <c r="AC602" s="103" t="str">
        <f>if(X602,_xlfn.WORKDAY.INTL(X602,AC$7,"0000001",Holidays!A:A)+hour(X602)/24+MINUTE(X602)/1440,"")</f>
        <v/>
      </c>
      <c r="AD602" s="104"/>
      <c r="AE602" s="105"/>
      <c r="AF602" s="111" t="str">
        <f t="shared" si="6"/>
        <v/>
      </c>
      <c r="AG602" s="110" t="str">
        <f t="shared" si="7"/>
        <v/>
      </c>
      <c r="AH602" s="103" t="str">
        <f>if(AC602,if(and(hour(AC602+AH$7)&gt;9.5,(hour(AC602+AH$7)&lt;19.5)),AC602+AH$7,_xlfn.workday.intl(int(AC602),1,"0000001",Holidays!A:A)+hour(AC602+AH$7-$B$1)/24+minute(AC602)/1440),"")</f>
        <v/>
      </c>
      <c r="AI602" s="104"/>
      <c r="AJ602" s="105"/>
      <c r="AK602" s="111" t="str">
        <f t="shared" si="8"/>
        <v/>
      </c>
      <c r="AL602" s="112" t="str">
        <f t="shared" si="9"/>
        <v/>
      </c>
      <c r="AM602" s="113"/>
      <c r="AN602" s="291" t="s">
        <v>2540</v>
      </c>
      <c r="AO602" s="115"/>
      <c r="AP602" s="115"/>
      <c r="AQ602" s="115"/>
      <c r="AR602" s="115"/>
      <c r="AS602" s="115"/>
      <c r="AT602" s="115"/>
      <c r="AU602" s="115"/>
      <c r="AV602" s="115"/>
      <c r="AW602" s="115"/>
      <c r="AX602" s="115"/>
      <c r="AY602" s="115"/>
    </row>
    <row r="603">
      <c r="A603" s="95" t="str">
        <f t="shared" si="11"/>
        <v/>
      </c>
      <c r="B603" s="100"/>
      <c r="C603" s="97"/>
      <c r="D603" s="97"/>
      <c r="E603" s="97"/>
      <c r="F603" s="97"/>
      <c r="G603" s="97"/>
      <c r="H603" s="99"/>
      <c r="I603" s="100"/>
      <c r="J603" s="101"/>
      <c r="K603" s="100"/>
      <c r="L603" s="102"/>
      <c r="M603" s="103" t="str">
        <f>if(B603,if(and(hour(B603+M$7)&gt;9.5,(hour(B603+M$7)&lt;19.5)),B603+M$7,_xlfn.workday.intl(int(B603),1,"0000001",Holidays!A:A)+hour(B603+M$7-$B$1)/24+minute(B603)/1440),"")</f>
        <v/>
      </c>
      <c r="N603" s="104"/>
      <c r="O603" s="105"/>
      <c r="P603" s="106" t="str">
        <f t="shared" si="1"/>
        <v/>
      </c>
      <c r="Q603" s="107"/>
      <c r="R603" s="108"/>
      <c r="S603" s="103" t="str">
        <f>if(M603,if(and(hour(M603+S$7)&gt;9.5,(hour(M603+S$7)&lt;19.5)),M603+S$7,_xlfn.workday.intl(int(M603),1,"0000001",Holidays!A:A)+hour(M603+S$7-$B$1)/24+minute(M603)/1440),"")</f>
        <v/>
      </c>
      <c r="T603" s="104"/>
      <c r="U603" s="105"/>
      <c r="V603" s="109" t="str">
        <f t="shared" si="2"/>
        <v/>
      </c>
      <c r="W603" s="110" t="str">
        <f t="shared" si="3"/>
        <v/>
      </c>
      <c r="X603" s="103" t="str">
        <f>if(S603,if(and(hour(S603+X$7)&gt;9.5,(hour(S603+X$7)&lt;19.5)),S603+X$7,_xlfn.workday.intl(int(S603),1,"0000001",Holidays!A:A)+hour(S603+X$7-$B$1)/24+minute(S603)/1440),"")</f>
        <v/>
      </c>
      <c r="Y603" s="104"/>
      <c r="Z603" s="105"/>
      <c r="AA603" s="111" t="str">
        <f t="shared" si="4"/>
        <v/>
      </c>
      <c r="AB603" s="110" t="str">
        <f t="shared" si="5"/>
        <v/>
      </c>
      <c r="AC603" s="103" t="str">
        <f>if(X603,_xlfn.WORKDAY.INTL(X603,AC$7,"0000001",Holidays!A:A)+hour(X603)/24+MINUTE(X603)/1440,"")</f>
        <v/>
      </c>
      <c r="AD603" s="104"/>
      <c r="AE603" s="105"/>
      <c r="AF603" s="111" t="str">
        <f t="shared" si="6"/>
        <v/>
      </c>
      <c r="AG603" s="110" t="str">
        <f t="shared" si="7"/>
        <v/>
      </c>
      <c r="AH603" s="103" t="str">
        <f>if(AC603,if(and(hour(AC603+AH$7)&gt;9.5,(hour(AC603+AH$7)&lt;19.5)),AC603+AH$7,_xlfn.workday.intl(int(AC603),1,"0000001",Holidays!A:A)+hour(AC603+AH$7-$B$1)/24+minute(AC603)/1440),"")</f>
        <v/>
      </c>
      <c r="AI603" s="104"/>
      <c r="AJ603" s="105"/>
      <c r="AK603" s="111" t="str">
        <f t="shared" si="8"/>
        <v/>
      </c>
      <c r="AL603" s="112" t="str">
        <f t="shared" si="9"/>
        <v/>
      </c>
      <c r="AM603" s="113"/>
      <c r="AN603" s="291" t="s">
        <v>2540</v>
      </c>
      <c r="AO603" s="115"/>
      <c r="AP603" s="115"/>
      <c r="AQ603" s="115"/>
      <c r="AR603" s="115"/>
      <c r="AS603" s="115"/>
      <c r="AT603" s="115"/>
      <c r="AU603" s="115"/>
      <c r="AV603" s="115"/>
      <c r="AW603" s="115"/>
      <c r="AX603" s="115"/>
      <c r="AY603" s="115"/>
    </row>
    <row r="604">
      <c r="A604" s="95" t="str">
        <f t="shared" si="11"/>
        <v/>
      </c>
      <c r="B604" s="100"/>
      <c r="C604" s="97"/>
      <c r="D604" s="97"/>
      <c r="E604" s="97"/>
      <c r="F604" s="97"/>
      <c r="G604" s="97"/>
      <c r="H604" s="99"/>
      <c r="I604" s="100"/>
      <c r="J604" s="101"/>
      <c r="K604" s="100"/>
      <c r="L604" s="102"/>
      <c r="M604" s="103" t="str">
        <f>if(B604,if(and(hour(B604+M$7)&gt;9.5,(hour(B604+M$7)&lt;19.5)),B604+M$7,_xlfn.workday.intl(int(B604),1,"0000001",Holidays!A:A)+hour(B604+M$7-$B$1)/24+minute(B604)/1440),"")</f>
        <v/>
      </c>
      <c r="N604" s="104"/>
      <c r="O604" s="105"/>
      <c r="P604" s="106" t="str">
        <f t="shared" si="1"/>
        <v/>
      </c>
      <c r="Q604" s="107"/>
      <c r="R604" s="108"/>
      <c r="S604" s="103" t="str">
        <f>if(M604,if(and(hour(M604+S$7)&gt;9.5,(hour(M604+S$7)&lt;19.5)),M604+S$7,_xlfn.workday.intl(int(M604),1,"0000001",Holidays!A:A)+hour(M604+S$7-$B$1)/24+minute(M604)/1440),"")</f>
        <v/>
      </c>
      <c r="T604" s="104"/>
      <c r="U604" s="105"/>
      <c r="V604" s="109" t="str">
        <f t="shared" si="2"/>
        <v/>
      </c>
      <c r="W604" s="110" t="str">
        <f t="shared" si="3"/>
        <v/>
      </c>
      <c r="X604" s="103" t="str">
        <f>if(S604,if(and(hour(S604+X$7)&gt;9.5,(hour(S604+X$7)&lt;19.5)),S604+X$7,_xlfn.workday.intl(int(S604),1,"0000001",Holidays!A:A)+hour(S604+X$7-$B$1)/24+minute(S604)/1440),"")</f>
        <v/>
      </c>
      <c r="Y604" s="104"/>
      <c r="Z604" s="105"/>
      <c r="AA604" s="111" t="str">
        <f t="shared" si="4"/>
        <v/>
      </c>
      <c r="AB604" s="110" t="str">
        <f t="shared" si="5"/>
        <v/>
      </c>
      <c r="AC604" s="103" t="str">
        <f>if(X604,_xlfn.WORKDAY.INTL(X604,AC$7,"0000001",Holidays!A:A)+hour(X604)/24+MINUTE(X604)/1440,"")</f>
        <v/>
      </c>
      <c r="AD604" s="104"/>
      <c r="AE604" s="105"/>
      <c r="AF604" s="111" t="str">
        <f t="shared" si="6"/>
        <v/>
      </c>
      <c r="AG604" s="110" t="str">
        <f t="shared" si="7"/>
        <v/>
      </c>
      <c r="AH604" s="103" t="str">
        <f>if(AC604,if(and(hour(AC604+AH$7)&gt;9.5,(hour(AC604+AH$7)&lt;19.5)),AC604+AH$7,_xlfn.workday.intl(int(AC604),1,"0000001",Holidays!A:A)+hour(AC604+AH$7-$B$1)/24+minute(AC604)/1440),"")</f>
        <v/>
      </c>
      <c r="AI604" s="104"/>
      <c r="AJ604" s="105"/>
      <c r="AK604" s="111" t="str">
        <f t="shared" si="8"/>
        <v/>
      </c>
      <c r="AL604" s="112" t="str">
        <f t="shared" si="9"/>
        <v/>
      </c>
      <c r="AM604" s="113"/>
      <c r="AN604" s="291" t="s">
        <v>2540</v>
      </c>
      <c r="AO604" s="115"/>
      <c r="AP604" s="115"/>
      <c r="AQ604" s="115"/>
      <c r="AR604" s="115"/>
      <c r="AS604" s="115"/>
      <c r="AT604" s="115"/>
      <c r="AU604" s="115"/>
      <c r="AV604" s="115"/>
      <c r="AW604" s="115"/>
      <c r="AX604" s="115"/>
      <c r="AY604" s="115"/>
    </row>
    <row r="605">
      <c r="A605" s="95" t="str">
        <f t="shared" si="11"/>
        <v/>
      </c>
      <c r="B605" s="100"/>
      <c r="C605" s="97"/>
      <c r="D605" s="97"/>
      <c r="E605" s="97"/>
      <c r="F605" s="97"/>
      <c r="G605" s="97"/>
      <c r="H605" s="99"/>
      <c r="I605" s="100"/>
      <c r="J605" s="101"/>
      <c r="K605" s="100"/>
      <c r="L605" s="102"/>
      <c r="M605" s="103" t="str">
        <f>if(B605,if(and(hour(B605+M$7)&gt;9.5,(hour(B605+M$7)&lt;19.5)),B605+M$7,_xlfn.workday.intl(int(B605),1,"0000001",Holidays!A:A)+hour(B605+M$7-$B$1)/24+minute(B605)/1440),"")</f>
        <v/>
      </c>
      <c r="N605" s="104"/>
      <c r="O605" s="105"/>
      <c r="P605" s="106" t="str">
        <f t="shared" si="1"/>
        <v/>
      </c>
      <c r="Q605" s="107"/>
      <c r="R605" s="108"/>
      <c r="S605" s="103" t="str">
        <f>if(M605,if(and(hour(M605+S$7)&gt;9.5,(hour(M605+S$7)&lt;19.5)),M605+S$7,_xlfn.workday.intl(int(M605),1,"0000001",Holidays!A:A)+hour(M605+S$7-$B$1)/24+minute(M605)/1440),"")</f>
        <v/>
      </c>
      <c r="T605" s="104"/>
      <c r="U605" s="105"/>
      <c r="V605" s="109" t="str">
        <f t="shared" si="2"/>
        <v/>
      </c>
      <c r="W605" s="110" t="str">
        <f t="shared" si="3"/>
        <v/>
      </c>
      <c r="X605" s="103" t="str">
        <f>if(S605,if(and(hour(S605+X$7)&gt;9.5,(hour(S605+X$7)&lt;19.5)),S605+X$7,_xlfn.workday.intl(int(S605),1,"0000001",Holidays!A:A)+hour(S605+X$7-$B$1)/24+minute(S605)/1440),"")</f>
        <v/>
      </c>
      <c r="Y605" s="104"/>
      <c r="Z605" s="105"/>
      <c r="AA605" s="111" t="str">
        <f t="shared" si="4"/>
        <v/>
      </c>
      <c r="AB605" s="110" t="str">
        <f t="shared" si="5"/>
        <v/>
      </c>
      <c r="AC605" s="103" t="str">
        <f>if(X605,_xlfn.WORKDAY.INTL(X605,AC$7,"0000001",Holidays!A:A)+hour(X605)/24+MINUTE(X605)/1440,"")</f>
        <v/>
      </c>
      <c r="AD605" s="104"/>
      <c r="AE605" s="105"/>
      <c r="AF605" s="111" t="str">
        <f t="shared" si="6"/>
        <v/>
      </c>
      <c r="AG605" s="110" t="str">
        <f t="shared" si="7"/>
        <v/>
      </c>
      <c r="AH605" s="103" t="str">
        <f>if(AC605,if(and(hour(AC605+AH$7)&gt;9.5,(hour(AC605+AH$7)&lt;19.5)),AC605+AH$7,_xlfn.workday.intl(int(AC605),1,"0000001",Holidays!A:A)+hour(AC605+AH$7-$B$1)/24+minute(AC605)/1440),"")</f>
        <v/>
      </c>
      <c r="AI605" s="104"/>
      <c r="AJ605" s="105"/>
      <c r="AK605" s="111" t="str">
        <f t="shared" si="8"/>
        <v/>
      </c>
      <c r="AL605" s="112" t="str">
        <f t="shared" si="9"/>
        <v/>
      </c>
      <c r="AM605" s="113"/>
      <c r="AN605" s="291" t="s">
        <v>2540</v>
      </c>
      <c r="AO605" s="115"/>
      <c r="AP605" s="115"/>
      <c r="AQ605" s="115"/>
      <c r="AR605" s="115"/>
      <c r="AS605" s="115"/>
      <c r="AT605" s="115"/>
      <c r="AU605" s="115"/>
      <c r="AV605" s="115"/>
      <c r="AW605" s="115"/>
      <c r="AX605" s="115"/>
      <c r="AY605" s="115"/>
    </row>
    <row r="606">
      <c r="A606" s="95" t="str">
        <f t="shared" si="11"/>
        <v/>
      </c>
      <c r="B606" s="100"/>
      <c r="C606" s="97"/>
      <c r="D606" s="97"/>
      <c r="E606" s="97"/>
      <c r="F606" s="97"/>
      <c r="G606" s="97"/>
      <c r="H606" s="99"/>
      <c r="I606" s="100"/>
      <c r="J606" s="101"/>
      <c r="K606" s="100"/>
      <c r="L606" s="102"/>
      <c r="M606" s="103" t="str">
        <f>if(B606,if(and(hour(B606+M$7)&gt;9.5,(hour(B606+M$7)&lt;19.5)),B606+M$7,_xlfn.workday.intl(int(B606),1,"0000001",Holidays!A:A)+hour(B606+M$7-$B$1)/24+minute(B606)/1440),"")</f>
        <v/>
      </c>
      <c r="N606" s="104"/>
      <c r="O606" s="105"/>
      <c r="P606" s="106" t="str">
        <f t="shared" si="1"/>
        <v/>
      </c>
      <c r="Q606" s="107"/>
      <c r="R606" s="108"/>
      <c r="S606" s="103" t="str">
        <f>if(M606,if(and(hour(M606+S$7)&gt;9.5,(hour(M606+S$7)&lt;19.5)),M606+S$7,_xlfn.workday.intl(int(M606),1,"0000001",Holidays!A:A)+hour(M606+S$7-$B$1)/24+minute(M606)/1440),"")</f>
        <v/>
      </c>
      <c r="T606" s="104"/>
      <c r="U606" s="105"/>
      <c r="V606" s="109" t="str">
        <f t="shared" si="2"/>
        <v/>
      </c>
      <c r="W606" s="110" t="str">
        <f t="shared" si="3"/>
        <v/>
      </c>
      <c r="X606" s="103" t="str">
        <f>if(S606,if(and(hour(S606+X$7)&gt;9.5,(hour(S606+X$7)&lt;19.5)),S606+X$7,_xlfn.workday.intl(int(S606),1,"0000001",Holidays!A:A)+hour(S606+X$7-$B$1)/24+minute(S606)/1440),"")</f>
        <v/>
      </c>
      <c r="Y606" s="104"/>
      <c r="Z606" s="105"/>
      <c r="AA606" s="111" t="str">
        <f t="shared" si="4"/>
        <v/>
      </c>
      <c r="AB606" s="110" t="str">
        <f t="shared" si="5"/>
        <v/>
      </c>
      <c r="AC606" s="103" t="str">
        <f>if(X606,_xlfn.WORKDAY.INTL(X606,AC$7,"0000001",Holidays!A:A)+hour(X606)/24+MINUTE(X606)/1440,"")</f>
        <v/>
      </c>
      <c r="AD606" s="104"/>
      <c r="AE606" s="105"/>
      <c r="AF606" s="111" t="str">
        <f t="shared" si="6"/>
        <v/>
      </c>
      <c r="AG606" s="110" t="str">
        <f t="shared" si="7"/>
        <v/>
      </c>
      <c r="AH606" s="103" t="str">
        <f>if(AC606,if(and(hour(AC606+AH$7)&gt;9.5,(hour(AC606+AH$7)&lt;19.5)),AC606+AH$7,_xlfn.workday.intl(int(AC606),1,"0000001",Holidays!A:A)+hour(AC606+AH$7-$B$1)/24+minute(AC606)/1440),"")</f>
        <v/>
      </c>
      <c r="AI606" s="104"/>
      <c r="AJ606" s="105"/>
      <c r="AK606" s="111" t="str">
        <f t="shared" si="8"/>
        <v/>
      </c>
      <c r="AL606" s="112" t="str">
        <f t="shared" si="9"/>
        <v/>
      </c>
      <c r="AM606" s="113"/>
      <c r="AN606" s="291" t="s">
        <v>2540</v>
      </c>
      <c r="AO606" s="115"/>
      <c r="AP606" s="115"/>
      <c r="AQ606" s="115"/>
      <c r="AR606" s="115"/>
      <c r="AS606" s="115"/>
      <c r="AT606" s="115"/>
      <c r="AU606" s="115"/>
      <c r="AV606" s="115"/>
      <c r="AW606" s="115"/>
      <c r="AX606" s="115"/>
      <c r="AY606" s="115"/>
    </row>
    <row r="607">
      <c r="A607" s="95" t="str">
        <f t="shared" si="11"/>
        <v/>
      </c>
      <c r="B607" s="100"/>
      <c r="C607" s="97"/>
      <c r="D607" s="97"/>
      <c r="E607" s="97"/>
      <c r="F607" s="97"/>
      <c r="G607" s="97"/>
      <c r="H607" s="99"/>
      <c r="I607" s="100"/>
      <c r="J607" s="101"/>
      <c r="K607" s="100"/>
      <c r="L607" s="102"/>
      <c r="M607" s="103" t="str">
        <f>if(B607,if(and(hour(B607+M$7)&gt;9.5,(hour(B607+M$7)&lt;19.5)),B607+M$7,_xlfn.workday.intl(int(B607),1,"0000001",Holidays!A:A)+hour(B607+M$7-$B$1)/24+minute(B607)/1440),"")</f>
        <v/>
      </c>
      <c r="N607" s="104"/>
      <c r="O607" s="105"/>
      <c r="P607" s="106" t="str">
        <f t="shared" si="1"/>
        <v/>
      </c>
      <c r="Q607" s="107"/>
      <c r="R607" s="108"/>
      <c r="S607" s="103" t="str">
        <f>if(M607,if(and(hour(M607+S$7)&gt;9.5,(hour(M607+S$7)&lt;19.5)),M607+S$7,_xlfn.workday.intl(int(M607),1,"0000001",Holidays!A:A)+hour(M607+S$7-$B$1)/24+minute(M607)/1440),"")</f>
        <v/>
      </c>
      <c r="T607" s="104"/>
      <c r="U607" s="105"/>
      <c r="V607" s="109" t="str">
        <f t="shared" si="2"/>
        <v/>
      </c>
      <c r="W607" s="110" t="str">
        <f t="shared" si="3"/>
        <v/>
      </c>
      <c r="X607" s="103" t="str">
        <f>if(S607,if(and(hour(S607+X$7)&gt;9.5,(hour(S607+X$7)&lt;19.5)),S607+X$7,_xlfn.workday.intl(int(S607),1,"0000001",Holidays!A:A)+hour(S607+X$7-$B$1)/24+minute(S607)/1440),"")</f>
        <v/>
      </c>
      <c r="Y607" s="104"/>
      <c r="Z607" s="105"/>
      <c r="AA607" s="111" t="str">
        <f t="shared" si="4"/>
        <v/>
      </c>
      <c r="AB607" s="110" t="str">
        <f t="shared" si="5"/>
        <v/>
      </c>
      <c r="AC607" s="103" t="str">
        <f>if(X607,_xlfn.WORKDAY.INTL(X607,AC$7,"0000001",Holidays!A:A)+hour(X607)/24+MINUTE(X607)/1440,"")</f>
        <v/>
      </c>
      <c r="AD607" s="104"/>
      <c r="AE607" s="105"/>
      <c r="AF607" s="111" t="str">
        <f t="shared" si="6"/>
        <v/>
      </c>
      <c r="AG607" s="110" t="str">
        <f t="shared" si="7"/>
        <v/>
      </c>
      <c r="AH607" s="103" t="str">
        <f>if(AC607,if(and(hour(AC607+AH$7)&gt;9.5,(hour(AC607+AH$7)&lt;19.5)),AC607+AH$7,_xlfn.workday.intl(int(AC607),1,"0000001",Holidays!A:A)+hour(AC607+AH$7-$B$1)/24+minute(AC607)/1440),"")</f>
        <v/>
      </c>
      <c r="AI607" s="104"/>
      <c r="AJ607" s="105"/>
      <c r="AK607" s="111" t="str">
        <f t="shared" si="8"/>
        <v/>
      </c>
      <c r="AL607" s="112" t="str">
        <f t="shared" si="9"/>
        <v/>
      </c>
      <c r="AM607" s="113"/>
      <c r="AN607" s="291" t="s">
        <v>2540</v>
      </c>
      <c r="AO607" s="115"/>
      <c r="AP607" s="115"/>
      <c r="AQ607" s="115"/>
      <c r="AR607" s="115"/>
      <c r="AS607" s="115"/>
      <c r="AT607" s="115"/>
      <c r="AU607" s="115"/>
      <c r="AV607" s="115"/>
      <c r="AW607" s="115"/>
      <c r="AX607" s="115"/>
      <c r="AY607" s="115"/>
    </row>
    <row r="608">
      <c r="A608" s="95" t="str">
        <f t="shared" si="11"/>
        <v/>
      </c>
      <c r="B608" s="100"/>
      <c r="C608" s="97"/>
      <c r="D608" s="97"/>
      <c r="E608" s="97"/>
      <c r="F608" s="97"/>
      <c r="G608" s="97"/>
      <c r="H608" s="99"/>
      <c r="I608" s="100"/>
      <c r="J608" s="101"/>
      <c r="K608" s="100"/>
      <c r="L608" s="102"/>
      <c r="M608" s="103" t="str">
        <f>if(B608,if(and(hour(B608+M$7)&gt;9.5,(hour(B608+M$7)&lt;19.5)),B608+M$7,_xlfn.workday.intl(int(B608),1,"0000001",Holidays!A:A)+hour(B608+M$7-$B$1)/24+minute(B608)/1440),"")</f>
        <v/>
      </c>
      <c r="N608" s="104"/>
      <c r="O608" s="105"/>
      <c r="P608" s="106" t="str">
        <f t="shared" si="1"/>
        <v/>
      </c>
      <c r="Q608" s="107"/>
      <c r="R608" s="108"/>
      <c r="S608" s="103" t="str">
        <f>if(M608,if(and(hour(M608+S$7)&gt;9.5,(hour(M608+S$7)&lt;19.5)),M608+S$7,_xlfn.workday.intl(int(M608),1,"0000001",Holidays!A:A)+hour(M608+S$7-$B$1)/24+minute(M608)/1440),"")</f>
        <v/>
      </c>
      <c r="T608" s="104"/>
      <c r="U608" s="105"/>
      <c r="V608" s="109" t="str">
        <f t="shared" si="2"/>
        <v/>
      </c>
      <c r="W608" s="110" t="str">
        <f t="shared" si="3"/>
        <v/>
      </c>
      <c r="X608" s="103" t="str">
        <f>if(S608,if(and(hour(S608+X$7)&gt;9.5,(hour(S608+X$7)&lt;19.5)),S608+X$7,_xlfn.workday.intl(int(S608),1,"0000001",Holidays!A:A)+hour(S608+X$7-$B$1)/24+minute(S608)/1440),"")</f>
        <v/>
      </c>
      <c r="Y608" s="104"/>
      <c r="Z608" s="105"/>
      <c r="AA608" s="111" t="str">
        <f t="shared" si="4"/>
        <v/>
      </c>
      <c r="AB608" s="110" t="str">
        <f t="shared" si="5"/>
        <v/>
      </c>
      <c r="AC608" s="103" t="str">
        <f>if(X608,_xlfn.WORKDAY.INTL(X608,AC$7,"0000001",Holidays!A:A)+hour(X608)/24+MINUTE(X608)/1440,"")</f>
        <v/>
      </c>
      <c r="AD608" s="104"/>
      <c r="AE608" s="105"/>
      <c r="AF608" s="111" t="str">
        <f t="shared" si="6"/>
        <v/>
      </c>
      <c r="AG608" s="110" t="str">
        <f t="shared" si="7"/>
        <v/>
      </c>
      <c r="AH608" s="103" t="str">
        <f>if(AC608,if(and(hour(AC608+AH$7)&gt;9.5,(hour(AC608+AH$7)&lt;19.5)),AC608+AH$7,_xlfn.workday.intl(int(AC608),1,"0000001",Holidays!A:A)+hour(AC608+AH$7-$B$1)/24+minute(AC608)/1440),"")</f>
        <v/>
      </c>
      <c r="AI608" s="104"/>
      <c r="AJ608" s="105"/>
      <c r="AK608" s="111" t="str">
        <f t="shared" si="8"/>
        <v/>
      </c>
      <c r="AL608" s="112" t="str">
        <f t="shared" si="9"/>
        <v/>
      </c>
      <c r="AM608" s="113"/>
      <c r="AN608" s="291" t="s">
        <v>2540</v>
      </c>
      <c r="AO608" s="115"/>
      <c r="AP608" s="115"/>
      <c r="AQ608" s="115"/>
      <c r="AR608" s="115"/>
      <c r="AS608" s="115"/>
      <c r="AT608" s="115"/>
      <c r="AU608" s="115"/>
      <c r="AV608" s="115"/>
      <c r="AW608" s="115"/>
      <c r="AX608" s="115"/>
      <c r="AY608" s="115"/>
    </row>
    <row r="609">
      <c r="A609" s="95" t="str">
        <f t="shared" si="11"/>
        <v/>
      </c>
      <c r="B609" s="100"/>
      <c r="C609" s="97"/>
      <c r="D609" s="97"/>
      <c r="E609" s="97"/>
      <c r="F609" s="97"/>
      <c r="G609" s="97"/>
      <c r="H609" s="99"/>
      <c r="I609" s="100"/>
      <c r="J609" s="101"/>
      <c r="K609" s="100"/>
      <c r="L609" s="102"/>
      <c r="M609" s="103" t="str">
        <f>if(B609,if(and(hour(B609+M$7)&gt;9.5,(hour(B609+M$7)&lt;19.5)),B609+M$7,_xlfn.workday.intl(int(B609),1,"0000001",Holidays!A:A)+hour(B609+M$7-$B$1)/24+minute(B609)/1440),"")</f>
        <v/>
      </c>
      <c r="N609" s="104"/>
      <c r="O609" s="105"/>
      <c r="P609" s="106" t="str">
        <f t="shared" si="1"/>
        <v/>
      </c>
      <c r="Q609" s="107"/>
      <c r="R609" s="108"/>
      <c r="S609" s="103" t="str">
        <f>if(M609,if(and(hour(M609+S$7)&gt;9.5,(hour(M609+S$7)&lt;19.5)),M609+S$7,_xlfn.workday.intl(int(M609),1,"0000001",Holidays!A:A)+hour(M609+S$7-$B$1)/24+minute(M609)/1440),"")</f>
        <v/>
      </c>
      <c r="T609" s="104"/>
      <c r="U609" s="105"/>
      <c r="V609" s="109" t="str">
        <f t="shared" si="2"/>
        <v/>
      </c>
      <c r="W609" s="110" t="str">
        <f t="shared" si="3"/>
        <v/>
      </c>
      <c r="X609" s="103" t="str">
        <f>if(S609,if(and(hour(S609+X$7)&gt;9.5,(hour(S609+X$7)&lt;19.5)),S609+X$7,_xlfn.workday.intl(int(S609),1,"0000001",Holidays!A:A)+hour(S609+X$7-$B$1)/24+minute(S609)/1440),"")</f>
        <v/>
      </c>
      <c r="Y609" s="104"/>
      <c r="Z609" s="105"/>
      <c r="AA609" s="111" t="str">
        <f t="shared" si="4"/>
        <v/>
      </c>
      <c r="AB609" s="110" t="str">
        <f t="shared" si="5"/>
        <v/>
      </c>
      <c r="AC609" s="103" t="str">
        <f>if(X609,_xlfn.WORKDAY.INTL(X609,AC$7,"0000001",Holidays!A:A)+hour(X609)/24+MINUTE(X609)/1440,"")</f>
        <v/>
      </c>
      <c r="AD609" s="104"/>
      <c r="AE609" s="105"/>
      <c r="AF609" s="111" t="str">
        <f t="shared" si="6"/>
        <v/>
      </c>
      <c r="AG609" s="110" t="str">
        <f t="shared" si="7"/>
        <v/>
      </c>
      <c r="AH609" s="103" t="str">
        <f>if(AC609,if(and(hour(AC609+AH$7)&gt;9.5,(hour(AC609+AH$7)&lt;19.5)),AC609+AH$7,_xlfn.workday.intl(int(AC609),1,"0000001",Holidays!A:A)+hour(AC609+AH$7-$B$1)/24+minute(AC609)/1440),"")</f>
        <v/>
      </c>
      <c r="AI609" s="104"/>
      <c r="AJ609" s="105"/>
      <c r="AK609" s="111" t="str">
        <f t="shared" si="8"/>
        <v/>
      </c>
      <c r="AL609" s="112" t="str">
        <f t="shared" si="9"/>
        <v/>
      </c>
      <c r="AM609" s="113"/>
      <c r="AN609" s="291" t="s">
        <v>2540</v>
      </c>
      <c r="AO609" s="115"/>
      <c r="AP609" s="115"/>
      <c r="AQ609" s="115"/>
      <c r="AR609" s="115"/>
      <c r="AS609" s="115"/>
      <c r="AT609" s="115"/>
      <c r="AU609" s="115"/>
      <c r="AV609" s="115"/>
      <c r="AW609" s="115"/>
      <c r="AX609" s="115"/>
      <c r="AY609" s="115"/>
    </row>
    <row r="610">
      <c r="A610" s="95" t="str">
        <f t="shared" si="11"/>
        <v/>
      </c>
      <c r="B610" s="100"/>
      <c r="C610" s="97"/>
      <c r="D610" s="97"/>
      <c r="E610" s="97"/>
      <c r="F610" s="97"/>
      <c r="G610" s="97"/>
      <c r="H610" s="99"/>
      <c r="I610" s="100"/>
      <c r="J610" s="101"/>
      <c r="K610" s="100"/>
      <c r="L610" s="102"/>
      <c r="M610" s="103" t="str">
        <f>if(B610,if(and(hour(B610+M$7)&gt;9.5,(hour(B610+M$7)&lt;19.5)),B610+M$7,_xlfn.workday.intl(int(B610),1,"0000001",Holidays!A:A)+hour(B610+M$7-$B$1)/24+minute(B610)/1440),"")</f>
        <v/>
      </c>
      <c r="N610" s="104"/>
      <c r="O610" s="105"/>
      <c r="P610" s="106" t="str">
        <f t="shared" si="1"/>
        <v/>
      </c>
      <c r="Q610" s="107"/>
      <c r="R610" s="108"/>
      <c r="S610" s="103" t="str">
        <f>if(M610,if(and(hour(M610+S$7)&gt;9.5,(hour(M610+S$7)&lt;19.5)),M610+S$7,_xlfn.workday.intl(int(M610),1,"0000001",Holidays!A:A)+hour(M610+S$7-$B$1)/24+minute(M610)/1440),"")</f>
        <v/>
      </c>
      <c r="T610" s="104"/>
      <c r="U610" s="105"/>
      <c r="V610" s="109" t="str">
        <f t="shared" si="2"/>
        <v/>
      </c>
      <c r="W610" s="110" t="str">
        <f t="shared" si="3"/>
        <v/>
      </c>
      <c r="X610" s="103" t="str">
        <f>if(S610,if(and(hour(S610+X$7)&gt;9.5,(hour(S610+X$7)&lt;19.5)),S610+X$7,_xlfn.workday.intl(int(S610),1,"0000001",Holidays!A:A)+hour(S610+X$7-$B$1)/24+minute(S610)/1440),"")</f>
        <v/>
      </c>
      <c r="Y610" s="104"/>
      <c r="Z610" s="105"/>
      <c r="AA610" s="111" t="str">
        <f t="shared" si="4"/>
        <v/>
      </c>
      <c r="AB610" s="110" t="str">
        <f t="shared" si="5"/>
        <v/>
      </c>
      <c r="AC610" s="103" t="str">
        <f>if(X610,_xlfn.WORKDAY.INTL(X610,AC$7,"0000001",Holidays!A:A)+hour(X610)/24+MINUTE(X610)/1440,"")</f>
        <v/>
      </c>
      <c r="AD610" s="104"/>
      <c r="AE610" s="105"/>
      <c r="AF610" s="111" t="str">
        <f t="shared" si="6"/>
        <v/>
      </c>
      <c r="AG610" s="110" t="str">
        <f t="shared" si="7"/>
        <v/>
      </c>
      <c r="AH610" s="103" t="str">
        <f>if(AC610,if(and(hour(AC610+AH$7)&gt;9.5,(hour(AC610+AH$7)&lt;19.5)),AC610+AH$7,_xlfn.workday.intl(int(AC610),1,"0000001",Holidays!A:A)+hour(AC610+AH$7-$B$1)/24+minute(AC610)/1440),"")</f>
        <v/>
      </c>
      <c r="AI610" s="104"/>
      <c r="AJ610" s="105"/>
      <c r="AK610" s="111" t="str">
        <f t="shared" si="8"/>
        <v/>
      </c>
      <c r="AL610" s="112" t="str">
        <f t="shared" si="9"/>
        <v/>
      </c>
      <c r="AM610" s="113"/>
      <c r="AN610" s="291" t="s">
        <v>2540</v>
      </c>
      <c r="AO610" s="115"/>
      <c r="AP610" s="115"/>
      <c r="AQ610" s="115"/>
      <c r="AR610" s="115"/>
      <c r="AS610" s="115"/>
      <c r="AT610" s="115"/>
      <c r="AU610" s="115"/>
      <c r="AV610" s="115"/>
      <c r="AW610" s="115"/>
      <c r="AX610" s="115"/>
      <c r="AY610" s="115"/>
    </row>
    <row r="611">
      <c r="A611" s="95" t="str">
        <f t="shared" si="11"/>
        <v/>
      </c>
      <c r="B611" s="100"/>
      <c r="C611" s="97"/>
      <c r="D611" s="97"/>
      <c r="E611" s="97"/>
      <c r="F611" s="97"/>
      <c r="G611" s="97"/>
      <c r="H611" s="99"/>
      <c r="I611" s="100"/>
      <c r="J611" s="101"/>
      <c r="K611" s="100"/>
      <c r="L611" s="102"/>
      <c r="M611" s="103" t="str">
        <f>if(B611,if(and(hour(B611+M$7)&gt;9.5,(hour(B611+M$7)&lt;19.5)),B611+M$7,_xlfn.workday.intl(int(B611),1,"0000001",Holidays!A:A)+hour(B611+M$7-$B$1)/24+minute(B611)/1440),"")</f>
        <v/>
      </c>
      <c r="N611" s="104"/>
      <c r="O611" s="105"/>
      <c r="P611" s="106" t="str">
        <f t="shared" si="1"/>
        <v/>
      </c>
      <c r="Q611" s="107"/>
      <c r="R611" s="108"/>
      <c r="S611" s="103" t="str">
        <f>if(M611,if(and(hour(M611+S$7)&gt;9.5,(hour(M611+S$7)&lt;19.5)),M611+S$7,_xlfn.workday.intl(int(M611),1,"0000001",Holidays!A:A)+hour(M611+S$7-$B$1)/24+minute(M611)/1440),"")</f>
        <v/>
      </c>
      <c r="T611" s="104"/>
      <c r="U611" s="105"/>
      <c r="V611" s="109" t="str">
        <f t="shared" si="2"/>
        <v/>
      </c>
      <c r="W611" s="110" t="str">
        <f t="shared" si="3"/>
        <v/>
      </c>
      <c r="X611" s="103" t="str">
        <f>if(S611,if(and(hour(S611+X$7)&gt;9.5,(hour(S611+X$7)&lt;19.5)),S611+X$7,_xlfn.workday.intl(int(S611),1,"0000001",Holidays!A:A)+hour(S611+X$7-$B$1)/24+minute(S611)/1440),"")</f>
        <v/>
      </c>
      <c r="Y611" s="104"/>
      <c r="Z611" s="105"/>
      <c r="AA611" s="111" t="str">
        <f t="shared" si="4"/>
        <v/>
      </c>
      <c r="AB611" s="110" t="str">
        <f t="shared" si="5"/>
        <v/>
      </c>
      <c r="AC611" s="103" t="str">
        <f>if(X611,_xlfn.WORKDAY.INTL(X611,AC$7,"0000001",Holidays!A:A)+hour(X611)/24+MINUTE(X611)/1440,"")</f>
        <v/>
      </c>
      <c r="AD611" s="104"/>
      <c r="AE611" s="105"/>
      <c r="AF611" s="111" t="str">
        <f t="shared" si="6"/>
        <v/>
      </c>
      <c r="AG611" s="110" t="str">
        <f t="shared" si="7"/>
        <v/>
      </c>
      <c r="AH611" s="103" t="str">
        <f>if(AC611,if(and(hour(AC611+AH$7)&gt;9.5,(hour(AC611+AH$7)&lt;19.5)),AC611+AH$7,_xlfn.workday.intl(int(AC611),1,"0000001",Holidays!A:A)+hour(AC611+AH$7-$B$1)/24+minute(AC611)/1440),"")</f>
        <v/>
      </c>
      <c r="AI611" s="104"/>
      <c r="AJ611" s="105"/>
      <c r="AK611" s="111" t="str">
        <f t="shared" si="8"/>
        <v/>
      </c>
      <c r="AL611" s="112" t="str">
        <f t="shared" si="9"/>
        <v/>
      </c>
      <c r="AM611" s="113"/>
      <c r="AN611" s="291" t="s">
        <v>2540</v>
      </c>
      <c r="AO611" s="115"/>
      <c r="AP611" s="115"/>
      <c r="AQ611" s="115"/>
      <c r="AR611" s="115"/>
      <c r="AS611" s="115"/>
      <c r="AT611" s="115"/>
      <c r="AU611" s="115"/>
      <c r="AV611" s="115"/>
      <c r="AW611" s="115"/>
      <c r="AX611" s="115"/>
      <c r="AY611" s="115"/>
    </row>
    <row r="612">
      <c r="A612" s="95" t="str">
        <f t="shared" si="11"/>
        <v/>
      </c>
      <c r="B612" s="100"/>
      <c r="C612" s="97"/>
      <c r="D612" s="97"/>
      <c r="E612" s="97"/>
      <c r="F612" s="97"/>
      <c r="G612" s="97"/>
      <c r="H612" s="99"/>
      <c r="I612" s="100"/>
      <c r="J612" s="101"/>
      <c r="K612" s="100"/>
      <c r="L612" s="102"/>
      <c r="M612" s="103" t="str">
        <f>if(B612,if(and(hour(B612+M$7)&gt;9.5,(hour(B612+M$7)&lt;19.5)),B612+M$7,_xlfn.workday.intl(int(B612),1,"0000001",Holidays!A:A)+hour(B612+M$7-$B$1)/24+minute(B612)/1440),"")</f>
        <v/>
      </c>
      <c r="N612" s="104"/>
      <c r="O612" s="105"/>
      <c r="P612" s="106" t="str">
        <f t="shared" si="1"/>
        <v/>
      </c>
      <c r="Q612" s="107"/>
      <c r="R612" s="108"/>
      <c r="S612" s="103" t="str">
        <f>if(M612,if(and(hour(M612+S$7)&gt;9.5,(hour(M612+S$7)&lt;19.5)),M612+S$7,_xlfn.workday.intl(int(M612),1,"0000001",Holidays!A:A)+hour(M612+S$7-$B$1)/24+minute(M612)/1440),"")</f>
        <v/>
      </c>
      <c r="T612" s="104"/>
      <c r="U612" s="105"/>
      <c r="V612" s="109" t="str">
        <f t="shared" si="2"/>
        <v/>
      </c>
      <c r="W612" s="110" t="str">
        <f t="shared" si="3"/>
        <v/>
      </c>
      <c r="X612" s="103" t="str">
        <f>if(S612,if(and(hour(S612+X$7)&gt;9.5,(hour(S612+X$7)&lt;19.5)),S612+X$7,_xlfn.workday.intl(int(S612),1,"0000001",Holidays!A:A)+hour(S612+X$7-$B$1)/24+minute(S612)/1440),"")</f>
        <v/>
      </c>
      <c r="Y612" s="104"/>
      <c r="Z612" s="105"/>
      <c r="AA612" s="111" t="str">
        <f t="shared" si="4"/>
        <v/>
      </c>
      <c r="AB612" s="110" t="str">
        <f t="shared" si="5"/>
        <v/>
      </c>
      <c r="AC612" s="103" t="str">
        <f>if(X612,_xlfn.WORKDAY.INTL(X612,AC$7,"0000001",Holidays!A:A)+hour(X612)/24+MINUTE(X612)/1440,"")</f>
        <v/>
      </c>
      <c r="AD612" s="104"/>
      <c r="AE612" s="105"/>
      <c r="AF612" s="111" t="str">
        <f t="shared" si="6"/>
        <v/>
      </c>
      <c r="AG612" s="110" t="str">
        <f t="shared" si="7"/>
        <v/>
      </c>
      <c r="AH612" s="103" t="str">
        <f>if(AC612,if(and(hour(AC612+AH$7)&gt;9.5,(hour(AC612+AH$7)&lt;19.5)),AC612+AH$7,_xlfn.workday.intl(int(AC612),1,"0000001",Holidays!A:A)+hour(AC612+AH$7-$B$1)/24+minute(AC612)/1440),"")</f>
        <v/>
      </c>
      <c r="AI612" s="104"/>
      <c r="AJ612" s="105"/>
      <c r="AK612" s="111" t="str">
        <f t="shared" si="8"/>
        <v/>
      </c>
      <c r="AL612" s="112" t="str">
        <f t="shared" si="9"/>
        <v/>
      </c>
      <c r="AM612" s="113"/>
      <c r="AN612" s="291" t="s">
        <v>2540</v>
      </c>
      <c r="AO612" s="115"/>
      <c r="AP612" s="115"/>
      <c r="AQ612" s="115"/>
      <c r="AR612" s="115"/>
      <c r="AS612" s="115"/>
      <c r="AT612" s="115"/>
      <c r="AU612" s="115"/>
      <c r="AV612" s="115"/>
      <c r="AW612" s="115"/>
      <c r="AX612" s="115"/>
      <c r="AY612" s="115"/>
    </row>
    <row r="613">
      <c r="A613" s="95" t="str">
        <f t="shared" si="11"/>
        <v/>
      </c>
      <c r="B613" s="100"/>
      <c r="C613" s="97"/>
      <c r="D613" s="97"/>
      <c r="E613" s="97"/>
      <c r="F613" s="97"/>
      <c r="G613" s="97"/>
      <c r="H613" s="99"/>
      <c r="I613" s="100"/>
      <c r="J613" s="101"/>
      <c r="K613" s="100"/>
      <c r="L613" s="102"/>
      <c r="M613" s="103" t="str">
        <f>if(B613,if(and(hour(B613+M$7)&gt;9.5,(hour(B613+M$7)&lt;19.5)),B613+M$7,_xlfn.workday.intl(int(B613),1,"0000001",Holidays!A:A)+hour(B613+M$7-$B$1)/24+minute(B613)/1440),"")</f>
        <v/>
      </c>
      <c r="N613" s="104"/>
      <c r="O613" s="105"/>
      <c r="P613" s="106" t="str">
        <f t="shared" si="1"/>
        <v/>
      </c>
      <c r="Q613" s="107"/>
      <c r="R613" s="108"/>
      <c r="S613" s="103" t="str">
        <f>if(M613,if(and(hour(M613+S$7)&gt;9.5,(hour(M613+S$7)&lt;19.5)),M613+S$7,_xlfn.workday.intl(int(M613),1,"0000001",Holidays!A:A)+hour(M613+S$7-$B$1)/24+minute(M613)/1440),"")</f>
        <v/>
      </c>
      <c r="T613" s="104"/>
      <c r="U613" s="105"/>
      <c r="V613" s="109" t="str">
        <f t="shared" si="2"/>
        <v/>
      </c>
      <c r="W613" s="110" t="str">
        <f t="shared" si="3"/>
        <v/>
      </c>
      <c r="X613" s="103" t="str">
        <f>if(S613,if(and(hour(S613+X$7)&gt;9.5,(hour(S613+X$7)&lt;19.5)),S613+X$7,_xlfn.workday.intl(int(S613),1,"0000001",Holidays!A:A)+hour(S613+X$7-$B$1)/24+minute(S613)/1440),"")</f>
        <v/>
      </c>
      <c r="Y613" s="104"/>
      <c r="Z613" s="105"/>
      <c r="AA613" s="111" t="str">
        <f t="shared" si="4"/>
        <v/>
      </c>
      <c r="AB613" s="110" t="str">
        <f t="shared" si="5"/>
        <v/>
      </c>
      <c r="AC613" s="103" t="str">
        <f>if(X613,_xlfn.WORKDAY.INTL(X613,AC$7,"0000001",Holidays!A:A)+hour(X613)/24+MINUTE(X613)/1440,"")</f>
        <v/>
      </c>
      <c r="AD613" s="104"/>
      <c r="AE613" s="105"/>
      <c r="AF613" s="111" t="str">
        <f t="shared" si="6"/>
        <v/>
      </c>
      <c r="AG613" s="110" t="str">
        <f t="shared" si="7"/>
        <v/>
      </c>
      <c r="AH613" s="103" t="str">
        <f>if(AC613,if(and(hour(AC613+AH$7)&gt;9.5,(hour(AC613+AH$7)&lt;19.5)),AC613+AH$7,_xlfn.workday.intl(int(AC613),1,"0000001",Holidays!A:A)+hour(AC613+AH$7-$B$1)/24+minute(AC613)/1440),"")</f>
        <v/>
      </c>
      <c r="AI613" s="104"/>
      <c r="AJ613" s="105"/>
      <c r="AK613" s="111" t="str">
        <f t="shared" si="8"/>
        <v/>
      </c>
      <c r="AL613" s="112" t="str">
        <f t="shared" si="9"/>
        <v/>
      </c>
      <c r="AM613" s="113"/>
      <c r="AN613" s="291" t="s">
        <v>2540</v>
      </c>
      <c r="AO613" s="115"/>
      <c r="AP613" s="115"/>
      <c r="AQ613" s="115"/>
      <c r="AR613" s="115"/>
      <c r="AS613" s="115"/>
      <c r="AT613" s="115"/>
      <c r="AU613" s="115"/>
      <c r="AV613" s="115"/>
      <c r="AW613" s="115"/>
      <c r="AX613" s="115"/>
      <c r="AY613" s="115"/>
    </row>
    <row r="614">
      <c r="A614" s="95" t="str">
        <f t="shared" si="11"/>
        <v/>
      </c>
      <c r="B614" s="100"/>
      <c r="C614" s="97"/>
      <c r="D614" s="97"/>
      <c r="E614" s="97"/>
      <c r="F614" s="97"/>
      <c r="G614" s="97"/>
      <c r="H614" s="99"/>
      <c r="I614" s="100"/>
      <c r="J614" s="101"/>
      <c r="K614" s="100"/>
      <c r="L614" s="102"/>
      <c r="M614" s="103" t="str">
        <f>if(B614,if(and(hour(B614+M$7)&gt;9.5,(hour(B614+M$7)&lt;19.5)),B614+M$7,_xlfn.workday.intl(int(B614),1,"0000001",Holidays!A:A)+hour(B614+M$7-$B$1)/24+minute(B614)/1440),"")</f>
        <v/>
      </c>
      <c r="N614" s="104"/>
      <c r="O614" s="105"/>
      <c r="P614" s="106" t="str">
        <f t="shared" si="1"/>
        <v/>
      </c>
      <c r="Q614" s="107"/>
      <c r="R614" s="108"/>
      <c r="S614" s="103" t="str">
        <f>if(M614,if(and(hour(M614+S$7)&gt;9.5,(hour(M614+S$7)&lt;19.5)),M614+S$7,_xlfn.workday.intl(int(M614),1,"0000001",Holidays!A:A)+hour(M614+S$7-$B$1)/24+minute(M614)/1440),"")</f>
        <v/>
      </c>
      <c r="T614" s="104"/>
      <c r="U614" s="105"/>
      <c r="V614" s="109" t="str">
        <f t="shared" si="2"/>
        <v/>
      </c>
      <c r="W614" s="110" t="str">
        <f t="shared" si="3"/>
        <v/>
      </c>
      <c r="X614" s="103" t="str">
        <f>if(S614,if(and(hour(S614+X$7)&gt;9.5,(hour(S614+X$7)&lt;19.5)),S614+X$7,_xlfn.workday.intl(int(S614),1,"0000001",Holidays!A:A)+hour(S614+X$7-$B$1)/24+minute(S614)/1440),"")</f>
        <v/>
      </c>
      <c r="Y614" s="104"/>
      <c r="Z614" s="105"/>
      <c r="AA614" s="111" t="str">
        <f t="shared" si="4"/>
        <v/>
      </c>
      <c r="AB614" s="110" t="str">
        <f t="shared" si="5"/>
        <v/>
      </c>
      <c r="AC614" s="103" t="str">
        <f>if(X614,_xlfn.WORKDAY.INTL(X614,AC$7,"0000001",Holidays!A:A)+hour(X614)/24+MINUTE(X614)/1440,"")</f>
        <v/>
      </c>
      <c r="AD614" s="104"/>
      <c r="AE614" s="105"/>
      <c r="AF614" s="111" t="str">
        <f t="shared" si="6"/>
        <v/>
      </c>
      <c r="AG614" s="110" t="str">
        <f t="shared" si="7"/>
        <v/>
      </c>
      <c r="AH614" s="103" t="str">
        <f>if(AC614,if(and(hour(AC614+AH$7)&gt;9.5,(hour(AC614+AH$7)&lt;19.5)),AC614+AH$7,_xlfn.workday.intl(int(AC614),1,"0000001",Holidays!A:A)+hour(AC614+AH$7-$B$1)/24+minute(AC614)/1440),"")</f>
        <v/>
      </c>
      <c r="AI614" s="104"/>
      <c r="AJ614" s="105"/>
      <c r="AK614" s="111" t="str">
        <f t="shared" si="8"/>
        <v/>
      </c>
      <c r="AL614" s="112" t="str">
        <f t="shared" si="9"/>
        <v/>
      </c>
      <c r="AM614" s="113"/>
      <c r="AN614" s="291" t="s">
        <v>2540</v>
      </c>
      <c r="AO614" s="115"/>
      <c r="AP614" s="115"/>
      <c r="AQ614" s="115"/>
      <c r="AR614" s="115"/>
      <c r="AS614" s="115"/>
      <c r="AT614" s="115"/>
      <c r="AU614" s="115"/>
      <c r="AV614" s="115"/>
      <c r="AW614" s="115"/>
      <c r="AX614" s="115"/>
      <c r="AY614" s="115"/>
    </row>
    <row r="615">
      <c r="A615" s="95" t="str">
        <f t="shared" si="11"/>
        <v/>
      </c>
      <c r="B615" s="100"/>
      <c r="C615" s="97"/>
      <c r="D615" s="97"/>
      <c r="E615" s="97"/>
      <c r="F615" s="97"/>
      <c r="G615" s="97"/>
      <c r="H615" s="99"/>
      <c r="I615" s="100"/>
      <c r="J615" s="101"/>
      <c r="K615" s="100"/>
      <c r="L615" s="102"/>
      <c r="M615" s="103" t="str">
        <f>if(B615,if(and(hour(B615+M$7)&gt;9.5,(hour(B615+M$7)&lt;19.5)),B615+M$7,_xlfn.workday.intl(int(B615),1,"0000001",Holidays!A:A)+hour(B615+M$7-$B$1)/24+minute(B615)/1440),"")</f>
        <v/>
      </c>
      <c r="N615" s="104"/>
      <c r="O615" s="105"/>
      <c r="P615" s="106" t="str">
        <f t="shared" si="1"/>
        <v/>
      </c>
      <c r="Q615" s="107"/>
      <c r="R615" s="108"/>
      <c r="S615" s="103" t="str">
        <f>if(M615,if(and(hour(M615+S$7)&gt;9.5,(hour(M615+S$7)&lt;19.5)),M615+S$7,_xlfn.workday.intl(int(M615),1,"0000001",Holidays!A:A)+hour(M615+S$7-$B$1)/24+minute(M615)/1440),"")</f>
        <v/>
      </c>
      <c r="T615" s="104"/>
      <c r="U615" s="105"/>
      <c r="V615" s="109" t="str">
        <f t="shared" si="2"/>
        <v/>
      </c>
      <c r="W615" s="110" t="str">
        <f t="shared" si="3"/>
        <v/>
      </c>
      <c r="X615" s="103" t="str">
        <f>if(S615,if(and(hour(S615+X$7)&gt;9.5,(hour(S615+X$7)&lt;19.5)),S615+X$7,_xlfn.workday.intl(int(S615),1,"0000001",Holidays!A:A)+hour(S615+X$7-$B$1)/24+minute(S615)/1440),"")</f>
        <v/>
      </c>
      <c r="Y615" s="104"/>
      <c r="Z615" s="105"/>
      <c r="AA615" s="111" t="str">
        <f t="shared" si="4"/>
        <v/>
      </c>
      <c r="AB615" s="110" t="str">
        <f t="shared" si="5"/>
        <v/>
      </c>
      <c r="AC615" s="103" t="str">
        <f>if(X615,_xlfn.WORKDAY.INTL(X615,AC$7,"0000001",Holidays!A:A)+hour(X615)/24+MINUTE(X615)/1440,"")</f>
        <v/>
      </c>
      <c r="AD615" s="104"/>
      <c r="AE615" s="105"/>
      <c r="AF615" s="111" t="str">
        <f t="shared" si="6"/>
        <v/>
      </c>
      <c r="AG615" s="110" t="str">
        <f t="shared" si="7"/>
        <v/>
      </c>
      <c r="AH615" s="103" t="str">
        <f>if(AC615,if(and(hour(AC615+AH$7)&gt;9.5,(hour(AC615+AH$7)&lt;19.5)),AC615+AH$7,_xlfn.workday.intl(int(AC615),1,"0000001",Holidays!A:A)+hour(AC615+AH$7-$B$1)/24+minute(AC615)/1440),"")</f>
        <v/>
      </c>
      <c r="AI615" s="104"/>
      <c r="AJ615" s="105"/>
      <c r="AK615" s="111" t="str">
        <f t="shared" si="8"/>
        <v/>
      </c>
      <c r="AL615" s="112" t="str">
        <f t="shared" si="9"/>
        <v/>
      </c>
      <c r="AM615" s="113"/>
      <c r="AN615" s="291" t="s">
        <v>2540</v>
      </c>
      <c r="AO615" s="115"/>
      <c r="AP615" s="115"/>
      <c r="AQ615" s="115"/>
      <c r="AR615" s="115"/>
      <c r="AS615" s="115"/>
      <c r="AT615" s="115"/>
      <c r="AU615" s="115"/>
      <c r="AV615" s="115"/>
      <c r="AW615" s="115"/>
      <c r="AX615" s="115"/>
      <c r="AY615" s="115"/>
    </row>
    <row r="616">
      <c r="A616" s="95" t="str">
        <f t="shared" si="11"/>
        <v/>
      </c>
      <c r="B616" s="100"/>
      <c r="C616" s="97"/>
      <c r="D616" s="97"/>
      <c r="E616" s="97"/>
      <c r="F616" s="97"/>
      <c r="G616" s="97"/>
      <c r="H616" s="99"/>
      <c r="I616" s="100"/>
      <c r="J616" s="101"/>
      <c r="K616" s="100"/>
      <c r="L616" s="102"/>
      <c r="M616" s="103" t="str">
        <f>if(B616,if(and(hour(B616+M$7)&gt;9.5,(hour(B616+M$7)&lt;19.5)),B616+M$7,_xlfn.workday.intl(int(B616),1,"0000001",Holidays!A:A)+hour(B616+M$7-$B$1)/24+minute(B616)/1440),"")</f>
        <v/>
      </c>
      <c r="N616" s="104"/>
      <c r="O616" s="105"/>
      <c r="P616" s="106" t="str">
        <f t="shared" si="1"/>
        <v/>
      </c>
      <c r="Q616" s="107"/>
      <c r="R616" s="108"/>
      <c r="S616" s="103" t="str">
        <f>if(M616,if(and(hour(M616+S$7)&gt;9.5,(hour(M616+S$7)&lt;19.5)),M616+S$7,_xlfn.workday.intl(int(M616),1,"0000001",Holidays!A:A)+hour(M616+S$7-$B$1)/24+minute(M616)/1440),"")</f>
        <v/>
      </c>
      <c r="T616" s="104"/>
      <c r="U616" s="105"/>
      <c r="V616" s="109" t="str">
        <f t="shared" si="2"/>
        <v/>
      </c>
      <c r="W616" s="110" t="str">
        <f t="shared" si="3"/>
        <v/>
      </c>
      <c r="X616" s="103" t="str">
        <f>if(S616,if(and(hour(S616+X$7)&gt;9.5,(hour(S616+X$7)&lt;19.5)),S616+X$7,_xlfn.workday.intl(int(S616),1,"0000001",Holidays!A:A)+hour(S616+X$7-$B$1)/24+minute(S616)/1440),"")</f>
        <v/>
      </c>
      <c r="Y616" s="104"/>
      <c r="Z616" s="105"/>
      <c r="AA616" s="111" t="str">
        <f t="shared" si="4"/>
        <v/>
      </c>
      <c r="AB616" s="110" t="str">
        <f t="shared" si="5"/>
        <v/>
      </c>
      <c r="AC616" s="103" t="str">
        <f>if(X616,_xlfn.WORKDAY.INTL(X616,AC$7,"0000001",Holidays!A:A)+hour(X616)/24+MINUTE(X616)/1440,"")</f>
        <v/>
      </c>
      <c r="AD616" s="104"/>
      <c r="AE616" s="105"/>
      <c r="AF616" s="111" t="str">
        <f t="shared" si="6"/>
        <v/>
      </c>
      <c r="AG616" s="110" t="str">
        <f t="shared" si="7"/>
        <v/>
      </c>
      <c r="AH616" s="103" t="str">
        <f>if(AC616,if(and(hour(AC616+AH$7)&gt;9.5,(hour(AC616+AH$7)&lt;19.5)),AC616+AH$7,_xlfn.workday.intl(int(AC616),1,"0000001",Holidays!A:A)+hour(AC616+AH$7-$B$1)/24+minute(AC616)/1440),"")</f>
        <v/>
      </c>
      <c r="AI616" s="104"/>
      <c r="AJ616" s="105"/>
      <c r="AK616" s="111" t="str">
        <f t="shared" si="8"/>
        <v/>
      </c>
      <c r="AL616" s="112" t="str">
        <f t="shared" si="9"/>
        <v/>
      </c>
      <c r="AM616" s="113"/>
      <c r="AN616" s="291" t="s">
        <v>2540</v>
      </c>
      <c r="AO616" s="115"/>
      <c r="AP616" s="115"/>
      <c r="AQ616" s="115"/>
      <c r="AR616" s="115"/>
      <c r="AS616" s="115"/>
      <c r="AT616" s="115"/>
      <c r="AU616" s="115"/>
      <c r="AV616" s="115"/>
      <c r="AW616" s="115"/>
      <c r="AX616" s="115"/>
      <c r="AY616" s="115"/>
    </row>
    <row r="617">
      <c r="A617" s="95" t="str">
        <f t="shared" si="11"/>
        <v/>
      </c>
      <c r="B617" s="100"/>
      <c r="C617" s="97"/>
      <c r="D617" s="97"/>
      <c r="E617" s="97"/>
      <c r="F617" s="97"/>
      <c r="G617" s="97"/>
      <c r="H617" s="99"/>
      <c r="I617" s="100"/>
      <c r="J617" s="101"/>
      <c r="K617" s="100"/>
      <c r="L617" s="102"/>
      <c r="M617" s="103" t="str">
        <f>if(B617,if(and(hour(B617+M$7)&gt;9.5,(hour(B617+M$7)&lt;19.5)),B617+M$7,_xlfn.workday.intl(int(B617),1,"0000001",Holidays!A:A)+hour(B617+M$7-$B$1)/24+minute(B617)/1440),"")</f>
        <v/>
      </c>
      <c r="N617" s="104"/>
      <c r="O617" s="105"/>
      <c r="P617" s="106" t="str">
        <f t="shared" si="1"/>
        <v/>
      </c>
      <c r="Q617" s="107"/>
      <c r="R617" s="108"/>
      <c r="S617" s="103" t="str">
        <f>if(M617,if(and(hour(M617+S$7)&gt;9.5,(hour(M617+S$7)&lt;19.5)),M617+S$7,_xlfn.workday.intl(int(M617),1,"0000001",Holidays!A:A)+hour(M617+S$7-$B$1)/24+minute(M617)/1440),"")</f>
        <v/>
      </c>
      <c r="T617" s="104"/>
      <c r="U617" s="105"/>
      <c r="V617" s="109" t="str">
        <f t="shared" si="2"/>
        <v/>
      </c>
      <c r="W617" s="110" t="str">
        <f t="shared" si="3"/>
        <v/>
      </c>
      <c r="X617" s="103" t="str">
        <f>if(S617,if(and(hour(S617+X$7)&gt;9.5,(hour(S617+X$7)&lt;19.5)),S617+X$7,_xlfn.workday.intl(int(S617),1,"0000001",Holidays!A:A)+hour(S617+X$7-$B$1)/24+minute(S617)/1440),"")</f>
        <v/>
      </c>
      <c r="Y617" s="104"/>
      <c r="Z617" s="105"/>
      <c r="AA617" s="111" t="str">
        <f t="shared" si="4"/>
        <v/>
      </c>
      <c r="AB617" s="110" t="str">
        <f t="shared" si="5"/>
        <v/>
      </c>
      <c r="AC617" s="103" t="str">
        <f>if(X617,_xlfn.WORKDAY.INTL(X617,AC$7,"0000001",Holidays!A:A)+hour(X617)/24+MINUTE(X617)/1440,"")</f>
        <v/>
      </c>
      <c r="AD617" s="104"/>
      <c r="AE617" s="105"/>
      <c r="AF617" s="111" t="str">
        <f t="shared" si="6"/>
        <v/>
      </c>
      <c r="AG617" s="110" t="str">
        <f t="shared" si="7"/>
        <v/>
      </c>
      <c r="AH617" s="103" t="str">
        <f>if(AC617,if(and(hour(AC617+AH$7)&gt;9.5,(hour(AC617+AH$7)&lt;19.5)),AC617+AH$7,_xlfn.workday.intl(int(AC617),1,"0000001",Holidays!A:A)+hour(AC617+AH$7-$B$1)/24+minute(AC617)/1440),"")</f>
        <v/>
      </c>
      <c r="AI617" s="104"/>
      <c r="AJ617" s="105"/>
      <c r="AK617" s="111" t="str">
        <f t="shared" si="8"/>
        <v/>
      </c>
      <c r="AL617" s="112" t="str">
        <f t="shared" si="9"/>
        <v/>
      </c>
      <c r="AM617" s="113"/>
      <c r="AN617" s="291" t="s">
        <v>2540</v>
      </c>
      <c r="AO617" s="115"/>
      <c r="AP617" s="115"/>
      <c r="AQ617" s="115"/>
      <c r="AR617" s="115"/>
      <c r="AS617" s="115"/>
      <c r="AT617" s="115"/>
      <c r="AU617" s="115"/>
      <c r="AV617" s="115"/>
      <c r="AW617" s="115"/>
      <c r="AX617" s="115"/>
      <c r="AY617" s="115"/>
    </row>
    <row r="618">
      <c r="A618" s="95" t="str">
        <f t="shared" si="11"/>
        <v/>
      </c>
      <c r="B618" s="100"/>
      <c r="C618" s="97"/>
      <c r="D618" s="97"/>
      <c r="E618" s="97"/>
      <c r="F618" s="97"/>
      <c r="G618" s="97"/>
      <c r="H618" s="99"/>
      <c r="I618" s="100"/>
      <c r="J618" s="101"/>
      <c r="K618" s="100"/>
      <c r="L618" s="102"/>
      <c r="M618" s="103" t="str">
        <f>if(B618,if(and(hour(B618+M$7)&gt;9.5,(hour(B618+M$7)&lt;19.5)),B618+M$7,_xlfn.workday.intl(int(B618),1,"0000001",Holidays!A:A)+hour(B618+M$7-$B$1)/24+minute(B618)/1440),"")</f>
        <v/>
      </c>
      <c r="N618" s="104"/>
      <c r="O618" s="105"/>
      <c r="P618" s="106" t="str">
        <f t="shared" si="1"/>
        <v/>
      </c>
      <c r="Q618" s="107"/>
      <c r="R618" s="108"/>
      <c r="S618" s="103" t="str">
        <f>if(M618,if(and(hour(M618+S$7)&gt;9.5,(hour(M618+S$7)&lt;19.5)),M618+S$7,_xlfn.workday.intl(int(M618),1,"0000001",Holidays!A:A)+hour(M618+S$7-$B$1)/24+minute(M618)/1440),"")</f>
        <v/>
      </c>
      <c r="T618" s="104"/>
      <c r="U618" s="105"/>
      <c r="V618" s="109" t="str">
        <f t="shared" si="2"/>
        <v/>
      </c>
      <c r="W618" s="110" t="str">
        <f t="shared" si="3"/>
        <v/>
      </c>
      <c r="X618" s="103" t="str">
        <f>if(S618,if(and(hour(S618+X$7)&gt;9.5,(hour(S618+X$7)&lt;19.5)),S618+X$7,_xlfn.workday.intl(int(S618),1,"0000001",Holidays!A:A)+hour(S618+X$7-$B$1)/24+minute(S618)/1440),"")</f>
        <v/>
      </c>
      <c r="Y618" s="104"/>
      <c r="Z618" s="105"/>
      <c r="AA618" s="111" t="str">
        <f t="shared" si="4"/>
        <v/>
      </c>
      <c r="AB618" s="110" t="str">
        <f t="shared" si="5"/>
        <v/>
      </c>
      <c r="AC618" s="103" t="str">
        <f>if(X618,_xlfn.WORKDAY.INTL(X618,AC$7,"0000001",Holidays!A:A)+hour(X618)/24+MINUTE(X618)/1440,"")</f>
        <v/>
      </c>
      <c r="AD618" s="104"/>
      <c r="AE618" s="105"/>
      <c r="AF618" s="111" t="str">
        <f t="shared" si="6"/>
        <v/>
      </c>
      <c r="AG618" s="110" t="str">
        <f t="shared" si="7"/>
        <v/>
      </c>
      <c r="AH618" s="103" t="str">
        <f>if(AC618,if(and(hour(AC618+AH$7)&gt;9.5,(hour(AC618+AH$7)&lt;19.5)),AC618+AH$7,_xlfn.workday.intl(int(AC618),1,"0000001",Holidays!A:A)+hour(AC618+AH$7-$B$1)/24+minute(AC618)/1440),"")</f>
        <v/>
      </c>
      <c r="AI618" s="104"/>
      <c r="AJ618" s="105"/>
      <c r="AK618" s="111" t="str">
        <f t="shared" si="8"/>
        <v/>
      </c>
      <c r="AL618" s="112" t="str">
        <f t="shared" si="9"/>
        <v/>
      </c>
      <c r="AM618" s="113"/>
      <c r="AN618" s="291" t="s">
        <v>2540</v>
      </c>
      <c r="AO618" s="115"/>
      <c r="AP618" s="115"/>
      <c r="AQ618" s="115"/>
      <c r="AR618" s="115"/>
      <c r="AS618" s="115"/>
      <c r="AT618" s="115"/>
      <c r="AU618" s="115"/>
      <c r="AV618" s="115"/>
      <c r="AW618" s="115"/>
      <c r="AX618" s="115"/>
      <c r="AY618" s="115"/>
    </row>
    <row r="619">
      <c r="A619" s="95" t="str">
        <f t="shared" si="11"/>
        <v/>
      </c>
      <c r="B619" s="100"/>
      <c r="C619" s="97"/>
      <c r="D619" s="97"/>
      <c r="E619" s="97"/>
      <c r="F619" s="97"/>
      <c r="G619" s="97"/>
      <c r="H619" s="99"/>
      <c r="I619" s="100"/>
      <c r="J619" s="101"/>
      <c r="K619" s="100"/>
      <c r="L619" s="102"/>
      <c r="M619" s="103" t="str">
        <f>if(B619,if(and(hour(B619+M$7)&gt;9.5,(hour(B619+M$7)&lt;19.5)),B619+M$7,_xlfn.workday.intl(int(B619),1,"0000001",Holidays!A:A)+hour(B619+M$7-$B$1)/24+minute(B619)/1440),"")</f>
        <v/>
      </c>
      <c r="N619" s="104"/>
      <c r="O619" s="105"/>
      <c r="P619" s="106" t="str">
        <f t="shared" si="1"/>
        <v/>
      </c>
      <c r="Q619" s="107"/>
      <c r="R619" s="108"/>
      <c r="S619" s="103" t="str">
        <f>if(M619,if(and(hour(M619+S$7)&gt;9.5,(hour(M619+S$7)&lt;19.5)),M619+S$7,_xlfn.workday.intl(int(M619),1,"0000001",Holidays!A:A)+hour(M619+S$7-$B$1)/24+minute(M619)/1440),"")</f>
        <v/>
      </c>
      <c r="T619" s="104"/>
      <c r="U619" s="105"/>
      <c r="V619" s="109" t="str">
        <f t="shared" si="2"/>
        <v/>
      </c>
      <c r="W619" s="110" t="str">
        <f t="shared" si="3"/>
        <v/>
      </c>
      <c r="X619" s="103" t="str">
        <f>if(S619,if(and(hour(S619+X$7)&gt;9.5,(hour(S619+X$7)&lt;19.5)),S619+X$7,_xlfn.workday.intl(int(S619),1,"0000001",Holidays!A:A)+hour(S619+X$7-$B$1)/24+minute(S619)/1440),"")</f>
        <v/>
      </c>
      <c r="Y619" s="104"/>
      <c r="Z619" s="105"/>
      <c r="AA619" s="111" t="str">
        <f t="shared" si="4"/>
        <v/>
      </c>
      <c r="AB619" s="110" t="str">
        <f t="shared" si="5"/>
        <v/>
      </c>
      <c r="AC619" s="103" t="str">
        <f>if(X619,_xlfn.WORKDAY.INTL(X619,AC$7,"0000001",Holidays!A:A)+hour(X619)/24+MINUTE(X619)/1440,"")</f>
        <v/>
      </c>
      <c r="AD619" s="104"/>
      <c r="AE619" s="105"/>
      <c r="AF619" s="111" t="str">
        <f t="shared" si="6"/>
        <v/>
      </c>
      <c r="AG619" s="110" t="str">
        <f t="shared" si="7"/>
        <v/>
      </c>
      <c r="AH619" s="103" t="str">
        <f>if(AC619,if(and(hour(AC619+AH$7)&gt;9.5,(hour(AC619+AH$7)&lt;19.5)),AC619+AH$7,_xlfn.workday.intl(int(AC619),1,"0000001",Holidays!A:A)+hour(AC619+AH$7-$B$1)/24+minute(AC619)/1440),"")</f>
        <v/>
      </c>
      <c r="AI619" s="104"/>
      <c r="AJ619" s="105"/>
      <c r="AK619" s="111" t="str">
        <f t="shared" si="8"/>
        <v/>
      </c>
      <c r="AL619" s="112" t="str">
        <f t="shared" si="9"/>
        <v/>
      </c>
      <c r="AM619" s="113"/>
      <c r="AN619" s="291" t="s">
        <v>2540</v>
      </c>
      <c r="AO619" s="115"/>
      <c r="AP619" s="115"/>
      <c r="AQ619" s="115"/>
      <c r="AR619" s="115"/>
      <c r="AS619" s="115"/>
      <c r="AT619" s="115"/>
      <c r="AU619" s="115"/>
      <c r="AV619" s="115"/>
      <c r="AW619" s="115"/>
      <c r="AX619" s="115"/>
      <c r="AY619" s="115"/>
    </row>
    <row r="620">
      <c r="A620" s="95" t="str">
        <f t="shared" si="11"/>
        <v/>
      </c>
      <c r="B620" s="100"/>
      <c r="C620" s="97"/>
      <c r="D620" s="97"/>
      <c r="E620" s="97"/>
      <c r="F620" s="97"/>
      <c r="G620" s="97"/>
      <c r="H620" s="99"/>
      <c r="I620" s="100"/>
      <c r="J620" s="101"/>
      <c r="K620" s="100"/>
      <c r="L620" s="102"/>
      <c r="M620" s="103" t="str">
        <f>if(B620,if(and(hour(B620+M$7)&gt;9.5,(hour(B620+M$7)&lt;19.5)),B620+M$7,_xlfn.workday.intl(int(B620),1,"0000001",Holidays!A:A)+hour(B620+M$7-$B$1)/24+minute(B620)/1440),"")</f>
        <v/>
      </c>
      <c r="N620" s="104"/>
      <c r="O620" s="105"/>
      <c r="P620" s="106" t="str">
        <f t="shared" si="1"/>
        <v/>
      </c>
      <c r="Q620" s="107"/>
      <c r="R620" s="108"/>
      <c r="S620" s="103" t="str">
        <f>if(M620,if(and(hour(M620+S$7)&gt;9.5,(hour(M620+S$7)&lt;19.5)),M620+S$7,_xlfn.workday.intl(int(M620),1,"0000001",Holidays!A:A)+hour(M620+S$7-$B$1)/24+minute(M620)/1440),"")</f>
        <v/>
      </c>
      <c r="T620" s="104"/>
      <c r="U620" s="105"/>
      <c r="V620" s="109" t="str">
        <f t="shared" si="2"/>
        <v/>
      </c>
      <c r="W620" s="110" t="str">
        <f t="shared" si="3"/>
        <v/>
      </c>
      <c r="X620" s="103" t="str">
        <f>if(S620,if(and(hour(S620+X$7)&gt;9.5,(hour(S620+X$7)&lt;19.5)),S620+X$7,_xlfn.workday.intl(int(S620),1,"0000001",Holidays!A:A)+hour(S620+X$7-$B$1)/24+minute(S620)/1440),"")</f>
        <v/>
      </c>
      <c r="Y620" s="104"/>
      <c r="Z620" s="105"/>
      <c r="AA620" s="111" t="str">
        <f t="shared" si="4"/>
        <v/>
      </c>
      <c r="AB620" s="110" t="str">
        <f t="shared" si="5"/>
        <v/>
      </c>
      <c r="AC620" s="103" t="str">
        <f>if(X620,_xlfn.WORKDAY.INTL(X620,AC$7,"0000001",Holidays!A:A)+hour(X620)/24+MINUTE(X620)/1440,"")</f>
        <v/>
      </c>
      <c r="AD620" s="104"/>
      <c r="AE620" s="105"/>
      <c r="AF620" s="111" t="str">
        <f t="shared" si="6"/>
        <v/>
      </c>
      <c r="AG620" s="110" t="str">
        <f t="shared" si="7"/>
        <v/>
      </c>
      <c r="AH620" s="103" t="str">
        <f>if(AC620,if(and(hour(AC620+AH$7)&gt;9.5,(hour(AC620+AH$7)&lt;19.5)),AC620+AH$7,_xlfn.workday.intl(int(AC620),1,"0000001",Holidays!A:A)+hour(AC620+AH$7-$B$1)/24+minute(AC620)/1440),"")</f>
        <v/>
      </c>
      <c r="AI620" s="104"/>
      <c r="AJ620" s="105"/>
      <c r="AK620" s="111" t="str">
        <f t="shared" si="8"/>
        <v/>
      </c>
      <c r="AL620" s="112" t="str">
        <f t="shared" si="9"/>
        <v/>
      </c>
      <c r="AM620" s="113"/>
      <c r="AN620" s="291" t="s">
        <v>2540</v>
      </c>
      <c r="AO620" s="115"/>
      <c r="AP620" s="115"/>
      <c r="AQ620" s="115"/>
      <c r="AR620" s="115"/>
      <c r="AS620" s="115"/>
      <c r="AT620" s="115"/>
      <c r="AU620" s="115"/>
      <c r="AV620" s="115"/>
      <c r="AW620" s="115"/>
      <c r="AX620" s="115"/>
      <c r="AY620" s="115"/>
    </row>
    <row r="621">
      <c r="A621" s="95" t="str">
        <f t="shared" si="11"/>
        <v/>
      </c>
      <c r="B621" s="100"/>
      <c r="C621" s="97"/>
      <c r="D621" s="97"/>
      <c r="E621" s="97"/>
      <c r="F621" s="97"/>
      <c r="G621" s="97"/>
      <c r="H621" s="99"/>
      <c r="I621" s="100"/>
      <c r="J621" s="101"/>
      <c r="K621" s="100"/>
      <c r="L621" s="102"/>
      <c r="M621" s="103" t="str">
        <f>if(B621,if(and(hour(B621+M$7)&gt;9.5,(hour(B621+M$7)&lt;19.5)),B621+M$7,_xlfn.workday.intl(int(B621),1,"0000001",Holidays!A:A)+hour(B621+M$7-$B$1)/24+minute(B621)/1440),"")</f>
        <v/>
      </c>
      <c r="N621" s="104"/>
      <c r="O621" s="105"/>
      <c r="P621" s="106" t="str">
        <f t="shared" si="1"/>
        <v/>
      </c>
      <c r="Q621" s="107"/>
      <c r="R621" s="108"/>
      <c r="S621" s="103" t="str">
        <f>if(M621,if(and(hour(M621+S$7)&gt;9.5,(hour(M621+S$7)&lt;19.5)),M621+S$7,_xlfn.workday.intl(int(M621),1,"0000001",Holidays!A:A)+hour(M621+S$7-$B$1)/24+minute(M621)/1440),"")</f>
        <v/>
      </c>
      <c r="T621" s="104"/>
      <c r="U621" s="105"/>
      <c r="V621" s="109" t="str">
        <f t="shared" si="2"/>
        <v/>
      </c>
      <c r="W621" s="110" t="str">
        <f t="shared" si="3"/>
        <v/>
      </c>
      <c r="X621" s="103" t="str">
        <f>if(S621,if(and(hour(S621+X$7)&gt;9.5,(hour(S621+X$7)&lt;19.5)),S621+X$7,_xlfn.workday.intl(int(S621),1,"0000001",Holidays!A:A)+hour(S621+X$7-$B$1)/24+minute(S621)/1440),"")</f>
        <v/>
      </c>
      <c r="Y621" s="104"/>
      <c r="Z621" s="105"/>
      <c r="AA621" s="111" t="str">
        <f t="shared" si="4"/>
        <v/>
      </c>
      <c r="AB621" s="110" t="str">
        <f t="shared" si="5"/>
        <v/>
      </c>
      <c r="AC621" s="103" t="str">
        <f>if(X621,_xlfn.WORKDAY.INTL(X621,AC$7,"0000001",Holidays!A:A)+hour(X621)/24+MINUTE(X621)/1440,"")</f>
        <v/>
      </c>
      <c r="AD621" s="104"/>
      <c r="AE621" s="105"/>
      <c r="AF621" s="111" t="str">
        <f t="shared" si="6"/>
        <v/>
      </c>
      <c r="AG621" s="110" t="str">
        <f t="shared" si="7"/>
        <v/>
      </c>
      <c r="AH621" s="103" t="str">
        <f>if(AC621,if(and(hour(AC621+AH$7)&gt;9.5,(hour(AC621+AH$7)&lt;19.5)),AC621+AH$7,_xlfn.workday.intl(int(AC621),1,"0000001",Holidays!A:A)+hour(AC621+AH$7-$B$1)/24+minute(AC621)/1440),"")</f>
        <v/>
      </c>
      <c r="AI621" s="104"/>
      <c r="AJ621" s="105"/>
      <c r="AK621" s="111" t="str">
        <f t="shared" si="8"/>
        <v/>
      </c>
      <c r="AL621" s="112" t="str">
        <f t="shared" si="9"/>
        <v/>
      </c>
      <c r="AM621" s="113"/>
      <c r="AN621" s="291" t="s">
        <v>2540</v>
      </c>
      <c r="AO621" s="115"/>
      <c r="AP621" s="115"/>
      <c r="AQ621" s="115"/>
      <c r="AR621" s="115"/>
      <c r="AS621" s="115"/>
      <c r="AT621" s="115"/>
      <c r="AU621" s="115"/>
      <c r="AV621" s="115"/>
      <c r="AW621" s="115"/>
      <c r="AX621" s="115"/>
      <c r="AY621" s="115"/>
    </row>
    <row r="622">
      <c r="A622" s="95" t="str">
        <f t="shared" si="11"/>
        <v/>
      </c>
      <c r="B622" s="100"/>
      <c r="C622" s="97"/>
      <c r="D622" s="97"/>
      <c r="E622" s="97"/>
      <c r="F622" s="97"/>
      <c r="G622" s="97"/>
      <c r="H622" s="99"/>
      <c r="I622" s="100"/>
      <c r="J622" s="101"/>
      <c r="K622" s="100"/>
      <c r="L622" s="102"/>
      <c r="M622" s="103" t="str">
        <f>if(B622,if(and(hour(B622+M$7)&gt;9.5,(hour(B622+M$7)&lt;19.5)),B622+M$7,_xlfn.workday.intl(int(B622),1,"0000001",Holidays!A:A)+hour(B622+M$7-$B$1)/24+minute(B622)/1440),"")</f>
        <v/>
      </c>
      <c r="N622" s="104"/>
      <c r="O622" s="105"/>
      <c r="P622" s="106" t="str">
        <f t="shared" si="1"/>
        <v/>
      </c>
      <c r="Q622" s="107"/>
      <c r="R622" s="108"/>
      <c r="S622" s="103" t="str">
        <f>if(M622,if(and(hour(M622+S$7)&gt;9.5,(hour(M622+S$7)&lt;19.5)),M622+S$7,_xlfn.workday.intl(int(M622),1,"0000001",Holidays!A:A)+hour(M622+S$7-$B$1)/24+minute(M622)/1440),"")</f>
        <v/>
      </c>
      <c r="T622" s="104"/>
      <c r="U622" s="105"/>
      <c r="V622" s="109" t="str">
        <f t="shared" si="2"/>
        <v/>
      </c>
      <c r="W622" s="110" t="str">
        <f t="shared" si="3"/>
        <v/>
      </c>
      <c r="X622" s="103" t="str">
        <f>if(S622,if(and(hour(S622+X$7)&gt;9.5,(hour(S622+X$7)&lt;19.5)),S622+X$7,_xlfn.workday.intl(int(S622),1,"0000001",Holidays!A:A)+hour(S622+X$7-$B$1)/24+minute(S622)/1440),"")</f>
        <v/>
      </c>
      <c r="Y622" s="104"/>
      <c r="Z622" s="105"/>
      <c r="AA622" s="111" t="str">
        <f t="shared" si="4"/>
        <v/>
      </c>
      <c r="AB622" s="110" t="str">
        <f t="shared" si="5"/>
        <v/>
      </c>
      <c r="AC622" s="103" t="str">
        <f>if(X622,_xlfn.WORKDAY.INTL(X622,AC$7,"0000001",Holidays!A:A)+hour(X622)/24+MINUTE(X622)/1440,"")</f>
        <v/>
      </c>
      <c r="AD622" s="104"/>
      <c r="AE622" s="105"/>
      <c r="AF622" s="111" t="str">
        <f t="shared" si="6"/>
        <v/>
      </c>
      <c r="AG622" s="110" t="str">
        <f t="shared" si="7"/>
        <v/>
      </c>
      <c r="AH622" s="103" t="str">
        <f>if(AC622,if(and(hour(AC622+AH$7)&gt;9.5,(hour(AC622+AH$7)&lt;19.5)),AC622+AH$7,_xlfn.workday.intl(int(AC622),1,"0000001",Holidays!A:A)+hour(AC622+AH$7-$B$1)/24+minute(AC622)/1440),"")</f>
        <v/>
      </c>
      <c r="AI622" s="104"/>
      <c r="AJ622" s="105"/>
      <c r="AK622" s="111" t="str">
        <f t="shared" si="8"/>
        <v/>
      </c>
      <c r="AL622" s="112" t="str">
        <f t="shared" si="9"/>
        <v/>
      </c>
      <c r="AM622" s="113"/>
      <c r="AN622" s="291" t="s">
        <v>2540</v>
      </c>
      <c r="AO622" s="115"/>
      <c r="AP622" s="115"/>
      <c r="AQ622" s="115"/>
      <c r="AR622" s="115"/>
      <c r="AS622" s="115"/>
      <c r="AT622" s="115"/>
      <c r="AU622" s="115"/>
      <c r="AV622" s="115"/>
      <c r="AW622" s="115"/>
      <c r="AX622" s="115"/>
      <c r="AY622" s="115"/>
    </row>
    <row r="623">
      <c r="A623" s="95" t="str">
        <f t="shared" si="11"/>
        <v/>
      </c>
      <c r="B623" s="100"/>
      <c r="C623" s="97"/>
      <c r="D623" s="97"/>
      <c r="E623" s="97"/>
      <c r="F623" s="97"/>
      <c r="G623" s="97"/>
      <c r="H623" s="99"/>
      <c r="I623" s="100"/>
      <c r="J623" s="101"/>
      <c r="K623" s="100"/>
      <c r="L623" s="102"/>
      <c r="M623" s="103" t="str">
        <f>if(B623,if(and(hour(B623+M$7)&gt;9.5,(hour(B623+M$7)&lt;19.5)),B623+M$7,_xlfn.workday.intl(int(B623),1,"0000001",Holidays!A:A)+hour(B623+M$7-$B$1)/24+minute(B623)/1440),"")</f>
        <v/>
      </c>
      <c r="N623" s="104"/>
      <c r="O623" s="105"/>
      <c r="P623" s="106" t="str">
        <f t="shared" si="1"/>
        <v/>
      </c>
      <c r="Q623" s="107"/>
      <c r="R623" s="108"/>
      <c r="S623" s="103" t="str">
        <f>if(M623,if(and(hour(M623+S$7)&gt;9.5,(hour(M623+S$7)&lt;19.5)),M623+S$7,_xlfn.workday.intl(int(M623),1,"0000001",Holidays!A:A)+hour(M623+S$7-$B$1)/24+minute(M623)/1440),"")</f>
        <v/>
      </c>
      <c r="T623" s="104"/>
      <c r="U623" s="105"/>
      <c r="V623" s="109" t="str">
        <f t="shared" si="2"/>
        <v/>
      </c>
      <c r="W623" s="110" t="str">
        <f t="shared" si="3"/>
        <v/>
      </c>
      <c r="X623" s="103" t="str">
        <f>if(S623,if(and(hour(S623+X$7)&gt;9.5,(hour(S623+X$7)&lt;19.5)),S623+X$7,_xlfn.workday.intl(int(S623),1,"0000001",Holidays!A:A)+hour(S623+X$7-$B$1)/24+minute(S623)/1440),"")</f>
        <v/>
      </c>
      <c r="Y623" s="104"/>
      <c r="Z623" s="105"/>
      <c r="AA623" s="111" t="str">
        <f t="shared" si="4"/>
        <v/>
      </c>
      <c r="AB623" s="110" t="str">
        <f t="shared" si="5"/>
        <v/>
      </c>
      <c r="AC623" s="103" t="str">
        <f>if(X623,_xlfn.WORKDAY.INTL(X623,AC$7,"0000001",Holidays!A:A)+hour(X623)/24+MINUTE(X623)/1440,"")</f>
        <v/>
      </c>
      <c r="AD623" s="104"/>
      <c r="AE623" s="105"/>
      <c r="AF623" s="111" t="str">
        <f t="shared" si="6"/>
        <v/>
      </c>
      <c r="AG623" s="110" t="str">
        <f t="shared" si="7"/>
        <v/>
      </c>
      <c r="AH623" s="103" t="str">
        <f>if(AC623,if(and(hour(AC623+AH$7)&gt;9.5,(hour(AC623+AH$7)&lt;19.5)),AC623+AH$7,_xlfn.workday.intl(int(AC623),1,"0000001",Holidays!A:A)+hour(AC623+AH$7-$B$1)/24+minute(AC623)/1440),"")</f>
        <v/>
      </c>
      <c r="AI623" s="104"/>
      <c r="AJ623" s="105"/>
      <c r="AK623" s="111" t="str">
        <f t="shared" si="8"/>
        <v/>
      </c>
      <c r="AL623" s="112" t="str">
        <f t="shared" si="9"/>
        <v/>
      </c>
      <c r="AM623" s="113"/>
      <c r="AN623" s="291" t="s">
        <v>2540</v>
      </c>
      <c r="AO623" s="115"/>
      <c r="AP623" s="115"/>
      <c r="AQ623" s="115"/>
      <c r="AR623" s="115"/>
      <c r="AS623" s="115"/>
      <c r="AT623" s="115"/>
      <c r="AU623" s="115"/>
      <c r="AV623" s="115"/>
      <c r="AW623" s="115"/>
      <c r="AX623" s="115"/>
      <c r="AY623" s="115"/>
    </row>
    <row r="624">
      <c r="A624" s="95" t="str">
        <f t="shared" si="11"/>
        <v/>
      </c>
      <c r="B624" s="100"/>
      <c r="C624" s="97"/>
      <c r="D624" s="97"/>
      <c r="E624" s="97"/>
      <c r="F624" s="97"/>
      <c r="G624" s="97"/>
      <c r="H624" s="99"/>
      <c r="I624" s="100"/>
      <c r="J624" s="101"/>
      <c r="K624" s="100"/>
      <c r="L624" s="102"/>
      <c r="M624" s="103" t="str">
        <f>if(B624,if(and(hour(B624+M$7)&gt;9.5,(hour(B624+M$7)&lt;19.5)),B624+M$7,_xlfn.workday.intl(int(B624),1,"0000001",Holidays!A:A)+hour(B624+M$7-$B$1)/24+minute(B624)/1440),"")</f>
        <v/>
      </c>
      <c r="N624" s="104"/>
      <c r="O624" s="105"/>
      <c r="P624" s="106" t="str">
        <f t="shared" si="1"/>
        <v/>
      </c>
      <c r="Q624" s="107"/>
      <c r="R624" s="108"/>
      <c r="S624" s="103" t="str">
        <f>if(M624,if(and(hour(M624+S$7)&gt;9.5,(hour(M624+S$7)&lt;19.5)),M624+S$7,_xlfn.workday.intl(int(M624),1,"0000001",Holidays!A:A)+hour(M624+S$7-$B$1)/24+minute(M624)/1440),"")</f>
        <v/>
      </c>
      <c r="T624" s="104"/>
      <c r="U624" s="105"/>
      <c r="V624" s="109" t="str">
        <f t="shared" si="2"/>
        <v/>
      </c>
      <c r="W624" s="110" t="str">
        <f t="shared" si="3"/>
        <v/>
      </c>
      <c r="X624" s="103" t="str">
        <f>if(S624,if(and(hour(S624+X$7)&gt;9.5,(hour(S624+X$7)&lt;19.5)),S624+X$7,_xlfn.workday.intl(int(S624),1,"0000001",Holidays!A:A)+hour(S624+X$7-$B$1)/24+minute(S624)/1440),"")</f>
        <v/>
      </c>
      <c r="Y624" s="104"/>
      <c r="Z624" s="105"/>
      <c r="AA624" s="111" t="str">
        <f t="shared" si="4"/>
        <v/>
      </c>
      <c r="AB624" s="110" t="str">
        <f t="shared" si="5"/>
        <v/>
      </c>
      <c r="AC624" s="103" t="str">
        <f>if(X624,_xlfn.WORKDAY.INTL(X624,AC$7,"0000001",Holidays!A:A)+hour(X624)/24+MINUTE(X624)/1440,"")</f>
        <v/>
      </c>
      <c r="AD624" s="104"/>
      <c r="AE624" s="105"/>
      <c r="AF624" s="111" t="str">
        <f t="shared" si="6"/>
        <v/>
      </c>
      <c r="AG624" s="110" t="str">
        <f t="shared" si="7"/>
        <v/>
      </c>
      <c r="AH624" s="103" t="str">
        <f>if(AC624,if(and(hour(AC624+AH$7)&gt;9.5,(hour(AC624+AH$7)&lt;19.5)),AC624+AH$7,_xlfn.workday.intl(int(AC624),1,"0000001",Holidays!A:A)+hour(AC624+AH$7-$B$1)/24+minute(AC624)/1440),"")</f>
        <v/>
      </c>
      <c r="AI624" s="104"/>
      <c r="AJ624" s="105"/>
      <c r="AK624" s="111" t="str">
        <f t="shared" si="8"/>
        <v/>
      </c>
      <c r="AL624" s="112" t="str">
        <f t="shared" si="9"/>
        <v/>
      </c>
      <c r="AM624" s="113"/>
      <c r="AN624" s="291" t="s">
        <v>2540</v>
      </c>
      <c r="AO624" s="115"/>
      <c r="AP624" s="115"/>
      <c r="AQ624" s="115"/>
      <c r="AR624" s="115"/>
      <c r="AS624" s="115"/>
      <c r="AT624" s="115"/>
      <c r="AU624" s="115"/>
      <c r="AV624" s="115"/>
      <c r="AW624" s="115"/>
      <c r="AX624" s="115"/>
      <c r="AY624" s="115"/>
    </row>
    <row r="625">
      <c r="A625" s="95" t="str">
        <f t="shared" si="11"/>
        <v/>
      </c>
      <c r="B625" s="100"/>
      <c r="C625" s="97"/>
      <c r="D625" s="97"/>
      <c r="E625" s="97"/>
      <c r="F625" s="97"/>
      <c r="G625" s="97"/>
      <c r="H625" s="99"/>
      <c r="I625" s="100"/>
      <c r="J625" s="101"/>
      <c r="K625" s="100"/>
      <c r="L625" s="102"/>
      <c r="M625" s="103" t="str">
        <f>if(B625,if(and(hour(B625+M$7)&gt;9.5,(hour(B625+M$7)&lt;19.5)),B625+M$7,_xlfn.workday.intl(int(B625),1,"0000001",Holidays!A:A)+hour(B625+M$7-$B$1)/24+minute(B625)/1440),"")</f>
        <v/>
      </c>
      <c r="N625" s="104"/>
      <c r="O625" s="105"/>
      <c r="P625" s="106" t="str">
        <f t="shared" si="1"/>
        <v/>
      </c>
      <c r="Q625" s="107"/>
      <c r="R625" s="108"/>
      <c r="S625" s="103" t="str">
        <f>if(M625,if(and(hour(M625+S$7)&gt;9.5,(hour(M625+S$7)&lt;19.5)),M625+S$7,_xlfn.workday.intl(int(M625),1,"0000001",Holidays!A:A)+hour(M625+S$7-$B$1)/24+minute(M625)/1440),"")</f>
        <v/>
      </c>
      <c r="T625" s="104"/>
      <c r="U625" s="105"/>
      <c r="V625" s="109" t="str">
        <f t="shared" si="2"/>
        <v/>
      </c>
      <c r="W625" s="110" t="str">
        <f t="shared" si="3"/>
        <v/>
      </c>
      <c r="X625" s="103" t="str">
        <f>if(S625,if(and(hour(S625+X$7)&gt;9.5,(hour(S625+X$7)&lt;19.5)),S625+X$7,_xlfn.workday.intl(int(S625),1,"0000001",Holidays!A:A)+hour(S625+X$7-$B$1)/24+minute(S625)/1440),"")</f>
        <v/>
      </c>
      <c r="Y625" s="104"/>
      <c r="Z625" s="105"/>
      <c r="AA625" s="111" t="str">
        <f t="shared" si="4"/>
        <v/>
      </c>
      <c r="AB625" s="110" t="str">
        <f t="shared" si="5"/>
        <v/>
      </c>
      <c r="AC625" s="103" t="str">
        <f>if(X625,_xlfn.WORKDAY.INTL(X625,AC$7,"0000001",Holidays!A:A)+hour(X625)/24+MINUTE(X625)/1440,"")</f>
        <v/>
      </c>
      <c r="AD625" s="104"/>
      <c r="AE625" s="105"/>
      <c r="AF625" s="111" t="str">
        <f t="shared" si="6"/>
        <v/>
      </c>
      <c r="AG625" s="110" t="str">
        <f t="shared" si="7"/>
        <v/>
      </c>
      <c r="AH625" s="103" t="str">
        <f>if(AC625,if(and(hour(AC625+AH$7)&gt;9.5,(hour(AC625+AH$7)&lt;19.5)),AC625+AH$7,_xlfn.workday.intl(int(AC625),1,"0000001",Holidays!A:A)+hour(AC625+AH$7-$B$1)/24+minute(AC625)/1440),"")</f>
        <v/>
      </c>
      <c r="AI625" s="104"/>
      <c r="AJ625" s="105"/>
      <c r="AK625" s="111" t="str">
        <f t="shared" si="8"/>
        <v/>
      </c>
      <c r="AL625" s="112" t="str">
        <f t="shared" si="9"/>
        <v/>
      </c>
      <c r="AM625" s="113"/>
      <c r="AN625" s="291" t="s">
        <v>2540</v>
      </c>
      <c r="AO625" s="115"/>
      <c r="AP625" s="115"/>
      <c r="AQ625" s="115"/>
      <c r="AR625" s="115"/>
      <c r="AS625" s="115"/>
      <c r="AT625" s="115"/>
      <c r="AU625" s="115"/>
      <c r="AV625" s="115"/>
      <c r="AW625" s="115"/>
      <c r="AX625" s="115"/>
      <c r="AY625" s="115"/>
    </row>
    <row r="626">
      <c r="A626" s="95" t="str">
        <f t="shared" si="11"/>
        <v/>
      </c>
      <c r="B626" s="100"/>
      <c r="C626" s="97"/>
      <c r="D626" s="97"/>
      <c r="E626" s="97"/>
      <c r="F626" s="97"/>
      <c r="G626" s="97"/>
      <c r="H626" s="99"/>
      <c r="I626" s="100"/>
      <c r="J626" s="101"/>
      <c r="K626" s="100"/>
      <c r="L626" s="102"/>
      <c r="M626" s="103" t="str">
        <f>if(B626,if(and(hour(B626+M$7)&gt;9.5,(hour(B626+M$7)&lt;19.5)),B626+M$7,_xlfn.workday.intl(int(B626),1,"0000001",Holidays!A:A)+hour(B626+M$7-$B$1)/24+minute(B626)/1440),"")</f>
        <v/>
      </c>
      <c r="N626" s="104"/>
      <c r="O626" s="105"/>
      <c r="P626" s="106" t="str">
        <f t="shared" si="1"/>
        <v/>
      </c>
      <c r="Q626" s="107"/>
      <c r="R626" s="108"/>
      <c r="S626" s="103" t="str">
        <f>if(M626,if(and(hour(M626+S$7)&gt;9.5,(hour(M626+S$7)&lt;19.5)),M626+S$7,_xlfn.workday.intl(int(M626),1,"0000001",Holidays!A:A)+hour(M626+S$7-$B$1)/24+minute(M626)/1440),"")</f>
        <v/>
      </c>
      <c r="T626" s="104"/>
      <c r="U626" s="105"/>
      <c r="V626" s="109" t="str">
        <f t="shared" si="2"/>
        <v/>
      </c>
      <c r="W626" s="110" t="str">
        <f t="shared" si="3"/>
        <v/>
      </c>
      <c r="X626" s="103" t="str">
        <f>if(S626,if(and(hour(S626+X$7)&gt;9.5,(hour(S626+X$7)&lt;19.5)),S626+X$7,_xlfn.workday.intl(int(S626),1,"0000001",Holidays!A:A)+hour(S626+X$7-$B$1)/24+minute(S626)/1440),"")</f>
        <v/>
      </c>
      <c r="Y626" s="104"/>
      <c r="Z626" s="105"/>
      <c r="AA626" s="111" t="str">
        <f t="shared" si="4"/>
        <v/>
      </c>
      <c r="AB626" s="110" t="str">
        <f t="shared" si="5"/>
        <v/>
      </c>
      <c r="AC626" s="103" t="str">
        <f>if(X626,_xlfn.WORKDAY.INTL(X626,AC$7,"0000001",Holidays!A:A)+hour(X626)/24+MINUTE(X626)/1440,"")</f>
        <v/>
      </c>
      <c r="AD626" s="104"/>
      <c r="AE626" s="105"/>
      <c r="AF626" s="111" t="str">
        <f t="shared" si="6"/>
        <v/>
      </c>
      <c r="AG626" s="110" t="str">
        <f t="shared" si="7"/>
        <v/>
      </c>
      <c r="AH626" s="103" t="str">
        <f>if(AC626,if(and(hour(AC626+AH$7)&gt;9.5,(hour(AC626+AH$7)&lt;19.5)),AC626+AH$7,_xlfn.workday.intl(int(AC626),1,"0000001",Holidays!A:A)+hour(AC626+AH$7-$B$1)/24+minute(AC626)/1440),"")</f>
        <v/>
      </c>
      <c r="AI626" s="104"/>
      <c r="AJ626" s="105"/>
      <c r="AK626" s="111" t="str">
        <f t="shared" si="8"/>
        <v/>
      </c>
      <c r="AL626" s="112" t="str">
        <f t="shared" si="9"/>
        <v/>
      </c>
      <c r="AM626" s="113"/>
      <c r="AN626" s="291" t="s">
        <v>2540</v>
      </c>
      <c r="AO626" s="115"/>
      <c r="AP626" s="115"/>
      <c r="AQ626" s="115"/>
      <c r="AR626" s="115"/>
      <c r="AS626" s="115"/>
      <c r="AT626" s="115"/>
      <c r="AU626" s="115"/>
      <c r="AV626" s="115"/>
      <c r="AW626" s="115"/>
      <c r="AX626" s="115"/>
      <c r="AY626" s="115"/>
    </row>
    <row r="627">
      <c r="A627" s="95" t="str">
        <f t="shared" si="11"/>
        <v/>
      </c>
      <c r="B627" s="100"/>
      <c r="C627" s="97"/>
      <c r="D627" s="97"/>
      <c r="E627" s="97"/>
      <c r="F627" s="97"/>
      <c r="G627" s="97"/>
      <c r="H627" s="99"/>
      <c r="I627" s="100"/>
      <c r="J627" s="101"/>
      <c r="K627" s="100"/>
      <c r="L627" s="102"/>
      <c r="M627" s="103" t="str">
        <f>if(B627,if(and(hour(B627+M$7)&gt;9.5,(hour(B627+M$7)&lt;19.5)),B627+M$7,_xlfn.workday.intl(int(B627),1,"0000001",Holidays!A:A)+hour(B627+M$7-$B$1)/24+minute(B627)/1440),"")</f>
        <v/>
      </c>
      <c r="N627" s="104"/>
      <c r="O627" s="105"/>
      <c r="P627" s="106" t="str">
        <f t="shared" si="1"/>
        <v/>
      </c>
      <c r="Q627" s="107"/>
      <c r="R627" s="108"/>
      <c r="S627" s="103" t="str">
        <f>if(M627,if(and(hour(M627+S$7)&gt;9.5,(hour(M627+S$7)&lt;19.5)),M627+S$7,_xlfn.workday.intl(int(M627),1,"0000001",Holidays!A:A)+hour(M627+S$7-$B$1)/24+minute(M627)/1440),"")</f>
        <v/>
      </c>
      <c r="T627" s="104"/>
      <c r="U627" s="105"/>
      <c r="V627" s="109" t="str">
        <f t="shared" si="2"/>
        <v/>
      </c>
      <c r="W627" s="110" t="str">
        <f t="shared" si="3"/>
        <v/>
      </c>
      <c r="X627" s="103" t="str">
        <f>if(S627,if(and(hour(S627+X$7)&gt;9.5,(hour(S627+X$7)&lt;19.5)),S627+X$7,_xlfn.workday.intl(int(S627),1,"0000001",Holidays!A:A)+hour(S627+X$7-$B$1)/24+minute(S627)/1440),"")</f>
        <v/>
      </c>
      <c r="Y627" s="104"/>
      <c r="Z627" s="105"/>
      <c r="AA627" s="111" t="str">
        <f t="shared" si="4"/>
        <v/>
      </c>
      <c r="AB627" s="110" t="str">
        <f t="shared" si="5"/>
        <v/>
      </c>
      <c r="AC627" s="103" t="str">
        <f>if(X627,_xlfn.WORKDAY.INTL(X627,AC$7,"0000001",Holidays!A:A)+hour(X627)/24+MINUTE(X627)/1440,"")</f>
        <v/>
      </c>
      <c r="AD627" s="104"/>
      <c r="AE627" s="105"/>
      <c r="AF627" s="111" t="str">
        <f t="shared" si="6"/>
        <v/>
      </c>
      <c r="AG627" s="110" t="str">
        <f t="shared" si="7"/>
        <v/>
      </c>
      <c r="AH627" s="103" t="str">
        <f>if(AC627,if(and(hour(AC627+AH$7)&gt;9.5,(hour(AC627+AH$7)&lt;19.5)),AC627+AH$7,_xlfn.workday.intl(int(AC627),1,"0000001",Holidays!A:A)+hour(AC627+AH$7-$B$1)/24+minute(AC627)/1440),"")</f>
        <v/>
      </c>
      <c r="AI627" s="104"/>
      <c r="AJ627" s="105"/>
      <c r="AK627" s="111" t="str">
        <f t="shared" si="8"/>
        <v/>
      </c>
      <c r="AL627" s="112" t="str">
        <f t="shared" si="9"/>
        <v/>
      </c>
      <c r="AM627" s="113"/>
      <c r="AN627" s="291" t="s">
        <v>2540</v>
      </c>
      <c r="AO627" s="115"/>
      <c r="AP627" s="115"/>
      <c r="AQ627" s="115"/>
      <c r="AR627" s="115"/>
      <c r="AS627" s="115"/>
      <c r="AT627" s="115"/>
      <c r="AU627" s="115"/>
      <c r="AV627" s="115"/>
      <c r="AW627" s="115"/>
      <c r="AX627" s="115"/>
      <c r="AY627" s="115"/>
    </row>
    <row r="628">
      <c r="A628" s="95" t="str">
        <f t="shared" si="11"/>
        <v/>
      </c>
      <c r="B628" s="100"/>
      <c r="C628" s="97"/>
      <c r="D628" s="97"/>
      <c r="E628" s="97"/>
      <c r="F628" s="97"/>
      <c r="G628" s="97"/>
      <c r="H628" s="99"/>
      <c r="I628" s="100"/>
      <c r="J628" s="101"/>
      <c r="K628" s="100"/>
      <c r="L628" s="102"/>
      <c r="M628" s="103" t="str">
        <f>if(B628,if(and(hour(B628+M$7)&gt;9.5,(hour(B628+M$7)&lt;19.5)),B628+M$7,_xlfn.workday.intl(int(B628),1,"0000001",Holidays!A:A)+hour(B628+M$7-$B$1)/24+minute(B628)/1440),"")</f>
        <v/>
      </c>
      <c r="N628" s="104"/>
      <c r="O628" s="105"/>
      <c r="P628" s="106" t="str">
        <f t="shared" si="1"/>
        <v/>
      </c>
      <c r="Q628" s="107"/>
      <c r="R628" s="108"/>
      <c r="S628" s="103" t="str">
        <f>if(M628,if(and(hour(M628+S$7)&gt;9.5,(hour(M628+S$7)&lt;19.5)),M628+S$7,_xlfn.workday.intl(int(M628),1,"0000001",Holidays!A:A)+hour(M628+S$7-$B$1)/24+minute(M628)/1440),"")</f>
        <v/>
      </c>
      <c r="T628" s="104"/>
      <c r="U628" s="105"/>
      <c r="V628" s="109" t="str">
        <f t="shared" si="2"/>
        <v/>
      </c>
      <c r="W628" s="110" t="str">
        <f t="shared" si="3"/>
        <v/>
      </c>
      <c r="X628" s="103" t="str">
        <f>if(S628,if(and(hour(S628+X$7)&gt;9.5,(hour(S628+X$7)&lt;19.5)),S628+X$7,_xlfn.workday.intl(int(S628),1,"0000001",Holidays!A:A)+hour(S628+X$7-$B$1)/24+minute(S628)/1440),"")</f>
        <v/>
      </c>
      <c r="Y628" s="104"/>
      <c r="Z628" s="105"/>
      <c r="AA628" s="111" t="str">
        <f t="shared" si="4"/>
        <v/>
      </c>
      <c r="AB628" s="110" t="str">
        <f t="shared" si="5"/>
        <v/>
      </c>
      <c r="AC628" s="103" t="str">
        <f>if(X628,_xlfn.WORKDAY.INTL(X628,AC$7,"0000001",Holidays!A:A)+hour(X628)/24+MINUTE(X628)/1440,"")</f>
        <v/>
      </c>
      <c r="AD628" s="104"/>
      <c r="AE628" s="105"/>
      <c r="AF628" s="111" t="str">
        <f t="shared" si="6"/>
        <v/>
      </c>
      <c r="AG628" s="110" t="str">
        <f t="shared" si="7"/>
        <v/>
      </c>
      <c r="AH628" s="103" t="str">
        <f>if(AC628,if(and(hour(AC628+AH$7)&gt;9.5,(hour(AC628+AH$7)&lt;19.5)),AC628+AH$7,_xlfn.workday.intl(int(AC628),1,"0000001",Holidays!A:A)+hour(AC628+AH$7-$B$1)/24+minute(AC628)/1440),"")</f>
        <v/>
      </c>
      <c r="AI628" s="104"/>
      <c r="AJ628" s="105"/>
      <c r="AK628" s="111" t="str">
        <f t="shared" si="8"/>
        <v/>
      </c>
      <c r="AL628" s="112" t="str">
        <f t="shared" si="9"/>
        <v/>
      </c>
      <c r="AM628" s="113"/>
      <c r="AN628" s="291" t="s">
        <v>2540</v>
      </c>
      <c r="AO628" s="115"/>
      <c r="AP628" s="115"/>
      <c r="AQ628" s="115"/>
      <c r="AR628" s="115"/>
      <c r="AS628" s="115"/>
      <c r="AT628" s="115"/>
      <c r="AU628" s="115"/>
      <c r="AV628" s="115"/>
      <c r="AW628" s="115"/>
      <c r="AX628" s="115"/>
      <c r="AY628" s="115"/>
    </row>
    <row r="629">
      <c r="A629" s="95" t="str">
        <f t="shared" si="11"/>
        <v/>
      </c>
      <c r="B629" s="100"/>
      <c r="C629" s="97"/>
      <c r="D629" s="97"/>
      <c r="E629" s="97"/>
      <c r="F629" s="97"/>
      <c r="G629" s="97"/>
      <c r="H629" s="99"/>
      <c r="I629" s="100"/>
      <c r="J629" s="101"/>
      <c r="K629" s="100"/>
      <c r="L629" s="102"/>
      <c r="M629" s="103" t="str">
        <f>if(B629,if(and(hour(B629+M$7)&gt;9.5,(hour(B629+M$7)&lt;19.5)),B629+M$7,_xlfn.workday.intl(int(B629),1,"0000001",Holidays!A:A)+hour(B629+M$7-$B$1)/24+minute(B629)/1440),"")</f>
        <v/>
      </c>
      <c r="N629" s="104"/>
      <c r="O629" s="105"/>
      <c r="P629" s="106" t="str">
        <f t="shared" si="1"/>
        <v/>
      </c>
      <c r="Q629" s="107"/>
      <c r="R629" s="108"/>
      <c r="S629" s="103" t="str">
        <f>if(M629,if(and(hour(M629+S$7)&gt;9.5,(hour(M629+S$7)&lt;19.5)),M629+S$7,_xlfn.workday.intl(int(M629),1,"0000001",Holidays!A:A)+hour(M629+S$7-$B$1)/24+minute(M629)/1440),"")</f>
        <v/>
      </c>
      <c r="T629" s="104"/>
      <c r="U629" s="105"/>
      <c r="V629" s="109" t="str">
        <f t="shared" si="2"/>
        <v/>
      </c>
      <c r="W629" s="110" t="str">
        <f t="shared" si="3"/>
        <v/>
      </c>
      <c r="X629" s="103" t="str">
        <f>if(S629,if(and(hour(S629+X$7)&gt;9.5,(hour(S629+X$7)&lt;19.5)),S629+X$7,_xlfn.workday.intl(int(S629),1,"0000001",Holidays!A:A)+hour(S629+X$7-$B$1)/24+minute(S629)/1440),"")</f>
        <v/>
      </c>
      <c r="Y629" s="104"/>
      <c r="Z629" s="105"/>
      <c r="AA629" s="111" t="str">
        <f t="shared" si="4"/>
        <v/>
      </c>
      <c r="AB629" s="110" t="str">
        <f t="shared" si="5"/>
        <v/>
      </c>
      <c r="AC629" s="103" t="str">
        <f>if(X629,_xlfn.WORKDAY.INTL(X629,AC$7,"0000001",Holidays!A:A)+hour(X629)/24+MINUTE(X629)/1440,"")</f>
        <v/>
      </c>
      <c r="AD629" s="104"/>
      <c r="AE629" s="105"/>
      <c r="AF629" s="111" t="str">
        <f t="shared" si="6"/>
        <v/>
      </c>
      <c r="AG629" s="110" t="str">
        <f t="shared" si="7"/>
        <v/>
      </c>
      <c r="AH629" s="103" t="str">
        <f>if(AC629,if(and(hour(AC629+AH$7)&gt;9.5,(hour(AC629+AH$7)&lt;19.5)),AC629+AH$7,_xlfn.workday.intl(int(AC629),1,"0000001",Holidays!A:A)+hour(AC629+AH$7-$B$1)/24+minute(AC629)/1440),"")</f>
        <v/>
      </c>
      <c r="AI629" s="104"/>
      <c r="AJ629" s="105"/>
      <c r="AK629" s="111" t="str">
        <f t="shared" si="8"/>
        <v/>
      </c>
      <c r="AL629" s="112" t="str">
        <f t="shared" si="9"/>
        <v/>
      </c>
      <c r="AM629" s="113"/>
      <c r="AN629" s="291" t="s">
        <v>2540</v>
      </c>
      <c r="AO629" s="115"/>
      <c r="AP629" s="115"/>
      <c r="AQ629" s="115"/>
      <c r="AR629" s="115"/>
      <c r="AS629" s="115"/>
      <c r="AT629" s="115"/>
      <c r="AU629" s="115"/>
      <c r="AV629" s="115"/>
      <c r="AW629" s="115"/>
      <c r="AX629" s="115"/>
      <c r="AY629" s="115"/>
    </row>
    <row r="630">
      <c r="A630" s="95" t="str">
        <f t="shared" si="11"/>
        <v/>
      </c>
      <c r="B630" s="100"/>
      <c r="C630" s="97"/>
      <c r="D630" s="97"/>
      <c r="E630" s="97"/>
      <c r="F630" s="97"/>
      <c r="G630" s="97"/>
      <c r="H630" s="99"/>
      <c r="I630" s="100"/>
      <c r="J630" s="101"/>
      <c r="K630" s="100"/>
      <c r="L630" s="102"/>
      <c r="M630" s="103" t="str">
        <f>if(B630,if(and(hour(B630+M$7)&gt;9.5,(hour(B630+M$7)&lt;19.5)),B630+M$7,_xlfn.workday.intl(int(B630),1,"0000001",Holidays!A:A)+hour(B630+M$7-$B$1)/24+minute(B630)/1440),"")</f>
        <v/>
      </c>
      <c r="N630" s="104"/>
      <c r="O630" s="105"/>
      <c r="P630" s="106" t="str">
        <f t="shared" si="1"/>
        <v/>
      </c>
      <c r="Q630" s="107"/>
      <c r="R630" s="108"/>
      <c r="S630" s="103" t="str">
        <f>if(M630,if(and(hour(M630+S$7)&gt;9.5,(hour(M630+S$7)&lt;19.5)),M630+S$7,_xlfn.workday.intl(int(M630),1,"0000001",Holidays!A:A)+hour(M630+S$7-$B$1)/24+minute(M630)/1440),"")</f>
        <v/>
      </c>
      <c r="T630" s="104"/>
      <c r="U630" s="105"/>
      <c r="V630" s="109" t="str">
        <f t="shared" si="2"/>
        <v/>
      </c>
      <c r="W630" s="110" t="str">
        <f t="shared" si="3"/>
        <v/>
      </c>
      <c r="X630" s="103" t="str">
        <f>if(S630,if(and(hour(S630+X$7)&gt;9.5,(hour(S630+X$7)&lt;19.5)),S630+X$7,_xlfn.workday.intl(int(S630),1,"0000001",Holidays!A:A)+hour(S630+X$7-$B$1)/24+minute(S630)/1440),"")</f>
        <v/>
      </c>
      <c r="Y630" s="104"/>
      <c r="Z630" s="105"/>
      <c r="AA630" s="111" t="str">
        <f t="shared" si="4"/>
        <v/>
      </c>
      <c r="AB630" s="110" t="str">
        <f t="shared" si="5"/>
        <v/>
      </c>
      <c r="AC630" s="103" t="str">
        <f>if(X630,_xlfn.WORKDAY.INTL(X630,AC$7,"0000001",Holidays!A:A)+hour(X630)/24+MINUTE(X630)/1440,"")</f>
        <v/>
      </c>
      <c r="AD630" s="104"/>
      <c r="AE630" s="105"/>
      <c r="AF630" s="111" t="str">
        <f t="shared" si="6"/>
        <v/>
      </c>
      <c r="AG630" s="110" t="str">
        <f t="shared" si="7"/>
        <v/>
      </c>
      <c r="AH630" s="103" t="str">
        <f>if(AC630,if(and(hour(AC630+AH$7)&gt;9.5,(hour(AC630+AH$7)&lt;19.5)),AC630+AH$7,_xlfn.workday.intl(int(AC630),1,"0000001",Holidays!A:A)+hour(AC630+AH$7-$B$1)/24+minute(AC630)/1440),"")</f>
        <v/>
      </c>
      <c r="AI630" s="104"/>
      <c r="AJ630" s="105"/>
      <c r="AK630" s="111" t="str">
        <f t="shared" si="8"/>
        <v/>
      </c>
      <c r="AL630" s="112" t="str">
        <f t="shared" si="9"/>
        <v/>
      </c>
      <c r="AM630" s="113"/>
      <c r="AN630" s="291" t="s">
        <v>2540</v>
      </c>
      <c r="AO630" s="115"/>
      <c r="AP630" s="115"/>
      <c r="AQ630" s="115"/>
      <c r="AR630" s="115"/>
      <c r="AS630" s="115"/>
      <c r="AT630" s="115"/>
      <c r="AU630" s="115"/>
      <c r="AV630" s="115"/>
      <c r="AW630" s="115"/>
      <c r="AX630" s="115"/>
      <c r="AY630" s="115"/>
    </row>
    <row r="631">
      <c r="A631" s="95" t="str">
        <f t="shared" si="11"/>
        <v/>
      </c>
      <c r="B631" s="100"/>
      <c r="C631" s="97"/>
      <c r="D631" s="97"/>
      <c r="E631" s="97"/>
      <c r="F631" s="97"/>
      <c r="G631" s="97"/>
      <c r="H631" s="99"/>
      <c r="I631" s="100"/>
      <c r="J631" s="101"/>
      <c r="K631" s="100"/>
      <c r="L631" s="102"/>
      <c r="M631" s="103" t="str">
        <f>if(B631,if(and(hour(B631+M$7)&gt;9.5,(hour(B631+M$7)&lt;19.5)),B631+M$7,_xlfn.workday.intl(int(B631),1,"0000001",Holidays!A:A)+hour(B631+M$7-$B$1)/24+minute(B631)/1440),"")</f>
        <v/>
      </c>
      <c r="N631" s="104"/>
      <c r="O631" s="105"/>
      <c r="P631" s="106" t="str">
        <f t="shared" si="1"/>
        <v/>
      </c>
      <c r="Q631" s="107"/>
      <c r="R631" s="108"/>
      <c r="S631" s="103" t="str">
        <f>if(M631,if(and(hour(M631+S$7)&gt;9.5,(hour(M631+S$7)&lt;19.5)),M631+S$7,_xlfn.workday.intl(int(M631),1,"0000001",Holidays!A:A)+hour(M631+S$7-$B$1)/24+minute(M631)/1440),"")</f>
        <v/>
      </c>
      <c r="T631" s="104"/>
      <c r="U631" s="105"/>
      <c r="V631" s="109" t="str">
        <f t="shared" si="2"/>
        <v/>
      </c>
      <c r="W631" s="110" t="str">
        <f t="shared" si="3"/>
        <v/>
      </c>
      <c r="X631" s="103" t="str">
        <f>if(S631,if(and(hour(S631+X$7)&gt;9.5,(hour(S631+X$7)&lt;19.5)),S631+X$7,_xlfn.workday.intl(int(S631),1,"0000001",Holidays!A:A)+hour(S631+X$7-$B$1)/24+minute(S631)/1440),"")</f>
        <v/>
      </c>
      <c r="Y631" s="104"/>
      <c r="Z631" s="105"/>
      <c r="AA631" s="111" t="str">
        <f t="shared" si="4"/>
        <v/>
      </c>
      <c r="AB631" s="110" t="str">
        <f t="shared" si="5"/>
        <v/>
      </c>
      <c r="AC631" s="103" t="str">
        <f>if(X631,_xlfn.WORKDAY.INTL(X631,AC$7,"0000001",Holidays!A:A)+hour(X631)/24+MINUTE(X631)/1440,"")</f>
        <v/>
      </c>
      <c r="AD631" s="104"/>
      <c r="AE631" s="105"/>
      <c r="AF631" s="111" t="str">
        <f t="shared" si="6"/>
        <v/>
      </c>
      <c r="AG631" s="110" t="str">
        <f t="shared" si="7"/>
        <v/>
      </c>
      <c r="AH631" s="103" t="str">
        <f>if(AC631,if(and(hour(AC631+AH$7)&gt;9.5,(hour(AC631+AH$7)&lt;19.5)),AC631+AH$7,_xlfn.workday.intl(int(AC631),1,"0000001",Holidays!A:A)+hour(AC631+AH$7-$B$1)/24+minute(AC631)/1440),"")</f>
        <v/>
      </c>
      <c r="AI631" s="104"/>
      <c r="AJ631" s="105"/>
      <c r="AK631" s="111" t="str">
        <f t="shared" si="8"/>
        <v/>
      </c>
      <c r="AL631" s="112" t="str">
        <f t="shared" si="9"/>
        <v/>
      </c>
      <c r="AM631" s="113"/>
      <c r="AN631" s="291" t="s">
        <v>2540</v>
      </c>
      <c r="AO631" s="115"/>
      <c r="AP631" s="115"/>
      <c r="AQ631" s="115"/>
      <c r="AR631" s="115"/>
      <c r="AS631" s="115"/>
      <c r="AT631" s="115"/>
      <c r="AU631" s="115"/>
      <c r="AV631" s="115"/>
      <c r="AW631" s="115"/>
      <c r="AX631" s="115"/>
      <c r="AY631" s="115"/>
    </row>
    <row r="632">
      <c r="A632" s="95" t="str">
        <f t="shared" si="11"/>
        <v/>
      </c>
      <c r="B632" s="100"/>
      <c r="C632" s="97"/>
      <c r="D632" s="97"/>
      <c r="E632" s="97"/>
      <c r="F632" s="97"/>
      <c r="G632" s="97"/>
      <c r="H632" s="99"/>
      <c r="I632" s="100"/>
      <c r="J632" s="101"/>
      <c r="K632" s="100"/>
      <c r="L632" s="102"/>
      <c r="M632" s="103" t="str">
        <f>if(B632,if(and(hour(B632+M$7)&gt;9.5,(hour(B632+M$7)&lt;19.5)),B632+M$7,_xlfn.workday.intl(int(B632),1,"0000001",Holidays!A:A)+hour(B632+M$7-$B$1)/24+minute(B632)/1440),"")</f>
        <v/>
      </c>
      <c r="N632" s="104"/>
      <c r="O632" s="105"/>
      <c r="P632" s="106" t="str">
        <f t="shared" si="1"/>
        <v/>
      </c>
      <c r="Q632" s="107"/>
      <c r="R632" s="108"/>
      <c r="S632" s="103" t="str">
        <f>if(M632,if(and(hour(M632+S$7)&gt;9.5,(hour(M632+S$7)&lt;19.5)),M632+S$7,_xlfn.workday.intl(int(M632),1,"0000001",Holidays!A:A)+hour(M632+S$7-$B$1)/24+minute(M632)/1440),"")</f>
        <v/>
      </c>
      <c r="T632" s="104"/>
      <c r="U632" s="105"/>
      <c r="V632" s="109" t="str">
        <f t="shared" si="2"/>
        <v/>
      </c>
      <c r="W632" s="110" t="str">
        <f t="shared" si="3"/>
        <v/>
      </c>
      <c r="X632" s="103" t="str">
        <f>if(S632,if(and(hour(S632+X$7)&gt;9.5,(hour(S632+X$7)&lt;19.5)),S632+X$7,_xlfn.workday.intl(int(S632),1,"0000001",Holidays!A:A)+hour(S632+X$7-$B$1)/24+minute(S632)/1440),"")</f>
        <v/>
      </c>
      <c r="Y632" s="104"/>
      <c r="Z632" s="105"/>
      <c r="AA632" s="111" t="str">
        <f t="shared" si="4"/>
        <v/>
      </c>
      <c r="AB632" s="110" t="str">
        <f t="shared" si="5"/>
        <v/>
      </c>
      <c r="AC632" s="103" t="str">
        <f>if(X632,_xlfn.WORKDAY.INTL(X632,AC$7,"0000001",Holidays!A:A)+hour(X632)/24+MINUTE(X632)/1440,"")</f>
        <v/>
      </c>
      <c r="AD632" s="104"/>
      <c r="AE632" s="105"/>
      <c r="AF632" s="111" t="str">
        <f t="shared" si="6"/>
        <v/>
      </c>
      <c r="AG632" s="110" t="str">
        <f t="shared" si="7"/>
        <v/>
      </c>
      <c r="AH632" s="103" t="str">
        <f>if(AC632,if(and(hour(AC632+AH$7)&gt;9.5,(hour(AC632+AH$7)&lt;19.5)),AC632+AH$7,_xlfn.workday.intl(int(AC632),1,"0000001",Holidays!A:A)+hour(AC632+AH$7-$B$1)/24+minute(AC632)/1440),"")</f>
        <v/>
      </c>
      <c r="AI632" s="104"/>
      <c r="AJ632" s="105"/>
      <c r="AK632" s="111" t="str">
        <f t="shared" si="8"/>
        <v/>
      </c>
      <c r="AL632" s="112" t="str">
        <f t="shared" si="9"/>
        <v/>
      </c>
      <c r="AM632" s="113"/>
      <c r="AN632" s="291" t="s">
        <v>2540</v>
      </c>
      <c r="AO632" s="115"/>
      <c r="AP632" s="115"/>
      <c r="AQ632" s="115"/>
      <c r="AR632" s="115"/>
      <c r="AS632" s="115"/>
      <c r="AT632" s="115"/>
      <c r="AU632" s="115"/>
      <c r="AV632" s="115"/>
      <c r="AW632" s="115"/>
      <c r="AX632" s="115"/>
      <c r="AY632" s="115"/>
    </row>
    <row r="633">
      <c r="A633" s="95" t="str">
        <f t="shared" si="11"/>
        <v/>
      </c>
      <c r="B633" s="100"/>
      <c r="C633" s="97"/>
      <c r="D633" s="97"/>
      <c r="E633" s="97"/>
      <c r="F633" s="97"/>
      <c r="G633" s="97"/>
      <c r="H633" s="99"/>
      <c r="I633" s="100"/>
      <c r="J633" s="101"/>
      <c r="K633" s="100"/>
      <c r="L633" s="102"/>
      <c r="M633" s="103" t="str">
        <f>if(B633,if(and(hour(B633+M$7)&gt;9.5,(hour(B633+M$7)&lt;19.5)),B633+M$7,_xlfn.workday.intl(int(B633),1,"0000001",Holidays!A:A)+hour(B633+M$7-$B$1)/24+minute(B633)/1440),"")</f>
        <v/>
      </c>
      <c r="N633" s="104"/>
      <c r="O633" s="105"/>
      <c r="P633" s="106" t="str">
        <f t="shared" si="1"/>
        <v/>
      </c>
      <c r="Q633" s="107"/>
      <c r="R633" s="108"/>
      <c r="S633" s="103" t="str">
        <f>if(M633,if(and(hour(M633+S$7)&gt;9.5,(hour(M633+S$7)&lt;19.5)),M633+S$7,_xlfn.workday.intl(int(M633),1,"0000001",Holidays!A:A)+hour(M633+S$7-$B$1)/24+minute(M633)/1440),"")</f>
        <v/>
      </c>
      <c r="T633" s="104"/>
      <c r="U633" s="105"/>
      <c r="V633" s="109" t="str">
        <f t="shared" si="2"/>
        <v/>
      </c>
      <c r="W633" s="110" t="str">
        <f t="shared" si="3"/>
        <v/>
      </c>
      <c r="X633" s="103" t="str">
        <f>if(S633,if(and(hour(S633+X$7)&gt;9.5,(hour(S633+X$7)&lt;19.5)),S633+X$7,_xlfn.workday.intl(int(S633),1,"0000001",Holidays!A:A)+hour(S633+X$7-$B$1)/24+minute(S633)/1440),"")</f>
        <v/>
      </c>
      <c r="Y633" s="104"/>
      <c r="Z633" s="105"/>
      <c r="AA633" s="111" t="str">
        <f t="shared" si="4"/>
        <v/>
      </c>
      <c r="AB633" s="110" t="str">
        <f t="shared" si="5"/>
        <v/>
      </c>
      <c r="AC633" s="103" t="str">
        <f>if(X633,_xlfn.WORKDAY.INTL(X633,AC$7,"0000001",Holidays!A:A)+hour(X633)/24+MINUTE(X633)/1440,"")</f>
        <v/>
      </c>
      <c r="AD633" s="104"/>
      <c r="AE633" s="105"/>
      <c r="AF633" s="111" t="str">
        <f t="shared" si="6"/>
        <v/>
      </c>
      <c r="AG633" s="110" t="str">
        <f t="shared" si="7"/>
        <v/>
      </c>
      <c r="AH633" s="103" t="str">
        <f>if(AC633,if(and(hour(AC633+AH$7)&gt;9.5,(hour(AC633+AH$7)&lt;19.5)),AC633+AH$7,_xlfn.workday.intl(int(AC633),1,"0000001",Holidays!A:A)+hour(AC633+AH$7-$B$1)/24+minute(AC633)/1440),"")</f>
        <v/>
      </c>
      <c r="AI633" s="104"/>
      <c r="AJ633" s="105"/>
      <c r="AK633" s="111" t="str">
        <f t="shared" si="8"/>
        <v/>
      </c>
      <c r="AL633" s="112" t="str">
        <f t="shared" si="9"/>
        <v/>
      </c>
      <c r="AM633" s="113"/>
      <c r="AN633" s="291" t="s">
        <v>2540</v>
      </c>
      <c r="AO633" s="115"/>
      <c r="AP633" s="115"/>
      <c r="AQ633" s="115"/>
      <c r="AR633" s="115"/>
      <c r="AS633" s="115"/>
      <c r="AT633" s="115"/>
      <c r="AU633" s="115"/>
      <c r="AV633" s="115"/>
      <c r="AW633" s="115"/>
      <c r="AX633" s="115"/>
      <c r="AY633" s="115"/>
    </row>
    <row r="634">
      <c r="A634" s="95" t="str">
        <f t="shared" si="11"/>
        <v/>
      </c>
      <c r="B634" s="100"/>
      <c r="C634" s="97"/>
      <c r="D634" s="97"/>
      <c r="E634" s="97"/>
      <c r="F634" s="97"/>
      <c r="G634" s="97"/>
      <c r="H634" s="99"/>
      <c r="I634" s="100"/>
      <c r="J634" s="101"/>
      <c r="K634" s="100"/>
      <c r="L634" s="102"/>
      <c r="M634" s="103" t="str">
        <f>if(B634,if(and(hour(B634+M$7)&gt;9.5,(hour(B634+M$7)&lt;19.5)),B634+M$7,_xlfn.workday.intl(int(B634),1,"0000001",Holidays!A:A)+hour(B634+M$7-$B$1)/24+minute(B634)/1440),"")</f>
        <v/>
      </c>
      <c r="N634" s="104"/>
      <c r="O634" s="105"/>
      <c r="P634" s="106" t="str">
        <f t="shared" si="1"/>
        <v/>
      </c>
      <c r="Q634" s="107"/>
      <c r="R634" s="108"/>
      <c r="S634" s="103" t="str">
        <f>if(M634,if(and(hour(M634+S$7)&gt;9.5,(hour(M634+S$7)&lt;19.5)),M634+S$7,_xlfn.workday.intl(int(M634),1,"0000001",Holidays!A:A)+hour(M634+S$7-$B$1)/24+minute(M634)/1440),"")</f>
        <v/>
      </c>
      <c r="T634" s="104"/>
      <c r="U634" s="105"/>
      <c r="V634" s="109" t="str">
        <f t="shared" si="2"/>
        <v/>
      </c>
      <c r="W634" s="110" t="str">
        <f t="shared" si="3"/>
        <v/>
      </c>
      <c r="X634" s="103" t="str">
        <f>if(S634,if(and(hour(S634+X$7)&gt;9.5,(hour(S634+X$7)&lt;19.5)),S634+X$7,_xlfn.workday.intl(int(S634),1,"0000001",Holidays!A:A)+hour(S634+X$7-$B$1)/24+minute(S634)/1440),"")</f>
        <v/>
      </c>
      <c r="Y634" s="104"/>
      <c r="Z634" s="105"/>
      <c r="AA634" s="111" t="str">
        <f t="shared" si="4"/>
        <v/>
      </c>
      <c r="AB634" s="110" t="str">
        <f t="shared" si="5"/>
        <v/>
      </c>
      <c r="AC634" s="103" t="str">
        <f>if(X634,_xlfn.WORKDAY.INTL(X634,AC$7,"0000001",Holidays!A:A)+hour(X634)/24+MINUTE(X634)/1440,"")</f>
        <v/>
      </c>
      <c r="AD634" s="104"/>
      <c r="AE634" s="105"/>
      <c r="AF634" s="111" t="str">
        <f t="shared" si="6"/>
        <v/>
      </c>
      <c r="AG634" s="110" t="str">
        <f t="shared" si="7"/>
        <v/>
      </c>
      <c r="AH634" s="103" t="str">
        <f>if(AC634,if(and(hour(AC634+AH$7)&gt;9.5,(hour(AC634+AH$7)&lt;19.5)),AC634+AH$7,_xlfn.workday.intl(int(AC634),1,"0000001",Holidays!A:A)+hour(AC634+AH$7-$B$1)/24+minute(AC634)/1440),"")</f>
        <v/>
      </c>
      <c r="AI634" s="104"/>
      <c r="AJ634" s="105"/>
      <c r="AK634" s="111" t="str">
        <f t="shared" si="8"/>
        <v/>
      </c>
      <c r="AL634" s="112" t="str">
        <f t="shared" si="9"/>
        <v/>
      </c>
      <c r="AM634" s="113"/>
      <c r="AN634" s="291" t="s">
        <v>2540</v>
      </c>
      <c r="AO634" s="115"/>
      <c r="AP634" s="115"/>
      <c r="AQ634" s="115"/>
      <c r="AR634" s="115"/>
      <c r="AS634" s="115"/>
      <c r="AT634" s="115"/>
      <c r="AU634" s="115"/>
      <c r="AV634" s="115"/>
      <c r="AW634" s="115"/>
      <c r="AX634" s="115"/>
      <c r="AY634" s="115"/>
    </row>
    <row r="635">
      <c r="A635" s="95" t="str">
        <f t="shared" si="11"/>
        <v/>
      </c>
      <c r="B635" s="100"/>
      <c r="C635" s="97"/>
      <c r="D635" s="97"/>
      <c r="E635" s="97"/>
      <c r="F635" s="97"/>
      <c r="G635" s="97"/>
      <c r="H635" s="99"/>
      <c r="I635" s="100"/>
      <c r="J635" s="101"/>
      <c r="K635" s="100"/>
      <c r="L635" s="102"/>
      <c r="M635" s="103" t="str">
        <f>if(B635,if(and(hour(B635+M$7)&gt;9.5,(hour(B635+M$7)&lt;19.5)),B635+M$7,_xlfn.workday.intl(int(B635),1,"0000001",Holidays!A:A)+hour(B635+M$7-$B$1)/24+minute(B635)/1440),"")</f>
        <v/>
      </c>
      <c r="N635" s="104"/>
      <c r="O635" s="105"/>
      <c r="P635" s="106" t="str">
        <f t="shared" si="1"/>
        <v/>
      </c>
      <c r="Q635" s="107"/>
      <c r="R635" s="108"/>
      <c r="S635" s="103" t="str">
        <f>if(M635,if(and(hour(M635+S$7)&gt;9.5,(hour(M635+S$7)&lt;19.5)),M635+S$7,_xlfn.workday.intl(int(M635),1,"0000001",Holidays!A:A)+hour(M635+S$7-$B$1)/24+minute(M635)/1440),"")</f>
        <v/>
      </c>
      <c r="T635" s="104"/>
      <c r="U635" s="105"/>
      <c r="V635" s="109" t="str">
        <f t="shared" si="2"/>
        <v/>
      </c>
      <c r="W635" s="110" t="str">
        <f t="shared" si="3"/>
        <v/>
      </c>
      <c r="X635" s="103" t="str">
        <f>if(S635,if(and(hour(S635+X$7)&gt;9.5,(hour(S635+X$7)&lt;19.5)),S635+X$7,_xlfn.workday.intl(int(S635),1,"0000001",Holidays!A:A)+hour(S635+X$7-$B$1)/24+minute(S635)/1440),"")</f>
        <v/>
      </c>
      <c r="Y635" s="104"/>
      <c r="Z635" s="105"/>
      <c r="AA635" s="111" t="str">
        <f t="shared" si="4"/>
        <v/>
      </c>
      <c r="AB635" s="110" t="str">
        <f t="shared" si="5"/>
        <v/>
      </c>
      <c r="AC635" s="103" t="str">
        <f>if(X635,_xlfn.WORKDAY.INTL(X635,AC$7,"0000001",Holidays!A:A)+hour(X635)/24+MINUTE(X635)/1440,"")</f>
        <v/>
      </c>
      <c r="AD635" s="104"/>
      <c r="AE635" s="105"/>
      <c r="AF635" s="111" t="str">
        <f t="shared" si="6"/>
        <v/>
      </c>
      <c r="AG635" s="110" t="str">
        <f t="shared" si="7"/>
        <v/>
      </c>
      <c r="AH635" s="103" t="str">
        <f>if(AC635,if(and(hour(AC635+AH$7)&gt;9.5,(hour(AC635+AH$7)&lt;19.5)),AC635+AH$7,_xlfn.workday.intl(int(AC635),1,"0000001",Holidays!A:A)+hour(AC635+AH$7-$B$1)/24+minute(AC635)/1440),"")</f>
        <v/>
      </c>
      <c r="AI635" s="104"/>
      <c r="AJ635" s="105"/>
      <c r="AK635" s="111" t="str">
        <f t="shared" si="8"/>
        <v/>
      </c>
      <c r="AL635" s="112" t="str">
        <f t="shared" si="9"/>
        <v/>
      </c>
      <c r="AM635" s="113"/>
      <c r="AN635" s="291" t="s">
        <v>2540</v>
      </c>
      <c r="AO635" s="115"/>
      <c r="AP635" s="115"/>
      <c r="AQ635" s="115"/>
      <c r="AR635" s="115"/>
      <c r="AS635" s="115"/>
      <c r="AT635" s="115"/>
      <c r="AU635" s="115"/>
      <c r="AV635" s="115"/>
      <c r="AW635" s="115"/>
      <c r="AX635" s="115"/>
      <c r="AY635" s="115"/>
    </row>
    <row r="636">
      <c r="A636" s="95" t="str">
        <f t="shared" si="11"/>
        <v/>
      </c>
      <c r="B636" s="100"/>
      <c r="C636" s="97"/>
      <c r="D636" s="97"/>
      <c r="E636" s="97"/>
      <c r="F636" s="97"/>
      <c r="G636" s="97"/>
      <c r="H636" s="99"/>
      <c r="I636" s="100"/>
      <c r="J636" s="101"/>
      <c r="K636" s="100"/>
      <c r="L636" s="102"/>
      <c r="M636" s="103" t="str">
        <f>if(B636,if(and(hour(B636+M$7)&gt;9.5,(hour(B636+M$7)&lt;19.5)),B636+M$7,_xlfn.workday.intl(int(B636),1,"0000001",Holidays!A:A)+hour(B636+M$7-$B$1)/24+minute(B636)/1440),"")</f>
        <v/>
      </c>
      <c r="N636" s="104"/>
      <c r="O636" s="105"/>
      <c r="P636" s="106" t="str">
        <f t="shared" si="1"/>
        <v/>
      </c>
      <c r="Q636" s="107"/>
      <c r="R636" s="108"/>
      <c r="S636" s="103" t="str">
        <f>if(M636,if(and(hour(M636+S$7)&gt;9.5,(hour(M636+S$7)&lt;19.5)),M636+S$7,_xlfn.workday.intl(int(M636),1,"0000001",Holidays!A:A)+hour(M636+S$7-$B$1)/24+minute(M636)/1440),"")</f>
        <v/>
      </c>
      <c r="T636" s="104"/>
      <c r="U636" s="105"/>
      <c r="V636" s="109" t="str">
        <f t="shared" si="2"/>
        <v/>
      </c>
      <c r="W636" s="110" t="str">
        <f t="shared" si="3"/>
        <v/>
      </c>
      <c r="X636" s="103" t="str">
        <f>if(S636,if(and(hour(S636+X$7)&gt;9.5,(hour(S636+X$7)&lt;19.5)),S636+X$7,_xlfn.workday.intl(int(S636),1,"0000001",Holidays!A:A)+hour(S636+X$7-$B$1)/24+minute(S636)/1440),"")</f>
        <v/>
      </c>
      <c r="Y636" s="104"/>
      <c r="Z636" s="105"/>
      <c r="AA636" s="111" t="str">
        <f t="shared" si="4"/>
        <v/>
      </c>
      <c r="AB636" s="110" t="str">
        <f t="shared" si="5"/>
        <v/>
      </c>
      <c r="AC636" s="103" t="str">
        <f>if(X636,_xlfn.WORKDAY.INTL(X636,AC$7,"0000001",Holidays!A:A)+hour(X636)/24+MINUTE(X636)/1440,"")</f>
        <v/>
      </c>
      <c r="AD636" s="104"/>
      <c r="AE636" s="105"/>
      <c r="AF636" s="111" t="str">
        <f t="shared" si="6"/>
        <v/>
      </c>
      <c r="AG636" s="110" t="str">
        <f t="shared" si="7"/>
        <v/>
      </c>
      <c r="AH636" s="103" t="str">
        <f>if(AC636,if(and(hour(AC636+AH$7)&gt;9.5,(hour(AC636+AH$7)&lt;19.5)),AC636+AH$7,_xlfn.workday.intl(int(AC636),1,"0000001",Holidays!A:A)+hour(AC636+AH$7-$B$1)/24+minute(AC636)/1440),"")</f>
        <v/>
      </c>
      <c r="AI636" s="104"/>
      <c r="AJ636" s="105"/>
      <c r="AK636" s="111" t="str">
        <f t="shared" si="8"/>
        <v/>
      </c>
      <c r="AL636" s="112" t="str">
        <f t="shared" si="9"/>
        <v/>
      </c>
      <c r="AM636" s="113"/>
      <c r="AN636" s="291" t="s">
        <v>2540</v>
      </c>
      <c r="AO636" s="115"/>
      <c r="AP636" s="115"/>
      <c r="AQ636" s="115"/>
      <c r="AR636" s="115"/>
      <c r="AS636" s="115"/>
      <c r="AT636" s="115"/>
      <c r="AU636" s="115"/>
      <c r="AV636" s="115"/>
      <c r="AW636" s="115"/>
      <c r="AX636" s="115"/>
      <c r="AY636" s="115"/>
    </row>
    <row r="637">
      <c r="A637" s="95" t="str">
        <f t="shared" si="11"/>
        <v/>
      </c>
      <c r="B637" s="100"/>
      <c r="C637" s="97"/>
      <c r="D637" s="97"/>
      <c r="E637" s="97"/>
      <c r="F637" s="97"/>
      <c r="G637" s="97"/>
      <c r="H637" s="99"/>
      <c r="I637" s="100"/>
      <c r="J637" s="101"/>
      <c r="K637" s="100"/>
      <c r="L637" s="102"/>
      <c r="M637" s="103" t="str">
        <f>if(B637,if(and(hour(B637+M$7)&gt;9.5,(hour(B637+M$7)&lt;19.5)),B637+M$7,_xlfn.workday.intl(int(B637),1,"0000001",Holidays!A:A)+hour(B637+M$7-$B$1)/24+minute(B637)/1440),"")</f>
        <v/>
      </c>
      <c r="N637" s="104"/>
      <c r="O637" s="105"/>
      <c r="P637" s="106" t="str">
        <f t="shared" si="1"/>
        <v/>
      </c>
      <c r="Q637" s="107"/>
      <c r="R637" s="108"/>
      <c r="S637" s="103" t="str">
        <f>if(M637,if(and(hour(M637+S$7)&gt;9.5,(hour(M637+S$7)&lt;19.5)),M637+S$7,_xlfn.workday.intl(int(M637),1,"0000001",Holidays!A:A)+hour(M637+S$7-$B$1)/24+minute(M637)/1440),"")</f>
        <v/>
      </c>
      <c r="T637" s="104"/>
      <c r="U637" s="105"/>
      <c r="V637" s="109" t="str">
        <f t="shared" si="2"/>
        <v/>
      </c>
      <c r="W637" s="110" t="str">
        <f t="shared" si="3"/>
        <v/>
      </c>
      <c r="X637" s="103" t="str">
        <f>if(S637,if(and(hour(S637+X$7)&gt;9.5,(hour(S637+X$7)&lt;19.5)),S637+X$7,_xlfn.workday.intl(int(S637),1,"0000001",Holidays!A:A)+hour(S637+X$7-$B$1)/24+minute(S637)/1440),"")</f>
        <v/>
      </c>
      <c r="Y637" s="104"/>
      <c r="Z637" s="105"/>
      <c r="AA637" s="111" t="str">
        <f t="shared" si="4"/>
        <v/>
      </c>
      <c r="AB637" s="110" t="str">
        <f t="shared" si="5"/>
        <v/>
      </c>
      <c r="AC637" s="103" t="str">
        <f>if(X637,_xlfn.WORKDAY.INTL(X637,AC$7,"0000001",Holidays!A:A)+hour(X637)/24+MINUTE(X637)/1440,"")</f>
        <v/>
      </c>
      <c r="AD637" s="104"/>
      <c r="AE637" s="105"/>
      <c r="AF637" s="111" t="str">
        <f t="shared" si="6"/>
        <v/>
      </c>
      <c r="AG637" s="110" t="str">
        <f t="shared" si="7"/>
        <v/>
      </c>
      <c r="AH637" s="103" t="str">
        <f>if(AC637,if(and(hour(AC637+AH$7)&gt;9.5,(hour(AC637+AH$7)&lt;19.5)),AC637+AH$7,_xlfn.workday.intl(int(AC637),1,"0000001",Holidays!A:A)+hour(AC637+AH$7-$B$1)/24+minute(AC637)/1440),"")</f>
        <v/>
      </c>
      <c r="AI637" s="104"/>
      <c r="AJ637" s="105"/>
      <c r="AK637" s="111" t="str">
        <f t="shared" si="8"/>
        <v/>
      </c>
      <c r="AL637" s="112" t="str">
        <f t="shared" si="9"/>
        <v/>
      </c>
      <c r="AM637" s="113"/>
      <c r="AN637" s="291" t="s">
        <v>2540</v>
      </c>
      <c r="AO637" s="115"/>
      <c r="AP637" s="115"/>
      <c r="AQ637" s="115"/>
      <c r="AR637" s="115"/>
      <c r="AS637" s="115"/>
      <c r="AT637" s="115"/>
      <c r="AU637" s="115"/>
      <c r="AV637" s="115"/>
      <c r="AW637" s="115"/>
      <c r="AX637" s="115"/>
      <c r="AY637" s="115"/>
    </row>
    <row r="638">
      <c r="A638" s="95" t="str">
        <f t="shared" si="11"/>
        <v/>
      </c>
      <c r="B638" s="100"/>
      <c r="C638" s="97"/>
      <c r="D638" s="97"/>
      <c r="E638" s="97"/>
      <c r="F638" s="97"/>
      <c r="G638" s="97"/>
      <c r="H638" s="99"/>
      <c r="I638" s="100"/>
      <c r="J638" s="101"/>
      <c r="K638" s="100"/>
      <c r="L638" s="102"/>
      <c r="M638" s="103" t="str">
        <f>if(B638,if(and(hour(B638+M$7)&gt;9.5,(hour(B638+M$7)&lt;19.5)),B638+M$7,_xlfn.workday.intl(int(B638),1,"0000001",Holidays!A:A)+hour(B638+M$7-$B$1)/24+minute(B638)/1440),"")</f>
        <v/>
      </c>
      <c r="N638" s="104"/>
      <c r="O638" s="105"/>
      <c r="P638" s="106" t="str">
        <f t="shared" si="1"/>
        <v/>
      </c>
      <c r="Q638" s="107"/>
      <c r="R638" s="108"/>
      <c r="S638" s="103" t="str">
        <f>if(M638,if(and(hour(M638+S$7)&gt;9.5,(hour(M638+S$7)&lt;19.5)),M638+S$7,_xlfn.workday.intl(int(M638),1,"0000001",Holidays!A:A)+hour(M638+S$7-$B$1)/24+minute(M638)/1440),"")</f>
        <v/>
      </c>
      <c r="T638" s="104"/>
      <c r="U638" s="105"/>
      <c r="V638" s="109" t="str">
        <f t="shared" si="2"/>
        <v/>
      </c>
      <c r="W638" s="110" t="str">
        <f t="shared" si="3"/>
        <v/>
      </c>
      <c r="X638" s="103" t="str">
        <f>if(S638,if(and(hour(S638+X$7)&gt;9.5,(hour(S638+X$7)&lt;19.5)),S638+X$7,_xlfn.workday.intl(int(S638),1,"0000001",Holidays!A:A)+hour(S638+X$7-$B$1)/24+minute(S638)/1440),"")</f>
        <v/>
      </c>
      <c r="Y638" s="104"/>
      <c r="Z638" s="105"/>
      <c r="AA638" s="111" t="str">
        <f t="shared" si="4"/>
        <v/>
      </c>
      <c r="AB638" s="110" t="str">
        <f t="shared" si="5"/>
        <v/>
      </c>
      <c r="AC638" s="103" t="str">
        <f>if(X638,_xlfn.WORKDAY.INTL(X638,AC$7,"0000001",Holidays!A:A)+hour(X638)/24+MINUTE(X638)/1440,"")</f>
        <v/>
      </c>
      <c r="AD638" s="104"/>
      <c r="AE638" s="105"/>
      <c r="AF638" s="111" t="str">
        <f t="shared" si="6"/>
        <v/>
      </c>
      <c r="AG638" s="110" t="str">
        <f t="shared" si="7"/>
        <v/>
      </c>
      <c r="AH638" s="103" t="str">
        <f>if(AC638,if(and(hour(AC638+AH$7)&gt;9.5,(hour(AC638+AH$7)&lt;19.5)),AC638+AH$7,_xlfn.workday.intl(int(AC638),1,"0000001",Holidays!A:A)+hour(AC638+AH$7-$B$1)/24+minute(AC638)/1440),"")</f>
        <v/>
      </c>
      <c r="AI638" s="104"/>
      <c r="AJ638" s="105"/>
      <c r="AK638" s="111" t="str">
        <f t="shared" si="8"/>
        <v/>
      </c>
      <c r="AL638" s="112" t="str">
        <f t="shared" si="9"/>
        <v/>
      </c>
      <c r="AM638" s="113"/>
      <c r="AN638" s="291" t="s">
        <v>2540</v>
      </c>
      <c r="AO638" s="115"/>
      <c r="AP638" s="115"/>
      <c r="AQ638" s="115"/>
      <c r="AR638" s="115"/>
      <c r="AS638" s="115"/>
      <c r="AT638" s="115"/>
      <c r="AU638" s="115"/>
      <c r="AV638" s="115"/>
      <c r="AW638" s="115"/>
      <c r="AX638" s="115"/>
      <c r="AY638" s="115"/>
    </row>
    <row r="639">
      <c r="A639" s="95" t="str">
        <f t="shared" si="11"/>
        <v/>
      </c>
      <c r="B639" s="100"/>
      <c r="C639" s="97"/>
      <c r="D639" s="97"/>
      <c r="E639" s="97"/>
      <c r="F639" s="97"/>
      <c r="G639" s="97"/>
      <c r="H639" s="99"/>
      <c r="I639" s="100"/>
      <c r="J639" s="101"/>
      <c r="K639" s="100"/>
      <c r="L639" s="102"/>
      <c r="M639" s="103" t="str">
        <f>if(B639,if(and(hour(B639+M$7)&gt;9.5,(hour(B639+M$7)&lt;19.5)),B639+M$7,_xlfn.workday.intl(int(B639),1,"0000001",Holidays!A:A)+hour(B639+M$7-$B$1)/24+minute(B639)/1440),"")</f>
        <v/>
      </c>
      <c r="N639" s="104"/>
      <c r="O639" s="105"/>
      <c r="P639" s="106" t="str">
        <f t="shared" si="1"/>
        <v/>
      </c>
      <c r="Q639" s="107"/>
      <c r="R639" s="108"/>
      <c r="S639" s="103" t="str">
        <f>if(M639,if(and(hour(M639+S$7)&gt;9.5,(hour(M639+S$7)&lt;19.5)),M639+S$7,_xlfn.workday.intl(int(M639),1,"0000001",Holidays!A:A)+hour(M639+S$7-$B$1)/24+minute(M639)/1440),"")</f>
        <v/>
      </c>
      <c r="T639" s="104"/>
      <c r="U639" s="105"/>
      <c r="V639" s="109" t="str">
        <f t="shared" si="2"/>
        <v/>
      </c>
      <c r="W639" s="110" t="str">
        <f t="shared" si="3"/>
        <v/>
      </c>
      <c r="X639" s="103" t="str">
        <f>if(S639,if(and(hour(S639+X$7)&gt;9.5,(hour(S639+X$7)&lt;19.5)),S639+X$7,_xlfn.workday.intl(int(S639),1,"0000001",Holidays!A:A)+hour(S639+X$7-$B$1)/24+minute(S639)/1440),"")</f>
        <v/>
      </c>
      <c r="Y639" s="104"/>
      <c r="Z639" s="105"/>
      <c r="AA639" s="111" t="str">
        <f t="shared" si="4"/>
        <v/>
      </c>
      <c r="AB639" s="110" t="str">
        <f t="shared" si="5"/>
        <v/>
      </c>
      <c r="AC639" s="103" t="str">
        <f>if(X639,_xlfn.WORKDAY.INTL(X639,AC$7,"0000001",Holidays!A:A)+hour(X639)/24+MINUTE(X639)/1440,"")</f>
        <v/>
      </c>
      <c r="AD639" s="104"/>
      <c r="AE639" s="105"/>
      <c r="AF639" s="111" t="str">
        <f t="shared" si="6"/>
        <v/>
      </c>
      <c r="AG639" s="110" t="str">
        <f t="shared" si="7"/>
        <v/>
      </c>
      <c r="AH639" s="103" t="str">
        <f>if(AC639,if(and(hour(AC639+AH$7)&gt;9.5,(hour(AC639+AH$7)&lt;19.5)),AC639+AH$7,_xlfn.workday.intl(int(AC639),1,"0000001",Holidays!A:A)+hour(AC639+AH$7-$B$1)/24+minute(AC639)/1440),"")</f>
        <v/>
      </c>
      <c r="AI639" s="104"/>
      <c r="AJ639" s="105"/>
      <c r="AK639" s="111" t="str">
        <f t="shared" si="8"/>
        <v/>
      </c>
      <c r="AL639" s="112" t="str">
        <f t="shared" si="9"/>
        <v/>
      </c>
      <c r="AM639" s="113"/>
      <c r="AN639" s="291" t="s">
        <v>2540</v>
      </c>
      <c r="AO639" s="115"/>
      <c r="AP639" s="115"/>
      <c r="AQ639" s="115"/>
      <c r="AR639" s="115"/>
      <c r="AS639" s="115"/>
      <c r="AT639" s="115"/>
      <c r="AU639" s="115"/>
      <c r="AV639" s="115"/>
      <c r="AW639" s="115"/>
      <c r="AX639" s="115"/>
      <c r="AY639" s="115"/>
    </row>
    <row r="640">
      <c r="A640" s="95" t="str">
        <f t="shared" si="11"/>
        <v/>
      </c>
      <c r="B640" s="100"/>
      <c r="C640" s="97"/>
      <c r="D640" s="97"/>
      <c r="E640" s="97"/>
      <c r="F640" s="97"/>
      <c r="G640" s="97"/>
      <c r="H640" s="99"/>
      <c r="I640" s="100"/>
      <c r="J640" s="101"/>
      <c r="K640" s="100"/>
      <c r="L640" s="102"/>
      <c r="M640" s="103" t="str">
        <f>if(B640,if(and(hour(B640+M$7)&gt;9.5,(hour(B640+M$7)&lt;19.5)),B640+M$7,_xlfn.workday.intl(int(B640),1,"0000001",Holidays!A:A)+hour(B640+M$7-$B$1)/24+minute(B640)/1440),"")</f>
        <v/>
      </c>
      <c r="N640" s="104"/>
      <c r="O640" s="105"/>
      <c r="P640" s="106" t="str">
        <f t="shared" si="1"/>
        <v/>
      </c>
      <c r="Q640" s="107"/>
      <c r="R640" s="108"/>
      <c r="S640" s="103" t="str">
        <f>if(M640,if(and(hour(M640+S$7)&gt;9.5,(hour(M640+S$7)&lt;19.5)),M640+S$7,_xlfn.workday.intl(int(M640),1,"0000001",Holidays!A:A)+hour(M640+S$7-$B$1)/24+minute(M640)/1440),"")</f>
        <v/>
      </c>
      <c r="T640" s="104"/>
      <c r="U640" s="105"/>
      <c r="V640" s="109" t="str">
        <f t="shared" si="2"/>
        <v/>
      </c>
      <c r="W640" s="110" t="str">
        <f t="shared" si="3"/>
        <v/>
      </c>
      <c r="X640" s="103" t="str">
        <f>if(S640,if(and(hour(S640+X$7)&gt;9.5,(hour(S640+X$7)&lt;19.5)),S640+X$7,_xlfn.workday.intl(int(S640),1,"0000001",Holidays!A:A)+hour(S640+X$7-$B$1)/24+minute(S640)/1440),"")</f>
        <v/>
      </c>
      <c r="Y640" s="104"/>
      <c r="Z640" s="105"/>
      <c r="AA640" s="111" t="str">
        <f t="shared" si="4"/>
        <v/>
      </c>
      <c r="AB640" s="110" t="str">
        <f t="shared" si="5"/>
        <v/>
      </c>
      <c r="AC640" s="103" t="str">
        <f>if(X640,_xlfn.WORKDAY.INTL(X640,AC$7,"0000001",Holidays!A:A)+hour(X640)/24+MINUTE(X640)/1440,"")</f>
        <v/>
      </c>
      <c r="AD640" s="104"/>
      <c r="AE640" s="105"/>
      <c r="AF640" s="111" t="str">
        <f t="shared" si="6"/>
        <v/>
      </c>
      <c r="AG640" s="110" t="str">
        <f t="shared" si="7"/>
        <v/>
      </c>
      <c r="AH640" s="103" t="str">
        <f>if(AC640,if(and(hour(AC640+AH$7)&gt;9.5,(hour(AC640+AH$7)&lt;19.5)),AC640+AH$7,_xlfn.workday.intl(int(AC640),1,"0000001",Holidays!A:A)+hour(AC640+AH$7-$B$1)/24+minute(AC640)/1440),"")</f>
        <v/>
      </c>
      <c r="AI640" s="104"/>
      <c r="AJ640" s="105"/>
      <c r="AK640" s="111" t="str">
        <f t="shared" si="8"/>
        <v/>
      </c>
      <c r="AL640" s="112" t="str">
        <f t="shared" si="9"/>
        <v/>
      </c>
      <c r="AM640" s="113"/>
      <c r="AN640" s="291" t="s">
        <v>2540</v>
      </c>
      <c r="AO640" s="115"/>
      <c r="AP640" s="115"/>
      <c r="AQ640" s="115"/>
      <c r="AR640" s="115"/>
      <c r="AS640" s="115"/>
      <c r="AT640" s="115"/>
      <c r="AU640" s="115"/>
      <c r="AV640" s="115"/>
      <c r="AW640" s="115"/>
      <c r="AX640" s="115"/>
      <c r="AY640" s="115"/>
    </row>
    <row r="641">
      <c r="A641" s="95" t="str">
        <f t="shared" si="11"/>
        <v/>
      </c>
      <c r="B641" s="100"/>
      <c r="C641" s="97"/>
      <c r="D641" s="97"/>
      <c r="E641" s="97"/>
      <c r="F641" s="97"/>
      <c r="G641" s="97"/>
      <c r="H641" s="99"/>
      <c r="I641" s="100"/>
      <c r="J641" s="101"/>
      <c r="K641" s="100"/>
      <c r="L641" s="102"/>
      <c r="M641" s="103" t="str">
        <f>if(B641,if(and(hour(B641+M$7)&gt;9.5,(hour(B641+M$7)&lt;19.5)),B641+M$7,_xlfn.workday.intl(int(B641),1,"0000001",Holidays!A:A)+hour(B641+M$7-$B$1)/24+minute(B641)/1440),"")</f>
        <v/>
      </c>
      <c r="N641" s="104"/>
      <c r="O641" s="105"/>
      <c r="P641" s="106" t="str">
        <f t="shared" si="1"/>
        <v/>
      </c>
      <c r="Q641" s="107"/>
      <c r="R641" s="108"/>
      <c r="S641" s="103" t="str">
        <f>if(M641,if(and(hour(M641+S$7)&gt;9.5,(hour(M641+S$7)&lt;19.5)),M641+S$7,_xlfn.workday.intl(int(M641),1,"0000001",Holidays!A:A)+hour(M641+S$7-$B$1)/24+minute(M641)/1440),"")</f>
        <v/>
      </c>
      <c r="T641" s="104"/>
      <c r="U641" s="105"/>
      <c r="V641" s="109" t="str">
        <f t="shared" si="2"/>
        <v/>
      </c>
      <c r="W641" s="110" t="str">
        <f t="shared" si="3"/>
        <v/>
      </c>
      <c r="X641" s="103" t="str">
        <f>if(S641,if(and(hour(S641+X$7)&gt;9.5,(hour(S641+X$7)&lt;19.5)),S641+X$7,_xlfn.workday.intl(int(S641),1,"0000001",Holidays!A:A)+hour(S641+X$7-$B$1)/24+minute(S641)/1440),"")</f>
        <v/>
      </c>
      <c r="Y641" s="104"/>
      <c r="Z641" s="105"/>
      <c r="AA641" s="111" t="str">
        <f t="shared" si="4"/>
        <v/>
      </c>
      <c r="AB641" s="110" t="str">
        <f t="shared" si="5"/>
        <v/>
      </c>
      <c r="AC641" s="103" t="str">
        <f>if(X641,_xlfn.WORKDAY.INTL(X641,AC$7,"0000001",Holidays!A:A)+hour(X641)/24+MINUTE(X641)/1440,"")</f>
        <v/>
      </c>
      <c r="AD641" s="104"/>
      <c r="AE641" s="105"/>
      <c r="AF641" s="111" t="str">
        <f t="shared" si="6"/>
        <v/>
      </c>
      <c r="AG641" s="110" t="str">
        <f t="shared" si="7"/>
        <v/>
      </c>
      <c r="AH641" s="103" t="str">
        <f>if(AC641,if(and(hour(AC641+AH$7)&gt;9.5,(hour(AC641+AH$7)&lt;19.5)),AC641+AH$7,_xlfn.workday.intl(int(AC641),1,"0000001",Holidays!A:A)+hour(AC641+AH$7-$B$1)/24+minute(AC641)/1440),"")</f>
        <v/>
      </c>
      <c r="AI641" s="104"/>
      <c r="AJ641" s="105"/>
      <c r="AK641" s="111" t="str">
        <f t="shared" si="8"/>
        <v/>
      </c>
      <c r="AL641" s="112" t="str">
        <f t="shared" si="9"/>
        <v/>
      </c>
      <c r="AM641" s="113"/>
      <c r="AN641" s="291" t="s">
        <v>2540</v>
      </c>
      <c r="AO641" s="115"/>
      <c r="AP641" s="115"/>
      <c r="AQ641" s="115"/>
      <c r="AR641" s="115"/>
      <c r="AS641" s="115"/>
      <c r="AT641" s="115"/>
      <c r="AU641" s="115"/>
      <c r="AV641" s="115"/>
      <c r="AW641" s="115"/>
      <c r="AX641" s="115"/>
      <c r="AY641" s="115"/>
    </row>
    <row r="642">
      <c r="A642" s="95" t="str">
        <f t="shared" si="11"/>
        <v/>
      </c>
      <c r="B642" s="100"/>
      <c r="C642" s="97"/>
      <c r="D642" s="97"/>
      <c r="E642" s="97"/>
      <c r="F642" s="97"/>
      <c r="G642" s="97"/>
      <c r="H642" s="99"/>
      <c r="I642" s="100"/>
      <c r="J642" s="101"/>
      <c r="K642" s="100"/>
      <c r="L642" s="102"/>
      <c r="M642" s="103" t="str">
        <f>if(B642,if(and(hour(B642+M$7)&gt;9.5,(hour(B642+M$7)&lt;19.5)),B642+M$7,_xlfn.workday.intl(int(B642),1,"0000001",Holidays!A:A)+hour(B642+M$7-$B$1)/24+minute(B642)/1440),"")</f>
        <v/>
      </c>
      <c r="N642" s="104"/>
      <c r="O642" s="105"/>
      <c r="P642" s="106" t="str">
        <f t="shared" si="1"/>
        <v/>
      </c>
      <c r="Q642" s="107"/>
      <c r="R642" s="108"/>
      <c r="S642" s="103" t="str">
        <f>if(M642,if(and(hour(M642+S$7)&gt;9.5,(hour(M642+S$7)&lt;19.5)),M642+S$7,_xlfn.workday.intl(int(M642),1,"0000001",Holidays!A:A)+hour(M642+S$7-$B$1)/24+minute(M642)/1440),"")</f>
        <v/>
      </c>
      <c r="T642" s="104"/>
      <c r="U642" s="105"/>
      <c r="V642" s="109" t="str">
        <f t="shared" si="2"/>
        <v/>
      </c>
      <c r="W642" s="110" t="str">
        <f t="shared" si="3"/>
        <v/>
      </c>
      <c r="X642" s="103" t="str">
        <f>if(S642,if(and(hour(S642+X$7)&gt;9.5,(hour(S642+X$7)&lt;19.5)),S642+X$7,_xlfn.workday.intl(int(S642),1,"0000001",Holidays!A:A)+hour(S642+X$7-$B$1)/24+minute(S642)/1440),"")</f>
        <v/>
      </c>
      <c r="Y642" s="104"/>
      <c r="Z642" s="105"/>
      <c r="AA642" s="111" t="str">
        <f t="shared" si="4"/>
        <v/>
      </c>
      <c r="AB642" s="110" t="str">
        <f t="shared" si="5"/>
        <v/>
      </c>
      <c r="AC642" s="103" t="str">
        <f>if(X642,_xlfn.WORKDAY.INTL(X642,AC$7,"0000001",Holidays!A:A)+hour(X642)/24+MINUTE(X642)/1440,"")</f>
        <v/>
      </c>
      <c r="AD642" s="104"/>
      <c r="AE642" s="105"/>
      <c r="AF642" s="111" t="str">
        <f t="shared" si="6"/>
        <v/>
      </c>
      <c r="AG642" s="110" t="str">
        <f t="shared" si="7"/>
        <v/>
      </c>
      <c r="AH642" s="103" t="str">
        <f>if(AC642,if(and(hour(AC642+AH$7)&gt;9.5,(hour(AC642+AH$7)&lt;19.5)),AC642+AH$7,_xlfn.workday.intl(int(AC642),1,"0000001",Holidays!A:A)+hour(AC642+AH$7-$B$1)/24+minute(AC642)/1440),"")</f>
        <v/>
      </c>
      <c r="AI642" s="104"/>
      <c r="AJ642" s="105"/>
      <c r="AK642" s="111" t="str">
        <f t="shared" si="8"/>
        <v/>
      </c>
      <c r="AL642" s="112" t="str">
        <f t="shared" si="9"/>
        <v/>
      </c>
      <c r="AM642" s="113"/>
      <c r="AN642" s="291" t="s">
        <v>2540</v>
      </c>
      <c r="AO642" s="115"/>
      <c r="AP642" s="115"/>
      <c r="AQ642" s="115"/>
      <c r="AR642" s="115"/>
      <c r="AS642" s="115"/>
      <c r="AT642" s="115"/>
      <c r="AU642" s="115"/>
      <c r="AV642" s="115"/>
      <c r="AW642" s="115"/>
      <c r="AX642" s="115"/>
      <c r="AY642" s="115"/>
    </row>
    <row r="643">
      <c r="A643" s="95" t="str">
        <f t="shared" si="11"/>
        <v/>
      </c>
      <c r="B643" s="100"/>
      <c r="C643" s="97"/>
      <c r="D643" s="97"/>
      <c r="E643" s="97"/>
      <c r="F643" s="97"/>
      <c r="G643" s="97"/>
      <c r="H643" s="99"/>
      <c r="I643" s="100"/>
      <c r="J643" s="101"/>
      <c r="K643" s="100"/>
      <c r="L643" s="102"/>
      <c r="M643" s="103" t="str">
        <f>if(B643,if(and(hour(B643+M$7)&gt;9.5,(hour(B643+M$7)&lt;19.5)),B643+M$7,_xlfn.workday.intl(int(B643),1,"0000001",Holidays!A:A)+hour(B643+M$7-$B$1)/24+minute(B643)/1440),"")</f>
        <v/>
      </c>
      <c r="N643" s="104"/>
      <c r="O643" s="105"/>
      <c r="P643" s="106" t="str">
        <f t="shared" si="1"/>
        <v/>
      </c>
      <c r="Q643" s="107"/>
      <c r="R643" s="108"/>
      <c r="S643" s="103" t="str">
        <f>if(M643,if(and(hour(M643+S$7)&gt;9.5,(hour(M643+S$7)&lt;19.5)),M643+S$7,_xlfn.workday.intl(int(M643),1,"0000001",Holidays!A:A)+hour(M643+S$7-$B$1)/24+minute(M643)/1440),"")</f>
        <v/>
      </c>
      <c r="T643" s="104"/>
      <c r="U643" s="105"/>
      <c r="V643" s="109" t="str">
        <f t="shared" si="2"/>
        <v/>
      </c>
      <c r="W643" s="110" t="str">
        <f t="shared" si="3"/>
        <v/>
      </c>
      <c r="X643" s="103" t="str">
        <f>if(S643,if(and(hour(S643+X$7)&gt;9.5,(hour(S643+X$7)&lt;19.5)),S643+X$7,_xlfn.workday.intl(int(S643),1,"0000001",Holidays!A:A)+hour(S643+X$7-$B$1)/24+minute(S643)/1440),"")</f>
        <v/>
      </c>
      <c r="Y643" s="104"/>
      <c r="Z643" s="105"/>
      <c r="AA643" s="111" t="str">
        <f t="shared" si="4"/>
        <v/>
      </c>
      <c r="AB643" s="110" t="str">
        <f t="shared" si="5"/>
        <v/>
      </c>
      <c r="AC643" s="103" t="str">
        <f>if(X643,_xlfn.WORKDAY.INTL(X643,AC$7,"0000001",Holidays!A:A)+hour(X643)/24+MINUTE(X643)/1440,"")</f>
        <v/>
      </c>
      <c r="AD643" s="104"/>
      <c r="AE643" s="105"/>
      <c r="AF643" s="111" t="str">
        <f t="shared" si="6"/>
        <v/>
      </c>
      <c r="AG643" s="110" t="str">
        <f t="shared" si="7"/>
        <v/>
      </c>
      <c r="AH643" s="103" t="str">
        <f>if(AC643,if(and(hour(AC643+AH$7)&gt;9.5,(hour(AC643+AH$7)&lt;19.5)),AC643+AH$7,_xlfn.workday.intl(int(AC643),1,"0000001",Holidays!A:A)+hour(AC643+AH$7-$B$1)/24+minute(AC643)/1440),"")</f>
        <v/>
      </c>
      <c r="AI643" s="104"/>
      <c r="AJ643" s="105"/>
      <c r="AK643" s="111" t="str">
        <f t="shared" si="8"/>
        <v/>
      </c>
      <c r="AL643" s="112" t="str">
        <f t="shared" si="9"/>
        <v/>
      </c>
      <c r="AM643" s="113"/>
      <c r="AN643" s="291" t="s">
        <v>2540</v>
      </c>
      <c r="AO643" s="115"/>
      <c r="AP643" s="115"/>
      <c r="AQ643" s="115"/>
      <c r="AR643" s="115"/>
      <c r="AS643" s="115"/>
      <c r="AT643" s="115"/>
      <c r="AU643" s="115"/>
      <c r="AV643" s="115"/>
      <c r="AW643" s="115"/>
      <c r="AX643" s="115"/>
      <c r="AY643" s="115"/>
    </row>
    <row r="644">
      <c r="A644" s="95" t="str">
        <f t="shared" si="11"/>
        <v/>
      </c>
      <c r="B644" s="100"/>
      <c r="C644" s="97"/>
      <c r="D644" s="97"/>
      <c r="E644" s="97"/>
      <c r="F644" s="97"/>
      <c r="G644" s="97"/>
      <c r="H644" s="99"/>
      <c r="I644" s="100"/>
      <c r="J644" s="101"/>
      <c r="K644" s="100"/>
      <c r="L644" s="102"/>
      <c r="M644" s="103" t="str">
        <f>if(B644,if(and(hour(B644+M$7)&gt;9.5,(hour(B644+M$7)&lt;19.5)),B644+M$7,_xlfn.workday.intl(int(B644),1,"0000001",Holidays!A:A)+hour(B644+M$7-$B$1)/24+minute(B644)/1440),"")</f>
        <v/>
      </c>
      <c r="N644" s="104"/>
      <c r="O644" s="105"/>
      <c r="P644" s="106" t="str">
        <f t="shared" si="1"/>
        <v/>
      </c>
      <c r="Q644" s="107"/>
      <c r="R644" s="108"/>
      <c r="S644" s="103" t="str">
        <f>if(M644,if(and(hour(M644+S$7)&gt;9.5,(hour(M644+S$7)&lt;19.5)),M644+S$7,_xlfn.workday.intl(int(M644),1,"0000001",Holidays!A:A)+hour(M644+S$7-$B$1)/24+minute(M644)/1440),"")</f>
        <v/>
      </c>
      <c r="T644" s="104"/>
      <c r="U644" s="105"/>
      <c r="V644" s="109" t="str">
        <f t="shared" si="2"/>
        <v/>
      </c>
      <c r="W644" s="110" t="str">
        <f t="shared" si="3"/>
        <v/>
      </c>
      <c r="X644" s="103" t="str">
        <f>if(S644,if(and(hour(S644+X$7)&gt;9.5,(hour(S644+X$7)&lt;19.5)),S644+X$7,_xlfn.workday.intl(int(S644),1,"0000001",Holidays!A:A)+hour(S644+X$7-$B$1)/24+minute(S644)/1440),"")</f>
        <v/>
      </c>
      <c r="Y644" s="104"/>
      <c r="Z644" s="105"/>
      <c r="AA644" s="111" t="str">
        <f t="shared" si="4"/>
        <v/>
      </c>
      <c r="AB644" s="110" t="str">
        <f t="shared" si="5"/>
        <v/>
      </c>
      <c r="AC644" s="103" t="str">
        <f>if(X644,_xlfn.WORKDAY.INTL(X644,AC$7,"0000001",Holidays!A:A)+hour(X644)/24+MINUTE(X644)/1440,"")</f>
        <v/>
      </c>
      <c r="AD644" s="104"/>
      <c r="AE644" s="105"/>
      <c r="AF644" s="111" t="str">
        <f t="shared" si="6"/>
        <v/>
      </c>
      <c r="AG644" s="110" t="str">
        <f t="shared" si="7"/>
        <v/>
      </c>
      <c r="AH644" s="103" t="str">
        <f>if(AC644,if(and(hour(AC644+AH$7)&gt;9.5,(hour(AC644+AH$7)&lt;19.5)),AC644+AH$7,_xlfn.workday.intl(int(AC644),1,"0000001",Holidays!A:A)+hour(AC644+AH$7-$B$1)/24+minute(AC644)/1440),"")</f>
        <v/>
      </c>
      <c r="AI644" s="104"/>
      <c r="AJ644" s="105"/>
      <c r="AK644" s="111" t="str">
        <f t="shared" si="8"/>
        <v/>
      </c>
      <c r="AL644" s="112" t="str">
        <f t="shared" si="9"/>
        <v/>
      </c>
      <c r="AM644" s="113"/>
      <c r="AN644" s="291" t="s">
        <v>2540</v>
      </c>
      <c r="AO644" s="115"/>
      <c r="AP644" s="115"/>
      <c r="AQ644" s="115"/>
      <c r="AR644" s="115"/>
      <c r="AS644" s="115"/>
      <c r="AT644" s="115"/>
      <c r="AU644" s="115"/>
      <c r="AV644" s="115"/>
      <c r="AW644" s="115"/>
      <c r="AX644" s="115"/>
      <c r="AY644" s="115"/>
    </row>
    <row r="645">
      <c r="A645" s="95" t="str">
        <f t="shared" si="11"/>
        <v/>
      </c>
      <c r="B645" s="100"/>
      <c r="C645" s="97"/>
      <c r="D645" s="97"/>
      <c r="E645" s="97"/>
      <c r="F645" s="97"/>
      <c r="G645" s="97"/>
      <c r="H645" s="99"/>
      <c r="I645" s="100"/>
      <c r="J645" s="101"/>
      <c r="K645" s="100"/>
      <c r="L645" s="102"/>
      <c r="M645" s="103" t="str">
        <f>if(B645,if(and(hour(B645+M$7)&gt;9.5,(hour(B645+M$7)&lt;19.5)),B645+M$7,_xlfn.workday.intl(int(B645),1,"0000001",Holidays!A:A)+hour(B645+M$7-$B$1)/24+minute(B645)/1440),"")</f>
        <v/>
      </c>
      <c r="N645" s="104"/>
      <c r="O645" s="105"/>
      <c r="P645" s="106" t="str">
        <f t="shared" si="1"/>
        <v/>
      </c>
      <c r="Q645" s="107"/>
      <c r="R645" s="108"/>
      <c r="S645" s="103" t="str">
        <f>if(M645,if(and(hour(M645+S$7)&gt;9.5,(hour(M645+S$7)&lt;19.5)),M645+S$7,_xlfn.workday.intl(int(M645),1,"0000001",Holidays!A:A)+hour(M645+S$7-$B$1)/24+minute(M645)/1440),"")</f>
        <v/>
      </c>
      <c r="T645" s="104"/>
      <c r="U645" s="105"/>
      <c r="V645" s="109" t="str">
        <f t="shared" si="2"/>
        <v/>
      </c>
      <c r="W645" s="110" t="str">
        <f t="shared" si="3"/>
        <v/>
      </c>
      <c r="X645" s="103" t="str">
        <f>if(S645,if(and(hour(S645+X$7)&gt;9.5,(hour(S645+X$7)&lt;19.5)),S645+X$7,_xlfn.workday.intl(int(S645),1,"0000001",Holidays!A:A)+hour(S645+X$7-$B$1)/24+minute(S645)/1440),"")</f>
        <v/>
      </c>
      <c r="Y645" s="104"/>
      <c r="Z645" s="105"/>
      <c r="AA645" s="111" t="str">
        <f t="shared" si="4"/>
        <v/>
      </c>
      <c r="AB645" s="110" t="str">
        <f t="shared" si="5"/>
        <v/>
      </c>
      <c r="AC645" s="103" t="str">
        <f>if(X645,_xlfn.WORKDAY.INTL(X645,AC$7,"0000001",Holidays!A:A)+hour(X645)/24+MINUTE(X645)/1440,"")</f>
        <v/>
      </c>
      <c r="AD645" s="104"/>
      <c r="AE645" s="105"/>
      <c r="AF645" s="111" t="str">
        <f t="shared" si="6"/>
        <v/>
      </c>
      <c r="AG645" s="110" t="str">
        <f t="shared" si="7"/>
        <v/>
      </c>
      <c r="AH645" s="103" t="str">
        <f>if(AC645,if(and(hour(AC645+AH$7)&gt;9.5,(hour(AC645+AH$7)&lt;19.5)),AC645+AH$7,_xlfn.workday.intl(int(AC645),1,"0000001",Holidays!A:A)+hour(AC645+AH$7-$B$1)/24+minute(AC645)/1440),"")</f>
        <v/>
      </c>
      <c r="AI645" s="104"/>
      <c r="AJ645" s="105"/>
      <c r="AK645" s="111" t="str">
        <f t="shared" si="8"/>
        <v/>
      </c>
      <c r="AL645" s="112" t="str">
        <f t="shared" si="9"/>
        <v/>
      </c>
      <c r="AM645" s="113"/>
      <c r="AN645" s="291" t="s">
        <v>2540</v>
      </c>
      <c r="AO645" s="115"/>
      <c r="AP645" s="115"/>
      <c r="AQ645" s="115"/>
      <c r="AR645" s="115"/>
      <c r="AS645" s="115"/>
      <c r="AT645" s="115"/>
      <c r="AU645" s="115"/>
      <c r="AV645" s="115"/>
      <c r="AW645" s="115"/>
      <c r="AX645" s="115"/>
      <c r="AY645" s="115"/>
    </row>
    <row r="646">
      <c r="A646" s="95" t="str">
        <f t="shared" si="11"/>
        <v/>
      </c>
      <c r="B646" s="100"/>
      <c r="C646" s="97"/>
      <c r="D646" s="97"/>
      <c r="E646" s="97"/>
      <c r="F646" s="97"/>
      <c r="G646" s="97"/>
      <c r="H646" s="99"/>
      <c r="I646" s="100"/>
      <c r="J646" s="101"/>
      <c r="K646" s="100"/>
      <c r="L646" s="102"/>
      <c r="M646" s="103" t="str">
        <f>if(B646,if(and(hour(B646+M$7)&gt;9.5,(hour(B646+M$7)&lt;19.5)),B646+M$7,_xlfn.workday.intl(int(B646),1,"0000001",Holidays!A:A)+hour(B646+M$7-$B$1)/24+minute(B646)/1440),"")</f>
        <v/>
      </c>
      <c r="N646" s="104"/>
      <c r="O646" s="105"/>
      <c r="P646" s="106" t="str">
        <f t="shared" si="1"/>
        <v/>
      </c>
      <c r="Q646" s="107"/>
      <c r="R646" s="108"/>
      <c r="S646" s="103" t="str">
        <f>if(M646,if(and(hour(M646+S$7)&gt;9.5,(hour(M646+S$7)&lt;19.5)),M646+S$7,_xlfn.workday.intl(int(M646),1,"0000001",Holidays!A:A)+hour(M646+S$7-$B$1)/24+minute(M646)/1440),"")</f>
        <v/>
      </c>
      <c r="T646" s="104"/>
      <c r="U646" s="105"/>
      <c r="V646" s="109" t="str">
        <f t="shared" si="2"/>
        <v/>
      </c>
      <c r="W646" s="110" t="str">
        <f t="shared" si="3"/>
        <v/>
      </c>
      <c r="X646" s="103" t="str">
        <f>if(S646,if(and(hour(S646+X$7)&gt;9.5,(hour(S646+X$7)&lt;19.5)),S646+X$7,_xlfn.workday.intl(int(S646),1,"0000001",Holidays!A:A)+hour(S646+X$7-$B$1)/24+minute(S646)/1440),"")</f>
        <v/>
      </c>
      <c r="Y646" s="104"/>
      <c r="Z646" s="105"/>
      <c r="AA646" s="111" t="str">
        <f t="shared" si="4"/>
        <v/>
      </c>
      <c r="AB646" s="110" t="str">
        <f t="shared" si="5"/>
        <v/>
      </c>
      <c r="AC646" s="103" t="str">
        <f>if(X646,_xlfn.WORKDAY.INTL(X646,AC$7,"0000001",Holidays!A:A)+hour(X646)/24+MINUTE(X646)/1440,"")</f>
        <v/>
      </c>
      <c r="AD646" s="104"/>
      <c r="AE646" s="105"/>
      <c r="AF646" s="111" t="str">
        <f t="shared" si="6"/>
        <v/>
      </c>
      <c r="AG646" s="110" t="str">
        <f t="shared" si="7"/>
        <v/>
      </c>
      <c r="AH646" s="103" t="str">
        <f>if(AC646,if(and(hour(AC646+AH$7)&gt;9.5,(hour(AC646+AH$7)&lt;19.5)),AC646+AH$7,_xlfn.workday.intl(int(AC646),1,"0000001",Holidays!A:A)+hour(AC646+AH$7-$B$1)/24+minute(AC646)/1440),"")</f>
        <v/>
      </c>
      <c r="AI646" s="104"/>
      <c r="AJ646" s="105"/>
      <c r="AK646" s="111" t="str">
        <f t="shared" si="8"/>
        <v/>
      </c>
      <c r="AL646" s="112" t="str">
        <f t="shared" si="9"/>
        <v/>
      </c>
      <c r="AM646" s="113"/>
      <c r="AN646" s="291" t="s">
        <v>2540</v>
      </c>
      <c r="AO646" s="115"/>
      <c r="AP646" s="115"/>
      <c r="AQ646" s="115"/>
      <c r="AR646" s="115"/>
      <c r="AS646" s="115"/>
      <c r="AT646" s="115"/>
      <c r="AU646" s="115"/>
      <c r="AV646" s="115"/>
      <c r="AW646" s="115"/>
      <c r="AX646" s="115"/>
      <c r="AY646" s="115"/>
    </row>
    <row r="647">
      <c r="A647" s="95" t="str">
        <f t="shared" si="11"/>
        <v/>
      </c>
      <c r="B647" s="100"/>
      <c r="C647" s="97"/>
      <c r="D647" s="97"/>
      <c r="E647" s="97"/>
      <c r="F647" s="97"/>
      <c r="G647" s="97"/>
      <c r="H647" s="99"/>
      <c r="I647" s="100"/>
      <c r="J647" s="101"/>
      <c r="K647" s="100"/>
      <c r="L647" s="102"/>
      <c r="M647" s="103" t="str">
        <f>if(B647,if(and(hour(B647+M$7)&gt;9.5,(hour(B647+M$7)&lt;19.5)),B647+M$7,_xlfn.workday.intl(int(B647),1,"0000001",Holidays!A:A)+hour(B647+M$7-$B$1)/24+minute(B647)/1440),"")</f>
        <v/>
      </c>
      <c r="N647" s="104"/>
      <c r="O647" s="105"/>
      <c r="P647" s="106" t="str">
        <f t="shared" si="1"/>
        <v/>
      </c>
      <c r="Q647" s="107"/>
      <c r="R647" s="108"/>
      <c r="S647" s="103" t="str">
        <f>if(M647,if(and(hour(M647+S$7)&gt;9.5,(hour(M647+S$7)&lt;19.5)),M647+S$7,_xlfn.workday.intl(int(M647),1,"0000001",Holidays!A:A)+hour(M647+S$7-$B$1)/24+minute(M647)/1440),"")</f>
        <v/>
      </c>
      <c r="T647" s="104"/>
      <c r="U647" s="105"/>
      <c r="V647" s="109" t="str">
        <f t="shared" si="2"/>
        <v/>
      </c>
      <c r="W647" s="110" t="str">
        <f t="shared" si="3"/>
        <v/>
      </c>
      <c r="X647" s="103" t="str">
        <f>if(S647,if(and(hour(S647+X$7)&gt;9.5,(hour(S647+X$7)&lt;19.5)),S647+X$7,_xlfn.workday.intl(int(S647),1,"0000001",Holidays!A:A)+hour(S647+X$7-$B$1)/24+minute(S647)/1440),"")</f>
        <v/>
      </c>
      <c r="Y647" s="104"/>
      <c r="Z647" s="105"/>
      <c r="AA647" s="111" t="str">
        <f t="shared" si="4"/>
        <v/>
      </c>
      <c r="AB647" s="110" t="str">
        <f t="shared" si="5"/>
        <v/>
      </c>
      <c r="AC647" s="103" t="str">
        <f>if(X647,_xlfn.WORKDAY.INTL(X647,AC$7,"0000001",Holidays!A:A)+hour(X647)/24+MINUTE(X647)/1440,"")</f>
        <v/>
      </c>
      <c r="AD647" s="104"/>
      <c r="AE647" s="105"/>
      <c r="AF647" s="111" t="str">
        <f t="shared" si="6"/>
        <v/>
      </c>
      <c r="AG647" s="110" t="str">
        <f t="shared" si="7"/>
        <v/>
      </c>
      <c r="AH647" s="103" t="str">
        <f>if(AC647,if(and(hour(AC647+AH$7)&gt;9.5,(hour(AC647+AH$7)&lt;19.5)),AC647+AH$7,_xlfn.workday.intl(int(AC647),1,"0000001",Holidays!A:A)+hour(AC647+AH$7-$B$1)/24+minute(AC647)/1440),"")</f>
        <v/>
      </c>
      <c r="AI647" s="104"/>
      <c r="AJ647" s="105"/>
      <c r="AK647" s="111" t="str">
        <f t="shared" si="8"/>
        <v/>
      </c>
      <c r="AL647" s="112" t="str">
        <f t="shared" si="9"/>
        <v/>
      </c>
      <c r="AM647" s="113"/>
      <c r="AN647" s="291" t="s">
        <v>2540</v>
      </c>
      <c r="AO647" s="115"/>
      <c r="AP647" s="115"/>
      <c r="AQ647" s="115"/>
      <c r="AR647" s="115"/>
      <c r="AS647" s="115"/>
      <c r="AT647" s="115"/>
      <c r="AU647" s="115"/>
      <c r="AV647" s="115"/>
      <c r="AW647" s="115"/>
      <c r="AX647" s="115"/>
      <c r="AY647" s="115"/>
    </row>
    <row r="648">
      <c r="A648" s="95" t="str">
        <f t="shared" si="11"/>
        <v/>
      </c>
      <c r="B648" s="100"/>
      <c r="C648" s="97"/>
      <c r="D648" s="97"/>
      <c r="E648" s="97"/>
      <c r="F648" s="97"/>
      <c r="G648" s="97"/>
      <c r="H648" s="99"/>
      <c r="I648" s="100"/>
      <c r="J648" s="101"/>
      <c r="K648" s="100"/>
      <c r="L648" s="102"/>
      <c r="M648" s="103" t="str">
        <f>if(B648,if(and(hour(B648+M$7)&gt;9.5,(hour(B648+M$7)&lt;19.5)),B648+M$7,_xlfn.workday.intl(int(B648),1,"0000001",Holidays!A:A)+hour(B648+M$7-$B$1)/24+minute(B648)/1440),"")</f>
        <v/>
      </c>
      <c r="N648" s="104"/>
      <c r="O648" s="105"/>
      <c r="P648" s="106" t="str">
        <f t="shared" si="1"/>
        <v/>
      </c>
      <c r="Q648" s="107"/>
      <c r="R648" s="108"/>
      <c r="S648" s="103" t="str">
        <f>if(M648,if(and(hour(M648+S$7)&gt;9.5,(hour(M648+S$7)&lt;19.5)),M648+S$7,_xlfn.workday.intl(int(M648),1,"0000001",Holidays!A:A)+hour(M648+S$7-$B$1)/24+minute(M648)/1440),"")</f>
        <v/>
      </c>
      <c r="T648" s="104"/>
      <c r="U648" s="105"/>
      <c r="V648" s="109" t="str">
        <f t="shared" si="2"/>
        <v/>
      </c>
      <c r="W648" s="110" t="str">
        <f t="shared" si="3"/>
        <v/>
      </c>
      <c r="X648" s="103" t="str">
        <f>if(S648,if(and(hour(S648+X$7)&gt;9.5,(hour(S648+X$7)&lt;19.5)),S648+X$7,_xlfn.workday.intl(int(S648),1,"0000001",Holidays!A:A)+hour(S648+X$7-$B$1)/24+minute(S648)/1440),"")</f>
        <v/>
      </c>
      <c r="Y648" s="104"/>
      <c r="Z648" s="105"/>
      <c r="AA648" s="111" t="str">
        <f t="shared" si="4"/>
        <v/>
      </c>
      <c r="AB648" s="110" t="str">
        <f t="shared" si="5"/>
        <v/>
      </c>
      <c r="AC648" s="103" t="str">
        <f>if(X648,_xlfn.WORKDAY.INTL(X648,AC$7,"0000001",Holidays!A:A)+hour(X648)/24+MINUTE(X648)/1440,"")</f>
        <v/>
      </c>
      <c r="AD648" s="104"/>
      <c r="AE648" s="105"/>
      <c r="AF648" s="111" t="str">
        <f t="shared" si="6"/>
        <v/>
      </c>
      <c r="AG648" s="110" t="str">
        <f t="shared" si="7"/>
        <v/>
      </c>
      <c r="AH648" s="103" t="str">
        <f>if(AC648,if(and(hour(AC648+AH$7)&gt;9.5,(hour(AC648+AH$7)&lt;19.5)),AC648+AH$7,_xlfn.workday.intl(int(AC648),1,"0000001",Holidays!A:A)+hour(AC648+AH$7-$B$1)/24+minute(AC648)/1440),"")</f>
        <v/>
      </c>
      <c r="AI648" s="104"/>
      <c r="AJ648" s="105"/>
      <c r="AK648" s="111" t="str">
        <f t="shared" si="8"/>
        <v/>
      </c>
      <c r="AL648" s="112" t="str">
        <f t="shared" si="9"/>
        <v/>
      </c>
      <c r="AM648" s="113"/>
      <c r="AN648" s="291" t="s">
        <v>2540</v>
      </c>
      <c r="AO648" s="115"/>
      <c r="AP648" s="115"/>
      <c r="AQ648" s="115"/>
      <c r="AR648" s="115"/>
      <c r="AS648" s="115"/>
      <c r="AT648" s="115"/>
      <c r="AU648" s="115"/>
      <c r="AV648" s="115"/>
      <c r="AW648" s="115"/>
      <c r="AX648" s="115"/>
      <c r="AY648" s="115"/>
    </row>
    <row r="649">
      <c r="A649" s="95" t="str">
        <f t="shared" si="11"/>
        <v/>
      </c>
      <c r="B649" s="100"/>
      <c r="C649" s="97"/>
      <c r="D649" s="97"/>
      <c r="E649" s="97"/>
      <c r="F649" s="97"/>
      <c r="G649" s="97"/>
      <c r="H649" s="99"/>
      <c r="I649" s="100"/>
      <c r="J649" s="101"/>
      <c r="K649" s="100"/>
      <c r="L649" s="102"/>
      <c r="M649" s="103" t="str">
        <f>if(B649,if(and(hour(B649+M$7)&gt;9.5,(hour(B649+M$7)&lt;19.5)),B649+M$7,_xlfn.workday.intl(int(B649),1,"0000001",Holidays!A:A)+hour(B649+M$7-$B$1)/24+minute(B649)/1440),"")</f>
        <v/>
      </c>
      <c r="N649" s="104"/>
      <c r="O649" s="105"/>
      <c r="P649" s="106" t="str">
        <f t="shared" si="1"/>
        <v/>
      </c>
      <c r="Q649" s="107"/>
      <c r="R649" s="108"/>
      <c r="S649" s="103" t="str">
        <f>if(M649,if(and(hour(M649+S$7)&gt;9.5,(hour(M649+S$7)&lt;19.5)),M649+S$7,_xlfn.workday.intl(int(M649),1,"0000001",Holidays!A:A)+hour(M649+S$7-$B$1)/24+minute(M649)/1440),"")</f>
        <v/>
      </c>
      <c r="T649" s="104"/>
      <c r="U649" s="105"/>
      <c r="V649" s="109" t="str">
        <f t="shared" si="2"/>
        <v/>
      </c>
      <c r="W649" s="110" t="str">
        <f t="shared" si="3"/>
        <v/>
      </c>
      <c r="X649" s="103" t="str">
        <f>if(S649,if(and(hour(S649+X$7)&gt;9.5,(hour(S649+X$7)&lt;19.5)),S649+X$7,_xlfn.workday.intl(int(S649),1,"0000001",Holidays!A:A)+hour(S649+X$7-$B$1)/24+minute(S649)/1440),"")</f>
        <v/>
      </c>
      <c r="Y649" s="104"/>
      <c r="Z649" s="105"/>
      <c r="AA649" s="111" t="str">
        <f t="shared" si="4"/>
        <v/>
      </c>
      <c r="AB649" s="110" t="str">
        <f t="shared" si="5"/>
        <v/>
      </c>
      <c r="AC649" s="103" t="str">
        <f>if(X649,_xlfn.WORKDAY.INTL(X649,AC$7,"0000001",Holidays!A:A)+hour(X649)/24+MINUTE(X649)/1440,"")</f>
        <v/>
      </c>
      <c r="AD649" s="104"/>
      <c r="AE649" s="105"/>
      <c r="AF649" s="111" t="str">
        <f t="shared" si="6"/>
        <v/>
      </c>
      <c r="AG649" s="110" t="str">
        <f t="shared" si="7"/>
        <v/>
      </c>
      <c r="AH649" s="103" t="str">
        <f>if(AC649,if(and(hour(AC649+AH$7)&gt;9.5,(hour(AC649+AH$7)&lt;19.5)),AC649+AH$7,_xlfn.workday.intl(int(AC649),1,"0000001",Holidays!A:A)+hour(AC649+AH$7-$B$1)/24+minute(AC649)/1440),"")</f>
        <v/>
      </c>
      <c r="AI649" s="104"/>
      <c r="AJ649" s="105"/>
      <c r="AK649" s="111" t="str">
        <f t="shared" si="8"/>
        <v/>
      </c>
      <c r="AL649" s="112" t="str">
        <f t="shared" si="9"/>
        <v/>
      </c>
      <c r="AM649" s="113"/>
      <c r="AN649" s="291" t="s">
        <v>2540</v>
      </c>
      <c r="AO649" s="115"/>
      <c r="AP649" s="115"/>
      <c r="AQ649" s="115"/>
      <c r="AR649" s="115"/>
      <c r="AS649" s="115"/>
      <c r="AT649" s="115"/>
      <c r="AU649" s="115"/>
      <c r="AV649" s="115"/>
      <c r="AW649" s="115"/>
      <c r="AX649" s="115"/>
      <c r="AY649" s="115"/>
    </row>
    <row r="650">
      <c r="A650" s="95" t="str">
        <f t="shared" si="11"/>
        <v/>
      </c>
      <c r="B650" s="100"/>
      <c r="C650" s="97"/>
      <c r="D650" s="97"/>
      <c r="E650" s="97"/>
      <c r="F650" s="97"/>
      <c r="G650" s="97"/>
      <c r="H650" s="99"/>
      <c r="I650" s="100"/>
      <c r="J650" s="101"/>
      <c r="K650" s="100"/>
      <c r="L650" s="102"/>
      <c r="M650" s="103" t="str">
        <f>if(B650,if(and(hour(B650+M$7)&gt;9.5,(hour(B650+M$7)&lt;19.5)),B650+M$7,_xlfn.workday.intl(int(B650),1,"0000001",Holidays!A:A)+hour(B650+M$7-$B$1)/24+minute(B650)/1440),"")</f>
        <v/>
      </c>
      <c r="N650" s="104"/>
      <c r="O650" s="105"/>
      <c r="P650" s="106" t="str">
        <f t="shared" si="1"/>
        <v/>
      </c>
      <c r="Q650" s="107"/>
      <c r="R650" s="108"/>
      <c r="S650" s="103" t="str">
        <f>if(M650,if(and(hour(M650+S$7)&gt;9.5,(hour(M650+S$7)&lt;19.5)),M650+S$7,_xlfn.workday.intl(int(M650),1,"0000001",Holidays!A:A)+hour(M650+S$7-$B$1)/24+minute(M650)/1440),"")</f>
        <v/>
      </c>
      <c r="T650" s="104"/>
      <c r="U650" s="105"/>
      <c r="V650" s="109" t="str">
        <f t="shared" si="2"/>
        <v/>
      </c>
      <c r="W650" s="110" t="str">
        <f t="shared" si="3"/>
        <v/>
      </c>
      <c r="X650" s="103" t="str">
        <f>if(S650,if(and(hour(S650+X$7)&gt;9.5,(hour(S650+X$7)&lt;19.5)),S650+X$7,_xlfn.workday.intl(int(S650),1,"0000001",Holidays!A:A)+hour(S650+X$7-$B$1)/24+minute(S650)/1440),"")</f>
        <v/>
      </c>
      <c r="Y650" s="104"/>
      <c r="Z650" s="105"/>
      <c r="AA650" s="111" t="str">
        <f t="shared" si="4"/>
        <v/>
      </c>
      <c r="AB650" s="110" t="str">
        <f t="shared" si="5"/>
        <v/>
      </c>
      <c r="AC650" s="103" t="str">
        <f>if(X650,_xlfn.WORKDAY.INTL(X650,AC$7,"0000001",Holidays!A:A)+hour(X650)/24+MINUTE(X650)/1440,"")</f>
        <v/>
      </c>
      <c r="AD650" s="104"/>
      <c r="AE650" s="105"/>
      <c r="AF650" s="111" t="str">
        <f t="shared" si="6"/>
        <v/>
      </c>
      <c r="AG650" s="110" t="str">
        <f t="shared" si="7"/>
        <v/>
      </c>
      <c r="AH650" s="103" t="str">
        <f>if(AC650,if(and(hour(AC650+AH$7)&gt;9.5,(hour(AC650+AH$7)&lt;19.5)),AC650+AH$7,_xlfn.workday.intl(int(AC650),1,"0000001",Holidays!A:A)+hour(AC650+AH$7-$B$1)/24+minute(AC650)/1440),"")</f>
        <v/>
      </c>
      <c r="AI650" s="104"/>
      <c r="AJ650" s="105"/>
      <c r="AK650" s="111" t="str">
        <f t="shared" si="8"/>
        <v/>
      </c>
      <c r="AL650" s="112" t="str">
        <f t="shared" si="9"/>
        <v/>
      </c>
      <c r="AM650" s="113"/>
      <c r="AN650" s="291" t="s">
        <v>2540</v>
      </c>
      <c r="AO650" s="115"/>
      <c r="AP650" s="115"/>
      <c r="AQ650" s="115"/>
      <c r="AR650" s="115"/>
      <c r="AS650" s="115"/>
      <c r="AT650" s="115"/>
      <c r="AU650" s="115"/>
      <c r="AV650" s="115"/>
      <c r="AW650" s="115"/>
      <c r="AX650" s="115"/>
      <c r="AY650" s="115"/>
    </row>
    <row r="651">
      <c r="A651" s="95" t="str">
        <f t="shared" si="11"/>
        <v/>
      </c>
      <c r="B651" s="100"/>
      <c r="C651" s="97"/>
      <c r="D651" s="97"/>
      <c r="E651" s="97"/>
      <c r="F651" s="97"/>
      <c r="G651" s="97"/>
      <c r="H651" s="99"/>
      <c r="I651" s="100"/>
      <c r="J651" s="101"/>
      <c r="K651" s="100"/>
      <c r="L651" s="102"/>
      <c r="M651" s="103" t="str">
        <f>if(B651,if(and(hour(B651+M$7)&gt;9.5,(hour(B651+M$7)&lt;19.5)),B651+M$7,_xlfn.workday.intl(int(B651),1,"0000001",Holidays!A:A)+hour(B651+M$7-$B$1)/24+minute(B651)/1440),"")</f>
        <v/>
      </c>
      <c r="N651" s="104"/>
      <c r="O651" s="105"/>
      <c r="P651" s="106" t="str">
        <f t="shared" si="1"/>
        <v/>
      </c>
      <c r="Q651" s="107"/>
      <c r="R651" s="108"/>
      <c r="S651" s="103" t="str">
        <f>if(M651,if(and(hour(M651+S$7)&gt;9.5,(hour(M651+S$7)&lt;19.5)),M651+S$7,_xlfn.workday.intl(int(M651),1,"0000001",Holidays!A:A)+hour(M651+S$7-$B$1)/24+minute(M651)/1440),"")</f>
        <v/>
      </c>
      <c r="T651" s="104"/>
      <c r="U651" s="105"/>
      <c r="V651" s="109" t="str">
        <f t="shared" si="2"/>
        <v/>
      </c>
      <c r="W651" s="110" t="str">
        <f t="shared" si="3"/>
        <v/>
      </c>
      <c r="X651" s="103" t="str">
        <f>if(S651,if(and(hour(S651+X$7)&gt;9.5,(hour(S651+X$7)&lt;19.5)),S651+X$7,_xlfn.workday.intl(int(S651),1,"0000001",Holidays!A:A)+hour(S651+X$7-$B$1)/24+minute(S651)/1440),"")</f>
        <v/>
      </c>
      <c r="Y651" s="104"/>
      <c r="Z651" s="105"/>
      <c r="AA651" s="111" t="str">
        <f t="shared" si="4"/>
        <v/>
      </c>
      <c r="AB651" s="110" t="str">
        <f t="shared" si="5"/>
        <v/>
      </c>
      <c r="AC651" s="103" t="str">
        <f>if(X651,_xlfn.WORKDAY.INTL(X651,AC$7,"0000001",Holidays!A:A)+hour(X651)/24+MINUTE(X651)/1440,"")</f>
        <v/>
      </c>
      <c r="AD651" s="104"/>
      <c r="AE651" s="105"/>
      <c r="AF651" s="111" t="str">
        <f t="shared" si="6"/>
        <v/>
      </c>
      <c r="AG651" s="110" t="str">
        <f t="shared" si="7"/>
        <v/>
      </c>
      <c r="AH651" s="103" t="str">
        <f>if(AC651,if(and(hour(AC651+AH$7)&gt;9.5,(hour(AC651+AH$7)&lt;19.5)),AC651+AH$7,_xlfn.workday.intl(int(AC651),1,"0000001",Holidays!A:A)+hour(AC651+AH$7-$B$1)/24+minute(AC651)/1440),"")</f>
        <v/>
      </c>
      <c r="AI651" s="104"/>
      <c r="AJ651" s="105"/>
      <c r="AK651" s="111" t="str">
        <f t="shared" si="8"/>
        <v/>
      </c>
      <c r="AL651" s="112" t="str">
        <f t="shared" si="9"/>
        <v/>
      </c>
      <c r="AM651" s="113"/>
      <c r="AN651" s="291" t="s">
        <v>2540</v>
      </c>
      <c r="AO651" s="115"/>
      <c r="AP651" s="115"/>
      <c r="AQ651" s="115"/>
      <c r="AR651" s="115"/>
      <c r="AS651" s="115"/>
      <c r="AT651" s="115"/>
      <c r="AU651" s="115"/>
      <c r="AV651" s="115"/>
      <c r="AW651" s="115"/>
      <c r="AX651" s="115"/>
      <c r="AY651" s="115"/>
    </row>
    <row r="652">
      <c r="A652" s="95" t="str">
        <f t="shared" si="11"/>
        <v/>
      </c>
      <c r="B652" s="100"/>
      <c r="C652" s="97"/>
      <c r="D652" s="97"/>
      <c r="E652" s="97"/>
      <c r="F652" s="97"/>
      <c r="G652" s="97"/>
      <c r="H652" s="99"/>
      <c r="I652" s="100"/>
      <c r="J652" s="101"/>
      <c r="K652" s="100"/>
      <c r="L652" s="102"/>
      <c r="M652" s="103" t="str">
        <f>if(B652,if(and(hour(B652+M$7)&gt;9.5,(hour(B652+M$7)&lt;19.5)),B652+M$7,_xlfn.workday.intl(int(B652),1,"0000001",Holidays!A:A)+hour(B652+M$7-$B$1)/24+minute(B652)/1440),"")</f>
        <v/>
      </c>
      <c r="N652" s="104"/>
      <c r="O652" s="105"/>
      <c r="P652" s="106" t="str">
        <f t="shared" si="1"/>
        <v/>
      </c>
      <c r="Q652" s="107"/>
      <c r="R652" s="108"/>
      <c r="S652" s="103" t="str">
        <f>if(M652,if(and(hour(M652+S$7)&gt;9.5,(hour(M652+S$7)&lt;19.5)),M652+S$7,_xlfn.workday.intl(int(M652),1,"0000001",Holidays!A:A)+hour(M652+S$7-$B$1)/24+minute(M652)/1440),"")</f>
        <v/>
      </c>
      <c r="T652" s="104"/>
      <c r="U652" s="105"/>
      <c r="V652" s="109" t="str">
        <f t="shared" si="2"/>
        <v/>
      </c>
      <c r="W652" s="110" t="str">
        <f t="shared" si="3"/>
        <v/>
      </c>
      <c r="X652" s="103" t="str">
        <f>if(S652,if(and(hour(S652+X$7)&gt;9.5,(hour(S652+X$7)&lt;19.5)),S652+X$7,_xlfn.workday.intl(int(S652),1,"0000001",Holidays!A:A)+hour(S652+X$7-$B$1)/24+minute(S652)/1440),"")</f>
        <v/>
      </c>
      <c r="Y652" s="104"/>
      <c r="Z652" s="105"/>
      <c r="AA652" s="111" t="str">
        <f t="shared" si="4"/>
        <v/>
      </c>
      <c r="AB652" s="110" t="str">
        <f t="shared" si="5"/>
        <v/>
      </c>
      <c r="AC652" s="103" t="str">
        <f>if(X652,_xlfn.WORKDAY.INTL(X652,AC$7,"0000001",Holidays!A:A)+hour(X652)/24+MINUTE(X652)/1440,"")</f>
        <v/>
      </c>
      <c r="AD652" s="104"/>
      <c r="AE652" s="105"/>
      <c r="AF652" s="111" t="str">
        <f t="shared" si="6"/>
        <v/>
      </c>
      <c r="AG652" s="110" t="str">
        <f t="shared" si="7"/>
        <v/>
      </c>
      <c r="AH652" s="103" t="str">
        <f>if(AC652,if(and(hour(AC652+AH$7)&gt;9.5,(hour(AC652+AH$7)&lt;19.5)),AC652+AH$7,_xlfn.workday.intl(int(AC652),1,"0000001",Holidays!A:A)+hour(AC652+AH$7-$B$1)/24+minute(AC652)/1440),"")</f>
        <v/>
      </c>
      <c r="AI652" s="104"/>
      <c r="AJ652" s="105"/>
      <c r="AK652" s="111" t="str">
        <f t="shared" si="8"/>
        <v/>
      </c>
      <c r="AL652" s="112" t="str">
        <f t="shared" si="9"/>
        <v/>
      </c>
      <c r="AM652" s="113"/>
      <c r="AN652" s="291" t="s">
        <v>2540</v>
      </c>
      <c r="AO652" s="115"/>
      <c r="AP652" s="115"/>
      <c r="AQ652" s="115"/>
      <c r="AR652" s="115"/>
      <c r="AS652" s="115"/>
      <c r="AT652" s="115"/>
      <c r="AU652" s="115"/>
      <c r="AV652" s="115"/>
      <c r="AW652" s="115"/>
      <c r="AX652" s="115"/>
      <c r="AY652" s="115"/>
    </row>
    <row r="653">
      <c r="A653" s="95" t="str">
        <f t="shared" si="11"/>
        <v/>
      </c>
      <c r="B653" s="100"/>
      <c r="C653" s="97"/>
      <c r="D653" s="97"/>
      <c r="E653" s="97"/>
      <c r="F653" s="97"/>
      <c r="G653" s="97"/>
      <c r="H653" s="99"/>
      <c r="I653" s="100"/>
      <c r="J653" s="101"/>
      <c r="K653" s="100"/>
      <c r="L653" s="102"/>
      <c r="M653" s="103" t="str">
        <f>if(B653,if(and(hour(B653+M$7)&gt;9.5,(hour(B653+M$7)&lt;19.5)),B653+M$7,_xlfn.workday.intl(int(B653),1,"0000001",Holidays!A:A)+hour(B653+M$7-$B$1)/24+minute(B653)/1440),"")</f>
        <v/>
      </c>
      <c r="N653" s="104"/>
      <c r="O653" s="105"/>
      <c r="P653" s="106" t="str">
        <f t="shared" si="1"/>
        <v/>
      </c>
      <c r="Q653" s="107"/>
      <c r="R653" s="108"/>
      <c r="S653" s="103" t="str">
        <f>if(M653,if(and(hour(M653+S$7)&gt;9.5,(hour(M653+S$7)&lt;19.5)),M653+S$7,_xlfn.workday.intl(int(M653),1,"0000001",Holidays!A:A)+hour(M653+S$7-$B$1)/24+minute(M653)/1440),"")</f>
        <v/>
      </c>
      <c r="T653" s="104"/>
      <c r="U653" s="105"/>
      <c r="V653" s="109" t="str">
        <f t="shared" si="2"/>
        <v/>
      </c>
      <c r="W653" s="110" t="str">
        <f t="shared" si="3"/>
        <v/>
      </c>
      <c r="X653" s="103" t="str">
        <f>if(S653,if(and(hour(S653+X$7)&gt;9.5,(hour(S653+X$7)&lt;19.5)),S653+X$7,_xlfn.workday.intl(int(S653),1,"0000001",Holidays!A:A)+hour(S653+X$7-$B$1)/24+minute(S653)/1440),"")</f>
        <v/>
      </c>
      <c r="Y653" s="104"/>
      <c r="Z653" s="105"/>
      <c r="AA653" s="111" t="str">
        <f t="shared" si="4"/>
        <v/>
      </c>
      <c r="AB653" s="110" t="str">
        <f t="shared" si="5"/>
        <v/>
      </c>
      <c r="AC653" s="103" t="str">
        <f>if(X653,_xlfn.WORKDAY.INTL(X653,AC$7,"0000001",Holidays!A:A)+hour(X653)/24+MINUTE(X653)/1440,"")</f>
        <v/>
      </c>
      <c r="AD653" s="104"/>
      <c r="AE653" s="105"/>
      <c r="AF653" s="111" t="str">
        <f t="shared" si="6"/>
        <v/>
      </c>
      <c r="AG653" s="110" t="str">
        <f t="shared" si="7"/>
        <v/>
      </c>
      <c r="AH653" s="103" t="str">
        <f>if(AC653,if(and(hour(AC653+AH$7)&gt;9.5,(hour(AC653+AH$7)&lt;19.5)),AC653+AH$7,_xlfn.workday.intl(int(AC653),1,"0000001",Holidays!A:A)+hour(AC653+AH$7-$B$1)/24+minute(AC653)/1440),"")</f>
        <v/>
      </c>
      <c r="AI653" s="104"/>
      <c r="AJ653" s="105"/>
      <c r="AK653" s="111" t="str">
        <f t="shared" si="8"/>
        <v/>
      </c>
      <c r="AL653" s="112" t="str">
        <f t="shared" si="9"/>
        <v/>
      </c>
      <c r="AM653" s="113"/>
      <c r="AN653" s="291" t="s">
        <v>2540</v>
      </c>
      <c r="AO653" s="115"/>
      <c r="AP653" s="115"/>
      <c r="AQ653" s="115"/>
      <c r="AR653" s="115"/>
      <c r="AS653" s="115"/>
      <c r="AT653" s="115"/>
      <c r="AU653" s="115"/>
      <c r="AV653" s="115"/>
      <c r="AW653" s="115"/>
      <c r="AX653" s="115"/>
      <c r="AY653" s="115"/>
    </row>
    <row r="654">
      <c r="A654" s="95" t="str">
        <f t="shared" si="11"/>
        <v/>
      </c>
      <c r="B654" s="100"/>
      <c r="C654" s="97"/>
      <c r="D654" s="97"/>
      <c r="E654" s="97"/>
      <c r="F654" s="97"/>
      <c r="G654" s="97"/>
      <c r="H654" s="99"/>
      <c r="I654" s="100"/>
      <c r="J654" s="101"/>
      <c r="K654" s="100"/>
      <c r="L654" s="102"/>
      <c r="M654" s="103" t="str">
        <f>if(B654,if(and(hour(B654+M$7)&gt;9.5,(hour(B654+M$7)&lt;19.5)),B654+M$7,_xlfn.workday.intl(int(B654),1,"0000001",Holidays!A:A)+hour(B654+M$7-$B$1)/24+minute(B654)/1440),"")</f>
        <v/>
      </c>
      <c r="N654" s="104"/>
      <c r="O654" s="105"/>
      <c r="P654" s="106" t="str">
        <f t="shared" si="1"/>
        <v/>
      </c>
      <c r="Q654" s="107"/>
      <c r="R654" s="108"/>
      <c r="S654" s="103" t="str">
        <f>if(M654,if(and(hour(M654+S$7)&gt;9.5,(hour(M654+S$7)&lt;19.5)),M654+S$7,_xlfn.workday.intl(int(M654),1,"0000001",Holidays!A:A)+hour(M654+S$7-$B$1)/24+minute(M654)/1440),"")</f>
        <v/>
      </c>
      <c r="T654" s="104"/>
      <c r="U654" s="105"/>
      <c r="V654" s="109" t="str">
        <f t="shared" si="2"/>
        <v/>
      </c>
      <c r="W654" s="110" t="str">
        <f t="shared" si="3"/>
        <v/>
      </c>
      <c r="X654" s="103" t="str">
        <f>if(S654,if(and(hour(S654+X$7)&gt;9.5,(hour(S654+X$7)&lt;19.5)),S654+X$7,_xlfn.workday.intl(int(S654),1,"0000001",Holidays!A:A)+hour(S654+X$7-$B$1)/24+minute(S654)/1440),"")</f>
        <v/>
      </c>
      <c r="Y654" s="104"/>
      <c r="Z654" s="105"/>
      <c r="AA654" s="111" t="str">
        <f t="shared" si="4"/>
        <v/>
      </c>
      <c r="AB654" s="110" t="str">
        <f t="shared" si="5"/>
        <v/>
      </c>
      <c r="AC654" s="103" t="str">
        <f>if(X654,_xlfn.WORKDAY.INTL(X654,AC$7,"0000001",Holidays!A:A)+hour(X654)/24+MINUTE(X654)/1440,"")</f>
        <v/>
      </c>
      <c r="AD654" s="104"/>
      <c r="AE654" s="105"/>
      <c r="AF654" s="111" t="str">
        <f t="shared" si="6"/>
        <v/>
      </c>
      <c r="AG654" s="110" t="str">
        <f t="shared" si="7"/>
        <v/>
      </c>
      <c r="AH654" s="103" t="str">
        <f>if(AC654,if(and(hour(AC654+AH$7)&gt;9.5,(hour(AC654+AH$7)&lt;19.5)),AC654+AH$7,_xlfn.workday.intl(int(AC654),1,"0000001",Holidays!A:A)+hour(AC654+AH$7-$B$1)/24+minute(AC654)/1440),"")</f>
        <v/>
      </c>
      <c r="AI654" s="104"/>
      <c r="AJ654" s="105"/>
      <c r="AK654" s="111" t="str">
        <f t="shared" si="8"/>
        <v/>
      </c>
      <c r="AL654" s="112" t="str">
        <f t="shared" si="9"/>
        <v/>
      </c>
      <c r="AM654" s="113"/>
      <c r="AN654" s="291" t="s">
        <v>2540</v>
      </c>
      <c r="AO654" s="115"/>
      <c r="AP654" s="115"/>
      <c r="AQ654" s="115"/>
      <c r="AR654" s="115"/>
      <c r="AS654" s="115"/>
      <c r="AT654" s="115"/>
      <c r="AU654" s="115"/>
      <c r="AV654" s="115"/>
      <c r="AW654" s="115"/>
      <c r="AX654" s="115"/>
      <c r="AY654" s="115"/>
    </row>
    <row r="655">
      <c r="A655" s="95" t="str">
        <f t="shared" si="11"/>
        <v/>
      </c>
      <c r="B655" s="100"/>
      <c r="C655" s="97"/>
      <c r="D655" s="97"/>
      <c r="E655" s="97"/>
      <c r="F655" s="97"/>
      <c r="G655" s="97"/>
      <c r="H655" s="99"/>
      <c r="I655" s="100"/>
      <c r="J655" s="101"/>
      <c r="K655" s="100"/>
      <c r="L655" s="102"/>
      <c r="M655" s="103" t="str">
        <f>if(B655,if(and(hour(B655+M$7)&gt;9.5,(hour(B655+M$7)&lt;19.5)),B655+M$7,_xlfn.workday.intl(int(B655),1,"0000001",Holidays!A:A)+hour(B655+M$7-$B$1)/24+minute(B655)/1440),"")</f>
        <v/>
      </c>
      <c r="N655" s="104"/>
      <c r="O655" s="105"/>
      <c r="P655" s="106" t="str">
        <f t="shared" si="1"/>
        <v/>
      </c>
      <c r="Q655" s="107"/>
      <c r="R655" s="108"/>
      <c r="S655" s="103" t="str">
        <f>if(M655,if(and(hour(M655+S$7)&gt;9.5,(hour(M655+S$7)&lt;19.5)),M655+S$7,_xlfn.workday.intl(int(M655),1,"0000001",Holidays!A:A)+hour(M655+S$7-$B$1)/24+minute(M655)/1440),"")</f>
        <v/>
      </c>
      <c r="T655" s="104"/>
      <c r="U655" s="105"/>
      <c r="V655" s="109" t="str">
        <f t="shared" si="2"/>
        <v/>
      </c>
      <c r="W655" s="110" t="str">
        <f t="shared" si="3"/>
        <v/>
      </c>
      <c r="X655" s="103" t="str">
        <f>if(S655,if(and(hour(S655+X$7)&gt;9.5,(hour(S655+X$7)&lt;19.5)),S655+X$7,_xlfn.workday.intl(int(S655),1,"0000001",Holidays!A:A)+hour(S655+X$7-$B$1)/24+minute(S655)/1440),"")</f>
        <v/>
      </c>
      <c r="Y655" s="104"/>
      <c r="Z655" s="105"/>
      <c r="AA655" s="111" t="str">
        <f t="shared" si="4"/>
        <v/>
      </c>
      <c r="AB655" s="110" t="str">
        <f t="shared" si="5"/>
        <v/>
      </c>
      <c r="AC655" s="103" t="str">
        <f>if(X655,_xlfn.WORKDAY.INTL(X655,AC$7,"0000001",Holidays!A:A)+hour(X655)/24+MINUTE(X655)/1440,"")</f>
        <v/>
      </c>
      <c r="AD655" s="104"/>
      <c r="AE655" s="105"/>
      <c r="AF655" s="111" t="str">
        <f t="shared" si="6"/>
        <v/>
      </c>
      <c r="AG655" s="110" t="str">
        <f t="shared" si="7"/>
        <v/>
      </c>
      <c r="AH655" s="103" t="str">
        <f>if(AC655,if(and(hour(AC655+AH$7)&gt;9.5,(hour(AC655+AH$7)&lt;19.5)),AC655+AH$7,_xlfn.workday.intl(int(AC655),1,"0000001",Holidays!A:A)+hour(AC655+AH$7-$B$1)/24+minute(AC655)/1440),"")</f>
        <v/>
      </c>
      <c r="AI655" s="104"/>
      <c r="AJ655" s="105"/>
      <c r="AK655" s="111" t="str">
        <f t="shared" si="8"/>
        <v/>
      </c>
      <c r="AL655" s="112" t="str">
        <f t="shared" si="9"/>
        <v/>
      </c>
      <c r="AM655" s="113"/>
      <c r="AN655" s="291" t="s">
        <v>2540</v>
      </c>
      <c r="AO655" s="115"/>
      <c r="AP655" s="115"/>
      <c r="AQ655" s="115"/>
      <c r="AR655" s="115"/>
      <c r="AS655" s="115"/>
      <c r="AT655" s="115"/>
      <c r="AU655" s="115"/>
      <c r="AV655" s="115"/>
      <c r="AW655" s="115"/>
      <c r="AX655" s="115"/>
      <c r="AY655" s="115"/>
    </row>
    <row r="656">
      <c r="A656" s="95" t="str">
        <f t="shared" si="11"/>
        <v/>
      </c>
      <c r="B656" s="100"/>
      <c r="C656" s="97"/>
      <c r="D656" s="97"/>
      <c r="E656" s="97"/>
      <c r="F656" s="97"/>
      <c r="G656" s="97"/>
      <c r="H656" s="99"/>
      <c r="I656" s="100"/>
      <c r="J656" s="101"/>
      <c r="K656" s="100"/>
      <c r="L656" s="102"/>
      <c r="M656" s="103" t="str">
        <f>if(B656,if(and(hour(B656+M$7)&gt;9.5,(hour(B656+M$7)&lt;19.5)),B656+M$7,_xlfn.workday.intl(int(B656),1,"0000001",Holidays!A:A)+hour(B656+M$7-$B$1)/24+minute(B656)/1440),"")</f>
        <v/>
      </c>
      <c r="N656" s="104"/>
      <c r="O656" s="105"/>
      <c r="P656" s="106" t="str">
        <f t="shared" si="1"/>
        <v/>
      </c>
      <c r="Q656" s="107"/>
      <c r="R656" s="108"/>
      <c r="S656" s="103" t="str">
        <f>if(M656,if(and(hour(M656+S$7)&gt;9.5,(hour(M656+S$7)&lt;19.5)),M656+S$7,_xlfn.workday.intl(int(M656),1,"0000001",Holidays!A:A)+hour(M656+S$7-$B$1)/24+minute(M656)/1440),"")</f>
        <v/>
      </c>
      <c r="T656" s="104"/>
      <c r="U656" s="105"/>
      <c r="V656" s="109" t="str">
        <f t="shared" si="2"/>
        <v/>
      </c>
      <c r="W656" s="110" t="str">
        <f t="shared" si="3"/>
        <v/>
      </c>
      <c r="X656" s="103" t="str">
        <f>if(S656,if(and(hour(S656+X$7)&gt;9.5,(hour(S656+X$7)&lt;19.5)),S656+X$7,_xlfn.workday.intl(int(S656),1,"0000001",Holidays!A:A)+hour(S656+X$7-$B$1)/24+minute(S656)/1440),"")</f>
        <v/>
      </c>
      <c r="Y656" s="104"/>
      <c r="Z656" s="105"/>
      <c r="AA656" s="111" t="str">
        <f t="shared" si="4"/>
        <v/>
      </c>
      <c r="AB656" s="110" t="str">
        <f t="shared" si="5"/>
        <v/>
      </c>
      <c r="AC656" s="103" t="str">
        <f>if(X656,_xlfn.WORKDAY.INTL(X656,AC$7,"0000001",Holidays!A:A)+hour(X656)/24+MINUTE(X656)/1440,"")</f>
        <v/>
      </c>
      <c r="AD656" s="104"/>
      <c r="AE656" s="105"/>
      <c r="AF656" s="111" t="str">
        <f t="shared" si="6"/>
        <v/>
      </c>
      <c r="AG656" s="110" t="str">
        <f t="shared" si="7"/>
        <v/>
      </c>
      <c r="AH656" s="103" t="str">
        <f>if(AC656,if(and(hour(AC656+AH$7)&gt;9.5,(hour(AC656+AH$7)&lt;19.5)),AC656+AH$7,_xlfn.workday.intl(int(AC656),1,"0000001",Holidays!A:A)+hour(AC656+AH$7-$B$1)/24+minute(AC656)/1440),"")</f>
        <v/>
      </c>
      <c r="AI656" s="104"/>
      <c r="AJ656" s="105"/>
      <c r="AK656" s="111" t="str">
        <f t="shared" si="8"/>
        <v/>
      </c>
      <c r="AL656" s="112" t="str">
        <f t="shared" si="9"/>
        <v/>
      </c>
      <c r="AM656" s="113"/>
      <c r="AN656" s="291" t="s">
        <v>2540</v>
      </c>
      <c r="AO656" s="115"/>
      <c r="AP656" s="115"/>
      <c r="AQ656" s="115"/>
      <c r="AR656" s="115"/>
      <c r="AS656" s="115"/>
      <c r="AT656" s="115"/>
      <c r="AU656" s="115"/>
      <c r="AV656" s="115"/>
      <c r="AW656" s="115"/>
      <c r="AX656" s="115"/>
      <c r="AY656" s="115"/>
    </row>
    <row r="657">
      <c r="A657" s="95" t="str">
        <f t="shared" si="11"/>
        <v/>
      </c>
      <c r="B657" s="100"/>
      <c r="C657" s="97"/>
      <c r="D657" s="97"/>
      <c r="E657" s="97"/>
      <c r="F657" s="97"/>
      <c r="G657" s="97"/>
      <c r="H657" s="99"/>
      <c r="I657" s="100"/>
      <c r="J657" s="101"/>
      <c r="K657" s="100"/>
      <c r="L657" s="102"/>
      <c r="M657" s="103" t="str">
        <f>if(B657,if(and(hour(B657+M$7)&gt;9.5,(hour(B657+M$7)&lt;19.5)),B657+M$7,_xlfn.workday.intl(int(B657),1,"0000001",Holidays!A:A)+hour(B657+M$7-$B$1)/24+minute(B657)/1440),"")</f>
        <v/>
      </c>
      <c r="N657" s="104"/>
      <c r="O657" s="105"/>
      <c r="P657" s="106" t="str">
        <f t="shared" si="1"/>
        <v/>
      </c>
      <c r="Q657" s="107"/>
      <c r="R657" s="108"/>
      <c r="S657" s="103" t="str">
        <f>if(M657,if(and(hour(M657+S$7)&gt;9.5,(hour(M657+S$7)&lt;19.5)),M657+S$7,_xlfn.workday.intl(int(M657),1,"0000001",Holidays!A:A)+hour(M657+S$7-$B$1)/24+minute(M657)/1440),"")</f>
        <v/>
      </c>
      <c r="T657" s="104"/>
      <c r="U657" s="105"/>
      <c r="V657" s="109" t="str">
        <f t="shared" si="2"/>
        <v/>
      </c>
      <c r="W657" s="110" t="str">
        <f t="shared" si="3"/>
        <v/>
      </c>
      <c r="X657" s="103" t="str">
        <f>if(S657,if(and(hour(S657+X$7)&gt;9.5,(hour(S657+X$7)&lt;19.5)),S657+X$7,_xlfn.workday.intl(int(S657),1,"0000001",Holidays!A:A)+hour(S657+X$7-$B$1)/24+minute(S657)/1440),"")</f>
        <v/>
      </c>
      <c r="Y657" s="104"/>
      <c r="Z657" s="105"/>
      <c r="AA657" s="111" t="str">
        <f t="shared" si="4"/>
        <v/>
      </c>
      <c r="AB657" s="110" t="str">
        <f t="shared" si="5"/>
        <v/>
      </c>
      <c r="AC657" s="103" t="str">
        <f>if(X657,_xlfn.WORKDAY.INTL(X657,AC$7,"0000001",Holidays!A:A)+hour(X657)/24+MINUTE(X657)/1440,"")</f>
        <v/>
      </c>
      <c r="AD657" s="104"/>
      <c r="AE657" s="105"/>
      <c r="AF657" s="111" t="str">
        <f t="shared" si="6"/>
        <v/>
      </c>
      <c r="AG657" s="110" t="str">
        <f t="shared" si="7"/>
        <v/>
      </c>
      <c r="AH657" s="103" t="str">
        <f>if(AC657,if(and(hour(AC657+AH$7)&gt;9.5,(hour(AC657+AH$7)&lt;19.5)),AC657+AH$7,_xlfn.workday.intl(int(AC657),1,"0000001",Holidays!A:A)+hour(AC657+AH$7-$B$1)/24+minute(AC657)/1440),"")</f>
        <v/>
      </c>
      <c r="AI657" s="104"/>
      <c r="AJ657" s="105"/>
      <c r="AK657" s="111" t="str">
        <f t="shared" si="8"/>
        <v/>
      </c>
      <c r="AL657" s="112" t="str">
        <f t="shared" si="9"/>
        <v/>
      </c>
      <c r="AM657" s="113"/>
      <c r="AN657" s="291" t="s">
        <v>2540</v>
      </c>
      <c r="AO657" s="115"/>
      <c r="AP657" s="115"/>
      <c r="AQ657" s="115"/>
      <c r="AR657" s="115"/>
      <c r="AS657" s="115"/>
      <c r="AT657" s="115"/>
      <c r="AU657" s="115"/>
      <c r="AV657" s="115"/>
      <c r="AW657" s="115"/>
      <c r="AX657" s="115"/>
      <c r="AY657" s="115"/>
    </row>
    <row r="658">
      <c r="A658" s="95" t="str">
        <f t="shared" si="11"/>
        <v/>
      </c>
      <c r="B658" s="100"/>
      <c r="C658" s="97"/>
      <c r="D658" s="97"/>
      <c r="E658" s="97"/>
      <c r="F658" s="97"/>
      <c r="G658" s="97"/>
      <c r="H658" s="99"/>
      <c r="I658" s="100"/>
      <c r="J658" s="101"/>
      <c r="K658" s="100"/>
      <c r="L658" s="102"/>
      <c r="M658" s="103" t="str">
        <f>if(B658,if(and(hour(B658+M$7)&gt;9.5,(hour(B658+M$7)&lt;19.5)),B658+M$7,_xlfn.workday.intl(int(B658),1,"0000001",Holidays!A:A)+hour(B658+M$7-$B$1)/24+minute(B658)/1440),"")</f>
        <v/>
      </c>
      <c r="N658" s="104"/>
      <c r="O658" s="105"/>
      <c r="P658" s="106" t="str">
        <f t="shared" si="1"/>
        <v/>
      </c>
      <c r="Q658" s="107"/>
      <c r="R658" s="108"/>
      <c r="S658" s="103" t="str">
        <f>if(M658,if(and(hour(M658+S$7)&gt;9.5,(hour(M658+S$7)&lt;19.5)),M658+S$7,_xlfn.workday.intl(int(M658),1,"0000001",Holidays!A:A)+hour(M658+S$7-$B$1)/24+minute(M658)/1440),"")</f>
        <v/>
      </c>
      <c r="T658" s="104"/>
      <c r="U658" s="105"/>
      <c r="V658" s="109" t="str">
        <f t="shared" si="2"/>
        <v/>
      </c>
      <c r="W658" s="110" t="str">
        <f t="shared" si="3"/>
        <v/>
      </c>
      <c r="X658" s="103" t="str">
        <f>if(S658,if(and(hour(S658+X$7)&gt;9.5,(hour(S658+X$7)&lt;19.5)),S658+X$7,_xlfn.workday.intl(int(S658),1,"0000001",Holidays!A:A)+hour(S658+X$7-$B$1)/24+minute(S658)/1440),"")</f>
        <v/>
      </c>
      <c r="Y658" s="104"/>
      <c r="Z658" s="105"/>
      <c r="AA658" s="111" t="str">
        <f t="shared" si="4"/>
        <v/>
      </c>
      <c r="AB658" s="110" t="str">
        <f t="shared" si="5"/>
        <v/>
      </c>
      <c r="AC658" s="103" t="str">
        <f>if(X658,_xlfn.WORKDAY.INTL(X658,AC$7,"0000001",Holidays!A:A)+hour(X658)/24+MINUTE(X658)/1440,"")</f>
        <v/>
      </c>
      <c r="AD658" s="104"/>
      <c r="AE658" s="105"/>
      <c r="AF658" s="111" t="str">
        <f t="shared" si="6"/>
        <v/>
      </c>
      <c r="AG658" s="110" t="str">
        <f t="shared" si="7"/>
        <v/>
      </c>
      <c r="AH658" s="103" t="str">
        <f>if(AC658,if(and(hour(AC658+AH$7)&gt;9.5,(hour(AC658+AH$7)&lt;19.5)),AC658+AH$7,_xlfn.workday.intl(int(AC658),1,"0000001",Holidays!A:A)+hour(AC658+AH$7-$B$1)/24+minute(AC658)/1440),"")</f>
        <v/>
      </c>
      <c r="AI658" s="104"/>
      <c r="AJ658" s="105"/>
      <c r="AK658" s="111" t="str">
        <f t="shared" si="8"/>
        <v/>
      </c>
      <c r="AL658" s="112" t="str">
        <f t="shared" si="9"/>
        <v/>
      </c>
      <c r="AM658" s="113"/>
      <c r="AN658" s="291" t="s">
        <v>2540</v>
      </c>
      <c r="AO658" s="115"/>
      <c r="AP658" s="115"/>
      <c r="AQ658" s="115"/>
      <c r="AR658" s="115"/>
      <c r="AS658" s="115"/>
      <c r="AT658" s="115"/>
      <c r="AU658" s="115"/>
      <c r="AV658" s="115"/>
      <c r="AW658" s="115"/>
      <c r="AX658" s="115"/>
      <c r="AY658" s="115"/>
    </row>
    <row r="659">
      <c r="A659" s="95" t="str">
        <f t="shared" si="11"/>
        <v/>
      </c>
      <c r="B659" s="100"/>
      <c r="C659" s="97"/>
      <c r="D659" s="97"/>
      <c r="E659" s="97"/>
      <c r="F659" s="97"/>
      <c r="G659" s="97"/>
      <c r="H659" s="99"/>
      <c r="I659" s="100"/>
      <c r="J659" s="101"/>
      <c r="K659" s="100"/>
      <c r="L659" s="102"/>
      <c r="M659" s="103" t="str">
        <f>if(B659,if(and(hour(B659+M$7)&gt;9.5,(hour(B659+M$7)&lt;19.5)),B659+M$7,_xlfn.workday.intl(int(B659),1,"0000001",Holidays!A:A)+hour(B659+M$7-$B$1)/24+minute(B659)/1440),"")</f>
        <v/>
      </c>
      <c r="N659" s="104"/>
      <c r="O659" s="105"/>
      <c r="P659" s="106" t="str">
        <f t="shared" si="1"/>
        <v/>
      </c>
      <c r="Q659" s="107"/>
      <c r="R659" s="108"/>
      <c r="S659" s="103" t="str">
        <f>if(M659,if(and(hour(M659+S$7)&gt;9.5,(hour(M659+S$7)&lt;19.5)),M659+S$7,_xlfn.workday.intl(int(M659),1,"0000001",Holidays!A:A)+hour(M659+S$7-$B$1)/24+minute(M659)/1440),"")</f>
        <v/>
      </c>
      <c r="T659" s="104"/>
      <c r="U659" s="105"/>
      <c r="V659" s="109" t="str">
        <f t="shared" si="2"/>
        <v/>
      </c>
      <c r="W659" s="110" t="str">
        <f t="shared" si="3"/>
        <v/>
      </c>
      <c r="X659" s="103" t="str">
        <f>if(S659,if(and(hour(S659+X$7)&gt;9.5,(hour(S659+X$7)&lt;19.5)),S659+X$7,_xlfn.workday.intl(int(S659),1,"0000001",Holidays!A:A)+hour(S659+X$7-$B$1)/24+minute(S659)/1440),"")</f>
        <v/>
      </c>
      <c r="Y659" s="104"/>
      <c r="Z659" s="105"/>
      <c r="AA659" s="111" t="str">
        <f t="shared" si="4"/>
        <v/>
      </c>
      <c r="AB659" s="110" t="str">
        <f t="shared" si="5"/>
        <v/>
      </c>
      <c r="AC659" s="103" t="str">
        <f>if(X659,_xlfn.WORKDAY.INTL(X659,AC$7,"0000001",Holidays!A:A)+hour(X659)/24+MINUTE(X659)/1440,"")</f>
        <v/>
      </c>
      <c r="AD659" s="104"/>
      <c r="AE659" s="105"/>
      <c r="AF659" s="111" t="str">
        <f t="shared" si="6"/>
        <v/>
      </c>
      <c r="AG659" s="110" t="str">
        <f t="shared" si="7"/>
        <v/>
      </c>
      <c r="AH659" s="103" t="str">
        <f>if(AC659,if(and(hour(AC659+AH$7)&gt;9.5,(hour(AC659+AH$7)&lt;19.5)),AC659+AH$7,_xlfn.workday.intl(int(AC659),1,"0000001",Holidays!A:A)+hour(AC659+AH$7-$B$1)/24+minute(AC659)/1440),"")</f>
        <v/>
      </c>
      <c r="AI659" s="104"/>
      <c r="AJ659" s="105"/>
      <c r="AK659" s="111" t="str">
        <f t="shared" si="8"/>
        <v/>
      </c>
      <c r="AL659" s="112" t="str">
        <f t="shared" si="9"/>
        <v/>
      </c>
      <c r="AM659" s="113"/>
      <c r="AN659" s="291" t="s">
        <v>2540</v>
      </c>
      <c r="AO659" s="115"/>
      <c r="AP659" s="115"/>
      <c r="AQ659" s="115"/>
      <c r="AR659" s="115"/>
      <c r="AS659" s="115"/>
      <c r="AT659" s="115"/>
      <c r="AU659" s="115"/>
      <c r="AV659" s="115"/>
      <c r="AW659" s="115"/>
      <c r="AX659" s="115"/>
      <c r="AY659" s="115"/>
    </row>
    <row r="660">
      <c r="A660" s="95" t="str">
        <f t="shared" si="11"/>
        <v/>
      </c>
      <c r="B660" s="100"/>
      <c r="C660" s="97"/>
      <c r="D660" s="97"/>
      <c r="E660" s="97"/>
      <c r="F660" s="97"/>
      <c r="G660" s="97"/>
      <c r="H660" s="99"/>
      <c r="I660" s="100"/>
      <c r="J660" s="101"/>
      <c r="K660" s="100"/>
      <c r="L660" s="102"/>
      <c r="M660" s="103" t="str">
        <f>if(B660,if(and(hour(B660+M$7)&gt;9.5,(hour(B660+M$7)&lt;19.5)),B660+M$7,_xlfn.workday.intl(int(B660),1,"0000001",Holidays!A:A)+hour(B660+M$7-$B$1)/24+minute(B660)/1440),"")</f>
        <v/>
      </c>
      <c r="N660" s="104"/>
      <c r="O660" s="105"/>
      <c r="P660" s="106" t="str">
        <f t="shared" si="1"/>
        <v/>
      </c>
      <c r="Q660" s="107"/>
      <c r="R660" s="108"/>
      <c r="S660" s="103" t="str">
        <f>if(M660,if(and(hour(M660+S$7)&gt;9.5,(hour(M660+S$7)&lt;19.5)),M660+S$7,_xlfn.workday.intl(int(M660),1,"0000001",Holidays!A:A)+hour(M660+S$7-$B$1)/24+minute(M660)/1440),"")</f>
        <v/>
      </c>
      <c r="T660" s="104"/>
      <c r="U660" s="105"/>
      <c r="V660" s="109" t="str">
        <f t="shared" si="2"/>
        <v/>
      </c>
      <c r="W660" s="110" t="str">
        <f t="shared" si="3"/>
        <v/>
      </c>
      <c r="X660" s="103" t="str">
        <f>if(S660,if(and(hour(S660+X$7)&gt;9.5,(hour(S660+X$7)&lt;19.5)),S660+X$7,_xlfn.workday.intl(int(S660),1,"0000001",Holidays!A:A)+hour(S660+X$7-$B$1)/24+minute(S660)/1440),"")</f>
        <v/>
      </c>
      <c r="Y660" s="104"/>
      <c r="Z660" s="105"/>
      <c r="AA660" s="111" t="str">
        <f t="shared" si="4"/>
        <v/>
      </c>
      <c r="AB660" s="110" t="str">
        <f t="shared" si="5"/>
        <v/>
      </c>
      <c r="AC660" s="103" t="str">
        <f>if(X660,_xlfn.WORKDAY.INTL(X660,AC$7,"0000001",Holidays!A:A)+hour(X660)/24+MINUTE(X660)/1440,"")</f>
        <v/>
      </c>
      <c r="AD660" s="104"/>
      <c r="AE660" s="105"/>
      <c r="AF660" s="111" t="str">
        <f t="shared" si="6"/>
        <v/>
      </c>
      <c r="AG660" s="110" t="str">
        <f t="shared" si="7"/>
        <v/>
      </c>
      <c r="AH660" s="103" t="str">
        <f>if(AC660,if(and(hour(AC660+AH$7)&gt;9.5,(hour(AC660+AH$7)&lt;19.5)),AC660+AH$7,_xlfn.workday.intl(int(AC660),1,"0000001",Holidays!A:A)+hour(AC660+AH$7-$B$1)/24+minute(AC660)/1440),"")</f>
        <v/>
      </c>
      <c r="AI660" s="104"/>
      <c r="AJ660" s="105"/>
      <c r="AK660" s="111" t="str">
        <f t="shared" si="8"/>
        <v/>
      </c>
      <c r="AL660" s="112" t="str">
        <f t="shared" si="9"/>
        <v/>
      </c>
      <c r="AM660" s="113"/>
      <c r="AN660" s="291" t="s">
        <v>2540</v>
      </c>
      <c r="AO660" s="115"/>
      <c r="AP660" s="115"/>
      <c r="AQ660" s="115"/>
      <c r="AR660" s="115"/>
      <c r="AS660" s="115"/>
      <c r="AT660" s="115"/>
      <c r="AU660" s="115"/>
      <c r="AV660" s="115"/>
      <c r="AW660" s="115"/>
      <c r="AX660" s="115"/>
      <c r="AY660" s="115"/>
    </row>
    <row r="661">
      <c r="A661" s="95" t="str">
        <f t="shared" si="11"/>
        <v/>
      </c>
      <c r="B661" s="100"/>
      <c r="C661" s="97"/>
      <c r="D661" s="97"/>
      <c r="E661" s="97"/>
      <c r="F661" s="97"/>
      <c r="G661" s="97"/>
      <c r="H661" s="99"/>
      <c r="I661" s="100"/>
      <c r="J661" s="101"/>
      <c r="K661" s="100"/>
      <c r="L661" s="102"/>
      <c r="M661" s="103" t="str">
        <f>if(B661,if(and(hour(B661+M$7)&gt;9.5,(hour(B661+M$7)&lt;19.5)),B661+M$7,_xlfn.workday.intl(int(B661),1,"0000001",Holidays!A:A)+hour(B661+M$7-$B$1)/24+minute(B661)/1440),"")</f>
        <v/>
      </c>
      <c r="N661" s="104"/>
      <c r="O661" s="105"/>
      <c r="P661" s="106" t="str">
        <f t="shared" si="1"/>
        <v/>
      </c>
      <c r="Q661" s="107"/>
      <c r="R661" s="108"/>
      <c r="S661" s="103" t="str">
        <f>if(M661,if(and(hour(M661+S$7)&gt;9.5,(hour(M661+S$7)&lt;19.5)),M661+S$7,_xlfn.workday.intl(int(M661),1,"0000001",Holidays!A:A)+hour(M661+S$7-$B$1)/24+minute(M661)/1440),"")</f>
        <v/>
      </c>
      <c r="T661" s="104"/>
      <c r="U661" s="105"/>
      <c r="V661" s="109" t="str">
        <f t="shared" si="2"/>
        <v/>
      </c>
      <c r="W661" s="110" t="str">
        <f t="shared" si="3"/>
        <v/>
      </c>
      <c r="X661" s="103" t="str">
        <f>if(S661,if(and(hour(S661+X$7)&gt;9.5,(hour(S661+X$7)&lt;19.5)),S661+X$7,_xlfn.workday.intl(int(S661),1,"0000001",Holidays!A:A)+hour(S661+X$7-$B$1)/24+minute(S661)/1440),"")</f>
        <v/>
      </c>
      <c r="Y661" s="104"/>
      <c r="Z661" s="105"/>
      <c r="AA661" s="111" t="str">
        <f t="shared" si="4"/>
        <v/>
      </c>
      <c r="AB661" s="110" t="str">
        <f t="shared" si="5"/>
        <v/>
      </c>
      <c r="AC661" s="103" t="str">
        <f>if(X661,_xlfn.WORKDAY.INTL(X661,AC$7,"0000001",Holidays!A:A)+hour(X661)/24+MINUTE(X661)/1440,"")</f>
        <v/>
      </c>
      <c r="AD661" s="104"/>
      <c r="AE661" s="105"/>
      <c r="AF661" s="111" t="str">
        <f t="shared" si="6"/>
        <v/>
      </c>
      <c r="AG661" s="110" t="str">
        <f t="shared" si="7"/>
        <v/>
      </c>
      <c r="AH661" s="103" t="str">
        <f>if(AC661,if(and(hour(AC661+AH$7)&gt;9.5,(hour(AC661+AH$7)&lt;19.5)),AC661+AH$7,_xlfn.workday.intl(int(AC661),1,"0000001",Holidays!A:A)+hour(AC661+AH$7-$B$1)/24+minute(AC661)/1440),"")</f>
        <v/>
      </c>
      <c r="AI661" s="104"/>
      <c r="AJ661" s="105"/>
      <c r="AK661" s="111" t="str">
        <f t="shared" si="8"/>
        <v/>
      </c>
      <c r="AL661" s="112" t="str">
        <f t="shared" si="9"/>
        <v/>
      </c>
      <c r="AM661" s="113"/>
      <c r="AN661" s="291" t="s">
        <v>2540</v>
      </c>
      <c r="AO661" s="115"/>
      <c r="AP661" s="115"/>
      <c r="AQ661" s="115"/>
      <c r="AR661" s="115"/>
      <c r="AS661" s="115"/>
      <c r="AT661" s="115"/>
      <c r="AU661" s="115"/>
      <c r="AV661" s="115"/>
      <c r="AW661" s="115"/>
      <c r="AX661" s="115"/>
      <c r="AY661" s="115"/>
    </row>
    <row r="662">
      <c r="A662" s="95" t="str">
        <f t="shared" si="11"/>
        <v/>
      </c>
      <c r="B662" s="100"/>
      <c r="C662" s="97"/>
      <c r="D662" s="97"/>
      <c r="E662" s="97"/>
      <c r="F662" s="97"/>
      <c r="G662" s="97"/>
      <c r="H662" s="99"/>
      <c r="I662" s="100"/>
      <c r="J662" s="101"/>
      <c r="K662" s="100"/>
      <c r="L662" s="102"/>
      <c r="M662" s="103" t="str">
        <f>if(B662,if(and(hour(B662+M$7)&gt;9.5,(hour(B662+M$7)&lt;19.5)),B662+M$7,_xlfn.workday.intl(int(B662),1,"0000001",Holidays!A:A)+hour(B662+M$7-$B$1)/24+minute(B662)/1440),"")</f>
        <v/>
      </c>
      <c r="N662" s="104"/>
      <c r="O662" s="105"/>
      <c r="P662" s="106" t="str">
        <f t="shared" si="1"/>
        <v/>
      </c>
      <c r="Q662" s="107"/>
      <c r="R662" s="108"/>
      <c r="S662" s="103" t="str">
        <f>if(M662,if(and(hour(M662+S$7)&gt;9.5,(hour(M662+S$7)&lt;19.5)),M662+S$7,_xlfn.workday.intl(int(M662),1,"0000001",Holidays!A:A)+hour(M662+S$7-$B$1)/24+minute(M662)/1440),"")</f>
        <v/>
      </c>
      <c r="T662" s="104"/>
      <c r="U662" s="105"/>
      <c r="V662" s="109" t="str">
        <f t="shared" si="2"/>
        <v/>
      </c>
      <c r="W662" s="110" t="str">
        <f t="shared" si="3"/>
        <v/>
      </c>
      <c r="X662" s="103" t="str">
        <f>if(S662,if(and(hour(S662+X$7)&gt;9.5,(hour(S662+X$7)&lt;19.5)),S662+X$7,_xlfn.workday.intl(int(S662),1,"0000001",Holidays!A:A)+hour(S662+X$7-$B$1)/24+minute(S662)/1440),"")</f>
        <v/>
      </c>
      <c r="Y662" s="104"/>
      <c r="Z662" s="105"/>
      <c r="AA662" s="111" t="str">
        <f t="shared" si="4"/>
        <v/>
      </c>
      <c r="AB662" s="110" t="str">
        <f t="shared" si="5"/>
        <v/>
      </c>
      <c r="AC662" s="103" t="str">
        <f>if(X662,_xlfn.WORKDAY.INTL(X662,AC$7,"0000001",Holidays!A:A)+hour(X662)/24+MINUTE(X662)/1440,"")</f>
        <v/>
      </c>
      <c r="AD662" s="104"/>
      <c r="AE662" s="105"/>
      <c r="AF662" s="111" t="str">
        <f t="shared" si="6"/>
        <v/>
      </c>
      <c r="AG662" s="110" t="str">
        <f t="shared" si="7"/>
        <v/>
      </c>
      <c r="AH662" s="103" t="str">
        <f>if(AC662,if(and(hour(AC662+AH$7)&gt;9.5,(hour(AC662+AH$7)&lt;19.5)),AC662+AH$7,_xlfn.workday.intl(int(AC662),1,"0000001",Holidays!A:A)+hour(AC662+AH$7-$B$1)/24+minute(AC662)/1440),"")</f>
        <v/>
      </c>
      <c r="AI662" s="104"/>
      <c r="AJ662" s="105"/>
      <c r="AK662" s="111" t="str">
        <f t="shared" si="8"/>
        <v/>
      </c>
      <c r="AL662" s="112" t="str">
        <f t="shared" si="9"/>
        <v/>
      </c>
      <c r="AM662" s="113"/>
      <c r="AN662" s="291" t="s">
        <v>2540</v>
      </c>
      <c r="AO662" s="115"/>
      <c r="AP662" s="115"/>
      <c r="AQ662" s="115"/>
      <c r="AR662" s="115"/>
      <c r="AS662" s="115"/>
      <c r="AT662" s="115"/>
      <c r="AU662" s="115"/>
      <c r="AV662" s="115"/>
      <c r="AW662" s="115"/>
      <c r="AX662" s="115"/>
      <c r="AY662" s="115"/>
    </row>
    <row r="663">
      <c r="A663" s="95" t="str">
        <f t="shared" si="11"/>
        <v/>
      </c>
      <c r="B663" s="100"/>
      <c r="C663" s="97"/>
      <c r="D663" s="97"/>
      <c r="E663" s="97"/>
      <c r="F663" s="97"/>
      <c r="G663" s="97"/>
      <c r="H663" s="99"/>
      <c r="I663" s="100"/>
      <c r="J663" s="101"/>
      <c r="K663" s="100"/>
      <c r="L663" s="102"/>
      <c r="M663" s="103" t="str">
        <f>if(B663,if(and(hour(B663+M$7)&gt;9.5,(hour(B663+M$7)&lt;19.5)),B663+M$7,_xlfn.workday.intl(int(B663),1,"0000001",Holidays!A:A)+hour(B663+M$7-$B$1)/24+minute(B663)/1440),"")</f>
        <v/>
      </c>
      <c r="N663" s="104"/>
      <c r="O663" s="105"/>
      <c r="P663" s="106" t="str">
        <f t="shared" si="1"/>
        <v/>
      </c>
      <c r="Q663" s="107"/>
      <c r="R663" s="108"/>
      <c r="S663" s="103" t="str">
        <f>if(M663,if(and(hour(M663+S$7)&gt;9.5,(hour(M663+S$7)&lt;19.5)),M663+S$7,_xlfn.workday.intl(int(M663),1,"0000001",Holidays!A:A)+hour(M663+S$7-$B$1)/24+minute(M663)/1440),"")</f>
        <v/>
      </c>
      <c r="T663" s="104"/>
      <c r="U663" s="105"/>
      <c r="V663" s="109" t="str">
        <f t="shared" si="2"/>
        <v/>
      </c>
      <c r="W663" s="110" t="str">
        <f t="shared" si="3"/>
        <v/>
      </c>
      <c r="X663" s="103" t="str">
        <f>if(S663,if(and(hour(S663+X$7)&gt;9.5,(hour(S663+X$7)&lt;19.5)),S663+X$7,_xlfn.workday.intl(int(S663),1,"0000001",Holidays!A:A)+hour(S663+X$7-$B$1)/24+minute(S663)/1440),"")</f>
        <v/>
      </c>
      <c r="Y663" s="104"/>
      <c r="Z663" s="105"/>
      <c r="AA663" s="111" t="str">
        <f t="shared" si="4"/>
        <v/>
      </c>
      <c r="AB663" s="110" t="str">
        <f t="shared" si="5"/>
        <v/>
      </c>
      <c r="AC663" s="103" t="str">
        <f>if(X663,_xlfn.WORKDAY.INTL(X663,AC$7,"0000001",Holidays!A:A)+hour(X663)/24+MINUTE(X663)/1440,"")</f>
        <v/>
      </c>
      <c r="AD663" s="104"/>
      <c r="AE663" s="105"/>
      <c r="AF663" s="111" t="str">
        <f t="shared" si="6"/>
        <v/>
      </c>
      <c r="AG663" s="110" t="str">
        <f t="shared" si="7"/>
        <v/>
      </c>
      <c r="AH663" s="103" t="str">
        <f>if(AC663,if(and(hour(AC663+AH$7)&gt;9.5,(hour(AC663+AH$7)&lt;19.5)),AC663+AH$7,_xlfn.workday.intl(int(AC663),1,"0000001",Holidays!A:A)+hour(AC663+AH$7-$B$1)/24+minute(AC663)/1440),"")</f>
        <v/>
      </c>
      <c r="AI663" s="104"/>
      <c r="AJ663" s="105"/>
      <c r="AK663" s="111" t="str">
        <f t="shared" si="8"/>
        <v/>
      </c>
      <c r="AL663" s="112" t="str">
        <f t="shared" si="9"/>
        <v/>
      </c>
      <c r="AM663" s="113"/>
      <c r="AN663" s="291" t="s">
        <v>2540</v>
      </c>
      <c r="AO663" s="115"/>
      <c r="AP663" s="115"/>
      <c r="AQ663" s="115"/>
      <c r="AR663" s="115"/>
      <c r="AS663" s="115"/>
      <c r="AT663" s="115"/>
      <c r="AU663" s="115"/>
      <c r="AV663" s="115"/>
      <c r="AW663" s="115"/>
      <c r="AX663" s="115"/>
      <c r="AY663" s="115"/>
    </row>
    <row r="664">
      <c r="A664" s="95" t="str">
        <f t="shared" si="11"/>
        <v/>
      </c>
      <c r="B664" s="100"/>
      <c r="C664" s="97"/>
      <c r="D664" s="97"/>
      <c r="E664" s="97"/>
      <c r="F664" s="97"/>
      <c r="G664" s="97"/>
      <c r="H664" s="99"/>
      <c r="I664" s="100"/>
      <c r="J664" s="101"/>
      <c r="K664" s="100"/>
      <c r="L664" s="102"/>
      <c r="M664" s="103" t="str">
        <f>if(B664,if(and(hour(B664+M$7)&gt;9.5,(hour(B664+M$7)&lt;19.5)),B664+M$7,_xlfn.workday.intl(int(B664),1,"0000001",Holidays!A:A)+hour(B664+M$7-$B$1)/24+minute(B664)/1440),"")</f>
        <v/>
      </c>
      <c r="N664" s="104"/>
      <c r="O664" s="105"/>
      <c r="P664" s="106" t="str">
        <f t="shared" si="1"/>
        <v/>
      </c>
      <c r="Q664" s="107"/>
      <c r="R664" s="108"/>
      <c r="S664" s="103" t="str">
        <f>if(M664,if(and(hour(M664+S$7)&gt;9.5,(hour(M664+S$7)&lt;19.5)),M664+S$7,_xlfn.workday.intl(int(M664),1,"0000001",Holidays!A:A)+hour(M664+S$7-$B$1)/24+minute(M664)/1440),"")</f>
        <v/>
      </c>
      <c r="T664" s="104"/>
      <c r="U664" s="105"/>
      <c r="V664" s="109" t="str">
        <f t="shared" si="2"/>
        <v/>
      </c>
      <c r="W664" s="110" t="str">
        <f t="shared" si="3"/>
        <v/>
      </c>
      <c r="X664" s="103" t="str">
        <f>if(S664,if(and(hour(S664+X$7)&gt;9.5,(hour(S664+X$7)&lt;19.5)),S664+X$7,_xlfn.workday.intl(int(S664),1,"0000001",Holidays!A:A)+hour(S664+X$7-$B$1)/24+minute(S664)/1440),"")</f>
        <v/>
      </c>
      <c r="Y664" s="104"/>
      <c r="Z664" s="105"/>
      <c r="AA664" s="111" t="str">
        <f t="shared" si="4"/>
        <v/>
      </c>
      <c r="AB664" s="110" t="str">
        <f t="shared" si="5"/>
        <v/>
      </c>
      <c r="AC664" s="103" t="str">
        <f>if(X664,_xlfn.WORKDAY.INTL(X664,AC$7,"0000001",Holidays!A:A)+hour(X664)/24+MINUTE(X664)/1440,"")</f>
        <v/>
      </c>
      <c r="AD664" s="104"/>
      <c r="AE664" s="105"/>
      <c r="AF664" s="111" t="str">
        <f t="shared" si="6"/>
        <v/>
      </c>
      <c r="AG664" s="110" t="str">
        <f t="shared" si="7"/>
        <v/>
      </c>
      <c r="AH664" s="103" t="str">
        <f>if(AC664,if(and(hour(AC664+AH$7)&gt;9.5,(hour(AC664+AH$7)&lt;19.5)),AC664+AH$7,_xlfn.workday.intl(int(AC664),1,"0000001",Holidays!A:A)+hour(AC664+AH$7-$B$1)/24+minute(AC664)/1440),"")</f>
        <v/>
      </c>
      <c r="AI664" s="104"/>
      <c r="AJ664" s="105"/>
      <c r="AK664" s="111" t="str">
        <f t="shared" si="8"/>
        <v/>
      </c>
      <c r="AL664" s="112" t="str">
        <f t="shared" si="9"/>
        <v/>
      </c>
      <c r="AM664" s="113"/>
      <c r="AN664" s="291" t="s">
        <v>2540</v>
      </c>
      <c r="AO664" s="115"/>
      <c r="AP664" s="115"/>
      <c r="AQ664" s="115"/>
      <c r="AR664" s="115"/>
      <c r="AS664" s="115"/>
      <c r="AT664" s="115"/>
      <c r="AU664" s="115"/>
      <c r="AV664" s="115"/>
      <c r="AW664" s="115"/>
      <c r="AX664" s="115"/>
      <c r="AY664" s="115"/>
    </row>
    <row r="665">
      <c r="A665" s="95" t="str">
        <f t="shared" si="11"/>
        <v/>
      </c>
      <c r="B665" s="100"/>
      <c r="C665" s="97"/>
      <c r="D665" s="97"/>
      <c r="E665" s="97"/>
      <c r="F665" s="97"/>
      <c r="G665" s="97"/>
      <c r="H665" s="99"/>
      <c r="I665" s="100"/>
      <c r="J665" s="101"/>
      <c r="K665" s="100"/>
      <c r="L665" s="102"/>
      <c r="M665" s="103" t="str">
        <f>if(B665,if(and(hour(B665+M$7)&gt;9.5,(hour(B665+M$7)&lt;19.5)),B665+M$7,_xlfn.workday.intl(int(B665),1,"0000001",Holidays!A:A)+hour(B665+M$7-$B$1)/24+minute(B665)/1440),"")</f>
        <v/>
      </c>
      <c r="N665" s="104"/>
      <c r="O665" s="105"/>
      <c r="P665" s="106" t="str">
        <f t="shared" si="1"/>
        <v/>
      </c>
      <c r="Q665" s="107"/>
      <c r="R665" s="108"/>
      <c r="S665" s="103" t="str">
        <f>if(M665,if(and(hour(M665+S$7)&gt;9.5,(hour(M665+S$7)&lt;19.5)),M665+S$7,_xlfn.workday.intl(int(M665),1,"0000001",Holidays!A:A)+hour(M665+S$7-$B$1)/24+minute(M665)/1440),"")</f>
        <v/>
      </c>
      <c r="T665" s="104"/>
      <c r="U665" s="105"/>
      <c r="V665" s="109" t="str">
        <f t="shared" si="2"/>
        <v/>
      </c>
      <c r="W665" s="110" t="str">
        <f t="shared" si="3"/>
        <v/>
      </c>
      <c r="X665" s="103" t="str">
        <f>if(S665,if(and(hour(S665+X$7)&gt;9.5,(hour(S665+X$7)&lt;19.5)),S665+X$7,_xlfn.workday.intl(int(S665),1,"0000001",Holidays!A:A)+hour(S665+X$7-$B$1)/24+minute(S665)/1440),"")</f>
        <v/>
      </c>
      <c r="Y665" s="104"/>
      <c r="Z665" s="105"/>
      <c r="AA665" s="111" t="str">
        <f t="shared" si="4"/>
        <v/>
      </c>
      <c r="AB665" s="110" t="str">
        <f t="shared" si="5"/>
        <v/>
      </c>
      <c r="AC665" s="103" t="str">
        <f>if(X665,_xlfn.WORKDAY.INTL(X665,AC$7,"0000001",Holidays!A:A)+hour(X665)/24+MINUTE(X665)/1440,"")</f>
        <v/>
      </c>
      <c r="AD665" s="104"/>
      <c r="AE665" s="105"/>
      <c r="AF665" s="111" t="str">
        <f t="shared" si="6"/>
        <v/>
      </c>
      <c r="AG665" s="110" t="str">
        <f t="shared" si="7"/>
        <v/>
      </c>
      <c r="AH665" s="103" t="str">
        <f>if(AC665,if(and(hour(AC665+AH$7)&gt;9.5,(hour(AC665+AH$7)&lt;19.5)),AC665+AH$7,_xlfn.workday.intl(int(AC665),1,"0000001",Holidays!A:A)+hour(AC665+AH$7-$B$1)/24+minute(AC665)/1440),"")</f>
        <v/>
      </c>
      <c r="AI665" s="104"/>
      <c r="AJ665" s="105"/>
      <c r="AK665" s="111" t="str">
        <f t="shared" si="8"/>
        <v/>
      </c>
      <c r="AL665" s="112" t="str">
        <f t="shared" si="9"/>
        <v/>
      </c>
      <c r="AM665" s="113"/>
      <c r="AN665" s="291" t="s">
        <v>2540</v>
      </c>
      <c r="AO665" s="115"/>
      <c r="AP665" s="115"/>
      <c r="AQ665" s="115"/>
      <c r="AR665" s="115"/>
      <c r="AS665" s="115"/>
      <c r="AT665" s="115"/>
      <c r="AU665" s="115"/>
      <c r="AV665" s="115"/>
      <c r="AW665" s="115"/>
      <c r="AX665" s="115"/>
      <c r="AY665" s="115"/>
    </row>
    <row r="666">
      <c r="A666" s="95" t="str">
        <f t="shared" si="11"/>
        <v/>
      </c>
      <c r="B666" s="100"/>
      <c r="C666" s="97"/>
      <c r="D666" s="97"/>
      <c r="E666" s="97"/>
      <c r="F666" s="97"/>
      <c r="G666" s="97"/>
      <c r="H666" s="99"/>
      <c r="I666" s="100"/>
      <c r="J666" s="101"/>
      <c r="K666" s="100"/>
      <c r="L666" s="102"/>
      <c r="M666" s="103" t="str">
        <f>if(B666,if(and(hour(B666+M$7)&gt;9.5,(hour(B666+M$7)&lt;19.5)),B666+M$7,_xlfn.workday.intl(int(B666),1,"0000001",Holidays!A:A)+hour(B666+M$7-$B$1)/24+minute(B666)/1440),"")</f>
        <v/>
      </c>
      <c r="N666" s="104"/>
      <c r="O666" s="105"/>
      <c r="P666" s="106" t="str">
        <f t="shared" si="1"/>
        <v/>
      </c>
      <c r="Q666" s="107"/>
      <c r="R666" s="108"/>
      <c r="S666" s="103" t="str">
        <f>if(M666,if(and(hour(M666+S$7)&gt;9.5,(hour(M666+S$7)&lt;19.5)),M666+S$7,_xlfn.workday.intl(int(M666),1,"0000001",Holidays!A:A)+hour(M666+S$7-$B$1)/24+minute(M666)/1440),"")</f>
        <v/>
      </c>
      <c r="T666" s="104"/>
      <c r="U666" s="105"/>
      <c r="V666" s="109" t="str">
        <f t="shared" si="2"/>
        <v/>
      </c>
      <c r="W666" s="110" t="str">
        <f t="shared" si="3"/>
        <v/>
      </c>
      <c r="X666" s="103" t="str">
        <f>if(S666,if(and(hour(S666+X$7)&gt;9.5,(hour(S666+X$7)&lt;19.5)),S666+X$7,_xlfn.workday.intl(int(S666),1,"0000001",Holidays!A:A)+hour(S666+X$7-$B$1)/24+minute(S666)/1440),"")</f>
        <v/>
      </c>
      <c r="Y666" s="104"/>
      <c r="Z666" s="105"/>
      <c r="AA666" s="111" t="str">
        <f t="shared" si="4"/>
        <v/>
      </c>
      <c r="AB666" s="110" t="str">
        <f t="shared" si="5"/>
        <v/>
      </c>
      <c r="AC666" s="103" t="str">
        <f>if(X666,_xlfn.WORKDAY.INTL(X666,AC$7,"0000001",Holidays!A:A)+hour(X666)/24+MINUTE(X666)/1440,"")</f>
        <v/>
      </c>
      <c r="AD666" s="104"/>
      <c r="AE666" s="105"/>
      <c r="AF666" s="111" t="str">
        <f t="shared" si="6"/>
        <v/>
      </c>
      <c r="AG666" s="110" t="str">
        <f t="shared" si="7"/>
        <v/>
      </c>
      <c r="AH666" s="103" t="str">
        <f>if(AC666,if(and(hour(AC666+AH$7)&gt;9.5,(hour(AC666+AH$7)&lt;19.5)),AC666+AH$7,_xlfn.workday.intl(int(AC666),1,"0000001",Holidays!A:A)+hour(AC666+AH$7-$B$1)/24+minute(AC666)/1440),"")</f>
        <v/>
      </c>
      <c r="AI666" s="104"/>
      <c r="AJ666" s="105"/>
      <c r="AK666" s="111" t="str">
        <f t="shared" si="8"/>
        <v/>
      </c>
      <c r="AL666" s="112" t="str">
        <f t="shared" si="9"/>
        <v/>
      </c>
      <c r="AM666" s="113"/>
      <c r="AN666" s="291" t="s">
        <v>2540</v>
      </c>
      <c r="AO666" s="115"/>
      <c r="AP666" s="115"/>
      <c r="AQ666" s="115"/>
      <c r="AR666" s="115"/>
      <c r="AS666" s="115"/>
      <c r="AT666" s="115"/>
      <c r="AU666" s="115"/>
      <c r="AV666" s="115"/>
      <c r="AW666" s="115"/>
      <c r="AX666" s="115"/>
      <c r="AY666" s="115"/>
    </row>
    <row r="667">
      <c r="A667" s="95" t="str">
        <f t="shared" si="11"/>
        <v/>
      </c>
      <c r="B667" s="100"/>
      <c r="C667" s="97"/>
      <c r="D667" s="97"/>
      <c r="E667" s="97"/>
      <c r="F667" s="97"/>
      <c r="G667" s="97"/>
      <c r="H667" s="99"/>
      <c r="I667" s="100"/>
      <c r="J667" s="101"/>
      <c r="K667" s="100"/>
      <c r="L667" s="102"/>
      <c r="M667" s="103" t="str">
        <f>if(B667,if(and(hour(B667+M$7)&gt;9.5,(hour(B667+M$7)&lt;19.5)),B667+M$7,_xlfn.workday.intl(int(B667),1,"0000001",Holidays!A:A)+hour(B667+M$7-$B$1)/24+minute(B667)/1440),"")</f>
        <v/>
      </c>
      <c r="N667" s="104"/>
      <c r="O667" s="105"/>
      <c r="P667" s="106" t="str">
        <f t="shared" si="1"/>
        <v/>
      </c>
      <c r="Q667" s="107"/>
      <c r="R667" s="108"/>
      <c r="S667" s="103" t="str">
        <f>if(M667,if(and(hour(M667+S$7)&gt;9.5,(hour(M667+S$7)&lt;19.5)),M667+S$7,_xlfn.workday.intl(int(M667),1,"0000001",Holidays!A:A)+hour(M667+S$7-$B$1)/24+minute(M667)/1440),"")</f>
        <v/>
      </c>
      <c r="T667" s="104"/>
      <c r="U667" s="105"/>
      <c r="V667" s="109" t="str">
        <f t="shared" si="2"/>
        <v/>
      </c>
      <c r="W667" s="110" t="str">
        <f t="shared" si="3"/>
        <v/>
      </c>
      <c r="X667" s="103" t="str">
        <f>if(S667,if(and(hour(S667+X$7)&gt;9.5,(hour(S667+X$7)&lt;19.5)),S667+X$7,_xlfn.workday.intl(int(S667),1,"0000001",Holidays!A:A)+hour(S667+X$7-$B$1)/24+minute(S667)/1440),"")</f>
        <v/>
      </c>
      <c r="Y667" s="104"/>
      <c r="Z667" s="105"/>
      <c r="AA667" s="111" t="str">
        <f t="shared" si="4"/>
        <v/>
      </c>
      <c r="AB667" s="110" t="str">
        <f t="shared" si="5"/>
        <v/>
      </c>
      <c r="AC667" s="103" t="str">
        <f>if(X667,_xlfn.WORKDAY.INTL(X667,AC$7,"0000001",Holidays!A:A)+hour(X667)/24+MINUTE(X667)/1440,"")</f>
        <v/>
      </c>
      <c r="AD667" s="104"/>
      <c r="AE667" s="105"/>
      <c r="AF667" s="111" t="str">
        <f t="shared" si="6"/>
        <v/>
      </c>
      <c r="AG667" s="110" t="str">
        <f t="shared" si="7"/>
        <v/>
      </c>
      <c r="AH667" s="103" t="str">
        <f>if(AC667,if(and(hour(AC667+AH$7)&gt;9.5,(hour(AC667+AH$7)&lt;19.5)),AC667+AH$7,_xlfn.workday.intl(int(AC667),1,"0000001",Holidays!A:A)+hour(AC667+AH$7-$B$1)/24+minute(AC667)/1440),"")</f>
        <v/>
      </c>
      <c r="AI667" s="104"/>
      <c r="AJ667" s="105"/>
      <c r="AK667" s="111" t="str">
        <f t="shared" si="8"/>
        <v/>
      </c>
      <c r="AL667" s="112" t="str">
        <f t="shared" si="9"/>
        <v/>
      </c>
      <c r="AM667" s="113"/>
      <c r="AN667" s="291" t="s">
        <v>2540</v>
      </c>
      <c r="AO667" s="115"/>
      <c r="AP667" s="115"/>
      <c r="AQ667" s="115"/>
      <c r="AR667" s="115"/>
      <c r="AS667" s="115"/>
      <c r="AT667" s="115"/>
      <c r="AU667" s="115"/>
      <c r="AV667" s="115"/>
      <c r="AW667" s="115"/>
      <c r="AX667" s="115"/>
      <c r="AY667" s="115"/>
    </row>
    <row r="668">
      <c r="A668" s="95" t="str">
        <f t="shared" si="11"/>
        <v/>
      </c>
      <c r="B668" s="100"/>
      <c r="C668" s="97"/>
      <c r="D668" s="97"/>
      <c r="E668" s="97"/>
      <c r="F668" s="97"/>
      <c r="G668" s="97"/>
      <c r="H668" s="99"/>
      <c r="I668" s="100"/>
      <c r="J668" s="101"/>
      <c r="K668" s="100"/>
      <c r="L668" s="102"/>
      <c r="M668" s="103" t="str">
        <f>if(B668,if(and(hour(B668+M$7)&gt;9.5,(hour(B668+M$7)&lt;19.5)),B668+M$7,_xlfn.workday.intl(int(B668),1,"0000001",Holidays!A:A)+hour(B668+M$7-$B$1)/24+minute(B668)/1440),"")</f>
        <v/>
      </c>
      <c r="N668" s="104"/>
      <c r="O668" s="105"/>
      <c r="P668" s="106" t="str">
        <f t="shared" si="1"/>
        <v/>
      </c>
      <c r="Q668" s="107"/>
      <c r="R668" s="108"/>
      <c r="S668" s="103" t="str">
        <f>if(M668,if(and(hour(M668+S$7)&gt;9.5,(hour(M668+S$7)&lt;19.5)),M668+S$7,_xlfn.workday.intl(int(M668),1,"0000001",Holidays!A:A)+hour(M668+S$7-$B$1)/24+minute(M668)/1440),"")</f>
        <v/>
      </c>
      <c r="T668" s="104"/>
      <c r="U668" s="105"/>
      <c r="V668" s="109" t="str">
        <f t="shared" si="2"/>
        <v/>
      </c>
      <c r="W668" s="110" t="str">
        <f t="shared" si="3"/>
        <v/>
      </c>
      <c r="X668" s="103" t="str">
        <f>if(S668,if(and(hour(S668+X$7)&gt;9.5,(hour(S668+X$7)&lt;19.5)),S668+X$7,_xlfn.workday.intl(int(S668),1,"0000001",Holidays!A:A)+hour(S668+X$7-$B$1)/24+minute(S668)/1440),"")</f>
        <v/>
      </c>
      <c r="Y668" s="104"/>
      <c r="Z668" s="105"/>
      <c r="AA668" s="111" t="str">
        <f t="shared" si="4"/>
        <v/>
      </c>
      <c r="AB668" s="110" t="str">
        <f t="shared" si="5"/>
        <v/>
      </c>
      <c r="AC668" s="103" t="str">
        <f>if(X668,_xlfn.WORKDAY.INTL(X668,AC$7,"0000001",Holidays!A:A)+hour(X668)/24+MINUTE(X668)/1440,"")</f>
        <v/>
      </c>
      <c r="AD668" s="104"/>
      <c r="AE668" s="105"/>
      <c r="AF668" s="111" t="str">
        <f t="shared" si="6"/>
        <v/>
      </c>
      <c r="AG668" s="110" t="str">
        <f t="shared" si="7"/>
        <v/>
      </c>
      <c r="AH668" s="103" t="str">
        <f>if(AC668,if(and(hour(AC668+AH$7)&gt;9.5,(hour(AC668+AH$7)&lt;19.5)),AC668+AH$7,_xlfn.workday.intl(int(AC668),1,"0000001",Holidays!A:A)+hour(AC668+AH$7-$B$1)/24+minute(AC668)/1440),"")</f>
        <v/>
      </c>
      <c r="AI668" s="104"/>
      <c r="AJ668" s="105"/>
      <c r="AK668" s="111" t="str">
        <f t="shared" si="8"/>
        <v/>
      </c>
      <c r="AL668" s="112" t="str">
        <f t="shared" si="9"/>
        <v/>
      </c>
      <c r="AM668" s="113"/>
      <c r="AN668" s="291" t="s">
        <v>2540</v>
      </c>
      <c r="AO668" s="115"/>
      <c r="AP668" s="115"/>
      <c r="AQ668" s="115"/>
      <c r="AR668" s="115"/>
      <c r="AS668" s="115"/>
      <c r="AT668" s="115"/>
      <c r="AU668" s="115"/>
      <c r="AV668" s="115"/>
      <c r="AW668" s="115"/>
      <c r="AX668" s="115"/>
      <c r="AY668" s="115"/>
    </row>
    <row r="669">
      <c r="A669" s="95" t="str">
        <f t="shared" si="11"/>
        <v/>
      </c>
      <c r="B669" s="100"/>
      <c r="C669" s="97"/>
      <c r="D669" s="97"/>
      <c r="E669" s="97"/>
      <c r="F669" s="97"/>
      <c r="G669" s="97"/>
      <c r="H669" s="99"/>
      <c r="I669" s="100"/>
      <c r="J669" s="101"/>
      <c r="K669" s="100"/>
      <c r="L669" s="102"/>
      <c r="M669" s="103" t="str">
        <f>if(B669,if(and(hour(B669+M$7)&gt;9.5,(hour(B669+M$7)&lt;19.5)),B669+M$7,_xlfn.workday.intl(int(B669),1,"0000001",Holidays!A:A)+hour(B669+M$7-$B$1)/24+minute(B669)/1440),"")</f>
        <v/>
      </c>
      <c r="N669" s="104"/>
      <c r="O669" s="105"/>
      <c r="P669" s="106" t="str">
        <f t="shared" si="1"/>
        <v/>
      </c>
      <c r="Q669" s="107"/>
      <c r="R669" s="108"/>
      <c r="S669" s="103" t="str">
        <f>if(M669,if(and(hour(M669+S$7)&gt;9.5,(hour(M669+S$7)&lt;19.5)),M669+S$7,_xlfn.workday.intl(int(M669),1,"0000001",Holidays!A:A)+hour(M669+S$7-$B$1)/24+minute(M669)/1440),"")</f>
        <v/>
      </c>
      <c r="T669" s="104"/>
      <c r="U669" s="105"/>
      <c r="V669" s="109" t="str">
        <f t="shared" si="2"/>
        <v/>
      </c>
      <c r="W669" s="110" t="str">
        <f t="shared" si="3"/>
        <v/>
      </c>
      <c r="X669" s="103" t="str">
        <f>if(S669,if(and(hour(S669+X$7)&gt;9.5,(hour(S669+X$7)&lt;19.5)),S669+X$7,_xlfn.workday.intl(int(S669),1,"0000001",Holidays!A:A)+hour(S669+X$7-$B$1)/24+minute(S669)/1440),"")</f>
        <v/>
      </c>
      <c r="Y669" s="104"/>
      <c r="Z669" s="105"/>
      <c r="AA669" s="111" t="str">
        <f t="shared" si="4"/>
        <v/>
      </c>
      <c r="AB669" s="110" t="str">
        <f t="shared" si="5"/>
        <v/>
      </c>
      <c r="AC669" s="103" t="str">
        <f>if(X669,_xlfn.WORKDAY.INTL(X669,AC$7,"0000001",Holidays!A:A)+hour(X669)/24+MINUTE(X669)/1440,"")</f>
        <v/>
      </c>
      <c r="AD669" s="104"/>
      <c r="AE669" s="105"/>
      <c r="AF669" s="111" t="str">
        <f t="shared" si="6"/>
        <v/>
      </c>
      <c r="AG669" s="110" t="str">
        <f t="shared" si="7"/>
        <v/>
      </c>
      <c r="AH669" s="103" t="str">
        <f>if(AC669,if(and(hour(AC669+AH$7)&gt;9.5,(hour(AC669+AH$7)&lt;19.5)),AC669+AH$7,_xlfn.workday.intl(int(AC669),1,"0000001",Holidays!A:A)+hour(AC669+AH$7-$B$1)/24+minute(AC669)/1440),"")</f>
        <v/>
      </c>
      <c r="AI669" s="104"/>
      <c r="AJ669" s="105"/>
      <c r="AK669" s="111" t="str">
        <f t="shared" si="8"/>
        <v/>
      </c>
      <c r="AL669" s="112" t="str">
        <f t="shared" si="9"/>
        <v/>
      </c>
      <c r="AM669" s="113"/>
      <c r="AN669" s="291" t="s">
        <v>2540</v>
      </c>
      <c r="AO669" s="115"/>
      <c r="AP669" s="115"/>
      <c r="AQ669" s="115"/>
      <c r="AR669" s="115"/>
      <c r="AS669" s="115"/>
      <c r="AT669" s="115"/>
      <c r="AU669" s="115"/>
      <c r="AV669" s="115"/>
      <c r="AW669" s="115"/>
      <c r="AX669" s="115"/>
      <c r="AY669" s="115"/>
    </row>
    <row r="670">
      <c r="A670" s="95" t="str">
        <f t="shared" si="11"/>
        <v/>
      </c>
      <c r="B670" s="100"/>
      <c r="C670" s="97"/>
      <c r="D670" s="97"/>
      <c r="E670" s="97"/>
      <c r="F670" s="97"/>
      <c r="G670" s="97"/>
      <c r="H670" s="99"/>
      <c r="I670" s="100"/>
      <c r="J670" s="101"/>
      <c r="K670" s="100"/>
      <c r="L670" s="102"/>
      <c r="M670" s="103" t="str">
        <f>if(B670,if(and(hour(B670+M$7)&gt;9.5,(hour(B670+M$7)&lt;19.5)),B670+M$7,_xlfn.workday.intl(int(B670),1,"0000001",Holidays!A:A)+hour(B670+M$7-$B$1)/24+minute(B670)/1440),"")</f>
        <v/>
      </c>
      <c r="N670" s="104"/>
      <c r="O670" s="105"/>
      <c r="P670" s="106" t="str">
        <f t="shared" si="1"/>
        <v/>
      </c>
      <c r="Q670" s="107"/>
      <c r="R670" s="108"/>
      <c r="S670" s="103" t="str">
        <f>if(M670,if(and(hour(M670+S$7)&gt;9.5,(hour(M670+S$7)&lt;19.5)),M670+S$7,_xlfn.workday.intl(int(M670),1,"0000001",Holidays!A:A)+hour(M670+S$7-$B$1)/24+minute(M670)/1440),"")</f>
        <v/>
      </c>
      <c r="T670" s="104"/>
      <c r="U670" s="105"/>
      <c r="V670" s="109" t="str">
        <f t="shared" si="2"/>
        <v/>
      </c>
      <c r="W670" s="110" t="str">
        <f t="shared" si="3"/>
        <v/>
      </c>
      <c r="X670" s="103" t="str">
        <f>if(S670,if(and(hour(S670+X$7)&gt;9.5,(hour(S670+X$7)&lt;19.5)),S670+X$7,_xlfn.workday.intl(int(S670),1,"0000001",Holidays!A:A)+hour(S670+X$7-$B$1)/24+minute(S670)/1440),"")</f>
        <v/>
      </c>
      <c r="Y670" s="104"/>
      <c r="Z670" s="105"/>
      <c r="AA670" s="111" t="str">
        <f t="shared" si="4"/>
        <v/>
      </c>
      <c r="AB670" s="110" t="str">
        <f t="shared" si="5"/>
        <v/>
      </c>
      <c r="AC670" s="103" t="str">
        <f>if(X670,_xlfn.WORKDAY.INTL(X670,AC$7,"0000001",Holidays!A:A)+hour(X670)/24+MINUTE(X670)/1440,"")</f>
        <v/>
      </c>
      <c r="AD670" s="104"/>
      <c r="AE670" s="105"/>
      <c r="AF670" s="111" t="str">
        <f t="shared" si="6"/>
        <v/>
      </c>
      <c r="AG670" s="110" t="str">
        <f t="shared" si="7"/>
        <v/>
      </c>
      <c r="AH670" s="103" t="str">
        <f>if(AC670,if(and(hour(AC670+AH$7)&gt;9.5,(hour(AC670+AH$7)&lt;19.5)),AC670+AH$7,_xlfn.workday.intl(int(AC670),1,"0000001",Holidays!A:A)+hour(AC670+AH$7-$B$1)/24+minute(AC670)/1440),"")</f>
        <v/>
      </c>
      <c r="AI670" s="104"/>
      <c r="AJ670" s="105"/>
      <c r="AK670" s="111" t="str">
        <f t="shared" si="8"/>
        <v/>
      </c>
      <c r="AL670" s="112" t="str">
        <f t="shared" si="9"/>
        <v/>
      </c>
      <c r="AM670" s="113"/>
      <c r="AN670" s="291" t="s">
        <v>2540</v>
      </c>
      <c r="AO670" s="115"/>
      <c r="AP670" s="115"/>
      <c r="AQ670" s="115"/>
      <c r="AR670" s="115"/>
      <c r="AS670" s="115"/>
      <c r="AT670" s="115"/>
      <c r="AU670" s="115"/>
      <c r="AV670" s="115"/>
      <c r="AW670" s="115"/>
      <c r="AX670" s="115"/>
      <c r="AY670" s="115"/>
    </row>
    <row r="671">
      <c r="A671" s="95" t="str">
        <f t="shared" si="11"/>
        <v/>
      </c>
      <c r="B671" s="100"/>
      <c r="C671" s="97"/>
      <c r="D671" s="97"/>
      <c r="E671" s="97"/>
      <c r="F671" s="97"/>
      <c r="G671" s="97"/>
      <c r="H671" s="99"/>
      <c r="I671" s="100"/>
      <c r="J671" s="101"/>
      <c r="K671" s="100"/>
      <c r="L671" s="102"/>
      <c r="M671" s="103" t="str">
        <f>if(B671,if(and(hour(B671+M$7)&gt;9.5,(hour(B671+M$7)&lt;19.5)),B671+M$7,_xlfn.workday.intl(int(B671),1,"0000001",Holidays!A:A)+hour(B671+M$7-$B$1)/24+minute(B671)/1440),"")</f>
        <v/>
      </c>
      <c r="N671" s="104"/>
      <c r="O671" s="105"/>
      <c r="P671" s="106" t="str">
        <f t="shared" si="1"/>
        <v/>
      </c>
      <c r="Q671" s="107"/>
      <c r="R671" s="108"/>
      <c r="S671" s="103" t="str">
        <f>if(M671,if(and(hour(M671+S$7)&gt;9.5,(hour(M671+S$7)&lt;19.5)),M671+S$7,_xlfn.workday.intl(int(M671),1,"0000001",Holidays!A:A)+hour(M671+S$7-$B$1)/24+minute(M671)/1440),"")</f>
        <v/>
      </c>
      <c r="T671" s="104"/>
      <c r="U671" s="105"/>
      <c r="V671" s="109" t="str">
        <f t="shared" si="2"/>
        <v/>
      </c>
      <c r="W671" s="110" t="str">
        <f t="shared" si="3"/>
        <v/>
      </c>
      <c r="X671" s="103" t="str">
        <f>if(S671,if(and(hour(S671+X$7)&gt;9.5,(hour(S671+X$7)&lt;19.5)),S671+X$7,_xlfn.workday.intl(int(S671),1,"0000001",Holidays!A:A)+hour(S671+X$7-$B$1)/24+minute(S671)/1440),"")</f>
        <v/>
      </c>
      <c r="Y671" s="104"/>
      <c r="Z671" s="105"/>
      <c r="AA671" s="111" t="str">
        <f t="shared" si="4"/>
        <v/>
      </c>
      <c r="AB671" s="110" t="str">
        <f t="shared" si="5"/>
        <v/>
      </c>
      <c r="AC671" s="103" t="str">
        <f>if(X671,_xlfn.WORKDAY.INTL(X671,AC$7,"0000001",Holidays!A:A)+hour(X671)/24+MINUTE(X671)/1440,"")</f>
        <v/>
      </c>
      <c r="AD671" s="104"/>
      <c r="AE671" s="105"/>
      <c r="AF671" s="111" t="str">
        <f t="shared" si="6"/>
        <v/>
      </c>
      <c r="AG671" s="110" t="str">
        <f t="shared" si="7"/>
        <v/>
      </c>
      <c r="AH671" s="103" t="str">
        <f>if(AC671,if(and(hour(AC671+AH$7)&gt;9.5,(hour(AC671+AH$7)&lt;19.5)),AC671+AH$7,_xlfn.workday.intl(int(AC671),1,"0000001",Holidays!A:A)+hour(AC671+AH$7-$B$1)/24+minute(AC671)/1440),"")</f>
        <v/>
      </c>
      <c r="AI671" s="104"/>
      <c r="AJ671" s="105"/>
      <c r="AK671" s="111" t="str">
        <f t="shared" si="8"/>
        <v/>
      </c>
      <c r="AL671" s="112" t="str">
        <f t="shared" si="9"/>
        <v/>
      </c>
      <c r="AM671" s="113"/>
      <c r="AN671" s="291" t="s">
        <v>2540</v>
      </c>
      <c r="AO671" s="115"/>
      <c r="AP671" s="115"/>
      <c r="AQ671" s="115"/>
      <c r="AR671" s="115"/>
      <c r="AS671" s="115"/>
      <c r="AT671" s="115"/>
      <c r="AU671" s="115"/>
      <c r="AV671" s="115"/>
      <c r="AW671" s="115"/>
      <c r="AX671" s="115"/>
      <c r="AY671" s="115"/>
    </row>
    <row r="672">
      <c r="A672" s="95" t="str">
        <f t="shared" si="11"/>
        <v/>
      </c>
      <c r="B672" s="100"/>
      <c r="C672" s="97"/>
      <c r="D672" s="97"/>
      <c r="E672" s="97"/>
      <c r="F672" s="97"/>
      <c r="G672" s="97"/>
      <c r="H672" s="99"/>
      <c r="I672" s="100"/>
      <c r="J672" s="101"/>
      <c r="K672" s="100"/>
      <c r="L672" s="102"/>
      <c r="M672" s="103" t="str">
        <f>if(B672,if(and(hour(B672+M$7)&gt;9.5,(hour(B672+M$7)&lt;19.5)),B672+M$7,_xlfn.workday.intl(int(B672),1,"0000001",Holidays!A:A)+hour(B672+M$7-$B$1)/24+minute(B672)/1440),"")</f>
        <v/>
      </c>
      <c r="N672" s="104"/>
      <c r="O672" s="105"/>
      <c r="P672" s="106" t="str">
        <f t="shared" si="1"/>
        <v/>
      </c>
      <c r="Q672" s="107"/>
      <c r="R672" s="108"/>
      <c r="S672" s="103" t="str">
        <f>if(M672,if(and(hour(M672+S$7)&gt;9.5,(hour(M672+S$7)&lt;19.5)),M672+S$7,_xlfn.workday.intl(int(M672),1,"0000001",Holidays!A:A)+hour(M672+S$7-$B$1)/24+minute(M672)/1440),"")</f>
        <v/>
      </c>
      <c r="T672" s="104"/>
      <c r="U672" s="105"/>
      <c r="V672" s="109" t="str">
        <f t="shared" si="2"/>
        <v/>
      </c>
      <c r="W672" s="110" t="str">
        <f t="shared" si="3"/>
        <v/>
      </c>
      <c r="X672" s="103" t="str">
        <f>if(S672,if(and(hour(S672+X$7)&gt;9.5,(hour(S672+X$7)&lt;19.5)),S672+X$7,_xlfn.workday.intl(int(S672),1,"0000001",Holidays!A:A)+hour(S672+X$7-$B$1)/24+minute(S672)/1440),"")</f>
        <v/>
      </c>
      <c r="Y672" s="104"/>
      <c r="Z672" s="105"/>
      <c r="AA672" s="111" t="str">
        <f t="shared" si="4"/>
        <v/>
      </c>
      <c r="AB672" s="110" t="str">
        <f t="shared" si="5"/>
        <v/>
      </c>
      <c r="AC672" s="103" t="str">
        <f>if(X672,_xlfn.WORKDAY.INTL(X672,AC$7,"0000001",Holidays!A:A)+hour(X672)/24+MINUTE(X672)/1440,"")</f>
        <v/>
      </c>
      <c r="AD672" s="104"/>
      <c r="AE672" s="105"/>
      <c r="AF672" s="111" t="str">
        <f t="shared" si="6"/>
        <v/>
      </c>
      <c r="AG672" s="110" t="str">
        <f t="shared" si="7"/>
        <v/>
      </c>
      <c r="AH672" s="103" t="str">
        <f>if(AC672,if(and(hour(AC672+AH$7)&gt;9.5,(hour(AC672+AH$7)&lt;19.5)),AC672+AH$7,_xlfn.workday.intl(int(AC672),1,"0000001",Holidays!A:A)+hour(AC672+AH$7-$B$1)/24+minute(AC672)/1440),"")</f>
        <v/>
      </c>
      <c r="AI672" s="104"/>
      <c r="AJ672" s="105"/>
      <c r="AK672" s="111" t="str">
        <f t="shared" si="8"/>
        <v/>
      </c>
      <c r="AL672" s="112" t="str">
        <f t="shared" si="9"/>
        <v/>
      </c>
      <c r="AM672" s="113"/>
      <c r="AN672" s="291" t="s">
        <v>2540</v>
      </c>
      <c r="AO672" s="115"/>
      <c r="AP672" s="115"/>
      <c r="AQ672" s="115"/>
      <c r="AR672" s="115"/>
      <c r="AS672" s="115"/>
      <c r="AT672" s="115"/>
      <c r="AU672" s="115"/>
      <c r="AV672" s="115"/>
      <c r="AW672" s="115"/>
      <c r="AX672" s="115"/>
      <c r="AY672" s="115"/>
    </row>
    <row r="673">
      <c r="A673" s="95" t="str">
        <f t="shared" si="11"/>
        <v/>
      </c>
      <c r="B673" s="100"/>
      <c r="C673" s="97"/>
      <c r="D673" s="97"/>
      <c r="E673" s="97"/>
      <c r="F673" s="97"/>
      <c r="G673" s="97"/>
      <c r="H673" s="99"/>
      <c r="I673" s="100"/>
      <c r="J673" s="101"/>
      <c r="K673" s="100"/>
      <c r="L673" s="102"/>
      <c r="M673" s="103" t="str">
        <f>if(B673,if(and(hour(B673+M$7)&gt;9.5,(hour(B673+M$7)&lt;19.5)),B673+M$7,_xlfn.workday.intl(int(B673),1,"0000001",Holidays!A:A)+hour(B673+M$7-$B$1)/24+minute(B673)/1440),"")</f>
        <v/>
      </c>
      <c r="N673" s="104"/>
      <c r="O673" s="105"/>
      <c r="P673" s="106" t="str">
        <f t="shared" si="1"/>
        <v/>
      </c>
      <c r="Q673" s="107"/>
      <c r="R673" s="108"/>
      <c r="S673" s="103" t="str">
        <f>if(M673,if(and(hour(M673+S$7)&gt;9.5,(hour(M673+S$7)&lt;19.5)),M673+S$7,_xlfn.workday.intl(int(M673),1,"0000001",Holidays!A:A)+hour(M673+S$7-$B$1)/24+minute(M673)/1440),"")</f>
        <v/>
      </c>
      <c r="T673" s="104"/>
      <c r="U673" s="105"/>
      <c r="V673" s="109" t="str">
        <f t="shared" si="2"/>
        <v/>
      </c>
      <c r="W673" s="110" t="str">
        <f t="shared" si="3"/>
        <v/>
      </c>
      <c r="X673" s="103" t="str">
        <f>if(S673,if(and(hour(S673+X$7)&gt;9.5,(hour(S673+X$7)&lt;19.5)),S673+X$7,_xlfn.workday.intl(int(S673),1,"0000001",Holidays!A:A)+hour(S673+X$7-$B$1)/24+minute(S673)/1440),"")</f>
        <v/>
      </c>
      <c r="Y673" s="104"/>
      <c r="Z673" s="105"/>
      <c r="AA673" s="111" t="str">
        <f t="shared" si="4"/>
        <v/>
      </c>
      <c r="AB673" s="110" t="str">
        <f t="shared" si="5"/>
        <v/>
      </c>
      <c r="AC673" s="103" t="str">
        <f>if(X673,_xlfn.WORKDAY.INTL(X673,AC$7,"0000001",Holidays!A:A)+hour(X673)/24+MINUTE(X673)/1440,"")</f>
        <v/>
      </c>
      <c r="AD673" s="104"/>
      <c r="AE673" s="105"/>
      <c r="AF673" s="111" t="str">
        <f t="shared" si="6"/>
        <v/>
      </c>
      <c r="AG673" s="110" t="str">
        <f t="shared" si="7"/>
        <v/>
      </c>
      <c r="AH673" s="103" t="str">
        <f>if(AC673,if(and(hour(AC673+AH$7)&gt;9.5,(hour(AC673+AH$7)&lt;19.5)),AC673+AH$7,_xlfn.workday.intl(int(AC673),1,"0000001",Holidays!A:A)+hour(AC673+AH$7-$B$1)/24+minute(AC673)/1440),"")</f>
        <v/>
      </c>
      <c r="AI673" s="104"/>
      <c r="AJ673" s="105"/>
      <c r="AK673" s="111" t="str">
        <f t="shared" si="8"/>
        <v/>
      </c>
      <c r="AL673" s="112" t="str">
        <f t="shared" si="9"/>
        <v/>
      </c>
      <c r="AM673" s="113"/>
      <c r="AN673" s="291" t="s">
        <v>2540</v>
      </c>
      <c r="AO673" s="115"/>
      <c r="AP673" s="115"/>
      <c r="AQ673" s="115"/>
      <c r="AR673" s="115"/>
      <c r="AS673" s="115"/>
      <c r="AT673" s="115"/>
      <c r="AU673" s="115"/>
      <c r="AV673" s="115"/>
      <c r="AW673" s="115"/>
      <c r="AX673" s="115"/>
      <c r="AY673" s="115"/>
    </row>
    <row r="674">
      <c r="A674" s="95" t="str">
        <f t="shared" si="11"/>
        <v/>
      </c>
      <c r="B674" s="100"/>
      <c r="C674" s="97"/>
      <c r="D674" s="97"/>
      <c r="E674" s="97"/>
      <c r="F674" s="97"/>
      <c r="G674" s="97"/>
      <c r="H674" s="99"/>
      <c r="I674" s="100"/>
      <c r="J674" s="101"/>
      <c r="K674" s="100"/>
      <c r="L674" s="102"/>
      <c r="M674" s="103" t="str">
        <f>if(B674,if(and(hour(B674+M$7)&gt;9.5,(hour(B674+M$7)&lt;19.5)),B674+M$7,_xlfn.workday.intl(int(B674),1,"0000001",Holidays!A:A)+hour(B674+M$7-$B$1)/24+minute(B674)/1440),"")</f>
        <v/>
      </c>
      <c r="N674" s="104"/>
      <c r="O674" s="105"/>
      <c r="P674" s="106" t="str">
        <f t="shared" si="1"/>
        <v/>
      </c>
      <c r="Q674" s="107"/>
      <c r="R674" s="108"/>
      <c r="S674" s="103" t="str">
        <f>if(M674,if(and(hour(M674+S$7)&gt;9.5,(hour(M674+S$7)&lt;19.5)),M674+S$7,_xlfn.workday.intl(int(M674),1,"0000001",Holidays!A:A)+hour(M674+S$7-$B$1)/24+minute(M674)/1440),"")</f>
        <v/>
      </c>
      <c r="T674" s="104"/>
      <c r="U674" s="105"/>
      <c r="V674" s="109" t="str">
        <f t="shared" si="2"/>
        <v/>
      </c>
      <c r="W674" s="110" t="str">
        <f t="shared" si="3"/>
        <v/>
      </c>
      <c r="X674" s="103" t="str">
        <f>if(S674,if(and(hour(S674+X$7)&gt;9.5,(hour(S674+X$7)&lt;19.5)),S674+X$7,_xlfn.workday.intl(int(S674),1,"0000001",Holidays!A:A)+hour(S674+X$7-$B$1)/24+minute(S674)/1440),"")</f>
        <v/>
      </c>
      <c r="Y674" s="104"/>
      <c r="Z674" s="105"/>
      <c r="AA674" s="111" t="str">
        <f t="shared" si="4"/>
        <v/>
      </c>
      <c r="AB674" s="110" t="str">
        <f t="shared" si="5"/>
        <v/>
      </c>
      <c r="AC674" s="103" t="str">
        <f>if(X674,_xlfn.WORKDAY.INTL(X674,AC$7,"0000001",Holidays!A:A)+hour(X674)/24+MINUTE(X674)/1440,"")</f>
        <v/>
      </c>
      <c r="AD674" s="104"/>
      <c r="AE674" s="105"/>
      <c r="AF674" s="111" t="str">
        <f t="shared" si="6"/>
        <v/>
      </c>
      <c r="AG674" s="110" t="str">
        <f t="shared" si="7"/>
        <v/>
      </c>
      <c r="AH674" s="103" t="str">
        <f>if(AC674,if(and(hour(AC674+AH$7)&gt;9.5,(hour(AC674+AH$7)&lt;19.5)),AC674+AH$7,_xlfn.workday.intl(int(AC674),1,"0000001",Holidays!A:A)+hour(AC674+AH$7-$B$1)/24+minute(AC674)/1440),"")</f>
        <v/>
      </c>
      <c r="AI674" s="104"/>
      <c r="AJ674" s="105"/>
      <c r="AK674" s="111" t="str">
        <f t="shared" si="8"/>
        <v/>
      </c>
      <c r="AL674" s="112" t="str">
        <f t="shared" si="9"/>
        <v/>
      </c>
      <c r="AM674" s="113"/>
      <c r="AN674" s="291" t="s">
        <v>2540</v>
      </c>
      <c r="AO674" s="115"/>
      <c r="AP674" s="115"/>
      <c r="AQ674" s="115"/>
      <c r="AR674" s="115"/>
      <c r="AS674" s="115"/>
      <c r="AT674" s="115"/>
      <c r="AU674" s="115"/>
      <c r="AV674" s="115"/>
      <c r="AW674" s="115"/>
      <c r="AX674" s="115"/>
      <c r="AY674" s="115"/>
    </row>
    <row r="675">
      <c r="A675" s="95" t="str">
        <f t="shared" si="11"/>
        <v/>
      </c>
      <c r="B675" s="100"/>
      <c r="C675" s="97"/>
      <c r="D675" s="97"/>
      <c r="E675" s="97"/>
      <c r="F675" s="97"/>
      <c r="G675" s="97"/>
      <c r="H675" s="99"/>
      <c r="I675" s="100"/>
      <c r="J675" s="101"/>
      <c r="K675" s="100"/>
      <c r="L675" s="102"/>
      <c r="M675" s="103" t="str">
        <f>if(B675,if(and(hour(B675+M$7)&gt;9.5,(hour(B675+M$7)&lt;19.5)),B675+M$7,_xlfn.workday.intl(int(B675),1,"0000001",Holidays!A:A)+hour(B675+M$7-$B$1)/24+minute(B675)/1440),"")</f>
        <v/>
      </c>
      <c r="N675" s="104"/>
      <c r="O675" s="105"/>
      <c r="P675" s="106" t="str">
        <f t="shared" si="1"/>
        <v/>
      </c>
      <c r="Q675" s="107"/>
      <c r="R675" s="108"/>
      <c r="S675" s="103" t="str">
        <f>if(M675,if(and(hour(M675+S$7)&gt;9.5,(hour(M675+S$7)&lt;19.5)),M675+S$7,_xlfn.workday.intl(int(M675),1,"0000001",Holidays!A:A)+hour(M675+S$7-$B$1)/24+minute(M675)/1440),"")</f>
        <v/>
      </c>
      <c r="T675" s="104"/>
      <c r="U675" s="105"/>
      <c r="V675" s="109" t="str">
        <f t="shared" si="2"/>
        <v/>
      </c>
      <c r="W675" s="110" t="str">
        <f t="shared" si="3"/>
        <v/>
      </c>
      <c r="X675" s="103" t="str">
        <f>if(S675,if(and(hour(S675+X$7)&gt;9.5,(hour(S675+X$7)&lt;19.5)),S675+X$7,_xlfn.workday.intl(int(S675),1,"0000001",Holidays!A:A)+hour(S675+X$7-$B$1)/24+minute(S675)/1440),"")</f>
        <v/>
      </c>
      <c r="Y675" s="104"/>
      <c r="Z675" s="105"/>
      <c r="AA675" s="111" t="str">
        <f t="shared" si="4"/>
        <v/>
      </c>
      <c r="AB675" s="110" t="str">
        <f t="shared" si="5"/>
        <v/>
      </c>
      <c r="AC675" s="103" t="str">
        <f>if(X675,_xlfn.WORKDAY.INTL(X675,AC$7,"0000001",Holidays!A:A)+hour(X675)/24+MINUTE(X675)/1440,"")</f>
        <v/>
      </c>
      <c r="AD675" s="104"/>
      <c r="AE675" s="105"/>
      <c r="AF675" s="111" t="str">
        <f t="shared" si="6"/>
        <v/>
      </c>
      <c r="AG675" s="110" t="str">
        <f t="shared" si="7"/>
        <v/>
      </c>
      <c r="AH675" s="103" t="str">
        <f>if(AC675,if(and(hour(AC675+AH$7)&gt;9.5,(hour(AC675+AH$7)&lt;19.5)),AC675+AH$7,_xlfn.workday.intl(int(AC675),1,"0000001",Holidays!A:A)+hour(AC675+AH$7-$B$1)/24+minute(AC675)/1440),"")</f>
        <v/>
      </c>
      <c r="AI675" s="104"/>
      <c r="AJ675" s="105"/>
      <c r="AK675" s="111" t="str">
        <f t="shared" si="8"/>
        <v/>
      </c>
      <c r="AL675" s="112" t="str">
        <f t="shared" si="9"/>
        <v/>
      </c>
      <c r="AM675" s="113"/>
      <c r="AN675" s="291" t="s">
        <v>2540</v>
      </c>
      <c r="AO675" s="115"/>
      <c r="AP675" s="115"/>
      <c r="AQ675" s="115"/>
      <c r="AR675" s="115"/>
      <c r="AS675" s="115"/>
      <c r="AT675" s="115"/>
      <c r="AU675" s="115"/>
      <c r="AV675" s="115"/>
      <c r="AW675" s="115"/>
      <c r="AX675" s="115"/>
      <c r="AY675" s="115"/>
    </row>
    <row r="676">
      <c r="A676" s="95" t="str">
        <f t="shared" si="11"/>
        <v/>
      </c>
      <c r="B676" s="100"/>
      <c r="C676" s="97"/>
      <c r="D676" s="97"/>
      <c r="E676" s="97"/>
      <c r="F676" s="97"/>
      <c r="G676" s="97"/>
      <c r="H676" s="99"/>
      <c r="I676" s="100"/>
      <c r="J676" s="101"/>
      <c r="K676" s="100"/>
      <c r="L676" s="102"/>
      <c r="M676" s="103" t="str">
        <f>if(B676,if(and(hour(B676+M$7)&gt;9.5,(hour(B676+M$7)&lt;19.5)),B676+M$7,_xlfn.workday.intl(int(B676),1,"0000001",Holidays!A:A)+hour(B676+M$7-$B$1)/24+minute(B676)/1440),"")</f>
        <v/>
      </c>
      <c r="N676" s="104"/>
      <c r="O676" s="105"/>
      <c r="P676" s="106" t="str">
        <f t="shared" si="1"/>
        <v/>
      </c>
      <c r="Q676" s="107"/>
      <c r="R676" s="108"/>
      <c r="S676" s="103" t="str">
        <f>if(M676,if(and(hour(M676+S$7)&gt;9.5,(hour(M676+S$7)&lt;19.5)),M676+S$7,_xlfn.workday.intl(int(M676),1,"0000001",Holidays!A:A)+hour(M676+S$7-$B$1)/24+minute(M676)/1440),"")</f>
        <v/>
      </c>
      <c r="T676" s="104"/>
      <c r="U676" s="105"/>
      <c r="V676" s="109" t="str">
        <f t="shared" si="2"/>
        <v/>
      </c>
      <c r="W676" s="110" t="str">
        <f t="shared" si="3"/>
        <v/>
      </c>
      <c r="X676" s="103" t="str">
        <f>if(S676,if(and(hour(S676+X$7)&gt;9.5,(hour(S676+X$7)&lt;19.5)),S676+X$7,_xlfn.workday.intl(int(S676),1,"0000001",Holidays!A:A)+hour(S676+X$7-$B$1)/24+minute(S676)/1440),"")</f>
        <v/>
      </c>
      <c r="Y676" s="104"/>
      <c r="Z676" s="105"/>
      <c r="AA676" s="111" t="str">
        <f t="shared" si="4"/>
        <v/>
      </c>
      <c r="AB676" s="110" t="str">
        <f t="shared" si="5"/>
        <v/>
      </c>
      <c r="AC676" s="103" t="str">
        <f>if(X676,_xlfn.WORKDAY.INTL(X676,AC$7,"0000001",Holidays!A:A)+hour(X676)/24+MINUTE(X676)/1440,"")</f>
        <v/>
      </c>
      <c r="AD676" s="104"/>
      <c r="AE676" s="105"/>
      <c r="AF676" s="111" t="str">
        <f t="shared" si="6"/>
        <v/>
      </c>
      <c r="AG676" s="110" t="str">
        <f t="shared" si="7"/>
        <v/>
      </c>
      <c r="AH676" s="103" t="str">
        <f>if(AC676,if(and(hour(AC676+AH$7)&gt;9.5,(hour(AC676+AH$7)&lt;19.5)),AC676+AH$7,_xlfn.workday.intl(int(AC676),1,"0000001",Holidays!A:A)+hour(AC676+AH$7-$B$1)/24+minute(AC676)/1440),"")</f>
        <v/>
      </c>
      <c r="AI676" s="104"/>
      <c r="AJ676" s="105"/>
      <c r="AK676" s="111" t="str">
        <f t="shared" si="8"/>
        <v/>
      </c>
      <c r="AL676" s="112" t="str">
        <f t="shared" si="9"/>
        <v/>
      </c>
      <c r="AM676" s="113"/>
      <c r="AN676" s="291" t="s">
        <v>2540</v>
      </c>
      <c r="AO676" s="115"/>
      <c r="AP676" s="115"/>
      <c r="AQ676" s="115"/>
      <c r="AR676" s="115"/>
      <c r="AS676" s="115"/>
      <c r="AT676" s="115"/>
      <c r="AU676" s="115"/>
      <c r="AV676" s="115"/>
      <c r="AW676" s="115"/>
      <c r="AX676" s="115"/>
      <c r="AY676" s="115"/>
    </row>
    <row r="677">
      <c r="A677" s="95" t="str">
        <f t="shared" si="11"/>
        <v/>
      </c>
      <c r="B677" s="100"/>
      <c r="C677" s="97"/>
      <c r="D677" s="97"/>
      <c r="E677" s="97"/>
      <c r="F677" s="97"/>
      <c r="G677" s="97"/>
      <c r="H677" s="99"/>
      <c r="I677" s="100"/>
      <c r="J677" s="101"/>
      <c r="K677" s="100"/>
      <c r="L677" s="102"/>
      <c r="M677" s="103" t="str">
        <f>if(B677,if(and(hour(B677+M$7)&gt;9.5,(hour(B677+M$7)&lt;19.5)),B677+M$7,_xlfn.workday.intl(int(B677),1,"0000001",Holidays!A:A)+hour(B677+M$7-$B$1)/24+minute(B677)/1440),"")</f>
        <v/>
      </c>
      <c r="N677" s="104"/>
      <c r="O677" s="105"/>
      <c r="P677" s="106" t="str">
        <f t="shared" si="1"/>
        <v/>
      </c>
      <c r="Q677" s="107"/>
      <c r="R677" s="108"/>
      <c r="S677" s="103" t="str">
        <f>if(M677,if(and(hour(M677+S$7)&gt;9.5,(hour(M677+S$7)&lt;19.5)),M677+S$7,_xlfn.workday.intl(int(M677),1,"0000001",Holidays!A:A)+hour(M677+S$7-$B$1)/24+minute(M677)/1440),"")</f>
        <v/>
      </c>
      <c r="T677" s="104"/>
      <c r="U677" s="105"/>
      <c r="V677" s="109" t="str">
        <f t="shared" si="2"/>
        <v/>
      </c>
      <c r="W677" s="110" t="str">
        <f t="shared" si="3"/>
        <v/>
      </c>
      <c r="X677" s="103" t="str">
        <f>if(S677,if(and(hour(S677+X$7)&gt;9.5,(hour(S677+X$7)&lt;19.5)),S677+X$7,_xlfn.workday.intl(int(S677),1,"0000001",Holidays!A:A)+hour(S677+X$7-$B$1)/24+minute(S677)/1440),"")</f>
        <v/>
      </c>
      <c r="Y677" s="104"/>
      <c r="Z677" s="105"/>
      <c r="AA677" s="111" t="str">
        <f t="shared" si="4"/>
        <v/>
      </c>
      <c r="AB677" s="110" t="str">
        <f t="shared" si="5"/>
        <v/>
      </c>
      <c r="AC677" s="103" t="str">
        <f>if(X677,_xlfn.WORKDAY.INTL(X677,AC$7,"0000001",Holidays!A:A)+hour(X677)/24+MINUTE(X677)/1440,"")</f>
        <v/>
      </c>
      <c r="AD677" s="104"/>
      <c r="AE677" s="105"/>
      <c r="AF677" s="111" t="str">
        <f t="shared" si="6"/>
        <v/>
      </c>
      <c r="AG677" s="110" t="str">
        <f t="shared" si="7"/>
        <v/>
      </c>
      <c r="AH677" s="103" t="str">
        <f>if(AC677,if(and(hour(AC677+AH$7)&gt;9.5,(hour(AC677+AH$7)&lt;19.5)),AC677+AH$7,_xlfn.workday.intl(int(AC677),1,"0000001",Holidays!A:A)+hour(AC677+AH$7-$B$1)/24+minute(AC677)/1440),"")</f>
        <v/>
      </c>
      <c r="AI677" s="104"/>
      <c r="AJ677" s="105"/>
      <c r="AK677" s="111" t="str">
        <f t="shared" si="8"/>
        <v/>
      </c>
      <c r="AL677" s="112" t="str">
        <f t="shared" si="9"/>
        <v/>
      </c>
      <c r="AM677" s="113"/>
      <c r="AN677" s="291" t="s">
        <v>2540</v>
      </c>
      <c r="AO677" s="115"/>
      <c r="AP677" s="115"/>
      <c r="AQ677" s="115"/>
      <c r="AR677" s="115"/>
      <c r="AS677" s="115"/>
      <c r="AT677" s="115"/>
      <c r="AU677" s="115"/>
      <c r="AV677" s="115"/>
      <c r="AW677" s="115"/>
      <c r="AX677" s="115"/>
      <c r="AY677" s="115"/>
    </row>
    <row r="678">
      <c r="A678" s="95" t="str">
        <f t="shared" si="11"/>
        <v/>
      </c>
      <c r="B678" s="100"/>
      <c r="C678" s="97"/>
      <c r="D678" s="97"/>
      <c r="E678" s="97"/>
      <c r="F678" s="97"/>
      <c r="G678" s="97"/>
      <c r="H678" s="99"/>
      <c r="I678" s="100"/>
      <c r="J678" s="101"/>
      <c r="K678" s="100"/>
      <c r="L678" s="102"/>
      <c r="M678" s="103" t="str">
        <f>if(B678,if(and(hour(B678+M$7)&gt;9.5,(hour(B678+M$7)&lt;19.5)),B678+M$7,_xlfn.workday.intl(int(B678),1,"0000001",Holidays!A:A)+hour(B678+M$7-$B$1)/24+minute(B678)/1440),"")</f>
        <v/>
      </c>
      <c r="N678" s="104"/>
      <c r="O678" s="105"/>
      <c r="P678" s="106" t="str">
        <f t="shared" si="1"/>
        <v/>
      </c>
      <c r="Q678" s="107"/>
      <c r="R678" s="108"/>
      <c r="S678" s="103" t="str">
        <f>if(M678,if(and(hour(M678+S$7)&gt;9.5,(hour(M678+S$7)&lt;19.5)),M678+S$7,_xlfn.workday.intl(int(M678),1,"0000001",Holidays!A:A)+hour(M678+S$7-$B$1)/24+minute(M678)/1440),"")</f>
        <v/>
      </c>
      <c r="T678" s="104"/>
      <c r="U678" s="105"/>
      <c r="V678" s="109" t="str">
        <f t="shared" si="2"/>
        <v/>
      </c>
      <c r="W678" s="110" t="str">
        <f t="shared" si="3"/>
        <v/>
      </c>
      <c r="X678" s="103" t="str">
        <f>if(S678,if(and(hour(S678+X$7)&gt;9.5,(hour(S678+X$7)&lt;19.5)),S678+X$7,_xlfn.workday.intl(int(S678),1,"0000001",Holidays!A:A)+hour(S678+X$7-$B$1)/24+minute(S678)/1440),"")</f>
        <v/>
      </c>
      <c r="Y678" s="104"/>
      <c r="Z678" s="105"/>
      <c r="AA678" s="111" t="str">
        <f t="shared" si="4"/>
        <v/>
      </c>
      <c r="AB678" s="110" t="str">
        <f t="shared" si="5"/>
        <v/>
      </c>
      <c r="AC678" s="103" t="str">
        <f>if(X678,_xlfn.WORKDAY.INTL(X678,AC$7,"0000001",Holidays!A:A)+hour(X678)/24+MINUTE(X678)/1440,"")</f>
        <v/>
      </c>
      <c r="AD678" s="104"/>
      <c r="AE678" s="105"/>
      <c r="AF678" s="111" t="str">
        <f t="shared" si="6"/>
        <v/>
      </c>
      <c r="AG678" s="110" t="str">
        <f t="shared" si="7"/>
        <v/>
      </c>
      <c r="AH678" s="103" t="str">
        <f>if(AC678,if(and(hour(AC678+AH$7)&gt;9.5,(hour(AC678+AH$7)&lt;19.5)),AC678+AH$7,_xlfn.workday.intl(int(AC678),1,"0000001",Holidays!A:A)+hour(AC678+AH$7-$B$1)/24+minute(AC678)/1440),"")</f>
        <v/>
      </c>
      <c r="AI678" s="104"/>
      <c r="AJ678" s="105"/>
      <c r="AK678" s="111" t="str">
        <f t="shared" si="8"/>
        <v/>
      </c>
      <c r="AL678" s="112" t="str">
        <f t="shared" si="9"/>
        <v/>
      </c>
      <c r="AM678" s="113"/>
      <c r="AN678" s="291" t="s">
        <v>2540</v>
      </c>
      <c r="AO678" s="115"/>
      <c r="AP678" s="115"/>
      <c r="AQ678" s="115"/>
      <c r="AR678" s="115"/>
      <c r="AS678" s="115"/>
      <c r="AT678" s="115"/>
      <c r="AU678" s="115"/>
      <c r="AV678" s="115"/>
      <c r="AW678" s="115"/>
      <c r="AX678" s="115"/>
      <c r="AY678" s="115"/>
    </row>
    <row r="679">
      <c r="A679" s="95" t="str">
        <f t="shared" si="11"/>
        <v/>
      </c>
      <c r="B679" s="100"/>
      <c r="C679" s="97"/>
      <c r="D679" s="97"/>
      <c r="E679" s="97"/>
      <c r="F679" s="97"/>
      <c r="G679" s="97"/>
      <c r="H679" s="99"/>
      <c r="I679" s="100"/>
      <c r="J679" s="101"/>
      <c r="K679" s="100"/>
      <c r="L679" s="102"/>
      <c r="M679" s="103" t="str">
        <f>if(B679,if(and(hour(B679+M$7)&gt;9.5,(hour(B679+M$7)&lt;19.5)),B679+M$7,_xlfn.workday.intl(int(B679),1,"0000001",Holidays!A:A)+hour(B679+M$7-$B$1)/24+minute(B679)/1440),"")</f>
        <v/>
      </c>
      <c r="N679" s="104"/>
      <c r="O679" s="105"/>
      <c r="P679" s="106" t="str">
        <f t="shared" si="1"/>
        <v/>
      </c>
      <c r="Q679" s="107"/>
      <c r="R679" s="108"/>
      <c r="S679" s="103" t="str">
        <f>if(M679,if(and(hour(M679+S$7)&gt;9.5,(hour(M679+S$7)&lt;19.5)),M679+S$7,_xlfn.workday.intl(int(M679),1,"0000001",Holidays!A:A)+hour(M679+S$7-$B$1)/24+minute(M679)/1440),"")</f>
        <v/>
      </c>
      <c r="T679" s="104"/>
      <c r="U679" s="105"/>
      <c r="V679" s="109" t="str">
        <f t="shared" si="2"/>
        <v/>
      </c>
      <c r="W679" s="110" t="str">
        <f t="shared" si="3"/>
        <v/>
      </c>
      <c r="X679" s="103" t="str">
        <f>if(S679,if(and(hour(S679+X$7)&gt;9.5,(hour(S679+X$7)&lt;19.5)),S679+X$7,_xlfn.workday.intl(int(S679),1,"0000001",Holidays!A:A)+hour(S679+X$7-$B$1)/24+minute(S679)/1440),"")</f>
        <v/>
      </c>
      <c r="Y679" s="104"/>
      <c r="Z679" s="105"/>
      <c r="AA679" s="111" t="str">
        <f t="shared" si="4"/>
        <v/>
      </c>
      <c r="AB679" s="110" t="str">
        <f t="shared" si="5"/>
        <v/>
      </c>
      <c r="AC679" s="103" t="str">
        <f>if(X679,_xlfn.WORKDAY.INTL(X679,AC$7,"0000001",Holidays!A:A)+hour(X679)/24+MINUTE(X679)/1440,"")</f>
        <v/>
      </c>
      <c r="AD679" s="104"/>
      <c r="AE679" s="105"/>
      <c r="AF679" s="111" t="str">
        <f t="shared" si="6"/>
        <v/>
      </c>
      <c r="AG679" s="110" t="str">
        <f t="shared" si="7"/>
        <v/>
      </c>
      <c r="AH679" s="103" t="str">
        <f>if(AC679,if(and(hour(AC679+AH$7)&gt;9.5,(hour(AC679+AH$7)&lt;19.5)),AC679+AH$7,_xlfn.workday.intl(int(AC679),1,"0000001",Holidays!A:A)+hour(AC679+AH$7-$B$1)/24+minute(AC679)/1440),"")</f>
        <v/>
      </c>
      <c r="AI679" s="104"/>
      <c r="AJ679" s="105"/>
      <c r="AK679" s="111" t="str">
        <f t="shared" si="8"/>
        <v/>
      </c>
      <c r="AL679" s="112" t="str">
        <f t="shared" si="9"/>
        <v/>
      </c>
      <c r="AM679" s="113"/>
      <c r="AN679" s="291" t="s">
        <v>2540</v>
      </c>
      <c r="AO679" s="115"/>
      <c r="AP679" s="115"/>
      <c r="AQ679" s="115"/>
      <c r="AR679" s="115"/>
      <c r="AS679" s="115"/>
      <c r="AT679" s="115"/>
      <c r="AU679" s="115"/>
      <c r="AV679" s="115"/>
      <c r="AW679" s="115"/>
      <c r="AX679" s="115"/>
      <c r="AY679" s="115"/>
    </row>
    <row r="680">
      <c r="A680" s="95" t="str">
        <f t="shared" si="11"/>
        <v/>
      </c>
      <c r="B680" s="100"/>
      <c r="C680" s="97"/>
      <c r="D680" s="97"/>
      <c r="E680" s="97"/>
      <c r="F680" s="97"/>
      <c r="G680" s="97"/>
      <c r="H680" s="99"/>
      <c r="I680" s="100"/>
      <c r="J680" s="101"/>
      <c r="K680" s="100"/>
      <c r="L680" s="102"/>
      <c r="M680" s="103" t="str">
        <f>if(B680,if(and(hour(B680+M$7)&gt;9.5,(hour(B680+M$7)&lt;19.5)),B680+M$7,_xlfn.workday.intl(int(B680),1,"0000001",Holidays!A:A)+hour(B680+M$7-$B$1)/24+minute(B680)/1440),"")</f>
        <v/>
      </c>
      <c r="N680" s="104"/>
      <c r="O680" s="105"/>
      <c r="P680" s="106" t="str">
        <f t="shared" si="1"/>
        <v/>
      </c>
      <c r="Q680" s="107"/>
      <c r="R680" s="108"/>
      <c r="S680" s="103" t="str">
        <f>if(M680,if(and(hour(M680+S$7)&gt;9.5,(hour(M680+S$7)&lt;19.5)),M680+S$7,_xlfn.workday.intl(int(M680),1,"0000001",Holidays!A:A)+hour(M680+S$7-$B$1)/24+minute(M680)/1440),"")</f>
        <v/>
      </c>
      <c r="T680" s="104"/>
      <c r="U680" s="105"/>
      <c r="V680" s="109" t="str">
        <f t="shared" si="2"/>
        <v/>
      </c>
      <c r="W680" s="110" t="str">
        <f t="shared" si="3"/>
        <v/>
      </c>
      <c r="X680" s="103" t="str">
        <f>if(S680,if(and(hour(S680+X$7)&gt;9.5,(hour(S680+X$7)&lt;19.5)),S680+X$7,_xlfn.workday.intl(int(S680),1,"0000001",Holidays!A:A)+hour(S680+X$7-$B$1)/24+minute(S680)/1440),"")</f>
        <v/>
      </c>
      <c r="Y680" s="104"/>
      <c r="Z680" s="105"/>
      <c r="AA680" s="111" t="str">
        <f t="shared" si="4"/>
        <v/>
      </c>
      <c r="AB680" s="110" t="str">
        <f t="shared" si="5"/>
        <v/>
      </c>
      <c r="AC680" s="103" t="str">
        <f>if(X680,_xlfn.WORKDAY.INTL(X680,AC$7,"0000001",Holidays!A:A)+hour(X680)/24+MINUTE(X680)/1440,"")</f>
        <v/>
      </c>
      <c r="AD680" s="104"/>
      <c r="AE680" s="105"/>
      <c r="AF680" s="111" t="str">
        <f t="shared" si="6"/>
        <v/>
      </c>
      <c r="AG680" s="110" t="str">
        <f t="shared" si="7"/>
        <v/>
      </c>
      <c r="AH680" s="103" t="str">
        <f>if(AC680,if(and(hour(AC680+AH$7)&gt;9.5,(hour(AC680+AH$7)&lt;19.5)),AC680+AH$7,_xlfn.workday.intl(int(AC680),1,"0000001",Holidays!A:A)+hour(AC680+AH$7-$B$1)/24+minute(AC680)/1440),"")</f>
        <v/>
      </c>
      <c r="AI680" s="104"/>
      <c r="AJ680" s="105"/>
      <c r="AK680" s="111" t="str">
        <f t="shared" si="8"/>
        <v/>
      </c>
      <c r="AL680" s="112" t="str">
        <f t="shared" si="9"/>
        <v/>
      </c>
      <c r="AM680" s="113"/>
      <c r="AN680" s="291" t="s">
        <v>2540</v>
      </c>
      <c r="AO680" s="115"/>
      <c r="AP680" s="115"/>
      <c r="AQ680" s="115"/>
      <c r="AR680" s="115"/>
      <c r="AS680" s="115"/>
      <c r="AT680" s="115"/>
      <c r="AU680" s="115"/>
      <c r="AV680" s="115"/>
      <c r="AW680" s="115"/>
      <c r="AX680" s="115"/>
      <c r="AY680" s="115"/>
    </row>
    <row r="681">
      <c r="A681" s="95" t="str">
        <f t="shared" si="11"/>
        <v/>
      </c>
      <c r="B681" s="100"/>
      <c r="C681" s="97"/>
      <c r="D681" s="97"/>
      <c r="E681" s="97"/>
      <c r="F681" s="97"/>
      <c r="G681" s="97"/>
      <c r="H681" s="99"/>
      <c r="I681" s="100"/>
      <c r="J681" s="101"/>
      <c r="K681" s="100"/>
      <c r="L681" s="102"/>
      <c r="M681" s="103" t="str">
        <f>if(B681,if(and(hour(B681+M$7)&gt;9.5,(hour(B681+M$7)&lt;19.5)),B681+M$7,_xlfn.workday.intl(int(B681),1,"0000001",Holidays!A:A)+hour(B681+M$7-$B$1)/24+minute(B681)/1440),"")</f>
        <v/>
      </c>
      <c r="N681" s="104"/>
      <c r="O681" s="105"/>
      <c r="P681" s="106" t="str">
        <f t="shared" si="1"/>
        <v/>
      </c>
      <c r="Q681" s="107"/>
      <c r="R681" s="108"/>
      <c r="S681" s="103" t="str">
        <f>if(M681,if(and(hour(M681+S$7)&gt;9.5,(hour(M681+S$7)&lt;19.5)),M681+S$7,_xlfn.workday.intl(int(M681),1,"0000001",Holidays!A:A)+hour(M681+S$7-$B$1)/24+minute(M681)/1440),"")</f>
        <v/>
      </c>
      <c r="T681" s="104"/>
      <c r="U681" s="105"/>
      <c r="V681" s="109" t="str">
        <f t="shared" si="2"/>
        <v/>
      </c>
      <c r="W681" s="110" t="str">
        <f t="shared" si="3"/>
        <v/>
      </c>
      <c r="X681" s="103" t="str">
        <f>if(S681,if(and(hour(S681+X$7)&gt;9.5,(hour(S681+X$7)&lt;19.5)),S681+X$7,_xlfn.workday.intl(int(S681),1,"0000001",Holidays!A:A)+hour(S681+X$7-$B$1)/24+minute(S681)/1440),"")</f>
        <v/>
      </c>
      <c r="Y681" s="104"/>
      <c r="Z681" s="105"/>
      <c r="AA681" s="111" t="str">
        <f t="shared" si="4"/>
        <v/>
      </c>
      <c r="AB681" s="110" t="str">
        <f t="shared" si="5"/>
        <v/>
      </c>
      <c r="AC681" s="103" t="str">
        <f>if(X681,_xlfn.WORKDAY.INTL(X681,AC$7,"0000001",Holidays!A:A)+hour(X681)/24+MINUTE(X681)/1440,"")</f>
        <v/>
      </c>
      <c r="AD681" s="104"/>
      <c r="AE681" s="105"/>
      <c r="AF681" s="111" t="str">
        <f t="shared" si="6"/>
        <v/>
      </c>
      <c r="AG681" s="110" t="str">
        <f t="shared" si="7"/>
        <v/>
      </c>
      <c r="AH681" s="103" t="str">
        <f>if(AC681,if(and(hour(AC681+AH$7)&gt;9.5,(hour(AC681+AH$7)&lt;19.5)),AC681+AH$7,_xlfn.workday.intl(int(AC681),1,"0000001",Holidays!A:A)+hour(AC681+AH$7-$B$1)/24+minute(AC681)/1440),"")</f>
        <v/>
      </c>
      <c r="AI681" s="104"/>
      <c r="AJ681" s="105"/>
      <c r="AK681" s="111" t="str">
        <f t="shared" si="8"/>
        <v/>
      </c>
      <c r="AL681" s="112" t="str">
        <f t="shared" si="9"/>
        <v/>
      </c>
      <c r="AM681" s="113"/>
      <c r="AN681" s="291" t="s">
        <v>2540</v>
      </c>
      <c r="AO681" s="115"/>
      <c r="AP681" s="115"/>
      <c r="AQ681" s="115"/>
      <c r="AR681" s="115"/>
      <c r="AS681" s="115"/>
      <c r="AT681" s="115"/>
      <c r="AU681" s="115"/>
      <c r="AV681" s="115"/>
      <c r="AW681" s="115"/>
      <c r="AX681" s="115"/>
      <c r="AY681" s="115"/>
    </row>
    <row r="682">
      <c r="A682" s="95" t="str">
        <f t="shared" si="11"/>
        <v/>
      </c>
      <c r="B682" s="100"/>
      <c r="C682" s="97"/>
      <c r="D682" s="97"/>
      <c r="E682" s="97"/>
      <c r="F682" s="97"/>
      <c r="G682" s="97"/>
      <c r="H682" s="99"/>
      <c r="I682" s="100"/>
      <c r="J682" s="101"/>
      <c r="K682" s="100"/>
      <c r="L682" s="102"/>
      <c r="M682" s="103" t="str">
        <f>if(B682,if(and(hour(B682+M$7)&gt;9.5,(hour(B682+M$7)&lt;19.5)),B682+M$7,_xlfn.workday.intl(int(B682),1,"0000001",Holidays!A:A)+hour(B682+M$7-$B$1)/24+minute(B682)/1440),"")</f>
        <v/>
      </c>
      <c r="N682" s="104"/>
      <c r="O682" s="105"/>
      <c r="P682" s="106" t="str">
        <f t="shared" si="1"/>
        <v/>
      </c>
      <c r="Q682" s="107"/>
      <c r="R682" s="108"/>
      <c r="S682" s="103" t="str">
        <f>if(M682,if(and(hour(M682+S$7)&gt;9.5,(hour(M682+S$7)&lt;19.5)),M682+S$7,_xlfn.workday.intl(int(M682),1,"0000001",Holidays!A:A)+hour(M682+S$7-$B$1)/24+minute(M682)/1440),"")</f>
        <v/>
      </c>
      <c r="T682" s="104"/>
      <c r="U682" s="105"/>
      <c r="V682" s="109" t="str">
        <f t="shared" si="2"/>
        <v/>
      </c>
      <c r="W682" s="110" t="str">
        <f t="shared" si="3"/>
        <v/>
      </c>
      <c r="X682" s="103" t="str">
        <f>if(S682,if(and(hour(S682+X$7)&gt;9.5,(hour(S682+X$7)&lt;19.5)),S682+X$7,_xlfn.workday.intl(int(S682),1,"0000001",Holidays!A:A)+hour(S682+X$7-$B$1)/24+minute(S682)/1440),"")</f>
        <v/>
      </c>
      <c r="Y682" s="104"/>
      <c r="Z682" s="105"/>
      <c r="AA682" s="111" t="str">
        <f t="shared" si="4"/>
        <v/>
      </c>
      <c r="AB682" s="110" t="str">
        <f t="shared" si="5"/>
        <v/>
      </c>
      <c r="AC682" s="103" t="str">
        <f>if(X682,_xlfn.WORKDAY.INTL(X682,AC$7,"0000001",Holidays!A:A)+hour(X682)/24+MINUTE(X682)/1440,"")</f>
        <v/>
      </c>
      <c r="AD682" s="104"/>
      <c r="AE682" s="105"/>
      <c r="AF682" s="111" t="str">
        <f t="shared" si="6"/>
        <v/>
      </c>
      <c r="AG682" s="110" t="str">
        <f t="shared" si="7"/>
        <v/>
      </c>
      <c r="AH682" s="103" t="str">
        <f>if(AC682,if(and(hour(AC682+AH$7)&gt;9.5,(hour(AC682+AH$7)&lt;19.5)),AC682+AH$7,_xlfn.workday.intl(int(AC682),1,"0000001",Holidays!A:A)+hour(AC682+AH$7-$B$1)/24+minute(AC682)/1440),"")</f>
        <v/>
      </c>
      <c r="AI682" s="104"/>
      <c r="AJ682" s="105"/>
      <c r="AK682" s="111" t="str">
        <f t="shared" si="8"/>
        <v/>
      </c>
      <c r="AL682" s="112" t="str">
        <f t="shared" si="9"/>
        <v/>
      </c>
      <c r="AM682" s="113"/>
      <c r="AN682" s="291" t="s">
        <v>2540</v>
      </c>
      <c r="AO682" s="115"/>
      <c r="AP682" s="115"/>
      <c r="AQ682" s="115"/>
      <c r="AR682" s="115"/>
      <c r="AS682" s="115"/>
      <c r="AT682" s="115"/>
      <c r="AU682" s="115"/>
      <c r="AV682" s="115"/>
      <c r="AW682" s="115"/>
      <c r="AX682" s="115"/>
      <c r="AY682" s="115"/>
    </row>
    <row r="683">
      <c r="A683" s="95" t="str">
        <f t="shared" si="11"/>
        <v/>
      </c>
      <c r="B683" s="100"/>
      <c r="C683" s="97"/>
      <c r="D683" s="97"/>
      <c r="E683" s="97"/>
      <c r="F683" s="97"/>
      <c r="G683" s="97"/>
      <c r="H683" s="99"/>
      <c r="I683" s="100"/>
      <c r="J683" s="101"/>
      <c r="K683" s="100"/>
      <c r="L683" s="102"/>
      <c r="M683" s="103" t="str">
        <f>if(B683,if(and(hour(B683+M$7)&gt;9.5,(hour(B683+M$7)&lt;19.5)),B683+M$7,_xlfn.workday.intl(int(B683),1,"0000001",Holidays!A:A)+hour(B683+M$7-$B$1)/24+minute(B683)/1440),"")</f>
        <v/>
      </c>
      <c r="N683" s="104"/>
      <c r="O683" s="105"/>
      <c r="P683" s="106" t="str">
        <f t="shared" si="1"/>
        <v/>
      </c>
      <c r="Q683" s="107"/>
      <c r="R683" s="108"/>
      <c r="S683" s="103" t="str">
        <f>if(M683,if(and(hour(M683+S$7)&gt;9.5,(hour(M683+S$7)&lt;19.5)),M683+S$7,_xlfn.workday.intl(int(M683),1,"0000001",Holidays!A:A)+hour(M683+S$7-$B$1)/24+minute(M683)/1440),"")</f>
        <v/>
      </c>
      <c r="T683" s="104"/>
      <c r="U683" s="105"/>
      <c r="V683" s="109" t="str">
        <f t="shared" si="2"/>
        <v/>
      </c>
      <c r="W683" s="110" t="str">
        <f t="shared" si="3"/>
        <v/>
      </c>
      <c r="X683" s="103" t="str">
        <f>if(S683,if(and(hour(S683+X$7)&gt;9.5,(hour(S683+X$7)&lt;19.5)),S683+X$7,_xlfn.workday.intl(int(S683),1,"0000001",Holidays!A:A)+hour(S683+X$7-$B$1)/24+minute(S683)/1440),"")</f>
        <v/>
      </c>
      <c r="Y683" s="104"/>
      <c r="Z683" s="105"/>
      <c r="AA683" s="111" t="str">
        <f t="shared" si="4"/>
        <v/>
      </c>
      <c r="AB683" s="110" t="str">
        <f t="shared" si="5"/>
        <v/>
      </c>
      <c r="AC683" s="103" t="str">
        <f>if(X683,_xlfn.WORKDAY.INTL(X683,AC$7,"0000001",Holidays!A:A)+hour(X683)/24+MINUTE(X683)/1440,"")</f>
        <v/>
      </c>
      <c r="AD683" s="104"/>
      <c r="AE683" s="105"/>
      <c r="AF683" s="111" t="str">
        <f t="shared" si="6"/>
        <v/>
      </c>
      <c r="AG683" s="110" t="str">
        <f t="shared" si="7"/>
        <v/>
      </c>
      <c r="AH683" s="103" t="str">
        <f>if(AC683,if(and(hour(AC683+AH$7)&gt;9.5,(hour(AC683+AH$7)&lt;19.5)),AC683+AH$7,_xlfn.workday.intl(int(AC683),1,"0000001",Holidays!A:A)+hour(AC683+AH$7-$B$1)/24+minute(AC683)/1440),"")</f>
        <v/>
      </c>
      <c r="AI683" s="104"/>
      <c r="AJ683" s="105"/>
      <c r="AK683" s="111" t="str">
        <f t="shared" si="8"/>
        <v/>
      </c>
      <c r="AL683" s="112" t="str">
        <f t="shared" si="9"/>
        <v/>
      </c>
      <c r="AM683" s="113"/>
      <c r="AN683" s="291" t="s">
        <v>2540</v>
      </c>
      <c r="AO683" s="115"/>
      <c r="AP683" s="115"/>
      <c r="AQ683" s="115"/>
      <c r="AR683" s="115"/>
      <c r="AS683" s="115"/>
      <c r="AT683" s="115"/>
      <c r="AU683" s="115"/>
      <c r="AV683" s="115"/>
      <c r="AW683" s="115"/>
      <c r="AX683" s="115"/>
      <c r="AY683" s="115"/>
    </row>
    <row r="684">
      <c r="A684" s="95" t="str">
        <f t="shared" si="11"/>
        <v/>
      </c>
      <c r="B684" s="100"/>
      <c r="C684" s="97"/>
      <c r="D684" s="97"/>
      <c r="E684" s="97"/>
      <c r="F684" s="97"/>
      <c r="G684" s="97"/>
      <c r="H684" s="99"/>
      <c r="I684" s="100"/>
      <c r="J684" s="101"/>
      <c r="K684" s="100"/>
      <c r="L684" s="102"/>
      <c r="M684" s="103" t="str">
        <f>if(B684,if(and(hour(B684+M$7)&gt;9.5,(hour(B684+M$7)&lt;19.5)),B684+M$7,_xlfn.workday.intl(int(B684),1,"0000001",Holidays!A:A)+hour(B684+M$7-$B$1)/24+minute(B684)/1440),"")</f>
        <v/>
      </c>
      <c r="N684" s="104"/>
      <c r="O684" s="105"/>
      <c r="P684" s="106" t="str">
        <f t="shared" si="1"/>
        <v/>
      </c>
      <c r="Q684" s="107"/>
      <c r="R684" s="108"/>
      <c r="S684" s="103" t="str">
        <f>if(M684,if(and(hour(M684+S$7)&gt;9.5,(hour(M684+S$7)&lt;19.5)),M684+S$7,_xlfn.workday.intl(int(M684),1,"0000001",Holidays!A:A)+hour(M684+S$7-$B$1)/24+minute(M684)/1440),"")</f>
        <v/>
      </c>
      <c r="T684" s="104"/>
      <c r="U684" s="105"/>
      <c r="V684" s="109" t="str">
        <f t="shared" si="2"/>
        <v/>
      </c>
      <c r="W684" s="110" t="str">
        <f t="shared" si="3"/>
        <v/>
      </c>
      <c r="X684" s="103" t="str">
        <f>if(S684,if(and(hour(S684+X$7)&gt;9.5,(hour(S684+X$7)&lt;19.5)),S684+X$7,_xlfn.workday.intl(int(S684),1,"0000001",Holidays!A:A)+hour(S684+X$7-$B$1)/24+minute(S684)/1440),"")</f>
        <v/>
      </c>
      <c r="Y684" s="104"/>
      <c r="Z684" s="105"/>
      <c r="AA684" s="111" t="str">
        <f t="shared" si="4"/>
        <v/>
      </c>
      <c r="AB684" s="110" t="str">
        <f t="shared" si="5"/>
        <v/>
      </c>
      <c r="AC684" s="103" t="str">
        <f>if(X684,_xlfn.WORKDAY.INTL(X684,AC$7,"0000001",Holidays!A:A)+hour(X684)/24+MINUTE(X684)/1440,"")</f>
        <v/>
      </c>
      <c r="AD684" s="104"/>
      <c r="AE684" s="105"/>
      <c r="AF684" s="111" t="str">
        <f t="shared" si="6"/>
        <v/>
      </c>
      <c r="AG684" s="110" t="str">
        <f t="shared" si="7"/>
        <v/>
      </c>
      <c r="AH684" s="103" t="str">
        <f>if(AC684,if(and(hour(AC684+AH$7)&gt;9.5,(hour(AC684+AH$7)&lt;19.5)),AC684+AH$7,_xlfn.workday.intl(int(AC684),1,"0000001",Holidays!A:A)+hour(AC684+AH$7-$B$1)/24+minute(AC684)/1440),"")</f>
        <v/>
      </c>
      <c r="AI684" s="104"/>
      <c r="AJ684" s="105"/>
      <c r="AK684" s="111" t="str">
        <f t="shared" si="8"/>
        <v/>
      </c>
      <c r="AL684" s="112" t="str">
        <f t="shared" si="9"/>
        <v/>
      </c>
      <c r="AM684" s="113"/>
      <c r="AN684" s="291" t="s">
        <v>2540</v>
      </c>
      <c r="AO684" s="115"/>
      <c r="AP684" s="115"/>
      <c r="AQ684" s="115"/>
      <c r="AR684" s="115"/>
      <c r="AS684" s="115"/>
      <c r="AT684" s="115"/>
      <c r="AU684" s="115"/>
      <c r="AV684" s="115"/>
      <c r="AW684" s="115"/>
      <c r="AX684" s="115"/>
      <c r="AY684" s="115"/>
    </row>
    <row r="685">
      <c r="A685" s="95" t="str">
        <f t="shared" si="11"/>
        <v/>
      </c>
      <c r="B685" s="100"/>
      <c r="C685" s="97"/>
      <c r="D685" s="97"/>
      <c r="E685" s="97"/>
      <c r="F685" s="97"/>
      <c r="G685" s="97"/>
      <c r="H685" s="99"/>
      <c r="I685" s="100"/>
      <c r="J685" s="101"/>
      <c r="K685" s="100"/>
      <c r="L685" s="102"/>
      <c r="M685" s="103" t="str">
        <f>if(B685,if(and(hour(B685+M$7)&gt;9.5,(hour(B685+M$7)&lt;19.5)),B685+M$7,_xlfn.workday.intl(int(B685),1,"0000001",Holidays!A:A)+hour(B685+M$7-$B$1)/24+minute(B685)/1440),"")</f>
        <v/>
      </c>
      <c r="N685" s="104"/>
      <c r="O685" s="105"/>
      <c r="P685" s="106" t="str">
        <f t="shared" si="1"/>
        <v/>
      </c>
      <c r="Q685" s="107"/>
      <c r="R685" s="108"/>
      <c r="S685" s="103" t="str">
        <f>if(M685,if(and(hour(M685+S$7)&gt;9.5,(hour(M685+S$7)&lt;19.5)),M685+S$7,_xlfn.workday.intl(int(M685),1,"0000001",Holidays!A:A)+hour(M685+S$7-$B$1)/24+minute(M685)/1440),"")</f>
        <v/>
      </c>
      <c r="T685" s="104"/>
      <c r="U685" s="105"/>
      <c r="V685" s="109" t="str">
        <f t="shared" si="2"/>
        <v/>
      </c>
      <c r="W685" s="110" t="str">
        <f t="shared" si="3"/>
        <v/>
      </c>
      <c r="X685" s="103" t="str">
        <f>if(S685,if(and(hour(S685+X$7)&gt;9.5,(hour(S685+X$7)&lt;19.5)),S685+X$7,_xlfn.workday.intl(int(S685),1,"0000001",Holidays!A:A)+hour(S685+X$7-$B$1)/24+minute(S685)/1440),"")</f>
        <v/>
      </c>
      <c r="Y685" s="104"/>
      <c r="Z685" s="105"/>
      <c r="AA685" s="111" t="str">
        <f t="shared" si="4"/>
        <v/>
      </c>
      <c r="AB685" s="110" t="str">
        <f t="shared" si="5"/>
        <v/>
      </c>
      <c r="AC685" s="103" t="str">
        <f>if(X685,_xlfn.WORKDAY.INTL(X685,AC$7,"0000001",Holidays!A:A)+hour(X685)/24+MINUTE(X685)/1440,"")</f>
        <v/>
      </c>
      <c r="AD685" s="104"/>
      <c r="AE685" s="105"/>
      <c r="AF685" s="111" t="str">
        <f t="shared" si="6"/>
        <v/>
      </c>
      <c r="AG685" s="110" t="str">
        <f t="shared" si="7"/>
        <v/>
      </c>
      <c r="AH685" s="103" t="str">
        <f>if(AC685,if(and(hour(AC685+AH$7)&gt;9.5,(hour(AC685+AH$7)&lt;19.5)),AC685+AH$7,_xlfn.workday.intl(int(AC685),1,"0000001",Holidays!A:A)+hour(AC685+AH$7-$B$1)/24+minute(AC685)/1440),"")</f>
        <v/>
      </c>
      <c r="AI685" s="104"/>
      <c r="AJ685" s="105"/>
      <c r="AK685" s="111" t="str">
        <f t="shared" si="8"/>
        <v/>
      </c>
      <c r="AL685" s="112" t="str">
        <f t="shared" si="9"/>
        <v/>
      </c>
      <c r="AM685" s="113"/>
      <c r="AN685" s="291" t="s">
        <v>2540</v>
      </c>
      <c r="AO685" s="115"/>
      <c r="AP685" s="115"/>
      <c r="AQ685" s="115"/>
      <c r="AR685" s="115"/>
      <c r="AS685" s="115"/>
      <c r="AT685" s="115"/>
      <c r="AU685" s="115"/>
      <c r="AV685" s="115"/>
      <c r="AW685" s="115"/>
      <c r="AX685" s="115"/>
      <c r="AY685" s="115"/>
    </row>
    <row r="686">
      <c r="A686" s="95" t="str">
        <f t="shared" si="11"/>
        <v/>
      </c>
      <c r="B686" s="100"/>
      <c r="C686" s="97"/>
      <c r="D686" s="97"/>
      <c r="E686" s="97"/>
      <c r="F686" s="97"/>
      <c r="G686" s="97"/>
      <c r="H686" s="99"/>
      <c r="I686" s="100"/>
      <c r="J686" s="101"/>
      <c r="K686" s="100"/>
      <c r="L686" s="102"/>
      <c r="M686" s="103" t="str">
        <f>if(B686,if(and(hour(B686+M$7)&gt;9.5,(hour(B686+M$7)&lt;19.5)),B686+M$7,_xlfn.workday.intl(int(B686),1,"0000001",Holidays!A:A)+hour(B686+M$7-$B$1)/24+minute(B686)/1440),"")</f>
        <v/>
      </c>
      <c r="N686" s="104"/>
      <c r="O686" s="105"/>
      <c r="P686" s="106" t="str">
        <f t="shared" si="1"/>
        <v/>
      </c>
      <c r="Q686" s="107"/>
      <c r="R686" s="108"/>
      <c r="S686" s="103" t="str">
        <f>if(M686,if(and(hour(M686+S$7)&gt;9.5,(hour(M686+S$7)&lt;19.5)),M686+S$7,_xlfn.workday.intl(int(M686),1,"0000001",Holidays!A:A)+hour(M686+S$7-$B$1)/24+minute(M686)/1440),"")</f>
        <v/>
      </c>
      <c r="T686" s="104"/>
      <c r="U686" s="105"/>
      <c r="V686" s="109" t="str">
        <f t="shared" si="2"/>
        <v/>
      </c>
      <c r="W686" s="110" t="str">
        <f t="shared" si="3"/>
        <v/>
      </c>
      <c r="X686" s="103" t="str">
        <f>if(S686,if(and(hour(S686+X$7)&gt;9.5,(hour(S686+X$7)&lt;19.5)),S686+X$7,_xlfn.workday.intl(int(S686),1,"0000001",Holidays!A:A)+hour(S686+X$7-$B$1)/24+minute(S686)/1440),"")</f>
        <v/>
      </c>
      <c r="Y686" s="104"/>
      <c r="Z686" s="105"/>
      <c r="AA686" s="111" t="str">
        <f t="shared" si="4"/>
        <v/>
      </c>
      <c r="AB686" s="110" t="str">
        <f t="shared" si="5"/>
        <v/>
      </c>
      <c r="AC686" s="103" t="str">
        <f>if(X686,_xlfn.WORKDAY.INTL(X686,AC$7,"0000001",Holidays!A:A)+hour(X686)/24+MINUTE(X686)/1440,"")</f>
        <v/>
      </c>
      <c r="AD686" s="104"/>
      <c r="AE686" s="105"/>
      <c r="AF686" s="111" t="str">
        <f t="shared" si="6"/>
        <v/>
      </c>
      <c r="AG686" s="110" t="str">
        <f t="shared" si="7"/>
        <v/>
      </c>
      <c r="AH686" s="103" t="str">
        <f>if(AC686,if(and(hour(AC686+AH$7)&gt;9.5,(hour(AC686+AH$7)&lt;19.5)),AC686+AH$7,_xlfn.workday.intl(int(AC686),1,"0000001",Holidays!A:A)+hour(AC686+AH$7-$B$1)/24+minute(AC686)/1440),"")</f>
        <v/>
      </c>
      <c r="AI686" s="104"/>
      <c r="AJ686" s="105"/>
      <c r="AK686" s="111" t="str">
        <f t="shared" si="8"/>
        <v/>
      </c>
      <c r="AL686" s="112" t="str">
        <f t="shared" si="9"/>
        <v/>
      </c>
      <c r="AM686" s="113"/>
      <c r="AN686" s="291" t="s">
        <v>2540</v>
      </c>
      <c r="AO686" s="115"/>
      <c r="AP686" s="115"/>
      <c r="AQ686" s="115"/>
      <c r="AR686" s="115"/>
      <c r="AS686" s="115"/>
      <c r="AT686" s="115"/>
      <c r="AU686" s="115"/>
      <c r="AV686" s="115"/>
      <c r="AW686" s="115"/>
      <c r="AX686" s="115"/>
      <c r="AY686" s="115"/>
    </row>
    <row r="687">
      <c r="A687" s="95" t="str">
        <f t="shared" si="11"/>
        <v/>
      </c>
      <c r="B687" s="100"/>
      <c r="C687" s="97"/>
      <c r="D687" s="97"/>
      <c r="E687" s="97"/>
      <c r="F687" s="97"/>
      <c r="G687" s="97"/>
      <c r="H687" s="99"/>
      <c r="I687" s="100"/>
      <c r="J687" s="101"/>
      <c r="K687" s="100"/>
      <c r="L687" s="102"/>
      <c r="M687" s="103" t="str">
        <f>if(B687,if(and(hour(B687+M$7)&gt;9.5,(hour(B687+M$7)&lt;19.5)),B687+M$7,_xlfn.workday.intl(int(B687),1,"0000001",Holidays!A:A)+hour(B687+M$7-$B$1)/24+minute(B687)/1440),"")</f>
        <v/>
      </c>
      <c r="N687" s="104"/>
      <c r="O687" s="105"/>
      <c r="P687" s="106" t="str">
        <f t="shared" si="1"/>
        <v/>
      </c>
      <c r="Q687" s="107"/>
      <c r="R687" s="108"/>
      <c r="S687" s="103" t="str">
        <f>if(M687,if(and(hour(M687+S$7)&gt;9.5,(hour(M687+S$7)&lt;19.5)),M687+S$7,_xlfn.workday.intl(int(M687),1,"0000001",Holidays!A:A)+hour(M687+S$7-$B$1)/24+minute(M687)/1440),"")</f>
        <v/>
      </c>
      <c r="T687" s="104"/>
      <c r="U687" s="105"/>
      <c r="V687" s="109" t="str">
        <f t="shared" si="2"/>
        <v/>
      </c>
      <c r="W687" s="110" t="str">
        <f t="shared" si="3"/>
        <v/>
      </c>
      <c r="X687" s="103" t="str">
        <f>if(S687,if(and(hour(S687+X$7)&gt;9.5,(hour(S687+X$7)&lt;19.5)),S687+X$7,_xlfn.workday.intl(int(S687),1,"0000001",Holidays!A:A)+hour(S687+X$7-$B$1)/24+minute(S687)/1440),"")</f>
        <v/>
      </c>
      <c r="Y687" s="104"/>
      <c r="Z687" s="105"/>
      <c r="AA687" s="111" t="str">
        <f t="shared" si="4"/>
        <v/>
      </c>
      <c r="AB687" s="110" t="str">
        <f t="shared" si="5"/>
        <v/>
      </c>
      <c r="AC687" s="103" t="str">
        <f>if(X687,_xlfn.WORKDAY.INTL(X687,AC$7,"0000001",Holidays!A:A)+hour(X687)/24+MINUTE(X687)/1440,"")</f>
        <v/>
      </c>
      <c r="AD687" s="104"/>
      <c r="AE687" s="105"/>
      <c r="AF687" s="111" t="str">
        <f t="shared" si="6"/>
        <v/>
      </c>
      <c r="AG687" s="110" t="str">
        <f t="shared" si="7"/>
        <v/>
      </c>
      <c r="AH687" s="103" t="str">
        <f>if(AC687,if(and(hour(AC687+AH$7)&gt;9.5,(hour(AC687+AH$7)&lt;19.5)),AC687+AH$7,_xlfn.workday.intl(int(AC687),1,"0000001",Holidays!A:A)+hour(AC687+AH$7-$B$1)/24+minute(AC687)/1440),"")</f>
        <v/>
      </c>
      <c r="AI687" s="104"/>
      <c r="AJ687" s="105"/>
      <c r="AK687" s="111" t="str">
        <f t="shared" si="8"/>
        <v/>
      </c>
      <c r="AL687" s="112" t="str">
        <f t="shared" si="9"/>
        <v/>
      </c>
      <c r="AM687" s="113"/>
      <c r="AN687" s="291" t="s">
        <v>2540</v>
      </c>
      <c r="AO687" s="115"/>
      <c r="AP687" s="115"/>
      <c r="AQ687" s="115"/>
      <c r="AR687" s="115"/>
      <c r="AS687" s="115"/>
      <c r="AT687" s="115"/>
      <c r="AU687" s="115"/>
      <c r="AV687" s="115"/>
      <c r="AW687" s="115"/>
      <c r="AX687" s="115"/>
      <c r="AY687" s="115"/>
    </row>
    <row r="688">
      <c r="A688" s="95" t="str">
        <f t="shared" si="11"/>
        <v/>
      </c>
      <c r="B688" s="100"/>
      <c r="C688" s="97"/>
      <c r="D688" s="97"/>
      <c r="E688" s="97"/>
      <c r="F688" s="97"/>
      <c r="G688" s="97"/>
      <c r="H688" s="99"/>
      <c r="I688" s="100"/>
      <c r="J688" s="101"/>
      <c r="K688" s="100"/>
      <c r="L688" s="102"/>
      <c r="M688" s="103" t="str">
        <f>if(B688,if(and(hour(B688+M$7)&gt;9.5,(hour(B688+M$7)&lt;19.5)),B688+M$7,_xlfn.workday.intl(int(B688),1,"0000001",Holidays!A:A)+hour(B688+M$7-$B$1)/24+minute(B688)/1440),"")</f>
        <v/>
      </c>
      <c r="N688" s="104"/>
      <c r="O688" s="105"/>
      <c r="P688" s="106" t="str">
        <f t="shared" si="1"/>
        <v/>
      </c>
      <c r="Q688" s="107"/>
      <c r="R688" s="108"/>
      <c r="S688" s="103" t="str">
        <f>if(M688,if(and(hour(M688+S$7)&gt;9.5,(hour(M688+S$7)&lt;19.5)),M688+S$7,_xlfn.workday.intl(int(M688),1,"0000001",Holidays!A:A)+hour(M688+S$7-$B$1)/24+minute(M688)/1440),"")</f>
        <v/>
      </c>
      <c r="T688" s="104"/>
      <c r="U688" s="105"/>
      <c r="V688" s="109" t="str">
        <f t="shared" si="2"/>
        <v/>
      </c>
      <c r="W688" s="110" t="str">
        <f t="shared" si="3"/>
        <v/>
      </c>
      <c r="X688" s="103" t="str">
        <f>if(S688,if(and(hour(S688+X$7)&gt;9.5,(hour(S688+X$7)&lt;19.5)),S688+X$7,_xlfn.workday.intl(int(S688),1,"0000001",Holidays!A:A)+hour(S688+X$7-$B$1)/24+minute(S688)/1440),"")</f>
        <v/>
      </c>
      <c r="Y688" s="104"/>
      <c r="Z688" s="105"/>
      <c r="AA688" s="111" t="str">
        <f t="shared" si="4"/>
        <v/>
      </c>
      <c r="AB688" s="110" t="str">
        <f t="shared" si="5"/>
        <v/>
      </c>
      <c r="AC688" s="103" t="str">
        <f>if(X688,_xlfn.WORKDAY.INTL(X688,AC$7,"0000001",Holidays!A:A)+hour(X688)/24+MINUTE(X688)/1440,"")</f>
        <v/>
      </c>
      <c r="AD688" s="104"/>
      <c r="AE688" s="105"/>
      <c r="AF688" s="111" t="str">
        <f t="shared" si="6"/>
        <v/>
      </c>
      <c r="AG688" s="110" t="str">
        <f t="shared" si="7"/>
        <v/>
      </c>
      <c r="AH688" s="103" t="str">
        <f>if(AC688,if(and(hour(AC688+AH$7)&gt;9.5,(hour(AC688+AH$7)&lt;19.5)),AC688+AH$7,_xlfn.workday.intl(int(AC688),1,"0000001",Holidays!A:A)+hour(AC688+AH$7-$B$1)/24+minute(AC688)/1440),"")</f>
        <v/>
      </c>
      <c r="AI688" s="104"/>
      <c r="AJ688" s="105"/>
      <c r="AK688" s="111" t="str">
        <f t="shared" si="8"/>
        <v/>
      </c>
      <c r="AL688" s="112" t="str">
        <f t="shared" si="9"/>
        <v/>
      </c>
      <c r="AM688" s="113"/>
      <c r="AN688" s="291" t="s">
        <v>2540</v>
      </c>
      <c r="AO688" s="115"/>
      <c r="AP688" s="115"/>
      <c r="AQ688" s="115"/>
      <c r="AR688" s="115"/>
      <c r="AS688" s="115"/>
      <c r="AT688" s="115"/>
      <c r="AU688" s="115"/>
      <c r="AV688" s="115"/>
      <c r="AW688" s="115"/>
      <c r="AX688" s="115"/>
      <c r="AY688" s="115"/>
    </row>
    <row r="689">
      <c r="A689" s="95" t="str">
        <f t="shared" si="11"/>
        <v/>
      </c>
      <c r="B689" s="100"/>
      <c r="C689" s="97"/>
      <c r="D689" s="97"/>
      <c r="E689" s="97"/>
      <c r="F689" s="97"/>
      <c r="G689" s="97"/>
      <c r="H689" s="99"/>
      <c r="I689" s="100"/>
      <c r="J689" s="101"/>
      <c r="K689" s="100"/>
      <c r="L689" s="102"/>
      <c r="M689" s="103" t="str">
        <f>if(B689,if(and(hour(B689+M$7)&gt;9.5,(hour(B689+M$7)&lt;19.5)),B689+M$7,_xlfn.workday.intl(int(B689),1,"0000001",Holidays!A:A)+hour(B689+M$7-$B$1)/24+minute(B689)/1440),"")</f>
        <v/>
      </c>
      <c r="N689" s="104"/>
      <c r="O689" s="105"/>
      <c r="P689" s="106" t="str">
        <f t="shared" si="1"/>
        <v/>
      </c>
      <c r="Q689" s="107"/>
      <c r="R689" s="108"/>
      <c r="S689" s="103" t="str">
        <f>if(M689,if(and(hour(M689+S$7)&gt;9.5,(hour(M689+S$7)&lt;19.5)),M689+S$7,_xlfn.workday.intl(int(M689),1,"0000001",Holidays!A:A)+hour(M689+S$7-$B$1)/24+minute(M689)/1440),"")</f>
        <v/>
      </c>
      <c r="T689" s="104"/>
      <c r="U689" s="105"/>
      <c r="V689" s="109" t="str">
        <f t="shared" si="2"/>
        <v/>
      </c>
      <c r="W689" s="110" t="str">
        <f t="shared" si="3"/>
        <v/>
      </c>
      <c r="X689" s="103" t="str">
        <f>if(S689,if(and(hour(S689+X$7)&gt;9.5,(hour(S689+X$7)&lt;19.5)),S689+X$7,_xlfn.workday.intl(int(S689),1,"0000001",Holidays!A:A)+hour(S689+X$7-$B$1)/24+minute(S689)/1440),"")</f>
        <v/>
      </c>
      <c r="Y689" s="104"/>
      <c r="Z689" s="105"/>
      <c r="AA689" s="111" t="str">
        <f t="shared" si="4"/>
        <v/>
      </c>
      <c r="AB689" s="110" t="str">
        <f t="shared" si="5"/>
        <v/>
      </c>
      <c r="AC689" s="103" t="str">
        <f>if(X689,_xlfn.WORKDAY.INTL(X689,AC$7,"0000001",Holidays!A:A)+hour(X689)/24+MINUTE(X689)/1440,"")</f>
        <v/>
      </c>
      <c r="AD689" s="104"/>
      <c r="AE689" s="105"/>
      <c r="AF689" s="111" t="str">
        <f t="shared" si="6"/>
        <v/>
      </c>
      <c r="AG689" s="110" t="str">
        <f t="shared" si="7"/>
        <v/>
      </c>
      <c r="AH689" s="103" t="str">
        <f>if(AC689,if(and(hour(AC689+AH$7)&gt;9.5,(hour(AC689+AH$7)&lt;19.5)),AC689+AH$7,_xlfn.workday.intl(int(AC689),1,"0000001",Holidays!A:A)+hour(AC689+AH$7-$B$1)/24+minute(AC689)/1440),"")</f>
        <v/>
      </c>
      <c r="AI689" s="104"/>
      <c r="AJ689" s="105"/>
      <c r="AK689" s="111" t="str">
        <f t="shared" si="8"/>
        <v/>
      </c>
      <c r="AL689" s="112" t="str">
        <f t="shared" si="9"/>
        <v/>
      </c>
      <c r="AM689" s="113"/>
      <c r="AN689" s="291" t="s">
        <v>2540</v>
      </c>
      <c r="AO689" s="115"/>
      <c r="AP689" s="115"/>
      <c r="AQ689" s="115"/>
      <c r="AR689" s="115"/>
      <c r="AS689" s="115"/>
      <c r="AT689" s="115"/>
      <c r="AU689" s="115"/>
      <c r="AV689" s="115"/>
      <c r="AW689" s="115"/>
      <c r="AX689" s="115"/>
      <c r="AY689" s="115"/>
    </row>
    <row r="690">
      <c r="A690" s="95" t="str">
        <f t="shared" si="11"/>
        <v/>
      </c>
      <c r="B690" s="100"/>
      <c r="C690" s="97"/>
      <c r="D690" s="97"/>
      <c r="E690" s="97"/>
      <c r="F690" s="97"/>
      <c r="G690" s="97"/>
      <c r="H690" s="99"/>
      <c r="I690" s="100"/>
      <c r="J690" s="101"/>
      <c r="K690" s="100"/>
      <c r="L690" s="102"/>
      <c r="M690" s="103" t="str">
        <f>if(B690,if(and(hour(B690+M$7)&gt;9.5,(hour(B690+M$7)&lt;19.5)),B690+M$7,_xlfn.workday.intl(int(B690),1,"0000001",Holidays!A:A)+hour(B690+M$7-$B$1)/24+minute(B690)/1440),"")</f>
        <v/>
      </c>
      <c r="N690" s="104"/>
      <c r="O690" s="105"/>
      <c r="P690" s="106" t="str">
        <f t="shared" si="1"/>
        <v/>
      </c>
      <c r="Q690" s="107"/>
      <c r="R690" s="108"/>
      <c r="S690" s="103" t="str">
        <f>if(M690,if(and(hour(M690+S$7)&gt;9.5,(hour(M690+S$7)&lt;19.5)),M690+S$7,_xlfn.workday.intl(int(M690),1,"0000001",Holidays!A:A)+hour(M690+S$7-$B$1)/24+minute(M690)/1440),"")</f>
        <v/>
      </c>
      <c r="T690" s="104"/>
      <c r="U690" s="105"/>
      <c r="V690" s="109" t="str">
        <f t="shared" si="2"/>
        <v/>
      </c>
      <c r="W690" s="110" t="str">
        <f t="shared" si="3"/>
        <v/>
      </c>
      <c r="X690" s="103" t="str">
        <f>if(S690,if(and(hour(S690+X$7)&gt;9.5,(hour(S690+X$7)&lt;19.5)),S690+X$7,_xlfn.workday.intl(int(S690),1,"0000001",Holidays!A:A)+hour(S690+X$7-$B$1)/24+minute(S690)/1440),"")</f>
        <v/>
      </c>
      <c r="Y690" s="104"/>
      <c r="Z690" s="105"/>
      <c r="AA690" s="111" t="str">
        <f t="shared" si="4"/>
        <v/>
      </c>
      <c r="AB690" s="110" t="str">
        <f t="shared" si="5"/>
        <v/>
      </c>
      <c r="AC690" s="103" t="str">
        <f>if(X690,_xlfn.WORKDAY.INTL(X690,AC$7,"0000001",Holidays!A:A)+hour(X690)/24+MINUTE(X690)/1440,"")</f>
        <v/>
      </c>
      <c r="AD690" s="104"/>
      <c r="AE690" s="105"/>
      <c r="AF690" s="111" t="str">
        <f t="shared" si="6"/>
        <v/>
      </c>
      <c r="AG690" s="110" t="str">
        <f t="shared" si="7"/>
        <v/>
      </c>
      <c r="AH690" s="103" t="str">
        <f>if(AC690,if(and(hour(AC690+AH$7)&gt;9.5,(hour(AC690+AH$7)&lt;19.5)),AC690+AH$7,_xlfn.workday.intl(int(AC690),1,"0000001",Holidays!A:A)+hour(AC690+AH$7-$B$1)/24+minute(AC690)/1440),"")</f>
        <v/>
      </c>
      <c r="AI690" s="104"/>
      <c r="AJ690" s="105"/>
      <c r="AK690" s="111" t="str">
        <f t="shared" si="8"/>
        <v/>
      </c>
      <c r="AL690" s="112" t="str">
        <f t="shared" si="9"/>
        <v/>
      </c>
      <c r="AM690" s="113"/>
      <c r="AN690" s="291" t="s">
        <v>2540</v>
      </c>
      <c r="AO690" s="115"/>
      <c r="AP690" s="115"/>
      <c r="AQ690" s="115"/>
      <c r="AR690" s="115"/>
      <c r="AS690" s="115"/>
      <c r="AT690" s="115"/>
      <c r="AU690" s="115"/>
      <c r="AV690" s="115"/>
      <c r="AW690" s="115"/>
      <c r="AX690" s="115"/>
      <c r="AY690" s="115"/>
    </row>
    <row r="691">
      <c r="A691" s="95" t="str">
        <f t="shared" si="11"/>
        <v/>
      </c>
      <c r="B691" s="100"/>
      <c r="C691" s="97"/>
      <c r="D691" s="97"/>
      <c r="E691" s="97"/>
      <c r="F691" s="97"/>
      <c r="G691" s="97"/>
      <c r="H691" s="99"/>
      <c r="I691" s="100"/>
      <c r="J691" s="101"/>
      <c r="K691" s="100"/>
      <c r="L691" s="102"/>
      <c r="M691" s="103" t="str">
        <f>if(B691,if(and(hour(B691+M$7)&gt;9.5,(hour(B691+M$7)&lt;19.5)),B691+M$7,_xlfn.workday.intl(int(B691),1,"0000001",Holidays!A:A)+hour(B691+M$7-$B$1)/24+minute(B691)/1440),"")</f>
        <v/>
      </c>
      <c r="N691" s="104"/>
      <c r="O691" s="105"/>
      <c r="P691" s="106" t="str">
        <f t="shared" si="1"/>
        <v/>
      </c>
      <c r="Q691" s="107"/>
      <c r="R691" s="108"/>
      <c r="S691" s="103" t="str">
        <f>if(M691,if(and(hour(M691+S$7)&gt;9.5,(hour(M691+S$7)&lt;19.5)),M691+S$7,_xlfn.workday.intl(int(M691),1,"0000001",Holidays!A:A)+hour(M691+S$7-$B$1)/24+minute(M691)/1440),"")</f>
        <v/>
      </c>
      <c r="T691" s="104"/>
      <c r="U691" s="105"/>
      <c r="V691" s="109" t="str">
        <f t="shared" si="2"/>
        <v/>
      </c>
      <c r="W691" s="110" t="str">
        <f t="shared" si="3"/>
        <v/>
      </c>
      <c r="X691" s="103" t="str">
        <f>if(S691,if(and(hour(S691+X$7)&gt;9.5,(hour(S691+X$7)&lt;19.5)),S691+X$7,_xlfn.workday.intl(int(S691),1,"0000001",Holidays!A:A)+hour(S691+X$7-$B$1)/24+minute(S691)/1440),"")</f>
        <v/>
      </c>
      <c r="Y691" s="104"/>
      <c r="Z691" s="105"/>
      <c r="AA691" s="111" t="str">
        <f t="shared" si="4"/>
        <v/>
      </c>
      <c r="AB691" s="110" t="str">
        <f t="shared" si="5"/>
        <v/>
      </c>
      <c r="AC691" s="103" t="str">
        <f>if(X691,_xlfn.WORKDAY.INTL(X691,AC$7,"0000001",Holidays!A:A)+hour(X691)/24+MINUTE(X691)/1440,"")</f>
        <v/>
      </c>
      <c r="AD691" s="104"/>
      <c r="AE691" s="105"/>
      <c r="AF691" s="111" t="str">
        <f t="shared" si="6"/>
        <v/>
      </c>
      <c r="AG691" s="110" t="str">
        <f t="shared" si="7"/>
        <v/>
      </c>
      <c r="AH691" s="103" t="str">
        <f>if(AC691,if(and(hour(AC691+AH$7)&gt;9.5,(hour(AC691+AH$7)&lt;19.5)),AC691+AH$7,_xlfn.workday.intl(int(AC691),1,"0000001",Holidays!A:A)+hour(AC691+AH$7-$B$1)/24+minute(AC691)/1440),"")</f>
        <v/>
      </c>
      <c r="AI691" s="104"/>
      <c r="AJ691" s="105"/>
      <c r="AK691" s="111" t="str">
        <f t="shared" si="8"/>
        <v/>
      </c>
      <c r="AL691" s="112" t="str">
        <f t="shared" si="9"/>
        <v/>
      </c>
      <c r="AM691" s="113"/>
      <c r="AN691" s="291" t="s">
        <v>2540</v>
      </c>
      <c r="AO691" s="115"/>
      <c r="AP691" s="115"/>
      <c r="AQ691" s="115"/>
      <c r="AR691" s="115"/>
      <c r="AS691" s="115"/>
      <c r="AT691" s="115"/>
      <c r="AU691" s="115"/>
      <c r="AV691" s="115"/>
      <c r="AW691" s="115"/>
      <c r="AX691" s="115"/>
      <c r="AY691" s="115"/>
    </row>
    <row r="692">
      <c r="A692" s="95" t="str">
        <f t="shared" si="11"/>
        <v/>
      </c>
      <c r="B692" s="100"/>
      <c r="C692" s="97"/>
      <c r="D692" s="97"/>
      <c r="E692" s="97"/>
      <c r="F692" s="97"/>
      <c r="G692" s="97"/>
      <c r="H692" s="99"/>
      <c r="I692" s="100"/>
      <c r="J692" s="101"/>
      <c r="K692" s="100"/>
      <c r="L692" s="102"/>
      <c r="M692" s="103" t="str">
        <f>if(B692,if(and(hour(B692+M$7)&gt;9.5,(hour(B692+M$7)&lt;19.5)),B692+M$7,_xlfn.workday.intl(int(B692),1,"0000001",Holidays!A:A)+hour(B692+M$7-$B$1)/24+minute(B692)/1440),"")</f>
        <v/>
      </c>
      <c r="N692" s="104"/>
      <c r="O692" s="105"/>
      <c r="P692" s="106" t="str">
        <f t="shared" si="1"/>
        <v/>
      </c>
      <c r="Q692" s="107"/>
      <c r="R692" s="108"/>
      <c r="S692" s="103" t="str">
        <f>if(M692,if(and(hour(M692+S$7)&gt;9.5,(hour(M692+S$7)&lt;19.5)),M692+S$7,_xlfn.workday.intl(int(M692),1,"0000001",Holidays!A:A)+hour(M692+S$7-$B$1)/24+minute(M692)/1440),"")</f>
        <v/>
      </c>
      <c r="T692" s="104"/>
      <c r="U692" s="105"/>
      <c r="V692" s="109" t="str">
        <f t="shared" si="2"/>
        <v/>
      </c>
      <c r="W692" s="110" t="str">
        <f t="shared" si="3"/>
        <v/>
      </c>
      <c r="X692" s="103" t="str">
        <f>if(S692,if(and(hour(S692+X$7)&gt;9.5,(hour(S692+X$7)&lt;19.5)),S692+X$7,_xlfn.workday.intl(int(S692),1,"0000001",Holidays!A:A)+hour(S692+X$7-$B$1)/24+minute(S692)/1440),"")</f>
        <v/>
      </c>
      <c r="Y692" s="104"/>
      <c r="Z692" s="105"/>
      <c r="AA692" s="111" t="str">
        <f t="shared" si="4"/>
        <v/>
      </c>
      <c r="AB692" s="110" t="str">
        <f t="shared" si="5"/>
        <v/>
      </c>
      <c r="AC692" s="103" t="str">
        <f>if(X692,_xlfn.WORKDAY.INTL(X692,AC$7,"0000001",Holidays!A:A)+hour(X692)/24+MINUTE(X692)/1440,"")</f>
        <v/>
      </c>
      <c r="AD692" s="104"/>
      <c r="AE692" s="105"/>
      <c r="AF692" s="111" t="str">
        <f t="shared" si="6"/>
        <v/>
      </c>
      <c r="AG692" s="110" t="str">
        <f t="shared" si="7"/>
        <v/>
      </c>
      <c r="AH692" s="103" t="str">
        <f>if(AC692,if(and(hour(AC692+AH$7)&gt;9.5,(hour(AC692+AH$7)&lt;19.5)),AC692+AH$7,_xlfn.workday.intl(int(AC692),1,"0000001",Holidays!A:A)+hour(AC692+AH$7-$B$1)/24+minute(AC692)/1440),"")</f>
        <v/>
      </c>
      <c r="AI692" s="104"/>
      <c r="AJ692" s="105"/>
      <c r="AK692" s="111" t="str">
        <f t="shared" si="8"/>
        <v/>
      </c>
      <c r="AL692" s="112" t="str">
        <f t="shared" si="9"/>
        <v/>
      </c>
      <c r="AM692" s="113"/>
      <c r="AN692" s="291" t="s">
        <v>2540</v>
      </c>
      <c r="AO692" s="115"/>
      <c r="AP692" s="115"/>
      <c r="AQ692" s="115"/>
      <c r="AR692" s="115"/>
      <c r="AS692" s="115"/>
      <c r="AT692" s="115"/>
      <c r="AU692" s="115"/>
      <c r="AV692" s="115"/>
      <c r="AW692" s="115"/>
      <c r="AX692" s="115"/>
      <c r="AY692" s="115"/>
    </row>
    <row r="693">
      <c r="A693" s="95" t="str">
        <f t="shared" si="11"/>
        <v/>
      </c>
      <c r="B693" s="100"/>
      <c r="C693" s="97"/>
      <c r="D693" s="97"/>
      <c r="E693" s="97"/>
      <c r="F693" s="97"/>
      <c r="G693" s="97"/>
      <c r="H693" s="99"/>
      <c r="I693" s="100"/>
      <c r="J693" s="101"/>
      <c r="K693" s="100"/>
      <c r="L693" s="102"/>
      <c r="M693" s="103" t="str">
        <f>if(B693,if(and(hour(B693+M$7)&gt;9.5,(hour(B693+M$7)&lt;19.5)),B693+M$7,_xlfn.workday.intl(int(B693),1,"0000001",Holidays!A:A)+hour(B693+M$7-$B$1)/24+minute(B693)/1440),"")</f>
        <v/>
      </c>
      <c r="N693" s="104"/>
      <c r="O693" s="105"/>
      <c r="P693" s="106" t="str">
        <f t="shared" si="1"/>
        <v/>
      </c>
      <c r="Q693" s="107"/>
      <c r="R693" s="108"/>
      <c r="S693" s="103" t="str">
        <f>if(M693,if(and(hour(M693+S$7)&gt;9.5,(hour(M693+S$7)&lt;19.5)),M693+S$7,_xlfn.workday.intl(int(M693),1,"0000001",Holidays!A:A)+hour(M693+S$7-$B$1)/24+minute(M693)/1440),"")</f>
        <v/>
      </c>
      <c r="T693" s="104"/>
      <c r="U693" s="105"/>
      <c r="V693" s="109" t="str">
        <f t="shared" si="2"/>
        <v/>
      </c>
      <c r="W693" s="110" t="str">
        <f t="shared" si="3"/>
        <v/>
      </c>
      <c r="X693" s="103" t="str">
        <f>if(S693,if(and(hour(S693+X$7)&gt;9.5,(hour(S693+X$7)&lt;19.5)),S693+X$7,_xlfn.workday.intl(int(S693),1,"0000001",Holidays!A:A)+hour(S693+X$7-$B$1)/24+minute(S693)/1440),"")</f>
        <v/>
      </c>
      <c r="Y693" s="104"/>
      <c r="Z693" s="105"/>
      <c r="AA693" s="111" t="str">
        <f t="shared" si="4"/>
        <v/>
      </c>
      <c r="AB693" s="110" t="str">
        <f t="shared" si="5"/>
        <v/>
      </c>
      <c r="AC693" s="103" t="str">
        <f>if(X693,_xlfn.WORKDAY.INTL(X693,AC$7,"0000001",Holidays!A:A)+hour(X693)/24+MINUTE(X693)/1440,"")</f>
        <v/>
      </c>
      <c r="AD693" s="104"/>
      <c r="AE693" s="105"/>
      <c r="AF693" s="111" t="str">
        <f t="shared" si="6"/>
        <v/>
      </c>
      <c r="AG693" s="110" t="str">
        <f t="shared" si="7"/>
        <v/>
      </c>
      <c r="AH693" s="103" t="str">
        <f>if(AC693,if(and(hour(AC693+AH$7)&gt;9.5,(hour(AC693+AH$7)&lt;19.5)),AC693+AH$7,_xlfn.workday.intl(int(AC693),1,"0000001",Holidays!A:A)+hour(AC693+AH$7-$B$1)/24+minute(AC693)/1440),"")</f>
        <v/>
      </c>
      <c r="AI693" s="104"/>
      <c r="AJ693" s="105"/>
      <c r="AK693" s="111" t="str">
        <f t="shared" si="8"/>
        <v/>
      </c>
      <c r="AL693" s="112" t="str">
        <f t="shared" si="9"/>
        <v/>
      </c>
      <c r="AM693" s="113"/>
      <c r="AN693" s="291" t="s">
        <v>2540</v>
      </c>
      <c r="AO693" s="115"/>
      <c r="AP693" s="115"/>
      <c r="AQ693" s="115"/>
      <c r="AR693" s="115"/>
      <c r="AS693" s="115"/>
      <c r="AT693" s="115"/>
      <c r="AU693" s="115"/>
      <c r="AV693" s="115"/>
      <c r="AW693" s="115"/>
      <c r="AX693" s="115"/>
      <c r="AY693" s="115"/>
    </row>
    <row r="694">
      <c r="A694" s="95" t="str">
        <f t="shared" si="11"/>
        <v/>
      </c>
      <c r="B694" s="100"/>
      <c r="C694" s="97"/>
      <c r="D694" s="97"/>
      <c r="E694" s="97"/>
      <c r="F694" s="97"/>
      <c r="G694" s="97"/>
      <c r="H694" s="99"/>
      <c r="I694" s="100"/>
      <c r="J694" s="101"/>
      <c r="K694" s="100"/>
      <c r="L694" s="102"/>
      <c r="M694" s="103" t="str">
        <f>if(B694,if(and(hour(B694+M$7)&gt;9.5,(hour(B694+M$7)&lt;19.5)),B694+M$7,_xlfn.workday.intl(int(B694),1,"0000001",Holidays!A:A)+hour(B694+M$7-$B$1)/24+minute(B694)/1440),"")</f>
        <v/>
      </c>
      <c r="N694" s="104"/>
      <c r="O694" s="105"/>
      <c r="P694" s="106" t="str">
        <f t="shared" si="1"/>
        <v/>
      </c>
      <c r="Q694" s="107"/>
      <c r="R694" s="108"/>
      <c r="S694" s="103" t="str">
        <f>if(M694,if(and(hour(M694+S$7)&gt;9.5,(hour(M694+S$7)&lt;19.5)),M694+S$7,_xlfn.workday.intl(int(M694),1,"0000001",Holidays!A:A)+hour(M694+S$7-$B$1)/24+minute(M694)/1440),"")</f>
        <v/>
      </c>
      <c r="T694" s="104"/>
      <c r="U694" s="105"/>
      <c r="V694" s="109" t="str">
        <f t="shared" si="2"/>
        <v/>
      </c>
      <c r="W694" s="110" t="str">
        <f t="shared" si="3"/>
        <v/>
      </c>
      <c r="X694" s="103" t="str">
        <f>if(S694,if(and(hour(S694+X$7)&gt;9.5,(hour(S694+X$7)&lt;19.5)),S694+X$7,_xlfn.workday.intl(int(S694),1,"0000001",Holidays!A:A)+hour(S694+X$7-$B$1)/24+minute(S694)/1440),"")</f>
        <v/>
      </c>
      <c r="Y694" s="104"/>
      <c r="Z694" s="105"/>
      <c r="AA694" s="111" t="str">
        <f t="shared" si="4"/>
        <v/>
      </c>
      <c r="AB694" s="110" t="str">
        <f t="shared" si="5"/>
        <v/>
      </c>
      <c r="AC694" s="103" t="str">
        <f>if(X694,_xlfn.WORKDAY.INTL(X694,AC$7,"0000001",Holidays!A:A)+hour(X694)/24+MINUTE(X694)/1440,"")</f>
        <v/>
      </c>
      <c r="AD694" s="104"/>
      <c r="AE694" s="105"/>
      <c r="AF694" s="111" t="str">
        <f t="shared" si="6"/>
        <v/>
      </c>
      <c r="AG694" s="110" t="str">
        <f t="shared" si="7"/>
        <v/>
      </c>
      <c r="AH694" s="103" t="str">
        <f>if(AC694,if(and(hour(AC694+AH$7)&gt;9.5,(hour(AC694+AH$7)&lt;19.5)),AC694+AH$7,_xlfn.workday.intl(int(AC694),1,"0000001",Holidays!A:A)+hour(AC694+AH$7-$B$1)/24+minute(AC694)/1440),"")</f>
        <v/>
      </c>
      <c r="AI694" s="104"/>
      <c r="AJ694" s="105"/>
      <c r="AK694" s="111" t="str">
        <f t="shared" si="8"/>
        <v/>
      </c>
      <c r="AL694" s="112" t="str">
        <f t="shared" si="9"/>
        <v/>
      </c>
      <c r="AM694" s="113"/>
      <c r="AN694" s="291" t="s">
        <v>2540</v>
      </c>
      <c r="AO694" s="115"/>
      <c r="AP694" s="115"/>
      <c r="AQ694" s="115"/>
      <c r="AR694" s="115"/>
      <c r="AS694" s="115"/>
      <c r="AT694" s="115"/>
      <c r="AU694" s="115"/>
      <c r="AV694" s="115"/>
      <c r="AW694" s="115"/>
      <c r="AX694" s="115"/>
      <c r="AY694" s="115"/>
    </row>
    <row r="695">
      <c r="A695" s="95" t="str">
        <f t="shared" si="11"/>
        <v/>
      </c>
      <c r="B695" s="100"/>
      <c r="C695" s="97"/>
      <c r="D695" s="97"/>
      <c r="E695" s="97"/>
      <c r="F695" s="97"/>
      <c r="G695" s="97"/>
      <c r="H695" s="99"/>
      <c r="I695" s="100"/>
      <c r="J695" s="101"/>
      <c r="K695" s="100"/>
      <c r="L695" s="102"/>
      <c r="M695" s="103" t="str">
        <f>if(B695,if(and(hour(B695+M$7)&gt;9.5,(hour(B695+M$7)&lt;19.5)),B695+M$7,_xlfn.workday.intl(int(B695),1,"0000001",Holidays!A:A)+hour(B695+M$7-$B$1)/24+minute(B695)/1440),"")</f>
        <v/>
      </c>
      <c r="N695" s="104"/>
      <c r="O695" s="105"/>
      <c r="P695" s="106" t="str">
        <f t="shared" si="1"/>
        <v/>
      </c>
      <c r="Q695" s="107"/>
      <c r="R695" s="108"/>
      <c r="S695" s="103" t="str">
        <f>if(M695,if(and(hour(M695+S$7)&gt;9.5,(hour(M695+S$7)&lt;19.5)),M695+S$7,_xlfn.workday.intl(int(M695),1,"0000001",Holidays!A:A)+hour(M695+S$7-$B$1)/24+minute(M695)/1440),"")</f>
        <v/>
      </c>
      <c r="T695" s="104"/>
      <c r="U695" s="105"/>
      <c r="V695" s="109" t="str">
        <f t="shared" si="2"/>
        <v/>
      </c>
      <c r="W695" s="110" t="str">
        <f t="shared" si="3"/>
        <v/>
      </c>
      <c r="X695" s="103" t="str">
        <f>if(S695,if(and(hour(S695+X$7)&gt;9.5,(hour(S695+X$7)&lt;19.5)),S695+X$7,_xlfn.workday.intl(int(S695),1,"0000001",Holidays!A:A)+hour(S695+X$7-$B$1)/24+minute(S695)/1440),"")</f>
        <v/>
      </c>
      <c r="Y695" s="104"/>
      <c r="Z695" s="105"/>
      <c r="AA695" s="111" t="str">
        <f t="shared" si="4"/>
        <v/>
      </c>
      <c r="AB695" s="110" t="str">
        <f t="shared" si="5"/>
        <v/>
      </c>
      <c r="AC695" s="103" t="str">
        <f>if(X695,_xlfn.WORKDAY.INTL(X695,AC$7,"0000001",Holidays!A:A)+hour(X695)/24+MINUTE(X695)/1440,"")</f>
        <v/>
      </c>
      <c r="AD695" s="104"/>
      <c r="AE695" s="105"/>
      <c r="AF695" s="111" t="str">
        <f t="shared" si="6"/>
        <v/>
      </c>
      <c r="AG695" s="110" t="str">
        <f t="shared" si="7"/>
        <v/>
      </c>
      <c r="AH695" s="103" t="str">
        <f>if(AC695,if(and(hour(AC695+AH$7)&gt;9.5,(hour(AC695+AH$7)&lt;19.5)),AC695+AH$7,_xlfn.workday.intl(int(AC695),1,"0000001",Holidays!A:A)+hour(AC695+AH$7-$B$1)/24+minute(AC695)/1440),"")</f>
        <v/>
      </c>
      <c r="AI695" s="104"/>
      <c r="AJ695" s="105"/>
      <c r="AK695" s="111" t="str">
        <f t="shared" si="8"/>
        <v/>
      </c>
      <c r="AL695" s="112" t="str">
        <f t="shared" si="9"/>
        <v/>
      </c>
      <c r="AM695" s="113"/>
      <c r="AN695" s="291" t="s">
        <v>2540</v>
      </c>
      <c r="AO695" s="115"/>
      <c r="AP695" s="115"/>
      <c r="AQ695" s="115"/>
      <c r="AR695" s="115"/>
      <c r="AS695" s="115"/>
      <c r="AT695" s="115"/>
      <c r="AU695" s="115"/>
      <c r="AV695" s="115"/>
      <c r="AW695" s="115"/>
      <c r="AX695" s="115"/>
      <c r="AY695" s="115"/>
    </row>
    <row r="696">
      <c r="A696" s="95" t="str">
        <f t="shared" si="11"/>
        <v/>
      </c>
      <c r="B696" s="100"/>
      <c r="C696" s="97"/>
      <c r="D696" s="97"/>
      <c r="E696" s="97"/>
      <c r="F696" s="97"/>
      <c r="G696" s="97"/>
      <c r="H696" s="99"/>
      <c r="I696" s="100"/>
      <c r="J696" s="101"/>
      <c r="K696" s="100"/>
      <c r="L696" s="102"/>
      <c r="M696" s="103" t="str">
        <f>if(B696,if(and(hour(B696+M$7)&gt;9.5,(hour(B696+M$7)&lt;19.5)),B696+M$7,_xlfn.workday.intl(int(B696),1,"0000001",Holidays!A:A)+hour(B696+M$7-$B$1)/24+minute(B696)/1440),"")</f>
        <v/>
      </c>
      <c r="N696" s="104"/>
      <c r="O696" s="105"/>
      <c r="P696" s="106" t="str">
        <f t="shared" si="1"/>
        <v/>
      </c>
      <c r="Q696" s="107"/>
      <c r="R696" s="108"/>
      <c r="S696" s="103" t="str">
        <f>if(M696,if(and(hour(M696+S$7)&gt;9.5,(hour(M696+S$7)&lt;19.5)),M696+S$7,_xlfn.workday.intl(int(M696),1,"0000001",Holidays!A:A)+hour(M696+S$7-$B$1)/24+minute(M696)/1440),"")</f>
        <v/>
      </c>
      <c r="T696" s="104"/>
      <c r="U696" s="105"/>
      <c r="V696" s="109" t="str">
        <f t="shared" si="2"/>
        <v/>
      </c>
      <c r="W696" s="110" t="str">
        <f t="shared" si="3"/>
        <v/>
      </c>
      <c r="X696" s="103" t="str">
        <f>if(S696,if(and(hour(S696+X$7)&gt;9.5,(hour(S696+X$7)&lt;19.5)),S696+X$7,_xlfn.workday.intl(int(S696),1,"0000001",Holidays!A:A)+hour(S696+X$7-$B$1)/24+minute(S696)/1440),"")</f>
        <v/>
      </c>
      <c r="Y696" s="104"/>
      <c r="Z696" s="105"/>
      <c r="AA696" s="111" t="str">
        <f t="shared" si="4"/>
        <v/>
      </c>
      <c r="AB696" s="110" t="str">
        <f t="shared" si="5"/>
        <v/>
      </c>
      <c r="AC696" s="103" t="str">
        <f>if(X696,_xlfn.WORKDAY.INTL(X696,AC$7,"0000001",Holidays!A:A)+hour(X696)/24+MINUTE(X696)/1440,"")</f>
        <v/>
      </c>
      <c r="AD696" s="104"/>
      <c r="AE696" s="105"/>
      <c r="AF696" s="111" t="str">
        <f t="shared" si="6"/>
        <v/>
      </c>
      <c r="AG696" s="110" t="str">
        <f t="shared" si="7"/>
        <v/>
      </c>
      <c r="AH696" s="103" t="str">
        <f>if(AC696,if(and(hour(AC696+AH$7)&gt;9.5,(hour(AC696+AH$7)&lt;19.5)),AC696+AH$7,_xlfn.workday.intl(int(AC696),1,"0000001",Holidays!A:A)+hour(AC696+AH$7-$B$1)/24+minute(AC696)/1440),"")</f>
        <v/>
      </c>
      <c r="AI696" s="104"/>
      <c r="AJ696" s="105"/>
      <c r="AK696" s="111" t="str">
        <f t="shared" si="8"/>
        <v/>
      </c>
      <c r="AL696" s="112" t="str">
        <f t="shared" si="9"/>
        <v/>
      </c>
      <c r="AM696" s="113"/>
      <c r="AN696" s="291" t="s">
        <v>2540</v>
      </c>
      <c r="AO696" s="115"/>
      <c r="AP696" s="115"/>
      <c r="AQ696" s="115"/>
      <c r="AR696" s="115"/>
      <c r="AS696" s="115"/>
      <c r="AT696" s="115"/>
      <c r="AU696" s="115"/>
      <c r="AV696" s="115"/>
      <c r="AW696" s="115"/>
      <c r="AX696" s="115"/>
      <c r="AY696" s="115"/>
    </row>
    <row r="697">
      <c r="A697" s="95" t="str">
        <f t="shared" si="11"/>
        <v/>
      </c>
      <c r="B697" s="100"/>
      <c r="C697" s="97"/>
      <c r="D697" s="97"/>
      <c r="E697" s="97"/>
      <c r="F697" s="97"/>
      <c r="G697" s="97"/>
      <c r="H697" s="99"/>
      <c r="I697" s="100"/>
      <c r="J697" s="101"/>
      <c r="K697" s="100"/>
      <c r="L697" s="102"/>
      <c r="M697" s="103" t="str">
        <f>if(B697,if(and(hour(B697+M$7)&gt;9.5,(hour(B697+M$7)&lt;19.5)),B697+M$7,_xlfn.workday.intl(int(B697),1,"0000001",Holidays!A:A)+hour(B697+M$7-$B$1)/24+minute(B697)/1440),"")</f>
        <v/>
      </c>
      <c r="N697" s="104"/>
      <c r="O697" s="105"/>
      <c r="P697" s="106" t="str">
        <f t="shared" si="1"/>
        <v/>
      </c>
      <c r="Q697" s="107"/>
      <c r="R697" s="108"/>
      <c r="S697" s="103" t="str">
        <f>if(M697,if(and(hour(M697+S$7)&gt;9.5,(hour(M697+S$7)&lt;19.5)),M697+S$7,_xlfn.workday.intl(int(M697),1,"0000001",Holidays!A:A)+hour(M697+S$7-$B$1)/24+minute(M697)/1440),"")</f>
        <v/>
      </c>
      <c r="T697" s="104"/>
      <c r="U697" s="105"/>
      <c r="V697" s="109" t="str">
        <f t="shared" si="2"/>
        <v/>
      </c>
      <c r="W697" s="110" t="str">
        <f t="shared" si="3"/>
        <v/>
      </c>
      <c r="X697" s="103" t="str">
        <f>if(S697,if(and(hour(S697+X$7)&gt;9.5,(hour(S697+X$7)&lt;19.5)),S697+X$7,_xlfn.workday.intl(int(S697),1,"0000001",Holidays!A:A)+hour(S697+X$7-$B$1)/24+minute(S697)/1440),"")</f>
        <v/>
      </c>
      <c r="Y697" s="104"/>
      <c r="Z697" s="105"/>
      <c r="AA697" s="111" t="str">
        <f t="shared" si="4"/>
        <v/>
      </c>
      <c r="AB697" s="110" t="str">
        <f t="shared" si="5"/>
        <v/>
      </c>
      <c r="AC697" s="103" t="str">
        <f>if(X697,_xlfn.WORKDAY.INTL(X697,AC$7,"0000001",Holidays!A:A)+hour(X697)/24+MINUTE(X697)/1440,"")</f>
        <v/>
      </c>
      <c r="AD697" s="104"/>
      <c r="AE697" s="105"/>
      <c r="AF697" s="111" t="str">
        <f t="shared" si="6"/>
        <v/>
      </c>
      <c r="AG697" s="110" t="str">
        <f t="shared" si="7"/>
        <v/>
      </c>
      <c r="AH697" s="103" t="str">
        <f>if(AC697,if(and(hour(AC697+AH$7)&gt;9.5,(hour(AC697+AH$7)&lt;19.5)),AC697+AH$7,_xlfn.workday.intl(int(AC697),1,"0000001",Holidays!A:A)+hour(AC697+AH$7-$B$1)/24+minute(AC697)/1440),"")</f>
        <v/>
      </c>
      <c r="AI697" s="104"/>
      <c r="AJ697" s="105"/>
      <c r="AK697" s="111" t="str">
        <f t="shared" si="8"/>
        <v/>
      </c>
      <c r="AL697" s="112" t="str">
        <f t="shared" si="9"/>
        <v/>
      </c>
      <c r="AM697" s="113"/>
      <c r="AN697" s="291" t="s">
        <v>2540</v>
      </c>
      <c r="AO697" s="115"/>
      <c r="AP697" s="115"/>
      <c r="AQ697" s="115"/>
      <c r="AR697" s="115"/>
      <c r="AS697" s="115"/>
      <c r="AT697" s="115"/>
      <c r="AU697" s="115"/>
      <c r="AV697" s="115"/>
      <c r="AW697" s="115"/>
      <c r="AX697" s="115"/>
      <c r="AY697" s="115"/>
    </row>
    <row r="698">
      <c r="A698" s="95" t="str">
        <f t="shared" si="11"/>
        <v/>
      </c>
      <c r="B698" s="100"/>
      <c r="C698" s="97"/>
      <c r="D698" s="97"/>
      <c r="E698" s="97"/>
      <c r="F698" s="97"/>
      <c r="G698" s="97"/>
      <c r="H698" s="99"/>
      <c r="I698" s="100"/>
      <c r="J698" s="101"/>
      <c r="K698" s="100"/>
      <c r="L698" s="102"/>
      <c r="M698" s="103" t="str">
        <f>if(B698,if(and(hour(B698+M$7)&gt;9.5,(hour(B698+M$7)&lt;19.5)),B698+M$7,_xlfn.workday.intl(int(B698),1,"0000001",Holidays!A:A)+hour(B698+M$7-$B$1)/24+minute(B698)/1440),"")</f>
        <v/>
      </c>
      <c r="N698" s="104"/>
      <c r="O698" s="105"/>
      <c r="P698" s="106" t="str">
        <f t="shared" si="1"/>
        <v/>
      </c>
      <c r="Q698" s="107"/>
      <c r="R698" s="108"/>
      <c r="S698" s="103" t="str">
        <f>if(M698,if(and(hour(M698+S$7)&gt;9.5,(hour(M698+S$7)&lt;19.5)),M698+S$7,_xlfn.workday.intl(int(M698),1,"0000001",Holidays!A:A)+hour(M698+S$7-$B$1)/24+minute(M698)/1440),"")</f>
        <v/>
      </c>
      <c r="T698" s="104"/>
      <c r="U698" s="105"/>
      <c r="V698" s="109" t="str">
        <f t="shared" si="2"/>
        <v/>
      </c>
      <c r="W698" s="110" t="str">
        <f t="shared" si="3"/>
        <v/>
      </c>
      <c r="X698" s="103" t="str">
        <f>if(S698,if(and(hour(S698+X$7)&gt;9.5,(hour(S698+X$7)&lt;19.5)),S698+X$7,_xlfn.workday.intl(int(S698),1,"0000001",Holidays!A:A)+hour(S698+X$7-$B$1)/24+minute(S698)/1440),"")</f>
        <v/>
      </c>
      <c r="Y698" s="104"/>
      <c r="Z698" s="105"/>
      <c r="AA698" s="111" t="str">
        <f t="shared" si="4"/>
        <v/>
      </c>
      <c r="AB698" s="110" t="str">
        <f t="shared" si="5"/>
        <v/>
      </c>
      <c r="AC698" s="103" t="str">
        <f>if(X698,_xlfn.WORKDAY.INTL(X698,AC$7,"0000001",Holidays!A:A)+hour(X698)/24+MINUTE(X698)/1440,"")</f>
        <v/>
      </c>
      <c r="AD698" s="104"/>
      <c r="AE698" s="105"/>
      <c r="AF698" s="111" t="str">
        <f t="shared" si="6"/>
        <v/>
      </c>
      <c r="AG698" s="110" t="str">
        <f t="shared" si="7"/>
        <v/>
      </c>
      <c r="AH698" s="103" t="str">
        <f>if(AC698,if(and(hour(AC698+AH$7)&gt;9.5,(hour(AC698+AH$7)&lt;19.5)),AC698+AH$7,_xlfn.workday.intl(int(AC698),1,"0000001",Holidays!A:A)+hour(AC698+AH$7-$B$1)/24+minute(AC698)/1440),"")</f>
        <v/>
      </c>
      <c r="AI698" s="104"/>
      <c r="AJ698" s="105"/>
      <c r="AK698" s="111" t="str">
        <f t="shared" si="8"/>
        <v/>
      </c>
      <c r="AL698" s="112" t="str">
        <f t="shared" si="9"/>
        <v/>
      </c>
      <c r="AM698" s="113"/>
      <c r="AN698" s="291" t="s">
        <v>2540</v>
      </c>
      <c r="AO698" s="115"/>
      <c r="AP698" s="115"/>
      <c r="AQ698" s="115"/>
      <c r="AR698" s="115"/>
      <c r="AS698" s="115"/>
      <c r="AT698" s="115"/>
      <c r="AU698" s="115"/>
      <c r="AV698" s="115"/>
      <c r="AW698" s="115"/>
      <c r="AX698" s="115"/>
      <c r="AY698" s="115"/>
    </row>
    <row r="699">
      <c r="A699" s="95" t="str">
        <f t="shared" si="11"/>
        <v/>
      </c>
      <c r="B699" s="100"/>
      <c r="C699" s="97"/>
      <c r="D699" s="97"/>
      <c r="E699" s="97"/>
      <c r="F699" s="97"/>
      <c r="G699" s="97"/>
      <c r="H699" s="99"/>
      <c r="I699" s="100"/>
      <c r="J699" s="101"/>
      <c r="K699" s="100"/>
      <c r="L699" s="102"/>
      <c r="M699" s="103" t="str">
        <f>if(B699,if(and(hour(B699+M$7)&gt;9.5,(hour(B699+M$7)&lt;19.5)),B699+M$7,_xlfn.workday.intl(int(B699),1,"0000001",Holidays!A:A)+hour(B699+M$7-$B$1)/24+minute(B699)/1440),"")</f>
        <v/>
      </c>
      <c r="N699" s="104"/>
      <c r="O699" s="105"/>
      <c r="P699" s="106" t="str">
        <f t="shared" si="1"/>
        <v/>
      </c>
      <c r="Q699" s="107"/>
      <c r="R699" s="108"/>
      <c r="S699" s="103" t="str">
        <f>if(M699,if(and(hour(M699+S$7)&gt;9.5,(hour(M699+S$7)&lt;19.5)),M699+S$7,_xlfn.workday.intl(int(M699),1,"0000001",Holidays!A:A)+hour(M699+S$7-$B$1)/24+minute(M699)/1440),"")</f>
        <v/>
      </c>
      <c r="T699" s="104"/>
      <c r="U699" s="105"/>
      <c r="V699" s="109" t="str">
        <f t="shared" si="2"/>
        <v/>
      </c>
      <c r="W699" s="110" t="str">
        <f t="shared" si="3"/>
        <v/>
      </c>
      <c r="X699" s="103" t="str">
        <f>if(S699,if(and(hour(S699+X$7)&gt;9.5,(hour(S699+X$7)&lt;19.5)),S699+X$7,_xlfn.workday.intl(int(S699),1,"0000001",Holidays!A:A)+hour(S699+X$7-$B$1)/24+minute(S699)/1440),"")</f>
        <v/>
      </c>
      <c r="Y699" s="104"/>
      <c r="Z699" s="105"/>
      <c r="AA699" s="111" t="str">
        <f t="shared" si="4"/>
        <v/>
      </c>
      <c r="AB699" s="110" t="str">
        <f t="shared" si="5"/>
        <v/>
      </c>
      <c r="AC699" s="103" t="str">
        <f>if(X699,_xlfn.WORKDAY.INTL(X699,AC$7,"0000001",Holidays!A:A)+hour(X699)/24+MINUTE(X699)/1440,"")</f>
        <v/>
      </c>
      <c r="AD699" s="104"/>
      <c r="AE699" s="105"/>
      <c r="AF699" s="111" t="str">
        <f t="shared" si="6"/>
        <v/>
      </c>
      <c r="AG699" s="110" t="str">
        <f t="shared" si="7"/>
        <v/>
      </c>
      <c r="AH699" s="103" t="str">
        <f>if(AC699,if(and(hour(AC699+AH$7)&gt;9.5,(hour(AC699+AH$7)&lt;19.5)),AC699+AH$7,_xlfn.workday.intl(int(AC699),1,"0000001",Holidays!A:A)+hour(AC699+AH$7-$B$1)/24+minute(AC699)/1440),"")</f>
        <v/>
      </c>
      <c r="AI699" s="104"/>
      <c r="AJ699" s="105"/>
      <c r="AK699" s="111" t="str">
        <f t="shared" si="8"/>
        <v/>
      </c>
      <c r="AL699" s="112" t="str">
        <f t="shared" si="9"/>
        <v/>
      </c>
      <c r="AM699" s="113"/>
      <c r="AN699" s="291" t="s">
        <v>2540</v>
      </c>
      <c r="AO699" s="115"/>
      <c r="AP699" s="115"/>
      <c r="AQ699" s="115"/>
      <c r="AR699" s="115"/>
      <c r="AS699" s="115"/>
      <c r="AT699" s="115"/>
      <c r="AU699" s="115"/>
      <c r="AV699" s="115"/>
      <c r="AW699" s="115"/>
      <c r="AX699" s="115"/>
      <c r="AY699" s="115"/>
    </row>
    <row r="700">
      <c r="A700" s="95" t="str">
        <f t="shared" si="11"/>
        <v/>
      </c>
      <c r="B700" s="100"/>
      <c r="C700" s="97"/>
      <c r="D700" s="97"/>
      <c r="E700" s="97"/>
      <c r="F700" s="97"/>
      <c r="G700" s="97"/>
      <c r="H700" s="99"/>
      <c r="I700" s="100"/>
      <c r="J700" s="101"/>
      <c r="K700" s="100"/>
      <c r="L700" s="102"/>
      <c r="M700" s="103" t="str">
        <f>if(B700,if(and(hour(B700+M$7)&gt;9.5,(hour(B700+M$7)&lt;19.5)),B700+M$7,_xlfn.workday.intl(int(B700),1,"0000001",Holidays!A:A)+hour(B700+M$7-$B$1)/24+minute(B700)/1440),"")</f>
        <v/>
      </c>
      <c r="N700" s="104"/>
      <c r="O700" s="105"/>
      <c r="P700" s="106" t="str">
        <f t="shared" si="1"/>
        <v/>
      </c>
      <c r="Q700" s="107"/>
      <c r="R700" s="108"/>
      <c r="S700" s="103" t="str">
        <f>if(M700,if(and(hour(M700+S$7)&gt;9.5,(hour(M700+S$7)&lt;19.5)),M700+S$7,_xlfn.workday.intl(int(M700),1,"0000001",Holidays!A:A)+hour(M700+S$7-$B$1)/24+minute(M700)/1440),"")</f>
        <v/>
      </c>
      <c r="T700" s="104"/>
      <c r="U700" s="105"/>
      <c r="V700" s="109" t="str">
        <f t="shared" si="2"/>
        <v/>
      </c>
      <c r="W700" s="110" t="str">
        <f t="shared" si="3"/>
        <v/>
      </c>
      <c r="X700" s="103" t="str">
        <f>if(S700,if(and(hour(S700+X$7)&gt;9.5,(hour(S700+X$7)&lt;19.5)),S700+X$7,_xlfn.workday.intl(int(S700),1,"0000001",Holidays!A:A)+hour(S700+X$7-$B$1)/24+minute(S700)/1440),"")</f>
        <v/>
      </c>
      <c r="Y700" s="104"/>
      <c r="Z700" s="105"/>
      <c r="AA700" s="111" t="str">
        <f t="shared" si="4"/>
        <v/>
      </c>
      <c r="AB700" s="110" t="str">
        <f t="shared" si="5"/>
        <v/>
      </c>
      <c r="AC700" s="103" t="str">
        <f>if(X700,_xlfn.WORKDAY.INTL(X700,AC$7,"0000001",Holidays!A:A)+hour(X700)/24+MINUTE(X700)/1440,"")</f>
        <v/>
      </c>
      <c r="AD700" s="104"/>
      <c r="AE700" s="105"/>
      <c r="AF700" s="111" t="str">
        <f t="shared" si="6"/>
        <v/>
      </c>
      <c r="AG700" s="110" t="str">
        <f t="shared" si="7"/>
        <v/>
      </c>
      <c r="AH700" s="103" t="str">
        <f>if(AC700,if(and(hour(AC700+AH$7)&gt;9.5,(hour(AC700+AH$7)&lt;19.5)),AC700+AH$7,_xlfn.workday.intl(int(AC700),1,"0000001",Holidays!A:A)+hour(AC700+AH$7-$B$1)/24+minute(AC700)/1440),"")</f>
        <v/>
      </c>
      <c r="AI700" s="104"/>
      <c r="AJ700" s="105"/>
      <c r="AK700" s="111" t="str">
        <f t="shared" si="8"/>
        <v/>
      </c>
      <c r="AL700" s="112" t="str">
        <f t="shared" si="9"/>
        <v/>
      </c>
      <c r="AM700" s="113"/>
      <c r="AN700" s="291" t="s">
        <v>2540</v>
      </c>
      <c r="AO700" s="115"/>
      <c r="AP700" s="115"/>
      <c r="AQ700" s="115"/>
      <c r="AR700" s="115"/>
      <c r="AS700" s="115"/>
      <c r="AT700" s="115"/>
      <c r="AU700" s="115"/>
      <c r="AV700" s="115"/>
      <c r="AW700" s="115"/>
      <c r="AX700" s="115"/>
      <c r="AY700" s="115"/>
    </row>
    <row r="701">
      <c r="A701" s="95" t="str">
        <f t="shared" si="11"/>
        <v/>
      </c>
      <c r="B701" s="100"/>
      <c r="C701" s="97"/>
      <c r="D701" s="97"/>
      <c r="E701" s="97"/>
      <c r="F701" s="97"/>
      <c r="G701" s="97"/>
      <c r="H701" s="99"/>
      <c r="I701" s="100"/>
      <c r="J701" s="101"/>
      <c r="K701" s="100"/>
      <c r="L701" s="102"/>
      <c r="M701" s="103" t="str">
        <f>if(B701,if(and(hour(B701+M$7)&gt;9.5,(hour(B701+M$7)&lt;19.5)),B701+M$7,_xlfn.workday.intl(int(B701),1,"0000001",Holidays!A:A)+hour(B701+M$7-$B$1)/24+minute(B701)/1440),"")</f>
        <v/>
      </c>
      <c r="N701" s="104"/>
      <c r="O701" s="105"/>
      <c r="P701" s="106" t="str">
        <f t="shared" si="1"/>
        <v/>
      </c>
      <c r="Q701" s="107"/>
      <c r="R701" s="108"/>
      <c r="S701" s="103" t="str">
        <f>if(M701,if(and(hour(M701+S$7)&gt;9.5,(hour(M701+S$7)&lt;19.5)),M701+S$7,_xlfn.workday.intl(int(M701),1,"0000001",Holidays!A:A)+hour(M701+S$7-$B$1)/24+minute(M701)/1440),"")</f>
        <v/>
      </c>
      <c r="T701" s="104"/>
      <c r="U701" s="105"/>
      <c r="V701" s="109" t="str">
        <f t="shared" si="2"/>
        <v/>
      </c>
      <c r="W701" s="110" t="str">
        <f t="shared" si="3"/>
        <v/>
      </c>
      <c r="X701" s="103" t="str">
        <f>if(S701,if(and(hour(S701+X$7)&gt;9.5,(hour(S701+X$7)&lt;19.5)),S701+X$7,_xlfn.workday.intl(int(S701),1,"0000001",Holidays!A:A)+hour(S701+X$7-$B$1)/24+minute(S701)/1440),"")</f>
        <v/>
      </c>
      <c r="Y701" s="104"/>
      <c r="Z701" s="105"/>
      <c r="AA701" s="111" t="str">
        <f t="shared" si="4"/>
        <v/>
      </c>
      <c r="AB701" s="110" t="str">
        <f t="shared" si="5"/>
        <v/>
      </c>
      <c r="AC701" s="103" t="str">
        <f>if(X701,_xlfn.WORKDAY.INTL(X701,AC$7,"0000001",Holidays!A:A)+hour(X701)/24+MINUTE(X701)/1440,"")</f>
        <v/>
      </c>
      <c r="AD701" s="104"/>
      <c r="AE701" s="105"/>
      <c r="AF701" s="111" t="str">
        <f t="shared" si="6"/>
        <v/>
      </c>
      <c r="AG701" s="110" t="str">
        <f t="shared" si="7"/>
        <v/>
      </c>
      <c r="AH701" s="103" t="str">
        <f>if(AC701,if(and(hour(AC701+AH$7)&gt;9.5,(hour(AC701+AH$7)&lt;19.5)),AC701+AH$7,_xlfn.workday.intl(int(AC701),1,"0000001",Holidays!A:A)+hour(AC701+AH$7-$B$1)/24+minute(AC701)/1440),"")</f>
        <v/>
      </c>
      <c r="AI701" s="104"/>
      <c r="AJ701" s="105"/>
      <c r="AK701" s="111" t="str">
        <f t="shared" si="8"/>
        <v/>
      </c>
      <c r="AL701" s="112" t="str">
        <f t="shared" si="9"/>
        <v/>
      </c>
      <c r="AM701" s="113"/>
      <c r="AN701" s="291" t="s">
        <v>2540</v>
      </c>
      <c r="AO701" s="115"/>
      <c r="AP701" s="115"/>
      <c r="AQ701" s="115"/>
      <c r="AR701" s="115"/>
      <c r="AS701" s="115"/>
      <c r="AT701" s="115"/>
      <c r="AU701" s="115"/>
      <c r="AV701" s="115"/>
      <c r="AW701" s="115"/>
      <c r="AX701" s="115"/>
      <c r="AY701" s="115"/>
    </row>
    <row r="702">
      <c r="A702" s="95" t="str">
        <f t="shared" si="11"/>
        <v/>
      </c>
      <c r="B702" s="100"/>
      <c r="C702" s="97"/>
      <c r="D702" s="97"/>
      <c r="E702" s="97"/>
      <c r="F702" s="97"/>
      <c r="G702" s="97"/>
      <c r="H702" s="99"/>
      <c r="I702" s="100"/>
      <c r="J702" s="101"/>
      <c r="K702" s="100"/>
      <c r="L702" s="102"/>
      <c r="M702" s="103" t="str">
        <f>if(B702,if(and(hour(B702+M$7)&gt;9.5,(hour(B702+M$7)&lt;19.5)),B702+M$7,_xlfn.workday.intl(int(B702),1,"0000001",Holidays!A:A)+hour(B702+M$7-$B$1)/24+minute(B702)/1440),"")</f>
        <v/>
      </c>
      <c r="N702" s="104"/>
      <c r="O702" s="105"/>
      <c r="P702" s="106" t="str">
        <f t="shared" si="1"/>
        <v/>
      </c>
      <c r="Q702" s="107"/>
      <c r="R702" s="108"/>
      <c r="S702" s="103" t="str">
        <f>if(M702,if(and(hour(M702+S$7)&gt;9.5,(hour(M702+S$7)&lt;19.5)),M702+S$7,_xlfn.workday.intl(int(M702),1,"0000001",Holidays!A:A)+hour(M702+S$7-$B$1)/24+minute(M702)/1440),"")</f>
        <v/>
      </c>
      <c r="T702" s="104"/>
      <c r="U702" s="105"/>
      <c r="V702" s="109" t="str">
        <f t="shared" si="2"/>
        <v/>
      </c>
      <c r="W702" s="110" t="str">
        <f t="shared" si="3"/>
        <v/>
      </c>
      <c r="X702" s="103" t="str">
        <f>if(S702,if(and(hour(S702+X$7)&gt;9.5,(hour(S702+X$7)&lt;19.5)),S702+X$7,_xlfn.workday.intl(int(S702),1,"0000001",Holidays!A:A)+hour(S702+X$7-$B$1)/24+minute(S702)/1440),"")</f>
        <v/>
      </c>
      <c r="Y702" s="104"/>
      <c r="Z702" s="105"/>
      <c r="AA702" s="111" t="str">
        <f t="shared" si="4"/>
        <v/>
      </c>
      <c r="AB702" s="110" t="str">
        <f t="shared" si="5"/>
        <v/>
      </c>
      <c r="AC702" s="103" t="str">
        <f>if(X702,_xlfn.WORKDAY.INTL(X702,AC$7,"0000001",Holidays!A:A)+hour(X702)/24+MINUTE(X702)/1440,"")</f>
        <v/>
      </c>
      <c r="AD702" s="104"/>
      <c r="AE702" s="105"/>
      <c r="AF702" s="111" t="str">
        <f t="shared" si="6"/>
        <v/>
      </c>
      <c r="AG702" s="110" t="str">
        <f t="shared" si="7"/>
        <v/>
      </c>
      <c r="AH702" s="103" t="str">
        <f>if(AC702,if(and(hour(AC702+AH$7)&gt;9.5,(hour(AC702+AH$7)&lt;19.5)),AC702+AH$7,_xlfn.workday.intl(int(AC702),1,"0000001",Holidays!A:A)+hour(AC702+AH$7-$B$1)/24+minute(AC702)/1440),"")</f>
        <v/>
      </c>
      <c r="AI702" s="104"/>
      <c r="AJ702" s="105"/>
      <c r="AK702" s="111" t="str">
        <f t="shared" si="8"/>
        <v/>
      </c>
      <c r="AL702" s="112" t="str">
        <f t="shared" si="9"/>
        <v/>
      </c>
      <c r="AM702" s="113"/>
      <c r="AN702" s="291" t="s">
        <v>2540</v>
      </c>
      <c r="AO702" s="115"/>
      <c r="AP702" s="115"/>
      <c r="AQ702" s="115"/>
      <c r="AR702" s="115"/>
      <c r="AS702" s="115"/>
      <c r="AT702" s="115"/>
      <c r="AU702" s="115"/>
      <c r="AV702" s="115"/>
      <c r="AW702" s="115"/>
      <c r="AX702" s="115"/>
      <c r="AY702" s="115"/>
    </row>
    <row r="703">
      <c r="A703" s="95" t="str">
        <f t="shared" si="11"/>
        <v/>
      </c>
      <c r="B703" s="100"/>
      <c r="C703" s="97"/>
      <c r="D703" s="97"/>
      <c r="E703" s="97"/>
      <c r="F703" s="97"/>
      <c r="G703" s="97"/>
      <c r="H703" s="99"/>
      <c r="I703" s="100"/>
      <c r="J703" s="101"/>
      <c r="K703" s="100"/>
      <c r="L703" s="102"/>
      <c r="M703" s="103" t="str">
        <f>if(B703,if(and(hour(B703+M$7)&gt;9.5,(hour(B703+M$7)&lt;19.5)),B703+M$7,_xlfn.workday.intl(int(B703),1,"0000001",Holidays!A:A)+hour(B703+M$7-$B$1)/24+minute(B703)/1440),"")</f>
        <v/>
      </c>
      <c r="N703" s="104"/>
      <c r="O703" s="105"/>
      <c r="P703" s="106" t="str">
        <f t="shared" si="1"/>
        <v/>
      </c>
      <c r="Q703" s="107"/>
      <c r="R703" s="108"/>
      <c r="S703" s="103" t="str">
        <f>if(M703,if(and(hour(M703+S$7)&gt;9.5,(hour(M703+S$7)&lt;19.5)),M703+S$7,_xlfn.workday.intl(int(M703),1,"0000001",Holidays!A:A)+hour(M703+S$7-$B$1)/24+minute(M703)/1440),"")</f>
        <v/>
      </c>
      <c r="T703" s="104"/>
      <c r="U703" s="105"/>
      <c r="V703" s="109" t="str">
        <f t="shared" si="2"/>
        <v/>
      </c>
      <c r="W703" s="110" t="str">
        <f t="shared" si="3"/>
        <v/>
      </c>
      <c r="X703" s="103" t="str">
        <f>if(S703,if(and(hour(S703+X$7)&gt;9.5,(hour(S703+X$7)&lt;19.5)),S703+X$7,_xlfn.workday.intl(int(S703),1,"0000001",Holidays!A:A)+hour(S703+X$7-$B$1)/24+minute(S703)/1440),"")</f>
        <v/>
      </c>
      <c r="Y703" s="104"/>
      <c r="Z703" s="105"/>
      <c r="AA703" s="111" t="str">
        <f t="shared" si="4"/>
        <v/>
      </c>
      <c r="AB703" s="110" t="str">
        <f t="shared" si="5"/>
        <v/>
      </c>
      <c r="AC703" s="103" t="str">
        <f>if(X703,_xlfn.WORKDAY.INTL(X703,AC$7,"0000001",Holidays!A:A)+hour(X703)/24+MINUTE(X703)/1440,"")</f>
        <v/>
      </c>
      <c r="AD703" s="104"/>
      <c r="AE703" s="105"/>
      <c r="AF703" s="111" t="str">
        <f t="shared" si="6"/>
        <v/>
      </c>
      <c r="AG703" s="110" t="str">
        <f t="shared" si="7"/>
        <v/>
      </c>
      <c r="AH703" s="103" t="str">
        <f>if(AC703,if(and(hour(AC703+AH$7)&gt;9.5,(hour(AC703+AH$7)&lt;19.5)),AC703+AH$7,_xlfn.workday.intl(int(AC703),1,"0000001",Holidays!A:A)+hour(AC703+AH$7-$B$1)/24+minute(AC703)/1440),"")</f>
        <v/>
      </c>
      <c r="AI703" s="104"/>
      <c r="AJ703" s="105"/>
      <c r="AK703" s="111" t="str">
        <f t="shared" si="8"/>
        <v/>
      </c>
      <c r="AL703" s="112" t="str">
        <f t="shared" si="9"/>
        <v/>
      </c>
      <c r="AM703" s="113"/>
      <c r="AN703" s="291" t="s">
        <v>2540</v>
      </c>
      <c r="AO703" s="115"/>
      <c r="AP703" s="115"/>
      <c r="AQ703" s="115"/>
      <c r="AR703" s="115"/>
      <c r="AS703" s="115"/>
      <c r="AT703" s="115"/>
      <c r="AU703" s="115"/>
      <c r="AV703" s="115"/>
      <c r="AW703" s="115"/>
      <c r="AX703" s="115"/>
      <c r="AY703" s="115"/>
    </row>
    <row r="704">
      <c r="A704" s="95" t="str">
        <f t="shared" si="11"/>
        <v/>
      </c>
      <c r="B704" s="100"/>
      <c r="C704" s="97"/>
      <c r="D704" s="97"/>
      <c r="E704" s="97"/>
      <c r="F704" s="97"/>
      <c r="G704" s="97"/>
      <c r="H704" s="99"/>
      <c r="I704" s="100"/>
      <c r="J704" s="101"/>
      <c r="K704" s="100"/>
      <c r="L704" s="102"/>
      <c r="M704" s="103" t="str">
        <f>if(B704,if(and(hour(B704+M$7)&gt;9.5,(hour(B704+M$7)&lt;19.5)),B704+M$7,_xlfn.workday.intl(int(B704),1,"0000001",Holidays!A:A)+hour(B704+M$7-$B$1)/24+minute(B704)/1440),"")</f>
        <v/>
      </c>
      <c r="N704" s="104"/>
      <c r="O704" s="105"/>
      <c r="P704" s="106" t="str">
        <f t="shared" si="1"/>
        <v/>
      </c>
      <c r="Q704" s="107"/>
      <c r="R704" s="108"/>
      <c r="S704" s="103" t="str">
        <f>if(M704,if(and(hour(M704+S$7)&gt;9.5,(hour(M704+S$7)&lt;19.5)),M704+S$7,_xlfn.workday.intl(int(M704),1,"0000001",Holidays!A:A)+hour(M704+S$7-$B$1)/24+minute(M704)/1440),"")</f>
        <v/>
      </c>
      <c r="T704" s="104"/>
      <c r="U704" s="105"/>
      <c r="V704" s="109" t="str">
        <f t="shared" si="2"/>
        <v/>
      </c>
      <c r="W704" s="110" t="str">
        <f t="shared" si="3"/>
        <v/>
      </c>
      <c r="X704" s="103" t="str">
        <f>if(S704,if(and(hour(S704+X$7)&gt;9.5,(hour(S704+X$7)&lt;19.5)),S704+X$7,_xlfn.workday.intl(int(S704),1,"0000001",Holidays!A:A)+hour(S704+X$7-$B$1)/24+minute(S704)/1440),"")</f>
        <v/>
      </c>
      <c r="Y704" s="104"/>
      <c r="Z704" s="105"/>
      <c r="AA704" s="111" t="str">
        <f t="shared" si="4"/>
        <v/>
      </c>
      <c r="AB704" s="110" t="str">
        <f t="shared" si="5"/>
        <v/>
      </c>
      <c r="AC704" s="103" t="str">
        <f>if(X704,_xlfn.WORKDAY.INTL(X704,AC$7,"0000001",Holidays!A:A)+hour(X704)/24+MINUTE(X704)/1440,"")</f>
        <v/>
      </c>
      <c r="AD704" s="104"/>
      <c r="AE704" s="105"/>
      <c r="AF704" s="111" t="str">
        <f t="shared" si="6"/>
        <v/>
      </c>
      <c r="AG704" s="110" t="str">
        <f t="shared" si="7"/>
        <v/>
      </c>
      <c r="AH704" s="103" t="str">
        <f>if(AC704,if(and(hour(AC704+AH$7)&gt;9.5,(hour(AC704+AH$7)&lt;19.5)),AC704+AH$7,_xlfn.workday.intl(int(AC704),1,"0000001",Holidays!A:A)+hour(AC704+AH$7-$B$1)/24+minute(AC704)/1440),"")</f>
        <v/>
      </c>
      <c r="AI704" s="104"/>
      <c r="AJ704" s="105"/>
      <c r="AK704" s="111" t="str">
        <f t="shared" si="8"/>
        <v/>
      </c>
      <c r="AL704" s="112" t="str">
        <f t="shared" si="9"/>
        <v/>
      </c>
      <c r="AM704" s="113"/>
      <c r="AN704" s="291" t="s">
        <v>2540</v>
      </c>
      <c r="AO704" s="115"/>
      <c r="AP704" s="115"/>
      <c r="AQ704" s="115"/>
      <c r="AR704" s="115"/>
      <c r="AS704" s="115"/>
      <c r="AT704" s="115"/>
      <c r="AU704" s="115"/>
      <c r="AV704" s="115"/>
      <c r="AW704" s="115"/>
      <c r="AX704" s="115"/>
      <c r="AY704" s="115"/>
    </row>
    <row r="705">
      <c r="A705" s="95" t="str">
        <f t="shared" si="11"/>
        <v/>
      </c>
      <c r="B705" s="100"/>
      <c r="C705" s="97"/>
      <c r="D705" s="97"/>
      <c r="E705" s="97"/>
      <c r="F705" s="97"/>
      <c r="G705" s="97"/>
      <c r="H705" s="99"/>
      <c r="I705" s="100"/>
      <c r="J705" s="101"/>
      <c r="K705" s="100"/>
      <c r="L705" s="102"/>
      <c r="M705" s="103" t="str">
        <f>if(B705,if(and(hour(B705+M$7)&gt;9.5,(hour(B705+M$7)&lt;19.5)),B705+M$7,_xlfn.workday.intl(int(B705),1,"0000001",Holidays!A:A)+hour(B705+M$7-$B$1)/24+minute(B705)/1440),"")</f>
        <v/>
      </c>
      <c r="N705" s="104"/>
      <c r="O705" s="105"/>
      <c r="P705" s="106" t="str">
        <f t="shared" si="1"/>
        <v/>
      </c>
      <c r="Q705" s="107"/>
      <c r="R705" s="108"/>
      <c r="S705" s="103" t="str">
        <f>if(M705,if(and(hour(M705+S$7)&gt;9.5,(hour(M705+S$7)&lt;19.5)),M705+S$7,_xlfn.workday.intl(int(M705),1,"0000001",Holidays!A:A)+hour(M705+S$7-$B$1)/24+minute(M705)/1440),"")</f>
        <v/>
      </c>
      <c r="T705" s="104"/>
      <c r="U705" s="105"/>
      <c r="V705" s="109" t="str">
        <f t="shared" si="2"/>
        <v/>
      </c>
      <c r="W705" s="110" t="str">
        <f t="shared" si="3"/>
        <v/>
      </c>
      <c r="X705" s="103" t="str">
        <f>if(S705,if(and(hour(S705+X$7)&gt;9.5,(hour(S705+X$7)&lt;19.5)),S705+X$7,_xlfn.workday.intl(int(S705),1,"0000001",Holidays!A:A)+hour(S705+X$7-$B$1)/24+minute(S705)/1440),"")</f>
        <v/>
      </c>
      <c r="Y705" s="104"/>
      <c r="Z705" s="105"/>
      <c r="AA705" s="111" t="str">
        <f t="shared" si="4"/>
        <v/>
      </c>
      <c r="AB705" s="110" t="str">
        <f t="shared" si="5"/>
        <v/>
      </c>
      <c r="AC705" s="103" t="str">
        <f>if(X705,_xlfn.WORKDAY.INTL(X705,AC$7,"0000001",Holidays!A:A)+hour(X705)/24+MINUTE(X705)/1440,"")</f>
        <v/>
      </c>
      <c r="AD705" s="104"/>
      <c r="AE705" s="105"/>
      <c r="AF705" s="111" t="str">
        <f t="shared" si="6"/>
        <v/>
      </c>
      <c r="AG705" s="110" t="str">
        <f t="shared" si="7"/>
        <v/>
      </c>
      <c r="AH705" s="103" t="str">
        <f>if(AC705,if(and(hour(AC705+AH$7)&gt;9.5,(hour(AC705+AH$7)&lt;19.5)),AC705+AH$7,_xlfn.workday.intl(int(AC705),1,"0000001",Holidays!A:A)+hour(AC705+AH$7-$B$1)/24+minute(AC705)/1440),"")</f>
        <v/>
      </c>
      <c r="AI705" s="104"/>
      <c r="AJ705" s="105"/>
      <c r="AK705" s="111" t="str">
        <f t="shared" si="8"/>
        <v/>
      </c>
      <c r="AL705" s="112" t="str">
        <f t="shared" si="9"/>
        <v/>
      </c>
      <c r="AM705" s="113"/>
      <c r="AN705" s="291" t="s">
        <v>2540</v>
      </c>
      <c r="AO705" s="115"/>
      <c r="AP705" s="115"/>
      <c r="AQ705" s="115"/>
      <c r="AR705" s="115"/>
      <c r="AS705" s="115"/>
      <c r="AT705" s="115"/>
      <c r="AU705" s="115"/>
      <c r="AV705" s="115"/>
      <c r="AW705" s="115"/>
      <c r="AX705" s="115"/>
      <c r="AY705" s="115"/>
    </row>
    <row r="706">
      <c r="A706" s="95" t="str">
        <f t="shared" si="11"/>
        <v/>
      </c>
      <c r="B706" s="100"/>
      <c r="C706" s="97"/>
      <c r="D706" s="97"/>
      <c r="E706" s="97"/>
      <c r="F706" s="97"/>
      <c r="G706" s="97"/>
      <c r="H706" s="99"/>
      <c r="I706" s="100"/>
      <c r="J706" s="101"/>
      <c r="K706" s="100"/>
      <c r="L706" s="102"/>
      <c r="M706" s="103" t="str">
        <f>if(B706,if(and(hour(B706+M$7)&gt;9.5,(hour(B706+M$7)&lt;19.5)),B706+M$7,_xlfn.workday.intl(int(B706),1,"0000001",Holidays!A:A)+hour(B706+M$7-$B$1)/24+minute(B706)/1440),"")</f>
        <v/>
      </c>
      <c r="N706" s="104"/>
      <c r="O706" s="105"/>
      <c r="P706" s="106" t="str">
        <f t="shared" si="1"/>
        <v/>
      </c>
      <c r="Q706" s="107"/>
      <c r="R706" s="108"/>
      <c r="S706" s="103" t="str">
        <f>if(M706,if(and(hour(M706+S$7)&gt;9.5,(hour(M706+S$7)&lt;19.5)),M706+S$7,_xlfn.workday.intl(int(M706),1,"0000001",Holidays!A:A)+hour(M706+S$7-$B$1)/24+minute(M706)/1440),"")</f>
        <v/>
      </c>
      <c r="T706" s="104"/>
      <c r="U706" s="105"/>
      <c r="V706" s="109" t="str">
        <f t="shared" si="2"/>
        <v/>
      </c>
      <c r="W706" s="110" t="str">
        <f t="shared" si="3"/>
        <v/>
      </c>
      <c r="X706" s="103" t="str">
        <f>if(S706,if(and(hour(S706+X$7)&gt;9.5,(hour(S706+X$7)&lt;19.5)),S706+X$7,_xlfn.workday.intl(int(S706),1,"0000001",Holidays!A:A)+hour(S706+X$7-$B$1)/24+minute(S706)/1440),"")</f>
        <v/>
      </c>
      <c r="Y706" s="104"/>
      <c r="Z706" s="105"/>
      <c r="AA706" s="111" t="str">
        <f t="shared" si="4"/>
        <v/>
      </c>
      <c r="AB706" s="110" t="str">
        <f t="shared" si="5"/>
        <v/>
      </c>
      <c r="AC706" s="103" t="str">
        <f>if(X706,_xlfn.WORKDAY.INTL(X706,AC$7,"0000001",Holidays!A:A)+hour(X706)/24+MINUTE(X706)/1440,"")</f>
        <v/>
      </c>
      <c r="AD706" s="104"/>
      <c r="AE706" s="105"/>
      <c r="AF706" s="111" t="str">
        <f t="shared" si="6"/>
        <v/>
      </c>
      <c r="AG706" s="110" t="str">
        <f t="shared" si="7"/>
        <v/>
      </c>
      <c r="AH706" s="103" t="str">
        <f>if(AC706,if(and(hour(AC706+AH$7)&gt;9.5,(hour(AC706+AH$7)&lt;19.5)),AC706+AH$7,_xlfn.workday.intl(int(AC706),1,"0000001",Holidays!A:A)+hour(AC706+AH$7-$B$1)/24+minute(AC706)/1440),"")</f>
        <v/>
      </c>
      <c r="AI706" s="104"/>
      <c r="AJ706" s="105"/>
      <c r="AK706" s="111" t="str">
        <f t="shared" si="8"/>
        <v/>
      </c>
      <c r="AL706" s="112" t="str">
        <f t="shared" si="9"/>
        <v/>
      </c>
      <c r="AM706" s="113"/>
      <c r="AN706" s="291" t="s">
        <v>2540</v>
      </c>
      <c r="AO706" s="115"/>
      <c r="AP706" s="115"/>
      <c r="AQ706" s="115"/>
      <c r="AR706" s="115"/>
      <c r="AS706" s="115"/>
      <c r="AT706" s="115"/>
      <c r="AU706" s="115"/>
      <c r="AV706" s="115"/>
      <c r="AW706" s="115"/>
      <c r="AX706" s="115"/>
      <c r="AY706" s="115"/>
    </row>
    <row r="707">
      <c r="A707" s="95" t="str">
        <f t="shared" si="11"/>
        <v/>
      </c>
      <c r="B707" s="100"/>
      <c r="C707" s="97"/>
      <c r="D707" s="97"/>
      <c r="E707" s="97"/>
      <c r="F707" s="97"/>
      <c r="G707" s="97"/>
      <c r="H707" s="99"/>
      <c r="I707" s="100"/>
      <c r="J707" s="101"/>
      <c r="K707" s="100"/>
      <c r="L707" s="102"/>
      <c r="M707" s="103" t="str">
        <f>if(B707,if(and(hour(B707+M$7)&gt;9.5,(hour(B707+M$7)&lt;19.5)),B707+M$7,_xlfn.workday.intl(int(B707),1,"0000001",Holidays!A:A)+hour(B707+M$7-$B$1)/24+minute(B707)/1440),"")</f>
        <v/>
      </c>
      <c r="N707" s="104"/>
      <c r="O707" s="105"/>
      <c r="P707" s="106" t="str">
        <f t="shared" si="1"/>
        <v/>
      </c>
      <c r="Q707" s="107"/>
      <c r="R707" s="108"/>
      <c r="S707" s="103" t="str">
        <f>if(M707,if(and(hour(M707+S$7)&gt;9.5,(hour(M707+S$7)&lt;19.5)),M707+S$7,_xlfn.workday.intl(int(M707),1,"0000001",Holidays!A:A)+hour(M707+S$7-$B$1)/24+minute(M707)/1440),"")</f>
        <v/>
      </c>
      <c r="T707" s="104"/>
      <c r="U707" s="105"/>
      <c r="V707" s="109" t="str">
        <f t="shared" si="2"/>
        <v/>
      </c>
      <c r="W707" s="110" t="str">
        <f t="shared" si="3"/>
        <v/>
      </c>
      <c r="X707" s="103" t="str">
        <f>if(S707,if(and(hour(S707+X$7)&gt;9.5,(hour(S707+X$7)&lt;19.5)),S707+X$7,_xlfn.workday.intl(int(S707),1,"0000001",Holidays!A:A)+hour(S707+X$7-$B$1)/24+minute(S707)/1440),"")</f>
        <v/>
      </c>
      <c r="Y707" s="104"/>
      <c r="Z707" s="105"/>
      <c r="AA707" s="111" t="str">
        <f t="shared" si="4"/>
        <v/>
      </c>
      <c r="AB707" s="110" t="str">
        <f t="shared" si="5"/>
        <v/>
      </c>
      <c r="AC707" s="103" t="str">
        <f>if(X707,_xlfn.WORKDAY.INTL(X707,AC$7,"0000001",Holidays!A:A)+hour(X707)/24+MINUTE(X707)/1440,"")</f>
        <v/>
      </c>
      <c r="AD707" s="104"/>
      <c r="AE707" s="105"/>
      <c r="AF707" s="111" t="str">
        <f t="shared" si="6"/>
        <v/>
      </c>
      <c r="AG707" s="110" t="str">
        <f t="shared" si="7"/>
        <v/>
      </c>
      <c r="AH707" s="103" t="str">
        <f>if(AC707,if(and(hour(AC707+AH$7)&gt;9.5,(hour(AC707+AH$7)&lt;19.5)),AC707+AH$7,_xlfn.workday.intl(int(AC707),1,"0000001",Holidays!A:A)+hour(AC707+AH$7-$B$1)/24+minute(AC707)/1440),"")</f>
        <v/>
      </c>
      <c r="AI707" s="104"/>
      <c r="AJ707" s="105"/>
      <c r="AK707" s="111" t="str">
        <f t="shared" si="8"/>
        <v/>
      </c>
      <c r="AL707" s="112" t="str">
        <f t="shared" si="9"/>
        <v/>
      </c>
      <c r="AM707" s="113"/>
      <c r="AN707" s="291" t="s">
        <v>2540</v>
      </c>
      <c r="AO707" s="115"/>
      <c r="AP707" s="115"/>
      <c r="AQ707" s="115"/>
      <c r="AR707" s="115"/>
      <c r="AS707" s="115"/>
      <c r="AT707" s="115"/>
      <c r="AU707" s="115"/>
      <c r="AV707" s="115"/>
      <c r="AW707" s="115"/>
      <c r="AX707" s="115"/>
      <c r="AY707" s="115"/>
    </row>
    <row r="708">
      <c r="A708" s="95" t="str">
        <f t="shared" si="11"/>
        <v/>
      </c>
      <c r="B708" s="100"/>
      <c r="C708" s="97"/>
      <c r="D708" s="97"/>
      <c r="E708" s="97"/>
      <c r="F708" s="97"/>
      <c r="G708" s="97"/>
      <c r="H708" s="99"/>
      <c r="I708" s="100"/>
      <c r="J708" s="101"/>
      <c r="K708" s="100"/>
      <c r="L708" s="102"/>
      <c r="M708" s="103" t="str">
        <f>if(B708,if(and(hour(B708+M$7)&gt;9.5,(hour(B708+M$7)&lt;19.5)),B708+M$7,_xlfn.workday.intl(int(B708),1,"0000001",Holidays!A:A)+hour(B708+M$7-$B$1)/24+minute(B708)/1440),"")</f>
        <v/>
      </c>
      <c r="N708" s="104"/>
      <c r="O708" s="105"/>
      <c r="P708" s="106" t="str">
        <f t="shared" si="1"/>
        <v/>
      </c>
      <c r="Q708" s="107"/>
      <c r="R708" s="108"/>
      <c r="S708" s="103" t="str">
        <f>if(M708,if(and(hour(M708+S$7)&gt;9.5,(hour(M708+S$7)&lt;19.5)),M708+S$7,_xlfn.workday.intl(int(M708),1,"0000001",Holidays!A:A)+hour(M708+S$7-$B$1)/24+minute(M708)/1440),"")</f>
        <v/>
      </c>
      <c r="T708" s="104"/>
      <c r="U708" s="105"/>
      <c r="V708" s="109" t="str">
        <f t="shared" si="2"/>
        <v/>
      </c>
      <c r="W708" s="110" t="str">
        <f t="shared" si="3"/>
        <v/>
      </c>
      <c r="X708" s="103" t="str">
        <f>if(S708,if(and(hour(S708+X$7)&gt;9.5,(hour(S708+X$7)&lt;19.5)),S708+X$7,_xlfn.workday.intl(int(S708),1,"0000001",Holidays!A:A)+hour(S708+X$7-$B$1)/24+minute(S708)/1440),"")</f>
        <v/>
      </c>
      <c r="Y708" s="104"/>
      <c r="Z708" s="105"/>
      <c r="AA708" s="111" t="str">
        <f t="shared" si="4"/>
        <v/>
      </c>
      <c r="AB708" s="110" t="str">
        <f t="shared" si="5"/>
        <v/>
      </c>
      <c r="AC708" s="103" t="str">
        <f>if(X708,_xlfn.WORKDAY.INTL(X708,AC$7,"0000001",Holidays!A:A)+hour(X708)/24+MINUTE(X708)/1440,"")</f>
        <v/>
      </c>
      <c r="AD708" s="104"/>
      <c r="AE708" s="105"/>
      <c r="AF708" s="111" t="str">
        <f t="shared" si="6"/>
        <v/>
      </c>
      <c r="AG708" s="110" t="str">
        <f t="shared" si="7"/>
        <v/>
      </c>
      <c r="AH708" s="103" t="str">
        <f>if(AC708,if(and(hour(AC708+AH$7)&gt;9.5,(hour(AC708+AH$7)&lt;19.5)),AC708+AH$7,_xlfn.workday.intl(int(AC708),1,"0000001",Holidays!A:A)+hour(AC708+AH$7-$B$1)/24+minute(AC708)/1440),"")</f>
        <v/>
      </c>
      <c r="AI708" s="104"/>
      <c r="AJ708" s="105"/>
      <c r="AK708" s="111" t="str">
        <f t="shared" si="8"/>
        <v/>
      </c>
      <c r="AL708" s="112" t="str">
        <f t="shared" si="9"/>
        <v/>
      </c>
      <c r="AM708" s="113"/>
      <c r="AN708" s="291" t="s">
        <v>2540</v>
      </c>
      <c r="AO708" s="115"/>
      <c r="AP708" s="115"/>
      <c r="AQ708" s="115"/>
      <c r="AR708" s="115"/>
      <c r="AS708" s="115"/>
      <c r="AT708" s="115"/>
      <c r="AU708" s="115"/>
      <c r="AV708" s="115"/>
      <c r="AW708" s="115"/>
      <c r="AX708" s="115"/>
      <c r="AY708" s="115"/>
    </row>
    <row r="709">
      <c r="A709" s="95" t="str">
        <f t="shared" si="11"/>
        <v/>
      </c>
      <c r="B709" s="100"/>
      <c r="C709" s="97"/>
      <c r="D709" s="97"/>
      <c r="E709" s="97"/>
      <c r="F709" s="97"/>
      <c r="G709" s="97"/>
      <c r="H709" s="99"/>
      <c r="I709" s="100"/>
      <c r="J709" s="101"/>
      <c r="K709" s="100"/>
      <c r="L709" s="102"/>
      <c r="M709" s="103" t="str">
        <f>if(B709,if(and(hour(B709+M$7)&gt;9.5,(hour(B709+M$7)&lt;19.5)),B709+M$7,_xlfn.workday.intl(int(B709),1,"0000001",Holidays!A:A)+hour(B709+M$7-$B$1)/24+minute(B709)/1440),"")</f>
        <v/>
      </c>
      <c r="N709" s="104"/>
      <c r="O709" s="105"/>
      <c r="P709" s="106" t="str">
        <f t="shared" si="1"/>
        <v/>
      </c>
      <c r="Q709" s="107"/>
      <c r="R709" s="108"/>
      <c r="S709" s="103" t="str">
        <f>if(M709,if(and(hour(M709+S$7)&gt;9.5,(hour(M709+S$7)&lt;19.5)),M709+S$7,_xlfn.workday.intl(int(M709),1,"0000001",Holidays!A:A)+hour(M709+S$7-$B$1)/24+minute(M709)/1440),"")</f>
        <v/>
      </c>
      <c r="T709" s="104"/>
      <c r="U709" s="105"/>
      <c r="V709" s="109" t="str">
        <f t="shared" si="2"/>
        <v/>
      </c>
      <c r="W709" s="110" t="str">
        <f t="shared" si="3"/>
        <v/>
      </c>
      <c r="X709" s="103" t="str">
        <f>if(S709,if(and(hour(S709+X$7)&gt;9.5,(hour(S709+X$7)&lt;19.5)),S709+X$7,_xlfn.workday.intl(int(S709),1,"0000001",Holidays!A:A)+hour(S709+X$7-$B$1)/24+minute(S709)/1440),"")</f>
        <v/>
      </c>
      <c r="Y709" s="104"/>
      <c r="Z709" s="105"/>
      <c r="AA709" s="111" t="str">
        <f t="shared" si="4"/>
        <v/>
      </c>
      <c r="AB709" s="110" t="str">
        <f t="shared" si="5"/>
        <v/>
      </c>
      <c r="AC709" s="103" t="str">
        <f>if(X709,_xlfn.WORKDAY.INTL(X709,AC$7,"0000001",Holidays!A:A)+hour(X709)/24+MINUTE(X709)/1440,"")</f>
        <v/>
      </c>
      <c r="AD709" s="104"/>
      <c r="AE709" s="105"/>
      <c r="AF709" s="111" t="str">
        <f t="shared" si="6"/>
        <v/>
      </c>
      <c r="AG709" s="110" t="str">
        <f t="shared" si="7"/>
        <v/>
      </c>
      <c r="AH709" s="103" t="str">
        <f>if(AC709,if(and(hour(AC709+AH$7)&gt;9.5,(hour(AC709+AH$7)&lt;19.5)),AC709+AH$7,_xlfn.workday.intl(int(AC709),1,"0000001",Holidays!A:A)+hour(AC709+AH$7-$B$1)/24+minute(AC709)/1440),"")</f>
        <v/>
      </c>
      <c r="AI709" s="104"/>
      <c r="AJ709" s="105"/>
      <c r="AK709" s="111" t="str">
        <f t="shared" si="8"/>
        <v/>
      </c>
      <c r="AL709" s="112" t="str">
        <f t="shared" si="9"/>
        <v/>
      </c>
      <c r="AM709" s="113"/>
      <c r="AN709" s="291" t="s">
        <v>2540</v>
      </c>
      <c r="AO709" s="115"/>
      <c r="AP709" s="115"/>
      <c r="AQ709" s="115"/>
      <c r="AR709" s="115"/>
      <c r="AS709" s="115"/>
      <c r="AT709" s="115"/>
      <c r="AU709" s="115"/>
      <c r="AV709" s="115"/>
      <c r="AW709" s="115"/>
      <c r="AX709" s="115"/>
      <c r="AY709" s="115"/>
    </row>
    <row r="710">
      <c r="A710" s="95" t="str">
        <f t="shared" si="11"/>
        <v/>
      </c>
      <c r="B710" s="100"/>
      <c r="C710" s="97"/>
      <c r="D710" s="97"/>
      <c r="E710" s="97"/>
      <c r="F710" s="97"/>
      <c r="G710" s="97"/>
      <c r="H710" s="99"/>
      <c r="I710" s="100"/>
      <c r="J710" s="101"/>
      <c r="K710" s="100"/>
      <c r="L710" s="102"/>
      <c r="M710" s="103" t="str">
        <f>if(B710,if(and(hour(B710+M$7)&gt;9.5,(hour(B710+M$7)&lt;19.5)),B710+M$7,_xlfn.workday.intl(int(B710),1,"0000001",Holidays!A:A)+hour(B710+M$7-$B$1)/24+minute(B710)/1440),"")</f>
        <v/>
      </c>
      <c r="N710" s="104"/>
      <c r="O710" s="105"/>
      <c r="P710" s="106" t="str">
        <f t="shared" si="1"/>
        <v/>
      </c>
      <c r="Q710" s="107"/>
      <c r="R710" s="108"/>
      <c r="S710" s="103" t="str">
        <f>if(M710,if(and(hour(M710+S$7)&gt;9.5,(hour(M710+S$7)&lt;19.5)),M710+S$7,_xlfn.workday.intl(int(M710),1,"0000001",Holidays!A:A)+hour(M710+S$7-$B$1)/24+minute(M710)/1440),"")</f>
        <v/>
      </c>
      <c r="T710" s="104"/>
      <c r="U710" s="105"/>
      <c r="V710" s="109" t="str">
        <f t="shared" si="2"/>
        <v/>
      </c>
      <c r="W710" s="110" t="str">
        <f t="shared" si="3"/>
        <v/>
      </c>
      <c r="X710" s="103" t="str">
        <f>if(S710,if(and(hour(S710+X$7)&gt;9.5,(hour(S710+X$7)&lt;19.5)),S710+X$7,_xlfn.workday.intl(int(S710),1,"0000001",Holidays!A:A)+hour(S710+X$7-$B$1)/24+minute(S710)/1440),"")</f>
        <v/>
      </c>
      <c r="Y710" s="104"/>
      <c r="Z710" s="105"/>
      <c r="AA710" s="111" t="str">
        <f t="shared" si="4"/>
        <v/>
      </c>
      <c r="AB710" s="110" t="str">
        <f t="shared" si="5"/>
        <v/>
      </c>
      <c r="AC710" s="103" t="str">
        <f>if(X710,_xlfn.WORKDAY.INTL(X710,AC$7,"0000001",Holidays!A:A)+hour(X710)/24+MINUTE(X710)/1440,"")</f>
        <v/>
      </c>
      <c r="AD710" s="104"/>
      <c r="AE710" s="105"/>
      <c r="AF710" s="111" t="str">
        <f t="shared" si="6"/>
        <v/>
      </c>
      <c r="AG710" s="110" t="str">
        <f t="shared" si="7"/>
        <v/>
      </c>
      <c r="AH710" s="103" t="str">
        <f>if(AC710,if(and(hour(AC710+AH$7)&gt;9.5,(hour(AC710+AH$7)&lt;19.5)),AC710+AH$7,_xlfn.workday.intl(int(AC710),1,"0000001",Holidays!A:A)+hour(AC710+AH$7-$B$1)/24+minute(AC710)/1440),"")</f>
        <v/>
      </c>
      <c r="AI710" s="104"/>
      <c r="AJ710" s="105"/>
      <c r="AK710" s="111" t="str">
        <f t="shared" si="8"/>
        <v/>
      </c>
      <c r="AL710" s="112" t="str">
        <f t="shared" si="9"/>
        <v/>
      </c>
      <c r="AM710" s="113"/>
      <c r="AN710" s="291" t="s">
        <v>2540</v>
      </c>
      <c r="AO710" s="115"/>
      <c r="AP710" s="115"/>
      <c r="AQ710" s="115"/>
      <c r="AR710" s="115"/>
      <c r="AS710" s="115"/>
      <c r="AT710" s="115"/>
      <c r="AU710" s="115"/>
      <c r="AV710" s="115"/>
      <c r="AW710" s="115"/>
      <c r="AX710" s="115"/>
      <c r="AY710" s="115"/>
    </row>
    <row r="711">
      <c r="A711" s="95" t="str">
        <f t="shared" si="11"/>
        <v/>
      </c>
      <c r="B711" s="100"/>
      <c r="C711" s="97"/>
      <c r="D711" s="97"/>
      <c r="E711" s="97"/>
      <c r="F711" s="97"/>
      <c r="G711" s="97"/>
      <c r="H711" s="99"/>
      <c r="I711" s="100"/>
      <c r="J711" s="101"/>
      <c r="K711" s="100"/>
      <c r="L711" s="102"/>
      <c r="M711" s="103" t="str">
        <f>if(B711,if(and(hour(B711+M$7)&gt;9.5,(hour(B711+M$7)&lt;19.5)),B711+M$7,_xlfn.workday.intl(int(B711),1,"0000001",Holidays!A:A)+hour(B711+M$7-$B$1)/24+minute(B711)/1440),"")</f>
        <v/>
      </c>
      <c r="N711" s="104"/>
      <c r="O711" s="105"/>
      <c r="P711" s="106" t="str">
        <f t="shared" si="1"/>
        <v/>
      </c>
      <c r="Q711" s="107"/>
      <c r="R711" s="108"/>
      <c r="S711" s="103" t="str">
        <f>if(M711,if(and(hour(M711+S$7)&gt;9.5,(hour(M711+S$7)&lt;19.5)),M711+S$7,_xlfn.workday.intl(int(M711),1,"0000001",Holidays!A:A)+hour(M711+S$7-$B$1)/24+minute(M711)/1440),"")</f>
        <v/>
      </c>
      <c r="T711" s="104"/>
      <c r="U711" s="105"/>
      <c r="V711" s="109" t="str">
        <f t="shared" si="2"/>
        <v/>
      </c>
      <c r="W711" s="110" t="str">
        <f t="shared" si="3"/>
        <v/>
      </c>
      <c r="X711" s="103" t="str">
        <f>if(S711,if(and(hour(S711+X$7)&gt;9.5,(hour(S711+X$7)&lt;19.5)),S711+X$7,_xlfn.workday.intl(int(S711),1,"0000001",Holidays!A:A)+hour(S711+X$7-$B$1)/24+minute(S711)/1440),"")</f>
        <v/>
      </c>
      <c r="Y711" s="104"/>
      <c r="Z711" s="105"/>
      <c r="AA711" s="111" t="str">
        <f t="shared" si="4"/>
        <v/>
      </c>
      <c r="AB711" s="110" t="str">
        <f t="shared" si="5"/>
        <v/>
      </c>
      <c r="AC711" s="103" t="str">
        <f>if(X711,_xlfn.WORKDAY.INTL(X711,AC$7,"0000001",Holidays!A:A)+hour(X711)/24+MINUTE(X711)/1440,"")</f>
        <v/>
      </c>
      <c r="AD711" s="104"/>
      <c r="AE711" s="105"/>
      <c r="AF711" s="111" t="str">
        <f t="shared" si="6"/>
        <v/>
      </c>
      <c r="AG711" s="110" t="str">
        <f t="shared" si="7"/>
        <v/>
      </c>
      <c r="AH711" s="103" t="str">
        <f>if(AC711,if(and(hour(AC711+AH$7)&gt;9.5,(hour(AC711+AH$7)&lt;19.5)),AC711+AH$7,_xlfn.workday.intl(int(AC711),1,"0000001",Holidays!A:A)+hour(AC711+AH$7-$B$1)/24+minute(AC711)/1440),"")</f>
        <v/>
      </c>
      <c r="AI711" s="104"/>
      <c r="AJ711" s="105"/>
      <c r="AK711" s="111" t="str">
        <f t="shared" si="8"/>
        <v/>
      </c>
      <c r="AL711" s="112" t="str">
        <f t="shared" si="9"/>
        <v/>
      </c>
      <c r="AM711" s="113"/>
      <c r="AN711" s="291" t="s">
        <v>2540</v>
      </c>
      <c r="AO711" s="115"/>
      <c r="AP711" s="115"/>
      <c r="AQ711" s="115"/>
      <c r="AR711" s="115"/>
      <c r="AS711" s="115"/>
      <c r="AT711" s="115"/>
      <c r="AU711" s="115"/>
      <c r="AV711" s="115"/>
      <c r="AW711" s="115"/>
      <c r="AX711" s="115"/>
      <c r="AY711" s="115"/>
    </row>
    <row r="712">
      <c r="A712" s="95" t="str">
        <f t="shared" si="11"/>
        <v/>
      </c>
      <c r="B712" s="100"/>
      <c r="C712" s="97"/>
      <c r="D712" s="97"/>
      <c r="E712" s="97"/>
      <c r="F712" s="97"/>
      <c r="G712" s="97"/>
      <c r="H712" s="99"/>
      <c r="I712" s="100"/>
      <c r="J712" s="101"/>
      <c r="K712" s="100"/>
      <c r="L712" s="102"/>
      <c r="M712" s="103" t="str">
        <f>if(B712,if(and(hour(B712+M$7)&gt;9.5,(hour(B712+M$7)&lt;19.5)),B712+M$7,_xlfn.workday.intl(int(B712),1,"0000001",Holidays!A:A)+hour(B712+M$7-$B$1)/24+minute(B712)/1440),"")</f>
        <v/>
      </c>
      <c r="N712" s="104"/>
      <c r="O712" s="105"/>
      <c r="P712" s="106" t="str">
        <f t="shared" si="1"/>
        <v/>
      </c>
      <c r="Q712" s="107"/>
      <c r="R712" s="108"/>
      <c r="S712" s="103" t="str">
        <f>if(M712,if(and(hour(M712+S$7)&gt;9.5,(hour(M712+S$7)&lt;19.5)),M712+S$7,_xlfn.workday.intl(int(M712),1,"0000001",Holidays!A:A)+hour(M712+S$7-$B$1)/24+minute(M712)/1440),"")</f>
        <v/>
      </c>
      <c r="T712" s="104"/>
      <c r="U712" s="105"/>
      <c r="V712" s="109" t="str">
        <f t="shared" si="2"/>
        <v/>
      </c>
      <c r="W712" s="110" t="str">
        <f t="shared" si="3"/>
        <v/>
      </c>
      <c r="X712" s="103" t="str">
        <f>if(S712,if(and(hour(S712+X$7)&gt;9.5,(hour(S712+X$7)&lt;19.5)),S712+X$7,_xlfn.workday.intl(int(S712),1,"0000001",Holidays!A:A)+hour(S712+X$7-$B$1)/24+minute(S712)/1440),"")</f>
        <v/>
      </c>
      <c r="Y712" s="104"/>
      <c r="Z712" s="105"/>
      <c r="AA712" s="111" t="str">
        <f t="shared" si="4"/>
        <v/>
      </c>
      <c r="AB712" s="110" t="str">
        <f t="shared" si="5"/>
        <v/>
      </c>
      <c r="AC712" s="103" t="str">
        <f>if(X712,_xlfn.WORKDAY.INTL(X712,AC$7,"0000001",Holidays!A:A)+hour(X712)/24+MINUTE(X712)/1440,"")</f>
        <v/>
      </c>
      <c r="AD712" s="104"/>
      <c r="AE712" s="105"/>
      <c r="AF712" s="111" t="str">
        <f t="shared" si="6"/>
        <v/>
      </c>
      <c r="AG712" s="110" t="str">
        <f t="shared" si="7"/>
        <v/>
      </c>
      <c r="AH712" s="103" t="str">
        <f>if(AC712,if(and(hour(AC712+AH$7)&gt;9.5,(hour(AC712+AH$7)&lt;19.5)),AC712+AH$7,_xlfn.workday.intl(int(AC712),1,"0000001",Holidays!A:A)+hour(AC712+AH$7-$B$1)/24+minute(AC712)/1440),"")</f>
        <v/>
      </c>
      <c r="AI712" s="104"/>
      <c r="AJ712" s="105"/>
      <c r="AK712" s="111" t="str">
        <f t="shared" si="8"/>
        <v/>
      </c>
      <c r="AL712" s="112" t="str">
        <f t="shared" si="9"/>
        <v/>
      </c>
      <c r="AM712" s="113"/>
      <c r="AN712" s="291" t="s">
        <v>2540</v>
      </c>
      <c r="AO712" s="115"/>
      <c r="AP712" s="115"/>
      <c r="AQ712" s="115"/>
      <c r="AR712" s="115"/>
      <c r="AS712" s="115"/>
      <c r="AT712" s="115"/>
      <c r="AU712" s="115"/>
      <c r="AV712" s="115"/>
      <c r="AW712" s="115"/>
      <c r="AX712" s="115"/>
      <c r="AY712" s="115"/>
    </row>
    <row r="713">
      <c r="A713" s="95" t="str">
        <f t="shared" si="11"/>
        <v/>
      </c>
      <c r="B713" s="100"/>
      <c r="C713" s="97"/>
      <c r="D713" s="97"/>
      <c r="E713" s="97"/>
      <c r="F713" s="97"/>
      <c r="G713" s="97"/>
      <c r="H713" s="99"/>
      <c r="I713" s="100"/>
      <c r="J713" s="101"/>
      <c r="K713" s="100"/>
      <c r="L713" s="102"/>
      <c r="M713" s="103" t="str">
        <f>if(B713,if(and(hour(B713+M$7)&gt;9.5,(hour(B713+M$7)&lt;19.5)),B713+M$7,_xlfn.workday.intl(int(B713),1,"0000001",Holidays!A:A)+hour(B713+M$7-$B$1)/24+minute(B713)/1440),"")</f>
        <v/>
      </c>
      <c r="N713" s="104"/>
      <c r="O713" s="105"/>
      <c r="P713" s="106" t="str">
        <f t="shared" si="1"/>
        <v/>
      </c>
      <c r="Q713" s="107"/>
      <c r="R713" s="108"/>
      <c r="S713" s="103" t="str">
        <f>if(M713,if(and(hour(M713+S$7)&gt;9.5,(hour(M713+S$7)&lt;19.5)),M713+S$7,_xlfn.workday.intl(int(M713),1,"0000001",Holidays!A:A)+hour(M713+S$7-$B$1)/24+minute(M713)/1440),"")</f>
        <v/>
      </c>
      <c r="T713" s="104"/>
      <c r="U713" s="105"/>
      <c r="V713" s="109" t="str">
        <f t="shared" si="2"/>
        <v/>
      </c>
      <c r="W713" s="110" t="str">
        <f t="shared" si="3"/>
        <v/>
      </c>
      <c r="X713" s="103" t="str">
        <f>if(S713,if(and(hour(S713+X$7)&gt;9.5,(hour(S713+X$7)&lt;19.5)),S713+X$7,_xlfn.workday.intl(int(S713),1,"0000001",Holidays!A:A)+hour(S713+X$7-$B$1)/24+minute(S713)/1440),"")</f>
        <v/>
      </c>
      <c r="Y713" s="104"/>
      <c r="Z713" s="105"/>
      <c r="AA713" s="111" t="str">
        <f t="shared" si="4"/>
        <v/>
      </c>
      <c r="AB713" s="110" t="str">
        <f t="shared" si="5"/>
        <v/>
      </c>
      <c r="AC713" s="103" t="str">
        <f>if(X713,_xlfn.WORKDAY.INTL(X713,AC$7,"0000001",Holidays!A:A)+hour(X713)/24+MINUTE(X713)/1440,"")</f>
        <v/>
      </c>
      <c r="AD713" s="104"/>
      <c r="AE713" s="105"/>
      <c r="AF713" s="111" t="str">
        <f t="shared" si="6"/>
        <v/>
      </c>
      <c r="AG713" s="110" t="str">
        <f t="shared" si="7"/>
        <v/>
      </c>
      <c r="AH713" s="103" t="str">
        <f>if(AC713,if(and(hour(AC713+AH$7)&gt;9.5,(hour(AC713+AH$7)&lt;19.5)),AC713+AH$7,_xlfn.workday.intl(int(AC713),1,"0000001",Holidays!A:A)+hour(AC713+AH$7-$B$1)/24+minute(AC713)/1440),"")</f>
        <v/>
      </c>
      <c r="AI713" s="104"/>
      <c r="AJ713" s="105"/>
      <c r="AK713" s="111" t="str">
        <f t="shared" si="8"/>
        <v/>
      </c>
      <c r="AL713" s="112" t="str">
        <f t="shared" si="9"/>
        <v/>
      </c>
      <c r="AM713" s="113"/>
      <c r="AN713" s="291" t="s">
        <v>2540</v>
      </c>
      <c r="AO713" s="115"/>
      <c r="AP713" s="115"/>
      <c r="AQ713" s="115"/>
      <c r="AR713" s="115"/>
      <c r="AS713" s="115"/>
      <c r="AT713" s="115"/>
      <c r="AU713" s="115"/>
      <c r="AV713" s="115"/>
      <c r="AW713" s="115"/>
      <c r="AX713" s="115"/>
      <c r="AY713" s="115"/>
    </row>
    <row r="714">
      <c r="A714" s="95" t="str">
        <f t="shared" si="11"/>
        <v/>
      </c>
      <c r="B714" s="100"/>
      <c r="C714" s="97"/>
      <c r="D714" s="97"/>
      <c r="E714" s="97"/>
      <c r="F714" s="97"/>
      <c r="G714" s="97"/>
      <c r="H714" s="99"/>
      <c r="I714" s="100"/>
      <c r="J714" s="101"/>
      <c r="K714" s="100"/>
      <c r="L714" s="102"/>
      <c r="M714" s="103" t="str">
        <f>if(B714,if(and(hour(B714+M$7)&gt;9.5,(hour(B714+M$7)&lt;19.5)),B714+M$7,_xlfn.workday.intl(int(B714),1,"0000001",Holidays!A:A)+hour(B714+M$7-$B$1)/24+minute(B714)/1440),"")</f>
        <v/>
      </c>
      <c r="N714" s="104"/>
      <c r="O714" s="105"/>
      <c r="P714" s="106" t="str">
        <f t="shared" si="1"/>
        <v/>
      </c>
      <c r="Q714" s="107"/>
      <c r="R714" s="108"/>
      <c r="S714" s="103" t="str">
        <f>if(M714,if(and(hour(M714+S$7)&gt;9.5,(hour(M714+S$7)&lt;19.5)),M714+S$7,_xlfn.workday.intl(int(M714),1,"0000001",Holidays!A:A)+hour(M714+S$7-$B$1)/24+minute(M714)/1440),"")</f>
        <v/>
      </c>
      <c r="T714" s="104"/>
      <c r="U714" s="105"/>
      <c r="V714" s="109" t="str">
        <f t="shared" si="2"/>
        <v/>
      </c>
      <c r="W714" s="110" t="str">
        <f t="shared" si="3"/>
        <v/>
      </c>
      <c r="X714" s="103" t="str">
        <f>if(S714,if(and(hour(S714+X$7)&gt;9.5,(hour(S714+X$7)&lt;19.5)),S714+X$7,_xlfn.workday.intl(int(S714),1,"0000001",Holidays!A:A)+hour(S714+X$7-$B$1)/24+minute(S714)/1440),"")</f>
        <v/>
      </c>
      <c r="Y714" s="104"/>
      <c r="Z714" s="105"/>
      <c r="AA714" s="111" t="str">
        <f t="shared" si="4"/>
        <v/>
      </c>
      <c r="AB714" s="110" t="str">
        <f t="shared" si="5"/>
        <v/>
      </c>
      <c r="AC714" s="103" t="str">
        <f>if(X714,_xlfn.WORKDAY.INTL(X714,AC$7,"0000001",Holidays!A:A)+hour(X714)/24+MINUTE(X714)/1440,"")</f>
        <v/>
      </c>
      <c r="AD714" s="104"/>
      <c r="AE714" s="105"/>
      <c r="AF714" s="111" t="str">
        <f t="shared" si="6"/>
        <v/>
      </c>
      <c r="AG714" s="110" t="str">
        <f t="shared" si="7"/>
        <v/>
      </c>
      <c r="AH714" s="103" t="str">
        <f>if(AC714,if(and(hour(AC714+AH$7)&gt;9.5,(hour(AC714+AH$7)&lt;19.5)),AC714+AH$7,_xlfn.workday.intl(int(AC714),1,"0000001",Holidays!A:A)+hour(AC714+AH$7-$B$1)/24+minute(AC714)/1440),"")</f>
        <v/>
      </c>
      <c r="AI714" s="104"/>
      <c r="AJ714" s="105"/>
      <c r="AK714" s="111" t="str">
        <f t="shared" si="8"/>
        <v/>
      </c>
      <c r="AL714" s="112" t="str">
        <f t="shared" si="9"/>
        <v/>
      </c>
      <c r="AM714" s="113"/>
      <c r="AN714" s="291" t="s">
        <v>2540</v>
      </c>
      <c r="AO714" s="115"/>
      <c r="AP714" s="115"/>
      <c r="AQ714" s="115"/>
      <c r="AR714" s="115"/>
      <c r="AS714" s="115"/>
      <c r="AT714" s="115"/>
      <c r="AU714" s="115"/>
      <c r="AV714" s="115"/>
      <c r="AW714" s="115"/>
      <c r="AX714" s="115"/>
      <c r="AY714" s="115"/>
    </row>
    <row r="715">
      <c r="A715" s="95" t="str">
        <f t="shared" si="11"/>
        <v/>
      </c>
      <c r="B715" s="100"/>
      <c r="C715" s="97"/>
      <c r="D715" s="97"/>
      <c r="E715" s="97"/>
      <c r="F715" s="97"/>
      <c r="G715" s="97"/>
      <c r="H715" s="99"/>
      <c r="I715" s="100"/>
      <c r="J715" s="101"/>
      <c r="K715" s="100"/>
      <c r="L715" s="102"/>
      <c r="M715" s="103" t="str">
        <f>if(B715,if(and(hour(B715+M$7)&gt;9.5,(hour(B715+M$7)&lt;19.5)),B715+M$7,_xlfn.workday.intl(int(B715),1,"0000001",Holidays!A:A)+hour(B715+M$7-$B$1)/24+minute(B715)/1440),"")</f>
        <v/>
      </c>
      <c r="N715" s="104"/>
      <c r="O715" s="105"/>
      <c r="P715" s="106" t="str">
        <f t="shared" si="1"/>
        <v/>
      </c>
      <c r="Q715" s="107"/>
      <c r="R715" s="108"/>
      <c r="S715" s="103" t="str">
        <f>if(M715,if(and(hour(M715+S$7)&gt;9.5,(hour(M715+S$7)&lt;19.5)),M715+S$7,_xlfn.workday.intl(int(M715),1,"0000001",Holidays!A:A)+hour(M715+S$7-$B$1)/24+minute(M715)/1440),"")</f>
        <v/>
      </c>
      <c r="T715" s="104"/>
      <c r="U715" s="105"/>
      <c r="V715" s="109" t="str">
        <f t="shared" si="2"/>
        <v/>
      </c>
      <c r="W715" s="110" t="str">
        <f t="shared" si="3"/>
        <v/>
      </c>
      <c r="X715" s="103" t="str">
        <f>if(S715,if(and(hour(S715+X$7)&gt;9.5,(hour(S715+X$7)&lt;19.5)),S715+X$7,_xlfn.workday.intl(int(S715),1,"0000001",Holidays!A:A)+hour(S715+X$7-$B$1)/24+minute(S715)/1440),"")</f>
        <v/>
      </c>
      <c r="Y715" s="104"/>
      <c r="Z715" s="105"/>
      <c r="AA715" s="111" t="str">
        <f t="shared" si="4"/>
        <v/>
      </c>
      <c r="AB715" s="110" t="str">
        <f t="shared" si="5"/>
        <v/>
      </c>
      <c r="AC715" s="103" t="str">
        <f>if(X715,_xlfn.WORKDAY.INTL(X715,AC$7,"0000001",Holidays!A:A)+hour(X715)/24+MINUTE(X715)/1440,"")</f>
        <v/>
      </c>
      <c r="AD715" s="104"/>
      <c r="AE715" s="105"/>
      <c r="AF715" s="111" t="str">
        <f t="shared" si="6"/>
        <v/>
      </c>
      <c r="AG715" s="110" t="str">
        <f t="shared" si="7"/>
        <v/>
      </c>
      <c r="AH715" s="103" t="str">
        <f>if(AC715,if(and(hour(AC715+AH$7)&gt;9.5,(hour(AC715+AH$7)&lt;19.5)),AC715+AH$7,_xlfn.workday.intl(int(AC715),1,"0000001",Holidays!A:A)+hour(AC715+AH$7-$B$1)/24+minute(AC715)/1440),"")</f>
        <v/>
      </c>
      <c r="AI715" s="104"/>
      <c r="AJ715" s="105"/>
      <c r="AK715" s="111" t="str">
        <f t="shared" si="8"/>
        <v/>
      </c>
      <c r="AL715" s="112" t="str">
        <f t="shared" si="9"/>
        <v/>
      </c>
      <c r="AM715" s="113"/>
      <c r="AN715" s="291" t="s">
        <v>2540</v>
      </c>
      <c r="AO715" s="115"/>
      <c r="AP715" s="115"/>
      <c r="AQ715" s="115"/>
      <c r="AR715" s="115"/>
      <c r="AS715" s="115"/>
      <c r="AT715" s="115"/>
      <c r="AU715" s="115"/>
      <c r="AV715" s="115"/>
      <c r="AW715" s="115"/>
      <c r="AX715" s="115"/>
      <c r="AY715" s="115"/>
    </row>
    <row r="716">
      <c r="A716" s="95" t="str">
        <f t="shared" si="11"/>
        <v/>
      </c>
      <c r="B716" s="100"/>
      <c r="C716" s="97"/>
      <c r="D716" s="97"/>
      <c r="E716" s="97"/>
      <c r="F716" s="97"/>
      <c r="G716" s="97"/>
      <c r="H716" s="99"/>
      <c r="I716" s="100"/>
      <c r="J716" s="101"/>
      <c r="K716" s="100"/>
      <c r="L716" s="102"/>
      <c r="M716" s="103" t="str">
        <f>if(B716,if(and(hour(B716+M$7)&gt;9.5,(hour(B716+M$7)&lt;19.5)),B716+M$7,_xlfn.workday.intl(int(B716),1,"0000001",Holidays!A:A)+hour(B716+M$7-$B$1)/24+minute(B716)/1440),"")</f>
        <v/>
      </c>
      <c r="N716" s="104"/>
      <c r="O716" s="105"/>
      <c r="P716" s="106" t="str">
        <f t="shared" si="1"/>
        <v/>
      </c>
      <c r="Q716" s="107"/>
      <c r="R716" s="108"/>
      <c r="S716" s="103" t="str">
        <f>if(M716,if(and(hour(M716+S$7)&gt;9.5,(hour(M716+S$7)&lt;19.5)),M716+S$7,_xlfn.workday.intl(int(M716),1,"0000001",Holidays!A:A)+hour(M716+S$7-$B$1)/24+minute(M716)/1440),"")</f>
        <v/>
      </c>
      <c r="T716" s="104"/>
      <c r="U716" s="105"/>
      <c r="V716" s="109" t="str">
        <f t="shared" si="2"/>
        <v/>
      </c>
      <c r="W716" s="110" t="str">
        <f t="shared" si="3"/>
        <v/>
      </c>
      <c r="X716" s="103" t="str">
        <f>if(S716,if(and(hour(S716+X$7)&gt;9.5,(hour(S716+X$7)&lt;19.5)),S716+X$7,_xlfn.workday.intl(int(S716),1,"0000001",Holidays!A:A)+hour(S716+X$7-$B$1)/24+minute(S716)/1440),"")</f>
        <v/>
      </c>
      <c r="Y716" s="104"/>
      <c r="Z716" s="105"/>
      <c r="AA716" s="111" t="str">
        <f t="shared" si="4"/>
        <v/>
      </c>
      <c r="AB716" s="110" t="str">
        <f t="shared" si="5"/>
        <v/>
      </c>
      <c r="AC716" s="103" t="str">
        <f>if(X716,_xlfn.WORKDAY.INTL(X716,AC$7,"0000001",Holidays!A:A)+hour(X716)/24+MINUTE(X716)/1440,"")</f>
        <v/>
      </c>
      <c r="AD716" s="104"/>
      <c r="AE716" s="105"/>
      <c r="AF716" s="111" t="str">
        <f t="shared" si="6"/>
        <v/>
      </c>
      <c r="AG716" s="110" t="str">
        <f t="shared" si="7"/>
        <v/>
      </c>
      <c r="AH716" s="103" t="str">
        <f>if(AC716,if(and(hour(AC716+AH$7)&gt;9.5,(hour(AC716+AH$7)&lt;19.5)),AC716+AH$7,_xlfn.workday.intl(int(AC716),1,"0000001",Holidays!A:A)+hour(AC716+AH$7-$B$1)/24+minute(AC716)/1440),"")</f>
        <v/>
      </c>
      <c r="AI716" s="104"/>
      <c r="AJ716" s="105"/>
      <c r="AK716" s="111" t="str">
        <f t="shared" si="8"/>
        <v/>
      </c>
      <c r="AL716" s="112" t="str">
        <f t="shared" si="9"/>
        <v/>
      </c>
      <c r="AM716" s="113"/>
      <c r="AN716" s="291" t="s">
        <v>2540</v>
      </c>
      <c r="AO716" s="115"/>
      <c r="AP716" s="115"/>
      <c r="AQ716" s="115"/>
      <c r="AR716" s="115"/>
      <c r="AS716" s="115"/>
      <c r="AT716" s="115"/>
      <c r="AU716" s="115"/>
      <c r="AV716" s="115"/>
      <c r="AW716" s="115"/>
      <c r="AX716" s="115"/>
      <c r="AY716" s="115"/>
    </row>
    <row r="717">
      <c r="A717" s="95" t="str">
        <f t="shared" si="11"/>
        <v/>
      </c>
      <c r="B717" s="100"/>
      <c r="C717" s="97"/>
      <c r="D717" s="97"/>
      <c r="E717" s="97"/>
      <c r="F717" s="97"/>
      <c r="G717" s="97"/>
      <c r="H717" s="99"/>
      <c r="I717" s="100"/>
      <c r="J717" s="101"/>
      <c r="K717" s="100"/>
      <c r="L717" s="102"/>
      <c r="M717" s="103" t="str">
        <f>if(B717,if(and(hour(B717+M$7)&gt;9.5,(hour(B717+M$7)&lt;19.5)),B717+M$7,_xlfn.workday.intl(int(B717),1,"0000001",Holidays!A:A)+hour(B717+M$7-$B$1)/24+minute(B717)/1440),"")</f>
        <v/>
      </c>
      <c r="N717" s="104"/>
      <c r="O717" s="105"/>
      <c r="P717" s="106" t="str">
        <f t="shared" si="1"/>
        <v/>
      </c>
      <c r="Q717" s="107"/>
      <c r="R717" s="108"/>
      <c r="S717" s="103" t="str">
        <f>if(M717,if(and(hour(M717+S$7)&gt;9.5,(hour(M717+S$7)&lt;19.5)),M717+S$7,_xlfn.workday.intl(int(M717),1,"0000001",Holidays!A:A)+hour(M717+S$7-$B$1)/24+minute(M717)/1440),"")</f>
        <v/>
      </c>
      <c r="T717" s="104"/>
      <c r="U717" s="105"/>
      <c r="V717" s="109" t="str">
        <f t="shared" si="2"/>
        <v/>
      </c>
      <c r="W717" s="110" t="str">
        <f t="shared" si="3"/>
        <v/>
      </c>
      <c r="X717" s="103" t="str">
        <f>if(S717,if(and(hour(S717+X$7)&gt;9.5,(hour(S717+X$7)&lt;19.5)),S717+X$7,_xlfn.workday.intl(int(S717),1,"0000001",Holidays!A:A)+hour(S717+X$7-$B$1)/24+minute(S717)/1440),"")</f>
        <v/>
      </c>
      <c r="Y717" s="104"/>
      <c r="Z717" s="105"/>
      <c r="AA717" s="111" t="str">
        <f t="shared" si="4"/>
        <v/>
      </c>
      <c r="AB717" s="110" t="str">
        <f t="shared" si="5"/>
        <v/>
      </c>
      <c r="AC717" s="103" t="str">
        <f>if(X717,_xlfn.WORKDAY.INTL(X717,AC$7,"0000001",Holidays!A:A)+hour(X717)/24+MINUTE(X717)/1440,"")</f>
        <v/>
      </c>
      <c r="AD717" s="104"/>
      <c r="AE717" s="105"/>
      <c r="AF717" s="111" t="str">
        <f t="shared" si="6"/>
        <v/>
      </c>
      <c r="AG717" s="110" t="str">
        <f t="shared" si="7"/>
        <v/>
      </c>
      <c r="AH717" s="103" t="str">
        <f>if(AC717,if(and(hour(AC717+AH$7)&gt;9.5,(hour(AC717+AH$7)&lt;19.5)),AC717+AH$7,_xlfn.workday.intl(int(AC717),1,"0000001",Holidays!A:A)+hour(AC717+AH$7-$B$1)/24+minute(AC717)/1440),"")</f>
        <v/>
      </c>
      <c r="AI717" s="104"/>
      <c r="AJ717" s="105"/>
      <c r="AK717" s="111" t="str">
        <f t="shared" si="8"/>
        <v/>
      </c>
      <c r="AL717" s="112" t="str">
        <f t="shared" si="9"/>
        <v/>
      </c>
      <c r="AM717" s="113"/>
      <c r="AN717" s="291" t="s">
        <v>2540</v>
      </c>
      <c r="AO717" s="115"/>
      <c r="AP717" s="115"/>
      <c r="AQ717" s="115"/>
      <c r="AR717" s="115"/>
      <c r="AS717" s="115"/>
      <c r="AT717" s="115"/>
      <c r="AU717" s="115"/>
      <c r="AV717" s="115"/>
      <c r="AW717" s="115"/>
      <c r="AX717" s="115"/>
      <c r="AY717" s="115"/>
    </row>
    <row r="718">
      <c r="A718" s="95" t="str">
        <f t="shared" si="11"/>
        <v/>
      </c>
      <c r="B718" s="100"/>
      <c r="C718" s="97"/>
      <c r="D718" s="97"/>
      <c r="E718" s="97"/>
      <c r="F718" s="97"/>
      <c r="G718" s="97"/>
      <c r="H718" s="99"/>
      <c r="I718" s="100"/>
      <c r="J718" s="101"/>
      <c r="K718" s="100"/>
      <c r="L718" s="102"/>
      <c r="M718" s="103" t="str">
        <f>if(B718,if(and(hour(B718+M$7)&gt;9.5,(hour(B718+M$7)&lt;19.5)),B718+M$7,_xlfn.workday.intl(int(B718),1,"0000001",Holidays!A:A)+hour(B718+M$7-$B$1)/24+minute(B718)/1440),"")</f>
        <v/>
      </c>
      <c r="N718" s="104"/>
      <c r="O718" s="105"/>
      <c r="P718" s="106" t="str">
        <f t="shared" si="1"/>
        <v/>
      </c>
      <c r="Q718" s="107"/>
      <c r="R718" s="108"/>
      <c r="S718" s="103" t="str">
        <f>if(M718,if(and(hour(M718+S$7)&gt;9.5,(hour(M718+S$7)&lt;19.5)),M718+S$7,_xlfn.workday.intl(int(M718),1,"0000001",Holidays!A:A)+hour(M718+S$7-$B$1)/24+minute(M718)/1440),"")</f>
        <v/>
      </c>
      <c r="T718" s="104"/>
      <c r="U718" s="105"/>
      <c r="V718" s="109" t="str">
        <f t="shared" si="2"/>
        <v/>
      </c>
      <c r="W718" s="110" t="str">
        <f t="shared" si="3"/>
        <v/>
      </c>
      <c r="X718" s="103" t="str">
        <f>if(S718,if(and(hour(S718+X$7)&gt;9.5,(hour(S718+X$7)&lt;19.5)),S718+X$7,_xlfn.workday.intl(int(S718),1,"0000001",Holidays!A:A)+hour(S718+X$7-$B$1)/24+minute(S718)/1440),"")</f>
        <v/>
      </c>
      <c r="Y718" s="104"/>
      <c r="Z718" s="105"/>
      <c r="AA718" s="111" t="str">
        <f t="shared" si="4"/>
        <v/>
      </c>
      <c r="AB718" s="110" t="str">
        <f t="shared" si="5"/>
        <v/>
      </c>
      <c r="AC718" s="103" t="str">
        <f>if(X718,_xlfn.WORKDAY.INTL(X718,AC$7,"0000001",Holidays!A:A)+hour(X718)/24+MINUTE(X718)/1440,"")</f>
        <v/>
      </c>
      <c r="AD718" s="104"/>
      <c r="AE718" s="105"/>
      <c r="AF718" s="111" t="str">
        <f t="shared" si="6"/>
        <v/>
      </c>
      <c r="AG718" s="110" t="str">
        <f t="shared" si="7"/>
        <v/>
      </c>
      <c r="AH718" s="103" t="str">
        <f>if(AC718,if(and(hour(AC718+AH$7)&gt;9.5,(hour(AC718+AH$7)&lt;19.5)),AC718+AH$7,_xlfn.workday.intl(int(AC718),1,"0000001",Holidays!A:A)+hour(AC718+AH$7-$B$1)/24+minute(AC718)/1440),"")</f>
        <v/>
      </c>
      <c r="AI718" s="104"/>
      <c r="AJ718" s="105"/>
      <c r="AK718" s="111" t="str">
        <f t="shared" si="8"/>
        <v/>
      </c>
      <c r="AL718" s="112" t="str">
        <f t="shared" si="9"/>
        <v/>
      </c>
      <c r="AM718" s="113"/>
      <c r="AN718" s="291" t="s">
        <v>2540</v>
      </c>
      <c r="AO718" s="115"/>
      <c r="AP718" s="115"/>
      <c r="AQ718" s="115"/>
      <c r="AR718" s="115"/>
      <c r="AS718" s="115"/>
      <c r="AT718" s="115"/>
      <c r="AU718" s="115"/>
      <c r="AV718" s="115"/>
      <c r="AW718" s="115"/>
      <c r="AX718" s="115"/>
      <c r="AY718" s="115"/>
    </row>
    <row r="719">
      <c r="A719" s="95" t="str">
        <f t="shared" si="11"/>
        <v/>
      </c>
      <c r="B719" s="100"/>
      <c r="C719" s="97"/>
      <c r="D719" s="97"/>
      <c r="E719" s="97"/>
      <c r="F719" s="97"/>
      <c r="G719" s="97"/>
      <c r="H719" s="99"/>
      <c r="I719" s="100"/>
      <c r="J719" s="101"/>
      <c r="K719" s="100"/>
      <c r="L719" s="102"/>
      <c r="M719" s="103" t="str">
        <f>if(B719,if(and(hour(B719+M$7)&gt;9.5,(hour(B719+M$7)&lt;19.5)),B719+M$7,_xlfn.workday.intl(int(B719),1,"0000001",Holidays!A:A)+hour(B719+M$7-$B$1)/24+minute(B719)/1440),"")</f>
        <v/>
      </c>
      <c r="N719" s="104"/>
      <c r="O719" s="105"/>
      <c r="P719" s="106" t="str">
        <f t="shared" si="1"/>
        <v/>
      </c>
      <c r="Q719" s="107"/>
      <c r="R719" s="108"/>
      <c r="S719" s="103" t="str">
        <f>if(M719,if(and(hour(M719+S$7)&gt;9.5,(hour(M719+S$7)&lt;19.5)),M719+S$7,_xlfn.workday.intl(int(M719),1,"0000001",Holidays!A:A)+hour(M719+S$7-$B$1)/24+minute(M719)/1440),"")</f>
        <v/>
      </c>
      <c r="T719" s="104"/>
      <c r="U719" s="105"/>
      <c r="V719" s="109" t="str">
        <f t="shared" si="2"/>
        <v/>
      </c>
      <c r="W719" s="110" t="str">
        <f t="shared" si="3"/>
        <v/>
      </c>
      <c r="X719" s="103" t="str">
        <f>if(S719,if(and(hour(S719+X$7)&gt;9.5,(hour(S719+X$7)&lt;19.5)),S719+X$7,_xlfn.workday.intl(int(S719),1,"0000001",Holidays!A:A)+hour(S719+X$7-$B$1)/24+minute(S719)/1440),"")</f>
        <v/>
      </c>
      <c r="Y719" s="104"/>
      <c r="Z719" s="105"/>
      <c r="AA719" s="111" t="str">
        <f t="shared" si="4"/>
        <v/>
      </c>
      <c r="AB719" s="110" t="str">
        <f t="shared" si="5"/>
        <v/>
      </c>
      <c r="AC719" s="103" t="str">
        <f>if(X719,_xlfn.WORKDAY.INTL(X719,AC$7,"0000001",Holidays!A:A)+hour(X719)/24+MINUTE(X719)/1440,"")</f>
        <v/>
      </c>
      <c r="AD719" s="104"/>
      <c r="AE719" s="105"/>
      <c r="AF719" s="111" t="str">
        <f t="shared" si="6"/>
        <v/>
      </c>
      <c r="AG719" s="110" t="str">
        <f t="shared" si="7"/>
        <v/>
      </c>
      <c r="AH719" s="103" t="str">
        <f>if(AC719,if(and(hour(AC719+AH$7)&gt;9.5,(hour(AC719+AH$7)&lt;19.5)),AC719+AH$7,_xlfn.workday.intl(int(AC719),1,"0000001",Holidays!A:A)+hour(AC719+AH$7-$B$1)/24+minute(AC719)/1440),"")</f>
        <v/>
      </c>
      <c r="AI719" s="104"/>
      <c r="AJ719" s="105"/>
      <c r="AK719" s="111" t="str">
        <f t="shared" si="8"/>
        <v/>
      </c>
      <c r="AL719" s="112" t="str">
        <f t="shared" si="9"/>
        <v/>
      </c>
      <c r="AM719" s="113"/>
      <c r="AN719" s="291" t="s">
        <v>2540</v>
      </c>
      <c r="AO719" s="115"/>
      <c r="AP719" s="115"/>
      <c r="AQ719" s="115"/>
      <c r="AR719" s="115"/>
      <c r="AS719" s="115"/>
      <c r="AT719" s="115"/>
      <c r="AU719" s="115"/>
      <c r="AV719" s="115"/>
      <c r="AW719" s="115"/>
      <c r="AX719" s="115"/>
      <c r="AY719" s="115"/>
    </row>
    <row r="720">
      <c r="A720" s="95" t="str">
        <f t="shared" si="11"/>
        <v/>
      </c>
      <c r="B720" s="100"/>
      <c r="C720" s="97"/>
      <c r="D720" s="97"/>
      <c r="E720" s="97"/>
      <c r="F720" s="97"/>
      <c r="G720" s="97"/>
      <c r="H720" s="99"/>
      <c r="I720" s="100"/>
      <c r="J720" s="101"/>
      <c r="K720" s="100"/>
      <c r="L720" s="102"/>
      <c r="M720" s="103" t="str">
        <f>if(B720,if(and(hour(B720+M$7)&gt;9.5,(hour(B720+M$7)&lt;19.5)),B720+M$7,_xlfn.workday.intl(int(B720),1,"0000001",Holidays!A:A)+hour(B720+M$7-$B$1)/24+minute(B720)/1440),"")</f>
        <v/>
      </c>
      <c r="N720" s="104"/>
      <c r="O720" s="105"/>
      <c r="P720" s="106" t="str">
        <f t="shared" si="1"/>
        <v/>
      </c>
      <c r="Q720" s="107"/>
      <c r="R720" s="108"/>
      <c r="S720" s="103" t="str">
        <f>if(M720,if(and(hour(M720+S$7)&gt;9.5,(hour(M720+S$7)&lt;19.5)),M720+S$7,_xlfn.workday.intl(int(M720),1,"0000001",Holidays!A:A)+hour(M720+S$7-$B$1)/24+minute(M720)/1440),"")</f>
        <v/>
      </c>
      <c r="T720" s="104"/>
      <c r="U720" s="105"/>
      <c r="V720" s="109" t="str">
        <f t="shared" si="2"/>
        <v/>
      </c>
      <c r="W720" s="110" t="str">
        <f t="shared" si="3"/>
        <v/>
      </c>
      <c r="X720" s="103" t="str">
        <f>if(S720,if(and(hour(S720+X$7)&gt;9.5,(hour(S720+X$7)&lt;19.5)),S720+X$7,_xlfn.workday.intl(int(S720),1,"0000001",Holidays!A:A)+hour(S720+X$7-$B$1)/24+minute(S720)/1440),"")</f>
        <v/>
      </c>
      <c r="Y720" s="104"/>
      <c r="Z720" s="105"/>
      <c r="AA720" s="111" t="str">
        <f t="shared" si="4"/>
        <v/>
      </c>
      <c r="AB720" s="110" t="str">
        <f t="shared" si="5"/>
        <v/>
      </c>
      <c r="AC720" s="103" t="str">
        <f>if(X720,_xlfn.WORKDAY.INTL(X720,AC$7,"0000001",Holidays!A:A)+hour(X720)/24+MINUTE(X720)/1440,"")</f>
        <v/>
      </c>
      <c r="AD720" s="104"/>
      <c r="AE720" s="105"/>
      <c r="AF720" s="111" t="str">
        <f t="shared" si="6"/>
        <v/>
      </c>
      <c r="AG720" s="110" t="str">
        <f t="shared" si="7"/>
        <v/>
      </c>
      <c r="AH720" s="103" t="str">
        <f>if(AC720,if(and(hour(AC720+AH$7)&gt;9.5,(hour(AC720+AH$7)&lt;19.5)),AC720+AH$7,_xlfn.workday.intl(int(AC720),1,"0000001",Holidays!A:A)+hour(AC720+AH$7-$B$1)/24+minute(AC720)/1440),"")</f>
        <v/>
      </c>
      <c r="AI720" s="104"/>
      <c r="AJ720" s="105"/>
      <c r="AK720" s="111" t="str">
        <f t="shared" si="8"/>
        <v/>
      </c>
      <c r="AL720" s="112" t="str">
        <f t="shared" si="9"/>
        <v/>
      </c>
      <c r="AM720" s="113"/>
      <c r="AN720" s="291" t="s">
        <v>2540</v>
      </c>
      <c r="AO720" s="115"/>
      <c r="AP720" s="115"/>
      <c r="AQ720" s="115"/>
      <c r="AR720" s="115"/>
      <c r="AS720" s="115"/>
      <c r="AT720" s="115"/>
      <c r="AU720" s="115"/>
      <c r="AV720" s="115"/>
      <c r="AW720" s="115"/>
      <c r="AX720" s="115"/>
      <c r="AY720" s="115"/>
    </row>
    <row r="721">
      <c r="A721" s="95" t="str">
        <f t="shared" si="11"/>
        <v/>
      </c>
      <c r="B721" s="100"/>
      <c r="C721" s="97"/>
      <c r="D721" s="97"/>
      <c r="E721" s="97"/>
      <c r="F721" s="97"/>
      <c r="G721" s="97"/>
      <c r="H721" s="99"/>
      <c r="I721" s="100"/>
      <c r="J721" s="101"/>
      <c r="K721" s="100"/>
      <c r="L721" s="102"/>
      <c r="M721" s="103" t="str">
        <f>if(B721,if(and(hour(B721+M$7)&gt;9.5,(hour(B721+M$7)&lt;19.5)),B721+M$7,_xlfn.workday.intl(int(B721),1,"0000001",Holidays!A:A)+hour(B721+M$7-$B$1)/24+minute(B721)/1440),"")</f>
        <v/>
      </c>
      <c r="N721" s="104"/>
      <c r="O721" s="105"/>
      <c r="P721" s="106" t="str">
        <f t="shared" si="1"/>
        <v/>
      </c>
      <c r="Q721" s="107"/>
      <c r="R721" s="108"/>
      <c r="S721" s="103" t="str">
        <f>if(M721,if(and(hour(M721+S$7)&gt;9.5,(hour(M721+S$7)&lt;19.5)),M721+S$7,_xlfn.workday.intl(int(M721),1,"0000001",Holidays!A:A)+hour(M721+S$7-$B$1)/24+minute(M721)/1440),"")</f>
        <v/>
      </c>
      <c r="T721" s="104"/>
      <c r="U721" s="105"/>
      <c r="V721" s="109" t="str">
        <f t="shared" si="2"/>
        <v/>
      </c>
      <c r="W721" s="110" t="str">
        <f t="shared" si="3"/>
        <v/>
      </c>
      <c r="X721" s="103" t="str">
        <f>if(S721,if(and(hour(S721+X$7)&gt;9.5,(hour(S721+X$7)&lt;19.5)),S721+X$7,_xlfn.workday.intl(int(S721),1,"0000001",Holidays!A:A)+hour(S721+X$7-$B$1)/24+minute(S721)/1440),"")</f>
        <v/>
      </c>
      <c r="Y721" s="104"/>
      <c r="Z721" s="105"/>
      <c r="AA721" s="111" t="str">
        <f t="shared" si="4"/>
        <v/>
      </c>
      <c r="AB721" s="110" t="str">
        <f t="shared" si="5"/>
        <v/>
      </c>
      <c r="AC721" s="103" t="str">
        <f>if(X721,_xlfn.WORKDAY.INTL(X721,AC$7,"0000001",Holidays!A:A)+hour(X721)/24+MINUTE(X721)/1440,"")</f>
        <v/>
      </c>
      <c r="AD721" s="104"/>
      <c r="AE721" s="105"/>
      <c r="AF721" s="111" t="str">
        <f t="shared" si="6"/>
        <v/>
      </c>
      <c r="AG721" s="110" t="str">
        <f t="shared" si="7"/>
        <v/>
      </c>
      <c r="AH721" s="103" t="str">
        <f>if(AC721,if(and(hour(AC721+AH$7)&gt;9.5,(hour(AC721+AH$7)&lt;19.5)),AC721+AH$7,_xlfn.workday.intl(int(AC721),1,"0000001",Holidays!A:A)+hour(AC721+AH$7-$B$1)/24+minute(AC721)/1440),"")</f>
        <v/>
      </c>
      <c r="AI721" s="104"/>
      <c r="AJ721" s="105"/>
      <c r="AK721" s="111" t="str">
        <f t="shared" si="8"/>
        <v/>
      </c>
      <c r="AL721" s="112" t="str">
        <f t="shared" si="9"/>
        <v/>
      </c>
      <c r="AM721" s="113"/>
      <c r="AN721" s="291" t="s">
        <v>2540</v>
      </c>
      <c r="AO721" s="115"/>
      <c r="AP721" s="115"/>
      <c r="AQ721" s="115"/>
      <c r="AR721" s="115"/>
      <c r="AS721" s="115"/>
      <c r="AT721" s="115"/>
      <c r="AU721" s="115"/>
      <c r="AV721" s="115"/>
      <c r="AW721" s="115"/>
      <c r="AX721" s="115"/>
      <c r="AY721" s="115"/>
    </row>
    <row r="722">
      <c r="A722" s="95" t="str">
        <f t="shared" si="11"/>
        <v/>
      </c>
      <c r="B722" s="100"/>
      <c r="C722" s="97"/>
      <c r="D722" s="97"/>
      <c r="E722" s="97"/>
      <c r="F722" s="97"/>
      <c r="G722" s="97"/>
      <c r="H722" s="99"/>
      <c r="I722" s="100"/>
      <c r="J722" s="101"/>
      <c r="K722" s="100"/>
      <c r="L722" s="102"/>
      <c r="M722" s="103" t="str">
        <f>if(B722,if(and(hour(B722+M$7)&gt;9.5,(hour(B722+M$7)&lt;19.5)),B722+M$7,_xlfn.workday.intl(int(B722),1,"0000001",Holidays!A:A)+hour(B722+M$7-$B$1)/24+minute(B722)/1440),"")</f>
        <v/>
      </c>
      <c r="N722" s="104"/>
      <c r="O722" s="105"/>
      <c r="P722" s="106" t="str">
        <f t="shared" si="1"/>
        <v/>
      </c>
      <c r="Q722" s="107"/>
      <c r="R722" s="108"/>
      <c r="S722" s="103" t="str">
        <f>if(M722,if(and(hour(M722+S$7)&gt;9.5,(hour(M722+S$7)&lt;19.5)),M722+S$7,_xlfn.workday.intl(int(M722),1,"0000001",Holidays!A:A)+hour(M722+S$7-$B$1)/24+minute(M722)/1440),"")</f>
        <v/>
      </c>
      <c r="T722" s="104"/>
      <c r="U722" s="105"/>
      <c r="V722" s="109" t="str">
        <f t="shared" si="2"/>
        <v/>
      </c>
      <c r="W722" s="110" t="str">
        <f t="shared" si="3"/>
        <v/>
      </c>
      <c r="X722" s="103" t="str">
        <f>if(S722,if(and(hour(S722+X$7)&gt;9.5,(hour(S722+X$7)&lt;19.5)),S722+X$7,_xlfn.workday.intl(int(S722),1,"0000001",Holidays!A:A)+hour(S722+X$7-$B$1)/24+minute(S722)/1440),"")</f>
        <v/>
      </c>
      <c r="Y722" s="104"/>
      <c r="Z722" s="105"/>
      <c r="AA722" s="111" t="str">
        <f t="shared" si="4"/>
        <v/>
      </c>
      <c r="AB722" s="110" t="str">
        <f t="shared" si="5"/>
        <v/>
      </c>
      <c r="AC722" s="103" t="str">
        <f>if(X722,_xlfn.WORKDAY.INTL(X722,AC$7,"0000001",Holidays!A:A)+hour(X722)/24+MINUTE(X722)/1440,"")</f>
        <v/>
      </c>
      <c r="AD722" s="104"/>
      <c r="AE722" s="105"/>
      <c r="AF722" s="111" t="str">
        <f t="shared" si="6"/>
        <v/>
      </c>
      <c r="AG722" s="110" t="str">
        <f t="shared" si="7"/>
        <v/>
      </c>
      <c r="AH722" s="103" t="str">
        <f>if(AC722,if(and(hour(AC722+AH$7)&gt;9.5,(hour(AC722+AH$7)&lt;19.5)),AC722+AH$7,_xlfn.workday.intl(int(AC722),1,"0000001",Holidays!A:A)+hour(AC722+AH$7-$B$1)/24+minute(AC722)/1440),"")</f>
        <v/>
      </c>
      <c r="AI722" s="104"/>
      <c r="AJ722" s="105"/>
      <c r="AK722" s="111" t="str">
        <f t="shared" si="8"/>
        <v/>
      </c>
      <c r="AL722" s="112" t="str">
        <f t="shared" si="9"/>
        <v/>
      </c>
      <c r="AM722" s="113"/>
      <c r="AN722" s="291" t="s">
        <v>2540</v>
      </c>
      <c r="AO722" s="115"/>
      <c r="AP722" s="115"/>
      <c r="AQ722" s="115"/>
      <c r="AR722" s="115"/>
      <c r="AS722" s="115"/>
      <c r="AT722" s="115"/>
      <c r="AU722" s="115"/>
      <c r="AV722" s="115"/>
      <c r="AW722" s="115"/>
      <c r="AX722" s="115"/>
      <c r="AY722" s="115"/>
    </row>
    <row r="723">
      <c r="A723" s="95" t="str">
        <f t="shared" si="11"/>
        <v/>
      </c>
      <c r="B723" s="100"/>
      <c r="C723" s="97"/>
      <c r="D723" s="97"/>
      <c r="E723" s="97"/>
      <c r="F723" s="97"/>
      <c r="G723" s="97"/>
      <c r="H723" s="99"/>
      <c r="I723" s="100"/>
      <c r="J723" s="101"/>
      <c r="K723" s="100"/>
      <c r="L723" s="102"/>
      <c r="M723" s="103" t="str">
        <f>if(B723,if(and(hour(B723+M$7)&gt;9.5,(hour(B723+M$7)&lt;19.5)),B723+M$7,_xlfn.workday.intl(int(B723),1,"0000001",Holidays!A:A)+hour(B723+M$7-$B$1)/24+minute(B723)/1440),"")</f>
        <v/>
      </c>
      <c r="N723" s="104"/>
      <c r="O723" s="105"/>
      <c r="P723" s="106" t="str">
        <f t="shared" si="1"/>
        <v/>
      </c>
      <c r="Q723" s="107"/>
      <c r="R723" s="108"/>
      <c r="S723" s="103" t="str">
        <f>if(M723,if(and(hour(M723+S$7)&gt;9.5,(hour(M723+S$7)&lt;19.5)),M723+S$7,_xlfn.workday.intl(int(M723),1,"0000001",Holidays!A:A)+hour(M723+S$7-$B$1)/24+minute(M723)/1440),"")</f>
        <v/>
      </c>
      <c r="T723" s="104"/>
      <c r="U723" s="105"/>
      <c r="V723" s="109" t="str">
        <f t="shared" si="2"/>
        <v/>
      </c>
      <c r="W723" s="110" t="str">
        <f t="shared" si="3"/>
        <v/>
      </c>
      <c r="X723" s="103" t="str">
        <f>if(S723,if(and(hour(S723+X$7)&gt;9.5,(hour(S723+X$7)&lt;19.5)),S723+X$7,_xlfn.workday.intl(int(S723),1,"0000001",Holidays!A:A)+hour(S723+X$7-$B$1)/24+minute(S723)/1440),"")</f>
        <v/>
      </c>
      <c r="Y723" s="104"/>
      <c r="Z723" s="105"/>
      <c r="AA723" s="111" t="str">
        <f t="shared" si="4"/>
        <v/>
      </c>
      <c r="AB723" s="110" t="str">
        <f t="shared" si="5"/>
        <v/>
      </c>
      <c r="AC723" s="103" t="str">
        <f>if(X723,_xlfn.WORKDAY.INTL(X723,AC$7,"0000001",Holidays!A:A)+hour(X723)/24+MINUTE(X723)/1440,"")</f>
        <v/>
      </c>
      <c r="AD723" s="104"/>
      <c r="AE723" s="105"/>
      <c r="AF723" s="111" t="str">
        <f t="shared" si="6"/>
        <v/>
      </c>
      <c r="AG723" s="110" t="str">
        <f t="shared" si="7"/>
        <v/>
      </c>
      <c r="AH723" s="103" t="str">
        <f>if(AC723,if(and(hour(AC723+AH$7)&gt;9.5,(hour(AC723+AH$7)&lt;19.5)),AC723+AH$7,_xlfn.workday.intl(int(AC723),1,"0000001",Holidays!A:A)+hour(AC723+AH$7-$B$1)/24+minute(AC723)/1440),"")</f>
        <v/>
      </c>
      <c r="AI723" s="104"/>
      <c r="AJ723" s="105"/>
      <c r="AK723" s="111" t="str">
        <f t="shared" si="8"/>
        <v/>
      </c>
      <c r="AL723" s="112" t="str">
        <f t="shared" si="9"/>
        <v/>
      </c>
      <c r="AM723" s="113"/>
      <c r="AN723" s="291" t="s">
        <v>2540</v>
      </c>
      <c r="AO723" s="115"/>
      <c r="AP723" s="115"/>
      <c r="AQ723" s="115"/>
      <c r="AR723" s="115"/>
      <c r="AS723" s="115"/>
      <c r="AT723" s="115"/>
      <c r="AU723" s="115"/>
      <c r="AV723" s="115"/>
      <c r="AW723" s="115"/>
      <c r="AX723" s="115"/>
      <c r="AY723" s="115"/>
    </row>
    <row r="724">
      <c r="A724" s="95" t="str">
        <f t="shared" si="11"/>
        <v/>
      </c>
      <c r="B724" s="100"/>
      <c r="C724" s="97"/>
      <c r="D724" s="97"/>
      <c r="E724" s="97"/>
      <c r="F724" s="97"/>
      <c r="G724" s="97"/>
      <c r="H724" s="99"/>
      <c r="I724" s="100"/>
      <c r="J724" s="101"/>
      <c r="K724" s="100"/>
      <c r="L724" s="102"/>
      <c r="M724" s="103" t="str">
        <f>if(B724,if(and(hour(B724+M$7)&gt;9.5,(hour(B724+M$7)&lt;19.5)),B724+M$7,_xlfn.workday.intl(int(B724),1,"0000001",Holidays!A:A)+hour(B724+M$7-$B$1)/24+minute(B724)/1440),"")</f>
        <v/>
      </c>
      <c r="N724" s="104"/>
      <c r="O724" s="105"/>
      <c r="P724" s="106" t="str">
        <f t="shared" si="1"/>
        <v/>
      </c>
      <c r="Q724" s="107"/>
      <c r="R724" s="108"/>
      <c r="S724" s="103" t="str">
        <f>if(M724,if(and(hour(M724+S$7)&gt;9.5,(hour(M724+S$7)&lt;19.5)),M724+S$7,_xlfn.workday.intl(int(M724),1,"0000001",Holidays!A:A)+hour(M724+S$7-$B$1)/24+minute(M724)/1440),"")</f>
        <v/>
      </c>
      <c r="T724" s="104"/>
      <c r="U724" s="105"/>
      <c r="V724" s="109" t="str">
        <f t="shared" si="2"/>
        <v/>
      </c>
      <c r="W724" s="110" t="str">
        <f t="shared" si="3"/>
        <v/>
      </c>
      <c r="X724" s="103" t="str">
        <f>if(S724,if(and(hour(S724+X$7)&gt;9.5,(hour(S724+X$7)&lt;19.5)),S724+X$7,_xlfn.workday.intl(int(S724),1,"0000001",Holidays!A:A)+hour(S724+X$7-$B$1)/24+minute(S724)/1440),"")</f>
        <v/>
      </c>
      <c r="Y724" s="104"/>
      <c r="Z724" s="105"/>
      <c r="AA724" s="111" t="str">
        <f t="shared" si="4"/>
        <v/>
      </c>
      <c r="AB724" s="110" t="str">
        <f t="shared" si="5"/>
        <v/>
      </c>
      <c r="AC724" s="103" t="str">
        <f>if(X724,_xlfn.WORKDAY.INTL(X724,AC$7,"0000001",Holidays!A:A)+hour(X724)/24+MINUTE(X724)/1440,"")</f>
        <v/>
      </c>
      <c r="AD724" s="104"/>
      <c r="AE724" s="105"/>
      <c r="AF724" s="111" t="str">
        <f t="shared" si="6"/>
        <v/>
      </c>
      <c r="AG724" s="110" t="str">
        <f t="shared" si="7"/>
        <v/>
      </c>
      <c r="AH724" s="103" t="str">
        <f>if(AC724,if(and(hour(AC724+AH$7)&gt;9.5,(hour(AC724+AH$7)&lt;19.5)),AC724+AH$7,_xlfn.workday.intl(int(AC724),1,"0000001",Holidays!A:A)+hour(AC724+AH$7-$B$1)/24+minute(AC724)/1440),"")</f>
        <v/>
      </c>
      <c r="AI724" s="104"/>
      <c r="AJ724" s="105"/>
      <c r="AK724" s="111" t="str">
        <f t="shared" si="8"/>
        <v/>
      </c>
      <c r="AL724" s="112" t="str">
        <f t="shared" si="9"/>
        <v/>
      </c>
      <c r="AM724" s="113"/>
      <c r="AN724" s="291" t="s">
        <v>2540</v>
      </c>
      <c r="AO724" s="115"/>
      <c r="AP724" s="115"/>
      <c r="AQ724" s="115"/>
      <c r="AR724" s="115"/>
      <c r="AS724" s="115"/>
      <c r="AT724" s="115"/>
      <c r="AU724" s="115"/>
      <c r="AV724" s="115"/>
      <c r="AW724" s="115"/>
      <c r="AX724" s="115"/>
      <c r="AY724" s="115"/>
    </row>
    <row r="725">
      <c r="A725" s="95" t="str">
        <f t="shared" si="11"/>
        <v/>
      </c>
      <c r="B725" s="100"/>
      <c r="C725" s="97"/>
      <c r="D725" s="97"/>
      <c r="E725" s="97"/>
      <c r="F725" s="97"/>
      <c r="G725" s="97"/>
      <c r="H725" s="99"/>
      <c r="I725" s="100"/>
      <c r="J725" s="101"/>
      <c r="K725" s="100"/>
      <c r="L725" s="102"/>
      <c r="M725" s="103" t="str">
        <f>if(B725,if(and(hour(B725+M$7)&gt;9.5,(hour(B725+M$7)&lt;19.5)),B725+M$7,_xlfn.workday.intl(int(B725),1,"0000001",Holidays!A:A)+hour(B725+M$7-$B$1)/24+minute(B725)/1440),"")</f>
        <v/>
      </c>
      <c r="N725" s="104"/>
      <c r="O725" s="105"/>
      <c r="P725" s="106" t="str">
        <f t="shared" si="1"/>
        <v/>
      </c>
      <c r="Q725" s="107"/>
      <c r="R725" s="108"/>
      <c r="S725" s="103" t="str">
        <f>if(M725,if(and(hour(M725+S$7)&gt;9.5,(hour(M725+S$7)&lt;19.5)),M725+S$7,_xlfn.workday.intl(int(M725),1,"0000001",Holidays!A:A)+hour(M725+S$7-$B$1)/24+minute(M725)/1440),"")</f>
        <v/>
      </c>
      <c r="T725" s="104"/>
      <c r="U725" s="105"/>
      <c r="V725" s="109" t="str">
        <f t="shared" si="2"/>
        <v/>
      </c>
      <c r="W725" s="110" t="str">
        <f t="shared" si="3"/>
        <v/>
      </c>
      <c r="X725" s="103" t="str">
        <f>if(S725,if(and(hour(S725+X$7)&gt;9.5,(hour(S725+X$7)&lt;19.5)),S725+X$7,_xlfn.workday.intl(int(S725),1,"0000001",Holidays!A:A)+hour(S725+X$7-$B$1)/24+minute(S725)/1440),"")</f>
        <v/>
      </c>
      <c r="Y725" s="104"/>
      <c r="Z725" s="105"/>
      <c r="AA725" s="111" t="str">
        <f t="shared" si="4"/>
        <v/>
      </c>
      <c r="AB725" s="110" t="str">
        <f t="shared" si="5"/>
        <v/>
      </c>
      <c r="AC725" s="103" t="str">
        <f>if(X725,_xlfn.WORKDAY.INTL(X725,AC$7,"0000001",Holidays!A:A)+hour(X725)/24+MINUTE(X725)/1440,"")</f>
        <v/>
      </c>
      <c r="AD725" s="104"/>
      <c r="AE725" s="105"/>
      <c r="AF725" s="111" t="str">
        <f t="shared" si="6"/>
        <v/>
      </c>
      <c r="AG725" s="110" t="str">
        <f t="shared" si="7"/>
        <v/>
      </c>
      <c r="AH725" s="103" t="str">
        <f>if(AC725,if(and(hour(AC725+AH$7)&gt;9.5,(hour(AC725+AH$7)&lt;19.5)),AC725+AH$7,_xlfn.workday.intl(int(AC725),1,"0000001",Holidays!A:A)+hour(AC725+AH$7-$B$1)/24+minute(AC725)/1440),"")</f>
        <v/>
      </c>
      <c r="AI725" s="104"/>
      <c r="AJ725" s="105"/>
      <c r="AK725" s="111" t="str">
        <f t="shared" si="8"/>
        <v/>
      </c>
      <c r="AL725" s="112" t="str">
        <f t="shared" si="9"/>
        <v/>
      </c>
      <c r="AM725" s="113"/>
      <c r="AN725" s="291" t="s">
        <v>2540</v>
      </c>
      <c r="AO725" s="115"/>
      <c r="AP725" s="115"/>
      <c r="AQ725" s="115"/>
      <c r="AR725" s="115"/>
      <c r="AS725" s="115"/>
      <c r="AT725" s="115"/>
      <c r="AU725" s="115"/>
      <c r="AV725" s="115"/>
      <c r="AW725" s="115"/>
      <c r="AX725" s="115"/>
      <c r="AY725" s="115"/>
    </row>
    <row r="726">
      <c r="A726" s="95" t="str">
        <f t="shared" si="11"/>
        <v/>
      </c>
      <c r="B726" s="100"/>
      <c r="C726" s="97"/>
      <c r="D726" s="97"/>
      <c r="E726" s="97"/>
      <c r="F726" s="97"/>
      <c r="G726" s="97"/>
      <c r="H726" s="99"/>
      <c r="I726" s="100"/>
      <c r="J726" s="101"/>
      <c r="K726" s="100"/>
      <c r="L726" s="102"/>
      <c r="M726" s="103" t="str">
        <f>if(B726,if(and(hour(B726+M$7)&gt;9.5,(hour(B726+M$7)&lt;19.5)),B726+M$7,_xlfn.workday.intl(int(B726),1,"0000001",Holidays!A:A)+hour(B726+M$7-$B$1)/24+minute(B726)/1440),"")</f>
        <v/>
      </c>
      <c r="N726" s="104"/>
      <c r="O726" s="105"/>
      <c r="P726" s="106" t="str">
        <f t="shared" si="1"/>
        <v/>
      </c>
      <c r="Q726" s="107"/>
      <c r="R726" s="108"/>
      <c r="S726" s="103" t="str">
        <f>if(M726,if(and(hour(M726+S$7)&gt;9.5,(hour(M726+S$7)&lt;19.5)),M726+S$7,_xlfn.workday.intl(int(M726),1,"0000001",Holidays!A:A)+hour(M726+S$7-$B$1)/24+minute(M726)/1440),"")</f>
        <v/>
      </c>
      <c r="T726" s="104"/>
      <c r="U726" s="105"/>
      <c r="V726" s="109" t="str">
        <f t="shared" si="2"/>
        <v/>
      </c>
      <c r="W726" s="110" t="str">
        <f t="shared" si="3"/>
        <v/>
      </c>
      <c r="X726" s="103" t="str">
        <f>if(S726,if(and(hour(S726+X$7)&gt;9.5,(hour(S726+X$7)&lt;19.5)),S726+X$7,_xlfn.workday.intl(int(S726),1,"0000001",Holidays!A:A)+hour(S726+X$7-$B$1)/24+minute(S726)/1440),"")</f>
        <v/>
      </c>
      <c r="Y726" s="104"/>
      <c r="Z726" s="105"/>
      <c r="AA726" s="111" t="str">
        <f t="shared" si="4"/>
        <v/>
      </c>
      <c r="AB726" s="110" t="str">
        <f t="shared" si="5"/>
        <v/>
      </c>
      <c r="AC726" s="103" t="str">
        <f>if(X726,_xlfn.WORKDAY.INTL(X726,AC$7,"0000001",Holidays!A:A)+hour(X726)/24+MINUTE(X726)/1440,"")</f>
        <v/>
      </c>
      <c r="AD726" s="104"/>
      <c r="AE726" s="105"/>
      <c r="AF726" s="111" t="str">
        <f t="shared" si="6"/>
        <v/>
      </c>
      <c r="AG726" s="110" t="str">
        <f t="shared" si="7"/>
        <v/>
      </c>
      <c r="AH726" s="103" t="str">
        <f>if(AC726,if(and(hour(AC726+AH$7)&gt;9.5,(hour(AC726+AH$7)&lt;19.5)),AC726+AH$7,_xlfn.workday.intl(int(AC726),1,"0000001",Holidays!A:A)+hour(AC726+AH$7-$B$1)/24+minute(AC726)/1440),"")</f>
        <v/>
      </c>
      <c r="AI726" s="104"/>
      <c r="AJ726" s="105"/>
      <c r="AK726" s="111" t="str">
        <f t="shared" si="8"/>
        <v/>
      </c>
      <c r="AL726" s="112" t="str">
        <f t="shared" si="9"/>
        <v/>
      </c>
      <c r="AM726" s="113"/>
      <c r="AN726" s="291" t="s">
        <v>2540</v>
      </c>
      <c r="AO726" s="115"/>
      <c r="AP726" s="115"/>
      <c r="AQ726" s="115"/>
      <c r="AR726" s="115"/>
      <c r="AS726" s="115"/>
      <c r="AT726" s="115"/>
      <c r="AU726" s="115"/>
      <c r="AV726" s="115"/>
      <c r="AW726" s="115"/>
      <c r="AX726" s="115"/>
      <c r="AY726" s="115"/>
    </row>
    <row r="727">
      <c r="A727" s="95" t="str">
        <f t="shared" si="11"/>
        <v/>
      </c>
      <c r="B727" s="100"/>
      <c r="C727" s="97"/>
      <c r="D727" s="97"/>
      <c r="E727" s="97"/>
      <c r="F727" s="97"/>
      <c r="G727" s="97"/>
      <c r="H727" s="99"/>
      <c r="I727" s="100"/>
      <c r="J727" s="101"/>
      <c r="K727" s="100"/>
      <c r="L727" s="102"/>
      <c r="M727" s="103" t="str">
        <f>if(B727,if(and(hour(B727+M$7)&gt;9.5,(hour(B727+M$7)&lt;19.5)),B727+M$7,_xlfn.workday.intl(int(B727),1,"0000001",Holidays!A:A)+hour(B727+M$7-$B$1)/24+minute(B727)/1440),"")</f>
        <v/>
      </c>
      <c r="N727" s="104"/>
      <c r="O727" s="105"/>
      <c r="P727" s="106" t="str">
        <f t="shared" si="1"/>
        <v/>
      </c>
      <c r="Q727" s="107"/>
      <c r="R727" s="108"/>
      <c r="S727" s="103" t="str">
        <f>if(M727,if(and(hour(M727+S$7)&gt;9.5,(hour(M727+S$7)&lt;19.5)),M727+S$7,_xlfn.workday.intl(int(M727),1,"0000001",Holidays!A:A)+hour(M727+S$7-$B$1)/24+minute(M727)/1440),"")</f>
        <v/>
      </c>
      <c r="T727" s="104"/>
      <c r="U727" s="105"/>
      <c r="V727" s="109" t="str">
        <f t="shared" si="2"/>
        <v/>
      </c>
      <c r="W727" s="110" t="str">
        <f t="shared" si="3"/>
        <v/>
      </c>
      <c r="X727" s="103" t="str">
        <f>if(S727,if(and(hour(S727+X$7)&gt;9.5,(hour(S727+X$7)&lt;19.5)),S727+X$7,_xlfn.workday.intl(int(S727),1,"0000001",Holidays!A:A)+hour(S727+X$7-$B$1)/24+minute(S727)/1440),"")</f>
        <v/>
      </c>
      <c r="Y727" s="104"/>
      <c r="Z727" s="105"/>
      <c r="AA727" s="111" t="str">
        <f t="shared" si="4"/>
        <v/>
      </c>
      <c r="AB727" s="110" t="str">
        <f t="shared" si="5"/>
        <v/>
      </c>
      <c r="AC727" s="103" t="str">
        <f>if(X727,_xlfn.WORKDAY.INTL(X727,AC$7,"0000001",Holidays!A:A)+hour(X727)/24+MINUTE(X727)/1440,"")</f>
        <v/>
      </c>
      <c r="AD727" s="104"/>
      <c r="AE727" s="105"/>
      <c r="AF727" s="111" t="str">
        <f t="shared" si="6"/>
        <v/>
      </c>
      <c r="AG727" s="110" t="str">
        <f t="shared" si="7"/>
        <v/>
      </c>
      <c r="AH727" s="103" t="str">
        <f>if(AC727,if(and(hour(AC727+AH$7)&gt;9.5,(hour(AC727+AH$7)&lt;19.5)),AC727+AH$7,_xlfn.workday.intl(int(AC727),1,"0000001",Holidays!A:A)+hour(AC727+AH$7-$B$1)/24+minute(AC727)/1440),"")</f>
        <v/>
      </c>
      <c r="AI727" s="104"/>
      <c r="AJ727" s="105"/>
      <c r="AK727" s="111" t="str">
        <f t="shared" si="8"/>
        <v/>
      </c>
      <c r="AL727" s="112" t="str">
        <f t="shared" si="9"/>
        <v/>
      </c>
      <c r="AM727" s="113"/>
      <c r="AN727" s="291" t="s">
        <v>2540</v>
      </c>
      <c r="AO727" s="115"/>
      <c r="AP727" s="115"/>
      <c r="AQ727" s="115"/>
      <c r="AR727" s="115"/>
      <c r="AS727" s="115"/>
      <c r="AT727" s="115"/>
      <c r="AU727" s="115"/>
      <c r="AV727" s="115"/>
      <c r="AW727" s="115"/>
      <c r="AX727" s="115"/>
      <c r="AY727" s="115"/>
    </row>
    <row r="728">
      <c r="A728" s="95" t="str">
        <f t="shared" si="11"/>
        <v/>
      </c>
      <c r="B728" s="100"/>
      <c r="C728" s="97"/>
      <c r="D728" s="97"/>
      <c r="E728" s="97"/>
      <c r="F728" s="97"/>
      <c r="G728" s="97"/>
      <c r="H728" s="99"/>
      <c r="I728" s="100"/>
      <c r="J728" s="101"/>
      <c r="K728" s="100"/>
      <c r="L728" s="102"/>
      <c r="M728" s="103" t="str">
        <f>if(B728,if(and(hour(B728+M$7)&gt;9.5,(hour(B728+M$7)&lt;19.5)),B728+M$7,_xlfn.workday.intl(int(B728),1,"0000001",Holidays!A:A)+hour(B728+M$7-$B$1)/24+minute(B728)/1440),"")</f>
        <v/>
      </c>
      <c r="N728" s="104"/>
      <c r="O728" s="105"/>
      <c r="P728" s="106" t="str">
        <f t="shared" si="1"/>
        <v/>
      </c>
      <c r="Q728" s="107"/>
      <c r="R728" s="108"/>
      <c r="S728" s="103" t="str">
        <f>if(M728,if(and(hour(M728+S$7)&gt;9.5,(hour(M728+S$7)&lt;19.5)),M728+S$7,_xlfn.workday.intl(int(M728),1,"0000001",Holidays!A:A)+hour(M728+S$7-$B$1)/24+minute(M728)/1440),"")</f>
        <v/>
      </c>
      <c r="T728" s="104"/>
      <c r="U728" s="105"/>
      <c r="V728" s="109" t="str">
        <f t="shared" si="2"/>
        <v/>
      </c>
      <c r="W728" s="110" t="str">
        <f t="shared" si="3"/>
        <v/>
      </c>
      <c r="X728" s="103" t="str">
        <f>if(S728,if(and(hour(S728+X$7)&gt;9.5,(hour(S728+X$7)&lt;19.5)),S728+X$7,_xlfn.workday.intl(int(S728),1,"0000001",Holidays!A:A)+hour(S728+X$7-$B$1)/24+minute(S728)/1440),"")</f>
        <v/>
      </c>
      <c r="Y728" s="104"/>
      <c r="Z728" s="105"/>
      <c r="AA728" s="111" t="str">
        <f t="shared" si="4"/>
        <v/>
      </c>
      <c r="AB728" s="110" t="str">
        <f t="shared" si="5"/>
        <v/>
      </c>
      <c r="AC728" s="103" t="str">
        <f>if(X728,_xlfn.WORKDAY.INTL(X728,AC$7,"0000001",Holidays!A:A)+hour(X728)/24+MINUTE(X728)/1440,"")</f>
        <v/>
      </c>
      <c r="AD728" s="104"/>
      <c r="AE728" s="105"/>
      <c r="AF728" s="111" t="str">
        <f t="shared" si="6"/>
        <v/>
      </c>
      <c r="AG728" s="110" t="str">
        <f t="shared" si="7"/>
        <v/>
      </c>
      <c r="AH728" s="103" t="str">
        <f>if(AC728,if(and(hour(AC728+AH$7)&gt;9.5,(hour(AC728+AH$7)&lt;19.5)),AC728+AH$7,_xlfn.workday.intl(int(AC728),1,"0000001",Holidays!A:A)+hour(AC728+AH$7-$B$1)/24+minute(AC728)/1440),"")</f>
        <v/>
      </c>
      <c r="AI728" s="104"/>
      <c r="AJ728" s="105"/>
      <c r="AK728" s="111" t="str">
        <f t="shared" si="8"/>
        <v/>
      </c>
      <c r="AL728" s="112" t="str">
        <f t="shared" si="9"/>
        <v/>
      </c>
      <c r="AM728" s="113"/>
      <c r="AN728" s="291" t="s">
        <v>2540</v>
      </c>
      <c r="AO728" s="115"/>
      <c r="AP728" s="115"/>
      <c r="AQ728" s="115"/>
      <c r="AR728" s="115"/>
      <c r="AS728" s="115"/>
      <c r="AT728" s="115"/>
      <c r="AU728" s="115"/>
      <c r="AV728" s="115"/>
      <c r="AW728" s="115"/>
      <c r="AX728" s="115"/>
      <c r="AY728" s="115"/>
    </row>
    <row r="729">
      <c r="A729" s="95" t="str">
        <f t="shared" si="11"/>
        <v/>
      </c>
      <c r="B729" s="100"/>
      <c r="C729" s="97"/>
      <c r="D729" s="97"/>
      <c r="E729" s="97"/>
      <c r="F729" s="97"/>
      <c r="G729" s="97"/>
      <c r="H729" s="99"/>
      <c r="I729" s="100"/>
      <c r="J729" s="101"/>
      <c r="K729" s="100"/>
      <c r="L729" s="102"/>
      <c r="M729" s="103" t="str">
        <f>if(B729,if(and(hour(B729+M$7)&gt;9.5,(hour(B729+M$7)&lt;19.5)),B729+M$7,_xlfn.workday.intl(int(B729),1,"0000001",Holidays!A:A)+hour(B729+M$7-$B$1)/24+minute(B729)/1440),"")</f>
        <v/>
      </c>
      <c r="N729" s="104"/>
      <c r="O729" s="105"/>
      <c r="P729" s="106" t="str">
        <f t="shared" si="1"/>
        <v/>
      </c>
      <c r="Q729" s="107"/>
      <c r="R729" s="108"/>
      <c r="S729" s="103" t="str">
        <f>if(M729,if(and(hour(M729+S$7)&gt;9.5,(hour(M729+S$7)&lt;19.5)),M729+S$7,_xlfn.workday.intl(int(M729),1,"0000001",Holidays!A:A)+hour(M729+S$7-$B$1)/24+minute(M729)/1440),"")</f>
        <v/>
      </c>
      <c r="T729" s="104"/>
      <c r="U729" s="105"/>
      <c r="V729" s="109" t="str">
        <f t="shared" si="2"/>
        <v/>
      </c>
      <c r="W729" s="110" t="str">
        <f t="shared" si="3"/>
        <v/>
      </c>
      <c r="X729" s="103" t="str">
        <f>if(S729,if(and(hour(S729+X$7)&gt;9.5,(hour(S729+X$7)&lt;19.5)),S729+X$7,_xlfn.workday.intl(int(S729),1,"0000001",Holidays!A:A)+hour(S729+X$7-$B$1)/24+minute(S729)/1440),"")</f>
        <v/>
      </c>
      <c r="Y729" s="104"/>
      <c r="Z729" s="105"/>
      <c r="AA729" s="111" t="str">
        <f t="shared" si="4"/>
        <v/>
      </c>
      <c r="AB729" s="110" t="str">
        <f t="shared" si="5"/>
        <v/>
      </c>
      <c r="AC729" s="103" t="str">
        <f>if(X729,_xlfn.WORKDAY.INTL(X729,AC$7,"0000001",Holidays!A:A)+hour(X729)/24+MINUTE(X729)/1440,"")</f>
        <v/>
      </c>
      <c r="AD729" s="104"/>
      <c r="AE729" s="105"/>
      <c r="AF729" s="111" t="str">
        <f t="shared" si="6"/>
        <v/>
      </c>
      <c r="AG729" s="110" t="str">
        <f t="shared" si="7"/>
        <v/>
      </c>
      <c r="AH729" s="103" t="str">
        <f>if(AC729,if(and(hour(AC729+AH$7)&gt;9.5,(hour(AC729+AH$7)&lt;19.5)),AC729+AH$7,_xlfn.workday.intl(int(AC729),1,"0000001",Holidays!A:A)+hour(AC729+AH$7-$B$1)/24+minute(AC729)/1440),"")</f>
        <v/>
      </c>
      <c r="AI729" s="104"/>
      <c r="AJ729" s="105"/>
      <c r="AK729" s="111" t="str">
        <f t="shared" si="8"/>
        <v/>
      </c>
      <c r="AL729" s="112" t="str">
        <f t="shared" si="9"/>
        <v/>
      </c>
      <c r="AM729" s="113"/>
      <c r="AN729" s="291" t="s">
        <v>2540</v>
      </c>
      <c r="AO729" s="115"/>
      <c r="AP729" s="115"/>
      <c r="AQ729" s="115"/>
      <c r="AR729" s="115"/>
      <c r="AS729" s="115"/>
      <c r="AT729" s="115"/>
      <c r="AU729" s="115"/>
      <c r="AV729" s="115"/>
      <c r="AW729" s="115"/>
      <c r="AX729" s="115"/>
      <c r="AY729" s="115"/>
    </row>
    <row r="730">
      <c r="A730" s="95" t="str">
        <f t="shared" si="11"/>
        <v/>
      </c>
      <c r="B730" s="100"/>
      <c r="C730" s="97"/>
      <c r="D730" s="97"/>
      <c r="E730" s="97"/>
      <c r="F730" s="97"/>
      <c r="G730" s="97"/>
      <c r="H730" s="99"/>
      <c r="I730" s="100"/>
      <c r="J730" s="101"/>
      <c r="K730" s="100"/>
      <c r="L730" s="102"/>
      <c r="M730" s="103" t="str">
        <f>if(B730,if(and(hour(B730+M$7)&gt;9.5,(hour(B730+M$7)&lt;19.5)),B730+M$7,_xlfn.workday.intl(int(B730),1,"0000001",Holidays!A:A)+hour(B730+M$7-$B$1)/24+minute(B730)/1440),"")</f>
        <v/>
      </c>
      <c r="N730" s="104"/>
      <c r="O730" s="105"/>
      <c r="P730" s="106" t="str">
        <f t="shared" si="1"/>
        <v/>
      </c>
      <c r="Q730" s="107"/>
      <c r="R730" s="108"/>
      <c r="S730" s="103" t="str">
        <f>if(M730,if(and(hour(M730+S$7)&gt;9.5,(hour(M730+S$7)&lt;19.5)),M730+S$7,_xlfn.workday.intl(int(M730),1,"0000001",Holidays!A:A)+hour(M730+S$7-$B$1)/24+minute(M730)/1440),"")</f>
        <v/>
      </c>
      <c r="T730" s="104"/>
      <c r="U730" s="105"/>
      <c r="V730" s="109" t="str">
        <f t="shared" si="2"/>
        <v/>
      </c>
      <c r="W730" s="110" t="str">
        <f t="shared" si="3"/>
        <v/>
      </c>
      <c r="X730" s="103" t="str">
        <f>if(S730,if(and(hour(S730+X$7)&gt;9.5,(hour(S730+X$7)&lt;19.5)),S730+X$7,_xlfn.workday.intl(int(S730),1,"0000001",Holidays!A:A)+hour(S730+X$7-$B$1)/24+minute(S730)/1440),"")</f>
        <v/>
      </c>
      <c r="Y730" s="104"/>
      <c r="Z730" s="105"/>
      <c r="AA730" s="111" t="str">
        <f t="shared" si="4"/>
        <v/>
      </c>
      <c r="AB730" s="110" t="str">
        <f t="shared" si="5"/>
        <v/>
      </c>
      <c r="AC730" s="103" t="str">
        <f>if(X730,_xlfn.WORKDAY.INTL(X730,AC$7,"0000001",Holidays!A:A)+hour(X730)/24+MINUTE(X730)/1440,"")</f>
        <v/>
      </c>
      <c r="AD730" s="104"/>
      <c r="AE730" s="105"/>
      <c r="AF730" s="111" t="str">
        <f t="shared" si="6"/>
        <v/>
      </c>
      <c r="AG730" s="110" t="str">
        <f t="shared" si="7"/>
        <v/>
      </c>
      <c r="AH730" s="103" t="str">
        <f>if(AC730,if(and(hour(AC730+AH$7)&gt;9.5,(hour(AC730+AH$7)&lt;19.5)),AC730+AH$7,_xlfn.workday.intl(int(AC730),1,"0000001",Holidays!A:A)+hour(AC730+AH$7-$B$1)/24+minute(AC730)/1440),"")</f>
        <v/>
      </c>
      <c r="AI730" s="104"/>
      <c r="AJ730" s="105"/>
      <c r="AK730" s="111" t="str">
        <f t="shared" si="8"/>
        <v/>
      </c>
      <c r="AL730" s="112" t="str">
        <f t="shared" si="9"/>
        <v/>
      </c>
      <c r="AM730" s="113"/>
      <c r="AN730" s="291" t="s">
        <v>2540</v>
      </c>
      <c r="AO730" s="115"/>
      <c r="AP730" s="115"/>
      <c r="AQ730" s="115"/>
      <c r="AR730" s="115"/>
      <c r="AS730" s="115"/>
      <c r="AT730" s="115"/>
      <c r="AU730" s="115"/>
      <c r="AV730" s="115"/>
      <c r="AW730" s="115"/>
      <c r="AX730" s="115"/>
      <c r="AY730" s="115"/>
    </row>
    <row r="731">
      <c r="A731" s="95" t="str">
        <f t="shared" si="11"/>
        <v/>
      </c>
      <c r="B731" s="100"/>
      <c r="C731" s="97"/>
      <c r="D731" s="97"/>
      <c r="E731" s="97"/>
      <c r="F731" s="97"/>
      <c r="G731" s="97"/>
      <c r="H731" s="99"/>
      <c r="I731" s="100"/>
      <c r="J731" s="101"/>
      <c r="K731" s="100"/>
      <c r="L731" s="102"/>
      <c r="M731" s="103" t="str">
        <f>if(B731,if(and(hour(B731+M$7)&gt;9.5,(hour(B731+M$7)&lt;19.5)),B731+M$7,_xlfn.workday.intl(int(B731),1,"0000001",Holidays!A:A)+hour(B731+M$7-$B$1)/24+minute(B731)/1440),"")</f>
        <v/>
      </c>
      <c r="N731" s="104"/>
      <c r="O731" s="105"/>
      <c r="P731" s="106" t="str">
        <f t="shared" si="1"/>
        <v/>
      </c>
      <c r="Q731" s="107"/>
      <c r="R731" s="108"/>
      <c r="S731" s="103" t="str">
        <f>if(M731,if(and(hour(M731+S$7)&gt;9.5,(hour(M731+S$7)&lt;19.5)),M731+S$7,_xlfn.workday.intl(int(M731),1,"0000001",Holidays!A:A)+hour(M731+S$7-$B$1)/24+minute(M731)/1440),"")</f>
        <v/>
      </c>
      <c r="T731" s="104"/>
      <c r="U731" s="105"/>
      <c r="V731" s="109" t="str">
        <f t="shared" si="2"/>
        <v/>
      </c>
      <c r="W731" s="110" t="str">
        <f t="shared" si="3"/>
        <v/>
      </c>
      <c r="X731" s="103" t="str">
        <f>if(S731,if(and(hour(S731+X$7)&gt;9.5,(hour(S731+X$7)&lt;19.5)),S731+X$7,_xlfn.workday.intl(int(S731),1,"0000001",Holidays!A:A)+hour(S731+X$7-$B$1)/24+minute(S731)/1440),"")</f>
        <v/>
      </c>
      <c r="Y731" s="104"/>
      <c r="Z731" s="105"/>
      <c r="AA731" s="111" t="str">
        <f t="shared" si="4"/>
        <v/>
      </c>
      <c r="AB731" s="110" t="str">
        <f t="shared" si="5"/>
        <v/>
      </c>
      <c r="AC731" s="103" t="str">
        <f>if(X731,_xlfn.WORKDAY.INTL(X731,AC$7,"0000001",Holidays!A:A)+hour(X731)/24+MINUTE(X731)/1440,"")</f>
        <v/>
      </c>
      <c r="AD731" s="104"/>
      <c r="AE731" s="105"/>
      <c r="AF731" s="111" t="str">
        <f t="shared" si="6"/>
        <v/>
      </c>
      <c r="AG731" s="110" t="str">
        <f t="shared" si="7"/>
        <v/>
      </c>
      <c r="AH731" s="103" t="str">
        <f>if(AC731,if(and(hour(AC731+AH$7)&gt;9.5,(hour(AC731+AH$7)&lt;19.5)),AC731+AH$7,_xlfn.workday.intl(int(AC731),1,"0000001",Holidays!A:A)+hour(AC731+AH$7-$B$1)/24+minute(AC731)/1440),"")</f>
        <v/>
      </c>
      <c r="AI731" s="104"/>
      <c r="AJ731" s="105"/>
      <c r="AK731" s="111" t="str">
        <f t="shared" si="8"/>
        <v/>
      </c>
      <c r="AL731" s="112" t="str">
        <f t="shared" si="9"/>
        <v/>
      </c>
      <c r="AM731" s="113"/>
      <c r="AN731" s="291" t="s">
        <v>2540</v>
      </c>
      <c r="AO731" s="115"/>
      <c r="AP731" s="115"/>
      <c r="AQ731" s="115"/>
      <c r="AR731" s="115"/>
      <c r="AS731" s="115"/>
      <c r="AT731" s="115"/>
      <c r="AU731" s="115"/>
      <c r="AV731" s="115"/>
      <c r="AW731" s="115"/>
      <c r="AX731" s="115"/>
      <c r="AY731" s="115"/>
    </row>
    <row r="732">
      <c r="A732" s="95" t="str">
        <f t="shared" si="11"/>
        <v/>
      </c>
      <c r="B732" s="100"/>
      <c r="C732" s="97"/>
      <c r="D732" s="97"/>
      <c r="E732" s="97"/>
      <c r="F732" s="97"/>
      <c r="G732" s="97"/>
      <c r="H732" s="99"/>
      <c r="I732" s="100"/>
      <c r="J732" s="101"/>
      <c r="K732" s="100"/>
      <c r="L732" s="102"/>
      <c r="M732" s="103" t="str">
        <f>if(B732,if(and(hour(B732+M$7)&gt;9.5,(hour(B732+M$7)&lt;19.5)),B732+M$7,_xlfn.workday.intl(int(B732),1,"0000001",Holidays!A:A)+hour(B732+M$7-$B$1)/24+minute(B732)/1440),"")</f>
        <v/>
      </c>
      <c r="N732" s="104"/>
      <c r="O732" s="105"/>
      <c r="P732" s="106" t="str">
        <f t="shared" si="1"/>
        <v/>
      </c>
      <c r="Q732" s="107"/>
      <c r="R732" s="108"/>
      <c r="S732" s="103" t="str">
        <f>if(M732,if(and(hour(M732+S$7)&gt;9.5,(hour(M732+S$7)&lt;19.5)),M732+S$7,_xlfn.workday.intl(int(M732),1,"0000001",Holidays!A:A)+hour(M732+S$7-$B$1)/24+minute(M732)/1440),"")</f>
        <v/>
      </c>
      <c r="T732" s="104"/>
      <c r="U732" s="105"/>
      <c r="V732" s="109" t="str">
        <f t="shared" si="2"/>
        <v/>
      </c>
      <c r="W732" s="110" t="str">
        <f t="shared" si="3"/>
        <v/>
      </c>
      <c r="X732" s="103" t="str">
        <f>if(S732,if(and(hour(S732+X$7)&gt;9.5,(hour(S732+X$7)&lt;19.5)),S732+X$7,_xlfn.workday.intl(int(S732),1,"0000001",Holidays!A:A)+hour(S732+X$7-$B$1)/24+minute(S732)/1440),"")</f>
        <v/>
      </c>
      <c r="Y732" s="104"/>
      <c r="Z732" s="105"/>
      <c r="AA732" s="111" t="str">
        <f t="shared" si="4"/>
        <v/>
      </c>
      <c r="AB732" s="110" t="str">
        <f t="shared" si="5"/>
        <v/>
      </c>
      <c r="AC732" s="103" t="str">
        <f>if(X732,_xlfn.WORKDAY.INTL(X732,AC$7,"0000001",Holidays!A:A)+hour(X732)/24+MINUTE(X732)/1440,"")</f>
        <v/>
      </c>
      <c r="AD732" s="104"/>
      <c r="AE732" s="105"/>
      <c r="AF732" s="111" t="str">
        <f t="shared" si="6"/>
        <v/>
      </c>
      <c r="AG732" s="110" t="str">
        <f t="shared" si="7"/>
        <v/>
      </c>
      <c r="AH732" s="103" t="str">
        <f>if(AC732,if(and(hour(AC732+AH$7)&gt;9.5,(hour(AC732+AH$7)&lt;19.5)),AC732+AH$7,_xlfn.workday.intl(int(AC732),1,"0000001",Holidays!A:A)+hour(AC732+AH$7-$B$1)/24+minute(AC732)/1440),"")</f>
        <v/>
      </c>
      <c r="AI732" s="104"/>
      <c r="AJ732" s="105"/>
      <c r="AK732" s="111" t="str">
        <f t="shared" si="8"/>
        <v/>
      </c>
      <c r="AL732" s="112" t="str">
        <f t="shared" si="9"/>
        <v/>
      </c>
      <c r="AM732" s="113"/>
      <c r="AN732" s="291" t="s">
        <v>2540</v>
      </c>
      <c r="AO732" s="115"/>
      <c r="AP732" s="115"/>
      <c r="AQ732" s="115"/>
      <c r="AR732" s="115"/>
      <c r="AS732" s="115"/>
      <c r="AT732" s="115"/>
      <c r="AU732" s="115"/>
      <c r="AV732" s="115"/>
      <c r="AW732" s="115"/>
      <c r="AX732" s="115"/>
      <c r="AY732" s="115"/>
    </row>
    <row r="733">
      <c r="A733" s="95" t="str">
        <f t="shared" si="11"/>
        <v/>
      </c>
      <c r="B733" s="100"/>
      <c r="C733" s="97"/>
      <c r="D733" s="97"/>
      <c r="E733" s="97"/>
      <c r="F733" s="97"/>
      <c r="G733" s="97"/>
      <c r="H733" s="99"/>
      <c r="I733" s="100"/>
      <c r="J733" s="101"/>
      <c r="K733" s="100"/>
      <c r="L733" s="102"/>
      <c r="M733" s="103" t="str">
        <f>if(B733,if(and(hour(B733+M$7)&gt;9.5,(hour(B733+M$7)&lt;19.5)),B733+M$7,_xlfn.workday.intl(int(B733),1,"0000001",Holidays!A:A)+hour(B733+M$7-$B$1)/24+minute(B733)/1440),"")</f>
        <v/>
      </c>
      <c r="N733" s="104"/>
      <c r="O733" s="105"/>
      <c r="P733" s="106" t="str">
        <f t="shared" si="1"/>
        <v/>
      </c>
      <c r="Q733" s="107"/>
      <c r="R733" s="108"/>
      <c r="S733" s="103" t="str">
        <f>if(M733,if(and(hour(M733+S$7)&gt;9.5,(hour(M733+S$7)&lt;19.5)),M733+S$7,_xlfn.workday.intl(int(M733),1,"0000001",Holidays!A:A)+hour(M733+S$7-$B$1)/24+minute(M733)/1440),"")</f>
        <v/>
      </c>
      <c r="T733" s="104"/>
      <c r="U733" s="105"/>
      <c r="V733" s="109" t="str">
        <f t="shared" si="2"/>
        <v/>
      </c>
      <c r="W733" s="110" t="str">
        <f t="shared" si="3"/>
        <v/>
      </c>
      <c r="X733" s="103" t="str">
        <f>if(S733,if(and(hour(S733+X$7)&gt;9.5,(hour(S733+X$7)&lt;19.5)),S733+X$7,_xlfn.workday.intl(int(S733),1,"0000001",Holidays!A:A)+hour(S733+X$7-$B$1)/24+minute(S733)/1440),"")</f>
        <v/>
      </c>
      <c r="Y733" s="104"/>
      <c r="Z733" s="105"/>
      <c r="AA733" s="111" t="str">
        <f t="shared" si="4"/>
        <v/>
      </c>
      <c r="AB733" s="110" t="str">
        <f t="shared" si="5"/>
        <v/>
      </c>
      <c r="AC733" s="103" t="str">
        <f>if(X733,_xlfn.WORKDAY.INTL(X733,AC$7,"0000001",Holidays!A:A)+hour(X733)/24+MINUTE(X733)/1440,"")</f>
        <v/>
      </c>
      <c r="AD733" s="104"/>
      <c r="AE733" s="105"/>
      <c r="AF733" s="111" t="str">
        <f t="shared" si="6"/>
        <v/>
      </c>
      <c r="AG733" s="110" t="str">
        <f t="shared" si="7"/>
        <v/>
      </c>
      <c r="AH733" s="103" t="str">
        <f>if(AC733,if(and(hour(AC733+AH$7)&gt;9.5,(hour(AC733+AH$7)&lt;19.5)),AC733+AH$7,_xlfn.workday.intl(int(AC733),1,"0000001",Holidays!A:A)+hour(AC733+AH$7-$B$1)/24+minute(AC733)/1440),"")</f>
        <v/>
      </c>
      <c r="AI733" s="104"/>
      <c r="AJ733" s="105"/>
      <c r="AK733" s="111" t="str">
        <f t="shared" si="8"/>
        <v/>
      </c>
      <c r="AL733" s="112" t="str">
        <f t="shared" si="9"/>
        <v/>
      </c>
      <c r="AM733" s="113"/>
      <c r="AN733" s="291" t="s">
        <v>2540</v>
      </c>
      <c r="AO733" s="115"/>
      <c r="AP733" s="115"/>
      <c r="AQ733" s="115"/>
      <c r="AR733" s="115"/>
      <c r="AS733" s="115"/>
      <c r="AT733" s="115"/>
      <c r="AU733" s="115"/>
      <c r="AV733" s="115"/>
      <c r="AW733" s="115"/>
      <c r="AX733" s="115"/>
      <c r="AY733" s="115"/>
    </row>
    <row r="734">
      <c r="A734" s="95" t="str">
        <f t="shared" si="11"/>
        <v/>
      </c>
      <c r="B734" s="100"/>
      <c r="C734" s="97"/>
      <c r="D734" s="97"/>
      <c r="E734" s="97"/>
      <c r="F734" s="97"/>
      <c r="G734" s="97"/>
      <c r="H734" s="99"/>
      <c r="I734" s="100"/>
      <c r="J734" s="101"/>
      <c r="K734" s="100"/>
      <c r="L734" s="102"/>
      <c r="M734" s="103" t="str">
        <f>if(B734,if(and(hour(B734+M$7)&gt;9.5,(hour(B734+M$7)&lt;19.5)),B734+M$7,_xlfn.workday.intl(int(B734),1,"0000001",Holidays!A:A)+hour(B734+M$7-$B$1)/24+minute(B734)/1440),"")</f>
        <v/>
      </c>
      <c r="N734" s="104"/>
      <c r="O734" s="105"/>
      <c r="P734" s="106" t="str">
        <f t="shared" si="1"/>
        <v/>
      </c>
      <c r="Q734" s="107"/>
      <c r="R734" s="108"/>
      <c r="S734" s="103" t="str">
        <f>if(M734,if(and(hour(M734+S$7)&gt;9.5,(hour(M734+S$7)&lt;19.5)),M734+S$7,_xlfn.workday.intl(int(M734),1,"0000001",Holidays!A:A)+hour(M734+S$7-$B$1)/24+minute(M734)/1440),"")</f>
        <v/>
      </c>
      <c r="T734" s="104"/>
      <c r="U734" s="105"/>
      <c r="V734" s="109" t="str">
        <f t="shared" si="2"/>
        <v/>
      </c>
      <c r="W734" s="110" t="str">
        <f t="shared" si="3"/>
        <v/>
      </c>
      <c r="X734" s="103" t="str">
        <f>if(S734,if(and(hour(S734+X$7)&gt;9.5,(hour(S734+X$7)&lt;19.5)),S734+X$7,_xlfn.workday.intl(int(S734),1,"0000001",Holidays!A:A)+hour(S734+X$7-$B$1)/24+minute(S734)/1440),"")</f>
        <v/>
      </c>
      <c r="Y734" s="104"/>
      <c r="Z734" s="105"/>
      <c r="AA734" s="111" t="str">
        <f t="shared" si="4"/>
        <v/>
      </c>
      <c r="AB734" s="110" t="str">
        <f t="shared" si="5"/>
        <v/>
      </c>
      <c r="AC734" s="103" t="str">
        <f>if(X734,_xlfn.WORKDAY.INTL(X734,AC$7,"0000001",Holidays!A:A)+hour(X734)/24+MINUTE(X734)/1440,"")</f>
        <v/>
      </c>
      <c r="AD734" s="104"/>
      <c r="AE734" s="105"/>
      <c r="AF734" s="111" t="str">
        <f t="shared" si="6"/>
        <v/>
      </c>
      <c r="AG734" s="110" t="str">
        <f t="shared" si="7"/>
        <v/>
      </c>
      <c r="AH734" s="103" t="str">
        <f>if(AC734,if(and(hour(AC734+AH$7)&gt;9.5,(hour(AC734+AH$7)&lt;19.5)),AC734+AH$7,_xlfn.workday.intl(int(AC734),1,"0000001",Holidays!A:A)+hour(AC734+AH$7-$B$1)/24+minute(AC734)/1440),"")</f>
        <v/>
      </c>
      <c r="AI734" s="104"/>
      <c r="AJ734" s="105"/>
      <c r="AK734" s="111" t="str">
        <f t="shared" si="8"/>
        <v/>
      </c>
      <c r="AL734" s="112" t="str">
        <f t="shared" si="9"/>
        <v/>
      </c>
      <c r="AM734" s="113"/>
      <c r="AN734" s="291" t="s">
        <v>2540</v>
      </c>
      <c r="AO734" s="115"/>
      <c r="AP734" s="115"/>
      <c r="AQ734" s="115"/>
      <c r="AR734" s="115"/>
      <c r="AS734" s="115"/>
      <c r="AT734" s="115"/>
      <c r="AU734" s="115"/>
      <c r="AV734" s="115"/>
      <c r="AW734" s="115"/>
      <c r="AX734" s="115"/>
      <c r="AY734" s="115"/>
    </row>
    <row r="735">
      <c r="A735" s="95" t="str">
        <f t="shared" si="11"/>
        <v/>
      </c>
      <c r="B735" s="100"/>
      <c r="C735" s="97"/>
      <c r="D735" s="97"/>
      <c r="E735" s="97"/>
      <c r="F735" s="97"/>
      <c r="G735" s="97"/>
      <c r="H735" s="99"/>
      <c r="I735" s="100"/>
      <c r="J735" s="101"/>
      <c r="K735" s="100"/>
      <c r="L735" s="102"/>
      <c r="M735" s="103" t="str">
        <f>if(B735,if(and(hour(B735+M$7)&gt;9.5,(hour(B735+M$7)&lt;19.5)),B735+M$7,_xlfn.workday.intl(int(B735),1,"0000001",Holidays!A:A)+hour(B735+M$7-$B$1)/24+minute(B735)/1440),"")</f>
        <v/>
      </c>
      <c r="N735" s="104"/>
      <c r="O735" s="105"/>
      <c r="P735" s="106" t="str">
        <f t="shared" si="1"/>
        <v/>
      </c>
      <c r="Q735" s="107"/>
      <c r="R735" s="108"/>
      <c r="S735" s="103" t="str">
        <f>if(M735,if(and(hour(M735+S$7)&gt;9.5,(hour(M735+S$7)&lt;19.5)),M735+S$7,_xlfn.workday.intl(int(M735),1,"0000001",Holidays!A:A)+hour(M735+S$7-$B$1)/24+minute(M735)/1440),"")</f>
        <v/>
      </c>
      <c r="T735" s="104"/>
      <c r="U735" s="105"/>
      <c r="V735" s="109" t="str">
        <f t="shared" si="2"/>
        <v/>
      </c>
      <c r="W735" s="110" t="str">
        <f t="shared" si="3"/>
        <v/>
      </c>
      <c r="X735" s="103" t="str">
        <f>if(S735,if(and(hour(S735+X$7)&gt;9.5,(hour(S735+X$7)&lt;19.5)),S735+X$7,_xlfn.workday.intl(int(S735),1,"0000001",Holidays!A:A)+hour(S735+X$7-$B$1)/24+minute(S735)/1440),"")</f>
        <v/>
      </c>
      <c r="Y735" s="104"/>
      <c r="Z735" s="105"/>
      <c r="AA735" s="111" t="str">
        <f t="shared" si="4"/>
        <v/>
      </c>
      <c r="AB735" s="110" t="str">
        <f t="shared" si="5"/>
        <v/>
      </c>
      <c r="AC735" s="103" t="str">
        <f>if(X735,_xlfn.WORKDAY.INTL(X735,AC$7,"0000001",Holidays!A:A)+hour(X735)/24+MINUTE(X735)/1440,"")</f>
        <v/>
      </c>
      <c r="AD735" s="104"/>
      <c r="AE735" s="105"/>
      <c r="AF735" s="111" t="str">
        <f t="shared" si="6"/>
        <v/>
      </c>
      <c r="AG735" s="110" t="str">
        <f t="shared" si="7"/>
        <v/>
      </c>
      <c r="AH735" s="103" t="str">
        <f>if(AC735,if(and(hour(AC735+AH$7)&gt;9.5,(hour(AC735+AH$7)&lt;19.5)),AC735+AH$7,_xlfn.workday.intl(int(AC735),1,"0000001",Holidays!A:A)+hour(AC735+AH$7-$B$1)/24+minute(AC735)/1440),"")</f>
        <v/>
      </c>
      <c r="AI735" s="104"/>
      <c r="AJ735" s="105"/>
      <c r="AK735" s="111" t="str">
        <f t="shared" si="8"/>
        <v/>
      </c>
      <c r="AL735" s="112" t="str">
        <f t="shared" si="9"/>
        <v/>
      </c>
      <c r="AM735" s="113"/>
      <c r="AN735" s="291" t="s">
        <v>2540</v>
      </c>
      <c r="AO735" s="115"/>
      <c r="AP735" s="115"/>
      <c r="AQ735" s="115"/>
      <c r="AR735" s="115"/>
      <c r="AS735" s="115"/>
      <c r="AT735" s="115"/>
      <c r="AU735" s="115"/>
      <c r="AV735" s="115"/>
      <c r="AW735" s="115"/>
      <c r="AX735" s="115"/>
      <c r="AY735" s="115"/>
    </row>
    <row r="736">
      <c r="A736" s="95" t="str">
        <f t="shared" si="11"/>
        <v/>
      </c>
      <c r="B736" s="100"/>
      <c r="C736" s="97"/>
      <c r="D736" s="97"/>
      <c r="E736" s="97"/>
      <c r="F736" s="97"/>
      <c r="G736" s="97"/>
      <c r="H736" s="99"/>
      <c r="I736" s="100"/>
      <c r="J736" s="101"/>
      <c r="K736" s="100"/>
      <c r="L736" s="102"/>
      <c r="M736" s="103" t="str">
        <f>if(B736,if(and(hour(B736+M$7)&gt;9.5,(hour(B736+M$7)&lt;19.5)),B736+M$7,_xlfn.workday.intl(int(B736),1,"0000001",Holidays!A:A)+hour(B736+M$7-$B$1)/24+minute(B736)/1440),"")</f>
        <v/>
      </c>
      <c r="N736" s="104"/>
      <c r="O736" s="105"/>
      <c r="P736" s="106" t="str">
        <f t="shared" si="1"/>
        <v/>
      </c>
      <c r="Q736" s="107"/>
      <c r="R736" s="108"/>
      <c r="S736" s="103" t="str">
        <f>if(M736,if(and(hour(M736+S$7)&gt;9.5,(hour(M736+S$7)&lt;19.5)),M736+S$7,_xlfn.workday.intl(int(M736),1,"0000001",Holidays!A:A)+hour(M736+S$7-$B$1)/24+minute(M736)/1440),"")</f>
        <v/>
      </c>
      <c r="T736" s="104"/>
      <c r="U736" s="105"/>
      <c r="V736" s="109" t="str">
        <f t="shared" si="2"/>
        <v/>
      </c>
      <c r="W736" s="110" t="str">
        <f t="shared" si="3"/>
        <v/>
      </c>
      <c r="X736" s="103" t="str">
        <f>if(S736,if(and(hour(S736+X$7)&gt;9.5,(hour(S736+X$7)&lt;19.5)),S736+X$7,_xlfn.workday.intl(int(S736),1,"0000001",Holidays!A:A)+hour(S736+X$7-$B$1)/24+minute(S736)/1440),"")</f>
        <v/>
      </c>
      <c r="Y736" s="104"/>
      <c r="Z736" s="105"/>
      <c r="AA736" s="111" t="str">
        <f t="shared" si="4"/>
        <v/>
      </c>
      <c r="AB736" s="110" t="str">
        <f t="shared" si="5"/>
        <v/>
      </c>
      <c r="AC736" s="103" t="str">
        <f>if(X736,_xlfn.WORKDAY.INTL(X736,AC$7,"0000001",Holidays!A:A)+hour(X736)/24+MINUTE(X736)/1440,"")</f>
        <v/>
      </c>
      <c r="AD736" s="104"/>
      <c r="AE736" s="105"/>
      <c r="AF736" s="111" t="str">
        <f t="shared" si="6"/>
        <v/>
      </c>
      <c r="AG736" s="110" t="str">
        <f t="shared" si="7"/>
        <v/>
      </c>
      <c r="AH736" s="103" t="str">
        <f>if(AC736,if(and(hour(AC736+AH$7)&gt;9.5,(hour(AC736+AH$7)&lt;19.5)),AC736+AH$7,_xlfn.workday.intl(int(AC736),1,"0000001",Holidays!A:A)+hour(AC736+AH$7-$B$1)/24+minute(AC736)/1440),"")</f>
        <v/>
      </c>
      <c r="AI736" s="104"/>
      <c r="AJ736" s="105"/>
      <c r="AK736" s="111" t="str">
        <f t="shared" si="8"/>
        <v/>
      </c>
      <c r="AL736" s="112" t="str">
        <f t="shared" si="9"/>
        <v/>
      </c>
      <c r="AM736" s="113"/>
      <c r="AN736" s="291" t="s">
        <v>2540</v>
      </c>
      <c r="AO736" s="115"/>
      <c r="AP736" s="115"/>
      <c r="AQ736" s="115"/>
      <c r="AR736" s="115"/>
      <c r="AS736" s="115"/>
      <c r="AT736" s="115"/>
      <c r="AU736" s="115"/>
      <c r="AV736" s="115"/>
      <c r="AW736" s="115"/>
      <c r="AX736" s="115"/>
      <c r="AY736" s="115"/>
    </row>
    <row r="737">
      <c r="A737" s="95" t="str">
        <f t="shared" si="11"/>
        <v/>
      </c>
      <c r="B737" s="100"/>
      <c r="C737" s="97"/>
      <c r="D737" s="97"/>
      <c r="E737" s="97"/>
      <c r="F737" s="97"/>
      <c r="G737" s="97"/>
      <c r="H737" s="99"/>
      <c r="I737" s="100"/>
      <c r="J737" s="101"/>
      <c r="K737" s="100"/>
      <c r="L737" s="102"/>
      <c r="M737" s="103" t="str">
        <f>if(B737,if(and(hour(B737+M$7)&gt;9.5,(hour(B737+M$7)&lt;19.5)),B737+M$7,_xlfn.workday.intl(int(B737),1,"0000001",Holidays!A:A)+hour(B737+M$7-$B$1)/24+minute(B737)/1440),"")</f>
        <v/>
      </c>
      <c r="N737" s="104"/>
      <c r="O737" s="105"/>
      <c r="P737" s="106" t="str">
        <f t="shared" si="1"/>
        <v/>
      </c>
      <c r="Q737" s="107"/>
      <c r="R737" s="108"/>
      <c r="S737" s="103" t="str">
        <f>if(M737,if(and(hour(M737+S$7)&gt;9.5,(hour(M737+S$7)&lt;19.5)),M737+S$7,_xlfn.workday.intl(int(M737),1,"0000001",Holidays!A:A)+hour(M737+S$7-$B$1)/24+minute(M737)/1440),"")</f>
        <v/>
      </c>
      <c r="T737" s="104"/>
      <c r="U737" s="105"/>
      <c r="V737" s="109" t="str">
        <f t="shared" si="2"/>
        <v/>
      </c>
      <c r="W737" s="110" t="str">
        <f t="shared" si="3"/>
        <v/>
      </c>
      <c r="X737" s="103" t="str">
        <f>if(S737,if(and(hour(S737+X$7)&gt;9.5,(hour(S737+X$7)&lt;19.5)),S737+X$7,_xlfn.workday.intl(int(S737),1,"0000001",Holidays!A:A)+hour(S737+X$7-$B$1)/24+minute(S737)/1440),"")</f>
        <v/>
      </c>
      <c r="Y737" s="104"/>
      <c r="Z737" s="105"/>
      <c r="AA737" s="111" t="str">
        <f t="shared" si="4"/>
        <v/>
      </c>
      <c r="AB737" s="110" t="str">
        <f t="shared" si="5"/>
        <v/>
      </c>
      <c r="AC737" s="103" t="str">
        <f>if(X737,_xlfn.WORKDAY.INTL(X737,AC$7,"0000001",Holidays!A:A)+hour(X737)/24+MINUTE(X737)/1440,"")</f>
        <v/>
      </c>
      <c r="AD737" s="104"/>
      <c r="AE737" s="105"/>
      <c r="AF737" s="111" t="str">
        <f t="shared" si="6"/>
        <v/>
      </c>
      <c r="AG737" s="110" t="str">
        <f t="shared" si="7"/>
        <v/>
      </c>
      <c r="AH737" s="103" t="str">
        <f>if(AC737,if(and(hour(AC737+AH$7)&gt;9.5,(hour(AC737+AH$7)&lt;19.5)),AC737+AH$7,_xlfn.workday.intl(int(AC737),1,"0000001",Holidays!A:A)+hour(AC737+AH$7-$B$1)/24+minute(AC737)/1440),"")</f>
        <v/>
      </c>
      <c r="AI737" s="104"/>
      <c r="AJ737" s="105"/>
      <c r="AK737" s="111" t="str">
        <f t="shared" si="8"/>
        <v/>
      </c>
      <c r="AL737" s="112" t="str">
        <f t="shared" si="9"/>
        <v/>
      </c>
      <c r="AM737" s="113"/>
      <c r="AN737" s="291" t="s">
        <v>2540</v>
      </c>
      <c r="AO737" s="115"/>
      <c r="AP737" s="115"/>
      <c r="AQ737" s="115"/>
      <c r="AR737" s="115"/>
      <c r="AS737" s="115"/>
      <c r="AT737" s="115"/>
      <c r="AU737" s="115"/>
      <c r="AV737" s="115"/>
      <c r="AW737" s="115"/>
      <c r="AX737" s="115"/>
      <c r="AY737" s="115"/>
    </row>
    <row r="738">
      <c r="A738" s="95" t="str">
        <f t="shared" si="11"/>
        <v/>
      </c>
      <c r="B738" s="100"/>
      <c r="C738" s="97"/>
      <c r="D738" s="97"/>
      <c r="E738" s="97"/>
      <c r="F738" s="97"/>
      <c r="G738" s="97"/>
      <c r="H738" s="99"/>
      <c r="I738" s="100"/>
      <c r="J738" s="101"/>
      <c r="K738" s="100"/>
      <c r="L738" s="102"/>
      <c r="M738" s="103" t="str">
        <f>if(B738,if(and(hour(B738+M$7)&gt;9.5,(hour(B738+M$7)&lt;19.5)),B738+M$7,_xlfn.workday.intl(int(B738),1,"0000001",Holidays!A:A)+hour(B738+M$7-$B$1)/24+minute(B738)/1440),"")</f>
        <v/>
      </c>
      <c r="N738" s="104"/>
      <c r="O738" s="105"/>
      <c r="P738" s="106" t="str">
        <f t="shared" si="1"/>
        <v/>
      </c>
      <c r="Q738" s="107"/>
      <c r="R738" s="108"/>
      <c r="S738" s="103" t="str">
        <f>if(M738,if(and(hour(M738+S$7)&gt;9.5,(hour(M738+S$7)&lt;19.5)),M738+S$7,_xlfn.workday.intl(int(M738),1,"0000001",Holidays!A:A)+hour(M738+S$7-$B$1)/24+minute(M738)/1440),"")</f>
        <v/>
      </c>
      <c r="T738" s="104"/>
      <c r="U738" s="105"/>
      <c r="V738" s="109" t="str">
        <f t="shared" si="2"/>
        <v/>
      </c>
      <c r="W738" s="110" t="str">
        <f t="shared" si="3"/>
        <v/>
      </c>
      <c r="X738" s="103" t="str">
        <f>if(S738,if(and(hour(S738+X$7)&gt;9.5,(hour(S738+X$7)&lt;19.5)),S738+X$7,_xlfn.workday.intl(int(S738),1,"0000001",Holidays!A:A)+hour(S738+X$7-$B$1)/24+minute(S738)/1440),"")</f>
        <v/>
      </c>
      <c r="Y738" s="104"/>
      <c r="Z738" s="105"/>
      <c r="AA738" s="111" t="str">
        <f t="shared" si="4"/>
        <v/>
      </c>
      <c r="AB738" s="110" t="str">
        <f t="shared" si="5"/>
        <v/>
      </c>
      <c r="AC738" s="103" t="str">
        <f>if(X738,_xlfn.WORKDAY.INTL(X738,AC$7,"0000001",Holidays!A:A)+hour(X738)/24+MINUTE(X738)/1440,"")</f>
        <v/>
      </c>
      <c r="AD738" s="104"/>
      <c r="AE738" s="105"/>
      <c r="AF738" s="111" t="str">
        <f t="shared" si="6"/>
        <v/>
      </c>
      <c r="AG738" s="110" t="str">
        <f t="shared" si="7"/>
        <v/>
      </c>
      <c r="AH738" s="103" t="str">
        <f>if(AC738,if(and(hour(AC738+AH$7)&gt;9.5,(hour(AC738+AH$7)&lt;19.5)),AC738+AH$7,_xlfn.workday.intl(int(AC738),1,"0000001",Holidays!A:A)+hour(AC738+AH$7-$B$1)/24+minute(AC738)/1440),"")</f>
        <v/>
      </c>
      <c r="AI738" s="104"/>
      <c r="AJ738" s="105"/>
      <c r="AK738" s="111" t="str">
        <f t="shared" si="8"/>
        <v/>
      </c>
      <c r="AL738" s="112" t="str">
        <f t="shared" si="9"/>
        <v/>
      </c>
      <c r="AM738" s="113"/>
      <c r="AN738" s="291" t="s">
        <v>2540</v>
      </c>
      <c r="AO738" s="115"/>
      <c r="AP738" s="115"/>
      <c r="AQ738" s="115"/>
      <c r="AR738" s="115"/>
      <c r="AS738" s="115"/>
      <c r="AT738" s="115"/>
      <c r="AU738" s="115"/>
      <c r="AV738" s="115"/>
      <c r="AW738" s="115"/>
      <c r="AX738" s="115"/>
      <c r="AY738" s="115"/>
    </row>
    <row r="739">
      <c r="A739" s="95" t="str">
        <f t="shared" si="11"/>
        <v/>
      </c>
      <c r="B739" s="100"/>
      <c r="C739" s="97"/>
      <c r="D739" s="97"/>
      <c r="E739" s="97"/>
      <c r="F739" s="97"/>
      <c r="G739" s="97"/>
      <c r="H739" s="99"/>
      <c r="I739" s="100"/>
      <c r="J739" s="101"/>
      <c r="K739" s="100"/>
      <c r="L739" s="102"/>
      <c r="M739" s="103" t="str">
        <f>if(B739,if(and(hour(B739+M$7)&gt;9.5,(hour(B739+M$7)&lt;19.5)),B739+M$7,_xlfn.workday.intl(int(B739),1,"0000001",Holidays!A:A)+hour(B739+M$7-$B$1)/24+minute(B739)/1440),"")</f>
        <v/>
      </c>
      <c r="N739" s="104"/>
      <c r="O739" s="105"/>
      <c r="P739" s="106" t="str">
        <f t="shared" si="1"/>
        <v/>
      </c>
      <c r="Q739" s="107"/>
      <c r="R739" s="108"/>
      <c r="S739" s="103" t="str">
        <f>if(M739,if(and(hour(M739+S$7)&gt;9.5,(hour(M739+S$7)&lt;19.5)),M739+S$7,_xlfn.workday.intl(int(M739),1,"0000001",Holidays!A:A)+hour(M739+S$7-$B$1)/24+minute(M739)/1440),"")</f>
        <v/>
      </c>
      <c r="T739" s="104"/>
      <c r="U739" s="105"/>
      <c r="V739" s="109" t="str">
        <f t="shared" si="2"/>
        <v/>
      </c>
      <c r="W739" s="110" t="str">
        <f t="shared" si="3"/>
        <v/>
      </c>
      <c r="X739" s="103" t="str">
        <f>if(S739,if(and(hour(S739+X$7)&gt;9.5,(hour(S739+X$7)&lt;19.5)),S739+X$7,_xlfn.workday.intl(int(S739),1,"0000001",Holidays!A:A)+hour(S739+X$7-$B$1)/24+minute(S739)/1440),"")</f>
        <v/>
      </c>
      <c r="Y739" s="104"/>
      <c r="Z739" s="105"/>
      <c r="AA739" s="111" t="str">
        <f t="shared" si="4"/>
        <v/>
      </c>
      <c r="AB739" s="110" t="str">
        <f t="shared" si="5"/>
        <v/>
      </c>
      <c r="AC739" s="103" t="str">
        <f>if(X739,_xlfn.WORKDAY.INTL(X739,AC$7,"0000001",Holidays!A:A)+hour(X739)/24+MINUTE(X739)/1440,"")</f>
        <v/>
      </c>
      <c r="AD739" s="104"/>
      <c r="AE739" s="105"/>
      <c r="AF739" s="111" t="str">
        <f t="shared" si="6"/>
        <v/>
      </c>
      <c r="AG739" s="110" t="str">
        <f t="shared" si="7"/>
        <v/>
      </c>
      <c r="AH739" s="103" t="str">
        <f>if(AC739,if(and(hour(AC739+AH$7)&gt;9.5,(hour(AC739+AH$7)&lt;19.5)),AC739+AH$7,_xlfn.workday.intl(int(AC739),1,"0000001",Holidays!A:A)+hour(AC739+AH$7-$B$1)/24+minute(AC739)/1440),"")</f>
        <v/>
      </c>
      <c r="AI739" s="104"/>
      <c r="AJ739" s="105"/>
      <c r="AK739" s="111" t="str">
        <f t="shared" si="8"/>
        <v/>
      </c>
      <c r="AL739" s="112" t="str">
        <f t="shared" si="9"/>
        <v/>
      </c>
      <c r="AM739" s="113"/>
      <c r="AN739" s="291" t="s">
        <v>2540</v>
      </c>
      <c r="AO739" s="115"/>
      <c r="AP739" s="115"/>
      <c r="AQ739" s="115"/>
      <c r="AR739" s="115"/>
      <c r="AS739" s="115"/>
      <c r="AT739" s="115"/>
      <c r="AU739" s="115"/>
      <c r="AV739" s="115"/>
      <c r="AW739" s="115"/>
      <c r="AX739" s="115"/>
      <c r="AY739" s="115"/>
    </row>
    <row r="740">
      <c r="A740" s="95" t="str">
        <f t="shared" si="11"/>
        <v/>
      </c>
      <c r="B740" s="100"/>
      <c r="C740" s="97"/>
      <c r="D740" s="97"/>
      <c r="E740" s="97"/>
      <c r="F740" s="97"/>
      <c r="G740" s="97"/>
      <c r="H740" s="99"/>
      <c r="I740" s="100"/>
      <c r="J740" s="101"/>
      <c r="K740" s="100"/>
      <c r="L740" s="102"/>
      <c r="M740" s="103" t="str">
        <f>if(B740,if(and(hour(B740+M$7)&gt;9.5,(hour(B740+M$7)&lt;19.5)),B740+M$7,_xlfn.workday.intl(int(B740),1,"0000001",Holidays!A:A)+hour(B740+M$7-$B$1)/24+minute(B740)/1440),"")</f>
        <v/>
      </c>
      <c r="N740" s="104"/>
      <c r="O740" s="105"/>
      <c r="P740" s="106" t="str">
        <f t="shared" si="1"/>
        <v/>
      </c>
      <c r="Q740" s="107"/>
      <c r="R740" s="108"/>
      <c r="S740" s="103" t="str">
        <f>if(M740,if(and(hour(M740+S$7)&gt;9.5,(hour(M740+S$7)&lt;19.5)),M740+S$7,_xlfn.workday.intl(int(M740),1,"0000001",Holidays!A:A)+hour(M740+S$7-$B$1)/24+minute(M740)/1440),"")</f>
        <v/>
      </c>
      <c r="T740" s="104"/>
      <c r="U740" s="105"/>
      <c r="V740" s="109" t="str">
        <f t="shared" si="2"/>
        <v/>
      </c>
      <c r="W740" s="110" t="str">
        <f t="shared" si="3"/>
        <v/>
      </c>
      <c r="X740" s="103" t="str">
        <f>if(S740,if(and(hour(S740+X$7)&gt;9.5,(hour(S740+X$7)&lt;19.5)),S740+X$7,_xlfn.workday.intl(int(S740),1,"0000001",Holidays!A:A)+hour(S740+X$7-$B$1)/24+minute(S740)/1440),"")</f>
        <v/>
      </c>
      <c r="Y740" s="104"/>
      <c r="Z740" s="105"/>
      <c r="AA740" s="111" t="str">
        <f t="shared" si="4"/>
        <v/>
      </c>
      <c r="AB740" s="110" t="str">
        <f t="shared" si="5"/>
        <v/>
      </c>
      <c r="AC740" s="103" t="str">
        <f>if(X740,_xlfn.WORKDAY.INTL(X740,AC$7,"0000001",Holidays!A:A)+hour(X740)/24+MINUTE(X740)/1440,"")</f>
        <v/>
      </c>
      <c r="AD740" s="104"/>
      <c r="AE740" s="105"/>
      <c r="AF740" s="111" t="str">
        <f t="shared" si="6"/>
        <v/>
      </c>
      <c r="AG740" s="110" t="str">
        <f t="shared" si="7"/>
        <v/>
      </c>
      <c r="AH740" s="103" t="str">
        <f>if(AC740,if(and(hour(AC740+AH$7)&gt;9.5,(hour(AC740+AH$7)&lt;19.5)),AC740+AH$7,_xlfn.workday.intl(int(AC740),1,"0000001",Holidays!A:A)+hour(AC740+AH$7-$B$1)/24+minute(AC740)/1440),"")</f>
        <v/>
      </c>
      <c r="AI740" s="104"/>
      <c r="AJ740" s="105"/>
      <c r="AK740" s="111" t="str">
        <f t="shared" si="8"/>
        <v/>
      </c>
      <c r="AL740" s="112" t="str">
        <f t="shared" si="9"/>
        <v/>
      </c>
      <c r="AM740" s="113"/>
      <c r="AN740" s="291" t="s">
        <v>2540</v>
      </c>
      <c r="AO740" s="115"/>
      <c r="AP740" s="115"/>
      <c r="AQ740" s="115"/>
      <c r="AR740" s="115"/>
      <c r="AS740" s="115"/>
      <c r="AT740" s="115"/>
      <c r="AU740" s="115"/>
      <c r="AV740" s="115"/>
      <c r="AW740" s="115"/>
      <c r="AX740" s="115"/>
      <c r="AY740" s="115"/>
    </row>
    <row r="741">
      <c r="A741" s="95" t="str">
        <f t="shared" si="11"/>
        <v/>
      </c>
      <c r="B741" s="100"/>
      <c r="C741" s="97"/>
      <c r="D741" s="97"/>
      <c r="E741" s="97"/>
      <c r="F741" s="97"/>
      <c r="G741" s="97"/>
      <c r="H741" s="99"/>
      <c r="I741" s="100"/>
      <c r="J741" s="101"/>
      <c r="K741" s="100"/>
      <c r="L741" s="102"/>
      <c r="M741" s="103" t="str">
        <f>if(B741,if(and(hour(B741+M$7)&gt;9.5,(hour(B741+M$7)&lt;19.5)),B741+M$7,_xlfn.workday.intl(int(B741),1,"0000001",Holidays!A:A)+hour(B741+M$7-$B$1)/24+minute(B741)/1440),"")</f>
        <v/>
      </c>
      <c r="N741" s="104"/>
      <c r="O741" s="105"/>
      <c r="P741" s="106" t="str">
        <f t="shared" si="1"/>
        <v/>
      </c>
      <c r="Q741" s="107"/>
      <c r="R741" s="108"/>
      <c r="S741" s="103" t="str">
        <f>if(M741,if(and(hour(M741+S$7)&gt;9.5,(hour(M741+S$7)&lt;19.5)),M741+S$7,_xlfn.workday.intl(int(M741),1,"0000001",Holidays!A:A)+hour(M741+S$7-$B$1)/24+minute(M741)/1440),"")</f>
        <v/>
      </c>
      <c r="T741" s="104"/>
      <c r="U741" s="105"/>
      <c r="V741" s="109" t="str">
        <f t="shared" si="2"/>
        <v/>
      </c>
      <c r="W741" s="110" t="str">
        <f t="shared" si="3"/>
        <v/>
      </c>
      <c r="X741" s="103" t="str">
        <f>if(S741,if(and(hour(S741+X$7)&gt;9.5,(hour(S741+X$7)&lt;19.5)),S741+X$7,_xlfn.workday.intl(int(S741),1,"0000001",Holidays!A:A)+hour(S741+X$7-$B$1)/24+minute(S741)/1440),"")</f>
        <v/>
      </c>
      <c r="Y741" s="104"/>
      <c r="Z741" s="105"/>
      <c r="AA741" s="111" t="str">
        <f t="shared" si="4"/>
        <v/>
      </c>
      <c r="AB741" s="110" t="str">
        <f t="shared" si="5"/>
        <v/>
      </c>
      <c r="AC741" s="103" t="str">
        <f>if(X741,_xlfn.WORKDAY.INTL(X741,AC$7,"0000001",Holidays!A:A)+hour(X741)/24+MINUTE(X741)/1440,"")</f>
        <v/>
      </c>
      <c r="AD741" s="104"/>
      <c r="AE741" s="105"/>
      <c r="AF741" s="111" t="str">
        <f t="shared" si="6"/>
        <v/>
      </c>
      <c r="AG741" s="110" t="str">
        <f t="shared" si="7"/>
        <v/>
      </c>
      <c r="AH741" s="103" t="str">
        <f>if(AC741,if(and(hour(AC741+AH$7)&gt;9.5,(hour(AC741+AH$7)&lt;19.5)),AC741+AH$7,_xlfn.workday.intl(int(AC741),1,"0000001",Holidays!A:A)+hour(AC741+AH$7-$B$1)/24+minute(AC741)/1440),"")</f>
        <v/>
      </c>
      <c r="AI741" s="104"/>
      <c r="AJ741" s="105"/>
      <c r="AK741" s="111" t="str">
        <f t="shared" si="8"/>
        <v/>
      </c>
      <c r="AL741" s="112" t="str">
        <f t="shared" si="9"/>
        <v/>
      </c>
      <c r="AM741" s="113"/>
      <c r="AN741" s="291" t="s">
        <v>2540</v>
      </c>
      <c r="AO741" s="115"/>
      <c r="AP741" s="115"/>
      <c r="AQ741" s="115"/>
      <c r="AR741" s="115"/>
      <c r="AS741" s="115"/>
      <c r="AT741" s="115"/>
      <c r="AU741" s="115"/>
      <c r="AV741" s="115"/>
      <c r="AW741" s="115"/>
      <c r="AX741" s="115"/>
      <c r="AY741" s="115"/>
    </row>
    <row r="742">
      <c r="A742" s="95" t="str">
        <f t="shared" si="11"/>
        <v/>
      </c>
      <c r="B742" s="100"/>
      <c r="C742" s="97"/>
      <c r="D742" s="97"/>
      <c r="E742" s="97"/>
      <c r="F742" s="97"/>
      <c r="G742" s="97"/>
      <c r="H742" s="99"/>
      <c r="I742" s="100"/>
      <c r="J742" s="101"/>
      <c r="K742" s="100"/>
      <c r="L742" s="102"/>
      <c r="M742" s="103" t="str">
        <f>if(B742,if(and(hour(B742+M$7)&gt;9.5,(hour(B742+M$7)&lt;19.5)),B742+M$7,_xlfn.workday.intl(int(B742),1,"0000001",Holidays!A:A)+hour(B742+M$7-$B$1)/24+minute(B742)/1440),"")</f>
        <v/>
      </c>
      <c r="N742" s="104"/>
      <c r="O742" s="105"/>
      <c r="P742" s="106" t="str">
        <f t="shared" si="1"/>
        <v/>
      </c>
      <c r="Q742" s="107"/>
      <c r="R742" s="108"/>
      <c r="S742" s="103" t="str">
        <f>if(M742,if(and(hour(M742+S$7)&gt;9.5,(hour(M742+S$7)&lt;19.5)),M742+S$7,_xlfn.workday.intl(int(M742),1,"0000001",Holidays!A:A)+hour(M742+S$7-$B$1)/24+minute(M742)/1440),"")</f>
        <v/>
      </c>
      <c r="T742" s="104"/>
      <c r="U742" s="105"/>
      <c r="V742" s="109" t="str">
        <f t="shared" si="2"/>
        <v/>
      </c>
      <c r="W742" s="110" t="str">
        <f t="shared" si="3"/>
        <v/>
      </c>
      <c r="X742" s="103" t="str">
        <f>if(S742,if(and(hour(S742+X$7)&gt;9.5,(hour(S742+X$7)&lt;19.5)),S742+X$7,_xlfn.workday.intl(int(S742),1,"0000001",Holidays!A:A)+hour(S742+X$7-$B$1)/24+minute(S742)/1440),"")</f>
        <v/>
      </c>
      <c r="Y742" s="104"/>
      <c r="Z742" s="105"/>
      <c r="AA742" s="111" t="str">
        <f t="shared" si="4"/>
        <v/>
      </c>
      <c r="AB742" s="110" t="str">
        <f t="shared" si="5"/>
        <v/>
      </c>
      <c r="AC742" s="103" t="str">
        <f>if(X742,_xlfn.WORKDAY.INTL(X742,AC$7,"0000001",Holidays!A:A)+hour(X742)/24+MINUTE(X742)/1440,"")</f>
        <v/>
      </c>
      <c r="AD742" s="104"/>
      <c r="AE742" s="105"/>
      <c r="AF742" s="111" t="str">
        <f t="shared" si="6"/>
        <v/>
      </c>
      <c r="AG742" s="110" t="str">
        <f t="shared" si="7"/>
        <v/>
      </c>
      <c r="AH742" s="103" t="str">
        <f>if(AC742,if(and(hour(AC742+AH$7)&gt;9.5,(hour(AC742+AH$7)&lt;19.5)),AC742+AH$7,_xlfn.workday.intl(int(AC742),1,"0000001",Holidays!A:A)+hour(AC742+AH$7-$B$1)/24+minute(AC742)/1440),"")</f>
        <v/>
      </c>
      <c r="AI742" s="104"/>
      <c r="AJ742" s="105"/>
      <c r="AK742" s="111" t="str">
        <f t="shared" si="8"/>
        <v/>
      </c>
      <c r="AL742" s="112" t="str">
        <f t="shared" si="9"/>
        <v/>
      </c>
      <c r="AM742" s="113"/>
      <c r="AN742" s="291" t="s">
        <v>2540</v>
      </c>
      <c r="AO742" s="115"/>
      <c r="AP742" s="115"/>
      <c r="AQ742" s="115"/>
      <c r="AR742" s="115"/>
      <c r="AS742" s="115"/>
      <c r="AT742" s="115"/>
      <c r="AU742" s="115"/>
      <c r="AV742" s="115"/>
      <c r="AW742" s="115"/>
      <c r="AX742" s="115"/>
      <c r="AY742" s="115"/>
    </row>
    <row r="743">
      <c r="A743" s="95" t="str">
        <f t="shared" si="11"/>
        <v/>
      </c>
      <c r="B743" s="100"/>
      <c r="C743" s="97"/>
      <c r="D743" s="97"/>
      <c r="E743" s="97"/>
      <c r="F743" s="97"/>
      <c r="G743" s="97"/>
      <c r="H743" s="99"/>
      <c r="I743" s="100"/>
      <c r="J743" s="101"/>
      <c r="K743" s="100"/>
      <c r="L743" s="102"/>
      <c r="M743" s="103" t="str">
        <f>if(B743,if(and(hour(B743+M$7)&gt;9.5,(hour(B743+M$7)&lt;19.5)),B743+M$7,_xlfn.workday.intl(int(B743),1,"0000001",Holidays!A:A)+hour(B743+M$7-$B$1)/24+minute(B743)/1440),"")</f>
        <v/>
      </c>
      <c r="N743" s="104"/>
      <c r="O743" s="105"/>
      <c r="P743" s="106" t="str">
        <f t="shared" si="1"/>
        <v/>
      </c>
      <c r="Q743" s="107"/>
      <c r="R743" s="108"/>
      <c r="S743" s="103" t="str">
        <f>if(M743,if(and(hour(M743+S$7)&gt;9.5,(hour(M743+S$7)&lt;19.5)),M743+S$7,_xlfn.workday.intl(int(M743),1,"0000001",Holidays!A:A)+hour(M743+S$7-$B$1)/24+minute(M743)/1440),"")</f>
        <v/>
      </c>
      <c r="T743" s="104"/>
      <c r="U743" s="105"/>
      <c r="V743" s="109" t="str">
        <f t="shared" si="2"/>
        <v/>
      </c>
      <c r="W743" s="110" t="str">
        <f t="shared" si="3"/>
        <v/>
      </c>
      <c r="X743" s="103" t="str">
        <f>if(S743,if(and(hour(S743+X$7)&gt;9.5,(hour(S743+X$7)&lt;19.5)),S743+X$7,_xlfn.workday.intl(int(S743),1,"0000001",Holidays!A:A)+hour(S743+X$7-$B$1)/24+minute(S743)/1440),"")</f>
        <v/>
      </c>
      <c r="Y743" s="104"/>
      <c r="Z743" s="105"/>
      <c r="AA743" s="111" t="str">
        <f t="shared" si="4"/>
        <v/>
      </c>
      <c r="AB743" s="110" t="str">
        <f t="shared" si="5"/>
        <v/>
      </c>
      <c r="AC743" s="103" t="str">
        <f>if(X743,_xlfn.WORKDAY.INTL(X743,AC$7,"0000001",Holidays!A:A)+hour(X743)/24+MINUTE(X743)/1440,"")</f>
        <v/>
      </c>
      <c r="AD743" s="104"/>
      <c r="AE743" s="105"/>
      <c r="AF743" s="111" t="str">
        <f t="shared" si="6"/>
        <v/>
      </c>
      <c r="AG743" s="110" t="str">
        <f t="shared" si="7"/>
        <v/>
      </c>
      <c r="AH743" s="103" t="str">
        <f>if(AC743,if(and(hour(AC743+AH$7)&gt;9.5,(hour(AC743+AH$7)&lt;19.5)),AC743+AH$7,_xlfn.workday.intl(int(AC743),1,"0000001",Holidays!A:A)+hour(AC743+AH$7-$B$1)/24+minute(AC743)/1440),"")</f>
        <v/>
      </c>
      <c r="AI743" s="104"/>
      <c r="AJ743" s="105"/>
      <c r="AK743" s="111" t="str">
        <f t="shared" si="8"/>
        <v/>
      </c>
      <c r="AL743" s="112" t="str">
        <f t="shared" si="9"/>
        <v/>
      </c>
      <c r="AM743" s="113"/>
      <c r="AN743" s="291" t="s">
        <v>2540</v>
      </c>
      <c r="AO743" s="115"/>
      <c r="AP743" s="115"/>
      <c r="AQ743" s="115"/>
      <c r="AR743" s="115"/>
      <c r="AS743" s="115"/>
      <c r="AT743" s="115"/>
      <c r="AU743" s="115"/>
      <c r="AV743" s="115"/>
      <c r="AW743" s="115"/>
      <c r="AX743" s="115"/>
      <c r="AY743" s="115"/>
    </row>
    <row r="744">
      <c r="A744" s="95" t="str">
        <f t="shared" si="11"/>
        <v/>
      </c>
      <c r="B744" s="100"/>
      <c r="C744" s="97"/>
      <c r="D744" s="97"/>
      <c r="E744" s="97"/>
      <c r="F744" s="97"/>
      <c r="G744" s="97"/>
      <c r="H744" s="99"/>
      <c r="I744" s="100"/>
      <c r="J744" s="101"/>
      <c r="K744" s="100"/>
      <c r="L744" s="102"/>
      <c r="M744" s="103" t="str">
        <f>if(B744,if(and(hour(B744+M$7)&gt;9.5,(hour(B744+M$7)&lt;19.5)),B744+M$7,_xlfn.workday.intl(int(B744),1,"0000001",Holidays!A:A)+hour(B744+M$7-$B$1)/24+minute(B744)/1440),"")</f>
        <v/>
      </c>
      <c r="N744" s="104"/>
      <c r="O744" s="105"/>
      <c r="P744" s="106" t="str">
        <f t="shared" si="1"/>
        <v/>
      </c>
      <c r="Q744" s="107"/>
      <c r="R744" s="108"/>
      <c r="S744" s="103" t="str">
        <f>if(M744,if(and(hour(M744+S$7)&gt;9.5,(hour(M744+S$7)&lt;19.5)),M744+S$7,_xlfn.workday.intl(int(M744),1,"0000001",Holidays!A:A)+hour(M744+S$7-$B$1)/24+minute(M744)/1440),"")</f>
        <v/>
      </c>
      <c r="T744" s="104"/>
      <c r="U744" s="105"/>
      <c r="V744" s="109" t="str">
        <f t="shared" si="2"/>
        <v/>
      </c>
      <c r="W744" s="110" t="str">
        <f t="shared" si="3"/>
        <v/>
      </c>
      <c r="X744" s="103" t="str">
        <f>if(S744,if(and(hour(S744+X$7)&gt;9.5,(hour(S744+X$7)&lt;19.5)),S744+X$7,_xlfn.workday.intl(int(S744),1,"0000001",Holidays!A:A)+hour(S744+X$7-$B$1)/24+minute(S744)/1440),"")</f>
        <v/>
      </c>
      <c r="Y744" s="104"/>
      <c r="Z744" s="105"/>
      <c r="AA744" s="111" t="str">
        <f t="shared" si="4"/>
        <v/>
      </c>
      <c r="AB744" s="110" t="str">
        <f t="shared" si="5"/>
        <v/>
      </c>
      <c r="AC744" s="103" t="str">
        <f>if(X744,_xlfn.WORKDAY.INTL(X744,AC$7,"0000001",Holidays!A:A)+hour(X744)/24+MINUTE(X744)/1440,"")</f>
        <v/>
      </c>
      <c r="AD744" s="104"/>
      <c r="AE744" s="105"/>
      <c r="AF744" s="111" t="str">
        <f t="shared" si="6"/>
        <v/>
      </c>
      <c r="AG744" s="110" t="str">
        <f t="shared" si="7"/>
        <v/>
      </c>
      <c r="AH744" s="103" t="str">
        <f>if(AC744,if(and(hour(AC744+AH$7)&gt;9.5,(hour(AC744+AH$7)&lt;19.5)),AC744+AH$7,_xlfn.workday.intl(int(AC744),1,"0000001",Holidays!A:A)+hour(AC744+AH$7-$B$1)/24+minute(AC744)/1440),"")</f>
        <v/>
      </c>
      <c r="AI744" s="104"/>
      <c r="AJ744" s="105"/>
      <c r="AK744" s="111" t="str">
        <f t="shared" si="8"/>
        <v/>
      </c>
      <c r="AL744" s="112" t="str">
        <f t="shared" si="9"/>
        <v/>
      </c>
      <c r="AM744" s="113"/>
      <c r="AN744" s="291" t="s">
        <v>2540</v>
      </c>
      <c r="AO744" s="115"/>
      <c r="AP744" s="115"/>
      <c r="AQ744" s="115"/>
      <c r="AR744" s="115"/>
      <c r="AS744" s="115"/>
      <c r="AT744" s="115"/>
      <c r="AU744" s="115"/>
      <c r="AV744" s="115"/>
      <c r="AW744" s="115"/>
      <c r="AX744" s="115"/>
      <c r="AY744" s="115"/>
    </row>
    <row r="745">
      <c r="A745" s="95" t="str">
        <f t="shared" si="11"/>
        <v/>
      </c>
      <c r="B745" s="100"/>
      <c r="C745" s="97"/>
      <c r="D745" s="97"/>
      <c r="E745" s="97"/>
      <c r="F745" s="97"/>
      <c r="G745" s="97"/>
      <c r="H745" s="99"/>
      <c r="I745" s="100"/>
      <c r="J745" s="101"/>
      <c r="K745" s="100"/>
      <c r="L745" s="102"/>
      <c r="M745" s="103" t="str">
        <f>if(B745,if(and(hour(B745+M$7)&gt;9.5,(hour(B745+M$7)&lt;19.5)),B745+M$7,_xlfn.workday.intl(int(B745),1,"0000001",Holidays!A:A)+hour(B745+M$7-$B$1)/24+minute(B745)/1440),"")</f>
        <v/>
      </c>
      <c r="N745" s="104"/>
      <c r="O745" s="105"/>
      <c r="P745" s="106" t="str">
        <f t="shared" si="1"/>
        <v/>
      </c>
      <c r="Q745" s="107"/>
      <c r="R745" s="108"/>
      <c r="S745" s="103" t="str">
        <f>if(M745,if(and(hour(M745+S$7)&gt;9.5,(hour(M745+S$7)&lt;19.5)),M745+S$7,_xlfn.workday.intl(int(M745),1,"0000001",Holidays!A:A)+hour(M745+S$7-$B$1)/24+minute(M745)/1440),"")</f>
        <v/>
      </c>
      <c r="T745" s="104"/>
      <c r="U745" s="105"/>
      <c r="V745" s="109" t="str">
        <f t="shared" si="2"/>
        <v/>
      </c>
      <c r="W745" s="110" t="str">
        <f t="shared" si="3"/>
        <v/>
      </c>
      <c r="X745" s="103" t="str">
        <f>if(S745,if(and(hour(S745+X$7)&gt;9.5,(hour(S745+X$7)&lt;19.5)),S745+X$7,_xlfn.workday.intl(int(S745),1,"0000001",Holidays!A:A)+hour(S745+X$7-$B$1)/24+minute(S745)/1440),"")</f>
        <v/>
      </c>
      <c r="Y745" s="104"/>
      <c r="Z745" s="105"/>
      <c r="AA745" s="111" t="str">
        <f t="shared" si="4"/>
        <v/>
      </c>
      <c r="AB745" s="110" t="str">
        <f t="shared" si="5"/>
        <v/>
      </c>
      <c r="AC745" s="103" t="str">
        <f>if(X745,_xlfn.WORKDAY.INTL(X745,AC$7,"0000001",Holidays!A:A)+hour(X745)/24+MINUTE(X745)/1440,"")</f>
        <v/>
      </c>
      <c r="AD745" s="104"/>
      <c r="AE745" s="105"/>
      <c r="AF745" s="111" t="str">
        <f t="shared" si="6"/>
        <v/>
      </c>
      <c r="AG745" s="110" t="str">
        <f t="shared" si="7"/>
        <v/>
      </c>
      <c r="AH745" s="103" t="str">
        <f>if(AC745,if(and(hour(AC745+AH$7)&gt;9.5,(hour(AC745+AH$7)&lt;19.5)),AC745+AH$7,_xlfn.workday.intl(int(AC745),1,"0000001",Holidays!A:A)+hour(AC745+AH$7-$B$1)/24+minute(AC745)/1440),"")</f>
        <v/>
      </c>
      <c r="AI745" s="104"/>
      <c r="AJ745" s="105"/>
      <c r="AK745" s="111" t="str">
        <f t="shared" si="8"/>
        <v/>
      </c>
      <c r="AL745" s="112" t="str">
        <f t="shared" si="9"/>
        <v/>
      </c>
      <c r="AM745" s="113"/>
      <c r="AN745" s="291" t="s">
        <v>2540</v>
      </c>
      <c r="AO745" s="115"/>
      <c r="AP745" s="115"/>
      <c r="AQ745" s="115"/>
      <c r="AR745" s="115"/>
      <c r="AS745" s="115"/>
      <c r="AT745" s="115"/>
      <c r="AU745" s="115"/>
      <c r="AV745" s="115"/>
      <c r="AW745" s="115"/>
      <c r="AX745" s="115"/>
      <c r="AY745" s="115"/>
    </row>
    <row r="746">
      <c r="A746" s="95" t="str">
        <f t="shared" si="11"/>
        <v/>
      </c>
      <c r="B746" s="100"/>
      <c r="C746" s="97"/>
      <c r="D746" s="97"/>
      <c r="E746" s="97"/>
      <c r="F746" s="97"/>
      <c r="G746" s="97"/>
      <c r="H746" s="99"/>
      <c r="I746" s="100"/>
      <c r="J746" s="101"/>
      <c r="K746" s="100"/>
      <c r="L746" s="102"/>
      <c r="M746" s="103" t="str">
        <f>if(B746,if(and(hour(B746+M$7)&gt;9.5,(hour(B746+M$7)&lt;19.5)),B746+M$7,_xlfn.workday.intl(int(B746),1,"0000001",Holidays!A:A)+hour(B746+M$7-$B$1)/24+minute(B746)/1440),"")</f>
        <v/>
      </c>
      <c r="N746" s="104"/>
      <c r="O746" s="105"/>
      <c r="P746" s="106" t="str">
        <f t="shared" si="1"/>
        <v/>
      </c>
      <c r="Q746" s="107"/>
      <c r="R746" s="108"/>
      <c r="S746" s="103" t="str">
        <f>if(M746,if(and(hour(M746+S$7)&gt;9.5,(hour(M746+S$7)&lt;19.5)),M746+S$7,_xlfn.workday.intl(int(M746),1,"0000001",Holidays!A:A)+hour(M746+S$7-$B$1)/24+minute(M746)/1440),"")</f>
        <v/>
      </c>
      <c r="T746" s="104"/>
      <c r="U746" s="105"/>
      <c r="V746" s="109" t="str">
        <f t="shared" si="2"/>
        <v/>
      </c>
      <c r="W746" s="110" t="str">
        <f t="shared" si="3"/>
        <v/>
      </c>
      <c r="X746" s="103" t="str">
        <f>if(S746,if(and(hour(S746+X$7)&gt;9.5,(hour(S746+X$7)&lt;19.5)),S746+X$7,_xlfn.workday.intl(int(S746),1,"0000001",Holidays!A:A)+hour(S746+X$7-$B$1)/24+minute(S746)/1440),"")</f>
        <v/>
      </c>
      <c r="Y746" s="104"/>
      <c r="Z746" s="105"/>
      <c r="AA746" s="111" t="str">
        <f t="shared" si="4"/>
        <v/>
      </c>
      <c r="AB746" s="110" t="str">
        <f t="shared" si="5"/>
        <v/>
      </c>
      <c r="AC746" s="103" t="str">
        <f>if(X746,_xlfn.WORKDAY.INTL(X746,AC$7,"0000001",Holidays!A:A)+hour(X746)/24+MINUTE(X746)/1440,"")</f>
        <v/>
      </c>
      <c r="AD746" s="104"/>
      <c r="AE746" s="105"/>
      <c r="AF746" s="111" t="str">
        <f t="shared" si="6"/>
        <v/>
      </c>
      <c r="AG746" s="110" t="str">
        <f t="shared" si="7"/>
        <v/>
      </c>
      <c r="AH746" s="103" t="str">
        <f>if(AC746,if(and(hour(AC746+AH$7)&gt;9.5,(hour(AC746+AH$7)&lt;19.5)),AC746+AH$7,_xlfn.workday.intl(int(AC746),1,"0000001",Holidays!A:A)+hour(AC746+AH$7-$B$1)/24+minute(AC746)/1440),"")</f>
        <v/>
      </c>
      <c r="AI746" s="104"/>
      <c r="AJ746" s="105"/>
      <c r="AK746" s="111" t="str">
        <f t="shared" si="8"/>
        <v/>
      </c>
      <c r="AL746" s="112" t="str">
        <f t="shared" si="9"/>
        <v/>
      </c>
      <c r="AM746" s="113"/>
      <c r="AN746" s="291" t="s">
        <v>2540</v>
      </c>
      <c r="AO746" s="115"/>
      <c r="AP746" s="115"/>
      <c r="AQ746" s="115"/>
      <c r="AR746" s="115"/>
      <c r="AS746" s="115"/>
      <c r="AT746" s="115"/>
      <c r="AU746" s="115"/>
      <c r="AV746" s="115"/>
      <c r="AW746" s="115"/>
      <c r="AX746" s="115"/>
      <c r="AY746" s="115"/>
    </row>
    <row r="747">
      <c r="A747" s="95" t="str">
        <f t="shared" si="11"/>
        <v/>
      </c>
      <c r="B747" s="100"/>
      <c r="C747" s="97"/>
      <c r="D747" s="97"/>
      <c r="E747" s="97"/>
      <c r="F747" s="97"/>
      <c r="G747" s="97"/>
      <c r="H747" s="99"/>
      <c r="I747" s="100"/>
      <c r="J747" s="101"/>
      <c r="K747" s="100"/>
      <c r="L747" s="102"/>
      <c r="M747" s="103" t="str">
        <f>if(B747,if(and(hour(B747+M$7)&gt;9.5,(hour(B747+M$7)&lt;19.5)),B747+M$7,_xlfn.workday.intl(int(B747),1,"0000001",Holidays!A:A)+hour(B747+M$7-$B$1)/24+minute(B747)/1440),"")</f>
        <v/>
      </c>
      <c r="N747" s="104"/>
      <c r="O747" s="105"/>
      <c r="P747" s="106" t="str">
        <f t="shared" si="1"/>
        <v/>
      </c>
      <c r="Q747" s="107"/>
      <c r="R747" s="108"/>
      <c r="S747" s="103" t="str">
        <f>if(M747,if(and(hour(M747+S$7)&gt;9.5,(hour(M747+S$7)&lt;19.5)),M747+S$7,_xlfn.workday.intl(int(M747),1,"0000001",Holidays!A:A)+hour(M747+S$7-$B$1)/24+minute(M747)/1440),"")</f>
        <v/>
      </c>
      <c r="T747" s="104"/>
      <c r="U747" s="105"/>
      <c r="V747" s="109" t="str">
        <f t="shared" si="2"/>
        <v/>
      </c>
      <c r="W747" s="110" t="str">
        <f t="shared" si="3"/>
        <v/>
      </c>
      <c r="X747" s="103" t="str">
        <f>if(S747,if(and(hour(S747+X$7)&gt;9.5,(hour(S747+X$7)&lt;19.5)),S747+X$7,_xlfn.workday.intl(int(S747),1,"0000001",Holidays!A:A)+hour(S747+X$7-$B$1)/24+minute(S747)/1440),"")</f>
        <v/>
      </c>
      <c r="Y747" s="104"/>
      <c r="Z747" s="105"/>
      <c r="AA747" s="111" t="str">
        <f t="shared" si="4"/>
        <v/>
      </c>
      <c r="AB747" s="110" t="str">
        <f t="shared" si="5"/>
        <v/>
      </c>
      <c r="AC747" s="103" t="str">
        <f>if(X747,_xlfn.WORKDAY.INTL(X747,AC$7,"0000001",Holidays!A:A)+hour(X747)/24+MINUTE(X747)/1440,"")</f>
        <v/>
      </c>
      <c r="AD747" s="104"/>
      <c r="AE747" s="105"/>
      <c r="AF747" s="111" t="str">
        <f t="shared" si="6"/>
        <v/>
      </c>
      <c r="AG747" s="110" t="str">
        <f t="shared" si="7"/>
        <v/>
      </c>
      <c r="AH747" s="103" t="str">
        <f>if(AC747,if(and(hour(AC747+AH$7)&gt;9.5,(hour(AC747+AH$7)&lt;19.5)),AC747+AH$7,_xlfn.workday.intl(int(AC747),1,"0000001",Holidays!A:A)+hour(AC747+AH$7-$B$1)/24+minute(AC747)/1440),"")</f>
        <v/>
      </c>
      <c r="AI747" s="104"/>
      <c r="AJ747" s="105"/>
      <c r="AK747" s="111" t="str">
        <f t="shared" si="8"/>
        <v/>
      </c>
      <c r="AL747" s="112" t="str">
        <f t="shared" si="9"/>
        <v/>
      </c>
      <c r="AM747" s="113"/>
      <c r="AN747" s="291" t="s">
        <v>2540</v>
      </c>
      <c r="AO747" s="115"/>
      <c r="AP747" s="115"/>
      <c r="AQ747" s="115"/>
      <c r="AR747" s="115"/>
      <c r="AS747" s="115"/>
      <c r="AT747" s="115"/>
      <c r="AU747" s="115"/>
      <c r="AV747" s="115"/>
      <c r="AW747" s="115"/>
      <c r="AX747" s="115"/>
      <c r="AY747" s="115"/>
    </row>
    <row r="748">
      <c r="A748" s="95" t="str">
        <f t="shared" si="11"/>
        <v/>
      </c>
      <c r="B748" s="100"/>
      <c r="C748" s="97"/>
      <c r="D748" s="97"/>
      <c r="E748" s="97"/>
      <c r="F748" s="97"/>
      <c r="G748" s="97"/>
      <c r="H748" s="99"/>
      <c r="I748" s="100"/>
      <c r="J748" s="101"/>
      <c r="K748" s="100"/>
      <c r="L748" s="102"/>
      <c r="M748" s="103" t="str">
        <f>if(B748,if(and(hour(B748+M$7)&gt;9.5,(hour(B748+M$7)&lt;19.5)),B748+M$7,_xlfn.workday.intl(int(B748),1,"0000001",Holidays!A:A)+hour(B748+M$7-$B$1)/24+minute(B748)/1440),"")</f>
        <v/>
      </c>
      <c r="N748" s="104"/>
      <c r="O748" s="105"/>
      <c r="P748" s="106" t="str">
        <f t="shared" si="1"/>
        <v/>
      </c>
      <c r="Q748" s="107"/>
      <c r="R748" s="108"/>
      <c r="S748" s="103" t="str">
        <f>if(M748,if(and(hour(M748+S$7)&gt;9.5,(hour(M748+S$7)&lt;19.5)),M748+S$7,_xlfn.workday.intl(int(M748),1,"0000001",Holidays!A:A)+hour(M748+S$7-$B$1)/24+minute(M748)/1440),"")</f>
        <v/>
      </c>
      <c r="T748" s="104"/>
      <c r="U748" s="105"/>
      <c r="V748" s="109" t="str">
        <f t="shared" si="2"/>
        <v/>
      </c>
      <c r="W748" s="110" t="str">
        <f t="shared" si="3"/>
        <v/>
      </c>
      <c r="X748" s="103" t="str">
        <f>if(S748,if(and(hour(S748+X$7)&gt;9.5,(hour(S748+X$7)&lt;19.5)),S748+X$7,_xlfn.workday.intl(int(S748),1,"0000001",Holidays!A:A)+hour(S748+X$7-$B$1)/24+minute(S748)/1440),"")</f>
        <v/>
      </c>
      <c r="Y748" s="104"/>
      <c r="Z748" s="105"/>
      <c r="AA748" s="111" t="str">
        <f t="shared" si="4"/>
        <v/>
      </c>
      <c r="AB748" s="110" t="str">
        <f t="shared" si="5"/>
        <v/>
      </c>
      <c r="AC748" s="103" t="str">
        <f>if(X748,_xlfn.WORKDAY.INTL(X748,AC$7,"0000001",Holidays!A:A)+hour(X748)/24+MINUTE(X748)/1440,"")</f>
        <v/>
      </c>
      <c r="AD748" s="104"/>
      <c r="AE748" s="105"/>
      <c r="AF748" s="111" t="str">
        <f t="shared" si="6"/>
        <v/>
      </c>
      <c r="AG748" s="110" t="str">
        <f t="shared" si="7"/>
        <v/>
      </c>
      <c r="AH748" s="103" t="str">
        <f>if(AC748,if(and(hour(AC748+AH$7)&gt;9.5,(hour(AC748+AH$7)&lt;19.5)),AC748+AH$7,_xlfn.workday.intl(int(AC748),1,"0000001",Holidays!A:A)+hour(AC748+AH$7-$B$1)/24+minute(AC748)/1440),"")</f>
        <v/>
      </c>
      <c r="AI748" s="104"/>
      <c r="AJ748" s="105"/>
      <c r="AK748" s="111" t="str">
        <f t="shared" si="8"/>
        <v/>
      </c>
      <c r="AL748" s="112" t="str">
        <f t="shared" si="9"/>
        <v/>
      </c>
      <c r="AM748" s="113"/>
      <c r="AN748" s="291" t="s">
        <v>2540</v>
      </c>
      <c r="AO748" s="115"/>
      <c r="AP748" s="115"/>
      <c r="AQ748" s="115"/>
      <c r="AR748" s="115"/>
      <c r="AS748" s="115"/>
      <c r="AT748" s="115"/>
      <c r="AU748" s="115"/>
      <c r="AV748" s="115"/>
      <c r="AW748" s="115"/>
      <c r="AX748" s="115"/>
      <c r="AY748" s="115"/>
    </row>
    <row r="749">
      <c r="A749" s="95" t="str">
        <f t="shared" si="11"/>
        <v/>
      </c>
      <c r="B749" s="100"/>
      <c r="C749" s="97"/>
      <c r="D749" s="97"/>
      <c r="E749" s="97"/>
      <c r="F749" s="97"/>
      <c r="G749" s="97"/>
      <c r="H749" s="99"/>
      <c r="I749" s="100"/>
      <c r="J749" s="101"/>
      <c r="K749" s="100"/>
      <c r="L749" s="102"/>
      <c r="M749" s="103" t="str">
        <f>if(B749,if(and(hour(B749+M$7)&gt;9.5,(hour(B749+M$7)&lt;19.5)),B749+M$7,_xlfn.workday.intl(int(B749),1,"0000001",Holidays!A:A)+hour(B749+M$7-$B$1)/24+minute(B749)/1440),"")</f>
        <v/>
      </c>
      <c r="N749" s="104"/>
      <c r="O749" s="105"/>
      <c r="P749" s="106" t="str">
        <f t="shared" si="1"/>
        <v/>
      </c>
      <c r="Q749" s="107"/>
      <c r="R749" s="108"/>
      <c r="S749" s="103" t="str">
        <f>if(M749,if(and(hour(M749+S$7)&gt;9.5,(hour(M749+S$7)&lt;19.5)),M749+S$7,_xlfn.workday.intl(int(M749),1,"0000001",Holidays!A:A)+hour(M749+S$7-$B$1)/24+minute(M749)/1440),"")</f>
        <v/>
      </c>
      <c r="T749" s="104"/>
      <c r="U749" s="105"/>
      <c r="V749" s="109" t="str">
        <f t="shared" si="2"/>
        <v/>
      </c>
      <c r="W749" s="110" t="str">
        <f t="shared" si="3"/>
        <v/>
      </c>
      <c r="X749" s="103" t="str">
        <f>if(S749,if(and(hour(S749+X$7)&gt;9.5,(hour(S749+X$7)&lt;19.5)),S749+X$7,_xlfn.workday.intl(int(S749),1,"0000001",Holidays!A:A)+hour(S749+X$7-$B$1)/24+minute(S749)/1440),"")</f>
        <v/>
      </c>
      <c r="Y749" s="104"/>
      <c r="Z749" s="105"/>
      <c r="AA749" s="111" t="str">
        <f t="shared" si="4"/>
        <v/>
      </c>
      <c r="AB749" s="110" t="str">
        <f t="shared" si="5"/>
        <v/>
      </c>
      <c r="AC749" s="103" t="str">
        <f>if(X749,_xlfn.WORKDAY.INTL(X749,AC$7,"0000001",Holidays!A:A)+hour(X749)/24+MINUTE(X749)/1440,"")</f>
        <v/>
      </c>
      <c r="AD749" s="104"/>
      <c r="AE749" s="105"/>
      <c r="AF749" s="111" t="str">
        <f t="shared" si="6"/>
        <v/>
      </c>
      <c r="AG749" s="110" t="str">
        <f t="shared" si="7"/>
        <v/>
      </c>
      <c r="AH749" s="103" t="str">
        <f>if(AC749,if(and(hour(AC749+AH$7)&gt;9.5,(hour(AC749+AH$7)&lt;19.5)),AC749+AH$7,_xlfn.workday.intl(int(AC749),1,"0000001",Holidays!A:A)+hour(AC749+AH$7-$B$1)/24+minute(AC749)/1440),"")</f>
        <v/>
      </c>
      <c r="AI749" s="104"/>
      <c r="AJ749" s="105"/>
      <c r="AK749" s="111" t="str">
        <f t="shared" si="8"/>
        <v/>
      </c>
      <c r="AL749" s="112" t="str">
        <f t="shared" si="9"/>
        <v/>
      </c>
      <c r="AM749" s="113"/>
      <c r="AN749" s="291" t="s">
        <v>2540</v>
      </c>
      <c r="AO749" s="115"/>
      <c r="AP749" s="115"/>
      <c r="AQ749" s="115"/>
      <c r="AR749" s="115"/>
      <c r="AS749" s="115"/>
      <c r="AT749" s="115"/>
      <c r="AU749" s="115"/>
      <c r="AV749" s="115"/>
      <c r="AW749" s="115"/>
      <c r="AX749" s="115"/>
      <c r="AY749" s="115"/>
    </row>
    <row r="750">
      <c r="A750" s="95" t="str">
        <f t="shared" si="11"/>
        <v/>
      </c>
      <c r="B750" s="100"/>
      <c r="C750" s="97"/>
      <c r="D750" s="97"/>
      <c r="E750" s="97"/>
      <c r="F750" s="97"/>
      <c r="G750" s="97"/>
      <c r="H750" s="99"/>
      <c r="I750" s="100"/>
      <c r="J750" s="101"/>
      <c r="K750" s="100"/>
      <c r="L750" s="102"/>
      <c r="M750" s="103" t="str">
        <f>if(B750,if(and(hour(B750+M$7)&gt;9.5,(hour(B750+M$7)&lt;19.5)),B750+M$7,_xlfn.workday.intl(int(B750),1,"0000001",Holidays!A:A)+hour(B750+M$7-$B$1)/24+minute(B750)/1440),"")</f>
        <v/>
      </c>
      <c r="N750" s="104"/>
      <c r="O750" s="105"/>
      <c r="P750" s="106" t="str">
        <f t="shared" si="1"/>
        <v/>
      </c>
      <c r="Q750" s="107"/>
      <c r="R750" s="108"/>
      <c r="S750" s="103" t="str">
        <f>if(M750,if(and(hour(M750+S$7)&gt;9.5,(hour(M750+S$7)&lt;19.5)),M750+S$7,_xlfn.workday.intl(int(M750),1,"0000001",Holidays!A:A)+hour(M750+S$7-$B$1)/24+minute(M750)/1440),"")</f>
        <v/>
      </c>
      <c r="T750" s="104"/>
      <c r="U750" s="105"/>
      <c r="V750" s="109" t="str">
        <f t="shared" si="2"/>
        <v/>
      </c>
      <c r="W750" s="110" t="str">
        <f t="shared" si="3"/>
        <v/>
      </c>
      <c r="X750" s="103" t="str">
        <f>if(S750,if(and(hour(S750+X$7)&gt;9.5,(hour(S750+X$7)&lt;19.5)),S750+X$7,_xlfn.workday.intl(int(S750),1,"0000001",Holidays!A:A)+hour(S750+X$7-$B$1)/24+minute(S750)/1440),"")</f>
        <v/>
      </c>
      <c r="Y750" s="104"/>
      <c r="Z750" s="105"/>
      <c r="AA750" s="111" t="str">
        <f t="shared" si="4"/>
        <v/>
      </c>
      <c r="AB750" s="110" t="str">
        <f t="shared" si="5"/>
        <v/>
      </c>
      <c r="AC750" s="103" t="str">
        <f>if(X750,_xlfn.WORKDAY.INTL(X750,AC$7,"0000001",Holidays!A:A)+hour(X750)/24+MINUTE(X750)/1440,"")</f>
        <v/>
      </c>
      <c r="AD750" s="104"/>
      <c r="AE750" s="105"/>
      <c r="AF750" s="111" t="str">
        <f t="shared" si="6"/>
        <v/>
      </c>
      <c r="AG750" s="110" t="str">
        <f t="shared" si="7"/>
        <v/>
      </c>
      <c r="AH750" s="103" t="str">
        <f>if(AC750,if(and(hour(AC750+AH$7)&gt;9.5,(hour(AC750+AH$7)&lt;19.5)),AC750+AH$7,_xlfn.workday.intl(int(AC750),1,"0000001",Holidays!A:A)+hour(AC750+AH$7-$B$1)/24+minute(AC750)/1440),"")</f>
        <v/>
      </c>
      <c r="AI750" s="104"/>
      <c r="AJ750" s="105"/>
      <c r="AK750" s="111" t="str">
        <f t="shared" si="8"/>
        <v/>
      </c>
      <c r="AL750" s="112" t="str">
        <f t="shared" si="9"/>
        <v/>
      </c>
      <c r="AM750" s="113"/>
      <c r="AN750" s="291" t="s">
        <v>2540</v>
      </c>
      <c r="AO750" s="115"/>
      <c r="AP750" s="115"/>
      <c r="AQ750" s="115"/>
      <c r="AR750" s="115"/>
      <c r="AS750" s="115"/>
      <c r="AT750" s="115"/>
      <c r="AU750" s="115"/>
      <c r="AV750" s="115"/>
      <c r="AW750" s="115"/>
      <c r="AX750" s="115"/>
      <c r="AY750" s="115"/>
    </row>
    <row r="751">
      <c r="A751" s="95" t="str">
        <f t="shared" si="11"/>
        <v/>
      </c>
      <c r="B751" s="100"/>
      <c r="C751" s="97"/>
      <c r="D751" s="97"/>
      <c r="E751" s="97"/>
      <c r="F751" s="97"/>
      <c r="G751" s="97"/>
      <c r="H751" s="99"/>
      <c r="I751" s="100"/>
      <c r="J751" s="101"/>
      <c r="K751" s="100"/>
      <c r="L751" s="102"/>
      <c r="M751" s="103" t="str">
        <f>if(B751,if(and(hour(B751+M$7)&gt;9.5,(hour(B751+M$7)&lt;19.5)),B751+M$7,_xlfn.workday.intl(int(B751),1,"0000001",Holidays!A:A)+hour(B751+M$7-$B$1)/24+minute(B751)/1440),"")</f>
        <v/>
      </c>
      <c r="N751" s="104"/>
      <c r="O751" s="105"/>
      <c r="P751" s="106" t="str">
        <f t="shared" si="1"/>
        <v/>
      </c>
      <c r="Q751" s="107"/>
      <c r="R751" s="108"/>
      <c r="S751" s="103" t="str">
        <f>if(M751,if(and(hour(M751+S$7)&gt;9.5,(hour(M751+S$7)&lt;19.5)),M751+S$7,_xlfn.workday.intl(int(M751),1,"0000001",Holidays!A:A)+hour(M751+S$7-$B$1)/24+minute(M751)/1440),"")</f>
        <v/>
      </c>
      <c r="T751" s="104"/>
      <c r="U751" s="105"/>
      <c r="V751" s="109" t="str">
        <f t="shared" si="2"/>
        <v/>
      </c>
      <c r="W751" s="110" t="str">
        <f t="shared" si="3"/>
        <v/>
      </c>
      <c r="X751" s="103" t="str">
        <f>if(S751,if(and(hour(S751+X$7)&gt;9.5,(hour(S751+X$7)&lt;19.5)),S751+X$7,_xlfn.workday.intl(int(S751),1,"0000001",Holidays!A:A)+hour(S751+X$7-$B$1)/24+minute(S751)/1440),"")</f>
        <v/>
      </c>
      <c r="Y751" s="104"/>
      <c r="Z751" s="105"/>
      <c r="AA751" s="111" t="str">
        <f t="shared" si="4"/>
        <v/>
      </c>
      <c r="AB751" s="110" t="str">
        <f t="shared" si="5"/>
        <v/>
      </c>
      <c r="AC751" s="103" t="str">
        <f>if(X751,_xlfn.WORKDAY.INTL(X751,AC$7,"0000001",Holidays!A:A)+hour(X751)/24+MINUTE(X751)/1440,"")</f>
        <v/>
      </c>
      <c r="AD751" s="104"/>
      <c r="AE751" s="105"/>
      <c r="AF751" s="111" t="str">
        <f t="shared" si="6"/>
        <v/>
      </c>
      <c r="AG751" s="110" t="str">
        <f t="shared" si="7"/>
        <v/>
      </c>
      <c r="AH751" s="103" t="str">
        <f>if(AC751,if(and(hour(AC751+AH$7)&gt;9.5,(hour(AC751+AH$7)&lt;19.5)),AC751+AH$7,_xlfn.workday.intl(int(AC751),1,"0000001",Holidays!A:A)+hour(AC751+AH$7-$B$1)/24+minute(AC751)/1440),"")</f>
        <v/>
      </c>
      <c r="AI751" s="104"/>
      <c r="AJ751" s="105"/>
      <c r="AK751" s="111" t="str">
        <f t="shared" si="8"/>
        <v/>
      </c>
      <c r="AL751" s="112" t="str">
        <f t="shared" si="9"/>
        <v/>
      </c>
      <c r="AM751" s="113"/>
      <c r="AN751" s="291" t="s">
        <v>2540</v>
      </c>
      <c r="AO751" s="115"/>
      <c r="AP751" s="115"/>
      <c r="AQ751" s="115"/>
      <c r="AR751" s="115"/>
      <c r="AS751" s="115"/>
      <c r="AT751" s="115"/>
      <c r="AU751" s="115"/>
      <c r="AV751" s="115"/>
      <c r="AW751" s="115"/>
      <c r="AX751" s="115"/>
      <c r="AY751" s="115"/>
    </row>
    <row r="752">
      <c r="A752" s="95" t="str">
        <f t="shared" si="11"/>
        <v/>
      </c>
      <c r="B752" s="100"/>
      <c r="C752" s="97"/>
      <c r="D752" s="97"/>
      <c r="E752" s="97"/>
      <c r="F752" s="97"/>
      <c r="G752" s="97"/>
      <c r="H752" s="99"/>
      <c r="I752" s="100"/>
      <c r="J752" s="101"/>
      <c r="K752" s="100"/>
      <c r="L752" s="102"/>
      <c r="M752" s="103" t="str">
        <f>if(B752,if(and(hour(B752+M$7)&gt;9.5,(hour(B752+M$7)&lt;19.5)),B752+M$7,_xlfn.workday.intl(int(B752),1,"0000001",Holidays!A:A)+hour(B752+M$7-$B$1)/24+minute(B752)/1440),"")</f>
        <v/>
      </c>
      <c r="N752" s="104"/>
      <c r="O752" s="105"/>
      <c r="P752" s="106" t="str">
        <f t="shared" si="1"/>
        <v/>
      </c>
      <c r="Q752" s="107"/>
      <c r="R752" s="108"/>
      <c r="S752" s="103" t="str">
        <f>if(M752,if(and(hour(M752+S$7)&gt;9.5,(hour(M752+S$7)&lt;19.5)),M752+S$7,_xlfn.workday.intl(int(M752),1,"0000001",Holidays!A:A)+hour(M752+S$7-$B$1)/24+minute(M752)/1440),"")</f>
        <v/>
      </c>
      <c r="T752" s="104"/>
      <c r="U752" s="105"/>
      <c r="V752" s="109" t="str">
        <f t="shared" si="2"/>
        <v/>
      </c>
      <c r="W752" s="110" t="str">
        <f t="shared" si="3"/>
        <v/>
      </c>
      <c r="X752" s="103" t="str">
        <f>if(S752,if(and(hour(S752+X$7)&gt;9.5,(hour(S752+X$7)&lt;19.5)),S752+X$7,_xlfn.workday.intl(int(S752),1,"0000001",Holidays!A:A)+hour(S752+X$7-$B$1)/24+minute(S752)/1440),"")</f>
        <v/>
      </c>
      <c r="Y752" s="104"/>
      <c r="Z752" s="105"/>
      <c r="AA752" s="111" t="str">
        <f t="shared" si="4"/>
        <v/>
      </c>
      <c r="AB752" s="110" t="str">
        <f t="shared" si="5"/>
        <v/>
      </c>
      <c r="AC752" s="103" t="str">
        <f>if(X752,_xlfn.WORKDAY.INTL(X752,AC$7,"0000001",Holidays!A:A)+hour(X752)/24+MINUTE(X752)/1440,"")</f>
        <v/>
      </c>
      <c r="AD752" s="104"/>
      <c r="AE752" s="105"/>
      <c r="AF752" s="111" t="str">
        <f t="shared" si="6"/>
        <v/>
      </c>
      <c r="AG752" s="110" t="str">
        <f t="shared" si="7"/>
        <v/>
      </c>
      <c r="AH752" s="103" t="str">
        <f>if(AC752,if(and(hour(AC752+AH$7)&gt;9.5,(hour(AC752+AH$7)&lt;19.5)),AC752+AH$7,_xlfn.workday.intl(int(AC752),1,"0000001",Holidays!A:A)+hour(AC752+AH$7-$B$1)/24+minute(AC752)/1440),"")</f>
        <v/>
      </c>
      <c r="AI752" s="104"/>
      <c r="AJ752" s="105"/>
      <c r="AK752" s="111" t="str">
        <f t="shared" si="8"/>
        <v/>
      </c>
      <c r="AL752" s="112" t="str">
        <f t="shared" si="9"/>
        <v/>
      </c>
      <c r="AM752" s="113"/>
      <c r="AN752" s="291" t="s">
        <v>2540</v>
      </c>
      <c r="AO752" s="115"/>
      <c r="AP752" s="115"/>
      <c r="AQ752" s="115"/>
      <c r="AR752" s="115"/>
      <c r="AS752" s="115"/>
      <c r="AT752" s="115"/>
      <c r="AU752" s="115"/>
      <c r="AV752" s="115"/>
      <c r="AW752" s="115"/>
      <c r="AX752" s="115"/>
      <c r="AY752" s="115"/>
    </row>
    <row r="753">
      <c r="A753" s="95" t="str">
        <f t="shared" si="11"/>
        <v/>
      </c>
      <c r="B753" s="100"/>
      <c r="C753" s="97"/>
      <c r="D753" s="97"/>
      <c r="E753" s="97"/>
      <c r="F753" s="97"/>
      <c r="G753" s="97"/>
      <c r="H753" s="99"/>
      <c r="I753" s="100"/>
      <c r="J753" s="101"/>
      <c r="K753" s="100"/>
      <c r="L753" s="102"/>
      <c r="M753" s="103" t="str">
        <f>if(B753,if(and(hour(B753+M$7)&gt;9.5,(hour(B753+M$7)&lt;19.5)),B753+M$7,_xlfn.workday.intl(int(B753),1,"0000001",Holidays!A:A)+hour(B753+M$7-$B$1)/24+minute(B753)/1440),"")</f>
        <v/>
      </c>
      <c r="N753" s="104"/>
      <c r="O753" s="105"/>
      <c r="P753" s="106" t="str">
        <f t="shared" si="1"/>
        <v/>
      </c>
      <c r="Q753" s="107"/>
      <c r="R753" s="108"/>
      <c r="S753" s="103" t="str">
        <f>if(M753,if(and(hour(M753+S$7)&gt;9.5,(hour(M753+S$7)&lt;19.5)),M753+S$7,_xlfn.workday.intl(int(M753),1,"0000001",Holidays!A:A)+hour(M753+S$7-$B$1)/24+minute(M753)/1440),"")</f>
        <v/>
      </c>
      <c r="T753" s="104"/>
      <c r="U753" s="105"/>
      <c r="V753" s="109" t="str">
        <f t="shared" si="2"/>
        <v/>
      </c>
      <c r="W753" s="110" t="str">
        <f t="shared" si="3"/>
        <v/>
      </c>
      <c r="X753" s="103" t="str">
        <f>if(S753,if(and(hour(S753+X$7)&gt;9.5,(hour(S753+X$7)&lt;19.5)),S753+X$7,_xlfn.workday.intl(int(S753),1,"0000001",Holidays!A:A)+hour(S753+X$7-$B$1)/24+minute(S753)/1440),"")</f>
        <v/>
      </c>
      <c r="Y753" s="104"/>
      <c r="Z753" s="105"/>
      <c r="AA753" s="111" t="str">
        <f t="shared" si="4"/>
        <v/>
      </c>
      <c r="AB753" s="110" t="str">
        <f t="shared" si="5"/>
        <v/>
      </c>
      <c r="AC753" s="103" t="str">
        <f>if(X753,_xlfn.WORKDAY.INTL(X753,AC$7,"0000001",Holidays!A:A)+hour(X753)/24+MINUTE(X753)/1440,"")</f>
        <v/>
      </c>
      <c r="AD753" s="104"/>
      <c r="AE753" s="105"/>
      <c r="AF753" s="111" t="str">
        <f t="shared" si="6"/>
        <v/>
      </c>
      <c r="AG753" s="110" t="str">
        <f t="shared" si="7"/>
        <v/>
      </c>
      <c r="AH753" s="103" t="str">
        <f>if(AC753,if(and(hour(AC753+AH$7)&gt;9.5,(hour(AC753+AH$7)&lt;19.5)),AC753+AH$7,_xlfn.workday.intl(int(AC753),1,"0000001",Holidays!A:A)+hour(AC753+AH$7-$B$1)/24+minute(AC753)/1440),"")</f>
        <v/>
      </c>
      <c r="AI753" s="104"/>
      <c r="AJ753" s="105"/>
      <c r="AK753" s="111" t="str">
        <f t="shared" si="8"/>
        <v/>
      </c>
      <c r="AL753" s="112" t="str">
        <f t="shared" si="9"/>
        <v/>
      </c>
      <c r="AM753" s="113"/>
      <c r="AN753" s="291" t="s">
        <v>2540</v>
      </c>
      <c r="AO753" s="115"/>
      <c r="AP753" s="115"/>
      <c r="AQ753" s="115"/>
      <c r="AR753" s="115"/>
      <c r="AS753" s="115"/>
      <c r="AT753" s="115"/>
      <c r="AU753" s="115"/>
      <c r="AV753" s="115"/>
      <c r="AW753" s="115"/>
      <c r="AX753" s="115"/>
      <c r="AY753" s="115"/>
    </row>
    <row r="754">
      <c r="A754" s="95" t="str">
        <f t="shared" si="11"/>
        <v/>
      </c>
      <c r="B754" s="100"/>
      <c r="C754" s="97"/>
      <c r="D754" s="97"/>
      <c r="E754" s="97"/>
      <c r="F754" s="97"/>
      <c r="G754" s="97"/>
      <c r="H754" s="99"/>
      <c r="I754" s="100"/>
      <c r="J754" s="101"/>
      <c r="K754" s="100"/>
      <c r="L754" s="102"/>
      <c r="M754" s="103" t="str">
        <f>if(B754,if(and(hour(B754+M$7)&gt;9.5,(hour(B754+M$7)&lt;19.5)),B754+M$7,_xlfn.workday.intl(int(B754),1,"0000001",Holidays!A:A)+hour(B754+M$7-$B$1)/24+minute(B754)/1440),"")</f>
        <v/>
      </c>
      <c r="N754" s="104"/>
      <c r="O754" s="105"/>
      <c r="P754" s="106" t="str">
        <f t="shared" si="1"/>
        <v/>
      </c>
      <c r="Q754" s="107"/>
      <c r="R754" s="108"/>
      <c r="S754" s="103" t="str">
        <f>if(M754,if(and(hour(M754+S$7)&gt;9.5,(hour(M754+S$7)&lt;19.5)),M754+S$7,_xlfn.workday.intl(int(M754),1,"0000001",Holidays!A:A)+hour(M754+S$7-$B$1)/24+minute(M754)/1440),"")</f>
        <v/>
      </c>
      <c r="T754" s="104"/>
      <c r="U754" s="105"/>
      <c r="V754" s="109" t="str">
        <f t="shared" si="2"/>
        <v/>
      </c>
      <c r="W754" s="110" t="str">
        <f t="shared" si="3"/>
        <v/>
      </c>
      <c r="X754" s="103" t="str">
        <f>if(S754,if(and(hour(S754+X$7)&gt;9.5,(hour(S754+X$7)&lt;19.5)),S754+X$7,_xlfn.workday.intl(int(S754),1,"0000001",Holidays!A:A)+hour(S754+X$7-$B$1)/24+minute(S754)/1440),"")</f>
        <v/>
      </c>
      <c r="Y754" s="104"/>
      <c r="Z754" s="105"/>
      <c r="AA754" s="111" t="str">
        <f t="shared" si="4"/>
        <v/>
      </c>
      <c r="AB754" s="110" t="str">
        <f t="shared" si="5"/>
        <v/>
      </c>
      <c r="AC754" s="103" t="str">
        <f>if(X754,_xlfn.WORKDAY.INTL(X754,AC$7,"0000001",Holidays!A:A)+hour(X754)/24+MINUTE(X754)/1440,"")</f>
        <v/>
      </c>
      <c r="AD754" s="104"/>
      <c r="AE754" s="105"/>
      <c r="AF754" s="111" t="str">
        <f t="shared" si="6"/>
        <v/>
      </c>
      <c r="AG754" s="110" t="str">
        <f t="shared" si="7"/>
        <v/>
      </c>
      <c r="AH754" s="103" t="str">
        <f>if(AC754,if(and(hour(AC754+AH$7)&gt;9.5,(hour(AC754+AH$7)&lt;19.5)),AC754+AH$7,_xlfn.workday.intl(int(AC754),1,"0000001",Holidays!A:A)+hour(AC754+AH$7-$B$1)/24+minute(AC754)/1440),"")</f>
        <v/>
      </c>
      <c r="AI754" s="104"/>
      <c r="AJ754" s="105"/>
      <c r="AK754" s="111" t="str">
        <f t="shared" si="8"/>
        <v/>
      </c>
      <c r="AL754" s="112" t="str">
        <f t="shared" si="9"/>
        <v/>
      </c>
      <c r="AM754" s="113"/>
      <c r="AN754" s="291" t="s">
        <v>2540</v>
      </c>
      <c r="AO754" s="115"/>
      <c r="AP754" s="115"/>
      <c r="AQ754" s="115"/>
      <c r="AR754" s="115"/>
      <c r="AS754" s="115"/>
      <c r="AT754" s="115"/>
      <c r="AU754" s="115"/>
      <c r="AV754" s="115"/>
      <c r="AW754" s="115"/>
      <c r="AX754" s="115"/>
      <c r="AY754" s="115"/>
    </row>
    <row r="755">
      <c r="A755" s="95" t="str">
        <f t="shared" si="11"/>
        <v/>
      </c>
      <c r="B755" s="100"/>
      <c r="C755" s="97"/>
      <c r="D755" s="97"/>
      <c r="E755" s="97"/>
      <c r="F755" s="97"/>
      <c r="G755" s="97"/>
      <c r="H755" s="99"/>
      <c r="I755" s="100"/>
      <c r="J755" s="101"/>
      <c r="K755" s="100"/>
      <c r="L755" s="102"/>
      <c r="M755" s="103" t="str">
        <f>if(B755,if(and(hour(B755+M$7)&gt;9.5,(hour(B755+M$7)&lt;19.5)),B755+M$7,_xlfn.workday.intl(int(B755),1,"0000001",Holidays!A:A)+hour(B755+M$7-$B$1)/24+minute(B755)/1440),"")</f>
        <v/>
      </c>
      <c r="N755" s="104"/>
      <c r="O755" s="105"/>
      <c r="P755" s="106" t="str">
        <f t="shared" si="1"/>
        <v/>
      </c>
      <c r="Q755" s="107"/>
      <c r="R755" s="108"/>
      <c r="S755" s="103" t="str">
        <f>if(M755,if(and(hour(M755+S$7)&gt;9.5,(hour(M755+S$7)&lt;19.5)),M755+S$7,_xlfn.workday.intl(int(M755),1,"0000001",Holidays!A:A)+hour(M755+S$7-$B$1)/24+minute(M755)/1440),"")</f>
        <v/>
      </c>
      <c r="T755" s="104"/>
      <c r="U755" s="105"/>
      <c r="V755" s="109" t="str">
        <f t="shared" si="2"/>
        <v/>
      </c>
      <c r="W755" s="110" t="str">
        <f t="shared" si="3"/>
        <v/>
      </c>
      <c r="X755" s="103" t="str">
        <f>if(S755,if(and(hour(S755+X$7)&gt;9.5,(hour(S755+X$7)&lt;19.5)),S755+X$7,_xlfn.workday.intl(int(S755),1,"0000001",Holidays!A:A)+hour(S755+X$7-$B$1)/24+minute(S755)/1440),"")</f>
        <v/>
      </c>
      <c r="Y755" s="104"/>
      <c r="Z755" s="105"/>
      <c r="AA755" s="111" t="str">
        <f t="shared" si="4"/>
        <v/>
      </c>
      <c r="AB755" s="110" t="str">
        <f t="shared" si="5"/>
        <v/>
      </c>
      <c r="AC755" s="103" t="str">
        <f>if(X755,_xlfn.WORKDAY.INTL(X755,AC$7,"0000001",Holidays!A:A)+hour(X755)/24+MINUTE(X755)/1440,"")</f>
        <v/>
      </c>
      <c r="AD755" s="104"/>
      <c r="AE755" s="105"/>
      <c r="AF755" s="111" t="str">
        <f t="shared" si="6"/>
        <v/>
      </c>
      <c r="AG755" s="110" t="str">
        <f t="shared" si="7"/>
        <v/>
      </c>
      <c r="AH755" s="103" t="str">
        <f>if(AC755,if(and(hour(AC755+AH$7)&gt;9.5,(hour(AC755+AH$7)&lt;19.5)),AC755+AH$7,_xlfn.workday.intl(int(AC755),1,"0000001",Holidays!A:A)+hour(AC755+AH$7-$B$1)/24+minute(AC755)/1440),"")</f>
        <v/>
      </c>
      <c r="AI755" s="104"/>
      <c r="AJ755" s="105"/>
      <c r="AK755" s="111" t="str">
        <f t="shared" si="8"/>
        <v/>
      </c>
      <c r="AL755" s="112" t="str">
        <f t="shared" si="9"/>
        <v/>
      </c>
      <c r="AM755" s="113"/>
      <c r="AN755" s="291" t="s">
        <v>2540</v>
      </c>
      <c r="AO755" s="115"/>
      <c r="AP755" s="115"/>
      <c r="AQ755" s="115"/>
      <c r="AR755" s="115"/>
      <c r="AS755" s="115"/>
      <c r="AT755" s="115"/>
      <c r="AU755" s="115"/>
      <c r="AV755" s="115"/>
      <c r="AW755" s="115"/>
      <c r="AX755" s="115"/>
      <c r="AY755" s="115"/>
    </row>
    <row r="756">
      <c r="A756" s="95" t="str">
        <f t="shared" si="11"/>
        <v/>
      </c>
      <c r="B756" s="100"/>
      <c r="C756" s="97"/>
      <c r="D756" s="97"/>
      <c r="E756" s="97"/>
      <c r="F756" s="97"/>
      <c r="G756" s="97"/>
      <c r="H756" s="99"/>
      <c r="I756" s="100"/>
      <c r="J756" s="101"/>
      <c r="K756" s="100"/>
      <c r="L756" s="102"/>
      <c r="M756" s="103" t="str">
        <f>if(B756,if(and(hour(B756+M$7)&gt;9.5,(hour(B756+M$7)&lt;19.5)),B756+M$7,_xlfn.workday.intl(int(B756),1,"0000001",Holidays!A:A)+hour(B756+M$7-$B$1)/24+minute(B756)/1440),"")</f>
        <v/>
      </c>
      <c r="N756" s="104"/>
      <c r="O756" s="105"/>
      <c r="P756" s="106" t="str">
        <f t="shared" si="1"/>
        <v/>
      </c>
      <c r="Q756" s="107"/>
      <c r="R756" s="108"/>
      <c r="S756" s="103" t="str">
        <f>if(M756,if(and(hour(M756+S$7)&gt;9.5,(hour(M756+S$7)&lt;19.5)),M756+S$7,_xlfn.workday.intl(int(M756),1,"0000001",Holidays!A:A)+hour(M756+S$7-$B$1)/24+minute(M756)/1440),"")</f>
        <v/>
      </c>
      <c r="T756" s="104"/>
      <c r="U756" s="105"/>
      <c r="V756" s="109" t="str">
        <f t="shared" si="2"/>
        <v/>
      </c>
      <c r="W756" s="110" t="str">
        <f t="shared" si="3"/>
        <v/>
      </c>
      <c r="X756" s="103" t="str">
        <f>if(S756,if(and(hour(S756+X$7)&gt;9.5,(hour(S756+X$7)&lt;19.5)),S756+X$7,_xlfn.workday.intl(int(S756),1,"0000001",Holidays!A:A)+hour(S756+X$7-$B$1)/24+minute(S756)/1440),"")</f>
        <v/>
      </c>
      <c r="Y756" s="104"/>
      <c r="Z756" s="105"/>
      <c r="AA756" s="111" t="str">
        <f t="shared" si="4"/>
        <v/>
      </c>
      <c r="AB756" s="110" t="str">
        <f t="shared" si="5"/>
        <v/>
      </c>
      <c r="AC756" s="103" t="str">
        <f>if(X756,_xlfn.WORKDAY.INTL(X756,AC$7,"0000001",Holidays!A:A)+hour(X756)/24+MINUTE(X756)/1440,"")</f>
        <v/>
      </c>
      <c r="AD756" s="104"/>
      <c r="AE756" s="105"/>
      <c r="AF756" s="111" t="str">
        <f t="shared" si="6"/>
        <v/>
      </c>
      <c r="AG756" s="110" t="str">
        <f t="shared" si="7"/>
        <v/>
      </c>
      <c r="AH756" s="103" t="str">
        <f>if(AC756,if(and(hour(AC756+AH$7)&gt;9.5,(hour(AC756+AH$7)&lt;19.5)),AC756+AH$7,_xlfn.workday.intl(int(AC756),1,"0000001",Holidays!A:A)+hour(AC756+AH$7-$B$1)/24+minute(AC756)/1440),"")</f>
        <v/>
      </c>
      <c r="AI756" s="104"/>
      <c r="AJ756" s="105"/>
      <c r="AK756" s="111" t="str">
        <f t="shared" si="8"/>
        <v/>
      </c>
      <c r="AL756" s="112" t="str">
        <f t="shared" si="9"/>
        <v/>
      </c>
      <c r="AM756" s="113"/>
      <c r="AN756" s="291" t="s">
        <v>2540</v>
      </c>
      <c r="AO756" s="115"/>
      <c r="AP756" s="115"/>
      <c r="AQ756" s="115"/>
      <c r="AR756" s="115"/>
      <c r="AS756" s="115"/>
      <c r="AT756" s="115"/>
      <c r="AU756" s="115"/>
      <c r="AV756" s="115"/>
      <c r="AW756" s="115"/>
      <c r="AX756" s="115"/>
      <c r="AY756" s="115"/>
    </row>
    <row r="757">
      <c r="A757" s="95" t="str">
        <f t="shared" si="11"/>
        <v/>
      </c>
      <c r="B757" s="100"/>
      <c r="C757" s="97"/>
      <c r="D757" s="97"/>
      <c r="E757" s="97"/>
      <c r="F757" s="97"/>
      <c r="G757" s="97"/>
      <c r="H757" s="99"/>
      <c r="I757" s="100"/>
      <c r="J757" s="101"/>
      <c r="K757" s="100"/>
      <c r="L757" s="102"/>
      <c r="M757" s="103" t="str">
        <f>if(B757,if(and(hour(B757+M$7)&gt;9.5,(hour(B757+M$7)&lt;19.5)),B757+M$7,_xlfn.workday.intl(int(B757),1,"0000001",Holidays!A:A)+hour(B757+M$7-$B$1)/24+minute(B757)/1440),"")</f>
        <v/>
      </c>
      <c r="N757" s="104"/>
      <c r="O757" s="105"/>
      <c r="P757" s="106" t="str">
        <f t="shared" si="1"/>
        <v/>
      </c>
      <c r="Q757" s="107"/>
      <c r="R757" s="108"/>
      <c r="S757" s="103" t="str">
        <f>if(M757,if(and(hour(M757+S$7)&gt;9.5,(hour(M757+S$7)&lt;19.5)),M757+S$7,_xlfn.workday.intl(int(M757),1,"0000001",Holidays!A:A)+hour(M757+S$7-$B$1)/24+minute(M757)/1440),"")</f>
        <v/>
      </c>
      <c r="T757" s="104"/>
      <c r="U757" s="105"/>
      <c r="V757" s="109" t="str">
        <f t="shared" si="2"/>
        <v/>
      </c>
      <c r="W757" s="110" t="str">
        <f t="shared" si="3"/>
        <v/>
      </c>
      <c r="X757" s="103" t="str">
        <f>if(S757,if(and(hour(S757+X$7)&gt;9.5,(hour(S757+X$7)&lt;19.5)),S757+X$7,_xlfn.workday.intl(int(S757),1,"0000001",Holidays!A:A)+hour(S757+X$7-$B$1)/24+minute(S757)/1440),"")</f>
        <v/>
      </c>
      <c r="Y757" s="104"/>
      <c r="Z757" s="105"/>
      <c r="AA757" s="111" t="str">
        <f t="shared" si="4"/>
        <v/>
      </c>
      <c r="AB757" s="110" t="str">
        <f t="shared" si="5"/>
        <v/>
      </c>
      <c r="AC757" s="103" t="str">
        <f>if(X757,_xlfn.WORKDAY.INTL(X757,AC$7,"0000001",Holidays!A:A)+hour(X757)/24+MINUTE(X757)/1440,"")</f>
        <v/>
      </c>
      <c r="AD757" s="104"/>
      <c r="AE757" s="105"/>
      <c r="AF757" s="111" t="str">
        <f t="shared" si="6"/>
        <v/>
      </c>
      <c r="AG757" s="110" t="str">
        <f t="shared" si="7"/>
        <v/>
      </c>
      <c r="AH757" s="103" t="str">
        <f>if(AC757,if(and(hour(AC757+AH$7)&gt;9.5,(hour(AC757+AH$7)&lt;19.5)),AC757+AH$7,_xlfn.workday.intl(int(AC757),1,"0000001",Holidays!A:A)+hour(AC757+AH$7-$B$1)/24+minute(AC757)/1440),"")</f>
        <v/>
      </c>
      <c r="AI757" s="104"/>
      <c r="AJ757" s="105"/>
      <c r="AK757" s="111" t="str">
        <f t="shared" si="8"/>
        <v/>
      </c>
      <c r="AL757" s="112" t="str">
        <f t="shared" si="9"/>
        <v/>
      </c>
      <c r="AM757" s="113"/>
      <c r="AN757" s="291" t="s">
        <v>2540</v>
      </c>
      <c r="AO757" s="115"/>
      <c r="AP757" s="115"/>
      <c r="AQ757" s="115"/>
      <c r="AR757" s="115"/>
      <c r="AS757" s="115"/>
      <c r="AT757" s="115"/>
      <c r="AU757" s="115"/>
      <c r="AV757" s="115"/>
      <c r="AW757" s="115"/>
      <c r="AX757" s="115"/>
      <c r="AY757" s="115"/>
    </row>
    <row r="758">
      <c r="A758" s="95" t="str">
        <f t="shared" si="11"/>
        <v/>
      </c>
      <c r="B758" s="100"/>
      <c r="C758" s="97"/>
      <c r="D758" s="97"/>
      <c r="E758" s="97"/>
      <c r="F758" s="97"/>
      <c r="G758" s="97"/>
      <c r="H758" s="99"/>
      <c r="I758" s="100"/>
      <c r="J758" s="101"/>
      <c r="K758" s="100"/>
      <c r="L758" s="102"/>
      <c r="M758" s="103" t="str">
        <f>if(B758,if(and(hour(B758+M$7)&gt;9.5,(hour(B758+M$7)&lt;19.5)),B758+M$7,_xlfn.workday.intl(int(B758),1,"0000001",Holidays!A:A)+hour(B758+M$7-$B$1)/24+minute(B758)/1440),"")</f>
        <v/>
      </c>
      <c r="N758" s="104"/>
      <c r="O758" s="105"/>
      <c r="P758" s="106" t="str">
        <f t="shared" si="1"/>
        <v/>
      </c>
      <c r="Q758" s="107"/>
      <c r="R758" s="108"/>
      <c r="S758" s="103" t="str">
        <f>if(M758,if(and(hour(M758+S$7)&gt;9.5,(hour(M758+S$7)&lt;19.5)),M758+S$7,_xlfn.workday.intl(int(M758),1,"0000001",Holidays!A:A)+hour(M758+S$7-$B$1)/24+minute(M758)/1440),"")</f>
        <v/>
      </c>
      <c r="T758" s="104"/>
      <c r="U758" s="105"/>
      <c r="V758" s="109" t="str">
        <f t="shared" si="2"/>
        <v/>
      </c>
      <c r="W758" s="110" t="str">
        <f t="shared" si="3"/>
        <v/>
      </c>
      <c r="X758" s="103" t="str">
        <f>if(S758,if(and(hour(S758+X$7)&gt;9.5,(hour(S758+X$7)&lt;19.5)),S758+X$7,_xlfn.workday.intl(int(S758),1,"0000001",Holidays!A:A)+hour(S758+X$7-$B$1)/24+minute(S758)/1440),"")</f>
        <v/>
      </c>
      <c r="Y758" s="104"/>
      <c r="Z758" s="105"/>
      <c r="AA758" s="111" t="str">
        <f t="shared" si="4"/>
        <v/>
      </c>
      <c r="AB758" s="110" t="str">
        <f t="shared" si="5"/>
        <v/>
      </c>
      <c r="AC758" s="103" t="str">
        <f>if(X758,_xlfn.WORKDAY.INTL(X758,AC$7,"0000001",Holidays!A:A)+hour(X758)/24+MINUTE(X758)/1440,"")</f>
        <v/>
      </c>
      <c r="AD758" s="104"/>
      <c r="AE758" s="105"/>
      <c r="AF758" s="111" t="str">
        <f t="shared" si="6"/>
        <v/>
      </c>
      <c r="AG758" s="110" t="str">
        <f t="shared" si="7"/>
        <v/>
      </c>
      <c r="AH758" s="103" t="str">
        <f>if(AC758,if(and(hour(AC758+AH$7)&gt;9.5,(hour(AC758+AH$7)&lt;19.5)),AC758+AH$7,_xlfn.workday.intl(int(AC758),1,"0000001",Holidays!A:A)+hour(AC758+AH$7-$B$1)/24+minute(AC758)/1440),"")</f>
        <v/>
      </c>
      <c r="AI758" s="104"/>
      <c r="AJ758" s="105"/>
      <c r="AK758" s="111" t="str">
        <f t="shared" si="8"/>
        <v/>
      </c>
      <c r="AL758" s="112" t="str">
        <f t="shared" si="9"/>
        <v/>
      </c>
      <c r="AM758" s="113"/>
      <c r="AN758" s="291" t="s">
        <v>2540</v>
      </c>
      <c r="AO758" s="115"/>
      <c r="AP758" s="115"/>
      <c r="AQ758" s="115"/>
      <c r="AR758" s="115"/>
      <c r="AS758" s="115"/>
      <c r="AT758" s="115"/>
      <c r="AU758" s="115"/>
      <c r="AV758" s="115"/>
      <c r="AW758" s="115"/>
      <c r="AX758" s="115"/>
      <c r="AY758" s="115"/>
    </row>
    <row r="759">
      <c r="A759" s="95" t="str">
        <f t="shared" si="11"/>
        <v/>
      </c>
      <c r="B759" s="100"/>
      <c r="C759" s="97"/>
      <c r="D759" s="97"/>
      <c r="E759" s="97"/>
      <c r="F759" s="97"/>
      <c r="G759" s="97"/>
      <c r="H759" s="99"/>
      <c r="I759" s="100"/>
      <c r="J759" s="101"/>
      <c r="K759" s="100"/>
      <c r="L759" s="102"/>
      <c r="M759" s="103" t="str">
        <f>if(B759,if(and(hour(B759+M$7)&gt;9.5,(hour(B759+M$7)&lt;19.5)),B759+M$7,_xlfn.workday.intl(int(B759),1,"0000001",Holidays!A:A)+hour(B759+M$7-$B$1)/24+minute(B759)/1440),"")</f>
        <v/>
      </c>
      <c r="N759" s="104"/>
      <c r="O759" s="105"/>
      <c r="P759" s="106" t="str">
        <f t="shared" si="1"/>
        <v/>
      </c>
      <c r="Q759" s="107"/>
      <c r="R759" s="108"/>
      <c r="S759" s="103" t="str">
        <f>if(M759,if(and(hour(M759+S$7)&gt;9.5,(hour(M759+S$7)&lt;19.5)),M759+S$7,_xlfn.workday.intl(int(M759),1,"0000001",Holidays!A:A)+hour(M759+S$7-$B$1)/24+minute(M759)/1440),"")</f>
        <v/>
      </c>
      <c r="T759" s="104"/>
      <c r="U759" s="105"/>
      <c r="V759" s="109" t="str">
        <f t="shared" si="2"/>
        <v/>
      </c>
      <c r="W759" s="110" t="str">
        <f t="shared" si="3"/>
        <v/>
      </c>
      <c r="X759" s="103" t="str">
        <f>if(S759,if(and(hour(S759+X$7)&gt;9.5,(hour(S759+X$7)&lt;19.5)),S759+X$7,_xlfn.workday.intl(int(S759),1,"0000001",Holidays!A:A)+hour(S759+X$7-$B$1)/24+minute(S759)/1440),"")</f>
        <v/>
      </c>
      <c r="Y759" s="104"/>
      <c r="Z759" s="105"/>
      <c r="AA759" s="111" t="str">
        <f t="shared" si="4"/>
        <v/>
      </c>
      <c r="AB759" s="110" t="str">
        <f t="shared" si="5"/>
        <v/>
      </c>
      <c r="AC759" s="103" t="str">
        <f>if(X759,_xlfn.WORKDAY.INTL(X759,AC$7,"0000001",Holidays!A:A)+hour(X759)/24+MINUTE(X759)/1440,"")</f>
        <v/>
      </c>
      <c r="AD759" s="104"/>
      <c r="AE759" s="105"/>
      <c r="AF759" s="111" t="str">
        <f t="shared" si="6"/>
        <v/>
      </c>
      <c r="AG759" s="110" t="str">
        <f t="shared" si="7"/>
        <v/>
      </c>
      <c r="AH759" s="103" t="str">
        <f>if(AC759,if(and(hour(AC759+AH$7)&gt;9.5,(hour(AC759+AH$7)&lt;19.5)),AC759+AH$7,_xlfn.workday.intl(int(AC759),1,"0000001",Holidays!A:A)+hour(AC759+AH$7-$B$1)/24+minute(AC759)/1440),"")</f>
        <v/>
      </c>
      <c r="AI759" s="104"/>
      <c r="AJ759" s="105"/>
      <c r="AK759" s="111" t="str">
        <f t="shared" si="8"/>
        <v/>
      </c>
      <c r="AL759" s="112" t="str">
        <f t="shared" si="9"/>
        <v/>
      </c>
      <c r="AM759" s="113"/>
      <c r="AN759" s="291" t="s">
        <v>2540</v>
      </c>
      <c r="AO759" s="115"/>
      <c r="AP759" s="115"/>
      <c r="AQ759" s="115"/>
      <c r="AR759" s="115"/>
      <c r="AS759" s="115"/>
      <c r="AT759" s="115"/>
      <c r="AU759" s="115"/>
      <c r="AV759" s="115"/>
      <c r="AW759" s="115"/>
      <c r="AX759" s="115"/>
      <c r="AY759" s="115"/>
    </row>
    <row r="760">
      <c r="A760" s="95" t="str">
        <f t="shared" si="11"/>
        <v/>
      </c>
      <c r="B760" s="100"/>
      <c r="C760" s="97"/>
      <c r="D760" s="97"/>
      <c r="E760" s="97"/>
      <c r="F760" s="97"/>
      <c r="G760" s="97"/>
      <c r="H760" s="99"/>
      <c r="I760" s="100"/>
      <c r="J760" s="101"/>
      <c r="K760" s="100"/>
      <c r="L760" s="102"/>
      <c r="M760" s="103" t="str">
        <f>if(B760,if(and(hour(B760+M$7)&gt;9.5,(hour(B760+M$7)&lt;19.5)),B760+M$7,_xlfn.workday.intl(int(B760),1,"0000001",Holidays!A:A)+hour(B760+M$7-$B$1)/24+minute(B760)/1440),"")</f>
        <v/>
      </c>
      <c r="N760" s="104"/>
      <c r="O760" s="105"/>
      <c r="P760" s="106" t="str">
        <f t="shared" si="1"/>
        <v/>
      </c>
      <c r="Q760" s="107"/>
      <c r="R760" s="108"/>
      <c r="S760" s="103" t="str">
        <f>if(M760,if(and(hour(M760+S$7)&gt;9.5,(hour(M760+S$7)&lt;19.5)),M760+S$7,_xlfn.workday.intl(int(M760),1,"0000001",Holidays!A:A)+hour(M760+S$7-$B$1)/24+minute(M760)/1440),"")</f>
        <v/>
      </c>
      <c r="T760" s="104"/>
      <c r="U760" s="105"/>
      <c r="V760" s="109" t="str">
        <f t="shared" si="2"/>
        <v/>
      </c>
      <c r="W760" s="110" t="str">
        <f t="shared" si="3"/>
        <v/>
      </c>
      <c r="X760" s="103" t="str">
        <f>if(S760,if(and(hour(S760+X$7)&gt;9.5,(hour(S760+X$7)&lt;19.5)),S760+X$7,_xlfn.workday.intl(int(S760),1,"0000001",Holidays!A:A)+hour(S760+X$7-$B$1)/24+minute(S760)/1440),"")</f>
        <v/>
      </c>
      <c r="Y760" s="104"/>
      <c r="Z760" s="105"/>
      <c r="AA760" s="111" t="str">
        <f t="shared" si="4"/>
        <v/>
      </c>
      <c r="AB760" s="110" t="str">
        <f t="shared" si="5"/>
        <v/>
      </c>
      <c r="AC760" s="103" t="str">
        <f>if(X760,_xlfn.WORKDAY.INTL(X760,AC$7,"0000001",Holidays!A:A)+hour(X760)/24+MINUTE(X760)/1440,"")</f>
        <v/>
      </c>
      <c r="AD760" s="104"/>
      <c r="AE760" s="105"/>
      <c r="AF760" s="111" t="str">
        <f t="shared" si="6"/>
        <v/>
      </c>
      <c r="AG760" s="110" t="str">
        <f t="shared" si="7"/>
        <v/>
      </c>
      <c r="AH760" s="103" t="str">
        <f>if(AC760,if(and(hour(AC760+AH$7)&gt;9.5,(hour(AC760+AH$7)&lt;19.5)),AC760+AH$7,_xlfn.workday.intl(int(AC760),1,"0000001",Holidays!A:A)+hour(AC760+AH$7-$B$1)/24+minute(AC760)/1440),"")</f>
        <v/>
      </c>
      <c r="AI760" s="104"/>
      <c r="AJ760" s="105"/>
      <c r="AK760" s="111" t="str">
        <f t="shared" si="8"/>
        <v/>
      </c>
      <c r="AL760" s="112" t="str">
        <f t="shared" si="9"/>
        <v/>
      </c>
      <c r="AM760" s="113"/>
      <c r="AN760" s="291" t="s">
        <v>2540</v>
      </c>
      <c r="AO760" s="115"/>
      <c r="AP760" s="115"/>
      <c r="AQ760" s="115"/>
      <c r="AR760" s="115"/>
      <c r="AS760" s="115"/>
      <c r="AT760" s="115"/>
      <c r="AU760" s="115"/>
      <c r="AV760" s="115"/>
      <c r="AW760" s="115"/>
      <c r="AX760" s="115"/>
      <c r="AY760" s="115"/>
    </row>
    <row r="761">
      <c r="A761" s="95" t="str">
        <f t="shared" si="11"/>
        <v/>
      </c>
      <c r="B761" s="100"/>
      <c r="C761" s="97"/>
      <c r="D761" s="97"/>
      <c r="E761" s="97"/>
      <c r="F761" s="97"/>
      <c r="G761" s="97"/>
      <c r="H761" s="99"/>
      <c r="I761" s="100"/>
      <c r="J761" s="101"/>
      <c r="K761" s="100"/>
      <c r="L761" s="102"/>
      <c r="M761" s="103" t="str">
        <f>if(B761,if(and(hour(B761+M$7)&gt;9.5,(hour(B761+M$7)&lt;19.5)),B761+M$7,_xlfn.workday.intl(int(B761),1,"0000001",Holidays!A:A)+hour(B761+M$7-$B$1)/24+minute(B761)/1440),"")</f>
        <v/>
      </c>
      <c r="N761" s="104"/>
      <c r="O761" s="105"/>
      <c r="P761" s="106" t="str">
        <f t="shared" si="1"/>
        <v/>
      </c>
      <c r="Q761" s="107"/>
      <c r="R761" s="108"/>
      <c r="S761" s="103" t="str">
        <f>if(M761,if(and(hour(M761+S$7)&gt;9.5,(hour(M761+S$7)&lt;19.5)),M761+S$7,_xlfn.workday.intl(int(M761),1,"0000001",Holidays!A:A)+hour(M761+S$7-$B$1)/24+minute(M761)/1440),"")</f>
        <v/>
      </c>
      <c r="T761" s="104"/>
      <c r="U761" s="105"/>
      <c r="V761" s="109" t="str">
        <f t="shared" si="2"/>
        <v/>
      </c>
      <c r="W761" s="110" t="str">
        <f t="shared" si="3"/>
        <v/>
      </c>
      <c r="X761" s="103" t="str">
        <f>if(S761,if(and(hour(S761+X$7)&gt;9.5,(hour(S761+X$7)&lt;19.5)),S761+X$7,_xlfn.workday.intl(int(S761),1,"0000001",Holidays!A:A)+hour(S761+X$7-$B$1)/24+minute(S761)/1440),"")</f>
        <v/>
      </c>
      <c r="Y761" s="104"/>
      <c r="Z761" s="105"/>
      <c r="AA761" s="111" t="str">
        <f t="shared" si="4"/>
        <v/>
      </c>
      <c r="AB761" s="110" t="str">
        <f t="shared" si="5"/>
        <v/>
      </c>
      <c r="AC761" s="103" t="str">
        <f>if(X761,_xlfn.WORKDAY.INTL(X761,AC$7,"0000001",Holidays!A:A)+hour(X761)/24+MINUTE(X761)/1440,"")</f>
        <v/>
      </c>
      <c r="AD761" s="104"/>
      <c r="AE761" s="105"/>
      <c r="AF761" s="111" t="str">
        <f t="shared" si="6"/>
        <v/>
      </c>
      <c r="AG761" s="110" t="str">
        <f t="shared" si="7"/>
        <v/>
      </c>
      <c r="AH761" s="103" t="str">
        <f>if(AC761,if(and(hour(AC761+AH$7)&gt;9.5,(hour(AC761+AH$7)&lt;19.5)),AC761+AH$7,_xlfn.workday.intl(int(AC761),1,"0000001",Holidays!A:A)+hour(AC761+AH$7-$B$1)/24+minute(AC761)/1440),"")</f>
        <v/>
      </c>
      <c r="AI761" s="104"/>
      <c r="AJ761" s="105"/>
      <c r="AK761" s="111" t="str">
        <f t="shared" si="8"/>
        <v/>
      </c>
      <c r="AL761" s="112" t="str">
        <f t="shared" si="9"/>
        <v/>
      </c>
      <c r="AM761" s="113"/>
      <c r="AN761" s="291" t="s">
        <v>2540</v>
      </c>
      <c r="AO761" s="115"/>
      <c r="AP761" s="115"/>
      <c r="AQ761" s="115"/>
      <c r="AR761" s="115"/>
      <c r="AS761" s="115"/>
      <c r="AT761" s="115"/>
      <c r="AU761" s="115"/>
      <c r="AV761" s="115"/>
      <c r="AW761" s="115"/>
      <c r="AX761" s="115"/>
      <c r="AY761" s="115"/>
    </row>
    <row r="762">
      <c r="A762" s="95" t="str">
        <f t="shared" si="11"/>
        <v/>
      </c>
      <c r="B762" s="100"/>
      <c r="C762" s="97"/>
      <c r="D762" s="97"/>
      <c r="E762" s="97"/>
      <c r="F762" s="97"/>
      <c r="G762" s="97"/>
      <c r="H762" s="99"/>
      <c r="I762" s="100"/>
      <c r="J762" s="101"/>
      <c r="K762" s="100"/>
      <c r="L762" s="102"/>
      <c r="M762" s="103" t="str">
        <f>if(B762,if(and(hour(B762+M$7)&gt;9.5,(hour(B762+M$7)&lt;19.5)),B762+M$7,_xlfn.workday.intl(int(B762),1,"0000001",Holidays!A:A)+hour(B762+M$7-$B$1)/24+minute(B762)/1440),"")</f>
        <v/>
      </c>
      <c r="N762" s="104"/>
      <c r="O762" s="105"/>
      <c r="P762" s="106" t="str">
        <f t="shared" si="1"/>
        <v/>
      </c>
      <c r="Q762" s="107"/>
      <c r="R762" s="108"/>
      <c r="S762" s="103" t="str">
        <f>if(M762,if(and(hour(M762+S$7)&gt;9.5,(hour(M762+S$7)&lt;19.5)),M762+S$7,_xlfn.workday.intl(int(M762),1,"0000001",Holidays!A:A)+hour(M762+S$7-$B$1)/24+minute(M762)/1440),"")</f>
        <v/>
      </c>
      <c r="T762" s="104"/>
      <c r="U762" s="105"/>
      <c r="V762" s="109" t="str">
        <f t="shared" si="2"/>
        <v/>
      </c>
      <c r="W762" s="110" t="str">
        <f t="shared" si="3"/>
        <v/>
      </c>
      <c r="X762" s="103" t="str">
        <f>if(S762,if(and(hour(S762+X$7)&gt;9.5,(hour(S762+X$7)&lt;19.5)),S762+X$7,_xlfn.workday.intl(int(S762),1,"0000001",Holidays!A:A)+hour(S762+X$7-$B$1)/24+minute(S762)/1440),"")</f>
        <v/>
      </c>
      <c r="Y762" s="104"/>
      <c r="Z762" s="105"/>
      <c r="AA762" s="111" t="str">
        <f t="shared" si="4"/>
        <v/>
      </c>
      <c r="AB762" s="110" t="str">
        <f t="shared" si="5"/>
        <v/>
      </c>
      <c r="AC762" s="103" t="str">
        <f>if(X762,_xlfn.WORKDAY.INTL(X762,AC$7,"0000001",Holidays!A:A)+hour(X762)/24+MINUTE(X762)/1440,"")</f>
        <v/>
      </c>
      <c r="AD762" s="104"/>
      <c r="AE762" s="105"/>
      <c r="AF762" s="111" t="str">
        <f t="shared" si="6"/>
        <v/>
      </c>
      <c r="AG762" s="110" t="str">
        <f t="shared" si="7"/>
        <v/>
      </c>
      <c r="AH762" s="103" t="str">
        <f>if(AC762,if(and(hour(AC762+AH$7)&gt;9.5,(hour(AC762+AH$7)&lt;19.5)),AC762+AH$7,_xlfn.workday.intl(int(AC762),1,"0000001",Holidays!A:A)+hour(AC762+AH$7-$B$1)/24+minute(AC762)/1440),"")</f>
        <v/>
      </c>
      <c r="AI762" s="104"/>
      <c r="AJ762" s="105"/>
      <c r="AK762" s="111" t="str">
        <f t="shared" si="8"/>
        <v/>
      </c>
      <c r="AL762" s="112" t="str">
        <f t="shared" si="9"/>
        <v/>
      </c>
      <c r="AM762" s="113"/>
      <c r="AN762" s="291" t="s">
        <v>2540</v>
      </c>
      <c r="AO762" s="115"/>
      <c r="AP762" s="115"/>
      <c r="AQ762" s="115"/>
      <c r="AR762" s="115"/>
      <c r="AS762" s="115"/>
      <c r="AT762" s="115"/>
      <c r="AU762" s="115"/>
      <c r="AV762" s="115"/>
      <c r="AW762" s="115"/>
      <c r="AX762" s="115"/>
      <c r="AY762" s="115"/>
    </row>
    <row r="763">
      <c r="A763" s="95" t="str">
        <f t="shared" si="11"/>
        <v/>
      </c>
      <c r="B763" s="100"/>
      <c r="C763" s="97"/>
      <c r="D763" s="97"/>
      <c r="E763" s="97"/>
      <c r="F763" s="97"/>
      <c r="G763" s="97"/>
      <c r="H763" s="99"/>
      <c r="I763" s="100"/>
      <c r="J763" s="101"/>
      <c r="K763" s="100"/>
      <c r="L763" s="102"/>
      <c r="M763" s="103" t="str">
        <f>if(B763,if(and(hour(B763+M$7)&gt;9.5,(hour(B763+M$7)&lt;19.5)),B763+M$7,_xlfn.workday.intl(int(B763),1,"0000001",Holidays!A:A)+hour(B763+M$7-$B$1)/24+minute(B763)/1440),"")</f>
        <v/>
      </c>
      <c r="N763" s="104"/>
      <c r="O763" s="105"/>
      <c r="P763" s="106" t="str">
        <f t="shared" si="1"/>
        <v/>
      </c>
      <c r="Q763" s="107"/>
      <c r="R763" s="108"/>
      <c r="S763" s="103" t="str">
        <f>if(M763,if(and(hour(M763+S$7)&gt;9.5,(hour(M763+S$7)&lt;19.5)),M763+S$7,_xlfn.workday.intl(int(M763),1,"0000001",Holidays!A:A)+hour(M763+S$7-$B$1)/24+minute(M763)/1440),"")</f>
        <v/>
      </c>
      <c r="T763" s="104"/>
      <c r="U763" s="105"/>
      <c r="V763" s="109" t="str">
        <f t="shared" si="2"/>
        <v/>
      </c>
      <c r="W763" s="110" t="str">
        <f t="shared" si="3"/>
        <v/>
      </c>
      <c r="X763" s="103" t="str">
        <f>if(S763,if(and(hour(S763+X$7)&gt;9.5,(hour(S763+X$7)&lt;19.5)),S763+X$7,_xlfn.workday.intl(int(S763),1,"0000001",Holidays!A:A)+hour(S763+X$7-$B$1)/24+minute(S763)/1440),"")</f>
        <v/>
      </c>
      <c r="Y763" s="104"/>
      <c r="Z763" s="105"/>
      <c r="AA763" s="111" t="str">
        <f t="shared" si="4"/>
        <v/>
      </c>
      <c r="AB763" s="110" t="str">
        <f t="shared" si="5"/>
        <v/>
      </c>
      <c r="AC763" s="103" t="str">
        <f>if(X763,_xlfn.WORKDAY.INTL(X763,AC$7,"0000001",Holidays!A:A)+hour(X763)/24+MINUTE(X763)/1440,"")</f>
        <v/>
      </c>
      <c r="AD763" s="104"/>
      <c r="AE763" s="105"/>
      <c r="AF763" s="111" t="str">
        <f t="shared" si="6"/>
        <v/>
      </c>
      <c r="AG763" s="110" t="str">
        <f t="shared" si="7"/>
        <v/>
      </c>
      <c r="AH763" s="103" t="str">
        <f>if(AC763,if(and(hour(AC763+AH$7)&gt;9.5,(hour(AC763+AH$7)&lt;19.5)),AC763+AH$7,_xlfn.workday.intl(int(AC763),1,"0000001",Holidays!A:A)+hour(AC763+AH$7-$B$1)/24+minute(AC763)/1440),"")</f>
        <v/>
      </c>
      <c r="AI763" s="104"/>
      <c r="AJ763" s="105"/>
      <c r="AK763" s="111" t="str">
        <f t="shared" si="8"/>
        <v/>
      </c>
      <c r="AL763" s="112" t="str">
        <f t="shared" si="9"/>
        <v/>
      </c>
      <c r="AM763" s="113"/>
      <c r="AN763" s="291" t="s">
        <v>2540</v>
      </c>
      <c r="AO763" s="115"/>
      <c r="AP763" s="115"/>
      <c r="AQ763" s="115"/>
      <c r="AR763" s="115"/>
      <c r="AS763" s="115"/>
      <c r="AT763" s="115"/>
      <c r="AU763" s="115"/>
      <c r="AV763" s="115"/>
      <c r="AW763" s="115"/>
      <c r="AX763" s="115"/>
      <c r="AY763" s="115"/>
    </row>
    <row r="764">
      <c r="A764" s="95" t="str">
        <f t="shared" si="11"/>
        <v/>
      </c>
      <c r="B764" s="100"/>
      <c r="C764" s="97"/>
      <c r="D764" s="97"/>
      <c r="E764" s="97"/>
      <c r="F764" s="97"/>
      <c r="G764" s="97"/>
      <c r="H764" s="99"/>
      <c r="I764" s="100"/>
      <c r="J764" s="101"/>
      <c r="K764" s="100"/>
      <c r="L764" s="102"/>
      <c r="M764" s="103" t="str">
        <f>if(B764,if(and(hour(B764+M$7)&gt;9.5,(hour(B764+M$7)&lt;19.5)),B764+M$7,_xlfn.workday.intl(int(B764),1,"0000001",Holidays!A:A)+hour(B764+M$7-$B$1)/24+minute(B764)/1440),"")</f>
        <v/>
      </c>
      <c r="N764" s="104"/>
      <c r="O764" s="105"/>
      <c r="P764" s="106" t="str">
        <f t="shared" si="1"/>
        <v/>
      </c>
      <c r="Q764" s="107"/>
      <c r="R764" s="108"/>
      <c r="S764" s="103" t="str">
        <f>if(M764,if(and(hour(M764+S$7)&gt;9.5,(hour(M764+S$7)&lt;19.5)),M764+S$7,_xlfn.workday.intl(int(M764),1,"0000001",Holidays!A:A)+hour(M764+S$7-$B$1)/24+minute(M764)/1440),"")</f>
        <v/>
      </c>
      <c r="T764" s="104"/>
      <c r="U764" s="105"/>
      <c r="V764" s="109" t="str">
        <f t="shared" si="2"/>
        <v/>
      </c>
      <c r="W764" s="110" t="str">
        <f t="shared" si="3"/>
        <v/>
      </c>
      <c r="X764" s="103" t="str">
        <f>if(S764,if(and(hour(S764+X$7)&gt;9.5,(hour(S764+X$7)&lt;19.5)),S764+X$7,_xlfn.workday.intl(int(S764),1,"0000001",Holidays!A:A)+hour(S764+X$7-$B$1)/24+minute(S764)/1440),"")</f>
        <v/>
      </c>
      <c r="Y764" s="104"/>
      <c r="Z764" s="105"/>
      <c r="AA764" s="111" t="str">
        <f t="shared" si="4"/>
        <v/>
      </c>
      <c r="AB764" s="110" t="str">
        <f t="shared" si="5"/>
        <v/>
      </c>
      <c r="AC764" s="103" t="str">
        <f>if(X764,_xlfn.WORKDAY.INTL(X764,AC$7,"0000001",Holidays!A:A)+hour(X764)/24+MINUTE(X764)/1440,"")</f>
        <v/>
      </c>
      <c r="AD764" s="104"/>
      <c r="AE764" s="105"/>
      <c r="AF764" s="111" t="str">
        <f t="shared" si="6"/>
        <v/>
      </c>
      <c r="AG764" s="110" t="str">
        <f t="shared" si="7"/>
        <v/>
      </c>
      <c r="AH764" s="103" t="str">
        <f>if(AC764,if(and(hour(AC764+AH$7)&gt;9.5,(hour(AC764+AH$7)&lt;19.5)),AC764+AH$7,_xlfn.workday.intl(int(AC764),1,"0000001",Holidays!A:A)+hour(AC764+AH$7-$B$1)/24+minute(AC764)/1440),"")</f>
        <v/>
      </c>
      <c r="AI764" s="104"/>
      <c r="AJ764" s="105"/>
      <c r="AK764" s="111" t="str">
        <f t="shared" si="8"/>
        <v/>
      </c>
      <c r="AL764" s="112" t="str">
        <f t="shared" si="9"/>
        <v/>
      </c>
      <c r="AM764" s="113"/>
      <c r="AN764" s="291" t="s">
        <v>2540</v>
      </c>
      <c r="AO764" s="115"/>
      <c r="AP764" s="115"/>
      <c r="AQ764" s="115"/>
      <c r="AR764" s="115"/>
      <c r="AS764" s="115"/>
      <c r="AT764" s="115"/>
      <c r="AU764" s="115"/>
      <c r="AV764" s="115"/>
      <c r="AW764" s="115"/>
      <c r="AX764" s="115"/>
      <c r="AY764" s="115"/>
    </row>
    <row r="765">
      <c r="A765" s="95" t="str">
        <f t="shared" si="11"/>
        <v/>
      </c>
      <c r="B765" s="100"/>
      <c r="C765" s="97"/>
      <c r="D765" s="97"/>
      <c r="E765" s="97"/>
      <c r="F765" s="97"/>
      <c r="G765" s="97"/>
      <c r="H765" s="99"/>
      <c r="I765" s="100"/>
      <c r="J765" s="101"/>
      <c r="K765" s="100"/>
      <c r="L765" s="102"/>
      <c r="M765" s="103" t="str">
        <f>if(B765,if(and(hour(B765+M$7)&gt;9.5,(hour(B765+M$7)&lt;19.5)),B765+M$7,_xlfn.workday.intl(int(B765),1,"0000001",Holidays!A:A)+hour(B765+M$7-$B$1)/24+minute(B765)/1440),"")</f>
        <v/>
      </c>
      <c r="N765" s="104"/>
      <c r="O765" s="105"/>
      <c r="P765" s="106" t="str">
        <f t="shared" si="1"/>
        <v/>
      </c>
      <c r="Q765" s="107"/>
      <c r="R765" s="108"/>
      <c r="S765" s="103" t="str">
        <f>if(M765,if(and(hour(M765+S$7)&gt;9.5,(hour(M765+S$7)&lt;19.5)),M765+S$7,_xlfn.workday.intl(int(M765),1,"0000001",Holidays!A:A)+hour(M765+S$7-$B$1)/24+minute(M765)/1440),"")</f>
        <v/>
      </c>
      <c r="T765" s="104"/>
      <c r="U765" s="105"/>
      <c r="V765" s="109" t="str">
        <f t="shared" si="2"/>
        <v/>
      </c>
      <c r="W765" s="110" t="str">
        <f t="shared" si="3"/>
        <v/>
      </c>
      <c r="X765" s="103" t="str">
        <f>if(S765,if(and(hour(S765+X$7)&gt;9.5,(hour(S765+X$7)&lt;19.5)),S765+X$7,_xlfn.workday.intl(int(S765),1,"0000001",Holidays!A:A)+hour(S765+X$7-$B$1)/24+minute(S765)/1440),"")</f>
        <v/>
      </c>
      <c r="Y765" s="104"/>
      <c r="Z765" s="105"/>
      <c r="AA765" s="111" t="str">
        <f t="shared" si="4"/>
        <v/>
      </c>
      <c r="AB765" s="110" t="str">
        <f t="shared" si="5"/>
        <v/>
      </c>
      <c r="AC765" s="103" t="str">
        <f>if(X765,_xlfn.WORKDAY.INTL(X765,AC$7,"0000001",Holidays!A:A)+hour(X765)/24+MINUTE(X765)/1440,"")</f>
        <v/>
      </c>
      <c r="AD765" s="104"/>
      <c r="AE765" s="105"/>
      <c r="AF765" s="111" t="str">
        <f t="shared" si="6"/>
        <v/>
      </c>
      <c r="AG765" s="110" t="str">
        <f t="shared" si="7"/>
        <v/>
      </c>
      <c r="AH765" s="103" t="str">
        <f>if(AC765,if(and(hour(AC765+AH$7)&gt;9.5,(hour(AC765+AH$7)&lt;19.5)),AC765+AH$7,_xlfn.workday.intl(int(AC765),1,"0000001",Holidays!A:A)+hour(AC765+AH$7-$B$1)/24+minute(AC765)/1440),"")</f>
        <v/>
      </c>
      <c r="AI765" s="104"/>
      <c r="AJ765" s="105"/>
      <c r="AK765" s="111" t="str">
        <f t="shared" si="8"/>
        <v/>
      </c>
      <c r="AL765" s="112" t="str">
        <f t="shared" si="9"/>
        <v/>
      </c>
      <c r="AM765" s="113"/>
      <c r="AN765" s="291" t="s">
        <v>2540</v>
      </c>
      <c r="AO765" s="115"/>
      <c r="AP765" s="115"/>
      <c r="AQ765" s="115"/>
      <c r="AR765" s="115"/>
      <c r="AS765" s="115"/>
      <c r="AT765" s="115"/>
      <c r="AU765" s="115"/>
      <c r="AV765" s="115"/>
      <c r="AW765" s="115"/>
      <c r="AX765" s="115"/>
      <c r="AY765" s="115"/>
    </row>
    <row r="766">
      <c r="A766" s="95" t="str">
        <f t="shared" si="11"/>
        <v/>
      </c>
      <c r="B766" s="100"/>
      <c r="C766" s="97"/>
      <c r="D766" s="97"/>
      <c r="E766" s="97"/>
      <c r="F766" s="97"/>
      <c r="G766" s="97"/>
      <c r="H766" s="99"/>
      <c r="I766" s="100"/>
      <c r="J766" s="101"/>
      <c r="K766" s="100"/>
      <c r="L766" s="102"/>
      <c r="M766" s="103" t="str">
        <f>if(B766,if(and(hour(B766+M$7)&gt;9.5,(hour(B766+M$7)&lt;19.5)),B766+M$7,_xlfn.workday.intl(int(B766),1,"0000001",Holidays!A:A)+hour(B766+M$7-$B$1)/24+minute(B766)/1440),"")</f>
        <v/>
      </c>
      <c r="N766" s="104"/>
      <c r="O766" s="105"/>
      <c r="P766" s="106" t="str">
        <f t="shared" si="1"/>
        <v/>
      </c>
      <c r="Q766" s="107"/>
      <c r="R766" s="108"/>
      <c r="S766" s="103" t="str">
        <f>if(M766,if(and(hour(M766+S$7)&gt;9.5,(hour(M766+S$7)&lt;19.5)),M766+S$7,_xlfn.workday.intl(int(M766),1,"0000001",Holidays!A:A)+hour(M766+S$7-$B$1)/24+minute(M766)/1440),"")</f>
        <v/>
      </c>
      <c r="T766" s="104"/>
      <c r="U766" s="105"/>
      <c r="V766" s="109" t="str">
        <f t="shared" si="2"/>
        <v/>
      </c>
      <c r="W766" s="110" t="str">
        <f t="shared" si="3"/>
        <v/>
      </c>
      <c r="X766" s="103" t="str">
        <f>if(S766,if(and(hour(S766+X$7)&gt;9.5,(hour(S766+X$7)&lt;19.5)),S766+X$7,_xlfn.workday.intl(int(S766),1,"0000001",Holidays!A:A)+hour(S766+X$7-$B$1)/24+minute(S766)/1440),"")</f>
        <v/>
      </c>
      <c r="Y766" s="104"/>
      <c r="Z766" s="105"/>
      <c r="AA766" s="111" t="str">
        <f t="shared" si="4"/>
        <v/>
      </c>
      <c r="AB766" s="110" t="str">
        <f t="shared" si="5"/>
        <v/>
      </c>
      <c r="AC766" s="103" t="str">
        <f>if(X766,_xlfn.WORKDAY.INTL(X766,AC$7,"0000001",Holidays!A:A)+hour(X766)/24+MINUTE(X766)/1440,"")</f>
        <v/>
      </c>
      <c r="AD766" s="104"/>
      <c r="AE766" s="105"/>
      <c r="AF766" s="111" t="str">
        <f t="shared" si="6"/>
        <v/>
      </c>
      <c r="AG766" s="110" t="str">
        <f t="shared" si="7"/>
        <v/>
      </c>
      <c r="AH766" s="103" t="str">
        <f>if(AC766,if(and(hour(AC766+AH$7)&gt;9.5,(hour(AC766+AH$7)&lt;19.5)),AC766+AH$7,_xlfn.workday.intl(int(AC766),1,"0000001",Holidays!A:A)+hour(AC766+AH$7-$B$1)/24+minute(AC766)/1440),"")</f>
        <v/>
      </c>
      <c r="AI766" s="104"/>
      <c r="AJ766" s="105"/>
      <c r="AK766" s="111" t="str">
        <f t="shared" si="8"/>
        <v/>
      </c>
      <c r="AL766" s="112" t="str">
        <f t="shared" si="9"/>
        <v/>
      </c>
      <c r="AM766" s="113"/>
      <c r="AN766" s="291" t="s">
        <v>2540</v>
      </c>
      <c r="AO766" s="115"/>
      <c r="AP766" s="115"/>
      <c r="AQ766" s="115"/>
      <c r="AR766" s="115"/>
      <c r="AS766" s="115"/>
      <c r="AT766" s="115"/>
      <c r="AU766" s="115"/>
      <c r="AV766" s="115"/>
      <c r="AW766" s="115"/>
      <c r="AX766" s="115"/>
      <c r="AY766" s="115"/>
    </row>
    <row r="767">
      <c r="A767" s="95" t="str">
        <f t="shared" si="11"/>
        <v/>
      </c>
      <c r="B767" s="100"/>
      <c r="C767" s="97"/>
      <c r="D767" s="97"/>
      <c r="E767" s="97"/>
      <c r="F767" s="97"/>
      <c r="G767" s="97"/>
      <c r="H767" s="99"/>
      <c r="I767" s="100"/>
      <c r="J767" s="101"/>
      <c r="K767" s="100"/>
      <c r="L767" s="102"/>
      <c r="M767" s="103" t="str">
        <f>if(B767,if(and(hour(B767+M$7)&gt;9.5,(hour(B767+M$7)&lt;19.5)),B767+M$7,_xlfn.workday.intl(int(B767),1,"0000001",Holidays!A:A)+hour(B767+M$7-$B$1)/24+minute(B767)/1440),"")</f>
        <v/>
      </c>
      <c r="N767" s="104"/>
      <c r="O767" s="105"/>
      <c r="P767" s="106" t="str">
        <f t="shared" si="1"/>
        <v/>
      </c>
      <c r="Q767" s="107"/>
      <c r="R767" s="108"/>
      <c r="S767" s="103" t="str">
        <f>if(M767,if(and(hour(M767+S$7)&gt;9.5,(hour(M767+S$7)&lt;19.5)),M767+S$7,_xlfn.workday.intl(int(M767),1,"0000001",Holidays!A:A)+hour(M767+S$7-$B$1)/24+minute(M767)/1440),"")</f>
        <v/>
      </c>
      <c r="T767" s="104"/>
      <c r="U767" s="105"/>
      <c r="V767" s="109" t="str">
        <f t="shared" si="2"/>
        <v/>
      </c>
      <c r="W767" s="110" t="str">
        <f t="shared" si="3"/>
        <v/>
      </c>
      <c r="X767" s="103" t="str">
        <f>if(S767,if(and(hour(S767+X$7)&gt;9.5,(hour(S767+X$7)&lt;19.5)),S767+X$7,_xlfn.workday.intl(int(S767),1,"0000001",Holidays!A:A)+hour(S767+X$7-$B$1)/24+minute(S767)/1440),"")</f>
        <v/>
      </c>
      <c r="Y767" s="104"/>
      <c r="Z767" s="105"/>
      <c r="AA767" s="111" t="str">
        <f t="shared" si="4"/>
        <v/>
      </c>
      <c r="AB767" s="110" t="str">
        <f t="shared" si="5"/>
        <v/>
      </c>
      <c r="AC767" s="103" t="str">
        <f>if(X767,_xlfn.WORKDAY.INTL(X767,AC$7,"0000001",Holidays!A:A)+hour(X767)/24+MINUTE(X767)/1440,"")</f>
        <v/>
      </c>
      <c r="AD767" s="104"/>
      <c r="AE767" s="105"/>
      <c r="AF767" s="111" t="str">
        <f t="shared" si="6"/>
        <v/>
      </c>
      <c r="AG767" s="110" t="str">
        <f t="shared" si="7"/>
        <v/>
      </c>
      <c r="AH767" s="103" t="str">
        <f>if(AC767,if(and(hour(AC767+AH$7)&gt;9.5,(hour(AC767+AH$7)&lt;19.5)),AC767+AH$7,_xlfn.workday.intl(int(AC767),1,"0000001",Holidays!A:A)+hour(AC767+AH$7-$B$1)/24+minute(AC767)/1440),"")</f>
        <v/>
      </c>
      <c r="AI767" s="104"/>
      <c r="AJ767" s="105"/>
      <c r="AK767" s="111" t="str">
        <f t="shared" si="8"/>
        <v/>
      </c>
      <c r="AL767" s="112" t="str">
        <f t="shared" si="9"/>
        <v/>
      </c>
      <c r="AM767" s="113"/>
      <c r="AN767" s="291" t="s">
        <v>2540</v>
      </c>
      <c r="AO767" s="115"/>
      <c r="AP767" s="115"/>
      <c r="AQ767" s="115"/>
      <c r="AR767" s="115"/>
      <c r="AS767" s="115"/>
      <c r="AT767" s="115"/>
      <c r="AU767" s="115"/>
      <c r="AV767" s="115"/>
      <c r="AW767" s="115"/>
      <c r="AX767" s="115"/>
      <c r="AY767" s="115"/>
    </row>
    <row r="768">
      <c r="A768" s="95" t="str">
        <f t="shared" si="11"/>
        <v/>
      </c>
      <c r="B768" s="100"/>
      <c r="C768" s="97"/>
      <c r="D768" s="97"/>
      <c r="E768" s="97"/>
      <c r="F768" s="97"/>
      <c r="G768" s="97"/>
      <c r="H768" s="99"/>
      <c r="I768" s="100"/>
      <c r="J768" s="101"/>
      <c r="K768" s="100"/>
      <c r="L768" s="102"/>
      <c r="M768" s="103" t="str">
        <f>if(B768,if(and(hour(B768+M$7)&gt;9.5,(hour(B768+M$7)&lt;19.5)),B768+M$7,_xlfn.workday.intl(int(B768),1,"0000001",Holidays!A:A)+hour(B768+M$7-$B$1)/24+minute(B768)/1440),"")</f>
        <v/>
      </c>
      <c r="N768" s="104"/>
      <c r="O768" s="105"/>
      <c r="P768" s="106" t="str">
        <f t="shared" si="1"/>
        <v/>
      </c>
      <c r="Q768" s="107"/>
      <c r="R768" s="108"/>
      <c r="S768" s="103" t="str">
        <f>if(M768,if(and(hour(M768+S$7)&gt;9.5,(hour(M768+S$7)&lt;19.5)),M768+S$7,_xlfn.workday.intl(int(M768),1,"0000001",Holidays!A:A)+hour(M768+S$7-$B$1)/24+minute(M768)/1440),"")</f>
        <v/>
      </c>
      <c r="T768" s="104"/>
      <c r="U768" s="105"/>
      <c r="V768" s="109" t="str">
        <f t="shared" si="2"/>
        <v/>
      </c>
      <c r="W768" s="110" t="str">
        <f t="shared" si="3"/>
        <v/>
      </c>
      <c r="X768" s="103" t="str">
        <f>if(S768,if(and(hour(S768+X$7)&gt;9.5,(hour(S768+X$7)&lt;19.5)),S768+X$7,_xlfn.workday.intl(int(S768),1,"0000001",Holidays!A:A)+hour(S768+X$7-$B$1)/24+minute(S768)/1440),"")</f>
        <v/>
      </c>
      <c r="Y768" s="104"/>
      <c r="Z768" s="105"/>
      <c r="AA768" s="111" t="str">
        <f t="shared" si="4"/>
        <v/>
      </c>
      <c r="AB768" s="110" t="str">
        <f t="shared" si="5"/>
        <v/>
      </c>
      <c r="AC768" s="103" t="str">
        <f>if(X768,_xlfn.WORKDAY.INTL(X768,AC$7,"0000001",Holidays!A:A)+hour(X768)/24+MINUTE(X768)/1440,"")</f>
        <v/>
      </c>
      <c r="AD768" s="104"/>
      <c r="AE768" s="105"/>
      <c r="AF768" s="111" t="str">
        <f t="shared" si="6"/>
        <v/>
      </c>
      <c r="AG768" s="110" t="str">
        <f t="shared" si="7"/>
        <v/>
      </c>
      <c r="AH768" s="103" t="str">
        <f>if(AC768,if(and(hour(AC768+AH$7)&gt;9.5,(hour(AC768+AH$7)&lt;19.5)),AC768+AH$7,_xlfn.workday.intl(int(AC768),1,"0000001",Holidays!A:A)+hour(AC768+AH$7-$B$1)/24+minute(AC768)/1440),"")</f>
        <v/>
      </c>
      <c r="AI768" s="104"/>
      <c r="AJ768" s="105"/>
      <c r="AK768" s="111" t="str">
        <f t="shared" si="8"/>
        <v/>
      </c>
      <c r="AL768" s="112" t="str">
        <f t="shared" si="9"/>
        <v/>
      </c>
      <c r="AM768" s="113"/>
      <c r="AN768" s="291" t="s">
        <v>2540</v>
      </c>
      <c r="AO768" s="115"/>
      <c r="AP768" s="115"/>
      <c r="AQ768" s="115"/>
      <c r="AR768" s="115"/>
      <c r="AS768" s="115"/>
      <c r="AT768" s="115"/>
      <c r="AU768" s="115"/>
      <c r="AV768" s="115"/>
      <c r="AW768" s="115"/>
      <c r="AX768" s="115"/>
      <c r="AY768" s="115"/>
    </row>
    <row r="769">
      <c r="A769" s="95" t="str">
        <f t="shared" si="11"/>
        <v/>
      </c>
      <c r="B769" s="100"/>
      <c r="C769" s="97"/>
      <c r="D769" s="97"/>
      <c r="E769" s="97"/>
      <c r="F769" s="97"/>
      <c r="G769" s="97"/>
      <c r="H769" s="99"/>
      <c r="I769" s="100"/>
      <c r="J769" s="101"/>
      <c r="K769" s="100"/>
      <c r="L769" s="102"/>
      <c r="M769" s="103" t="str">
        <f>if(B769,if(and(hour(B769+M$7)&gt;9.5,(hour(B769+M$7)&lt;19.5)),B769+M$7,_xlfn.workday.intl(int(B769),1,"0000001",Holidays!A:A)+hour(B769+M$7-$B$1)/24+minute(B769)/1440),"")</f>
        <v/>
      </c>
      <c r="N769" s="104"/>
      <c r="O769" s="105"/>
      <c r="P769" s="106" t="str">
        <f t="shared" si="1"/>
        <v/>
      </c>
      <c r="Q769" s="107"/>
      <c r="R769" s="108"/>
      <c r="S769" s="103" t="str">
        <f>if(M769,if(and(hour(M769+S$7)&gt;9.5,(hour(M769+S$7)&lt;19.5)),M769+S$7,_xlfn.workday.intl(int(M769),1,"0000001",Holidays!A:A)+hour(M769+S$7-$B$1)/24+minute(M769)/1440),"")</f>
        <v/>
      </c>
      <c r="T769" s="104"/>
      <c r="U769" s="105"/>
      <c r="V769" s="109" t="str">
        <f t="shared" si="2"/>
        <v/>
      </c>
      <c r="W769" s="110" t="str">
        <f t="shared" si="3"/>
        <v/>
      </c>
      <c r="X769" s="103" t="str">
        <f>if(S769,if(and(hour(S769+X$7)&gt;9.5,(hour(S769+X$7)&lt;19.5)),S769+X$7,_xlfn.workday.intl(int(S769),1,"0000001",Holidays!A:A)+hour(S769+X$7-$B$1)/24+minute(S769)/1440),"")</f>
        <v/>
      </c>
      <c r="Y769" s="104"/>
      <c r="Z769" s="105"/>
      <c r="AA769" s="111" t="str">
        <f t="shared" si="4"/>
        <v/>
      </c>
      <c r="AB769" s="110" t="str">
        <f t="shared" si="5"/>
        <v/>
      </c>
      <c r="AC769" s="103" t="str">
        <f>if(X769,_xlfn.WORKDAY.INTL(X769,AC$7,"0000001",Holidays!A:A)+hour(X769)/24+MINUTE(X769)/1440,"")</f>
        <v/>
      </c>
      <c r="AD769" s="104"/>
      <c r="AE769" s="105"/>
      <c r="AF769" s="111" t="str">
        <f t="shared" si="6"/>
        <v/>
      </c>
      <c r="AG769" s="110" t="str">
        <f t="shared" si="7"/>
        <v/>
      </c>
      <c r="AH769" s="103" t="str">
        <f>if(AC769,if(and(hour(AC769+AH$7)&gt;9.5,(hour(AC769+AH$7)&lt;19.5)),AC769+AH$7,_xlfn.workday.intl(int(AC769),1,"0000001",Holidays!A:A)+hour(AC769+AH$7-$B$1)/24+minute(AC769)/1440),"")</f>
        <v/>
      </c>
      <c r="AI769" s="104"/>
      <c r="AJ769" s="105"/>
      <c r="AK769" s="111" t="str">
        <f t="shared" si="8"/>
        <v/>
      </c>
      <c r="AL769" s="112" t="str">
        <f t="shared" si="9"/>
        <v/>
      </c>
      <c r="AM769" s="113"/>
      <c r="AN769" s="291" t="s">
        <v>2540</v>
      </c>
      <c r="AO769" s="115"/>
      <c r="AP769" s="115"/>
      <c r="AQ769" s="115"/>
      <c r="AR769" s="115"/>
      <c r="AS769" s="115"/>
      <c r="AT769" s="115"/>
      <c r="AU769" s="115"/>
      <c r="AV769" s="115"/>
      <c r="AW769" s="115"/>
      <c r="AX769" s="115"/>
      <c r="AY769" s="115"/>
    </row>
    <row r="770">
      <c r="A770" s="95" t="str">
        <f t="shared" si="11"/>
        <v/>
      </c>
      <c r="B770" s="100"/>
      <c r="C770" s="97"/>
      <c r="D770" s="97"/>
      <c r="E770" s="97"/>
      <c r="F770" s="97"/>
      <c r="G770" s="97"/>
      <c r="H770" s="99"/>
      <c r="I770" s="100"/>
      <c r="J770" s="101"/>
      <c r="K770" s="100"/>
      <c r="L770" s="102"/>
      <c r="M770" s="103" t="str">
        <f>if(B770,if(and(hour(B770+M$7)&gt;9.5,(hour(B770+M$7)&lt;19.5)),B770+M$7,_xlfn.workday.intl(int(B770),1,"0000001",Holidays!A:A)+hour(B770+M$7-$B$1)/24+minute(B770)/1440),"")</f>
        <v/>
      </c>
      <c r="N770" s="104"/>
      <c r="O770" s="105"/>
      <c r="P770" s="106" t="str">
        <f t="shared" si="1"/>
        <v/>
      </c>
      <c r="Q770" s="107"/>
      <c r="R770" s="108"/>
      <c r="S770" s="103" t="str">
        <f>if(M770,if(and(hour(M770+S$7)&gt;9.5,(hour(M770+S$7)&lt;19.5)),M770+S$7,_xlfn.workday.intl(int(M770),1,"0000001",Holidays!A:A)+hour(M770+S$7-$B$1)/24+minute(M770)/1440),"")</f>
        <v/>
      </c>
      <c r="T770" s="104"/>
      <c r="U770" s="105"/>
      <c r="V770" s="109" t="str">
        <f t="shared" si="2"/>
        <v/>
      </c>
      <c r="W770" s="110" t="str">
        <f t="shared" si="3"/>
        <v/>
      </c>
      <c r="X770" s="103" t="str">
        <f>if(S770,if(and(hour(S770+X$7)&gt;9.5,(hour(S770+X$7)&lt;19.5)),S770+X$7,_xlfn.workday.intl(int(S770),1,"0000001",Holidays!A:A)+hour(S770+X$7-$B$1)/24+minute(S770)/1440),"")</f>
        <v/>
      </c>
      <c r="Y770" s="104"/>
      <c r="Z770" s="105"/>
      <c r="AA770" s="111" t="str">
        <f t="shared" si="4"/>
        <v/>
      </c>
      <c r="AB770" s="110" t="str">
        <f t="shared" si="5"/>
        <v/>
      </c>
      <c r="AC770" s="103" t="str">
        <f>if(X770,_xlfn.WORKDAY.INTL(X770,AC$7,"0000001",Holidays!A:A)+hour(X770)/24+MINUTE(X770)/1440,"")</f>
        <v/>
      </c>
      <c r="AD770" s="104"/>
      <c r="AE770" s="105"/>
      <c r="AF770" s="111" t="str">
        <f t="shared" si="6"/>
        <v/>
      </c>
      <c r="AG770" s="110" t="str">
        <f t="shared" si="7"/>
        <v/>
      </c>
      <c r="AH770" s="103" t="str">
        <f>if(AC770,if(and(hour(AC770+AH$7)&gt;9.5,(hour(AC770+AH$7)&lt;19.5)),AC770+AH$7,_xlfn.workday.intl(int(AC770),1,"0000001",Holidays!A:A)+hour(AC770+AH$7-$B$1)/24+minute(AC770)/1440),"")</f>
        <v/>
      </c>
      <c r="AI770" s="104"/>
      <c r="AJ770" s="105"/>
      <c r="AK770" s="111" t="str">
        <f t="shared" si="8"/>
        <v/>
      </c>
      <c r="AL770" s="112" t="str">
        <f t="shared" si="9"/>
        <v/>
      </c>
      <c r="AM770" s="113"/>
      <c r="AN770" s="291" t="s">
        <v>2540</v>
      </c>
      <c r="AO770" s="115"/>
      <c r="AP770" s="115"/>
      <c r="AQ770" s="115"/>
      <c r="AR770" s="115"/>
      <c r="AS770" s="115"/>
      <c r="AT770" s="115"/>
      <c r="AU770" s="115"/>
      <c r="AV770" s="115"/>
      <c r="AW770" s="115"/>
      <c r="AX770" s="115"/>
      <c r="AY770" s="115"/>
    </row>
    <row r="771">
      <c r="A771" s="95" t="str">
        <f t="shared" si="11"/>
        <v/>
      </c>
      <c r="B771" s="100"/>
      <c r="C771" s="97"/>
      <c r="D771" s="97"/>
      <c r="E771" s="97"/>
      <c r="F771" s="97"/>
      <c r="G771" s="97"/>
      <c r="H771" s="99"/>
      <c r="I771" s="100"/>
      <c r="J771" s="101"/>
      <c r="K771" s="100"/>
      <c r="L771" s="102"/>
      <c r="M771" s="103" t="str">
        <f>if(B771,if(and(hour(B771+M$7)&gt;9.5,(hour(B771+M$7)&lt;19.5)),B771+M$7,_xlfn.workday.intl(int(B771),1,"0000001",Holidays!A:A)+hour(B771+M$7-$B$1)/24+minute(B771)/1440),"")</f>
        <v/>
      </c>
      <c r="N771" s="104"/>
      <c r="O771" s="105"/>
      <c r="P771" s="106" t="str">
        <f t="shared" si="1"/>
        <v/>
      </c>
      <c r="Q771" s="107"/>
      <c r="R771" s="108"/>
      <c r="S771" s="103" t="str">
        <f>if(M771,if(and(hour(M771+S$7)&gt;9.5,(hour(M771+S$7)&lt;19.5)),M771+S$7,_xlfn.workday.intl(int(M771),1,"0000001",Holidays!A:A)+hour(M771+S$7-$B$1)/24+minute(M771)/1440),"")</f>
        <v/>
      </c>
      <c r="T771" s="104"/>
      <c r="U771" s="105"/>
      <c r="V771" s="109" t="str">
        <f t="shared" si="2"/>
        <v/>
      </c>
      <c r="W771" s="110" t="str">
        <f t="shared" si="3"/>
        <v/>
      </c>
      <c r="X771" s="103" t="str">
        <f>if(S771,if(and(hour(S771+X$7)&gt;9.5,(hour(S771+X$7)&lt;19.5)),S771+X$7,_xlfn.workday.intl(int(S771),1,"0000001",Holidays!A:A)+hour(S771+X$7-$B$1)/24+minute(S771)/1440),"")</f>
        <v/>
      </c>
      <c r="Y771" s="104"/>
      <c r="Z771" s="105"/>
      <c r="AA771" s="111" t="str">
        <f t="shared" si="4"/>
        <v/>
      </c>
      <c r="AB771" s="110" t="str">
        <f t="shared" si="5"/>
        <v/>
      </c>
      <c r="AC771" s="103" t="str">
        <f>if(X771,_xlfn.WORKDAY.INTL(X771,AC$7,"0000001",Holidays!A:A)+hour(X771)/24+MINUTE(X771)/1440,"")</f>
        <v/>
      </c>
      <c r="AD771" s="104"/>
      <c r="AE771" s="105"/>
      <c r="AF771" s="111" t="str">
        <f t="shared" si="6"/>
        <v/>
      </c>
      <c r="AG771" s="110" t="str">
        <f t="shared" si="7"/>
        <v/>
      </c>
      <c r="AH771" s="103" t="str">
        <f>if(AC771,if(and(hour(AC771+AH$7)&gt;9.5,(hour(AC771+AH$7)&lt;19.5)),AC771+AH$7,_xlfn.workday.intl(int(AC771),1,"0000001",Holidays!A:A)+hour(AC771+AH$7-$B$1)/24+minute(AC771)/1440),"")</f>
        <v/>
      </c>
      <c r="AI771" s="104"/>
      <c r="AJ771" s="105"/>
      <c r="AK771" s="111" t="str">
        <f t="shared" si="8"/>
        <v/>
      </c>
      <c r="AL771" s="112" t="str">
        <f t="shared" si="9"/>
        <v/>
      </c>
      <c r="AM771" s="113"/>
      <c r="AN771" s="291" t="s">
        <v>2540</v>
      </c>
      <c r="AO771" s="115"/>
      <c r="AP771" s="115"/>
      <c r="AQ771" s="115"/>
      <c r="AR771" s="115"/>
      <c r="AS771" s="115"/>
      <c r="AT771" s="115"/>
      <c r="AU771" s="115"/>
      <c r="AV771" s="115"/>
      <c r="AW771" s="115"/>
      <c r="AX771" s="115"/>
      <c r="AY771" s="115"/>
    </row>
    <row r="772">
      <c r="A772" s="95" t="str">
        <f t="shared" si="11"/>
        <v/>
      </c>
      <c r="B772" s="100"/>
      <c r="C772" s="97"/>
      <c r="D772" s="97"/>
      <c r="E772" s="97"/>
      <c r="F772" s="97"/>
      <c r="G772" s="97"/>
      <c r="H772" s="99"/>
      <c r="I772" s="100"/>
      <c r="J772" s="101"/>
      <c r="K772" s="100"/>
      <c r="L772" s="102"/>
      <c r="M772" s="103" t="str">
        <f>if(B772,if(and(hour(B772+M$7)&gt;9.5,(hour(B772+M$7)&lt;19.5)),B772+M$7,_xlfn.workday.intl(int(B772),1,"0000001",Holidays!A:A)+hour(B772+M$7-$B$1)/24+minute(B772)/1440),"")</f>
        <v/>
      </c>
      <c r="N772" s="104"/>
      <c r="O772" s="105"/>
      <c r="P772" s="106" t="str">
        <f t="shared" si="1"/>
        <v/>
      </c>
      <c r="Q772" s="107"/>
      <c r="R772" s="108"/>
      <c r="S772" s="103" t="str">
        <f>if(M772,if(and(hour(M772+S$7)&gt;9.5,(hour(M772+S$7)&lt;19.5)),M772+S$7,_xlfn.workday.intl(int(M772),1,"0000001",Holidays!A:A)+hour(M772+S$7-$B$1)/24+minute(M772)/1440),"")</f>
        <v/>
      </c>
      <c r="T772" s="104"/>
      <c r="U772" s="105"/>
      <c r="V772" s="109" t="str">
        <f t="shared" si="2"/>
        <v/>
      </c>
      <c r="W772" s="110" t="str">
        <f t="shared" si="3"/>
        <v/>
      </c>
      <c r="X772" s="103" t="str">
        <f>if(S772,if(and(hour(S772+X$7)&gt;9.5,(hour(S772+X$7)&lt;19.5)),S772+X$7,_xlfn.workday.intl(int(S772),1,"0000001",Holidays!A:A)+hour(S772+X$7-$B$1)/24+minute(S772)/1440),"")</f>
        <v/>
      </c>
      <c r="Y772" s="104"/>
      <c r="Z772" s="105"/>
      <c r="AA772" s="111" t="str">
        <f t="shared" si="4"/>
        <v/>
      </c>
      <c r="AB772" s="110" t="str">
        <f t="shared" si="5"/>
        <v/>
      </c>
      <c r="AC772" s="103" t="str">
        <f>if(X772,_xlfn.WORKDAY.INTL(X772,AC$7,"0000001",Holidays!A:A)+hour(X772)/24+MINUTE(X772)/1440,"")</f>
        <v/>
      </c>
      <c r="AD772" s="104"/>
      <c r="AE772" s="105"/>
      <c r="AF772" s="111" t="str">
        <f t="shared" si="6"/>
        <v/>
      </c>
      <c r="AG772" s="110" t="str">
        <f t="shared" si="7"/>
        <v/>
      </c>
      <c r="AH772" s="103" t="str">
        <f>if(AC772,if(and(hour(AC772+AH$7)&gt;9.5,(hour(AC772+AH$7)&lt;19.5)),AC772+AH$7,_xlfn.workday.intl(int(AC772),1,"0000001",Holidays!A:A)+hour(AC772+AH$7-$B$1)/24+minute(AC772)/1440),"")</f>
        <v/>
      </c>
      <c r="AI772" s="104"/>
      <c r="AJ772" s="105"/>
      <c r="AK772" s="111" t="str">
        <f t="shared" si="8"/>
        <v/>
      </c>
      <c r="AL772" s="112" t="str">
        <f t="shared" si="9"/>
        <v/>
      </c>
      <c r="AM772" s="113"/>
      <c r="AN772" s="291" t="s">
        <v>2540</v>
      </c>
      <c r="AO772" s="115"/>
      <c r="AP772" s="115"/>
      <c r="AQ772" s="115"/>
      <c r="AR772" s="115"/>
      <c r="AS772" s="115"/>
      <c r="AT772" s="115"/>
      <c r="AU772" s="115"/>
      <c r="AV772" s="115"/>
      <c r="AW772" s="115"/>
      <c r="AX772" s="115"/>
      <c r="AY772" s="115"/>
    </row>
    <row r="773">
      <c r="A773" s="95" t="str">
        <f t="shared" si="11"/>
        <v/>
      </c>
      <c r="B773" s="100"/>
      <c r="C773" s="97"/>
      <c r="D773" s="97"/>
      <c r="E773" s="97"/>
      <c r="F773" s="97"/>
      <c r="G773" s="97"/>
      <c r="H773" s="99"/>
      <c r="I773" s="100"/>
      <c r="J773" s="101"/>
      <c r="K773" s="100"/>
      <c r="L773" s="102"/>
      <c r="M773" s="103" t="str">
        <f>if(B773,if(and(hour(B773+M$7)&gt;9.5,(hour(B773+M$7)&lt;19.5)),B773+M$7,_xlfn.workday.intl(int(B773),1,"0000001",Holidays!A:A)+hour(B773+M$7-$B$1)/24+minute(B773)/1440),"")</f>
        <v/>
      </c>
      <c r="N773" s="104"/>
      <c r="O773" s="105"/>
      <c r="P773" s="106" t="str">
        <f t="shared" si="1"/>
        <v/>
      </c>
      <c r="Q773" s="107"/>
      <c r="R773" s="108"/>
      <c r="S773" s="103" t="str">
        <f>if(M773,if(and(hour(M773+S$7)&gt;9.5,(hour(M773+S$7)&lt;19.5)),M773+S$7,_xlfn.workday.intl(int(M773),1,"0000001",Holidays!A:A)+hour(M773+S$7-$B$1)/24+minute(M773)/1440),"")</f>
        <v/>
      </c>
      <c r="T773" s="104"/>
      <c r="U773" s="105"/>
      <c r="V773" s="109" t="str">
        <f t="shared" si="2"/>
        <v/>
      </c>
      <c r="W773" s="110" t="str">
        <f t="shared" si="3"/>
        <v/>
      </c>
      <c r="X773" s="103" t="str">
        <f>if(S773,if(and(hour(S773+X$7)&gt;9.5,(hour(S773+X$7)&lt;19.5)),S773+X$7,_xlfn.workday.intl(int(S773),1,"0000001",Holidays!A:A)+hour(S773+X$7-$B$1)/24+minute(S773)/1440),"")</f>
        <v/>
      </c>
      <c r="Y773" s="104"/>
      <c r="Z773" s="105"/>
      <c r="AA773" s="111" t="str">
        <f t="shared" si="4"/>
        <v/>
      </c>
      <c r="AB773" s="110" t="str">
        <f t="shared" si="5"/>
        <v/>
      </c>
      <c r="AC773" s="103" t="str">
        <f>if(X773,_xlfn.WORKDAY.INTL(X773,AC$7,"0000001",Holidays!A:A)+hour(X773)/24+MINUTE(X773)/1440,"")</f>
        <v/>
      </c>
      <c r="AD773" s="104"/>
      <c r="AE773" s="105"/>
      <c r="AF773" s="111" t="str">
        <f t="shared" si="6"/>
        <v/>
      </c>
      <c r="AG773" s="110" t="str">
        <f t="shared" si="7"/>
        <v/>
      </c>
      <c r="AH773" s="103" t="str">
        <f>if(AC773,if(and(hour(AC773+AH$7)&gt;9.5,(hour(AC773+AH$7)&lt;19.5)),AC773+AH$7,_xlfn.workday.intl(int(AC773),1,"0000001",Holidays!A:A)+hour(AC773+AH$7-$B$1)/24+minute(AC773)/1440),"")</f>
        <v/>
      </c>
      <c r="AI773" s="104"/>
      <c r="AJ773" s="105"/>
      <c r="AK773" s="111" t="str">
        <f t="shared" si="8"/>
        <v/>
      </c>
      <c r="AL773" s="112" t="str">
        <f t="shared" si="9"/>
        <v/>
      </c>
      <c r="AM773" s="113"/>
      <c r="AN773" s="291" t="s">
        <v>2540</v>
      </c>
      <c r="AO773" s="115"/>
      <c r="AP773" s="115"/>
      <c r="AQ773" s="115"/>
      <c r="AR773" s="115"/>
      <c r="AS773" s="115"/>
      <c r="AT773" s="115"/>
      <c r="AU773" s="115"/>
      <c r="AV773" s="115"/>
      <c r="AW773" s="115"/>
      <c r="AX773" s="115"/>
      <c r="AY773" s="115"/>
    </row>
    <row r="774">
      <c r="A774" s="95" t="str">
        <f t="shared" si="11"/>
        <v/>
      </c>
      <c r="B774" s="100"/>
      <c r="C774" s="97"/>
      <c r="D774" s="97"/>
      <c r="E774" s="97"/>
      <c r="F774" s="97"/>
      <c r="G774" s="97"/>
      <c r="H774" s="99"/>
      <c r="I774" s="100"/>
      <c r="J774" s="101"/>
      <c r="K774" s="100"/>
      <c r="L774" s="102"/>
      <c r="M774" s="103" t="str">
        <f>if(B774,if(and(hour(B774+M$7)&gt;9.5,(hour(B774+M$7)&lt;19.5)),B774+M$7,_xlfn.workday.intl(int(B774),1,"0000001",Holidays!A:A)+hour(B774+M$7-$B$1)/24+minute(B774)/1440),"")</f>
        <v/>
      </c>
      <c r="N774" s="104"/>
      <c r="O774" s="105"/>
      <c r="P774" s="106" t="str">
        <f t="shared" si="1"/>
        <v/>
      </c>
      <c r="Q774" s="107"/>
      <c r="R774" s="108"/>
      <c r="S774" s="103" t="str">
        <f>if(M774,if(and(hour(M774+S$7)&gt;9.5,(hour(M774+S$7)&lt;19.5)),M774+S$7,_xlfn.workday.intl(int(M774),1,"0000001",Holidays!A:A)+hour(M774+S$7-$B$1)/24+minute(M774)/1440),"")</f>
        <v/>
      </c>
      <c r="T774" s="104"/>
      <c r="U774" s="105"/>
      <c r="V774" s="109" t="str">
        <f t="shared" si="2"/>
        <v/>
      </c>
      <c r="W774" s="110" t="str">
        <f t="shared" si="3"/>
        <v/>
      </c>
      <c r="X774" s="103" t="str">
        <f>if(S774,if(and(hour(S774+X$7)&gt;9.5,(hour(S774+X$7)&lt;19.5)),S774+X$7,_xlfn.workday.intl(int(S774),1,"0000001",Holidays!A:A)+hour(S774+X$7-$B$1)/24+minute(S774)/1440),"")</f>
        <v/>
      </c>
      <c r="Y774" s="104"/>
      <c r="Z774" s="105"/>
      <c r="AA774" s="111" t="str">
        <f t="shared" si="4"/>
        <v/>
      </c>
      <c r="AB774" s="110" t="str">
        <f t="shared" si="5"/>
        <v/>
      </c>
      <c r="AC774" s="103" t="str">
        <f>if(X774,_xlfn.WORKDAY.INTL(X774,AC$7,"0000001",Holidays!A:A)+hour(X774)/24+MINUTE(X774)/1440,"")</f>
        <v/>
      </c>
      <c r="AD774" s="104"/>
      <c r="AE774" s="105"/>
      <c r="AF774" s="111" t="str">
        <f t="shared" si="6"/>
        <v/>
      </c>
      <c r="AG774" s="110" t="str">
        <f t="shared" si="7"/>
        <v/>
      </c>
      <c r="AH774" s="103" t="str">
        <f>if(AC774,if(and(hour(AC774+AH$7)&gt;9.5,(hour(AC774+AH$7)&lt;19.5)),AC774+AH$7,_xlfn.workday.intl(int(AC774),1,"0000001",Holidays!A:A)+hour(AC774+AH$7-$B$1)/24+minute(AC774)/1440),"")</f>
        <v/>
      </c>
      <c r="AI774" s="104"/>
      <c r="AJ774" s="105"/>
      <c r="AK774" s="111" t="str">
        <f t="shared" si="8"/>
        <v/>
      </c>
      <c r="AL774" s="112" t="str">
        <f t="shared" si="9"/>
        <v/>
      </c>
      <c r="AM774" s="113"/>
      <c r="AN774" s="291" t="s">
        <v>2540</v>
      </c>
      <c r="AO774" s="115"/>
      <c r="AP774" s="115"/>
      <c r="AQ774" s="115"/>
      <c r="AR774" s="115"/>
      <c r="AS774" s="115"/>
      <c r="AT774" s="115"/>
      <c r="AU774" s="115"/>
      <c r="AV774" s="115"/>
      <c r="AW774" s="115"/>
      <c r="AX774" s="115"/>
      <c r="AY774" s="115"/>
    </row>
    <row r="775">
      <c r="A775" s="95" t="str">
        <f t="shared" si="11"/>
        <v/>
      </c>
      <c r="B775" s="100"/>
      <c r="C775" s="97"/>
      <c r="D775" s="97"/>
      <c r="E775" s="97"/>
      <c r="F775" s="97"/>
      <c r="G775" s="97"/>
      <c r="H775" s="99"/>
      <c r="I775" s="100"/>
      <c r="J775" s="101"/>
      <c r="K775" s="100"/>
      <c r="L775" s="102"/>
      <c r="M775" s="103" t="str">
        <f>if(B775,if(and(hour(B775+M$7)&gt;9.5,(hour(B775+M$7)&lt;19.5)),B775+M$7,_xlfn.workday.intl(int(B775),1,"0000001",Holidays!A:A)+hour(B775+M$7-$B$1)/24+minute(B775)/1440),"")</f>
        <v/>
      </c>
      <c r="N775" s="104"/>
      <c r="O775" s="105"/>
      <c r="P775" s="106" t="str">
        <f t="shared" si="1"/>
        <v/>
      </c>
      <c r="Q775" s="107"/>
      <c r="R775" s="108"/>
      <c r="S775" s="103" t="str">
        <f>if(M775,if(and(hour(M775+S$7)&gt;9.5,(hour(M775+S$7)&lt;19.5)),M775+S$7,_xlfn.workday.intl(int(M775),1,"0000001",Holidays!A:A)+hour(M775+S$7-$B$1)/24+minute(M775)/1440),"")</f>
        <v/>
      </c>
      <c r="T775" s="104"/>
      <c r="U775" s="105"/>
      <c r="V775" s="109" t="str">
        <f t="shared" si="2"/>
        <v/>
      </c>
      <c r="W775" s="110" t="str">
        <f t="shared" si="3"/>
        <v/>
      </c>
      <c r="X775" s="103" t="str">
        <f>if(S775,if(and(hour(S775+X$7)&gt;9.5,(hour(S775+X$7)&lt;19.5)),S775+X$7,_xlfn.workday.intl(int(S775),1,"0000001",Holidays!A:A)+hour(S775+X$7-$B$1)/24+minute(S775)/1440),"")</f>
        <v/>
      </c>
      <c r="Y775" s="104"/>
      <c r="Z775" s="105"/>
      <c r="AA775" s="111" t="str">
        <f t="shared" si="4"/>
        <v/>
      </c>
      <c r="AB775" s="110" t="str">
        <f t="shared" si="5"/>
        <v/>
      </c>
      <c r="AC775" s="103" t="str">
        <f>if(X775,_xlfn.WORKDAY.INTL(X775,AC$7,"0000001",Holidays!A:A)+hour(X775)/24+MINUTE(X775)/1440,"")</f>
        <v/>
      </c>
      <c r="AD775" s="104"/>
      <c r="AE775" s="105"/>
      <c r="AF775" s="111" t="str">
        <f t="shared" si="6"/>
        <v/>
      </c>
      <c r="AG775" s="110" t="str">
        <f t="shared" si="7"/>
        <v/>
      </c>
      <c r="AH775" s="103" t="str">
        <f>if(AC775,if(and(hour(AC775+AH$7)&gt;9.5,(hour(AC775+AH$7)&lt;19.5)),AC775+AH$7,_xlfn.workday.intl(int(AC775),1,"0000001",Holidays!A:A)+hour(AC775+AH$7-$B$1)/24+minute(AC775)/1440),"")</f>
        <v/>
      </c>
      <c r="AI775" s="104"/>
      <c r="AJ775" s="105"/>
      <c r="AK775" s="111" t="str">
        <f t="shared" si="8"/>
        <v/>
      </c>
      <c r="AL775" s="112" t="str">
        <f t="shared" si="9"/>
        <v/>
      </c>
      <c r="AM775" s="113"/>
      <c r="AN775" s="291" t="s">
        <v>2540</v>
      </c>
      <c r="AO775" s="115"/>
      <c r="AP775" s="115"/>
      <c r="AQ775" s="115"/>
      <c r="AR775" s="115"/>
      <c r="AS775" s="115"/>
      <c r="AT775" s="115"/>
      <c r="AU775" s="115"/>
      <c r="AV775" s="115"/>
      <c r="AW775" s="115"/>
      <c r="AX775" s="115"/>
      <c r="AY775" s="115"/>
    </row>
    <row r="776">
      <c r="A776" s="95" t="str">
        <f t="shared" si="11"/>
        <v/>
      </c>
      <c r="B776" s="100"/>
      <c r="C776" s="97"/>
      <c r="D776" s="97"/>
      <c r="E776" s="97"/>
      <c r="F776" s="97"/>
      <c r="G776" s="97"/>
      <c r="H776" s="99"/>
      <c r="I776" s="100"/>
      <c r="J776" s="101"/>
      <c r="K776" s="100"/>
      <c r="L776" s="102"/>
      <c r="M776" s="103" t="str">
        <f>if(B776,if(and(hour(B776+M$7)&gt;9.5,(hour(B776+M$7)&lt;19.5)),B776+M$7,_xlfn.workday.intl(int(B776),1,"0000001",Holidays!A:A)+hour(B776+M$7-$B$1)/24+minute(B776)/1440),"")</f>
        <v/>
      </c>
      <c r="N776" s="104"/>
      <c r="O776" s="105"/>
      <c r="P776" s="106" t="str">
        <f t="shared" si="1"/>
        <v/>
      </c>
      <c r="Q776" s="107"/>
      <c r="R776" s="108"/>
      <c r="S776" s="103" t="str">
        <f>if(M776,if(and(hour(M776+S$7)&gt;9.5,(hour(M776+S$7)&lt;19.5)),M776+S$7,_xlfn.workday.intl(int(M776),1,"0000001",Holidays!A:A)+hour(M776+S$7-$B$1)/24+minute(M776)/1440),"")</f>
        <v/>
      </c>
      <c r="T776" s="104"/>
      <c r="U776" s="105"/>
      <c r="V776" s="109" t="str">
        <f t="shared" si="2"/>
        <v/>
      </c>
      <c r="W776" s="110" t="str">
        <f t="shared" si="3"/>
        <v/>
      </c>
      <c r="X776" s="103" t="str">
        <f>if(S776,if(and(hour(S776+X$7)&gt;9.5,(hour(S776+X$7)&lt;19.5)),S776+X$7,_xlfn.workday.intl(int(S776),1,"0000001",Holidays!A:A)+hour(S776+X$7-$B$1)/24+minute(S776)/1440),"")</f>
        <v/>
      </c>
      <c r="Y776" s="104"/>
      <c r="Z776" s="105"/>
      <c r="AA776" s="111" t="str">
        <f t="shared" si="4"/>
        <v/>
      </c>
      <c r="AB776" s="110" t="str">
        <f t="shared" si="5"/>
        <v/>
      </c>
      <c r="AC776" s="103" t="str">
        <f>if(X776,_xlfn.WORKDAY.INTL(X776,AC$7,"0000001",Holidays!A:A)+hour(X776)/24+MINUTE(X776)/1440,"")</f>
        <v/>
      </c>
      <c r="AD776" s="104"/>
      <c r="AE776" s="105"/>
      <c r="AF776" s="111" t="str">
        <f t="shared" si="6"/>
        <v/>
      </c>
      <c r="AG776" s="110" t="str">
        <f t="shared" si="7"/>
        <v/>
      </c>
      <c r="AH776" s="103" t="str">
        <f>if(AC776,if(and(hour(AC776+AH$7)&gt;9.5,(hour(AC776+AH$7)&lt;19.5)),AC776+AH$7,_xlfn.workday.intl(int(AC776),1,"0000001",Holidays!A:A)+hour(AC776+AH$7-$B$1)/24+minute(AC776)/1440),"")</f>
        <v/>
      </c>
      <c r="AI776" s="104"/>
      <c r="AJ776" s="105"/>
      <c r="AK776" s="111" t="str">
        <f t="shared" si="8"/>
        <v/>
      </c>
      <c r="AL776" s="112" t="str">
        <f t="shared" si="9"/>
        <v/>
      </c>
      <c r="AM776" s="113"/>
      <c r="AN776" s="291" t="s">
        <v>2540</v>
      </c>
      <c r="AO776" s="115"/>
      <c r="AP776" s="115"/>
      <c r="AQ776" s="115"/>
      <c r="AR776" s="115"/>
      <c r="AS776" s="115"/>
      <c r="AT776" s="115"/>
      <c r="AU776" s="115"/>
      <c r="AV776" s="115"/>
      <c r="AW776" s="115"/>
      <c r="AX776" s="115"/>
      <c r="AY776" s="115"/>
    </row>
    <row r="777">
      <c r="A777" s="95" t="str">
        <f t="shared" si="11"/>
        <v/>
      </c>
      <c r="B777" s="100"/>
      <c r="C777" s="97"/>
      <c r="D777" s="97"/>
      <c r="E777" s="97"/>
      <c r="F777" s="97"/>
      <c r="G777" s="97"/>
      <c r="H777" s="99"/>
      <c r="I777" s="100"/>
      <c r="J777" s="101"/>
      <c r="K777" s="100"/>
      <c r="L777" s="102"/>
      <c r="M777" s="103" t="str">
        <f>if(B777,if(and(hour(B777+M$7)&gt;9.5,(hour(B777+M$7)&lt;19.5)),B777+M$7,_xlfn.workday.intl(int(B777),1,"0000001",Holidays!A:A)+hour(B777+M$7-$B$1)/24+minute(B777)/1440),"")</f>
        <v/>
      </c>
      <c r="N777" s="104"/>
      <c r="O777" s="105"/>
      <c r="P777" s="106" t="str">
        <f t="shared" si="1"/>
        <v/>
      </c>
      <c r="Q777" s="107"/>
      <c r="R777" s="108"/>
      <c r="S777" s="103" t="str">
        <f>if(M777,if(and(hour(M777+S$7)&gt;9.5,(hour(M777+S$7)&lt;19.5)),M777+S$7,_xlfn.workday.intl(int(M777),1,"0000001",Holidays!A:A)+hour(M777+S$7-$B$1)/24+minute(M777)/1440),"")</f>
        <v/>
      </c>
      <c r="T777" s="104"/>
      <c r="U777" s="105"/>
      <c r="V777" s="109" t="str">
        <f t="shared" si="2"/>
        <v/>
      </c>
      <c r="W777" s="110" t="str">
        <f t="shared" si="3"/>
        <v/>
      </c>
      <c r="X777" s="103" t="str">
        <f>if(S777,if(and(hour(S777+X$7)&gt;9.5,(hour(S777+X$7)&lt;19.5)),S777+X$7,_xlfn.workday.intl(int(S777),1,"0000001",Holidays!A:A)+hour(S777+X$7-$B$1)/24+minute(S777)/1440),"")</f>
        <v/>
      </c>
      <c r="Y777" s="104"/>
      <c r="Z777" s="105"/>
      <c r="AA777" s="111" t="str">
        <f t="shared" si="4"/>
        <v/>
      </c>
      <c r="AB777" s="110" t="str">
        <f t="shared" si="5"/>
        <v/>
      </c>
      <c r="AC777" s="103" t="str">
        <f>if(X777,_xlfn.WORKDAY.INTL(X777,AC$7,"0000001",Holidays!A:A)+hour(X777)/24+MINUTE(X777)/1440,"")</f>
        <v/>
      </c>
      <c r="AD777" s="104"/>
      <c r="AE777" s="105"/>
      <c r="AF777" s="111" t="str">
        <f t="shared" si="6"/>
        <v/>
      </c>
      <c r="AG777" s="110" t="str">
        <f t="shared" si="7"/>
        <v/>
      </c>
      <c r="AH777" s="103" t="str">
        <f>if(AC777,if(and(hour(AC777+AH$7)&gt;9.5,(hour(AC777+AH$7)&lt;19.5)),AC777+AH$7,_xlfn.workday.intl(int(AC777),1,"0000001",Holidays!A:A)+hour(AC777+AH$7-$B$1)/24+minute(AC777)/1440),"")</f>
        <v/>
      </c>
      <c r="AI777" s="104"/>
      <c r="AJ777" s="105"/>
      <c r="AK777" s="111" t="str">
        <f t="shared" si="8"/>
        <v/>
      </c>
      <c r="AL777" s="112" t="str">
        <f t="shared" si="9"/>
        <v/>
      </c>
      <c r="AM777" s="113"/>
      <c r="AN777" s="291" t="s">
        <v>2540</v>
      </c>
      <c r="AO777" s="115"/>
      <c r="AP777" s="115"/>
      <c r="AQ777" s="115"/>
      <c r="AR777" s="115"/>
      <c r="AS777" s="115"/>
      <c r="AT777" s="115"/>
      <c r="AU777" s="115"/>
      <c r="AV777" s="115"/>
      <c r="AW777" s="115"/>
      <c r="AX777" s="115"/>
      <c r="AY777" s="115"/>
    </row>
    <row r="778">
      <c r="A778" s="95" t="str">
        <f t="shared" si="11"/>
        <v/>
      </c>
      <c r="B778" s="100"/>
      <c r="C778" s="97"/>
      <c r="D778" s="97"/>
      <c r="E778" s="97"/>
      <c r="F778" s="97"/>
      <c r="G778" s="97"/>
      <c r="H778" s="99"/>
      <c r="I778" s="100"/>
      <c r="J778" s="101"/>
      <c r="K778" s="100"/>
      <c r="L778" s="102"/>
      <c r="M778" s="103" t="str">
        <f>if(B778,if(and(hour(B778+M$7)&gt;9.5,(hour(B778+M$7)&lt;19.5)),B778+M$7,_xlfn.workday.intl(int(B778),1,"0000001",Holidays!A:A)+hour(B778+M$7-$B$1)/24+minute(B778)/1440),"")</f>
        <v/>
      </c>
      <c r="N778" s="104"/>
      <c r="O778" s="105"/>
      <c r="P778" s="106" t="str">
        <f t="shared" si="1"/>
        <v/>
      </c>
      <c r="Q778" s="107"/>
      <c r="R778" s="108"/>
      <c r="S778" s="103" t="str">
        <f>if(M778,if(and(hour(M778+S$7)&gt;9.5,(hour(M778+S$7)&lt;19.5)),M778+S$7,_xlfn.workday.intl(int(M778),1,"0000001",Holidays!A:A)+hour(M778+S$7-$B$1)/24+minute(M778)/1440),"")</f>
        <v/>
      </c>
      <c r="T778" s="104"/>
      <c r="U778" s="105"/>
      <c r="V778" s="109" t="str">
        <f t="shared" si="2"/>
        <v/>
      </c>
      <c r="W778" s="110" t="str">
        <f t="shared" si="3"/>
        <v/>
      </c>
      <c r="X778" s="103" t="str">
        <f>if(S778,if(and(hour(S778+X$7)&gt;9.5,(hour(S778+X$7)&lt;19.5)),S778+X$7,_xlfn.workday.intl(int(S778),1,"0000001",Holidays!A:A)+hour(S778+X$7-$B$1)/24+minute(S778)/1440),"")</f>
        <v/>
      </c>
      <c r="Y778" s="104"/>
      <c r="Z778" s="105"/>
      <c r="AA778" s="111" t="str">
        <f t="shared" si="4"/>
        <v/>
      </c>
      <c r="AB778" s="110" t="str">
        <f t="shared" si="5"/>
        <v/>
      </c>
      <c r="AC778" s="103" t="str">
        <f>if(X778,_xlfn.WORKDAY.INTL(X778,AC$7,"0000001",Holidays!A:A)+hour(X778)/24+MINUTE(X778)/1440,"")</f>
        <v/>
      </c>
      <c r="AD778" s="104"/>
      <c r="AE778" s="105"/>
      <c r="AF778" s="111" t="str">
        <f t="shared" si="6"/>
        <v/>
      </c>
      <c r="AG778" s="110" t="str">
        <f t="shared" si="7"/>
        <v/>
      </c>
      <c r="AH778" s="103" t="str">
        <f>if(AC778,if(and(hour(AC778+AH$7)&gt;9.5,(hour(AC778+AH$7)&lt;19.5)),AC778+AH$7,_xlfn.workday.intl(int(AC778),1,"0000001",Holidays!A:A)+hour(AC778+AH$7-$B$1)/24+minute(AC778)/1440),"")</f>
        <v/>
      </c>
      <c r="AI778" s="104"/>
      <c r="AJ778" s="105"/>
      <c r="AK778" s="111" t="str">
        <f t="shared" si="8"/>
        <v/>
      </c>
      <c r="AL778" s="112" t="str">
        <f t="shared" si="9"/>
        <v/>
      </c>
      <c r="AM778" s="113"/>
      <c r="AN778" s="291" t="s">
        <v>2540</v>
      </c>
      <c r="AO778" s="115"/>
      <c r="AP778" s="115"/>
      <c r="AQ778" s="115"/>
      <c r="AR778" s="115"/>
      <c r="AS778" s="115"/>
      <c r="AT778" s="115"/>
      <c r="AU778" s="115"/>
      <c r="AV778" s="115"/>
      <c r="AW778" s="115"/>
      <c r="AX778" s="115"/>
      <c r="AY778" s="115"/>
    </row>
    <row r="779">
      <c r="A779" s="95" t="str">
        <f t="shared" si="11"/>
        <v/>
      </c>
      <c r="B779" s="100"/>
      <c r="C779" s="97"/>
      <c r="D779" s="97"/>
      <c r="E779" s="97"/>
      <c r="F779" s="97"/>
      <c r="G779" s="97"/>
      <c r="H779" s="99"/>
      <c r="I779" s="100"/>
      <c r="J779" s="101"/>
      <c r="K779" s="100"/>
      <c r="L779" s="102"/>
      <c r="M779" s="103" t="str">
        <f>if(B779,if(and(hour(B779+M$7)&gt;9.5,(hour(B779+M$7)&lt;19.5)),B779+M$7,_xlfn.workday.intl(int(B779),1,"0000001",Holidays!A:A)+hour(B779+M$7-$B$1)/24+minute(B779)/1440),"")</f>
        <v/>
      </c>
      <c r="N779" s="104"/>
      <c r="O779" s="105"/>
      <c r="P779" s="106" t="str">
        <f t="shared" si="1"/>
        <v/>
      </c>
      <c r="Q779" s="107"/>
      <c r="R779" s="108"/>
      <c r="S779" s="103" t="str">
        <f>if(M779,if(and(hour(M779+S$7)&gt;9.5,(hour(M779+S$7)&lt;19.5)),M779+S$7,_xlfn.workday.intl(int(M779),1,"0000001",Holidays!A:A)+hour(M779+S$7-$B$1)/24+minute(M779)/1440),"")</f>
        <v/>
      </c>
      <c r="T779" s="104"/>
      <c r="U779" s="105"/>
      <c r="V779" s="109" t="str">
        <f t="shared" si="2"/>
        <v/>
      </c>
      <c r="W779" s="110" t="str">
        <f t="shared" si="3"/>
        <v/>
      </c>
      <c r="X779" s="103" t="str">
        <f>if(S779,if(and(hour(S779+X$7)&gt;9.5,(hour(S779+X$7)&lt;19.5)),S779+X$7,_xlfn.workday.intl(int(S779),1,"0000001",Holidays!A:A)+hour(S779+X$7-$B$1)/24+minute(S779)/1440),"")</f>
        <v/>
      </c>
      <c r="Y779" s="104"/>
      <c r="Z779" s="105"/>
      <c r="AA779" s="111" t="str">
        <f t="shared" si="4"/>
        <v/>
      </c>
      <c r="AB779" s="110" t="str">
        <f t="shared" si="5"/>
        <v/>
      </c>
      <c r="AC779" s="103" t="str">
        <f>if(X779,_xlfn.WORKDAY.INTL(X779,AC$7,"0000001",Holidays!A:A)+hour(X779)/24+MINUTE(X779)/1440,"")</f>
        <v/>
      </c>
      <c r="AD779" s="104"/>
      <c r="AE779" s="105"/>
      <c r="AF779" s="111" t="str">
        <f t="shared" si="6"/>
        <v/>
      </c>
      <c r="AG779" s="110" t="str">
        <f t="shared" si="7"/>
        <v/>
      </c>
      <c r="AH779" s="103" t="str">
        <f>if(AC779,if(and(hour(AC779+AH$7)&gt;9.5,(hour(AC779+AH$7)&lt;19.5)),AC779+AH$7,_xlfn.workday.intl(int(AC779),1,"0000001",Holidays!A:A)+hour(AC779+AH$7-$B$1)/24+minute(AC779)/1440),"")</f>
        <v/>
      </c>
      <c r="AI779" s="104"/>
      <c r="AJ779" s="105"/>
      <c r="AK779" s="111" t="str">
        <f t="shared" si="8"/>
        <v/>
      </c>
      <c r="AL779" s="112" t="str">
        <f t="shared" si="9"/>
        <v/>
      </c>
      <c r="AM779" s="113"/>
      <c r="AN779" s="291" t="s">
        <v>2540</v>
      </c>
      <c r="AO779" s="115"/>
      <c r="AP779" s="115"/>
      <c r="AQ779" s="115"/>
      <c r="AR779" s="115"/>
      <c r="AS779" s="115"/>
      <c r="AT779" s="115"/>
      <c r="AU779" s="115"/>
      <c r="AV779" s="115"/>
      <c r="AW779" s="115"/>
      <c r="AX779" s="115"/>
      <c r="AY779" s="115"/>
    </row>
    <row r="780">
      <c r="A780" s="95" t="str">
        <f t="shared" si="11"/>
        <v/>
      </c>
      <c r="B780" s="100"/>
      <c r="C780" s="97"/>
      <c r="D780" s="97"/>
      <c r="E780" s="97"/>
      <c r="F780" s="97"/>
      <c r="G780" s="97"/>
      <c r="H780" s="99"/>
      <c r="I780" s="100"/>
      <c r="J780" s="101"/>
      <c r="K780" s="100"/>
      <c r="L780" s="102"/>
      <c r="M780" s="103" t="str">
        <f>if(B780,if(and(hour(B780+M$7)&gt;9.5,(hour(B780+M$7)&lt;19.5)),B780+M$7,_xlfn.workday.intl(int(B780),1,"0000001",Holidays!A:A)+hour(B780+M$7-$B$1)/24+minute(B780)/1440),"")</f>
        <v/>
      </c>
      <c r="N780" s="104"/>
      <c r="O780" s="105"/>
      <c r="P780" s="106" t="str">
        <f t="shared" si="1"/>
        <v/>
      </c>
      <c r="Q780" s="107"/>
      <c r="R780" s="108"/>
      <c r="S780" s="103" t="str">
        <f>if(M780,if(and(hour(M780+S$7)&gt;9.5,(hour(M780+S$7)&lt;19.5)),M780+S$7,_xlfn.workday.intl(int(M780),1,"0000001",Holidays!A:A)+hour(M780+S$7-$B$1)/24+minute(M780)/1440),"")</f>
        <v/>
      </c>
      <c r="T780" s="104"/>
      <c r="U780" s="105"/>
      <c r="V780" s="109" t="str">
        <f t="shared" si="2"/>
        <v/>
      </c>
      <c r="W780" s="110" t="str">
        <f t="shared" si="3"/>
        <v/>
      </c>
      <c r="X780" s="103" t="str">
        <f>if(S780,if(and(hour(S780+X$7)&gt;9.5,(hour(S780+X$7)&lt;19.5)),S780+X$7,_xlfn.workday.intl(int(S780),1,"0000001",Holidays!A:A)+hour(S780+X$7-$B$1)/24+minute(S780)/1440),"")</f>
        <v/>
      </c>
      <c r="Y780" s="104"/>
      <c r="Z780" s="105"/>
      <c r="AA780" s="111" t="str">
        <f t="shared" si="4"/>
        <v/>
      </c>
      <c r="AB780" s="110" t="str">
        <f t="shared" si="5"/>
        <v/>
      </c>
      <c r="AC780" s="103" t="str">
        <f>if(X780,_xlfn.WORKDAY.INTL(X780,AC$7,"0000001",Holidays!A:A)+hour(X780)/24+MINUTE(X780)/1440,"")</f>
        <v/>
      </c>
      <c r="AD780" s="104"/>
      <c r="AE780" s="105"/>
      <c r="AF780" s="111" t="str">
        <f t="shared" si="6"/>
        <v/>
      </c>
      <c r="AG780" s="110" t="str">
        <f t="shared" si="7"/>
        <v/>
      </c>
      <c r="AH780" s="103" t="str">
        <f>if(AC780,if(and(hour(AC780+AH$7)&gt;9.5,(hour(AC780+AH$7)&lt;19.5)),AC780+AH$7,_xlfn.workday.intl(int(AC780),1,"0000001",Holidays!A:A)+hour(AC780+AH$7-$B$1)/24+minute(AC780)/1440),"")</f>
        <v/>
      </c>
      <c r="AI780" s="104"/>
      <c r="AJ780" s="105"/>
      <c r="AK780" s="111" t="str">
        <f t="shared" si="8"/>
        <v/>
      </c>
      <c r="AL780" s="112" t="str">
        <f t="shared" si="9"/>
        <v/>
      </c>
      <c r="AM780" s="113"/>
      <c r="AN780" s="291" t="s">
        <v>2540</v>
      </c>
      <c r="AO780" s="115"/>
      <c r="AP780" s="115"/>
      <c r="AQ780" s="115"/>
      <c r="AR780" s="115"/>
      <c r="AS780" s="115"/>
      <c r="AT780" s="115"/>
      <c r="AU780" s="115"/>
      <c r="AV780" s="115"/>
      <c r="AW780" s="115"/>
      <c r="AX780" s="115"/>
      <c r="AY780" s="115"/>
    </row>
    <row r="781">
      <c r="A781" s="95" t="str">
        <f t="shared" si="11"/>
        <v/>
      </c>
      <c r="B781" s="100"/>
      <c r="C781" s="97"/>
      <c r="D781" s="97"/>
      <c r="E781" s="97"/>
      <c r="F781" s="97"/>
      <c r="G781" s="97"/>
      <c r="H781" s="99"/>
      <c r="I781" s="100"/>
      <c r="J781" s="101"/>
      <c r="K781" s="100"/>
      <c r="L781" s="102"/>
      <c r="M781" s="103" t="str">
        <f>if(B781,if(and(hour(B781+M$7)&gt;9.5,(hour(B781+M$7)&lt;19.5)),B781+M$7,_xlfn.workday.intl(int(B781),1,"0000001",Holidays!A:A)+hour(B781+M$7-$B$1)/24+minute(B781)/1440),"")</f>
        <v/>
      </c>
      <c r="N781" s="104"/>
      <c r="O781" s="105"/>
      <c r="P781" s="106" t="str">
        <f t="shared" si="1"/>
        <v/>
      </c>
      <c r="Q781" s="107"/>
      <c r="R781" s="108"/>
      <c r="S781" s="103" t="str">
        <f>if(M781,if(and(hour(M781+S$7)&gt;9.5,(hour(M781+S$7)&lt;19.5)),M781+S$7,_xlfn.workday.intl(int(M781),1,"0000001",Holidays!A:A)+hour(M781+S$7-$B$1)/24+minute(M781)/1440),"")</f>
        <v/>
      </c>
      <c r="T781" s="104"/>
      <c r="U781" s="105"/>
      <c r="V781" s="109" t="str">
        <f t="shared" si="2"/>
        <v/>
      </c>
      <c r="W781" s="110" t="str">
        <f t="shared" si="3"/>
        <v/>
      </c>
      <c r="X781" s="103" t="str">
        <f>if(S781,if(and(hour(S781+X$7)&gt;9.5,(hour(S781+X$7)&lt;19.5)),S781+X$7,_xlfn.workday.intl(int(S781),1,"0000001",Holidays!A:A)+hour(S781+X$7-$B$1)/24+minute(S781)/1440),"")</f>
        <v/>
      </c>
      <c r="Y781" s="104"/>
      <c r="Z781" s="105"/>
      <c r="AA781" s="111" t="str">
        <f t="shared" si="4"/>
        <v/>
      </c>
      <c r="AB781" s="110" t="str">
        <f t="shared" si="5"/>
        <v/>
      </c>
      <c r="AC781" s="103" t="str">
        <f>if(X781,_xlfn.WORKDAY.INTL(X781,AC$7,"0000001",Holidays!A:A)+hour(X781)/24+MINUTE(X781)/1440,"")</f>
        <v/>
      </c>
      <c r="AD781" s="104"/>
      <c r="AE781" s="105"/>
      <c r="AF781" s="111" t="str">
        <f t="shared" si="6"/>
        <v/>
      </c>
      <c r="AG781" s="110" t="str">
        <f t="shared" si="7"/>
        <v/>
      </c>
      <c r="AH781" s="103" t="str">
        <f>if(AC781,if(and(hour(AC781+AH$7)&gt;9.5,(hour(AC781+AH$7)&lt;19.5)),AC781+AH$7,_xlfn.workday.intl(int(AC781),1,"0000001",Holidays!A:A)+hour(AC781+AH$7-$B$1)/24+minute(AC781)/1440),"")</f>
        <v/>
      </c>
      <c r="AI781" s="104"/>
      <c r="AJ781" s="105"/>
      <c r="AK781" s="111" t="str">
        <f t="shared" si="8"/>
        <v/>
      </c>
      <c r="AL781" s="112" t="str">
        <f t="shared" si="9"/>
        <v/>
      </c>
      <c r="AM781" s="113"/>
      <c r="AN781" s="291" t="s">
        <v>2540</v>
      </c>
      <c r="AO781" s="115"/>
      <c r="AP781" s="115"/>
      <c r="AQ781" s="115"/>
      <c r="AR781" s="115"/>
      <c r="AS781" s="115"/>
      <c r="AT781" s="115"/>
      <c r="AU781" s="115"/>
      <c r="AV781" s="115"/>
      <c r="AW781" s="115"/>
      <c r="AX781" s="115"/>
      <c r="AY781" s="115"/>
    </row>
    <row r="782">
      <c r="A782" s="95" t="str">
        <f t="shared" si="11"/>
        <v/>
      </c>
      <c r="B782" s="100"/>
      <c r="C782" s="97"/>
      <c r="D782" s="97"/>
      <c r="E782" s="97"/>
      <c r="F782" s="97"/>
      <c r="G782" s="97"/>
      <c r="H782" s="99"/>
      <c r="I782" s="100"/>
      <c r="J782" s="101"/>
      <c r="K782" s="100"/>
      <c r="L782" s="102"/>
      <c r="M782" s="103" t="str">
        <f>if(B782,if(and(hour(B782+M$7)&gt;9.5,(hour(B782+M$7)&lt;19.5)),B782+M$7,_xlfn.workday.intl(int(B782),1,"0000001",Holidays!A:A)+hour(B782+M$7-$B$1)/24+minute(B782)/1440),"")</f>
        <v/>
      </c>
      <c r="N782" s="104"/>
      <c r="O782" s="105"/>
      <c r="P782" s="106" t="str">
        <f t="shared" si="1"/>
        <v/>
      </c>
      <c r="Q782" s="107"/>
      <c r="R782" s="108"/>
      <c r="S782" s="103" t="str">
        <f>if(M782,if(and(hour(M782+S$7)&gt;9.5,(hour(M782+S$7)&lt;19.5)),M782+S$7,_xlfn.workday.intl(int(M782),1,"0000001",Holidays!A:A)+hour(M782+S$7-$B$1)/24+minute(M782)/1440),"")</f>
        <v/>
      </c>
      <c r="T782" s="104"/>
      <c r="U782" s="105"/>
      <c r="V782" s="109" t="str">
        <f t="shared" si="2"/>
        <v/>
      </c>
      <c r="W782" s="110" t="str">
        <f t="shared" si="3"/>
        <v/>
      </c>
      <c r="X782" s="103" t="str">
        <f>if(S782,if(and(hour(S782+X$7)&gt;9.5,(hour(S782+X$7)&lt;19.5)),S782+X$7,_xlfn.workday.intl(int(S782),1,"0000001",Holidays!A:A)+hour(S782+X$7-$B$1)/24+minute(S782)/1440),"")</f>
        <v/>
      </c>
      <c r="Y782" s="104"/>
      <c r="Z782" s="105"/>
      <c r="AA782" s="111" t="str">
        <f t="shared" si="4"/>
        <v/>
      </c>
      <c r="AB782" s="110" t="str">
        <f t="shared" si="5"/>
        <v/>
      </c>
      <c r="AC782" s="103" t="str">
        <f>if(X782,_xlfn.WORKDAY.INTL(X782,AC$7,"0000001",Holidays!A:A)+hour(X782)/24+MINUTE(X782)/1440,"")</f>
        <v/>
      </c>
      <c r="AD782" s="104"/>
      <c r="AE782" s="105"/>
      <c r="AF782" s="111" t="str">
        <f t="shared" si="6"/>
        <v/>
      </c>
      <c r="AG782" s="110" t="str">
        <f t="shared" si="7"/>
        <v/>
      </c>
      <c r="AH782" s="103" t="str">
        <f>if(AC782,if(and(hour(AC782+AH$7)&gt;9.5,(hour(AC782+AH$7)&lt;19.5)),AC782+AH$7,_xlfn.workday.intl(int(AC782),1,"0000001",Holidays!A:A)+hour(AC782+AH$7-$B$1)/24+minute(AC782)/1440),"")</f>
        <v/>
      </c>
      <c r="AI782" s="104"/>
      <c r="AJ782" s="105"/>
      <c r="AK782" s="111" t="str">
        <f t="shared" si="8"/>
        <v/>
      </c>
      <c r="AL782" s="112" t="str">
        <f t="shared" si="9"/>
        <v/>
      </c>
      <c r="AM782" s="113"/>
      <c r="AN782" s="291" t="s">
        <v>2540</v>
      </c>
      <c r="AO782" s="115"/>
      <c r="AP782" s="115"/>
      <c r="AQ782" s="115"/>
      <c r="AR782" s="115"/>
      <c r="AS782" s="115"/>
      <c r="AT782" s="115"/>
      <c r="AU782" s="115"/>
      <c r="AV782" s="115"/>
      <c r="AW782" s="115"/>
      <c r="AX782" s="115"/>
      <c r="AY782" s="115"/>
    </row>
    <row r="783">
      <c r="A783" s="95" t="str">
        <f t="shared" si="11"/>
        <v/>
      </c>
      <c r="B783" s="100"/>
      <c r="C783" s="97"/>
      <c r="D783" s="97"/>
      <c r="E783" s="97"/>
      <c r="F783" s="97"/>
      <c r="G783" s="97"/>
      <c r="H783" s="99"/>
      <c r="I783" s="100"/>
      <c r="J783" s="101"/>
      <c r="K783" s="100"/>
      <c r="L783" s="102"/>
      <c r="M783" s="103" t="str">
        <f>if(B783,if(and(hour(B783+M$7)&gt;9.5,(hour(B783+M$7)&lt;19.5)),B783+M$7,_xlfn.workday.intl(int(B783),1,"0000001",Holidays!A:A)+hour(B783+M$7-$B$1)/24+minute(B783)/1440),"")</f>
        <v/>
      </c>
      <c r="N783" s="104"/>
      <c r="O783" s="105"/>
      <c r="P783" s="106" t="str">
        <f t="shared" si="1"/>
        <v/>
      </c>
      <c r="Q783" s="107"/>
      <c r="R783" s="108"/>
      <c r="S783" s="103" t="str">
        <f>if(M783,if(and(hour(M783+S$7)&gt;9.5,(hour(M783+S$7)&lt;19.5)),M783+S$7,_xlfn.workday.intl(int(M783),1,"0000001",Holidays!A:A)+hour(M783+S$7-$B$1)/24+minute(M783)/1440),"")</f>
        <v/>
      </c>
      <c r="T783" s="104"/>
      <c r="U783" s="105"/>
      <c r="V783" s="109" t="str">
        <f t="shared" si="2"/>
        <v/>
      </c>
      <c r="W783" s="110" t="str">
        <f t="shared" si="3"/>
        <v/>
      </c>
      <c r="X783" s="103" t="str">
        <f>if(S783,if(and(hour(S783+X$7)&gt;9.5,(hour(S783+X$7)&lt;19.5)),S783+X$7,_xlfn.workday.intl(int(S783),1,"0000001",Holidays!A:A)+hour(S783+X$7-$B$1)/24+minute(S783)/1440),"")</f>
        <v/>
      </c>
      <c r="Y783" s="104"/>
      <c r="Z783" s="105"/>
      <c r="AA783" s="111" t="str">
        <f t="shared" si="4"/>
        <v/>
      </c>
      <c r="AB783" s="110" t="str">
        <f t="shared" si="5"/>
        <v/>
      </c>
      <c r="AC783" s="103" t="str">
        <f>if(X783,_xlfn.WORKDAY.INTL(X783,AC$7,"0000001",Holidays!A:A)+hour(X783)/24+MINUTE(X783)/1440,"")</f>
        <v/>
      </c>
      <c r="AD783" s="104"/>
      <c r="AE783" s="105"/>
      <c r="AF783" s="111" t="str">
        <f t="shared" si="6"/>
        <v/>
      </c>
      <c r="AG783" s="110" t="str">
        <f t="shared" si="7"/>
        <v/>
      </c>
      <c r="AH783" s="103" t="str">
        <f>if(AC783,if(and(hour(AC783+AH$7)&gt;9.5,(hour(AC783+AH$7)&lt;19.5)),AC783+AH$7,_xlfn.workday.intl(int(AC783),1,"0000001",Holidays!A:A)+hour(AC783+AH$7-$B$1)/24+minute(AC783)/1440),"")</f>
        <v/>
      </c>
      <c r="AI783" s="104"/>
      <c r="AJ783" s="105"/>
      <c r="AK783" s="111" t="str">
        <f t="shared" si="8"/>
        <v/>
      </c>
      <c r="AL783" s="112" t="str">
        <f t="shared" si="9"/>
        <v/>
      </c>
      <c r="AM783" s="113"/>
      <c r="AN783" s="291" t="s">
        <v>2540</v>
      </c>
      <c r="AO783" s="115"/>
      <c r="AP783" s="115"/>
      <c r="AQ783" s="115"/>
      <c r="AR783" s="115"/>
      <c r="AS783" s="115"/>
      <c r="AT783" s="115"/>
      <c r="AU783" s="115"/>
      <c r="AV783" s="115"/>
      <c r="AW783" s="115"/>
      <c r="AX783" s="115"/>
      <c r="AY783" s="115"/>
    </row>
    <row r="784">
      <c r="A784" s="95" t="str">
        <f t="shared" si="11"/>
        <v/>
      </c>
      <c r="B784" s="100"/>
      <c r="C784" s="97"/>
      <c r="D784" s="97"/>
      <c r="E784" s="97"/>
      <c r="F784" s="97"/>
      <c r="G784" s="97"/>
      <c r="H784" s="99"/>
      <c r="I784" s="100"/>
      <c r="J784" s="101"/>
      <c r="K784" s="100"/>
      <c r="L784" s="102"/>
      <c r="M784" s="103" t="str">
        <f>if(B784,if(and(hour(B784+M$7)&gt;9.5,(hour(B784+M$7)&lt;19.5)),B784+M$7,_xlfn.workday.intl(int(B784),1,"0000001",Holidays!A:A)+hour(B784+M$7-$B$1)/24+minute(B784)/1440),"")</f>
        <v/>
      </c>
      <c r="N784" s="104"/>
      <c r="O784" s="105"/>
      <c r="P784" s="106" t="str">
        <f t="shared" si="1"/>
        <v/>
      </c>
      <c r="Q784" s="107"/>
      <c r="R784" s="108"/>
      <c r="S784" s="103" t="str">
        <f>if(M784,if(and(hour(M784+S$7)&gt;9.5,(hour(M784+S$7)&lt;19.5)),M784+S$7,_xlfn.workday.intl(int(M784),1,"0000001",Holidays!A:A)+hour(M784+S$7-$B$1)/24+minute(M784)/1440),"")</f>
        <v/>
      </c>
      <c r="T784" s="104"/>
      <c r="U784" s="105"/>
      <c r="V784" s="109" t="str">
        <f t="shared" si="2"/>
        <v/>
      </c>
      <c r="W784" s="110" t="str">
        <f t="shared" si="3"/>
        <v/>
      </c>
      <c r="X784" s="103" t="str">
        <f>if(S784,if(and(hour(S784+X$7)&gt;9.5,(hour(S784+X$7)&lt;19.5)),S784+X$7,_xlfn.workday.intl(int(S784),1,"0000001",Holidays!A:A)+hour(S784+X$7-$B$1)/24+minute(S784)/1440),"")</f>
        <v/>
      </c>
      <c r="Y784" s="104"/>
      <c r="Z784" s="105"/>
      <c r="AA784" s="111" t="str">
        <f t="shared" si="4"/>
        <v/>
      </c>
      <c r="AB784" s="110" t="str">
        <f t="shared" si="5"/>
        <v/>
      </c>
      <c r="AC784" s="103" t="str">
        <f>if(X784,_xlfn.WORKDAY.INTL(X784,AC$7,"0000001",Holidays!A:A)+hour(X784)/24+MINUTE(X784)/1440,"")</f>
        <v/>
      </c>
      <c r="AD784" s="104"/>
      <c r="AE784" s="105"/>
      <c r="AF784" s="111" t="str">
        <f t="shared" si="6"/>
        <v/>
      </c>
      <c r="AG784" s="110" t="str">
        <f t="shared" si="7"/>
        <v/>
      </c>
      <c r="AH784" s="103" t="str">
        <f>if(AC784,if(and(hour(AC784+AH$7)&gt;9.5,(hour(AC784+AH$7)&lt;19.5)),AC784+AH$7,_xlfn.workday.intl(int(AC784),1,"0000001",Holidays!A:A)+hour(AC784+AH$7-$B$1)/24+minute(AC784)/1440),"")</f>
        <v/>
      </c>
      <c r="AI784" s="104"/>
      <c r="AJ784" s="105"/>
      <c r="AK784" s="111" t="str">
        <f t="shared" si="8"/>
        <v/>
      </c>
      <c r="AL784" s="112" t="str">
        <f t="shared" si="9"/>
        <v/>
      </c>
      <c r="AM784" s="113"/>
      <c r="AN784" s="291" t="s">
        <v>2540</v>
      </c>
      <c r="AO784" s="115"/>
      <c r="AP784" s="115"/>
      <c r="AQ784" s="115"/>
      <c r="AR784" s="115"/>
      <c r="AS784" s="115"/>
      <c r="AT784" s="115"/>
      <c r="AU784" s="115"/>
      <c r="AV784" s="115"/>
      <c r="AW784" s="115"/>
      <c r="AX784" s="115"/>
      <c r="AY784" s="115"/>
    </row>
    <row r="785">
      <c r="A785" s="95" t="str">
        <f t="shared" si="11"/>
        <v/>
      </c>
      <c r="B785" s="100"/>
      <c r="C785" s="97"/>
      <c r="D785" s="97"/>
      <c r="E785" s="97"/>
      <c r="F785" s="97"/>
      <c r="G785" s="97"/>
      <c r="H785" s="99"/>
      <c r="I785" s="100"/>
      <c r="J785" s="101"/>
      <c r="K785" s="100"/>
      <c r="L785" s="102"/>
      <c r="M785" s="103" t="str">
        <f>if(B785,if(and(hour(B785+M$7)&gt;9.5,(hour(B785+M$7)&lt;19.5)),B785+M$7,_xlfn.workday.intl(int(B785),1,"0000001",Holidays!A:A)+hour(B785+M$7-$B$1)/24+minute(B785)/1440),"")</f>
        <v/>
      </c>
      <c r="N785" s="104"/>
      <c r="O785" s="105"/>
      <c r="P785" s="106" t="str">
        <f t="shared" si="1"/>
        <v/>
      </c>
      <c r="Q785" s="107"/>
      <c r="R785" s="108"/>
      <c r="S785" s="103" t="str">
        <f>if(M785,if(and(hour(M785+S$7)&gt;9.5,(hour(M785+S$7)&lt;19.5)),M785+S$7,_xlfn.workday.intl(int(M785),1,"0000001",Holidays!A:A)+hour(M785+S$7-$B$1)/24+minute(M785)/1440),"")</f>
        <v/>
      </c>
      <c r="T785" s="104"/>
      <c r="U785" s="105"/>
      <c r="V785" s="109" t="str">
        <f t="shared" si="2"/>
        <v/>
      </c>
      <c r="W785" s="110" t="str">
        <f t="shared" si="3"/>
        <v/>
      </c>
      <c r="X785" s="103" t="str">
        <f>if(S785,if(and(hour(S785+X$7)&gt;9.5,(hour(S785+X$7)&lt;19.5)),S785+X$7,_xlfn.workday.intl(int(S785),1,"0000001",Holidays!A:A)+hour(S785+X$7-$B$1)/24+minute(S785)/1440),"")</f>
        <v/>
      </c>
      <c r="Y785" s="104"/>
      <c r="Z785" s="105"/>
      <c r="AA785" s="111" t="str">
        <f t="shared" si="4"/>
        <v/>
      </c>
      <c r="AB785" s="110" t="str">
        <f t="shared" si="5"/>
        <v/>
      </c>
      <c r="AC785" s="103" t="str">
        <f>if(X785,_xlfn.WORKDAY.INTL(X785,AC$7,"0000001",Holidays!A:A)+hour(X785)/24+MINUTE(X785)/1440,"")</f>
        <v/>
      </c>
      <c r="AD785" s="104"/>
      <c r="AE785" s="105"/>
      <c r="AF785" s="111" t="str">
        <f t="shared" si="6"/>
        <v/>
      </c>
      <c r="AG785" s="110" t="str">
        <f t="shared" si="7"/>
        <v/>
      </c>
      <c r="AH785" s="103" t="str">
        <f>if(AC785,if(and(hour(AC785+AH$7)&gt;9.5,(hour(AC785+AH$7)&lt;19.5)),AC785+AH$7,_xlfn.workday.intl(int(AC785),1,"0000001",Holidays!A:A)+hour(AC785+AH$7-$B$1)/24+minute(AC785)/1440),"")</f>
        <v/>
      </c>
      <c r="AI785" s="104"/>
      <c r="AJ785" s="105"/>
      <c r="AK785" s="111" t="str">
        <f t="shared" si="8"/>
        <v/>
      </c>
      <c r="AL785" s="112" t="str">
        <f t="shared" si="9"/>
        <v/>
      </c>
      <c r="AM785" s="113"/>
      <c r="AN785" s="291" t="s">
        <v>2540</v>
      </c>
      <c r="AO785" s="115"/>
      <c r="AP785" s="115"/>
      <c r="AQ785" s="115"/>
      <c r="AR785" s="115"/>
      <c r="AS785" s="115"/>
      <c r="AT785" s="115"/>
      <c r="AU785" s="115"/>
      <c r="AV785" s="115"/>
      <c r="AW785" s="115"/>
      <c r="AX785" s="115"/>
      <c r="AY785" s="115"/>
    </row>
    <row r="786">
      <c r="A786" s="95" t="str">
        <f t="shared" si="11"/>
        <v/>
      </c>
      <c r="B786" s="100"/>
      <c r="C786" s="97"/>
      <c r="D786" s="97"/>
      <c r="E786" s="97"/>
      <c r="F786" s="97"/>
      <c r="G786" s="97"/>
      <c r="H786" s="99"/>
      <c r="I786" s="100"/>
      <c r="J786" s="101"/>
      <c r="K786" s="100"/>
      <c r="L786" s="102"/>
      <c r="M786" s="103" t="str">
        <f>if(B786,if(and(hour(B786+M$7)&gt;9.5,(hour(B786+M$7)&lt;19.5)),B786+M$7,_xlfn.workday.intl(int(B786),1,"0000001",Holidays!A:A)+hour(B786+M$7-$B$1)/24+minute(B786)/1440),"")</f>
        <v/>
      </c>
      <c r="N786" s="104"/>
      <c r="O786" s="105"/>
      <c r="P786" s="106" t="str">
        <f t="shared" si="1"/>
        <v/>
      </c>
      <c r="Q786" s="107"/>
      <c r="R786" s="108"/>
      <c r="S786" s="103" t="str">
        <f>if(M786,if(and(hour(M786+S$7)&gt;9.5,(hour(M786+S$7)&lt;19.5)),M786+S$7,_xlfn.workday.intl(int(M786),1,"0000001",Holidays!A:A)+hour(M786+S$7-$B$1)/24+minute(M786)/1440),"")</f>
        <v/>
      </c>
      <c r="T786" s="104"/>
      <c r="U786" s="105"/>
      <c r="V786" s="109" t="str">
        <f t="shared" si="2"/>
        <v/>
      </c>
      <c r="W786" s="110" t="str">
        <f t="shared" si="3"/>
        <v/>
      </c>
      <c r="X786" s="103" t="str">
        <f>if(S786,if(and(hour(S786+X$7)&gt;9.5,(hour(S786+X$7)&lt;19.5)),S786+X$7,_xlfn.workday.intl(int(S786),1,"0000001",Holidays!A:A)+hour(S786+X$7-$B$1)/24+minute(S786)/1440),"")</f>
        <v/>
      </c>
      <c r="Y786" s="104"/>
      <c r="Z786" s="105"/>
      <c r="AA786" s="111" t="str">
        <f t="shared" si="4"/>
        <v/>
      </c>
      <c r="AB786" s="110" t="str">
        <f t="shared" si="5"/>
        <v/>
      </c>
      <c r="AC786" s="103" t="str">
        <f>if(X786,_xlfn.WORKDAY.INTL(X786,AC$7,"0000001",Holidays!A:A)+hour(X786)/24+MINUTE(X786)/1440,"")</f>
        <v/>
      </c>
      <c r="AD786" s="104"/>
      <c r="AE786" s="105"/>
      <c r="AF786" s="111" t="str">
        <f t="shared" si="6"/>
        <v/>
      </c>
      <c r="AG786" s="110" t="str">
        <f t="shared" si="7"/>
        <v/>
      </c>
      <c r="AH786" s="103" t="str">
        <f>if(AC786,if(and(hour(AC786+AH$7)&gt;9.5,(hour(AC786+AH$7)&lt;19.5)),AC786+AH$7,_xlfn.workday.intl(int(AC786),1,"0000001",Holidays!A:A)+hour(AC786+AH$7-$B$1)/24+minute(AC786)/1440),"")</f>
        <v/>
      </c>
      <c r="AI786" s="104"/>
      <c r="AJ786" s="105"/>
      <c r="AK786" s="111" t="str">
        <f t="shared" si="8"/>
        <v/>
      </c>
      <c r="AL786" s="112" t="str">
        <f t="shared" si="9"/>
        <v/>
      </c>
      <c r="AM786" s="113"/>
      <c r="AN786" s="291" t="s">
        <v>2540</v>
      </c>
      <c r="AO786" s="115"/>
      <c r="AP786" s="115"/>
      <c r="AQ786" s="115"/>
      <c r="AR786" s="115"/>
      <c r="AS786" s="115"/>
      <c r="AT786" s="115"/>
      <c r="AU786" s="115"/>
      <c r="AV786" s="115"/>
      <c r="AW786" s="115"/>
      <c r="AX786" s="115"/>
      <c r="AY786" s="115"/>
    </row>
    <row r="787">
      <c r="A787" s="95" t="str">
        <f t="shared" si="11"/>
        <v/>
      </c>
      <c r="B787" s="100"/>
      <c r="C787" s="97"/>
      <c r="D787" s="97"/>
      <c r="E787" s="97"/>
      <c r="F787" s="97"/>
      <c r="G787" s="97"/>
      <c r="H787" s="99"/>
      <c r="I787" s="100"/>
      <c r="J787" s="101"/>
      <c r="K787" s="100"/>
      <c r="L787" s="102"/>
      <c r="M787" s="103" t="str">
        <f>if(B787,if(and(hour(B787+M$7)&gt;9.5,(hour(B787+M$7)&lt;19.5)),B787+M$7,_xlfn.workday.intl(int(B787),1,"0000001",Holidays!A:A)+hour(B787+M$7-$B$1)/24+minute(B787)/1440),"")</f>
        <v/>
      </c>
      <c r="N787" s="104"/>
      <c r="O787" s="105"/>
      <c r="P787" s="106" t="str">
        <f t="shared" si="1"/>
        <v/>
      </c>
      <c r="Q787" s="107"/>
      <c r="R787" s="108"/>
      <c r="S787" s="103" t="str">
        <f>if(M787,if(and(hour(M787+S$7)&gt;9.5,(hour(M787+S$7)&lt;19.5)),M787+S$7,_xlfn.workday.intl(int(M787),1,"0000001",Holidays!A:A)+hour(M787+S$7-$B$1)/24+minute(M787)/1440),"")</f>
        <v/>
      </c>
      <c r="T787" s="104"/>
      <c r="U787" s="105"/>
      <c r="V787" s="109" t="str">
        <f t="shared" si="2"/>
        <v/>
      </c>
      <c r="W787" s="110" t="str">
        <f t="shared" si="3"/>
        <v/>
      </c>
      <c r="X787" s="103" t="str">
        <f>if(S787,if(and(hour(S787+X$7)&gt;9.5,(hour(S787+X$7)&lt;19.5)),S787+X$7,_xlfn.workday.intl(int(S787),1,"0000001",Holidays!A:A)+hour(S787+X$7-$B$1)/24+minute(S787)/1440),"")</f>
        <v/>
      </c>
      <c r="Y787" s="104"/>
      <c r="Z787" s="105"/>
      <c r="AA787" s="111" t="str">
        <f t="shared" si="4"/>
        <v/>
      </c>
      <c r="AB787" s="110" t="str">
        <f t="shared" si="5"/>
        <v/>
      </c>
      <c r="AC787" s="103" t="str">
        <f>if(X787,_xlfn.WORKDAY.INTL(X787,AC$7,"0000001",Holidays!A:A)+hour(X787)/24+MINUTE(X787)/1440,"")</f>
        <v/>
      </c>
      <c r="AD787" s="104"/>
      <c r="AE787" s="105"/>
      <c r="AF787" s="111" t="str">
        <f t="shared" si="6"/>
        <v/>
      </c>
      <c r="AG787" s="110" t="str">
        <f t="shared" si="7"/>
        <v/>
      </c>
      <c r="AH787" s="103" t="str">
        <f>if(AC787,if(and(hour(AC787+AH$7)&gt;9.5,(hour(AC787+AH$7)&lt;19.5)),AC787+AH$7,_xlfn.workday.intl(int(AC787),1,"0000001",Holidays!A:A)+hour(AC787+AH$7-$B$1)/24+minute(AC787)/1440),"")</f>
        <v/>
      </c>
      <c r="AI787" s="104"/>
      <c r="AJ787" s="105"/>
      <c r="AK787" s="111" t="str">
        <f t="shared" si="8"/>
        <v/>
      </c>
      <c r="AL787" s="112" t="str">
        <f t="shared" si="9"/>
        <v/>
      </c>
      <c r="AM787" s="113"/>
      <c r="AN787" s="291" t="s">
        <v>2540</v>
      </c>
      <c r="AO787" s="115"/>
      <c r="AP787" s="115"/>
      <c r="AQ787" s="115"/>
      <c r="AR787" s="115"/>
      <c r="AS787" s="115"/>
      <c r="AT787" s="115"/>
      <c r="AU787" s="115"/>
      <c r="AV787" s="115"/>
      <c r="AW787" s="115"/>
      <c r="AX787" s="115"/>
      <c r="AY787" s="115"/>
    </row>
    <row r="788">
      <c r="A788" s="95" t="str">
        <f t="shared" si="11"/>
        <v/>
      </c>
      <c r="B788" s="100"/>
      <c r="C788" s="97"/>
      <c r="D788" s="97"/>
      <c r="E788" s="97"/>
      <c r="F788" s="97"/>
      <c r="G788" s="97"/>
      <c r="H788" s="99"/>
      <c r="I788" s="100"/>
      <c r="J788" s="101"/>
      <c r="K788" s="100"/>
      <c r="L788" s="102"/>
      <c r="M788" s="103" t="str">
        <f>if(B788,if(and(hour(B788+M$7)&gt;9.5,(hour(B788+M$7)&lt;19.5)),B788+M$7,_xlfn.workday.intl(int(B788),1,"0000001",Holidays!A:A)+hour(B788+M$7-$B$1)/24+minute(B788)/1440),"")</f>
        <v/>
      </c>
      <c r="N788" s="104"/>
      <c r="O788" s="105"/>
      <c r="P788" s="106" t="str">
        <f t="shared" si="1"/>
        <v/>
      </c>
      <c r="Q788" s="107"/>
      <c r="R788" s="108"/>
      <c r="S788" s="103" t="str">
        <f>if(M788,if(and(hour(M788+S$7)&gt;9.5,(hour(M788+S$7)&lt;19.5)),M788+S$7,_xlfn.workday.intl(int(M788),1,"0000001",Holidays!A:A)+hour(M788+S$7-$B$1)/24+minute(M788)/1440),"")</f>
        <v/>
      </c>
      <c r="T788" s="104"/>
      <c r="U788" s="105"/>
      <c r="V788" s="109" t="str">
        <f t="shared" si="2"/>
        <v/>
      </c>
      <c r="W788" s="110" t="str">
        <f t="shared" si="3"/>
        <v/>
      </c>
      <c r="X788" s="103" t="str">
        <f>if(S788,if(and(hour(S788+X$7)&gt;9.5,(hour(S788+X$7)&lt;19.5)),S788+X$7,_xlfn.workday.intl(int(S788),1,"0000001",Holidays!A:A)+hour(S788+X$7-$B$1)/24+minute(S788)/1440),"")</f>
        <v/>
      </c>
      <c r="Y788" s="104"/>
      <c r="Z788" s="105"/>
      <c r="AA788" s="111" t="str">
        <f t="shared" si="4"/>
        <v/>
      </c>
      <c r="AB788" s="110" t="str">
        <f t="shared" si="5"/>
        <v/>
      </c>
      <c r="AC788" s="103" t="str">
        <f>if(X788,_xlfn.WORKDAY.INTL(X788,AC$7,"0000001",Holidays!A:A)+hour(X788)/24+MINUTE(X788)/1440,"")</f>
        <v/>
      </c>
      <c r="AD788" s="104"/>
      <c r="AE788" s="105"/>
      <c r="AF788" s="111" t="str">
        <f t="shared" si="6"/>
        <v/>
      </c>
      <c r="AG788" s="110" t="str">
        <f t="shared" si="7"/>
        <v/>
      </c>
      <c r="AH788" s="103" t="str">
        <f>if(AC788,if(and(hour(AC788+AH$7)&gt;9.5,(hour(AC788+AH$7)&lt;19.5)),AC788+AH$7,_xlfn.workday.intl(int(AC788),1,"0000001",Holidays!A:A)+hour(AC788+AH$7-$B$1)/24+minute(AC788)/1440),"")</f>
        <v/>
      </c>
      <c r="AI788" s="104"/>
      <c r="AJ788" s="105"/>
      <c r="AK788" s="111" t="str">
        <f t="shared" si="8"/>
        <v/>
      </c>
      <c r="AL788" s="112" t="str">
        <f t="shared" si="9"/>
        <v/>
      </c>
      <c r="AM788" s="113"/>
      <c r="AN788" s="291" t="s">
        <v>2540</v>
      </c>
      <c r="AO788" s="115"/>
      <c r="AP788" s="115"/>
      <c r="AQ788" s="115"/>
      <c r="AR788" s="115"/>
      <c r="AS788" s="115"/>
      <c r="AT788" s="115"/>
      <c r="AU788" s="115"/>
      <c r="AV788" s="115"/>
      <c r="AW788" s="115"/>
      <c r="AX788" s="115"/>
      <c r="AY788" s="115"/>
    </row>
    <row r="789">
      <c r="A789" s="95" t="str">
        <f t="shared" si="11"/>
        <v/>
      </c>
      <c r="B789" s="100"/>
      <c r="C789" s="97"/>
      <c r="D789" s="97"/>
      <c r="E789" s="97"/>
      <c r="F789" s="97"/>
      <c r="G789" s="97"/>
      <c r="H789" s="99"/>
      <c r="I789" s="100"/>
      <c r="J789" s="101"/>
      <c r="K789" s="100"/>
      <c r="L789" s="102"/>
      <c r="M789" s="103" t="str">
        <f>if(B789,if(and(hour(B789+M$7)&gt;9.5,(hour(B789+M$7)&lt;19.5)),B789+M$7,_xlfn.workday.intl(int(B789),1,"0000001",Holidays!A:A)+hour(B789+M$7-$B$1)/24+minute(B789)/1440),"")</f>
        <v/>
      </c>
      <c r="N789" s="104"/>
      <c r="O789" s="105"/>
      <c r="P789" s="106" t="str">
        <f t="shared" si="1"/>
        <v/>
      </c>
      <c r="Q789" s="107"/>
      <c r="R789" s="108"/>
      <c r="S789" s="103" t="str">
        <f>if(M789,if(and(hour(M789+S$7)&gt;9.5,(hour(M789+S$7)&lt;19.5)),M789+S$7,_xlfn.workday.intl(int(M789),1,"0000001",Holidays!A:A)+hour(M789+S$7-$B$1)/24+minute(M789)/1440),"")</f>
        <v/>
      </c>
      <c r="T789" s="104"/>
      <c r="U789" s="105"/>
      <c r="V789" s="109" t="str">
        <f t="shared" si="2"/>
        <v/>
      </c>
      <c r="W789" s="110" t="str">
        <f t="shared" si="3"/>
        <v/>
      </c>
      <c r="X789" s="103" t="str">
        <f>if(S789,if(and(hour(S789+X$7)&gt;9.5,(hour(S789+X$7)&lt;19.5)),S789+X$7,_xlfn.workday.intl(int(S789),1,"0000001",Holidays!A:A)+hour(S789+X$7-$B$1)/24+minute(S789)/1440),"")</f>
        <v/>
      </c>
      <c r="Y789" s="104"/>
      <c r="Z789" s="105"/>
      <c r="AA789" s="111" t="str">
        <f t="shared" si="4"/>
        <v/>
      </c>
      <c r="AB789" s="110" t="str">
        <f t="shared" si="5"/>
        <v/>
      </c>
      <c r="AC789" s="103" t="str">
        <f>if(X789,_xlfn.WORKDAY.INTL(X789,AC$7,"0000001",Holidays!A:A)+hour(X789)/24+MINUTE(X789)/1440,"")</f>
        <v/>
      </c>
      <c r="AD789" s="104"/>
      <c r="AE789" s="105"/>
      <c r="AF789" s="111" t="str">
        <f t="shared" si="6"/>
        <v/>
      </c>
      <c r="AG789" s="110" t="str">
        <f t="shared" si="7"/>
        <v/>
      </c>
      <c r="AH789" s="103" t="str">
        <f>if(AC789,if(and(hour(AC789+AH$7)&gt;9.5,(hour(AC789+AH$7)&lt;19.5)),AC789+AH$7,_xlfn.workday.intl(int(AC789),1,"0000001",Holidays!A:A)+hour(AC789+AH$7-$B$1)/24+minute(AC789)/1440),"")</f>
        <v/>
      </c>
      <c r="AI789" s="104"/>
      <c r="AJ789" s="105"/>
      <c r="AK789" s="111" t="str">
        <f t="shared" si="8"/>
        <v/>
      </c>
      <c r="AL789" s="112" t="str">
        <f t="shared" si="9"/>
        <v/>
      </c>
      <c r="AM789" s="113"/>
      <c r="AN789" s="291" t="s">
        <v>2540</v>
      </c>
      <c r="AO789" s="115"/>
      <c r="AP789" s="115"/>
      <c r="AQ789" s="115"/>
      <c r="AR789" s="115"/>
      <c r="AS789" s="115"/>
      <c r="AT789" s="115"/>
      <c r="AU789" s="115"/>
      <c r="AV789" s="115"/>
      <c r="AW789" s="115"/>
      <c r="AX789" s="115"/>
      <c r="AY789" s="115"/>
    </row>
    <row r="790">
      <c r="A790" s="95" t="str">
        <f t="shared" si="11"/>
        <v/>
      </c>
      <c r="B790" s="100"/>
      <c r="C790" s="97"/>
      <c r="D790" s="97"/>
      <c r="E790" s="97"/>
      <c r="F790" s="97"/>
      <c r="G790" s="97"/>
      <c r="H790" s="99"/>
      <c r="I790" s="100"/>
      <c r="J790" s="101"/>
      <c r="K790" s="100"/>
      <c r="L790" s="102"/>
      <c r="M790" s="103" t="str">
        <f>if(B790,if(and(hour(B790+M$7)&gt;9.5,(hour(B790+M$7)&lt;19.5)),B790+M$7,_xlfn.workday.intl(int(B790),1,"0000001",Holidays!A:A)+hour(B790+M$7-$B$1)/24+minute(B790)/1440),"")</f>
        <v/>
      </c>
      <c r="N790" s="104"/>
      <c r="O790" s="105"/>
      <c r="P790" s="106" t="str">
        <f t="shared" si="1"/>
        <v/>
      </c>
      <c r="Q790" s="107"/>
      <c r="R790" s="108"/>
      <c r="S790" s="103" t="str">
        <f>if(M790,if(and(hour(M790+S$7)&gt;9.5,(hour(M790+S$7)&lt;19.5)),M790+S$7,_xlfn.workday.intl(int(M790),1,"0000001",Holidays!A:A)+hour(M790+S$7-$B$1)/24+minute(M790)/1440),"")</f>
        <v/>
      </c>
      <c r="T790" s="104"/>
      <c r="U790" s="105"/>
      <c r="V790" s="109" t="str">
        <f t="shared" si="2"/>
        <v/>
      </c>
      <c r="W790" s="110" t="str">
        <f t="shared" si="3"/>
        <v/>
      </c>
      <c r="X790" s="103" t="str">
        <f>if(S790,if(and(hour(S790+X$7)&gt;9.5,(hour(S790+X$7)&lt;19.5)),S790+X$7,_xlfn.workday.intl(int(S790),1,"0000001",Holidays!A:A)+hour(S790+X$7-$B$1)/24+minute(S790)/1440),"")</f>
        <v/>
      </c>
      <c r="Y790" s="104"/>
      <c r="Z790" s="105"/>
      <c r="AA790" s="111" t="str">
        <f t="shared" si="4"/>
        <v/>
      </c>
      <c r="AB790" s="110" t="str">
        <f t="shared" si="5"/>
        <v/>
      </c>
      <c r="AC790" s="103" t="str">
        <f>if(X790,_xlfn.WORKDAY.INTL(X790,AC$7,"0000001",Holidays!A:A)+hour(X790)/24+MINUTE(X790)/1440,"")</f>
        <v/>
      </c>
      <c r="AD790" s="104"/>
      <c r="AE790" s="105"/>
      <c r="AF790" s="111" t="str">
        <f t="shared" si="6"/>
        <v/>
      </c>
      <c r="AG790" s="110" t="str">
        <f t="shared" si="7"/>
        <v/>
      </c>
      <c r="AH790" s="103" t="str">
        <f>if(AC790,if(and(hour(AC790+AH$7)&gt;9.5,(hour(AC790+AH$7)&lt;19.5)),AC790+AH$7,_xlfn.workday.intl(int(AC790),1,"0000001",Holidays!A:A)+hour(AC790+AH$7-$B$1)/24+minute(AC790)/1440),"")</f>
        <v/>
      </c>
      <c r="AI790" s="104"/>
      <c r="AJ790" s="105"/>
      <c r="AK790" s="111" t="str">
        <f t="shared" si="8"/>
        <v/>
      </c>
      <c r="AL790" s="112" t="str">
        <f t="shared" si="9"/>
        <v/>
      </c>
      <c r="AM790" s="113"/>
      <c r="AN790" s="291" t="s">
        <v>2540</v>
      </c>
      <c r="AO790" s="115"/>
      <c r="AP790" s="115"/>
      <c r="AQ790" s="115"/>
      <c r="AR790" s="115"/>
      <c r="AS790" s="115"/>
      <c r="AT790" s="115"/>
      <c r="AU790" s="115"/>
      <c r="AV790" s="115"/>
      <c r="AW790" s="115"/>
      <c r="AX790" s="115"/>
      <c r="AY790" s="115"/>
    </row>
    <row r="791">
      <c r="A791" s="95" t="str">
        <f t="shared" si="11"/>
        <v/>
      </c>
      <c r="B791" s="100"/>
      <c r="C791" s="97"/>
      <c r="D791" s="97"/>
      <c r="E791" s="97"/>
      <c r="F791" s="97"/>
      <c r="G791" s="97"/>
      <c r="H791" s="99"/>
      <c r="I791" s="100"/>
      <c r="J791" s="101"/>
      <c r="K791" s="100"/>
      <c r="L791" s="102"/>
      <c r="M791" s="103" t="str">
        <f>if(B791,if(and(hour(B791+M$7)&gt;9.5,(hour(B791+M$7)&lt;19.5)),B791+M$7,_xlfn.workday.intl(int(B791),1,"0000001",Holidays!A:A)+hour(B791+M$7-$B$1)/24+minute(B791)/1440),"")</f>
        <v/>
      </c>
      <c r="N791" s="104"/>
      <c r="O791" s="105"/>
      <c r="P791" s="106" t="str">
        <f t="shared" si="1"/>
        <v/>
      </c>
      <c r="Q791" s="107"/>
      <c r="R791" s="108"/>
      <c r="S791" s="103" t="str">
        <f>if(M791,if(and(hour(M791+S$7)&gt;9.5,(hour(M791+S$7)&lt;19.5)),M791+S$7,_xlfn.workday.intl(int(M791),1,"0000001",Holidays!A:A)+hour(M791+S$7-$B$1)/24+minute(M791)/1440),"")</f>
        <v/>
      </c>
      <c r="T791" s="104"/>
      <c r="U791" s="105"/>
      <c r="V791" s="109" t="str">
        <f t="shared" si="2"/>
        <v/>
      </c>
      <c r="W791" s="110" t="str">
        <f t="shared" si="3"/>
        <v/>
      </c>
      <c r="X791" s="103" t="str">
        <f>if(S791,if(and(hour(S791+X$7)&gt;9.5,(hour(S791+X$7)&lt;19.5)),S791+X$7,_xlfn.workday.intl(int(S791),1,"0000001",Holidays!A:A)+hour(S791+X$7-$B$1)/24+minute(S791)/1440),"")</f>
        <v/>
      </c>
      <c r="Y791" s="104"/>
      <c r="Z791" s="105"/>
      <c r="AA791" s="111" t="str">
        <f t="shared" si="4"/>
        <v/>
      </c>
      <c r="AB791" s="110" t="str">
        <f t="shared" si="5"/>
        <v/>
      </c>
      <c r="AC791" s="103" t="str">
        <f>if(X791,_xlfn.WORKDAY.INTL(X791,AC$7,"0000001",Holidays!A:A)+hour(X791)/24+MINUTE(X791)/1440,"")</f>
        <v/>
      </c>
      <c r="AD791" s="104"/>
      <c r="AE791" s="105"/>
      <c r="AF791" s="111" t="str">
        <f t="shared" si="6"/>
        <v/>
      </c>
      <c r="AG791" s="110" t="str">
        <f t="shared" si="7"/>
        <v/>
      </c>
      <c r="AH791" s="103" t="str">
        <f>if(AC791,if(and(hour(AC791+AH$7)&gt;9.5,(hour(AC791+AH$7)&lt;19.5)),AC791+AH$7,_xlfn.workday.intl(int(AC791),1,"0000001",Holidays!A:A)+hour(AC791+AH$7-$B$1)/24+minute(AC791)/1440),"")</f>
        <v/>
      </c>
      <c r="AI791" s="104"/>
      <c r="AJ791" s="105"/>
      <c r="AK791" s="111" t="str">
        <f t="shared" si="8"/>
        <v/>
      </c>
      <c r="AL791" s="112" t="str">
        <f t="shared" si="9"/>
        <v/>
      </c>
      <c r="AM791" s="113"/>
      <c r="AN791" s="291" t="s">
        <v>2540</v>
      </c>
      <c r="AO791" s="115"/>
      <c r="AP791" s="115"/>
      <c r="AQ791" s="115"/>
      <c r="AR791" s="115"/>
      <c r="AS791" s="115"/>
      <c r="AT791" s="115"/>
      <c r="AU791" s="115"/>
      <c r="AV791" s="115"/>
      <c r="AW791" s="115"/>
      <c r="AX791" s="115"/>
      <c r="AY791" s="115"/>
    </row>
    <row r="792">
      <c r="A792" s="95" t="str">
        <f t="shared" si="11"/>
        <v/>
      </c>
      <c r="B792" s="100"/>
      <c r="C792" s="97"/>
      <c r="D792" s="97"/>
      <c r="E792" s="97"/>
      <c r="F792" s="97"/>
      <c r="G792" s="97"/>
      <c r="H792" s="99"/>
      <c r="I792" s="100"/>
      <c r="J792" s="101"/>
      <c r="K792" s="100"/>
      <c r="L792" s="102"/>
      <c r="M792" s="103" t="str">
        <f>if(B792,if(and(hour(B792+M$7)&gt;9.5,(hour(B792+M$7)&lt;19.5)),B792+M$7,_xlfn.workday.intl(int(B792),1,"0000001",Holidays!A:A)+hour(B792+M$7-$B$1)/24+minute(B792)/1440),"")</f>
        <v/>
      </c>
      <c r="N792" s="104"/>
      <c r="O792" s="105"/>
      <c r="P792" s="106" t="str">
        <f t="shared" si="1"/>
        <v/>
      </c>
      <c r="Q792" s="107"/>
      <c r="R792" s="108"/>
      <c r="S792" s="103" t="str">
        <f>if(M792,if(and(hour(M792+S$7)&gt;9.5,(hour(M792+S$7)&lt;19.5)),M792+S$7,_xlfn.workday.intl(int(M792),1,"0000001",Holidays!A:A)+hour(M792+S$7-$B$1)/24+minute(M792)/1440),"")</f>
        <v/>
      </c>
      <c r="T792" s="104"/>
      <c r="U792" s="105"/>
      <c r="V792" s="109" t="str">
        <f t="shared" si="2"/>
        <v/>
      </c>
      <c r="W792" s="110" t="str">
        <f t="shared" si="3"/>
        <v/>
      </c>
      <c r="X792" s="103" t="str">
        <f>if(S792,if(and(hour(S792+X$7)&gt;9.5,(hour(S792+X$7)&lt;19.5)),S792+X$7,_xlfn.workday.intl(int(S792),1,"0000001",Holidays!A:A)+hour(S792+X$7-$B$1)/24+minute(S792)/1440),"")</f>
        <v/>
      </c>
      <c r="Y792" s="104"/>
      <c r="Z792" s="105"/>
      <c r="AA792" s="111" t="str">
        <f t="shared" si="4"/>
        <v/>
      </c>
      <c r="AB792" s="110" t="str">
        <f t="shared" si="5"/>
        <v/>
      </c>
      <c r="AC792" s="103" t="str">
        <f>if(X792,_xlfn.WORKDAY.INTL(X792,AC$7,"0000001",Holidays!A:A)+hour(X792)/24+MINUTE(X792)/1440,"")</f>
        <v/>
      </c>
      <c r="AD792" s="104"/>
      <c r="AE792" s="105"/>
      <c r="AF792" s="111" t="str">
        <f t="shared" si="6"/>
        <v/>
      </c>
      <c r="AG792" s="110" t="str">
        <f t="shared" si="7"/>
        <v/>
      </c>
      <c r="AH792" s="103" t="str">
        <f>if(AC792,if(and(hour(AC792+AH$7)&gt;9.5,(hour(AC792+AH$7)&lt;19.5)),AC792+AH$7,_xlfn.workday.intl(int(AC792),1,"0000001",Holidays!A:A)+hour(AC792+AH$7-$B$1)/24+minute(AC792)/1440),"")</f>
        <v/>
      </c>
      <c r="AI792" s="104"/>
      <c r="AJ792" s="105"/>
      <c r="AK792" s="111" t="str">
        <f t="shared" si="8"/>
        <v/>
      </c>
      <c r="AL792" s="112" t="str">
        <f t="shared" si="9"/>
        <v/>
      </c>
      <c r="AM792" s="113"/>
      <c r="AN792" s="291" t="s">
        <v>2540</v>
      </c>
      <c r="AO792" s="115"/>
      <c r="AP792" s="115"/>
      <c r="AQ792" s="115"/>
      <c r="AR792" s="115"/>
      <c r="AS792" s="115"/>
      <c r="AT792" s="115"/>
      <c r="AU792" s="115"/>
      <c r="AV792" s="115"/>
      <c r="AW792" s="115"/>
      <c r="AX792" s="115"/>
      <c r="AY792" s="115"/>
    </row>
    <row r="793">
      <c r="A793" s="95" t="str">
        <f t="shared" si="11"/>
        <v/>
      </c>
      <c r="B793" s="100"/>
      <c r="C793" s="97"/>
      <c r="D793" s="97"/>
      <c r="E793" s="97"/>
      <c r="F793" s="97"/>
      <c r="G793" s="97"/>
      <c r="H793" s="99"/>
      <c r="I793" s="100"/>
      <c r="J793" s="101"/>
      <c r="K793" s="100"/>
      <c r="L793" s="102"/>
      <c r="M793" s="103" t="str">
        <f>if(B793,if(and(hour(B793+M$7)&gt;9.5,(hour(B793+M$7)&lt;19.5)),B793+M$7,_xlfn.workday.intl(int(B793),1,"0000001",Holidays!A:A)+hour(B793+M$7-$B$1)/24+minute(B793)/1440),"")</f>
        <v/>
      </c>
      <c r="N793" s="104"/>
      <c r="O793" s="105"/>
      <c r="P793" s="106" t="str">
        <f t="shared" si="1"/>
        <v/>
      </c>
      <c r="Q793" s="107"/>
      <c r="R793" s="108"/>
      <c r="S793" s="103" t="str">
        <f>if(M793,if(and(hour(M793+S$7)&gt;9.5,(hour(M793+S$7)&lt;19.5)),M793+S$7,_xlfn.workday.intl(int(M793),1,"0000001",Holidays!A:A)+hour(M793+S$7-$B$1)/24+minute(M793)/1440),"")</f>
        <v/>
      </c>
      <c r="T793" s="104"/>
      <c r="U793" s="105"/>
      <c r="V793" s="109" t="str">
        <f t="shared" si="2"/>
        <v/>
      </c>
      <c r="W793" s="110" t="str">
        <f t="shared" si="3"/>
        <v/>
      </c>
      <c r="X793" s="103" t="str">
        <f>if(S793,if(and(hour(S793+X$7)&gt;9.5,(hour(S793+X$7)&lt;19.5)),S793+X$7,_xlfn.workday.intl(int(S793),1,"0000001",Holidays!A:A)+hour(S793+X$7-$B$1)/24+minute(S793)/1440),"")</f>
        <v/>
      </c>
      <c r="Y793" s="104"/>
      <c r="Z793" s="105"/>
      <c r="AA793" s="111" t="str">
        <f t="shared" si="4"/>
        <v/>
      </c>
      <c r="AB793" s="110" t="str">
        <f t="shared" si="5"/>
        <v/>
      </c>
      <c r="AC793" s="103" t="str">
        <f>if(X793,_xlfn.WORKDAY.INTL(X793,AC$7,"0000001",Holidays!A:A)+hour(X793)/24+MINUTE(X793)/1440,"")</f>
        <v/>
      </c>
      <c r="AD793" s="104"/>
      <c r="AE793" s="105"/>
      <c r="AF793" s="111" t="str">
        <f t="shared" si="6"/>
        <v/>
      </c>
      <c r="AG793" s="110" t="str">
        <f t="shared" si="7"/>
        <v/>
      </c>
      <c r="AH793" s="103" t="str">
        <f>if(AC793,if(and(hour(AC793+AH$7)&gt;9.5,(hour(AC793+AH$7)&lt;19.5)),AC793+AH$7,_xlfn.workday.intl(int(AC793),1,"0000001",Holidays!A:A)+hour(AC793+AH$7-$B$1)/24+minute(AC793)/1440),"")</f>
        <v/>
      </c>
      <c r="AI793" s="104"/>
      <c r="AJ793" s="105"/>
      <c r="AK793" s="111" t="str">
        <f t="shared" si="8"/>
        <v/>
      </c>
      <c r="AL793" s="112" t="str">
        <f t="shared" si="9"/>
        <v/>
      </c>
      <c r="AM793" s="113"/>
      <c r="AN793" s="291" t="s">
        <v>2540</v>
      </c>
      <c r="AO793" s="115"/>
      <c r="AP793" s="115"/>
      <c r="AQ793" s="115"/>
      <c r="AR793" s="115"/>
      <c r="AS793" s="115"/>
      <c r="AT793" s="115"/>
      <c r="AU793" s="115"/>
      <c r="AV793" s="115"/>
      <c r="AW793" s="115"/>
      <c r="AX793" s="115"/>
      <c r="AY793" s="115"/>
    </row>
    <row r="794">
      <c r="A794" s="95" t="str">
        <f t="shared" si="11"/>
        <v/>
      </c>
      <c r="B794" s="100"/>
      <c r="C794" s="97"/>
      <c r="D794" s="97"/>
      <c r="E794" s="97"/>
      <c r="F794" s="97"/>
      <c r="G794" s="97"/>
      <c r="H794" s="99"/>
      <c r="I794" s="100"/>
      <c r="J794" s="101"/>
      <c r="K794" s="100"/>
      <c r="L794" s="102"/>
      <c r="M794" s="103" t="str">
        <f>if(B794,if(and(hour(B794+M$7)&gt;9.5,(hour(B794+M$7)&lt;19.5)),B794+M$7,_xlfn.workday.intl(int(B794),1,"0000001",Holidays!A:A)+hour(B794+M$7-$B$1)/24+minute(B794)/1440),"")</f>
        <v/>
      </c>
      <c r="N794" s="104"/>
      <c r="O794" s="105"/>
      <c r="P794" s="106" t="str">
        <f t="shared" si="1"/>
        <v/>
      </c>
      <c r="Q794" s="107"/>
      <c r="R794" s="108"/>
      <c r="S794" s="103" t="str">
        <f>if(M794,if(and(hour(M794+S$7)&gt;9.5,(hour(M794+S$7)&lt;19.5)),M794+S$7,_xlfn.workday.intl(int(M794),1,"0000001",Holidays!A:A)+hour(M794+S$7-$B$1)/24+minute(M794)/1440),"")</f>
        <v/>
      </c>
      <c r="T794" s="104"/>
      <c r="U794" s="105"/>
      <c r="V794" s="109" t="str">
        <f t="shared" si="2"/>
        <v/>
      </c>
      <c r="W794" s="110" t="str">
        <f t="shared" si="3"/>
        <v/>
      </c>
      <c r="X794" s="103" t="str">
        <f>if(S794,if(and(hour(S794+X$7)&gt;9.5,(hour(S794+X$7)&lt;19.5)),S794+X$7,_xlfn.workday.intl(int(S794),1,"0000001",Holidays!A:A)+hour(S794+X$7-$B$1)/24+minute(S794)/1440),"")</f>
        <v/>
      </c>
      <c r="Y794" s="104"/>
      <c r="Z794" s="105"/>
      <c r="AA794" s="111" t="str">
        <f t="shared" si="4"/>
        <v/>
      </c>
      <c r="AB794" s="110" t="str">
        <f t="shared" si="5"/>
        <v/>
      </c>
      <c r="AC794" s="103" t="str">
        <f>if(X794,_xlfn.WORKDAY.INTL(X794,AC$7,"0000001",Holidays!A:A)+hour(X794)/24+MINUTE(X794)/1440,"")</f>
        <v/>
      </c>
      <c r="AD794" s="104"/>
      <c r="AE794" s="105"/>
      <c r="AF794" s="111" t="str">
        <f t="shared" si="6"/>
        <v/>
      </c>
      <c r="AG794" s="110" t="str">
        <f t="shared" si="7"/>
        <v/>
      </c>
      <c r="AH794" s="103" t="str">
        <f>if(AC794,if(and(hour(AC794+AH$7)&gt;9.5,(hour(AC794+AH$7)&lt;19.5)),AC794+AH$7,_xlfn.workday.intl(int(AC794),1,"0000001",Holidays!A:A)+hour(AC794+AH$7-$B$1)/24+minute(AC794)/1440),"")</f>
        <v/>
      </c>
      <c r="AI794" s="104"/>
      <c r="AJ794" s="105"/>
      <c r="AK794" s="111" t="str">
        <f t="shared" si="8"/>
        <v/>
      </c>
      <c r="AL794" s="112" t="str">
        <f t="shared" si="9"/>
        <v/>
      </c>
      <c r="AM794" s="113"/>
      <c r="AN794" s="291" t="s">
        <v>2540</v>
      </c>
      <c r="AO794" s="115"/>
      <c r="AP794" s="115"/>
      <c r="AQ794" s="115"/>
      <c r="AR794" s="115"/>
      <c r="AS794" s="115"/>
      <c r="AT794" s="115"/>
      <c r="AU794" s="115"/>
      <c r="AV794" s="115"/>
      <c r="AW794" s="115"/>
      <c r="AX794" s="115"/>
      <c r="AY794" s="115"/>
    </row>
    <row r="795">
      <c r="A795" s="95" t="str">
        <f t="shared" si="11"/>
        <v/>
      </c>
      <c r="B795" s="100"/>
      <c r="C795" s="97"/>
      <c r="D795" s="97"/>
      <c r="E795" s="97"/>
      <c r="F795" s="97"/>
      <c r="G795" s="97"/>
      <c r="H795" s="99"/>
      <c r="I795" s="100"/>
      <c r="J795" s="101"/>
      <c r="K795" s="100"/>
      <c r="L795" s="102"/>
      <c r="M795" s="103" t="str">
        <f>if(B795,if(and(hour(B795+M$7)&gt;9.5,(hour(B795+M$7)&lt;19.5)),B795+M$7,_xlfn.workday.intl(int(B795),1,"0000001",Holidays!A:A)+hour(B795+M$7-$B$1)/24+minute(B795)/1440),"")</f>
        <v/>
      </c>
      <c r="N795" s="104"/>
      <c r="O795" s="105"/>
      <c r="P795" s="106" t="str">
        <f t="shared" si="1"/>
        <v/>
      </c>
      <c r="Q795" s="107"/>
      <c r="R795" s="108"/>
      <c r="S795" s="103" t="str">
        <f>if(M795,if(and(hour(M795+S$7)&gt;9.5,(hour(M795+S$7)&lt;19.5)),M795+S$7,_xlfn.workday.intl(int(M795),1,"0000001",Holidays!A:A)+hour(M795+S$7-$B$1)/24+minute(M795)/1440),"")</f>
        <v/>
      </c>
      <c r="T795" s="104"/>
      <c r="U795" s="105"/>
      <c r="V795" s="109" t="str">
        <f t="shared" si="2"/>
        <v/>
      </c>
      <c r="W795" s="110" t="str">
        <f t="shared" si="3"/>
        <v/>
      </c>
      <c r="X795" s="103" t="str">
        <f>if(S795,if(and(hour(S795+X$7)&gt;9.5,(hour(S795+X$7)&lt;19.5)),S795+X$7,_xlfn.workday.intl(int(S795),1,"0000001",Holidays!A:A)+hour(S795+X$7-$B$1)/24+minute(S795)/1440),"")</f>
        <v/>
      </c>
      <c r="Y795" s="104"/>
      <c r="Z795" s="105"/>
      <c r="AA795" s="111" t="str">
        <f t="shared" si="4"/>
        <v/>
      </c>
      <c r="AB795" s="110" t="str">
        <f t="shared" si="5"/>
        <v/>
      </c>
      <c r="AC795" s="103" t="str">
        <f>if(X795,_xlfn.WORKDAY.INTL(X795,AC$7,"0000001",Holidays!A:A)+hour(X795)/24+MINUTE(X795)/1440,"")</f>
        <v/>
      </c>
      <c r="AD795" s="104"/>
      <c r="AE795" s="105"/>
      <c r="AF795" s="111" t="str">
        <f t="shared" si="6"/>
        <v/>
      </c>
      <c r="AG795" s="110" t="str">
        <f t="shared" si="7"/>
        <v/>
      </c>
      <c r="AH795" s="103" t="str">
        <f>if(AC795,if(and(hour(AC795+AH$7)&gt;9.5,(hour(AC795+AH$7)&lt;19.5)),AC795+AH$7,_xlfn.workday.intl(int(AC795),1,"0000001",Holidays!A:A)+hour(AC795+AH$7-$B$1)/24+minute(AC795)/1440),"")</f>
        <v/>
      </c>
      <c r="AI795" s="104"/>
      <c r="AJ795" s="105"/>
      <c r="AK795" s="111" t="str">
        <f t="shared" si="8"/>
        <v/>
      </c>
      <c r="AL795" s="112" t="str">
        <f t="shared" si="9"/>
        <v/>
      </c>
      <c r="AM795" s="113"/>
      <c r="AN795" s="291" t="s">
        <v>2540</v>
      </c>
      <c r="AO795" s="115"/>
      <c r="AP795" s="115"/>
      <c r="AQ795" s="115"/>
      <c r="AR795" s="115"/>
      <c r="AS795" s="115"/>
      <c r="AT795" s="115"/>
      <c r="AU795" s="115"/>
      <c r="AV795" s="115"/>
      <c r="AW795" s="115"/>
      <c r="AX795" s="115"/>
      <c r="AY795" s="115"/>
    </row>
    <row r="796">
      <c r="A796" s="95" t="str">
        <f t="shared" si="11"/>
        <v/>
      </c>
      <c r="B796" s="100"/>
      <c r="C796" s="97"/>
      <c r="D796" s="97"/>
      <c r="E796" s="97"/>
      <c r="F796" s="97"/>
      <c r="G796" s="97"/>
      <c r="H796" s="99"/>
      <c r="I796" s="100"/>
      <c r="J796" s="101"/>
      <c r="K796" s="100"/>
      <c r="L796" s="102"/>
      <c r="M796" s="103" t="str">
        <f>if(B796,if(and(hour(B796+M$7)&gt;9.5,(hour(B796+M$7)&lt;19.5)),B796+M$7,_xlfn.workday.intl(int(B796),1,"0000001",Holidays!A:A)+hour(B796+M$7-$B$1)/24+minute(B796)/1440),"")</f>
        <v/>
      </c>
      <c r="N796" s="104"/>
      <c r="O796" s="105"/>
      <c r="P796" s="106" t="str">
        <f t="shared" si="1"/>
        <v/>
      </c>
      <c r="Q796" s="107"/>
      <c r="R796" s="108"/>
      <c r="S796" s="103" t="str">
        <f>if(M796,if(and(hour(M796+S$7)&gt;9.5,(hour(M796+S$7)&lt;19.5)),M796+S$7,_xlfn.workday.intl(int(M796),1,"0000001",Holidays!A:A)+hour(M796+S$7-$B$1)/24+minute(M796)/1440),"")</f>
        <v/>
      </c>
      <c r="T796" s="104"/>
      <c r="U796" s="105"/>
      <c r="V796" s="109" t="str">
        <f t="shared" si="2"/>
        <v/>
      </c>
      <c r="W796" s="110" t="str">
        <f t="shared" si="3"/>
        <v/>
      </c>
      <c r="X796" s="103" t="str">
        <f>if(S796,if(and(hour(S796+X$7)&gt;9.5,(hour(S796+X$7)&lt;19.5)),S796+X$7,_xlfn.workday.intl(int(S796),1,"0000001",Holidays!A:A)+hour(S796+X$7-$B$1)/24+minute(S796)/1440),"")</f>
        <v/>
      </c>
      <c r="Y796" s="104"/>
      <c r="Z796" s="105"/>
      <c r="AA796" s="111" t="str">
        <f t="shared" si="4"/>
        <v/>
      </c>
      <c r="AB796" s="110" t="str">
        <f t="shared" si="5"/>
        <v/>
      </c>
      <c r="AC796" s="103" t="str">
        <f>if(X796,_xlfn.WORKDAY.INTL(X796,AC$7,"0000001",Holidays!A:A)+hour(X796)/24+MINUTE(X796)/1440,"")</f>
        <v/>
      </c>
      <c r="AD796" s="104"/>
      <c r="AE796" s="105"/>
      <c r="AF796" s="111" t="str">
        <f t="shared" si="6"/>
        <v/>
      </c>
      <c r="AG796" s="110" t="str">
        <f t="shared" si="7"/>
        <v/>
      </c>
      <c r="AH796" s="103" t="str">
        <f>if(AC796,if(and(hour(AC796+AH$7)&gt;9.5,(hour(AC796+AH$7)&lt;19.5)),AC796+AH$7,_xlfn.workday.intl(int(AC796),1,"0000001",Holidays!A:A)+hour(AC796+AH$7-$B$1)/24+minute(AC796)/1440),"")</f>
        <v/>
      </c>
      <c r="AI796" s="104"/>
      <c r="AJ796" s="105"/>
      <c r="AK796" s="111" t="str">
        <f t="shared" si="8"/>
        <v/>
      </c>
      <c r="AL796" s="112" t="str">
        <f t="shared" si="9"/>
        <v/>
      </c>
      <c r="AM796" s="113"/>
      <c r="AN796" s="291" t="s">
        <v>2540</v>
      </c>
      <c r="AO796" s="115"/>
      <c r="AP796" s="115"/>
      <c r="AQ796" s="115"/>
      <c r="AR796" s="115"/>
      <c r="AS796" s="115"/>
      <c r="AT796" s="115"/>
      <c r="AU796" s="115"/>
      <c r="AV796" s="115"/>
      <c r="AW796" s="115"/>
      <c r="AX796" s="115"/>
      <c r="AY796" s="115"/>
    </row>
    <row r="797">
      <c r="A797" s="95" t="str">
        <f t="shared" si="11"/>
        <v/>
      </c>
      <c r="B797" s="100"/>
      <c r="C797" s="97"/>
      <c r="D797" s="97"/>
      <c r="E797" s="97"/>
      <c r="F797" s="97"/>
      <c r="G797" s="97"/>
      <c r="H797" s="99"/>
      <c r="I797" s="100"/>
      <c r="J797" s="101"/>
      <c r="K797" s="100"/>
      <c r="L797" s="102"/>
      <c r="M797" s="103" t="str">
        <f>if(B797,if(and(hour(B797+M$7)&gt;9.5,(hour(B797+M$7)&lt;19.5)),B797+M$7,_xlfn.workday.intl(int(B797),1,"0000001",Holidays!A:A)+hour(B797+M$7-$B$1)/24+minute(B797)/1440),"")</f>
        <v/>
      </c>
      <c r="N797" s="104"/>
      <c r="O797" s="105"/>
      <c r="P797" s="106" t="str">
        <f t="shared" si="1"/>
        <v/>
      </c>
      <c r="Q797" s="107"/>
      <c r="R797" s="108"/>
      <c r="S797" s="103" t="str">
        <f>if(M797,if(and(hour(M797+S$7)&gt;9.5,(hour(M797+S$7)&lt;19.5)),M797+S$7,_xlfn.workday.intl(int(M797),1,"0000001",Holidays!A:A)+hour(M797+S$7-$B$1)/24+minute(M797)/1440),"")</f>
        <v/>
      </c>
      <c r="T797" s="104"/>
      <c r="U797" s="105"/>
      <c r="V797" s="109" t="str">
        <f t="shared" si="2"/>
        <v/>
      </c>
      <c r="W797" s="110" t="str">
        <f t="shared" si="3"/>
        <v/>
      </c>
      <c r="X797" s="103" t="str">
        <f>if(S797,if(and(hour(S797+X$7)&gt;9.5,(hour(S797+X$7)&lt;19.5)),S797+X$7,_xlfn.workday.intl(int(S797),1,"0000001",Holidays!A:A)+hour(S797+X$7-$B$1)/24+minute(S797)/1440),"")</f>
        <v/>
      </c>
      <c r="Y797" s="104"/>
      <c r="Z797" s="105"/>
      <c r="AA797" s="111" t="str">
        <f t="shared" si="4"/>
        <v/>
      </c>
      <c r="AB797" s="110" t="str">
        <f t="shared" si="5"/>
        <v/>
      </c>
      <c r="AC797" s="103" t="str">
        <f>if(X797,_xlfn.WORKDAY.INTL(X797,AC$7,"0000001",Holidays!A:A)+hour(X797)/24+MINUTE(X797)/1440,"")</f>
        <v/>
      </c>
      <c r="AD797" s="104"/>
      <c r="AE797" s="105"/>
      <c r="AF797" s="111" t="str">
        <f t="shared" si="6"/>
        <v/>
      </c>
      <c r="AG797" s="110" t="str">
        <f t="shared" si="7"/>
        <v/>
      </c>
      <c r="AH797" s="103" t="str">
        <f>if(AC797,if(and(hour(AC797+AH$7)&gt;9.5,(hour(AC797+AH$7)&lt;19.5)),AC797+AH$7,_xlfn.workday.intl(int(AC797),1,"0000001",Holidays!A:A)+hour(AC797+AH$7-$B$1)/24+minute(AC797)/1440),"")</f>
        <v/>
      </c>
      <c r="AI797" s="104"/>
      <c r="AJ797" s="105"/>
      <c r="AK797" s="111" t="str">
        <f t="shared" si="8"/>
        <v/>
      </c>
      <c r="AL797" s="112" t="str">
        <f t="shared" si="9"/>
        <v/>
      </c>
      <c r="AM797" s="113"/>
      <c r="AN797" s="291" t="s">
        <v>2540</v>
      </c>
      <c r="AO797" s="115"/>
      <c r="AP797" s="115"/>
      <c r="AQ797" s="115"/>
      <c r="AR797" s="115"/>
      <c r="AS797" s="115"/>
      <c r="AT797" s="115"/>
      <c r="AU797" s="115"/>
      <c r="AV797" s="115"/>
      <c r="AW797" s="115"/>
      <c r="AX797" s="115"/>
      <c r="AY797" s="115"/>
    </row>
    <row r="798">
      <c r="A798" s="95" t="str">
        <f t="shared" si="11"/>
        <v/>
      </c>
      <c r="B798" s="100"/>
      <c r="C798" s="97"/>
      <c r="D798" s="97"/>
      <c r="E798" s="97"/>
      <c r="F798" s="97"/>
      <c r="G798" s="97"/>
      <c r="H798" s="99"/>
      <c r="I798" s="100"/>
      <c r="J798" s="101"/>
      <c r="K798" s="100"/>
      <c r="L798" s="102"/>
      <c r="M798" s="103" t="str">
        <f>if(B798,if(and(hour(B798+M$7)&gt;9.5,(hour(B798+M$7)&lt;19.5)),B798+M$7,_xlfn.workday.intl(int(B798),1,"0000001",Holidays!A:A)+hour(B798+M$7-$B$1)/24+minute(B798)/1440),"")</f>
        <v/>
      </c>
      <c r="N798" s="104"/>
      <c r="O798" s="105"/>
      <c r="P798" s="106" t="str">
        <f t="shared" si="1"/>
        <v/>
      </c>
      <c r="Q798" s="107"/>
      <c r="R798" s="108"/>
      <c r="S798" s="103" t="str">
        <f>if(M798,if(and(hour(M798+S$7)&gt;9.5,(hour(M798+S$7)&lt;19.5)),M798+S$7,_xlfn.workday.intl(int(M798),1,"0000001",Holidays!A:A)+hour(M798+S$7-$B$1)/24+minute(M798)/1440),"")</f>
        <v/>
      </c>
      <c r="T798" s="104"/>
      <c r="U798" s="105"/>
      <c r="V798" s="109" t="str">
        <f t="shared" si="2"/>
        <v/>
      </c>
      <c r="W798" s="110" t="str">
        <f t="shared" si="3"/>
        <v/>
      </c>
      <c r="X798" s="103" t="str">
        <f>if(S798,if(and(hour(S798+X$7)&gt;9.5,(hour(S798+X$7)&lt;19.5)),S798+X$7,_xlfn.workday.intl(int(S798),1,"0000001",Holidays!A:A)+hour(S798+X$7-$B$1)/24+minute(S798)/1440),"")</f>
        <v/>
      </c>
      <c r="Y798" s="104"/>
      <c r="Z798" s="105"/>
      <c r="AA798" s="111" t="str">
        <f t="shared" si="4"/>
        <v/>
      </c>
      <c r="AB798" s="110" t="str">
        <f t="shared" si="5"/>
        <v/>
      </c>
      <c r="AC798" s="103" t="str">
        <f>if(X798,_xlfn.WORKDAY.INTL(X798,AC$7,"0000001",Holidays!A:A)+hour(X798)/24+MINUTE(X798)/1440,"")</f>
        <v/>
      </c>
      <c r="AD798" s="104"/>
      <c r="AE798" s="105"/>
      <c r="AF798" s="111" t="str">
        <f t="shared" si="6"/>
        <v/>
      </c>
      <c r="AG798" s="110" t="str">
        <f t="shared" si="7"/>
        <v/>
      </c>
      <c r="AH798" s="103" t="str">
        <f>if(AC798,if(and(hour(AC798+AH$7)&gt;9.5,(hour(AC798+AH$7)&lt;19.5)),AC798+AH$7,_xlfn.workday.intl(int(AC798),1,"0000001",Holidays!A:A)+hour(AC798+AH$7-$B$1)/24+minute(AC798)/1440),"")</f>
        <v/>
      </c>
      <c r="AI798" s="104"/>
      <c r="AJ798" s="105"/>
      <c r="AK798" s="111" t="str">
        <f t="shared" si="8"/>
        <v/>
      </c>
      <c r="AL798" s="112" t="str">
        <f t="shared" si="9"/>
        <v/>
      </c>
      <c r="AM798" s="113"/>
      <c r="AN798" s="291" t="s">
        <v>2540</v>
      </c>
      <c r="AO798" s="115"/>
      <c r="AP798" s="115"/>
      <c r="AQ798" s="115"/>
      <c r="AR798" s="115"/>
      <c r="AS798" s="115"/>
      <c r="AT798" s="115"/>
      <c r="AU798" s="115"/>
      <c r="AV798" s="115"/>
      <c r="AW798" s="115"/>
      <c r="AX798" s="115"/>
      <c r="AY798" s="115"/>
    </row>
    <row r="799">
      <c r="A799" s="95" t="str">
        <f t="shared" si="11"/>
        <v/>
      </c>
      <c r="B799" s="100"/>
      <c r="C799" s="97"/>
      <c r="D799" s="97"/>
      <c r="E799" s="97"/>
      <c r="F799" s="97"/>
      <c r="G799" s="97"/>
      <c r="H799" s="99"/>
      <c r="I799" s="100"/>
      <c r="J799" s="101"/>
      <c r="K799" s="100"/>
      <c r="L799" s="102"/>
      <c r="M799" s="103" t="str">
        <f>if(B799,if(and(hour(B799+M$7)&gt;9.5,(hour(B799+M$7)&lt;19.5)),B799+M$7,_xlfn.workday.intl(int(B799),1,"0000001",Holidays!A:A)+hour(B799+M$7-$B$1)/24+minute(B799)/1440),"")</f>
        <v/>
      </c>
      <c r="N799" s="104"/>
      <c r="O799" s="105"/>
      <c r="P799" s="106" t="str">
        <f t="shared" si="1"/>
        <v/>
      </c>
      <c r="Q799" s="107"/>
      <c r="R799" s="108"/>
      <c r="S799" s="103" t="str">
        <f>if(M799,if(and(hour(M799+S$7)&gt;9.5,(hour(M799+S$7)&lt;19.5)),M799+S$7,_xlfn.workday.intl(int(M799),1,"0000001",Holidays!A:A)+hour(M799+S$7-$B$1)/24+minute(M799)/1440),"")</f>
        <v/>
      </c>
      <c r="T799" s="104"/>
      <c r="U799" s="105"/>
      <c r="V799" s="109" t="str">
        <f t="shared" si="2"/>
        <v/>
      </c>
      <c r="W799" s="110" t="str">
        <f t="shared" si="3"/>
        <v/>
      </c>
      <c r="X799" s="103" t="str">
        <f>if(S799,if(and(hour(S799+X$7)&gt;9.5,(hour(S799+X$7)&lt;19.5)),S799+X$7,_xlfn.workday.intl(int(S799),1,"0000001",Holidays!A:A)+hour(S799+X$7-$B$1)/24+minute(S799)/1440),"")</f>
        <v/>
      </c>
      <c r="Y799" s="104"/>
      <c r="Z799" s="105"/>
      <c r="AA799" s="111" t="str">
        <f t="shared" si="4"/>
        <v/>
      </c>
      <c r="AB799" s="110" t="str">
        <f t="shared" si="5"/>
        <v/>
      </c>
      <c r="AC799" s="103" t="str">
        <f>if(X799,_xlfn.WORKDAY.INTL(X799,AC$7,"0000001",Holidays!A:A)+hour(X799)/24+MINUTE(X799)/1440,"")</f>
        <v/>
      </c>
      <c r="AD799" s="104"/>
      <c r="AE799" s="105"/>
      <c r="AF799" s="111" t="str">
        <f t="shared" si="6"/>
        <v/>
      </c>
      <c r="AG799" s="110" t="str">
        <f t="shared" si="7"/>
        <v/>
      </c>
      <c r="AH799" s="103" t="str">
        <f>if(AC799,if(and(hour(AC799+AH$7)&gt;9.5,(hour(AC799+AH$7)&lt;19.5)),AC799+AH$7,_xlfn.workday.intl(int(AC799),1,"0000001",Holidays!A:A)+hour(AC799+AH$7-$B$1)/24+minute(AC799)/1440),"")</f>
        <v/>
      </c>
      <c r="AI799" s="104"/>
      <c r="AJ799" s="105"/>
      <c r="AK799" s="111" t="str">
        <f t="shared" si="8"/>
        <v/>
      </c>
      <c r="AL799" s="112" t="str">
        <f t="shared" si="9"/>
        <v/>
      </c>
      <c r="AM799" s="113"/>
      <c r="AN799" s="291" t="s">
        <v>2540</v>
      </c>
      <c r="AO799" s="115"/>
      <c r="AP799" s="115"/>
      <c r="AQ799" s="115"/>
      <c r="AR799" s="115"/>
      <c r="AS799" s="115"/>
      <c r="AT799" s="115"/>
      <c r="AU799" s="115"/>
      <c r="AV799" s="115"/>
      <c r="AW799" s="115"/>
      <c r="AX799" s="115"/>
      <c r="AY799" s="115"/>
    </row>
    <row r="800">
      <c r="A800" s="95" t="str">
        <f t="shared" si="11"/>
        <v/>
      </c>
      <c r="B800" s="100"/>
      <c r="C800" s="97"/>
      <c r="D800" s="97"/>
      <c r="E800" s="97"/>
      <c r="F800" s="97"/>
      <c r="G800" s="97"/>
      <c r="H800" s="99"/>
      <c r="I800" s="100"/>
      <c r="J800" s="101"/>
      <c r="K800" s="100"/>
      <c r="L800" s="102"/>
      <c r="M800" s="103" t="str">
        <f>if(B800,if(and(hour(B800+M$7)&gt;9.5,(hour(B800+M$7)&lt;19.5)),B800+M$7,_xlfn.workday.intl(int(B800),1,"0000001",Holidays!A:A)+hour(B800+M$7-$B$1)/24+minute(B800)/1440),"")</f>
        <v/>
      </c>
      <c r="N800" s="104"/>
      <c r="O800" s="105"/>
      <c r="P800" s="106" t="str">
        <f t="shared" si="1"/>
        <v/>
      </c>
      <c r="Q800" s="107"/>
      <c r="R800" s="108"/>
      <c r="S800" s="103" t="str">
        <f>if(M800,if(and(hour(M800+S$7)&gt;9.5,(hour(M800+S$7)&lt;19.5)),M800+S$7,_xlfn.workday.intl(int(M800),1,"0000001",Holidays!A:A)+hour(M800+S$7-$B$1)/24+minute(M800)/1440),"")</f>
        <v/>
      </c>
      <c r="T800" s="104"/>
      <c r="U800" s="105"/>
      <c r="V800" s="109" t="str">
        <f t="shared" si="2"/>
        <v/>
      </c>
      <c r="W800" s="110" t="str">
        <f t="shared" si="3"/>
        <v/>
      </c>
      <c r="X800" s="103" t="str">
        <f>if(S800,if(and(hour(S800+X$7)&gt;9.5,(hour(S800+X$7)&lt;19.5)),S800+X$7,_xlfn.workday.intl(int(S800),1,"0000001",Holidays!A:A)+hour(S800+X$7-$B$1)/24+minute(S800)/1440),"")</f>
        <v/>
      </c>
      <c r="Y800" s="104"/>
      <c r="Z800" s="105"/>
      <c r="AA800" s="111" t="str">
        <f t="shared" si="4"/>
        <v/>
      </c>
      <c r="AB800" s="110" t="str">
        <f t="shared" si="5"/>
        <v/>
      </c>
      <c r="AC800" s="103" t="str">
        <f>if(X800,_xlfn.WORKDAY.INTL(X800,AC$7,"0000001",Holidays!A:A)+hour(X800)/24+MINUTE(X800)/1440,"")</f>
        <v/>
      </c>
      <c r="AD800" s="104"/>
      <c r="AE800" s="105"/>
      <c r="AF800" s="111" t="str">
        <f t="shared" si="6"/>
        <v/>
      </c>
      <c r="AG800" s="110" t="str">
        <f t="shared" si="7"/>
        <v/>
      </c>
      <c r="AH800" s="103" t="str">
        <f>if(AC800,if(and(hour(AC800+AH$7)&gt;9.5,(hour(AC800+AH$7)&lt;19.5)),AC800+AH$7,_xlfn.workday.intl(int(AC800),1,"0000001",Holidays!A:A)+hour(AC800+AH$7-$B$1)/24+minute(AC800)/1440),"")</f>
        <v/>
      </c>
      <c r="AI800" s="104"/>
      <c r="AJ800" s="105"/>
      <c r="AK800" s="111" t="str">
        <f t="shared" si="8"/>
        <v/>
      </c>
      <c r="AL800" s="112" t="str">
        <f t="shared" si="9"/>
        <v/>
      </c>
      <c r="AM800" s="113"/>
      <c r="AN800" s="291" t="s">
        <v>2540</v>
      </c>
      <c r="AO800" s="115"/>
      <c r="AP800" s="115"/>
      <c r="AQ800" s="115"/>
      <c r="AR800" s="115"/>
      <c r="AS800" s="115"/>
      <c r="AT800" s="115"/>
      <c r="AU800" s="115"/>
      <c r="AV800" s="115"/>
      <c r="AW800" s="115"/>
      <c r="AX800" s="115"/>
      <c r="AY800" s="115"/>
    </row>
    <row r="801">
      <c r="A801" s="95" t="str">
        <f t="shared" si="11"/>
        <v/>
      </c>
      <c r="B801" s="100"/>
      <c r="C801" s="97"/>
      <c r="D801" s="97"/>
      <c r="E801" s="97"/>
      <c r="F801" s="97"/>
      <c r="G801" s="97"/>
      <c r="H801" s="99"/>
      <c r="I801" s="100"/>
      <c r="J801" s="101"/>
      <c r="K801" s="100"/>
      <c r="L801" s="102"/>
      <c r="M801" s="103" t="str">
        <f>if(B801,if(and(hour(B801+M$7)&gt;9.5,(hour(B801+M$7)&lt;19.5)),B801+M$7,_xlfn.workday.intl(int(B801),1,"0000001",Holidays!A:A)+hour(B801+M$7-$B$1)/24+minute(B801)/1440),"")</f>
        <v/>
      </c>
      <c r="N801" s="104"/>
      <c r="O801" s="105"/>
      <c r="P801" s="106" t="str">
        <f t="shared" si="1"/>
        <v/>
      </c>
      <c r="Q801" s="107"/>
      <c r="R801" s="108"/>
      <c r="S801" s="103" t="str">
        <f>if(M801,if(and(hour(M801+S$7)&gt;9.5,(hour(M801+S$7)&lt;19.5)),M801+S$7,_xlfn.workday.intl(int(M801),1,"0000001",Holidays!A:A)+hour(M801+S$7-$B$1)/24+minute(M801)/1440),"")</f>
        <v/>
      </c>
      <c r="T801" s="104"/>
      <c r="U801" s="105"/>
      <c r="V801" s="109" t="str">
        <f t="shared" si="2"/>
        <v/>
      </c>
      <c r="W801" s="110" t="str">
        <f t="shared" si="3"/>
        <v/>
      </c>
      <c r="X801" s="103" t="str">
        <f>if(S801,if(and(hour(S801+X$7)&gt;9.5,(hour(S801+X$7)&lt;19.5)),S801+X$7,_xlfn.workday.intl(int(S801),1,"0000001",Holidays!A:A)+hour(S801+X$7-$B$1)/24+minute(S801)/1440),"")</f>
        <v/>
      </c>
      <c r="Y801" s="104"/>
      <c r="Z801" s="105"/>
      <c r="AA801" s="111" t="str">
        <f t="shared" si="4"/>
        <v/>
      </c>
      <c r="AB801" s="110" t="str">
        <f t="shared" si="5"/>
        <v/>
      </c>
      <c r="AC801" s="103" t="str">
        <f>if(X801,_xlfn.WORKDAY.INTL(X801,AC$7,"0000001",Holidays!A:A)+hour(X801)/24+MINUTE(X801)/1440,"")</f>
        <v/>
      </c>
      <c r="AD801" s="104"/>
      <c r="AE801" s="105"/>
      <c r="AF801" s="111" t="str">
        <f t="shared" si="6"/>
        <v/>
      </c>
      <c r="AG801" s="110" t="str">
        <f t="shared" si="7"/>
        <v/>
      </c>
      <c r="AH801" s="103" t="str">
        <f>if(AC801,if(and(hour(AC801+AH$7)&gt;9.5,(hour(AC801+AH$7)&lt;19.5)),AC801+AH$7,_xlfn.workday.intl(int(AC801),1,"0000001",Holidays!A:A)+hour(AC801+AH$7-$B$1)/24+minute(AC801)/1440),"")</f>
        <v/>
      </c>
      <c r="AI801" s="104"/>
      <c r="AJ801" s="105"/>
      <c r="AK801" s="111" t="str">
        <f t="shared" si="8"/>
        <v/>
      </c>
      <c r="AL801" s="112" t="str">
        <f t="shared" si="9"/>
        <v/>
      </c>
      <c r="AM801" s="113"/>
      <c r="AN801" s="291" t="s">
        <v>2540</v>
      </c>
      <c r="AO801" s="115"/>
      <c r="AP801" s="115"/>
      <c r="AQ801" s="115"/>
      <c r="AR801" s="115"/>
      <c r="AS801" s="115"/>
      <c r="AT801" s="115"/>
      <c r="AU801" s="115"/>
      <c r="AV801" s="115"/>
      <c r="AW801" s="115"/>
      <c r="AX801" s="115"/>
      <c r="AY801" s="115"/>
    </row>
    <row r="802">
      <c r="A802" s="95" t="str">
        <f t="shared" si="11"/>
        <v/>
      </c>
      <c r="B802" s="100"/>
      <c r="C802" s="97"/>
      <c r="D802" s="97"/>
      <c r="E802" s="97"/>
      <c r="F802" s="97"/>
      <c r="G802" s="97"/>
      <c r="H802" s="99"/>
      <c r="I802" s="100"/>
      <c r="J802" s="101"/>
      <c r="K802" s="100"/>
      <c r="L802" s="102"/>
      <c r="M802" s="103" t="str">
        <f>if(B802,if(and(hour(B802+M$7)&gt;9.5,(hour(B802+M$7)&lt;19.5)),B802+M$7,_xlfn.workday.intl(int(B802),1,"0000001",Holidays!A:A)+hour(B802+M$7-$B$1)/24+minute(B802)/1440),"")</f>
        <v/>
      </c>
      <c r="N802" s="104"/>
      <c r="O802" s="105"/>
      <c r="P802" s="106" t="str">
        <f t="shared" si="1"/>
        <v/>
      </c>
      <c r="Q802" s="107"/>
      <c r="R802" s="108"/>
      <c r="S802" s="103" t="str">
        <f>if(M802,if(and(hour(M802+S$7)&gt;9.5,(hour(M802+S$7)&lt;19.5)),M802+S$7,_xlfn.workday.intl(int(M802),1,"0000001",Holidays!A:A)+hour(M802+S$7-$B$1)/24+minute(M802)/1440),"")</f>
        <v/>
      </c>
      <c r="T802" s="104"/>
      <c r="U802" s="105"/>
      <c r="V802" s="109" t="str">
        <f t="shared" si="2"/>
        <v/>
      </c>
      <c r="W802" s="110" t="str">
        <f t="shared" si="3"/>
        <v/>
      </c>
      <c r="X802" s="103" t="str">
        <f>if(S802,if(and(hour(S802+X$7)&gt;9.5,(hour(S802+X$7)&lt;19.5)),S802+X$7,_xlfn.workday.intl(int(S802),1,"0000001",Holidays!A:A)+hour(S802+X$7-$B$1)/24+minute(S802)/1440),"")</f>
        <v/>
      </c>
      <c r="Y802" s="104"/>
      <c r="Z802" s="105"/>
      <c r="AA802" s="111" t="str">
        <f t="shared" si="4"/>
        <v/>
      </c>
      <c r="AB802" s="110" t="str">
        <f t="shared" si="5"/>
        <v/>
      </c>
      <c r="AC802" s="103" t="str">
        <f>if(X802,_xlfn.WORKDAY.INTL(X802,AC$7,"0000001",Holidays!A:A)+hour(X802)/24+MINUTE(X802)/1440,"")</f>
        <v/>
      </c>
      <c r="AD802" s="104"/>
      <c r="AE802" s="105"/>
      <c r="AF802" s="111" t="str">
        <f t="shared" si="6"/>
        <v/>
      </c>
      <c r="AG802" s="110" t="str">
        <f t="shared" si="7"/>
        <v/>
      </c>
      <c r="AH802" s="103" t="str">
        <f>if(AC802,if(and(hour(AC802+AH$7)&gt;9.5,(hour(AC802+AH$7)&lt;19.5)),AC802+AH$7,_xlfn.workday.intl(int(AC802),1,"0000001",Holidays!A:A)+hour(AC802+AH$7-$B$1)/24+minute(AC802)/1440),"")</f>
        <v/>
      </c>
      <c r="AI802" s="104"/>
      <c r="AJ802" s="105"/>
      <c r="AK802" s="111" t="str">
        <f t="shared" si="8"/>
        <v/>
      </c>
      <c r="AL802" s="112" t="str">
        <f t="shared" si="9"/>
        <v/>
      </c>
      <c r="AM802" s="113"/>
      <c r="AN802" s="291" t="s">
        <v>2540</v>
      </c>
      <c r="AO802" s="115"/>
      <c r="AP802" s="115"/>
      <c r="AQ802" s="115"/>
      <c r="AR802" s="115"/>
      <c r="AS802" s="115"/>
      <c r="AT802" s="115"/>
      <c r="AU802" s="115"/>
      <c r="AV802" s="115"/>
      <c r="AW802" s="115"/>
      <c r="AX802" s="115"/>
      <c r="AY802" s="115"/>
    </row>
    <row r="803">
      <c r="A803" s="95" t="str">
        <f t="shared" si="11"/>
        <v/>
      </c>
      <c r="B803" s="100"/>
      <c r="C803" s="97"/>
      <c r="D803" s="97"/>
      <c r="E803" s="97"/>
      <c r="F803" s="97"/>
      <c r="G803" s="97"/>
      <c r="H803" s="99"/>
      <c r="I803" s="100"/>
      <c r="J803" s="101"/>
      <c r="K803" s="100"/>
      <c r="L803" s="102"/>
      <c r="M803" s="103" t="str">
        <f>if(B803,if(and(hour(B803+M$7)&gt;9.5,(hour(B803+M$7)&lt;19.5)),B803+M$7,_xlfn.workday.intl(int(B803),1,"0000001",Holidays!A:A)+hour(B803+M$7-$B$1)/24+minute(B803)/1440),"")</f>
        <v/>
      </c>
      <c r="N803" s="104"/>
      <c r="O803" s="105"/>
      <c r="P803" s="106" t="str">
        <f t="shared" si="1"/>
        <v/>
      </c>
      <c r="Q803" s="107"/>
      <c r="R803" s="108"/>
      <c r="S803" s="103" t="str">
        <f>if(M803,if(and(hour(M803+S$7)&gt;9.5,(hour(M803+S$7)&lt;19.5)),M803+S$7,_xlfn.workday.intl(int(M803),1,"0000001",Holidays!A:A)+hour(M803+S$7-$B$1)/24+minute(M803)/1440),"")</f>
        <v/>
      </c>
      <c r="T803" s="104"/>
      <c r="U803" s="105"/>
      <c r="V803" s="109" t="str">
        <f t="shared" si="2"/>
        <v/>
      </c>
      <c r="W803" s="110" t="str">
        <f t="shared" si="3"/>
        <v/>
      </c>
      <c r="X803" s="103" t="str">
        <f>if(S803,if(and(hour(S803+X$7)&gt;9.5,(hour(S803+X$7)&lt;19.5)),S803+X$7,_xlfn.workday.intl(int(S803),1,"0000001",Holidays!A:A)+hour(S803+X$7-$B$1)/24+minute(S803)/1440),"")</f>
        <v/>
      </c>
      <c r="Y803" s="104"/>
      <c r="Z803" s="105"/>
      <c r="AA803" s="111" t="str">
        <f t="shared" si="4"/>
        <v/>
      </c>
      <c r="AB803" s="110" t="str">
        <f t="shared" si="5"/>
        <v/>
      </c>
      <c r="AC803" s="103" t="str">
        <f>if(X803,_xlfn.WORKDAY.INTL(X803,AC$7,"0000001",Holidays!A:A)+hour(X803)/24+MINUTE(X803)/1440,"")</f>
        <v/>
      </c>
      <c r="AD803" s="104"/>
      <c r="AE803" s="105"/>
      <c r="AF803" s="111" t="str">
        <f t="shared" si="6"/>
        <v/>
      </c>
      <c r="AG803" s="110" t="str">
        <f t="shared" si="7"/>
        <v/>
      </c>
      <c r="AH803" s="103" t="str">
        <f>if(AC803,if(and(hour(AC803+AH$7)&gt;9.5,(hour(AC803+AH$7)&lt;19.5)),AC803+AH$7,_xlfn.workday.intl(int(AC803),1,"0000001",Holidays!A:A)+hour(AC803+AH$7-$B$1)/24+minute(AC803)/1440),"")</f>
        <v/>
      </c>
      <c r="AI803" s="104"/>
      <c r="AJ803" s="105"/>
      <c r="AK803" s="111" t="str">
        <f t="shared" si="8"/>
        <v/>
      </c>
      <c r="AL803" s="112" t="str">
        <f t="shared" si="9"/>
        <v/>
      </c>
      <c r="AM803" s="113"/>
      <c r="AN803" s="291" t="s">
        <v>2540</v>
      </c>
      <c r="AO803" s="115"/>
      <c r="AP803" s="115"/>
      <c r="AQ803" s="115"/>
      <c r="AR803" s="115"/>
      <c r="AS803" s="115"/>
      <c r="AT803" s="115"/>
      <c r="AU803" s="115"/>
      <c r="AV803" s="115"/>
      <c r="AW803" s="115"/>
      <c r="AX803" s="115"/>
      <c r="AY803" s="115"/>
    </row>
    <row r="804">
      <c r="A804" s="95" t="str">
        <f t="shared" si="11"/>
        <v/>
      </c>
      <c r="B804" s="100"/>
      <c r="C804" s="97"/>
      <c r="D804" s="97"/>
      <c r="E804" s="97"/>
      <c r="F804" s="97"/>
      <c r="G804" s="97"/>
      <c r="H804" s="99"/>
      <c r="I804" s="100"/>
      <c r="J804" s="101"/>
      <c r="K804" s="100"/>
      <c r="L804" s="102"/>
      <c r="M804" s="103" t="str">
        <f>if(B804,if(and(hour(B804+M$7)&gt;9.5,(hour(B804+M$7)&lt;19.5)),B804+M$7,_xlfn.workday.intl(int(B804),1,"0000001",Holidays!A:A)+hour(B804+M$7-$B$1)/24+minute(B804)/1440),"")</f>
        <v/>
      </c>
      <c r="N804" s="104"/>
      <c r="O804" s="105"/>
      <c r="P804" s="106" t="str">
        <f t="shared" si="1"/>
        <v/>
      </c>
      <c r="Q804" s="107"/>
      <c r="R804" s="108"/>
      <c r="S804" s="103" t="str">
        <f>if(M804,if(and(hour(M804+S$7)&gt;9.5,(hour(M804+S$7)&lt;19.5)),M804+S$7,_xlfn.workday.intl(int(M804),1,"0000001",Holidays!A:A)+hour(M804+S$7-$B$1)/24+minute(M804)/1440),"")</f>
        <v/>
      </c>
      <c r="T804" s="104"/>
      <c r="U804" s="105"/>
      <c r="V804" s="109" t="str">
        <f t="shared" si="2"/>
        <v/>
      </c>
      <c r="W804" s="110" t="str">
        <f t="shared" si="3"/>
        <v/>
      </c>
      <c r="X804" s="103" t="str">
        <f>if(S804,if(and(hour(S804+X$7)&gt;9.5,(hour(S804+X$7)&lt;19.5)),S804+X$7,_xlfn.workday.intl(int(S804),1,"0000001",Holidays!A:A)+hour(S804+X$7-$B$1)/24+minute(S804)/1440),"")</f>
        <v/>
      </c>
      <c r="Y804" s="104"/>
      <c r="Z804" s="105"/>
      <c r="AA804" s="111" t="str">
        <f t="shared" si="4"/>
        <v/>
      </c>
      <c r="AB804" s="110" t="str">
        <f t="shared" si="5"/>
        <v/>
      </c>
      <c r="AC804" s="103" t="str">
        <f>if(X804,_xlfn.WORKDAY.INTL(X804,AC$7,"0000001",Holidays!A:A)+hour(X804)/24+MINUTE(X804)/1440,"")</f>
        <v/>
      </c>
      <c r="AD804" s="104"/>
      <c r="AE804" s="105"/>
      <c r="AF804" s="111" t="str">
        <f t="shared" si="6"/>
        <v/>
      </c>
      <c r="AG804" s="110" t="str">
        <f t="shared" si="7"/>
        <v/>
      </c>
      <c r="AH804" s="103" t="str">
        <f>if(AC804,if(and(hour(AC804+AH$7)&gt;9.5,(hour(AC804+AH$7)&lt;19.5)),AC804+AH$7,_xlfn.workday.intl(int(AC804),1,"0000001",Holidays!A:A)+hour(AC804+AH$7-$B$1)/24+minute(AC804)/1440),"")</f>
        <v/>
      </c>
      <c r="AI804" s="104"/>
      <c r="AJ804" s="105"/>
      <c r="AK804" s="111" t="str">
        <f t="shared" si="8"/>
        <v/>
      </c>
      <c r="AL804" s="112" t="str">
        <f t="shared" si="9"/>
        <v/>
      </c>
      <c r="AM804" s="113"/>
      <c r="AN804" s="291" t="s">
        <v>2540</v>
      </c>
      <c r="AO804" s="115"/>
      <c r="AP804" s="115"/>
      <c r="AQ804" s="115"/>
      <c r="AR804" s="115"/>
      <c r="AS804" s="115"/>
      <c r="AT804" s="115"/>
      <c r="AU804" s="115"/>
      <c r="AV804" s="115"/>
      <c r="AW804" s="115"/>
      <c r="AX804" s="115"/>
      <c r="AY804" s="115"/>
    </row>
    <row r="805">
      <c r="A805" s="95" t="str">
        <f t="shared" si="11"/>
        <v/>
      </c>
      <c r="B805" s="100"/>
      <c r="C805" s="97"/>
      <c r="D805" s="97"/>
      <c r="E805" s="97"/>
      <c r="F805" s="97"/>
      <c r="G805" s="97"/>
      <c r="H805" s="99"/>
      <c r="I805" s="100"/>
      <c r="J805" s="101"/>
      <c r="K805" s="100"/>
      <c r="L805" s="102"/>
      <c r="M805" s="103" t="str">
        <f>if(B805,if(and(hour(B805+M$7)&gt;9.5,(hour(B805+M$7)&lt;19.5)),B805+M$7,_xlfn.workday.intl(int(B805),1,"0000001",Holidays!A:A)+hour(B805+M$7-$B$1)/24+minute(B805)/1440),"")</f>
        <v/>
      </c>
      <c r="N805" s="104"/>
      <c r="O805" s="105"/>
      <c r="P805" s="106" t="str">
        <f t="shared" si="1"/>
        <v/>
      </c>
      <c r="Q805" s="107"/>
      <c r="R805" s="108"/>
      <c r="S805" s="103" t="str">
        <f>if(M805,if(and(hour(M805+S$7)&gt;9.5,(hour(M805+S$7)&lt;19.5)),M805+S$7,_xlfn.workday.intl(int(M805),1,"0000001",Holidays!A:A)+hour(M805+S$7-$B$1)/24+minute(M805)/1440),"")</f>
        <v/>
      </c>
      <c r="T805" s="104"/>
      <c r="U805" s="105"/>
      <c r="V805" s="109" t="str">
        <f t="shared" si="2"/>
        <v/>
      </c>
      <c r="W805" s="110" t="str">
        <f t="shared" si="3"/>
        <v/>
      </c>
      <c r="X805" s="103" t="str">
        <f>if(S805,if(and(hour(S805+X$7)&gt;9.5,(hour(S805+X$7)&lt;19.5)),S805+X$7,_xlfn.workday.intl(int(S805),1,"0000001",Holidays!A:A)+hour(S805+X$7-$B$1)/24+minute(S805)/1440),"")</f>
        <v/>
      </c>
      <c r="Y805" s="104"/>
      <c r="Z805" s="105"/>
      <c r="AA805" s="111" t="str">
        <f t="shared" si="4"/>
        <v/>
      </c>
      <c r="AB805" s="110" t="str">
        <f t="shared" si="5"/>
        <v/>
      </c>
      <c r="AC805" s="103" t="str">
        <f>if(X805,_xlfn.WORKDAY.INTL(X805,AC$7,"0000001",Holidays!A:A)+hour(X805)/24+MINUTE(X805)/1440,"")</f>
        <v/>
      </c>
      <c r="AD805" s="104"/>
      <c r="AE805" s="105"/>
      <c r="AF805" s="111" t="str">
        <f t="shared" si="6"/>
        <v/>
      </c>
      <c r="AG805" s="110" t="str">
        <f t="shared" si="7"/>
        <v/>
      </c>
      <c r="AH805" s="103" t="str">
        <f>if(AC805,if(and(hour(AC805+AH$7)&gt;9.5,(hour(AC805+AH$7)&lt;19.5)),AC805+AH$7,_xlfn.workday.intl(int(AC805),1,"0000001",Holidays!A:A)+hour(AC805+AH$7-$B$1)/24+minute(AC805)/1440),"")</f>
        <v/>
      </c>
      <c r="AI805" s="104"/>
      <c r="AJ805" s="105"/>
      <c r="AK805" s="111" t="str">
        <f t="shared" si="8"/>
        <v/>
      </c>
      <c r="AL805" s="112" t="str">
        <f t="shared" si="9"/>
        <v/>
      </c>
      <c r="AM805" s="113"/>
      <c r="AN805" s="291" t="s">
        <v>2540</v>
      </c>
      <c r="AO805" s="115"/>
      <c r="AP805" s="115"/>
      <c r="AQ805" s="115"/>
      <c r="AR805" s="115"/>
      <c r="AS805" s="115"/>
      <c r="AT805" s="115"/>
      <c r="AU805" s="115"/>
      <c r="AV805" s="115"/>
      <c r="AW805" s="115"/>
      <c r="AX805" s="115"/>
      <c r="AY805" s="115"/>
    </row>
    <row r="806">
      <c r="A806" s="95" t="str">
        <f t="shared" si="11"/>
        <v/>
      </c>
      <c r="B806" s="100"/>
      <c r="C806" s="97"/>
      <c r="D806" s="97"/>
      <c r="E806" s="97"/>
      <c r="F806" s="97"/>
      <c r="G806" s="97"/>
      <c r="H806" s="99"/>
      <c r="I806" s="100"/>
      <c r="J806" s="101"/>
      <c r="K806" s="100"/>
      <c r="L806" s="102"/>
      <c r="M806" s="103" t="str">
        <f>if(B806,if(and(hour(B806+M$7)&gt;9.5,(hour(B806+M$7)&lt;19.5)),B806+M$7,_xlfn.workday.intl(int(B806),1,"0000001",Holidays!A:A)+hour(B806+M$7-$B$1)/24+minute(B806)/1440),"")</f>
        <v/>
      </c>
      <c r="N806" s="104"/>
      <c r="O806" s="105"/>
      <c r="P806" s="106" t="str">
        <f t="shared" si="1"/>
        <v/>
      </c>
      <c r="Q806" s="107"/>
      <c r="R806" s="108"/>
      <c r="S806" s="103" t="str">
        <f>if(M806,if(and(hour(M806+S$7)&gt;9.5,(hour(M806+S$7)&lt;19.5)),M806+S$7,_xlfn.workday.intl(int(M806),1,"0000001",Holidays!A:A)+hour(M806+S$7-$B$1)/24+minute(M806)/1440),"")</f>
        <v/>
      </c>
      <c r="T806" s="104"/>
      <c r="U806" s="105"/>
      <c r="V806" s="109" t="str">
        <f t="shared" si="2"/>
        <v/>
      </c>
      <c r="W806" s="110" t="str">
        <f t="shared" si="3"/>
        <v/>
      </c>
      <c r="X806" s="103" t="str">
        <f>if(S806,if(and(hour(S806+X$7)&gt;9.5,(hour(S806+X$7)&lt;19.5)),S806+X$7,_xlfn.workday.intl(int(S806),1,"0000001",Holidays!A:A)+hour(S806+X$7-$B$1)/24+minute(S806)/1440),"")</f>
        <v/>
      </c>
      <c r="Y806" s="104"/>
      <c r="Z806" s="105"/>
      <c r="AA806" s="111" t="str">
        <f t="shared" si="4"/>
        <v/>
      </c>
      <c r="AB806" s="110" t="str">
        <f t="shared" si="5"/>
        <v/>
      </c>
      <c r="AC806" s="103" t="str">
        <f>if(X806,_xlfn.WORKDAY.INTL(X806,AC$7,"0000001",Holidays!A:A)+hour(X806)/24+MINUTE(X806)/1440,"")</f>
        <v/>
      </c>
      <c r="AD806" s="104"/>
      <c r="AE806" s="105"/>
      <c r="AF806" s="111" t="str">
        <f t="shared" si="6"/>
        <v/>
      </c>
      <c r="AG806" s="110" t="str">
        <f t="shared" si="7"/>
        <v/>
      </c>
      <c r="AH806" s="103" t="str">
        <f>if(AC806,if(and(hour(AC806+AH$7)&gt;9.5,(hour(AC806+AH$7)&lt;19.5)),AC806+AH$7,_xlfn.workday.intl(int(AC806),1,"0000001",Holidays!A:A)+hour(AC806+AH$7-$B$1)/24+minute(AC806)/1440),"")</f>
        <v/>
      </c>
      <c r="AI806" s="104"/>
      <c r="AJ806" s="105"/>
      <c r="AK806" s="111" t="str">
        <f t="shared" si="8"/>
        <v/>
      </c>
      <c r="AL806" s="112" t="str">
        <f t="shared" si="9"/>
        <v/>
      </c>
      <c r="AM806" s="113"/>
      <c r="AN806" s="291" t="s">
        <v>2540</v>
      </c>
      <c r="AO806" s="115"/>
      <c r="AP806" s="115"/>
      <c r="AQ806" s="115"/>
      <c r="AR806" s="115"/>
      <c r="AS806" s="115"/>
      <c r="AT806" s="115"/>
      <c r="AU806" s="115"/>
      <c r="AV806" s="115"/>
      <c r="AW806" s="115"/>
      <c r="AX806" s="115"/>
      <c r="AY806" s="115"/>
    </row>
    <row r="807">
      <c r="A807" s="95" t="str">
        <f t="shared" si="11"/>
        <v/>
      </c>
      <c r="B807" s="100"/>
      <c r="C807" s="97"/>
      <c r="D807" s="97"/>
      <c r="E807" s="97"/>
      <c r="F807" s="97"/>
      <c r="G807" s="97"/>
      <c r="H807" s="99"/>
      <c r="I807" s="100"/>
      <c r="J807" s="101"/>
      <c r="K807" s="100"/>
      <c r="L807" s="102"/>
      <c r="M807" s="103" t="str">
        <f>if(B807,if(and(hour(B807+M$7)&gt;9.5,(hour(B807+M$7)&lt;19.5)),B807+M$7,_xlfn.workday.intl(int(B807),1,"0000001",Holidays!A:A)+hour(B807+M$7-$B$1)/24+minute(B807)/1440),"")</f>
        <v/>
      </c>
      <c r="N807" s="104"/>
      <c r="O807" s="105"/>
      <c r="P807" s="106" t="str">
        <f t="shared" si="1"/>
        <v/>
      </c>
      <c r="Q807" s="107"/>
      <c r="R807" s="108"/>
      <c r="S807" s="103" t="str">
        <f>if(M807,if(and(hour(M807+S$7)&gt;9.5,(hour(M807+S$7)&lt;19.5)),M807+S$7,_xlfn.workday.intl(int(M807),1,"0000001",Holidays!A:A)+hour(M807+S$7-$B$1)/24+minute(M807)/1440),"")</f>
        <v/>
      </c>
      <c r="T807" s="104"/>
      <c r="U807" s="105"/>
      <c r="V807" s="109" t="str">
        <f t="shared" si="2"/>
        <v/>
      </c>
      <c r="W807" s="110" t="str">
        <f t="shared" si="3"/>
        <v/>
      </c>
      <c r="X807" s="103" t="str">
        <f>if(S807,if(and(hour(S807+X$7)&gt;9.5,(hour(S807+X$7)&lt;19.5)),S807+X$7,_xlfn.workday.intl(int(S807),1,"0000001",Holidays!A:A)+hour(S807+X$7-$B$1)/24+minute(S807)/1440),"")</f>
        <v/>
      </c>
      <c r="Y807" s="104"/>
      <c r="Z807" s="105"/>
      <c r="AA807" s="111" t="str">
        <f t="shared" si="4"/>
        <v/>
      </c>
      <c r="AB807" s="110" t="str">
        <f t="shared" si="5"/>
        <v/>
      </c>
      <c r="AC807" s="103" t="str">
        <f>if(X807,_xlfn.WORKDAY.INTL(X807,AC$7,"0000001",Holidays!A:A)+hour(X807)/24+MINUTE(X807)/1440,"")</f>
        <v/>
      </c>
      <c r="AD807" s="104"/>
      <c r="AE807" s="105"/>
      <c r="AF807" s="111" t="str">
        <f t="shared" si="6"/>
        <v/>
      </c>
      <c r="AG807" s="110" t="str">
        <f t="shared" si="7"/>
        <v/>
      </c>
      <c r="AH807" s="103" t="str">
        <f>if(AC807,if(and(hour(AC807+AH$7)&gt;9.5,(hour(AC807+AH$7)&lt;19.5)),AC807+AH$7,_xlfn.workday.intl(int(AC807),1,"0000001",Holidays!A:A)+hour(AC807+AH$7-$B$1)/24+minute(AC807)/1440),"")</f>
        <v/>
      </c>
      <c r="AI807" s="104"/>
      <c r="AJ807" s="105"/>
      <c r="AK807" s="111" t="str">
        <f t="shared" si="8"/>
        <v/>
      </c>
      <c r="AL807" s="112" t="str">
        <f t="shared" si="9"/>
        <v/>
      </c>
      <c r="AM807" s="113"/>
      <c r="AN807" s="291" t="s">
        <v>2540</v>
      </c>
      <c r="AO807" s="115"/>
      <c r="AP807" s="115"/>
      <c r="AQ807" s="115"/>
      <c r="AR807" s="115"/>
      <c r="AS807" s="115"/>
      <c r="AT807" s="115"/>
      <c r="AU807" s="115"/>
      <c r="AV807" s="115"/>
      <c r="AW807" s="115"/>
      <c r="AX807" s="115"/>
      <c r="AY807" s="115"/>
    </row>
    <row r="808">
      <c r="A808" s="95" t="str">
        <f t="shared" si="11"/>
        <v/>
      </c>
      <c r="B808" s="100"/>
      <c r="C808" s="97"/>
      <c r="D808" s="97"/>
      <c r="E808" s="97"/>
      <c r="F808" s="97"/>
      <c r="G808" s="97"/>
      <c r="H808" s="99"/>
      <c r="I808" s="100"/>
      <c r="J808" s="101"/>
      <c r="K808" s="100"/>
      <c r="L808" s="102"/>
      <c r="M808" s="103" t="str">
        <f>if(B808,if(and(hour(B808+M$7)&gt;9.5,(hour(B808+M$7)&lt;19.5)),B808+M$7,_xlfn.workday.intl(int(B808),1,"0000001",Holidays!A:A)+hour(B808+M$7-$B$1)/24+minute(B808)/1440),"")</f>
        <v/>
      </c>
      <c r="N808" s="104"/>
      <c r="O808" s="105"/>
      <c r="P808" s="106" t="str">
        <f t="shared" si="1"/>
        <v/>
      </c>
      <c r="Q808" s="107"/>
      <c r="R808" s="108"/>
      <c r="S808" s="103" t="str">
        <f>if(M808,if(and(hour(M808+S$7)&gt;9.5,(hour(M808+S$7)&lt;19.5)),M808+S$7,_xlfn.workday.intl(int(M808),1,"0000001",Holidays!A:A)+hour(M808+S$7-$B$1)/24+minute(M808)/1440),"")</f>
        <v/>
      </c>
      <c r="T808" s="104"/>
      <c r="U808" s="105"/>
      <c r="V808" s="109" t="str">
        <f t="shared" si="2"/>
        <v/>
      </c>
      <c r="W808" s="110" t="str">
        <f t="shared" si="3"/>
        <v/>
      </c>
      <c r="X808" s="103" t="str">
        <f>if(S808,if(and(hour(S808+X$7)&gt;9.5,(hour(S808+X$7)&lt;19.5)),S808+X$7,_xlfn.workday.intl(int(S808),1,"0000001",Holidays!A:A)+hour(S808+X$7-$B$1)/24+minute(S808)/1440),"")</f>
        <v/>
      </c>
      <c r="Y808" s="104"/>
      <c r="Z808" s="105"/>
      <c r="AA808" s="111" t="str">
        <f t="shared" si="4"/>
        <v/>
      </c>
      <c r="AB808" s="110" t="str">
        <f t="shared" si="5"/>
        <v/>
      </c>
      <c r="AC808" s="103" t="str">
        <f>if(X808,_xlfn.WORKDAY.INTL(X808,AC$7,"0000001",Holidays!A:A)+hour(X808)/24+MINUTE(X808)/1440,"")</f>
        <v/>
      </c>
      <c r="AD808" s="104"/>
      <c r="AE808" s="105"/>
      <c r="AF808" s="111" t="str">
        <f t="shared" si="6"/>
        <v/>
      </c>
      <c r="AG808" s="110" t="str">
        <f t="shared" si="7"/>
        <v/>
      </c>
      <c r="AH808" s="103" t="str">
        <f>if(AC808,if(and(hour(AC808+AH$7)&gt;9.5,(hour(AC808+AH$7)&lt;19.5)),AC808+AH$7,_xlfn.workday.intl(int(AC808),1,"0000001",Holidays!A:A)+hour(AC808+AH$7-$B$1)/24+minute(AC808)/1440),"")</f>
        <v/>
      </c>
      <c r="AI808" s="104"/>
      <c r="AJ808" s="105"/>
      <c r="AK808" s="111" t="str">
        <f t="shared" si="8"/>
        <v/>
      </c>
      <c r="AL808" s="112" t="str">
        <f t="shared" si="9"/>
        <v/>
      </c>
      <c r="AM808" s="113"/>
      <c r="AN808" s="291" t="s">
        <v>2540</v>
      </c>
      <c r="AO808" s="115"/>
      <c r="AP808" s="115"/>
      <c r="AQ808" s="115"/>
      <c r="AR808" s="115"/>
      <c r="AS808" s="115"/>
      <c r="AT808" s="115"/>
      <c r="AU808" s="115"/>
      <c r="AV808" s="115"/>
      <c r="AW808" s="115"/>
      <c r="AX808" s="115"/>
      <c r="AY808" s="115"/>
    </row>
    <row r="809">
      <c r="A809" s="95" t="str">
        <f t="shared" si="11"/>
        <v/>
      </c>
      <c r="B809" s="100"/>
      <c r="C809" s="97"/>
      <c r="D809" s="97"/>
      <c r="E809" s="97"/>
      <c r="F809" s="97"/>
      <c r="G809" s="97"/>
      <c r="H809" s="99"/>
      <c r="I809" s="100"/>
      <c r="J809" s="101"/>
      <c r="K809" s="100"/>
      <c r="L809" s="102"/>
      <c r="M809" s="103" t="str">
        <f>if(B809,if(and(hour(B809+M$7)&gt;9.5,(hour(B809+M$7)&lt;19.5)),B809+M$7,_xlfn.workday.intl(int(B809),1,"0000001",Holidays!A:A)+hour(B809+M$7-$B$1)/24+minute(B809)/1440),"")</f>
        <v/>
      </c>
      <c r="N809" s="104"/>
      <c r="O809" s="105"/>
      <c r="P809" s="106" t="str">
        <f t="shared" si="1"/>
        <v/>
      </c>
      <c r="Q809" s="107"/>
      <c r="R809" s="108"/>
      <c r="S809" s="103" t="str">
        <f>if(M809,if(and(hour(M809+S$7)&gt;9.5,(hour(M809+S$7)&lt;19.5)),M809+S$7,_xlfn.workday.intl(int(M809),1,"0000001",Holidays!A:A)+hour(M809+S$7-$B$1)/24+minute(M809)/1440),"")</f>
        <v/>
      </c>
      <c r="T809" s="104"/>
      <c r="U809" s="105"/>
      <c r="V809" s="109" t="str">
        <f t="shared" si="2"/>
        <v/>
      </c>
      <c r="W809" s="110" t="str">
        <f t="shared" si="3"/>
        <v/>
      </c>
      <c r="X809" s="103" t="str">
        <f>if(S809,if(and(hour(S809+X$7)&gt;9.5,(hour(S809+X$7)&lt;19.5)),S809+X$7,_xlfn.workday.intl(int(S809),1,"0000001",Holidays!A:A)+hour(S809+X$7-$B$1)/24+minute(S809)/1440),"")</f>
        <v/>
      </c>
      <c r="Y809" s="104"/>
      <c r="Z809" s="105"/>
      <c r="AA809" s="111" t="str">
        <f t="shared" si="4"/>
        <v/>
      </c>
      <c r="AB809" s="110" t="str">
        <f t="shared" si="5"/>
        <v/>
      </c>
      <c r="AC809" s="103" t="str">
        <f>if(X809,_xlfn.WORKDAY.INTL(X809,AC$7,"0000001",Holidays!A:A)+hour(X809)/24+MINUTE(X809)/1440,"")</f>
        <v/>
      </c>
      <c r="AD809" s="104"/>
      <c r="AE809" s="105"/>
      <c r="AF809" s="111" t="str">
        <f t="shared" si="6"/>
        <v/>
      </c>
      <c r="AG809" s="110" t="str">
        <f t="shared" si="7"/>
        <v/>
      </c>
      <c r="AH809" s="103" t="str">
        <f>if(AC809,if(and(hour(AC809+AH$7)&gt;9.5,(hour(AC809+AH$7)&lt;19.5)),AC809+AH$7,_xlfn.workday.intl(int(AC809),1,"0000001",Holidays!A:A)+hour(AC809+AH$7-$B$1)/24+minute(AC809)/1440),"")</f>
        <v/>
      </c>
      <c r="AI809" s="104"/>
      <c r="AJ809" s="105"/>
      <c r="AK809" s="111" t="str">
        <f t="shared" si="8"/>
        <v/>
      </c>
      <c r="AL809" s="112" t="str">
        <f t="shared" si="9"/>
        <v/>
      </c>
      <c r="AM809" s="113"/>
      <c r="AN809" s="291" t="s">
        <v>2540</v>
      </c>
      <c r="AO809" s="115"/>
      <c r="AP809" s="115"/>
      <c r="AQ809" s="115"/>
      <c r="AR809" s="115"/>
      <c r="AS809" s="115"/>
      <c r="AT809" s="115"/>
      <c r="AU809" s="115"/>
      <c r="AV809" s="115"/>
      <c r="AW809" s="115"/>
      <c r="AX809" s="115"/>
      <c r="AY809" s="115"/>
    </row>
    <row r="810">
      <c r="A810" s="95" t="str">
        <f t="shared" si="11"/>
        <v/>
      </c>
      <c r="B810" s="100"/>
      <c r="C810" s="97"/>
      <c r="D810" s="97"/>
      <c r="E810" s="97"/>
      <c r="F810" s="97"/>
      <c r="G810" s="97"/>
      <c r="H810" s="99"/>
      <c r="I810" s="100"/>
      <c r="J810" s="101"/>
      <c r="K810" s="100"/>
      <c r="L810" s="102"/>
      <c r="M810" s="103" t="str">
        <f>if(B810,if(and(hour(B810+M$7)&gt;9.5,(hour(B810+M$7)&lt;19.5)),B810+M$7,_xlfn.workday.intl(int(B810),1,"0000001",Holidays!A:A)+hour(B810+M$7-$B$1)/24+minute(B810)/1440),"")</f>
        <v/>
      </c>
      <c r="N810" s="104"/>
      <c r="O810" s="105"/>
      <c r="P810" s="106" t="str">
        <f t="shared" si="1"/>
        <v/>
      </c>
      <c r="Q810" s="107"/>
      <c r="R810" s="108"/>
      <c r="S810" s="103" t="str">
        <f>if(M810,if(and(hour(M810+S$7)&gt;9.5,(hour(M810+S$7)&lt;19.5)),M810+S$7,_xlfn.workday.intl(int(M810),1,"0000001",Holidays!A:A)+hour(M810+S$7-$B$1)/24+minute(M810)/1440),"")</f>
        <v/>
      </c>
      <c r="T810" s="104"/>
      <c r="U810" s="105"/>
      <c r="V810" s="109" t="str">
        <f t="shared" si="2"/>
        <v/>
      </c>
      <c r="W810" s="110" t="str">
        <f t="shared" si="3"/>
        <v/>
      </c>
      <c r="X810" s="103" t="str">
        <f>if(S810,if(and(hour(S810+X$7)&gt;9.5,(hour(S810+X$7)&lt;19.5)),S810+X$7,_xlfn.workday.intl(int(S810),1,"0000001",Holidays!A:A)+hour(S810+X$7-$B$1)/24+minute(S810)/1440),"")</f>
        <v/>
      </c>
      <c r="Y810" s="104"/>
      <c r="Z810" s="105"/>
      <c r="AA810" s="111" t="str">
        <f t="shared" si="4"/>
        <v/>
      </c>
      <c r="AB810" s="110" t="str">
        <f t="shared" si="5"/>
        <v/>
      </c>
      <c r="AC810" s="103" t="str">
        <f>if(X810,_xlfn.WORKDAY.INTL(X810,AC$7,"0000001",Holidays!A:A)+hour(X810)/24+MINUTE(X810)/1440,"")</f>
        <v/>
      </c>
      <c r="AD810" s="104"/>
      <c r="AE810" s="105"/>
      <c r="AF810" s="111" t="str">
        <f t="shared" si="6"/>
        <v/>
      </c>
      <c r="AG810" s="110" t="str">
        <f t="shared" si="7"/>
        <v/>
      </c>
      <c r="AH810" s="103" t="str">
        <f>if(AC810,if(and(hour(AC810+AH$7)&gt;9.5,(hour(AC810+AH$7)&lt;19.5)),AC810+AH$7,_xlfn.workday.intl(int(AC810),1,"0000001",Holidays!A:A)+hour(AC810+AH$7-$B$1)/24+minute(AC810)/1440),"")</f>
        <v/>
      </c>
      <c r="AI810" s="104"/>
      <c r="AJ810" s="105"/>
      <c r="AK810" s="111" t="str">
        <f t="shared" si="8"/>
        <v/>
      </c>
      <c r="AL810" s="112" t="str">
        <f t="shared" si="9"/>
        <v/>
      </c>
      <c r="AM810" s="113"/>
      <c r="AN810" s="291" t="s">
        <v>2540</v>
      </c>
      <c r="AO810" s="115"/>
      <c r="AP810" s="115"/>
      <c r="AQ810" s="115"/>
      <c r="AR810" s="115"/>
      <c r="AS810" s="115"/>
      <c r="AT810" s="115"/>
      <c r="AU810" s="115"/>
      <c r="AV810" s="115"/>
      <c r="AW810" s="115"/>
      <c r="AX810" s="115"/>
      <c r="AY810" s="115"/>
    </row>
    <row r="811">
      <c r="A811" s="95" t="str">
        <f t="shared" si="11"/>
        <v/>
      </c>
      <c r="B811" s="100"/>
      <c r="C811" s="97"/>
      <c r="D811" s="97"/>
      <c r="E811" s="97"/>
      <c r="F811" s="97"/>
      <c r="G811" s="97"/>
      <c r="H811" s="99"/>
      <c r="I811" s="100"/>
      <c r="J811" s="101"/>
      <c r="K811" s="100"/>
      <c r="L811" s="102"/>
      <c r="M811" s="103" t="str">
        <f>if(B811,if(and(hour(B811+M$7)&gt;9.5,(hour(B811+M$7)&lt;19.5)),B811+M$7,_xlfn.workday.intl(int(B811),1,"0000001",Holidays!A:A)+hour(B811+M$7-$B$1)/24+minute(B811)/1440),"")</f>
        <v/>
      </c>
      <c r="N811" s="104"/>
      <c r="O811" s="105"/>
      <c r="P811" s="106" t="str">
        <f t="shared" si="1"/>
        <v/>
      </c>
      <c r="Q811" s="107"/>
      <c r="R811" s="108"/>
      <c r="S811" s="103" t="str">
        <f>if(M811,if(and(hour(M811+S$7)&gt;9.5,(hour(M811+S$7)&lt;19.5)),M811+S$7,_xlfn.workday.intl(int(M811),1,"0000001",Holidays!A:A)+hour(M811+S$7-$B$1)/24+minute(M811)/1440),"")</f>
        <v/>
      </c>
      <c r="T811" s="104"/>
      <c r="U811" s="105"/>
      <c r="V811" s="109" t="str">
        <f t="shared" si="2"/>
        <v/>
      </c>
      <c r="W811" s="110" t="str">
        <f t="shared" si="3"/>
        <v/>
      </c>
      <c r="X811" s="103" t="str">
        <f>if(S811,if(and(hour(S811+X$7)&gt;9.5,(hour(S811+X$7)&lt;19.5)),S811+X$7,_xlfn.workday.intl(int(S811),1,"0000001",Holidays!A:A)+hour(S811+X$7-$B$1)/24+minute(S811)/1440),"")</f>
        <v/>
      </c>
      <c r="Y811" s="104"/>
      <c r="Z811" s="105"/>
      <c r="AA811" s="111" t="str">
        <f t="shared" si="4"/>
        <v/>
      </c>
      <c r="AB811" s="110" t="str">
        <f t="shared" si="5"/>
        <v/>
      </c>
      <c r="AC811" s="103" t="str">
        <f>if(X811,_xlfn.WORKDAY.INTL(X811,AC$7,"0000001",Holidays!A:A)+hour(X811)/24+MINUTE(X811)/1440,"")</f>
        <v/>
      </c>
      <c r="AD811" s="104"/>
      <c r="AE811" s="105"/>
      <c r="AF811" s="111" t="str">
        <f t="shared" si="6"/>
        <v/>
      </c>
      <c r="AG811" s="110" t="str">
        <f t="shared" si="7"/>
        <v/>
      </c>
      <c r="AH811" s="103" t="str">
        <f>if(AC811,if(and(hour(AC811+AH$7)&gt;9.5,(hour(AC811+AH$7)&lt;19.5)),AC811+AH$7,_xlfn.workday.intl(int(AC811),1,"0000001",Holidays!A:A)+hour(AC811+AH$7-$B$1)/24+minute(AC811)/1440),"")</f>
        <v/>
      </c>
      <c r="AI811" s="104"/>
      <c r="AJ811" s="105"/>
      <c r="AK811" s="111" t="str">
        <f t="shared" si="8"/>
        <v/>
      </c>
      <c r="AL811" s="112" t="str">
        <f t="shared" si="9"/>
        <v/>
      </c>
      <c r="AM811" s="113"/>
      <c r="AN811" s="291" t="s">
        <v>2540</v>
      </c>
      <c r="AO811" s="115"/>
      <c r="AP811" s="115"/>
      <c r="AQ811" s="115"/>
      <c r="AR811" s="115"/>
      <c r="AS811" s="115"/>
      <c r="AT811" s="115"/>
      <c r="AU811" s="115"/>
      <c r="AV811" s="115"/>
      <c r="AW811" s="115"/>
      <c r="AX811" s="115"/>
      <c r="AY811" s="115"/>
    </row>
    <row r="812">
      <c r="A812" s="95" t="str">
        <f t="shared" si="11"/>
        <v/>
      </c>
      <c r="B812" s="100"/>
      <c r="C812" s="97"/>
      <c r="D812" s="97"/>
      <c r="E812" s="97"/>
      <c r="F812" s="97"/>
      <c r="G812" s="97"/>
      <c r="H812" s="99"/>
      <c r="I812" s="100"/>
      <c r="J812" s="101"/>
      <c r="K812" s="100"/>
      <c r="L812" s="102"/>
      <c r="M812" s="103" t="str">
        <f>if(B812,if(and(hour(B812+M$7)&gt;9.5,(hour(B812+M$7)&lt;19.5)),B812+M$7,_xlfn.workday.intl(int(B812),1,"0000001",Holidays!A:A)+hour(B812+M$7-$B$1)/24+minute(B812)/1440),"")</f>
        <v/>
      </c>
      <c r="N812" s="104"/>
      <c r="O812" s="105"/>
      <c r="P812" s="106" t="str">
        <f t="shared" si="1"/>
        <v/>
      </c>
      <c r="Q812" s="107"/>
      <c r="R812" s="108"/>
      <c r="S812" s="103" t="str">
        <f>if(M812,if(and(hour(M812+S$7)&gt;9.5,(hour(M812+S$7)&lt;19.5)),M812+S$7,_xlfn.workday.intl(int(M812),1,"0000001",Holidays!A:A)+hour(M812+S$7-$B$1)/24+minute(M812)/1440),"")</f>
        <v/>
      </c>
      <c r="T812" s="104"/>
      <c r="U812" s="105"/>
      <c r="V812" s="109" t="str">
        <f t="shared" si="2"/>
        <v/>
      </c>
      <c r="W812" s="110" t="str">
        <f t="shared" si="3"/>
        <v/>
      </c>
      <c r="X812" s="103" t="str">
        <f>if(S812,if(and(hour(S812+X$7)&gt;9.5,(hour(S812+X$7)&lt;19.5)),S812+X$7,_xlfn.workday.intl(int(S812),1,"0000001",Holidays!A:A)+hour(S812+X$7-$B$1)/24+minute(S812)/1440),"")</f>
        <v/>
      </c>
      <c r="Y812" s="104"/>
      <c r="Z812" s="105"/>
      <c r="AA812" s="111" t="str">
        <f t="shared" si="4"/>
        <v/>
      </c>
      <c r="AB812" s="110" t="str">
        <f t="shared" si="5"/>
        <v/>
      </c>
      <c r="AC812" s="103" t="str">
        <f>if(X812,_xlfn.WORKDAY.INTL(X812,AC$7,"0000001",Holidays!A:A)+hour(X812)/24+MINUTE(X812)/1440,"")</f>
        <v/>
      </c>
      <c r="AD812" s="104"/>
      <c r="AE812" s="105"/>
      <c r="AF812" s="111" t="str">
        <f t="shared" si="6"/>
        <v/>
      </c>
      <c r="AG812" s="110" t="str">
        <f t="shared" si="7"/>
        <v/>
      </c>
      <c r="AH812" s="103" t="str">
        <f>if(AC812,if(and(hour(AC812+AH$7)&gt;9.5,(hour(AC812+AH$7)&lt;19.5)),AC812+AH$7,_xlfn.workday.intl(int(AC812),1,"0000001",Holidays!A:A)+hour(AC812+AH$7-$B$1)/24+minute(AC812)/1440),"")</f>
        <v/>
      </c>
      <c r="AI812" s="104"/>
      <c r="AJ812" s="105"/>
      <c r="AK812" s="111" t="str">
        <f t="shared" si="8"/>
        <v/>
      </c>
      <c r="AL812" s="112" t="str">
        <f t="shared" si="9"/>
        <v/>
      </c>
      <c r="AM812" s="113"/>
      <c r="AN812" s="291" t="s">
        <v>2540</v>
      </c>
      <c r="AO812" s="115"/>
      <c r="AP812" s="115"/>
      <c r="AQ812" s="115"/>
      <c r="AR812" s="115"/>
      <c r="AS812" s="115"/>
      <c r="AT812" s="115"/>
      <c r="AU812" s="115"/>
      <c r="AV812" s="115"/>
      <c r="AW812" s="115"/>
      <c r="AX812" s="115"/>
      <c r="AY812" s="115"/>
    </row>
    <row r="813">
      <c r="A813" s="95" t="str">
        <f t="shared" si="11"/>
        <v/>
      </c>
      <c r="B813" s="100"/>
      <c r="C813" s="97"/>
      <c r="D813" s="97"/>
      <c r="E813" s="97"/>
      <c r="F813" s="97"/>
      <c r="G813" s="97"/>
      <c r="H813" s="99"/>
      <c r="I813" s="100"/>
      <c r="J813" s="101"/>
      <c r="K813" s="100"/>
      <c r="L813" s="102"/>
      <c r="M813" s="103" t="str">
        <f>if(B813,if(and(hour(B813+M$7)&gt;9.5,(hour(B813+M$7)&lt;19.5)),B813+M$7,_xlfn.workday.intl(int(B813),1,"0000001",Holidays!A:A)+hour(B813+M$7-$B$1)/24+minute(B813)/1440),"")</f>
        <v/>
      </c>
      <c r="N813" s="104"/>
      <c r="O813" s="105"/>
      <c r="P813" s="106" t="str">
        <f t="shared" si="1"/>
        <v/>
      </c>
      <c r="Q813" s="107"/>
      <c r="R813" s="108"/>
      <c r="S813" s="103" t="str">
        <f>if(M813,if(and(hour(M813+S$7)&gt;9.5,(hour(M813+S$7)&lt;19.5)),M813+S$7,_xlfn.workday.intl(int(M813),1,"0000001",Holidays!A:A)+hour(M813+S$7-$B$1)/24+minute(M813)/1440),"")</f>
        <v/>
      </c>
      <c r="T813" s="104"/>
      <c r="U813" s="105"/>
      <c r="V813" s="109" t="str">
        <f t="shared" si="2"/>
        <v/>
      </c>
      <c r="W813" s="110" t="str">
        <f t="shared" si="3"/>
        <v/>
      </c>
      <c r="X813" s="103" t="str">
        <f>if(S813,if(and(hour(S813+X$7)&gt;9.5,(hour(S813+X$7)&lt;19.5)),S813+X$7,_xlfn.workday.intl(int(S813),1,"0000001",Holidays!A:A)+hour(S813+X$7-$B$1)/24+minute(S813)/1440),"")</f>
        <v/>
      </c>
      <c r="Y813" s="104"/>
      <c r="Z813" s="105"/>
      <c r="AA813" s="111" t="str">
        <f t="shared" si="4"/>
        <v/>
      </c>
      <c r="AB813" s="110" t="str">
        <f t="shared" si="5"/>
        <v/>
      </c>
      <c r="AC813" s="103" t="str">
        <f>if(X813,_xlfn.WORKDAY.INTL(X813,AC$7,"0000001",Holidays!A:A)+hour(X813)/24+MINUTE(X813)/1440,"")</f>
        <v/>
      </c>
      <c r="AD813" s="104"/>
      <c r="AE813" s="105"/>
      <c r="AF813" s="111" t="str">
        <f t="shared" si="6"/>
        <v/>
      </c>
      <c r="AG813" s="110" t="str">
        <f t="shared" si="7"/>
        <v/>
      </c>
      <c r="AH813" s="103" t="str">
        <f>if(AC813,if(and(hour(AC813+AH$7)&gt;9.5,(hour(AC813+AH$7)&lt;19.5)),AC813+AH$7,_xlfn.workday.intl(int(AC813),1,"0000001",Holidays!A:A)+hour(AC813+AH$7-$B$1)/24+minute(AC813)/1440),"")</f>
        <v/>
      </c>
      <c r="AI813" s="104"/>
      <c r="AJ813" s="105"/>
      <c r="AK813" s="111" t="str">
        <f t="shared" si="8"/>
        <v/>
      </c>
      <c r="AL813" s="112" t="str">
        <f t="shared" si="9"/>
        <v/>
      </c>
      <c r="AM813" s="113"/>
      <c r="AN813" s="291" t="s">
        <v>2540</v>
      </c>
      <c r="AO813" s="115"/>
      <c r="AP813" s="115"/>
      <c r="AQ813" s="115"/>
      <c r="AR813" s="115"/>
      <c r="AS813" s="115"/>
      <c r="AT813" s="115"/>
      <c r="AU813" s="115"/>
      <c r="AV813" s="115"/>
      <c r="AW813" s="115"/>
      <c r="AX813" s="115"/>
      <c r="AY813" s="115"/>
    </row>
    <row r="814">
      <c r="A814" s="95" t="str">
        <f t="shared" si="11"/>
        <v/>
      </c>
      <c r="B814" s="100"/>
      <c r="C814" s="97"/>
      <c r="D814" s="97"/>
      <c r="E814" s="97"/>
      <c r="F814" s="97"/>
      <c r="G814" s="97"/>
      <c r="H814" s="99"/>
      <c r="I814" s="100"/>
      <c r="J814" s="101"/>
      <c r="K814" s="100"/>
      <c r="L814" s="102"/>
      <c r="M814" s="103" t="str">
        <f>if(B814,if(and(hour(B814+M$7)&gt;9.5,(hour(B814+M$7)&lt;19.5)),B814+M$7,_xlfn.workday.intl(int(B814),1,"0000001",Holidays!A:A)+hour(B814+M$7-$B$1)/24+minute(B814)/1440),"")</f>
        <v/>
      </c>
      <c r="N814" s="104"/>
      <c r="O814" s="105"/>
      <c r="P814" s="106" t="str">
        <f t="shared" si="1"/>
        <v/>
      </c>
      <c r="Q814" s="107"/>
      <c r="R814" s="108"/>
      <c r="S814" s="103" t="str">
        <f>if(M814,if(and(hour(M814+S$7)&gt;9.5,(hour(M814+S$7)&lt;19.5)),M814+S$7,_xlfn.workday.intl(int(M814),1,"0000001",Holidays!A:A)+hour(M814+S$7-$B$1)/24+minute(M814)/1440),"")</f>
        <v/>
      </c>
      <c r="T814" s="104"/>
      <c r="U814" s="105"/>
      <c r="V814" s="109" t="str">
        <f t="shared" si="2"/>
        <v/>
      </c>
      <c r="W814" s="110" t="str">
        <f t="shared" si="3"/>
        <v/>
      </c>
      <c r="X814" s="103" t="str">
        <f>if(S814,if(and(hour(S814+X$7)&gt;9.5,(hour(S814+X$7)&lt;19.5)),S814+X$7,_xlfn.workday.intl(int(S814),1,"0000001",Holidays!A:A)+hour(S814+X$7-$B$1)/24+minute(S814)/1440),"")</f>
        <v/>
      </c>
      <c r="Y814" s="104"/>
      <c r="Z814" s="105"/>
      <c r="AA814" s="111" t="str">
        <f t="shared" si="4"/>
        <v/>
      </c>
      <c r="AB814" s="110" t="str">
        <f t="shared" si="5"/>
        <v/>
      </c>
      <c r="AC814" s="103" t="str">
        <f>if(X814,_xlfn.WORKDAY.INTL(X814,AC$7,"0000001",Holidays!A:A)+hour(X814)/24+MINUTE(X814)/1440,"")</f>
        <v/>
      </c>
      <c r="AD814" s="104"/>
      <c r="AE814" s="105"/>
      <c r="AF814" s="111" t="str">
        <f t="shared" si="6"/>
        <v/>
      </c>
      <c r="AG814" s="110" t="str">
        <f t="shared" si="7"/>
        <v/>
      </c>
      <c r="AH814" s="103" t="str">
        <f>if(AC814,if(and(hour(AC814+AH$7)&gt;9.5,(hour(AC814+AH$7)&lt;19.5)),AC814+AH$7,_xlfn.workday.intl(int(AC814),1,"0000001",Holidays!A:A)+hour(AC814+AH$7-$B$1)/24+minute(AC814)/1440),"")</f>
        <v/>
      </c>
      <c r="AI814" s="104"/>
      <c r="AJ814" s="105"/>
      <c r="AK814" s="111" t="str">
        <f t="shared" si="8"/>
        <v/>
      </c>
      <c r="AL814" s="112" t="str">
        <f t="shared" si="9"/>
        <v/>
      </c>
      <c r="AM814" s="113"/>
      <c r="AN814" s="291" t="s">
        <v>2540</v>
      </c>
      <c r="AO814" s="115"/>
      <c r="AP814" s="115"/>
      <c r="AQ814" s="115"/>
      <c r="AR814" s="115"/>
      <c r="AS814" s="115"/>
      <c r="AT814" s="115"/>
      <c r="AU814" s="115"/>
      <c r="AV814" s="115"/>
      <c r="AW814" s="115"/>
      <c r="AX814" s="115"/>
      <c r="AY814" s="115"/>
    </row>
    <row r="815">
      <c r="A815" s="95" t="str">
        <f t="shared" si="11"/>
        <v/>
      </c>
      <c r="B815" s="100"/>
      <c r="C815" s="97"/>
      <c r="D815" s="97"/>
      <c r="E815" s="97"/>
      <c r="F815" s="97"/>
      <c r="G815" s="97"/>
      <c r="H815" s="99"/>
      <c r="I815" s="100"/>
      <c r="J815" s="101"/>
      <c r="K815" s="100"/>
      <c r="L815" s="102"/>
      <c r="M815" s="103" t="str">
        <f>if(B815,if(and(hour(B815+M$7)&gt;9.5,(hour(B815+M$7)&lt;19.5)),B815+M$7,_xlfn.workday.intl(int(B815),1,"0000001",Holidays!A:A)+hour(B815+M$7-$B$1)/24+minute(B815)/1440),"")</f>
        <v/>
      </c>
      <c r="N815" s="104"/>
      <c r="O815" s="105"/>
      <c r="P815" s="106" t="str">
        <f t="shared" si="1"/>
        <v/>
      </c>
      <c r="Q815" s="107"/>
      <c r="R815" s="108"/>
      <c r="S815" s="103" t="str">
        <f>if(M815,if(and(hour(M815+S$7)&gt;9.5,(hour(M815+S$7)&lt;19.5)),M815+S$7,_xlfn.workday.intl(int(M815),1,"0000001",Holidays!A:A)+hour(M815+S$7-$B$1)/24+minute(M815)/1440),"")</f>
        <v/>
      </c>
      <c r="T815" s="104"/>
      <c r="U815" s="105"/>
      <c r="V815" s="109" t="str">
        <f t="shared" si="2"/>
        <v/>
      </c>
      <c r="W815" s="110" t="str">
        <f t="shared" si="3"/>
        <v/>
      </c>
      <c r="X815" s="103" t="str">
        <f>if(S815,if(and(hour(S815+X$7)&gt;9.5,(hour(S815+X$7)&lt;19.5)),S815+X$7,_xlfn.workday.intl(int(S815),1,"0000001",Holidays!A:A)+hour(S815+X$7-$B$1)/24+minute(S815)/1440),"")</f>
        <v/>
      </c>
      <c r="Y815" s="104"/>
      <c r="Z815" s="105"/>
      <c r="AA815" s="111" t="str">
        <f t="shared" si="4"/>
        <v/>
      </c>
      <c r="AB815" s="110" t="str">
        <f t="shared" si="5"/>
        <v/>
      </c>
      <c r="AC815" s="103" t="str">
        <f>if(X815,_xlfn.WORKDAY.INTL(X815,AC$7,"0000001",Holidays!A:A)+hour(X815)/24+MINUTE(X815)/1440,"")</f>
        <v/>
      </c>
      <c r="AD815" s="104"/>
      <c r="AE815" s="105"/>
      <c r="AF815" s="111" t="str">
        <f t="shared" si="6"/>
        <v/>
      </c>
      <c r="AG815" s="110" t="str">
        <f t="shared" si="7"/>
        <v/>
      </c>
      <c r="AH815" s="103" t="str">
        <f>if(AC815,if(and(hour(AC815+AH$7)&gt;9.5,(hour(AC815+AH$7)&lt;19.5)),AC815+AH$7,_xlfn.workday.intl(int(AC815),1,"0000001",Holidays!A:A)+hour(AC815+AH$7-$B$1)/24+minute(AC815)/1440),"")</f>
        <v/>
      </c>
      <c r="AI815" s="104"/>
      <c r="AJ815" s="105"/>
      <c r="AK815" s="111" t="str">
        <f t="shared" si="8"/>
        <v/>
      </c>
      <c r="AL815" s="112" t="str">
        <f t="shared" si="9"/>
        <v/>
      </c>
      <c r="AM815" s="113"/>
      <c r="AN815" s="291" t="s">
        <v>2540</v>
      </c>
      <c r="AO815" s="115"/>
      <c r="AP815" s="115"/>
      <c r="AQ815" s="115"/>
      <c r="AR815" s="115"/>
      <c r="AS815" s="115"/>
      <c r="AT815" s="115"/>
      <c r="AU815" s="115"/>
      <c r="AV815" s="115"/>
      <c r="AW815" s="115"/>
      <c r="AX815" s="115"/>
      <c r="AY815" s="115"/>
    </row>
    <row r="816">
      <c r="A816" s="95" t="str">
        <f t="shared" si="11"/>
        <v/>
      </c>
      <c r="B816" s="100"/>
      <c r="C816" s="97"/>
      <c r="D816" s="97"/>
      <c r="E816" s="97"/>
      <c r="F816" s="97"/>
      <c r="G816" s="97"/>
      <c r="H816" s="99"/>
      <c r="I816" s="100"/>
      <c r="J816" s="101"/>
      <c r="K816" s="100"/>
      <c r="L816" s="102"/>
      <c r="M816" s="103" t="str">
        <f>if(B816,if(and(hour(B816+M$7)&gt;9.5,(hour(B816+M$7)&lt;19.5)),B816+M$7,_xlfn.workday.intl(int(B816),1,"0000001",Holidays!A:A)+hour(B816+M$7-$B$1)/24+minute(B816)/1440),"")</f>
        <v/>
      </c>
      <c r="N816" s="104"/>
      <c r="O816" s="105"/>
      <c r="P816" s="106" t="str">
        <f t="shared" si="1"/>
        <v/>
      </c>
      <c r="Q816" s="107"/>
      <c r="R816" s="108"/>
      <c r="S816" s="103" t="str">
        <f>if(M816,if(and(hour(M816+S$7)&gt;9.5,(hour(M816+S$7)&lt;19.5)),M816+S$7,_xlfn.workday.intl(int(M816),1,"0000001",Holidays!A:A)+hour(M816+S$7-$B$1)/24+minute(M816)/1440),"")</f>
        <v/>
      </c>
      <c r="T816" s="104"/>
      <c r="U816" s="105"/>
      <c r="V816" s="109" t="str">
        <f t="shared" si="2"/>
        <v/>
      </c>
      <c r="W816" s="110" t="str">
        <f t="shared" si="3"/>
        <v/>
      </c>
      <c r="X816" s="103" t="str">
        <f>if(S816,if(and(hour(S816+X$7)&gt;9.5,(hour(S816+X$7)&lt;19.5)),S816+X$7,_xlfn.workday.intl(int(S816),1,"0000001",Holidays!A:A)+hour(S816+X$7-$B$1)/24+minute(S816)/1440),"")</f>
        <v/>
      </c>
      <c r="Y816" s="104"/>
      <c r="Z816" s="105"/>
      <c r="AA816" s="111" t="str">
        <f t="shared" si="4"/>
        <v/>
      </c>
      <c r="AB816" s="110" t="str">
        <f t="shared" si="5"/>
        <v/>
      </c>
      <c r="AC816" s="103" t="str">
        <f>if(X816,_xlfn.WORKDAY.INTL(X816,AC$7,"0000001",Holidays!A:A)+hour(X816)/24+MINUTE(X816)/1440,"")</f>
        <v/>
      </c>
      <c r="AD816" s="104"/>
      <c r="AE816" s="105"/>
      <c r="AF816" s="111" t="str">
        <f t="shared" si="6"/>
        <v/>
      </c>
      <c r="AG816" s="110" t="str">
        <f t="shared" si="7"/>
        <v/>
      </c>
      <c r="AH816" s="103" t="str">
        <f>if(AC816,if(and(hour(AC816+AH$7)&gt;9.5,(hour(AC816+AH$7)&lt;19.5)),AC816+AH$7,_xlfn.workday.intl(int(AC816),1,"0000001",Holidays!A:A)+hour(AC816+AH$7-$B$1)/24+minute(AC816)/1440),"")</f>
        <v/>
      </c>
      <c r="AI816" s="104"/>
      <c r="AJ816" s="105"/>
      <c r="AK816" s="111" t="str">
        <f t="shared" si="8"/>
        <v/>
      </c>
      <c r="AL816" s="112" t="str">
        <f t="shared" si="9"/>
        <v/>
      </c>
      <c r="AM816" s="113"/>
      <c r="AN816" s="291" t="s">
        <v>2540</v>
      </c>
      <c r="AO816" s="115"/>
      <c r="AP816" s="115"/>
      <c r="AQ816" s="115"/>
      <c r="AR816" s="115"/>
      <c r="AS816" s="115"/>
      <c r="AT816" s="115"/>
      <c r="AU816" s="115"/>
      <c r="AV816" s="115"/>
      <c r="AW816" s="115"/>
      <c r="AX816" s="115"/>
      <c r="AY816" s="115"/>
    </row>
    <row r="817">
      <c r="A817" s="95" t="str">
        <f t="shared" si="11"/>
        <v/>
      </c>
      <c r="B817" s="100"/>
      <c r="C817" s="97"/>
      <c r="D817" s="97"/>
      <c r="E817" s="97"/>
      <c r="F817" s="97"/>
      <c r="G817" s="97"/>
      <c r="H817" s="99"/>
      <c r="I817" s="100"/>
      <c r="J817" s="101"/>
      <c r="K817" s="100"/>
      <c r="L817" s="102"/>
      <c r="M817" s="103" t="str">
        <f>if(B817,if(and(hour(B817+M$7)&gt;9.5,(hour(B817+M$7)&lt;19.5)),B817+M$7,_xlfn.workday.intl(int(B817),1,"0000001",Holidays!A:A)+hour(B817+M$7-$B$1)/24+minute(B817)/1440),"")</f>
        <v/>
      </c>
      <c r="N817" s="104"/>
      <c r="O817" s="105"/>
      <c r="P817" s="106" t="str">
        <f t="shared" si="1"/>
        <v/>
      </c>
      <c r="Q817" s="107"/>
      <c r="R817" s="108"/>
      <c r="S817" s="103" t="str">
        <f>if(M817,if(and(hour(M817+S$7)&gt;9.5,(hour(M817+S$7)&lt;19.5)),M817+S$7,_xlfn.workday.intl(int(M817),1,"0000001",Holidays!A:A)+hour(M817+S$7-$B$1)/24+minute(M817)/1440),"")</f>
        <v/>
      </c>
      <c r="T817" s="104"/>
      <c r="U817" s="105"/>
      <c r="V817" s="109" t="str">
        <f t="shared" si="2"/>
        <v/>
      </c>
      <c r="W817" s="110" t="str">
        <f t="shared" si="3"/>
        <v/>
      </c>
      <c r="X817" s="103" t="str">
        <f>if(S817,if(and(hour(S817+X$7)&gt;9.5,(hour(S817+X$7)&lt;19.5)),S817+X$7,_xlfn.workday.intl(int(S817),1,"0000001",Holidays!A:A)+hour(S817+X$7-$B$1)/24+minute(S817)/1440),"")</f>
        <v/>
      </c>
      <c r="Y817" s="104"/>
      <c r="Z817" s="105"/>
      <c r="AA817" s="111" t="str">
        <f t="shared" si="4"/>
        <v/>
      </c>
      <c r="AB817" s="110" t="str">
        <f t="shared" si="5"/>
        <v/>
      </c>
      <c r="AC817" s="103" t="str">
        <f>if(X817,_xlfn.WORKDAY.INTL(X817,AC$7,"0000001",Holidays!A:A)+hour(X817)/24+MINUTE(X817)/1440,"")</f>
        <v/>
      </c>
      <c r="AD817" s="104"/>
      <c r="AE817" s="105"/>
      <c r="AF817" s="111" t="str">
        <f t="shared" si="6"/>
        <v/>
      </c>
      <c r="AG817" s="110" t="str">
        <f t="shared" si="7"/>
        <v/>
      </c>
      <c r="AH817" s="103" t="str">
        <f>if(AC817,if(and(hour(AC817+AH$7)&gt;9.5,(hour(AC817+AH$7)&lt;19.5)),AC817+AH$7,_xlfn.workday.intl(int(AC817),1,"0000001",Holidays!A:A)+hour(AC817+AH$7-$B$1)/24+minute(AC817)/1440),"")</f>
        <v/>
      </c>
      <c r="AI817" s="104"/>
      <c r="AJ817" s="105"/>
      <c r="AK817" s="111" t="str">
        <f t="shared" si="8"/>
        <v/>
      </c>
      <c r="AL817" s="112" t="str">
        <f t="shared" si="9"/>
        <v/>
      </c>
      <c r="AM817" s="113"/>
      <c r="AN817" s="291" t="s">
        <v>2540</v>
      </c>
      <c r="AO817" s="115"/>
      <c r="AP817" s="115"/>
      <c r="AQ817" s="115"/>
      <c r="AR817" s="115"/>
      <c r="AS817" s="115"/>
      <c r="AT817" s="115"/>
      <c r="AU817" s="115"/>
      <c r="AV817" s="115"/>
      <c r="AW817" s="115"/>
      <c r="AX817" s="115"/>
      <c r="AY817" s="115"/>
    </row>
    <row r="818">
      <c r="A818" s="95" t="str">
        <f t="shared" si="11"/>
        <v/>
      </c>
      <c r="B818" s="100"/>
      <c r="C818" s="97"/>
      <c r="D818" s="97"/>
      <c r="E818" s="97"/>
      <c r="F818" s="97"/>
      <c r="G818" s="97"/>
      <c r="H818" s="99"/>
      <c r="I818" s="100"/>
      <c r="J818" s="101"/>
      <c r="K818" s="100"/>
      <c r="L818" s="102"/>
      <c r="M818" s="103" t="str">
        <f>if(B818,if(and(hour(B818+M$7)&gt;9.5,(hour(B818+M$7)&lt;19.5)),B818+M$7,_xlfn.workday.intl(int(B818),1,"0000001",Holidays!A:A)+hour(B818+M$7-$B$1)/24+minute(B818)/1440),"")</f>
        <v/>
      </c>
      <c r="N818" s="104"/>
      <c r="O818" s="105"/>
      <c r="P818" s="106" t="str">
        <f t="shared" si="1"/>
        <v/>
      </c>
      <c r="Q818" s="107"/>
      <c r="R818" s="108"/>
      <c r="S818" s="103" t="str">
        <f>if(M818,if(and(hour(M818+S$7)&gt;9.5,(hour(M818+S$7)&lt;19.5)),M818+S$7,_xlfn.workday.intl(int(M818),1,"0000001",Holidays!A:A)+hour(M818+S$7-$B$1)/24+minute(M818)/1440),"")</f>
        <v/>
      </c>
      <c r="T818" s="104"/>
      <c r="U818" s="105"/>
      <c r="V818" s="109" t="str">
        <f t="shared" si="2"/>
        <v/>
      </c>
      <c r="W818" s="110" t="str">
        <f t="shared" si="3"/>
        <v/>
      </c>
      <c r="X818" s="103" t="str">
        <f>if(S818,if(and(hour(S818+X$7)&gt;9.5,(hour(S818+X$7)&lt;19.5)),S818+X$7,_xlfn.workday.intl(int(S818),1,"0000001",Holidays!A:A)+hour(S818+X$7-$B$1)/24+minute(S818)/1440),"")</f>
        <v/>
      </c>
      <c r="Y818" s="104"/>
      <c r="Z818" s="105"/>
      <c r="AA818" s="111" t="str">
        <f t="shared" si="4"/>
        <v/>
      </c>
      <c r="AB818" s="110" t="str">
        <f t="shared" si="5"/>
        <v/>
      </c>
      <c r="AC818" s="103" t="str">
        <f>if(X818,_xlfn.WORKDAY.INTL(X818,AC$7,"0000001",Holidays!A:A)+hour(X818)/24+MINUTE(X818)/1440,"")</f>
        <v/>
      </c>
      <c r="AD818" s="104"/>
      <c r="AE818" s="105"/>
      <c r="AF818" s="111" t="str">
        <f t="shared" si="6"/>
        <v/>
      </c>
      <c r="AG818" s="110" t="str">
        <f t="shared" si="7"/>
        <v/>
      </c>
      <c r="AH818" s="103" t="str">
        <f>if(AC818,if(and(hour(AC818+AH$7)&gt;9.5,(hour(AC818+AH$7)&lt;19.5)),AC818+AH$7,_xlfn.workday.intl(int(AC818),1,"0000001",Holidays!A:A)+hour(AC818+AH$7-$B$1)/24+minute(AC818)/1440),"")</f>
        <v/>
      </c>
      <c r="AI818" s="104"/>
      <c r="AJ818" s="105"/>
      <c r="AK818" s="111" t="str">
        <f t="shared" si="8"/>
        <v/>
      </c>
      <c r="AL818" s="112" t="str">
        <f t="shared" si="9"/>
        <v/>
      </c>
      <c r="AM818" s="113"/>
      <c r="AN818" s="291" t="s">
        <v>2540</v>
      </c>
      <c r="AO818" s="115"/>
      <c r="AP818" s="115"/>
      <c r="AQ818" s="115"/>
      <c r="AR818" s="115"/>
      <c r="AS818" s="115"/>
      <c r="AT818" s="115"/>
      <c r="AU818" s="115"/>
      <c r="AV818" s="115"/>
      <c r="AW818" s="115"/>
      <c r="AX818" s="115"/>
      <c r="AY818" s="115"/>
    </row>
    <row r="819">
      <c r="A819" s="95" t="str">
        <f t="shared" si="11"/>
        <v/>
      </c>
      <c r="B819" s="100"/>
      <c r="C819" s="97"/>
      <c r="D819" s="97"/>
      <c r="E819" s="97"/>
      <c r="F819" s="97"/>
      <c r="G819" s="97"/>
      <c r="H819" s="99"/>
      <c r="I819" s="100"/>
      <c r="J819" s="101"/>
      <c r="K819" s="100"/>
      <c r="L819" s="102"/>
      <c r="M819" s="103" t="str">
        <f>if(B819,if(and(hour(B819+M$7)&gt;9.5,(hour(B819+M$7)&lt;19.5)),B819+M$7,_xlfn.workday.intl(int(B819),1,"0000001",Holidays!A:A)+hour(B819+M$7-$B$1)/24+minute(B819)/1440),"")</f>
        <v/>
      </c>
      <c r="N819" s="104"/>
      <c r="O819" s="105"/>
      <c r="P819" s="106" t="str">
        <f t="shared" si="1"/>
        <v/>
      </c>
      <c r="Q819" s="107"/>
      <c r="R819" s="108"/>
      <c r="S819" s="103" t="str">
        <f>if(M819,if(and(hour(M819+S$7)&gt;9.5,(hour(M819+S$7)&lt;19.5)),M819+S$7,_xlfn.workday.intl(int(M819),1,"0000001",Holidays!A:A)+hour(M819+S$7-$B$1)/24+minute(M819)/1440),"")</f>
        <v/>
      </c>
      <c r="T819" s="104"/>
      <c r="U819" s="105"/>
      <c r="V819" s="109" t="str">
        <f t="shared" si="2"/>
        <v/>
      </c>
      <c r="W819" s="110" t="str">
        <f t="shared" si="3"/>
        <v/>
      </c>
      <c r="X819" s="103" t="str">
        <f>if(S819,if(and(hour(S819+X$7)&gt;9.5,(hour(S819+X$7)&lt;19.5)),S819+X$7,_xlfn.workday.intl(int(S819),1,"0000001",Holidays!A:A)+hour(S819+X$7-$B$1)/24+minute(S819)/1440),"")</f>
        <v/>
      </c>
      <c r="Y819" s="104"/>
      <c r="Z819" s="105"/>
      <c r="AA819" s="111" t="str">
        <f t="shared" si="4"/>
        <v/>
      </c>
      <c r="AB819" s="110" t="str">
        <f t="shared" si="5"/>
        <v/>
      </c>
      <c r="AC819" s="103" t="str">
        <f>if(X819,_xlfn.WORKDAY.INTL(X819,AC$7,"0000001",Holidays!A:A)+hour(X819)/24+MINUTE(X819)/1440,"")</f>
        <v/>
      </c>
      <c r="AD819" s="104"/>
      <c r="AE819" s="105"/>
      <c r="AF819" s="111" t="str">
        <f t="shared" si="6"/>
        <v/>
      </c>
      <c r="AG819" s="110" t="str">
        <f t="shared" si="7"/>
        <v/>
      </c>
      <c r="AH819" s="103" t="str">
        <f>if(AC819,if(and(hour(AC819+AH$7)&gt;9.5,(hour(AC819+AH$7)&lt;19.5)),AC819+AH$7,_xlfn.workday.intl(int(AC819),1,"0000001",Holidays!A:A)+hour(AC819+AH$7-$B$1)/24+minute(AC819)/1440),"")</f>
        <v/>
      </c>
      <c r="AI819" s="104"/>
      <c r="AJ819" s="105"/>
      <c r="AK819" s="111" t="str">
        <f t="shared" si="8"/>
        <v/>
      </c>
      <c r="AL819" s="112" t="str">
        <f t="shared" si="9"/>
        <v/>
      </c>
      <c r="AM819" s="113"/>
      <c r="AN819" s="291" t="s">
        <v>2540</v>
      </c>
      <c r="AO819" s="115"/>
      <c r="AP819" s="115"/>
      <c r="AQ819" s="115"/>
      <c r="AR819" s="115"/>
      <c r="AS819" s="115"/>
      <c r="AT819" s="115"/>
      <c r="AU819" s="115"/>
      <c r="AV819" s="115"/>
      <c r="AW819" s="115"/>
      <c r="AX819" s="115"/>
      <c r="AY819" s="115"/>
    </row>
    <row r="820">
      <c r="A820" s="95" t="str">
        <f t="shared" si="11"/>
        <v/>
      </c>
      <c r="B820" s="100"/>
      <c r="C820" s="97"/>
      <c r="D820" s="97"/>
      <c r="E820" s="97"/>
      <c r="F820" s="97"/>
      <c r="G820" s="97"/>
      <c r="H820" s="99"/>
      <c r="I820" s="100"/>
      <c r="J820" s="101"/>
      <c r="K820" s="100"/>
      <c r="L820" s="102"/>
      <c r="M820" s="103" t="str">
        <f>if(B820,if(and(hour(B820+M$7)&gt;9.5,(hour(B820+M$7)&lt;19.5)),B820+M$7,_xlfn.workday.intl(int(B820),1,"0000001",Holidays!A:A)+hour(B820+M$7-$B$1)/24+minute(B820)/1440),"")</f>
        <v/>
      </c>
      <c r="N820" s="104"/>
      <c r="O820" s="105"/>
      <c r="P820" s="106" t="str">
        <f t="shared" si="1"/>
        <v/>
      </c>
      <c r="Q820" s="107"/>
      <c r="R820" s="108"/>
      <c r="S820" s="103" t="str">
        <f>if(M820,if(and(hour(M820+S$7)&gt;9.5,(hour(M820+S$7)&lt;19.5)),M820+S$7,_xlfn.workday.intl(int(M820),1,"0000001",Holidays!A:A)+hour(M820+S$7-$B$1)/24+minute(M820)/1440),"")</f>
        <v/>
      </c>
      <c r="T820" s="104"/>
      <c r="U820" s="105"/>
      <c r="V820" s="109" t="str">
        <f t="shared" si="2"/>
        <v/>
      </c>
      <c r="W820" s="110" t="str">
        <f t="shared" si="3"/>
        <v/>
      </c>
      <c r="X820" s="103" t="str">
        <f>if(S820,if(and(hour(S820+X$7)&gt;9.5,(hour(S820+X$7)&lt;19.5)),S820+X$7,_xlfn.workday.intl(int(S820),1,"0000001",Holidays!A:A)+hour(S820+X$7-$B$1)/24+minute(S820)/1440),"")</f>
        <v/>
      </c>
      <c r="Y820" s="104"/>
      <c r="Z820" s="105"/>
      <c r="AA820" s="111" t="str">
        <f t="shared" si="4"/>
        <v/>
      </c>
      <c r="AB820" s="110" t="str">
        <f t="shared" si="5"/>
        <v/>
      </c>
      <c r="AC820" s="103" t="str">
        <f>if(X820,_xlfn.WORKDAY.INTL(X820,AC$7,"0000001",Holidays!A:A)+hour(X820)/24+MINUTE(X820)/1440,"")</f>
        <v/>
      </c>
      <c r="AD820" s="104"/>
      <c r="AE820" s="105"/>
      <c r="AF820" s="111" t="str">
        <f t="shared" si="6"/>
        <v/>
      </c>
      <c r="AG820" s="110" t="str">
        <f t="shared" si="7"/>
        <v/>
      </c>
      <c r="AH820" s="103" t="str">
        <f>if(AC820,if(and(hour(AC820+AH$7)&gt;9.5,(hour(AC820+AH$7)&lt;19.5)),AC820+AH$7,_xlfn.workday.intl(int(AC820),1,"0000001",Holidays!A:A)+hour(AC820+AH$7-$B$1)/24+minute(AC820)/1440),"")</f>
        <v/>
      </c>
      <c r="AI820" s="104"/>
      <c r="AJ820" s="105"/>
      <c r="AK820" s="111" t="str">
        <f t="shared" si="8"/>
        <v/>
      </c>
      <c r="AL820" s="112" t="str">
        <f t="shared" si="9"/>
        <v/>
      </c>
      <c r="AM820" s="113"/>
      <c r="AN820" s="291" t="s">
        <v>2540</v>
      </c>
      <c r="AO820" s="115"/>
      <c r="AP820" s="115"/>
      <c r="AQ820" s="115"/>
      <c r="AR820" s="115"/>
      <c r="AS820" s="115"/>
      <c r="AT820" s="115"/>
      <c r="AU820" s="115"/>
      <c r="AV820" s="115"/>
      <c r="AW820" s="115"/>
      <c r="AX820" s="115"/>
      <c r="AY820" s="115"/>
    </row>
    <row r="821">
      <c r="A821" s="95" t="str">
        <f t="shared" si="11"/>
        <v/>
      </c>
      <c r="B821" s="100"/>
      <c r="C821" s="97"/>
      <c r="D821" s="97"/>
      <c r="E821" s="97"/>
      <c r="F821" s="97"/>
      <c r="G821" s="97"/>
      <c r="H821" s="99"/>
      <c r="I821" s="100"/>
      <c r="J821" s="101"/>
      <c r="K821" s="100"/>
      <c r="L821" s="102"/>
      <c r="M821" s="103" t="str">
        <f>if(B821,if(and(hour(B821+M$7)&gt;9.5,(hour(B821+M$7)&lt;19.5)),B821+M$7,_xlfn.workday.intl(int(B821),1,"0000001",Holidays!A:A)+hour(B821+M$7-$B$1)/24+minute(B821)/1440),"")</f>
        <v/>
      </c>
      <c r="N821" s="104"/>
      <c r="O821" s="105"/>
      <c r="P821" s="106" t="str">
        <f t="shared" si="1"/>
        <v/>
      </c>
      <c r="Q821" s="107"/>
      <c r="R821" s="108"/>
      <c r="S821" s="103" t="str">
        <f>if(M821,if(and(hour(M821+S$7)&gt;9.5,(hour(M821+S$7)&lt;19.5)),M821+S$7,_xlfn.workday.intl(int(M821),1,"0000001",Holidays!A:A)+hour(M821+S$7-$B$1)/24+minute(M821)/1440),"")</f>
        <v/>
      </c>
      <c r="T821" s="104"/>
      <c r="U821" s="105"/>
      <c r="V821" s="109" t="str">
        <f t="shared" si="2"/>
        <v/>
      </c>
      <c r="W821" s="110" t="str">
        <f t="shared" si="3"/>
        <v/>
      </c>
      <c r="X821" s="103" t="str">
        <f>if(S821,if(and(hour(S821+X$7)&gt;9.5,(hour(S821+X$7)&lt;19.5)),S821+X$7,_xlfn.workday.intl(int(S821),1,"0000001",Holidays!A:A)+hour(S821+X$7-$B$1)/24+minute(S821)/1440),"")</f>
        <v/>
      </c>
      <c r="Y821" s="104"/>
      <c r="Z821" s="105"/>
      <c r="AA821" s="111" t="str">
        <f t="shared" si="4"/>
        <v/>
      </c>
      <c r="AB821" s="110" t="str">
        <f t="shared" si="5"/>
        <v/>
      </c>
      <c r="AC821" s="103" t="str">
        <f>if(X821,_xlfn.WORKDAY.INTL(X821,AC$7,"0000001",Holidays!A:A)+hour(X821)/24+MINUTE(X821)/1440,"")</f>
        <v/>
      </c>
      <c r="AD821" s="104"/>
      <c r="AE821" s="105"/>
      <c r="AF821" s="111" t="str">
        <f t="shared" si="6"/>
        <v/>
      </c>
      <c r="AG821" s="110" t="str">
        <f t="shared" si="7"/>
        <v/>
      </c>
      <c r="AH821" s="103" t="str">
        <f>if(AC821,if(and(hour(AC821+AH$7)&gt;9.5,(hour(AC821+AH$7)&lt;19.5)),AC821+AH$7,_xlfn.workday.intl(int(AC821),1,"0000001",Holidays!A:A)+hour(AC821+AH$7-$B$1)/24+minute(AC821)/1440),"")</f>
        <v/>
      </c>
      <c r="AI821" s="104"/>
      <c r="AJ821" s="105"/>
      <c r="AK821" s="111" t="str">
        <f t="shared" si="8"/>
        <v/>
      </c>
      <c r="AL821" s="112" t="str">
        <f t="shared" si="9"/>
        <v/>
      </c>
      <c r="AM821" s="113"/>
      <c r="AN821" s="291" t="s">
        <v>2540</v>
      </c>
      <c r="AO821" s="115"/>
      <c r="AP821" s="115"/>
      <c r="AQ821" s="115"/>
      <c r="AR821" s="115"/>
      <c r="AS821" s="115"/>
      <c r="AT821" s="115"/>
      <c r="AU821" s="115"/>
      <c r="AV821" s="115"/>
      <c r="AW821" s="115"/>
      <c r="AX821" s="115"/>
      <c r="AY821" s="115"/>
    </row>
    <row r="822">
      <c r="A822" s="95" t="str">
        <f t="shared" si="11"/>
        <v/>
      </c>
      <c r="B822" s="100"/>
      <c r="C822" s="97"/>
      <c r="D822" s="97"/>
      <c r="E822" s="97"/>
      <c r="F822" s="97"/>
      <c r="G822" s="97"/>
      <c r="H822" s="99"/>
      <c r="I822" s="100"/>
      <c r="J822" s="101"/>
      <c r="K822" s="100"/>
      <c r="L822" s="102"/>
      <c r="M822" s="103" t="str">
        <f>if(B822,if(and(hour(B822+M$7)&gt;9.5,(hour(B822+M$7)&lt;19.5)),B822+M$7,_xlfn.workday.intl(int(B822),1,"0000001",Holidays!A:A)+hour(B822+M$7-$B$1)/24+minute(B822)/1440),"")</f>
        <v/>
      </c>
      <c r="N822" s="104"/>
      <c r="O822" s="105"/>
      <c r="P822" s="106" t="str">
        <f t="shared" si="1"/>
        <v/>
      </c>
      <c r="Q822" s="107"/>
      <c r="R822" s="108"/>
      <c r="S822" s="103" t="str">
        <f>if(M822,if(and(hour(M822+S$7)&gt;9.5,(hour(M822+S$7)&lt;19.5)),M822+S$7,_xlfn.workday.intl(int(M822),1,"0000001",Holidays!A:A)+hour(M822+S$7-$B$1)/24+minute(M822)/1440),"")</f>
        <v/>
      </c>
      <c r="T822" s="104"/>
      <c r="U822" s="105"/>
      <c r="V822" s="109" t="str">
        <f t="shared" si="2"/>
        <v/>
      </c>
      <c r="W822" s="110" t="str">
        <f t="shared" si="3"/>
        <v/>
      </c>
      <c r="X822" s="103" t="str">
        <f>if(S822,if(and(hour(S822+X$7)&gt;9.5,(hour(S822+X$7)&lt;19.5)),S822+X$7,_xlfn.workday.intl(int(S822),1,"0000001",Holidays!A:A)+hour(S822+X$7-$B$1)/24+minute(S822)/1440),"")</f>
        <v/>
      </c>
      <c r="Y822" s="104"/>
      <c r="Z822" s="105"/>
      <c r="AA822" s="111" t="str">
        <f t="shared" si="4"/>
        <v/>
      </c>
      <c r="AB822" s="110" t="str">
        <f t="shared" si="5"/>
        <v/>
      </c>
      <c r="AC822" s="103" t="str">
        <f>if(X822,_xlfn.WORKDAY.INTL(X822,AC$7,"0000001",Holidays!A:A)+hour(X822)/24+MINUTE(X822)/1440,"")</f>
        <v/>
      </c>
      <c r="AD822" s="104"/>
      <c r="AE822" s="105"/>
      <c r="AF822" s="111" t="str">
        <f t="shared" si="6"/>
        <v/>
      </c>
      <c r="AG822" s="110" t="str">
        <f t="shared" si="7"/>
        <v/>
      </c>
      <c r="AH822" s="103" t="str">
        <f>if(AC822,if(and(hour(AC822+AH$7)&gt;9.5,(hour(AC822+AH$7)&lt;19.5)),AC822+AH$7,_xlfn.workday.intl(int(AC822),1,"0000001",Holidays!A:A)+hour(AC822+AH$7-$B$1)/24+minute(AC822)/1440),"")</f>
        <v/>
      </c>
      <c r="AI822" s="104"/>
      <c r="AJ822" s="105"/>
      <c r="AK822" s="111" t="str">
        <f t="shared" si="8"/>
        <v/>
      </c>
      <c r="AL822" s="112" t="str">
        <f t="shared" si="9"/>
        <v/>
      </c>
      <c r="AM822" s="113"/>
      <c r="AN822" s="291" t="s">
        <v>2540</v>
      </c>
      <c r="AO822" s="115"/>
      <c r="AP822" s="115"/>
      <c r="AQ822" s="115"/>
      <c r="AR822" s="115"/>
      <c r="AS822" s="115"/>
      <c r="AT822" s="115"/>
      <c r="AU822" s="115"/>
      <c r="AV822" s="115"/>
      <c r="AW822" s="115"/>
      <c r="AX822" s="115"/>
      <c r="AY822" s="115"/>
    </row>
    <row r="823">
      <c r="A823" s="95" t="str">
        <f t="shared" si="11"/>
        <v/>
      </c>
      <c r="B823" s="100"/>
      <c r="C823" s="97"/>
      <c r="D823" s="97"/>
      <c r="E823" s="97"/>
      <c r="F823" s="97"/>
      <c r="G823" s="97"/>
      <c r="H823" s="99"/>
      <c r="I823" s="100"/>
      <c r="J823" s="101"/>
      <c r="K823" s="100"/>
      <c r="L823" s="102"/>
      <c r="M823" s="103" t="str">
        <f>if(B823,if(and(hour(B823+M$7)&gt;9.5,(hour(B823+M$7)&lt;19.5)),B823+M$7,_xlfn.workday.intl(int(B823),1,"0000001",Holidays!A:A)+hour(B823+M$7-$B$1)/24+minute(B823)/1440),"")</f>
        <v/>
      </c>
      <c r="N823" s="104"/>
      <c r="O823" s="105"/>
      <c r="P823" s="106" t="str">
        <f t="shared" si="1"/>
        <v/>
      </c>
      <c r="Q823" s="107"/>
      <c r="R823" s="108"/>
      <c r="S823" s="103" t="str">
        <f>if(M823,if(and(hour(M823+S$7)&gt;9.5,(hour(M823+S$7)&lt;19.5)),M823+S$7,_xlfn.workday.intl(int(M823),1,"0000001",Holidays!A:A)+hour(M823+S$7-$B$1)/24+minute(M823)/1440),"")</f>
        <v/>
      </c>
      <c r="T823" s="104"/>
      <c r="U823" s="105"/>
      <c r="V823" s="109" t="str">
        <f t="shared" si="2"/>
        <v/>
      </c>
      <c r="W823" s="110" t="str">
        <f t="shared" si="3"/>
        <v/>
      </c>
      <c r="X823" s="103" t="str">
        <f>if(S823,if(and(hour(S823+X$7)&gt;9.5,(hour(S823+X$7)&lt;19.5)),S823+X$7,_xlfn.workday.intl(int(S823),1,"0000001",Holidays!A:A)+hour(S823+X$7-$B$1)/24+minute(S823)/1440),"")</f>
        <v/>
      </c>
      <c r="Y823" s="104"/>
      <c r="Z823" s="105"/>
      <c r="AA823" s="111" t="str">
        <f t="shared" si="4"/>
        <v/>
      </c>
      <c r="AB823" s="110" t="str">
        <f t="shared" si="5"/>
        <v/>
      </c>
      <c r="AC823" s="103" t="str">
        <f>if(X823,_xlfn.WORKDAY.INTL(X823,AC$7,"0000001",Holidays!A:A)+hour(X823)/24+MINUTE(X823)/1440,"")</f>
        <v/>
      </c>
      <c r="AD823" s="104"/>
      <c r="AE823" s="105"/>
      <c r="AF823" s="111" t="str">
        <f t="shared" si="6"/>
        <v/>
      </c>
      <c r="AG823" s="110" t="str">
        <f t="shared" si="7"/>
        <v/>
      </c>
      <c r="AH823" s="103" t="str">
        <f>if(AC823,if(and(hour(AC823+AH$7)&gt;9.5,(hour(AC823+AH$7)&lt;19.5)),AC823+AH$7,_xlfn.workday.intl(int(AC823),1,"0000001",Holidays!A:A)+hour(AC823+AH$7-$B$1)/24+minute(AC823)/1440),"")</f>
        <v/>
      </c>
      <c r="AI823" s="104"/>
      <c r="AJ823" s="105"/>
      <c r="AK823" s="111" t="str">
        <f t="shared" si="8"/>
        <v/>
      </c>
      <c r="AL823" s="112" t="str">
        <f t="shared" si="9"/>
        <v/>
      </c>
      <c r="AM823" s="113"/>
      <c r="AN823" s="291" t="s">
        <v>2540</v>
      </c>
      <c r="AO823" s="115"/>
      <c r="AP823" s="115"/>
      <c r="AQ823" s="115"/>
      <c r="AR823" s="115"/>
      <c r="AS823" s="115"/>
      <c r="AT823" s="115"/>
      <c r="AU823" s="115"/>
      <c r="AV823" s="115"/>
      <c r="AW823" s="115"/>
      <c r="AX823" s="115"/>
      <c r="AY823" s="115"/>
    </row>
    <row r="824">
      <c r="A824" s="95" t="str">
        <f t="shared" si="11"/>
        <v/>
      </c>
      <c r="B824" s="100"/>
      <c r="C824" s="97"/>
      <c r="D824" s="97"/>
      <c r="E824" s="97"/>
      <c r="F824" s="97"/>
      <c r="G824" s="97"/>
      <c r="H824" s="99"/>
      <c r="I824" s="100"/>
      <c r="J824" s="101"/>
      <c r="K824" s="100"/>
      <c r="L824" s="102"/>
      <c r="M824" s="103" t="str">
        <f>if(B824,if(and(hour(B824+M$7)&gt;9.5,(hour(B824+M$7)&lt;19.5)),B824+M$7,_xlfn.workday.intl(int(B824),1,"0000001",Holidays!A:A)+hour(B824+M$7-$B$1)/24+minute(B824)/1440),"")</f>
        <v/>
      </c>
      <c r="N824" s="104"/>
      <c r="O824" s="105"/>
      <c r="P824" s="106" t="str">
        <f t="shared" si="1"/>
        <v/>
      </c>
      <c r="Q824" s="107"/>
      <c r="R824" s="108"/>
      <c r="S824" s="103" t="str">
        <f>if(M824,if(and(hour(M824+S$7)&gt;9.5,(hour(M824+S$7)&lt;19.5)),M824+S$7,_xlfn.workday.intl(int(M824),1,"0000001",Holidays!A:A)+hour(M824+S$7-$B$1)/24+minute(M824)/1440),"")</f>
        <v/>
      </c>
      <c r="T824" s="104"/>
      <c r="U824" s="105"/>
      <c r="V824" s="109" t="str">
        <f t="shared" si="2"/>
        <v/>
      </c>
      <c r="W824" s="110" t="str">
        <f t="shared" si="3"/>
        <v/>
      </c>
      <c r="X824" s="103" t="str">
        <f>if(S824,if(and(hour(S824+X$7)&gt;9.5,(hour(S824+X$7)&lt;19.5)),S824+X$7,_xlfn.workday.intl(int(S824),1,"0000001",Holidays!A:A)+hour(S824+X$7-$B$1)/24+minute(S824)/1440),"")</f>
        <v/>
      </c>
      <c r="Y824" s="104"/>
      <c r="Z824" s="105"/>
      <c r="AA824" s="111" t="str">
        <f t="shared" si="4"/>
        <v/>
      </c>
      <c r="AB824" s="110" t="str">
        <f t="shared" si="5"/>
        <v/>
      </c>
      <c r="AC824" s="103" t="str">
        <f>if(X824,_xlfn.WORKDAY.INTL(X824,AC$7,"0000001",Holidays!A:A)+hour(X824)/24+MINUTE(X824)/1440,"")</f>
        <v/>
      </c>
      <c r="AD824" s="104"/>
      <c r="AE824" s="105"/>
      <c r="AF824" s="111" t="str">
        <f t="shared" si="6"/>
        <v/>
      </c>
      <c r="AG824" s="110" t="str">
        <f t="shared" si="7"/>
        <v/>
      </c>
      <c r="AH824" s="103" t="str">
        <f>if(AC824,if(and(hour(AC824+AH$7)&gt;9.5,(hour(AC824+AH$7)&lt;19.5)),AC824+AH$7,_xlfn.workday.intl(int(AC824),1,"0000001",Holidays!A:A)+hour(AC824+AH$7-$B$1)/24+minute(AC824)/1440),"")</f>
        <v/>
      </c>
      <c r="AI824" s="104"/>
      <c r="AJ824" s="105"/>
      <c r="AK824" s="111" t="str">
        <f t="shared" si="8"/>
        <v/>
      </c>
      <c r="AL824" s="112" t="str">
        <f t="shared" si="9"/>
        <v/>
      </c>
      <c r="AM824" s="113"/>
      <c r="AN824" s="291" t="s">
        <v>2540</v>
      </c>
      <c r="AO824" s="115"/>
      <c r="AP824" s="115"/>
      <c r="AQ824" s="115"/>
      <c r="AR824" s="115"/>
      <c r="AS824" s="115"/>
      <c r="AT824" s="115"/>
      <c r="AU824" s="115"/>
      <c r="AV824" s="115"/>
      <c r="AW824" s="115"/>
      <c r="AX824" s="115"/>
      <c r="AY824" s="115"/>
    </row>
    <row r="825">
      <c r="A825" s="95" t="str">
        <f t="shared" si="11"/>
        <v/>
      </c>
      <c r="B825" s="100"/>
      <c r="C825" s="97"/>
      <c r="D825" s="97"/>
      <c r="E825" s="97"/>
      <c r="F825" s="97"/>
      <c r="G825" s="97"/>
      <c r="H825" s="99"/>
      <c r="I825" s="100"/>
      <c r="J825" s="101"/>
      <c r="K825" s="100"/>
      <c r="L825" s="102"/>
      <c r="M825" s="103" t="str">
        <f>if(B825,if(and(hour(B825+M$7)&gt;9.5,(hour(B825+M$7)&lt;19.5)),B825+M$7,_xlfn.workday.intl(int(B825),1,"0000001",Holidays!A:A)+hour(B825+M$7-$B$1)/24+minute(B825)/1440),"")</f>
        <v/>
      </c>
      <c r="N825" s="104"/>
      <c r="O825" s="105"/>
      <c r="P825" s="106" t="str">
        <f t="shared" si="1"/>
        <v/>
      </c>
      <c r="Q825" s="107"/>
      <c r="R825" s="108"/>
      <c r="S825" s="103" t="str">
        <f>if(M825,if(and(hour(M825+S$7)&gt;9.5,(hour(M825+S$7)&lt;19.5)),M825+S$7,_xlfn.workday.intl(int(M825),1,"0000001",Holidays!A:A)+hour(M825+S$7-$B$1)/24+minute(M825)/1440),"")</f>
        <v/>
      </c>
      <c r="T825" s="104"/>
      <c r="U825" s="105"/>
      <c r="V825" s="109" t="str">
        <f t="shared" si="2"/>
        <v/>
      </c>
      <c r="W825" s="110" t="str">
        <f t="shared" si="3"/>
        <v/>
      </c>
      <c r="X825" s="103" t="str">
        <f>if(S825,if(and(hour(S825+X$7)&gt;9.5,(hour(S825+X$7)&lt;19.5)),S825+X$7,_xlfn.workday.intl(int(S825),1,"0000001",Holidays!A:A)+hour(S825+X$7-$B$1)/24+minute(S825)/1440),"")</f>
        <v/>
      </c>
      <c r="Y825" s="104"/>
      <c r="Z825" s="105"/>
      <c r="AA825" s="111" t="str">
        <f t="shared" si="4"/>
        <v/>
      </c>
      <c r="AB825" s="110" t="str">
        <f t="shared" si="5"/>
        <v/>
      </c>
      <c r="AC825" s="103" t="str">
        <f>if(X825,_xlfn.WORKDAY.INTL(X825,AC$7,"0000001",Holidays!A:A)+hour(X825)/24+MINUTE(X825)/1440,"")</f>
        <v/>
      </c>
      <c r="AD825" s="104"/>
      <c r="AE825" s="105"/>
      <c r="AF825" s="111" t="str">
        <f t="shared" si="6"/>
        <v/>
      </c>
      <c r="AG825" s="110" t="str">
        <f t="shared" si="7"/>
        <v/>
      </c>
      <c r="AH825" s="103" t="str">
        <f>if(AC825,if(and(hour(AC825+AH$7)&gt;9.5,(hour(AC825+AH$7)&lt;19.5)),AC825+AH$7,_xlfn.workday.intl(int(AC825),1,"0000001",Holidays!A:A)+hour(AC825+AH$7-$B$1)/24+minute(AC825)/1440),"")</f>
        <v/>
      </c>
      <c r="AI825" s="104"/>
      <c r="AJ825" s="105"/>
      <c r="AK825" s="111" t="str">
        <f t="shared" si="8"/>
        <v/>
      </c>
      <c r="AL825" s="112" t="str">
        <f t="shared" si="9"/>
        <v/>
      </c>
      <c r="AM825" s="113"/>
      <c r="AN825" s="291" t="s">
        <v>2540</v>
      </c>
      <c r="AO825" s="115"/>
      <c r="AP825" s="115"/>
      <c r="AQ825" s="115"/>
      <c r="AR825" s="115"/>
      <c r="AS825" s="115"/>
      <c r="AT825" s="115"/>
      <c r="AU825" s="115"/>
      <c r="AV825" s="115"/>
      <c r="AW825" s="115"/>
      <c r="AX825" s="115"/>
      <c r="AY825" s="115"/>
    </row>
    <row r="826">
      <c r="A826" s="95" t="str">
        <f t="shared" si="11"/>
        <v/>
      </c>
      <c r="B826" s="100"/>
      <c r="C826" s="97"/>
      <c r="D826" s="97"/>
      <c r="E826" s="97"/>
      <c r="F826" s="97"/>
      <c r="G826" s="97"/>
      <c r="H826" s="99"/>
      <c r="I826" s="100"/>
      <c r="J826" s="101"/>
      <c r="K826" s="100"/>
      <c r="L826" s="102"/>
      <c r="M826" s="103" t="str">
        <f>if(B826,if(and(hour(B826+M$7)&gt;9.5,(hour(B826+M$7)&lt;19.5)),B826+M$7,_xlfn.workday.intl(int(B826),1,"0000001",Holidays!A:A)+hour(B826+M$7-$B$1)/24+minute(B826)/1440),"")</f>
        <v/>
      </c>
      <c r="N826" s="104"/>
      <c r="O826" s="105"/>
      <c r="P826" s="106" t="str">
        <f t="shared" si="1"/>
        <v/>
      </c>
      <c r="Q826" s="107"/>
      <c r="R826" s="108"/>
      <c r="S826" s="103" t="str">
        <f>if(M826,if(and(hour(M826+S$7)&gt;9.5,(hour(M826+S$7)&lt;19.5)),M826+S$7,_xlfn.workday.intl(int(M826),1,"0000001",Holidays!A:A)+hour(M826+S$7-$B$1)/24+minute(M826)/1440),"")</f>
        <v/>
      </c>
      <c r="T826" s="104"/>
      <c r="U826" s="105"/>
      <c r="V826" s="109" t="str">
        <f t="shared" si="2"/>
        <v/>
      </c>
      <c r="W826" s="110" t="str">
        <f t="shared" si="3"/>
        <v/>
      </c>
      <c r="X826" s="103" t="str">
        <f>if(S826,if(and(hour(S826+X$7)&gt;9.5,(hour(S826+X$7)&lt;19.5)),S826+X$7,_xlfn.workday.intl(int(S826),1,"0000001",Holidays!A:A)+hour(S826+X$7-$B$1)/24+minute(S826)/1440),"")</f>
        <v/>
      </c>
      <c r="Y826" s="104"/>
      <c r="Z826" s="105"/>
      <c r="AA826" s="111" t="str">
        <f t="shared" si="4"/>
        <v/>
      </c>
      <c r="AB826" s="110" t="str">
        <f t="shared" si="5"/>
        <v/>
      </c>
      <c r="AC826" s="103" t="str">
        <f>if(X826,_xlfn.WORKDAY.INTL(X826,AC$7,"0000001",Holidays!A:A)+hour(X826)/24+MINUTE(X826)/1440,"")</f>
        <v/>
      </c>
      <c r="AD826" s="104"/>
      <c r="AE826" s="105"/>
      <c r="AF826" s="111" t="str">
        <f t="shared" si="6"/>
        <v/>
      </c>
      <c r="AG826" s="110" t="str">
        <f t="shared" si="7"/>
        <v/>
      </c>
      <c r="AH826" s="103" t="str">
        <f>if(AC826,if(and(hour(AC826+AH$7)&gt;9.5,(hour(AC826+AH$7)&lt;19.5)),AC826+AH$7,_xlfn.workday.intl(int(AC826),1,"0000001",Holidays!A:A)+hour(AC826+AH$7-$B$1)/24+minute(AC826)/1440),"")</f>
        <v/>
      </c>
      <c r="AI826" s="104"/>
      <c r="AJ826" s="105"/>
      <c r="AK826" s="111" t="str">
        <f t="shared" si="8"/>
        <v/>
      </c>
      <c r="AL826" s="112" t="str">
        <f t="shared" si="9"/>
        <v/>
      </c>
      <c r="AM826" s="113"/>
      <c r="AN826" s="291" t="s">
        <v>2540</v>
      </c>
      <c r="AO826" s="115"/>
      <c r="AP826" s="115"/>
      <c r="AQ826" s="115"/>
      <c r="AR826" s="115"/>
      <c r="AS826" s="115"/>
      <c r="AT826" s="115"/>
      <c r="AU826" s="115"/>
      <c r="AV826" s="115"/>
      <c r="AW826" s="115"/>
      <c r="AX826" s="115"/>
      <c r="AY826" s="115"/>
    </row>
    <row r="827">
      <c r="A827" s="95" t="str">
        <f t="shared" si="11"/>
        <v/>
      </c>
      <c r="B827" s="100"/>
      <c r="C827" s="97"/>
      <c r="D827" s="97"/>
      <c r="E827" s="97"/>
      <c r="F827" s="97"/>
      <c r="G827" s="97"/>
      <c r="H827" s="99"/>
      <c r="I827" s="100"/>
      <c r="J827" s="101"/>
      <c r="K827" s="100"/>
      <c r="L827" s="102"/>
      <c r="M827" s="103" t="str">
        <f>if(B827,if(and(hour(B827+M$7)&gt;9.5,(hour(B827+M$7)&lt;19.5)),B827+M$7,_xlfn.workday.intl(int(B827),1,"0000001",Holidays!A:A)+hour(B827+M$7-$B$1)/24+minute(B827)/1440),"")</f>
        <v/>
      </c>
      <c r="N827" s="104"/>
      <c r="O827" s="105"/>
      <c r="P827" s="106" t="str">
        <f t="shared" si="1"/>
        <v/>
      </c>
      <c r="Q827" s="107"/>
      <c r="R827" s="108"/>
      <c r="S827" s="103" t="str">
        <f>if(M827,if(and(hour(M827+S$7)&gt;9.5,(hour(M827+S$7)&lt;19.5)),M827+S$7,_xlfn.workday.intl(int(M827),1,"0000001",Holidays!A:A)+hour(M827+S$7-$B$1)/24+minute(M827)/1440),"")</f>
        <v/>
      </c>
      <c r="T827" s="104"/>
      <c r="U827" s="105"/>
      <c r="V827" s="109" t="str">
        <f t="shared" si="2"/>
        <v/>
      </c>
      <c r="W827" s="110" t="str">
        <f t="shared" si="3"/>
        <v/>
      </c>
      <c r="X827" s="103" t="str">
        <f>if(S827,if(and(hour(S827+X$7)&gt;9.5,(hour(S827+X$7)&lt;19.5)),S827+X$7,_xlfn.workday.intl(int(S827),1,"0000001",Holidays!A:A)+hour(S827+X$7-$B$1)/24+minute(S827)/1440),"")</f>
        <v/>
      </c>
      <c r="Y827" s="104"/>
      <c r="Z827" s="105"/>
      <c r="AA827" s="111" t="str">
        <f t="shared" si="4"/>
        <v/>
      </c>
      <c r="AB827" s="110" t="str">
        <f t="shared" si="5"/>
        <v/>
      </c>
      <c r="AC827" s="103" t="str">
        <f>if(X827,_xlfn.WORKDAY.INTL(X827,AC$7,"0000001",Holidays!A:A)+hour(X827)/24+MINUTE(X827)/1440,"")</f>
        <v/>
      </c>
      <c r="AD827" s="104"/>
      <c r="AE827" s="105"/>
      <c r="AF827" s="111" t="str">
        <f t="shared" si="6"/>
        <v/>
      </c>
      <c r="AG827" s="110" t="str">
        <f t="shared" si="7"/>
        <v/>
      </c>
      <c r="AH827" s="103" t="str">
        <f>if(AC827,if(and(hour(AC827+AH$7)&gt;9.5,(hour(AC827+AH$7)&lt;19.5)),AC827+AH$7,_xlfn.workday.intl(int(AC827),1,"0000001",Holidays!A:A)+hour(AC827+AH$7-$B$1)/24+minute(AC827)/1440),"")</f>
        <v/>
      </c>
      <c r="AI827" s="104"/>
      <c r="AJ827" s="105"/>
      <c r="AK827" s="111" t="str">
        <f t="shared" si="8"/>
        <v/>
      </c>
      <c r="AL827" s="112" t="str">
        <f t="shared" si="9"/>
        <v/>
      </c>
      <c r="AM827" s="113"/>
      <c r="AN827" s="291" t="s">
        <v>2540</v>
      </c>
      <c r="AO827" s="115"/>
      <c r="AP827" s="115"/>
      <c r="AQ827" s="115"/>
      <c r="AR827" s="115"/>
      <c r="AS827" s="115"/>
      <c r="AT827" s="115"/>
      <c r="AU827" s="115"/>
      <c r="AV827" s="115"/>
      <c r="AW827" s="115"/>
      <c r="AX827" s="115"/>
      <c r="AY827" s="115"/>
    </row>
    <row r="828">
      <c r="A828" s="95" t="str">
        <f t="shared" si="11"/>
        <v/>
      </c>
      <c r="B828" s="100"/>
      <c r="C828" s="97"/>
      <c r="D828" s="97"/>
      <c r="E828" s="97"/>
      <c r="F828" s="97"/>
      <c r="G828" s="97"/>
      <c r="H828" s="99"/>
      <c r="I828" s="100"/>
      <c r="J828" s="101"/>
      <c r="K828" s="100"/>
      <c r="L828" s="102"/>
      <c r="M828" s="103" t="str">
        <f>if(B828,if(and(hour(B828+M$7)&gt;9.5,(hour(B828+M$7)&lt;19.5)),B828+M$7,_xlfn.workday.intl(int(B828),1,"0000001",Holidays!A:A)+hour(B828+M$7-$B$1)/24+minute(B828)/1440),"")</f>
        <v/>
      </c>
      <c r="N828" s="104"/>
      <c r="O828" s="105"/>
      <c r="P828" s="106" t="str">
        <f t="shared" si="1"/>
        <v/>
      </c>
      <c r="Q828" s="107"/>
      <c r="R828" s="108"/>
      <c r="S828" s="103" t="str">
        <f>if(M828,if(and(hour(M828+S$7)&gt;9.5,(hour(M828+S$7)&lt;19.5)),M828+S$7,_xlfn.workday.intl(int(M828),1,"0000001",Holidays!A:A)+hour(M828+S$7-$B$1)/24+minute(M828)/1440),"")</f>
        <v/>
      </c>
      <c r="T828" s="104"/>
      <c r="U828" s="105"/>
      <c r="V828" s="109" t="str">
        <f t="shared" si="2"/>
        <v/>
      </c>
      <c r="W828" s="110" t="str">
        <f t="shared" si="3"/>
        <v/>
      </c>
      <c r="X828" s="103" t="str">
        <f>if(S828,if(and(hour(S828+X$7)&gt;9.5,(hour(S828+X$7)&lt;19.5)),S828+X$7,_xlfn.workday.intl(int(S828),1,"0000001",Holidays!A:A)+hour(S828+X$7-$B$1)/24+minute(S828)/1440),"")</f>
        <v/>
      </c>
      <c r="Y828" s="104"/>
      <c r="Z828" s="105"/>
      <c r="AA828" s="111" t="str">
        <f t="shared" si="4"/>
        <v/>
      </c>
      <c r="AB828" s="110" t="str">
        <f t="shared" si="5"/>
        <v/>
      </c>
      <c r="AC828" s="103" t="str">
        <f>if(X828,_xlfn.WORKDAY.INTL(X828,AC$7,"0000001",Holidays!A:A)+hour(X828)/24+MINUTE(X828)/1440,"")</f>
        <v/>
      </c>
      <c r="AD828" s="104"/>
      <c r="AE828" s="105"/>
      <c r="AF828" s="111" t="str">
        <f t="shared" si="6"/>
        <v/>
      </c>
      <c r="AG828" s="110" t="str">
        <f t="shared" si="7"/>
        <v/>
      </c>
      <c r="AH828" s="103" t="str">
        <f>if(AC828,if(and(hour(AC828+AH$7)&gt;9.5,(hour(AC828+AH$7)&lt;19.5)),AC828+AH$7,_xlfn.workday.intl(int(AC828),1,"0000001",Holidays!A:A)+hour(AC828+AH$7-$B$1)/24+minute(AC828)/1440),"")</f>
        <v/>
      </c>
      <c r="AI828" s="104"/>
      <c r="AJ828" s="105"/>
      <c r="AK828" s="111" t="str">
        <f t="shared" si="8"/>
        <v/>
      </c>
      <c r="AL828" s="112" t="str">
        <f t="shared" si="9"/>
        <v/>
      </c>
      <c r="AM828" s="113"/>
      <c r="AN828" s="291" t="s">
        <v>2540</v>
      </c>
      <c r="AO828" s="115"/>
      <c r="AP828" s="115"/>
      <c r="AQ828" s="115"/>
      <c r="AR828" s="115"/>
      <c r="AS828" s="115"/>
      <c r="AT828" s="115"/>
      <c r="AU828" s="115"/>
      <c r="AV828" s="115"/>
      <c r="AW828" s="115"/>
      <c r="AX828" s="115"/>
      <c r="AY828" s="115"/>
    </row>
    <row r="829">
      <c r="A829" s="95" t="str">
        <f t="shared" si="11"/>
        <v/>
      </c>
      <c r="B829" s="100"/>
      <c r="C829" s="97"/>
      <c r="D829" s="97"/>
      <c r="E829" s="97"/>
      <c r="F829" s="97"/>
      <c r="G829" s="97"/>
      <c r="H829" s="99"/>
      <c r="I829" s="100"/>
      <c r="J829" s="101"/>
      <c r="K829" s="100"/>
      <c r="L829" s="102"/>
      <c r="M829" s="103" t="str">
        <f>if(B829,if(and(hour(B829+M$7)&gt;9.5,(hour(B829+M$7)&lt;19.5)),B829+M$7,_xlfn.workday.intl(int(B829),1,"0000001",Holidays!A:A)+hour(B829+M$7-$B$1)/24+minute(B829)/1440),"")</f>
        <v/>
      </c>
      <c r="N829" s="104"/>
      <c r="O829" s="105"/>
      <c r="P829" s="106" t="str">
        <f t="shared" si="1"/>
        <v/>
      </c>
      <c r="Q829" s="107"/>
      <c r="R829" s="108"/>
      <c r="S829" s="103" t="str">
        <f>if(M829,if(and(hour(M829+S$7)&gt;9.5,(hour(M829+S$7)&lt;19.5)),M829+S$7,_xlfn.workday.intl(int(M829),1,"0000001",Holidays!A:A)+hour(M829+S$7-$B$1)/24+minute(M829)/1440),"")</f>
        <v/>
      </c>
      <c r="T829" s="104"/>
      <c r="U829" s="105"/>
      <c r="V829" s="109" t="str">
        <f t="shared" si="2"/>
        <v/>
      </c>
      <c r="W829" s="110" t="str">
        <f t="shared" si="3"/>
        <v/>
      </c>
      <c r="X829" s="103" t="str">
        <f>if(S829,if(and(hour(S829+X$7)&gt;9.5,(hour(S829+X$7)&lt;19.5)),S829+X$7,_xlfn.workday.intl(int(S829),1,"0000001",Holidays!A:A)+hour(S829+X$7-$B$1)/24+minute(S829)/1440),"")</f>
        <v/>
      </c>
      <c r="Y829" s="104"/>
      <c r="Z829" s="105"/>
      <c r="AA829" s="111" t="str">
        <f t="shared" si="4"/>
        <v/>
      </c>
      <c r="AB829" s="110" t="str">
        <f t="shared" si="5"/>
        <v/>
      </c>
      <c r="AC829" s="103" t="str">
        <f>if(X829,_xlfn.WORKDAY.INTL(X829,AC$7,"0000001",Holidays!A:A)+hour(X829)/24+MINUTE(X829)/1440,"")</f>
        <v/>
      </c>
      <c r="AD829" s="104"/>
      <c r="AE829" s="105"/>
      <c r="AF829" s="111" t="str">
        <f t="shared" si="6"/>
        <v/>
      </c>
      <c r="AG829" s="110" t="str">
        <f t="shared" si="7"/>
        <v/>
      </c>
      <c r="AH829" s="103" t="str">
        <f>if(AC829,if(and(hour(AC829+AH$7)&gt;9.5,(hour(AC829+AH$7)&lt;19.5)),AC829+AH$7,_xlfn.workday.intl(int(AC829),1,"0000001",Holidays!A:A)+hour(AC829+AH$7-$B$1)/24+minute(AC829)/1440),"")</f>
        <v/>
      </c>
      <c r="AI829" s="104"/>
      <c r="AJ829" s="105"/>
      <c r="AK829" s="111" t="str">
        <f t="shared" si="8"/>
        <v/>
      </c>
      <c r="AL829" s="112" t="str">
        <f t="shared" si="9"/>
        <v/>
      </c>
      <c r="AM829" s="113"/>
      <c r="AN829" s="291" t="s">
        <v>2540</v>
      </c>
      <c r="AO829" s="115"/>
      <c r="AP829" s="115"/>
      <c r="AQ829" s="115"/>
      <c r="AR829" s="115"/>
      <c r="AS829" s="115"/>
      <c r="AT829" s="115"/>
      <c r="AU829" s="115"/>
      <c r="AV829" s="115"/>
      <c r="AW829" s="115"/>
      <c r="AX829" s="115"/>
      <c r="AY829" s="115"/>
    </row>
    <row r="830">
      <c r="A830" s="95" t="str">
        <f t="shared" si="11"/>
        <v/>
      </c>
      <c r="B830" s="100"/>
      <c r="C830" s="97"/>
      <c r="D830" s="97"/>
      <c r="E830" s="97"/>
      <c r="F830" s="97"/>
      <c r="G830" s="97"/>
      <c r="H830" s="99"/>
      <c r="I830" s="100"/>
      <c r="J830" s="101"/>
      <c r="K830" s="100"/>
      <c r="L830" s="102"/>
      <c r="M830" s="103" t="str">
        <f>if(B830,if(and(hour(B830+M$7)&gt;9.5,(hour(B830+M$7)&lt;19.5)),B830+M$7,_xlfn.workday.intl(int(B830),1,"0000001",Holidays!A:A)+hour(B830+M$7-$B$1)/24+minute(B830)/1440),"")</f>
        <v/>
      </c>
      <c r="N830" s="104"/>
      <c r="O830" s="105"/>
      <c r="P830" s="106" t="str">
        <f t="shared" si="1"/>
        <v/>
      </c>
      <c r="Q830" s="107"/>
      <c r="R830" s="108"/>
      <c r="S830" s="103" t="str">
        <f>if(M830,if(and(hour(M830+S$7)&gt;9.5,(hour(M830+S$7)&lt;19.5)),M830+S$7,_xlfn.workday.intl(int(M830),1,"0000001",Holidays!A:A)+hour(M830+S$7-$B$1)/24+minute(M830)/1440),"")</f>
        <v/>
      </c>
      <c r="T830" s="104"/>
      <c r="U830" s="105"/>
      <c r="V830" s="109" t="str">
        <f t="shared" si="2"/>
        <v/>
      </c>
      <c r="W830" s="110" t="str">
        <f t="shared" si="3"/>
        <v/>
      </c>
      <c r="X830" s="103" t="str">
        <f>if(S830,if(and(hour(S830+X$7)&gt;9.5,(hour(S830+X$7)&lt;19.5)),S830+X$7,_xlfn.workday.intl(int(S830),1,"0000001",Holidays!A:A)+hour(S830+X$7-$B$1)/24+minute(S830)/1440),"")</f>
        <v/>
      </c>
      <c r="Y830" s="104"/>
      <c r="Z830" s="105"/>
      <c r="AA830" s="111" t="str">
        <f t="shared" si="4"/>
        <v/>
      </c>
      <c r="AB830" s="110" t="str">
        <f t="shared" si="5"/>
        <v/>
      </c>
      <c r="AC830" s="103" t="str">
        <f>if(X830,_xlfn.WORKDAY.INTL(X830,AC$7,"0000001",Holidays!A:A)+hour(X830)/24+MINUTE(X830)/1440,"")</f>
        <v/>
      </c>
      <c r="AD830" s="104"/>
      <c r="AE830" s="105"/>
      <c r="AF830" s="111" t="str">
        <f t="shared" si="6"/>
        <v/>
      </c>
      <c r="AG830" s="110" t="str">
        <f t="shared" si="7"/>
        <v/>
      </c>
      <c r="AH830" s="103" t="str">
        <f>if(AC830,if(and(hour(AC830+AH$7)&gt;9.5,(hour(AC830+AH$7)&lt;19.5)),AC830+AH$7,_xlfn.workday.intl(int(AC830),1,"0000001",Holidays!A:A)+hour(AC830+AH$7-$B$1)/24+minute(AC830)/1440),"")</f>
        <v/>
      </c>
      <c r="AI830" s="104"/>
      <c r="AJ830" s="105"/>
      <c r="AK830" s="111" t="str">
        <f t="shared" si="8"/>
        <v/>
      </c>
      <c r="AL830" s="112" t="str">
        <f t="shared" si="9"/>
        <v/>
      </c>
      <c r="AM830" s="113"/>
      <c r="AN830" s="291" t="s">
        <v>2540</v>
      </c>
      <c r="AO830" s="115"/>
      <c r="AP830" s="115"/>
      <c r="AQ830" s="115"/>
      <c r="AR830" s="115"/>
      <c r="AS830" s="115"/>
      <c r="AT830" s="115"/>
      <c r="AU830" s="115"/>
      <c r="AV830" s="115"/>
      <c r="AW830" s="115"/>
      <c r="AX830" s="115"/>
      <c r="AY830" s="115"/>
    </row>
    <row r="831">
      <c r="A831" s="95" t="str">
        <f t="shared" si="11"/>
        <v/>
      </c>
      <c r="B831" s="100"/>
      <c r="C831" s="97"/>
      <c r="D831" s="97"/>
      <c r="E831" s="97"/>
      <c r="F831" s="97"/>
      <c r="G831" s="97"/>
      <c r="H831" s="99"/>
      <c r="I831" s="100"/>
      <c r="J831" s="101"/>
      <c r="K831" s="100"/>
      <c r="L831" s="102"/>
      <c r="M831" s="103" t="str">
        <f>if(B831,if(and(hour(B831+M$7)&gt;9.5,(hour(B831+M$7)&lt;19.5)),B831+M$7,_xlfn.workday.intl(int(B831),1,"0000001",Holidays!A:A)+hour(B831+M$7-$B$1)/24+minute(B831)/1440),"")</f>
        <v/>
      </c>
      <c r="N831" s="104"/>
      <c r="O831" s="105"/>
      <c r="P831" s="106" t="str">
        <f t="shared" si="1"/>
        <v/>
      </c>
      <c r="Q831" s="107"/>
      <c r="R831" s="108"/>
      <c r="S831" s="103" t="str">
        <f>if(M831,if(and(hour(M831+S$7)&gt;9.5,(hour(M831+S$7)&lt;19.5)),M831+S$7,_xlfn.workday.intl(int(M831),1,"0000001",Holidays!A:A)+hour(M831+S$7-$B$1)/24+minute(M831)/1440),"")</f>
        <v/>
      </c>
      <c r="T831" s="104"/>
      <c r="U831" s="105"/>
      <c r="V831" s="109" t="str">
        <f t="shared" si="2"/>
        <v/>
      </c>
      <c r="W831" s="110" t="str">
        <f t="shared" si="3"/>
        <v/>
      </c>
      <c r="X831" s="103" t="str">
        <f>if(S831,if(and(hour(S831+X$7)&gt;9.5,(hour(S831+X$7)&lt;19.5)),S831+X$7,_xlfn.workday.intl(int(S831),1,"0000001",Holidays!A:A)+hour(S831+X$7-$B$1)/24+minute(S831)/1440),"")</f>
        <v/>
      </c>
      <c r="Y831" s="104"/>
      <c r="Z831" s="105"/>
      <c r="AA831" s="111" t="str">
        <f t="shared" si="4"/>
        <v/>
      </c>
      <c r="AB831" s="110" t="str">
        <f t="shared" si="5"/>
        <v/>
      </c>
      <c r="AC831" s="103" t="str">
        <f>if(X831,_xlfn.WORKDAY.INTL(X831,AC$7,"0000001",Holidays!A:A)+hour(X831)/24+MINUTE(X831)/1440,"")</f>
        <v/>
      </c>
      <c r="AD831" s="104"/>
      <c r="AE831" s="105"/>
      <c r="AF831" s="111" t="str">
        <f t="shared" si="6"/>
        <v/>
      </c>
      <c r="AG831" s="110" t="str">
        <f t="shared" si="7"/>
        <v/>
      </c>
      <c r="AH831" s="103" t="str">
        <f>if(AC831,if(and(hour(AC831+AH$7)&gt;9.5,(hour(AC831+AH$7)&lt;19.5)),AC831+AH$7,_xlfn.workday.intl(int(AC831),1,"0000001",Holidays!A:A)+hour(AC831+AH$7-$B$1)/24+minute(AC831)/1440),"")</f>
        <v/>
      </c>
      <c r="AI831" s="104"/>
      <c r="AJ831" s="105"/>
      <c r="AK831" s="111" t="str">
        <f t="shared" si="8"/>
        <v/>
      </c>
      <c r="AL831" s="112" t="str">
        <f t="shared" si="9"/>
        <v/>
      </c>
      <c r="AM831" s="113"/>
      <c r="AN831" s="291" t="s">
        <v>2540</v>
      </c>
      <c r="AO831" s="115"/>
      <c r="AP831" s="115"/>
      <c r="AQ831" s="115"/>
      <c r="AR831" s="115"/>
      <c r="AS831" s="115"/>
      <c r="AT831" s="115"/>
      <c r="AU831" s="115"/>
      <c r="AV831" s="115"/>
      <c r="AW831" s="115"/>
      <c r="AX831" s="115"/>
      <c r="AY831" s="115"/>
    </row>
    <row r="832">
      <c r="A832" s="95" t="str">
        <f t="shared" si="11"/>
        <v/>
      </c>
      <c r="B832" s="100"/>
      <c r="C832" s="97"/>
      <c r="D832" s="97"/>
      <c r="E832" s="97"/>
      <c r="F832" s="97"/>
      <c r="G832" s="97"/>
      <c r="H832" s="99"/>
      <c r="I832" s="100"/>
      <c r="J832" s="101"/>
      <c r="K832" s="100"/>
      <c r="L832" s="102"/>
      <c r="M832" s="103" t="str">
        <f>if(B832,if(and(hour(B832+M$7)&gt;9.5,(hour(B832+M$7)&lt;19.5)),B832+M$7,_xlfn.workday.intl(int(B832),1,"0000001",Holidays!A:A)+hour(B832+M$7-$B$1)/24+minute(B832)/1440),"")</f>
        <v/>
      </c>
      <c r="N832" s="104"/>
      <c r="O832" s="105"/>
      <c r="P832" s="106" t="str">
        <f t="shared" si="1"/>
        <v/>
      </c>
      <c r="Q832" s="107"/>
      <c r="R832" s="108"/>
      <c r="S832" s="103" t="str">
        <f>if(M832,if(and(hour(M832+S$7)&gt;9.5,(hour(M832+S$7)&lt;19.5)),M832+S$7,_xlfn.workday.intl(int(M832),1,"0000001",Holidays!A:A)+hour(M832+S$7-$B$1)/24+minute(M832)/1440),"")</f>
        <v/>
      </c>
      <c r="T832" s="104"/>
      <c r="U832" s="105"/>
      <c r="V832" s="109" t="str">
        <f t="shared" si="2"/>
        <v/>
      </c>
      <c r="W832" s="110" t="str">
        <f t="shared" si="3"/>
        <v/>
      </c>
      <c r="X832" s="103" t="str">
        <f>if(S832,if(and(hour(S832+X$7)&gt;9.5,(hour(S832+X$7)&lt;19.5)),S832+X$7,_xlfn.workday.intl(int(S832),1,"0000001",Holidays!A:A)+hour(S832+X$7-$B$1)/24+minute(S832)/1440),"")</f>
        <v/>
      </c>
      <c r="Y832" s="104"/>
      <c r="Z832" s="105"/>
      <c r="AA832" s="111" t="str">
        <f t="shared" si="4"/>
        <v/>
      </c>
      <c r="AB832" s="110" t="str">
        <f t="shared" si="5"/>
        <v/>
      </c>
      <c r="AC832" s="103" t="str">
        <f>if(X832,_xlfn.WORKDAY.INTL(X832,AC$7,"0000001",Holidays!A:A)+hour(X832)/24+MINUTE(X832)/1440,"")</f>
        <v/>
      </c>
      <c r="AD832" s="104"/>
      <c r="AE832" s="105"/>
      <c r="AF832" s="111" t="str">
        <f t="shared" si="6"/>
        <v/>
      </c>
      <c r="AG832" s="110" t="str">
        <f t="shared" si="7"/>
        <v/>
      </c>
      <c r="AH832" s="103" t="str">
        <f>if(AC832,if(and(hour(AC832+AH$7)&gt;9.5,(hour(AC832+AH$7)&lt;19.5)),AC832+AH$7,_xlfn.workday.intl(int(AC832),1,"0000001",Holidays!A:A)+hour(AC832+AH$7-$B$1)/24+minute(AC832)/1440),"")</f>
        <v/>
      </c>
      <c r="AI832" s="104"/>
      <c r="AJ832" s="105"/>
      <c r="AK832" s="111" t="str">
        <f t="shared" si="8"/>
        <v/>
      </c>
      <c r="AL832" s="112" t="str">
        <f t="shared" si="9"/>
        <v/>
      </c>
      <c r="AM832" s="113"/>
      <c r="AN832" s="291" t="s">
        <v>2540</v>
      </c>
      <c r="AO832" s="115"/>
      <c r="AP832" s="115"/>
      <c r="AQ832" s="115"/>
      <c r="AR832" s="115"/>
      <c r="AS832" s="115"/>
      <c r="AT832" s="115"/>
      <c r="AU832" s="115"/>
      <c r="AV832" s="115"/>
      <c r="AW832" s="115"/>
      <c r="AX832" s="115"/>
      <c r="AY832" s="115"/>
    </row>
    <row r="833">
      <c r="A833" s="95" t="str">
        <f t="shared" si="11"/>
        <v/>
      </c>
      <c r="B833" s="100"/>
      <c r="C833" s="97"/>
      <c r="D833" s="97"/>
      <c r="E833" s="97"/>
      <c r="F833" s="97"/>
      <c r="G833" s="97"/>
      <c r="H833" s="99"/>
      <c r="I833" s="100"/>
      <c r="J833" s="101"/>
      <c r="K833" s="100"/>
      <c r="L833" s="102"/>
      <c r="M833" s="103" t="str">
        <f>if(B833,if(and(hour(B833+M$7)&gt;9.5,(hour(B833+M$7)&lt;19.5)),B833+M$7,_xlfn.workday.intl(int(B833),1,"0000001",Holidays!A:A)+hour(B833+M$7-$B$1)/24+minute(B833)/1440),"")</f>
        <v/>
      </c>
      <c r="N833" s="104"/>
      <c r="O833" s="105"/>
      <c r="P833" s="106" t="str">
        <f t="shared" si="1"/>
        <v/>
      </c>
      <c r="Q833" s="107"/>
      <c r="R833" s="108"/>
      <c r="S833" s="103" t="str">
        <f>if(M833,if(and(hour(M833+S$7)&gt;9.5,(hour(M833+S$7)&lt;19.5)),M833+S$7,_xlfn.workday.intl(int(M833),1,"0000001",Holidays!A:A)+hour(M833+S$7-$B$1)/24+minute(M833)/1440),"")</f>
        <v/>
      </c>
      <c r="T833" s="104"/>
      <c r="U833" s="105"/>
      <c r="V833" s="109" t="str">
        <f t="shared" si="2"/>
        <v/>
      </c>
      <c r="W833" s="110" t="str">
        <f t="shared" si="3"/>
        <v/>
      </c>
      <c r="X833" s="103" t="str">
        <f>if(S833,if(and(hour(S833+X$7)&gt;9.5,(hour(S833+X$7)&lt;19.5)),S833+X$7,_xlfn.workday.intl(int(S833),1,"0000001",Holidays!A:A)+hour(S833+X$7-$B$1)/24+minute(S833)/1440),"")</f>
        <v/>
      </c>
      <c r="Y833" s="104"/>
      <c r="Z833" s="105"/>
      <c r="AA833" s="111" t="str">
        <f t="shared" si="4"/>
        <v/>
      </c>
      <c r="AB833" s="110" t="str">
        <f t="shared" si="5"/>
        <v/>
      </c>
      <c r="AC833" s="103" t="str">
        <f>if(X833,_xlfn.WORKDAY.INTL(X833,AC$7,"0000001",Holidays!A:A)+hour(X833)/24+MINUTE(X833)/1440,"")</f>
        <v/>
      </c>
      <c r="AD833" s="104"/>
      <c r="AE833" s="105"/>
      <c r="AF833" s="111" t="str">
        <f t="shared" si="6"/>
        <v/>
      </c>
      <c r="AG833" s="110" t="str">
        <f t="shared" si="7"/>
        <v/>
      </c>
      <c r="AH833" s="103" t="str">
        <f>if(AC833,if(and(hour(AC833+AH$7)&gt;9.5,(hour(AC833+AH$7)&lt;19.5)),AC833+AH$7,_xlfn.workday.intl(int(AC833),1,"0000001",Holidays!A:A)+hour(AC833+AH$7-$B$1)/24+minute(AC833)/1440),"")</f>
        <v/>
      </c>
      <c r="AI833" s="104"/>
      <c r="AJ833" s="105"/>
      <c r="AK833" s="111" t="str">
        <f t="shared" si="8"/>
        <v/>
      </c>
      <c r="AL833" s="112" t="str">
        <f t="shared" si="9"/>
        <v/>
      </c>
      <c r="AM833" s="113"/>
      <c r="AN833" s="291" t="s">
        <v>2540</v>
      </c>
      <c r="AO833" s="115"/>
      <c r="AP833" s="115"/>
      <c r="AQ833" s="115"/>
      <c r="AR833" s="115"/>
      <c r="AS833" s="115"/>
      <c r="AT833" s="115"/>
      <c r="AU833" s="115"/>
      <c r="AV833" s="115"/>
      <c r="AW833" s="115"/>
      <c r="AX833" s="115"/>
      <c r="AY833" s="115"/>
    </row>
    <row r="834">
      <c r="A834" s="95" t="str">
        <f t="shared" si="11"/>
        <v/>
      </c>
      <c r="B834" s="100"/>
      <c r="C834" s="97"/>
      <c r="D834" s="97"/>
      <c r="E834" s="97"/>
      <c r="F834" s="97"/>
      <c r="G834" s="97"/>
      <c r="H834" s="99"/>
      <c r="I834" s="100"/>
      <c r="J834" s="101"/>
      <c r="K834" s="100"/>
      <c r="L834" s="102"/>
      <c r="M834" s="103" t="str">
        <f>if(B834,if(and(hour(B834+M$7)&gt;9.5,(hour(B834+M$7)&lt;19.5)),B834+M$7,_xlfn.workday.intl(int(B834),1,"0000001",Holidays!A:A)+hour(B834+M$7-$B$1)/24+minute(B834)/1440),"")</f>
        <v/>
      </c>
      <c r="N834" s="104"/>
      <c r="O834" s="105"/>
      <c r="P834" s="106" t="str">
        <f t="shared" si="1"/>
        <v/>
      </c>
      <c r="Q834" s="107"/>
      <c r="R834" s="108"/>
      <c r="S834" s="103" t="str">
        <f>if(M834,if(and(hour(M834+S$7)&gt;9.5,(hour(M834+S$7)&lt;19.5)),M834+S$7,_xlfn.workday.intl(int(M834),1,"0000001",Holidays!A:A)+hour(M834+S$7-$B$1)/24+minute(M834)/1440),"")</f>
        <v/>
      </c>
      <c r="T834" s="104"/>
      <c r="U834" s="105"/>
      <c r="V834" s="109" t="str">
        <f t="shared" si="2"/>
        <v/>
      </c>
      <c r="W834" s="110" t="str">
        <f t="shared" si="3"/>
        <v/>
      </c>
      <c r="X834" s="103" t="str">
        <f>if(S834,if(and(hour(S834+X$7)&gt;9.5,(hour(S834+X$7)&lt;19.5)),S834+X$7,_xlfn.workday.intl(int(S834),1,"0000001",Holidays!A:A)+hour(S834+X$7-$B$1)/24+minute(S834)/1440),"")</f>
        <v/>
      </c>
      <c r="Y834" s="104"/>
      <c r="Z834" s="105"/>
      <c r="AA834" s="111" t="str">
        <f t="shared" si="4"/>
        <v/>
      </c>
      <c r="AB834" s="110" t="str">
        <f t="shared" si="5"/>
        <v/>
      </c>
      <c r="AC834" s="103" t="str">
        <f>if(X834,_xlfn.WORKDAY.INTL(X834,AC$7,"0000001",Holidays!A:A)+hour(X834)/24+MINUTE(X834)/1440,"")</f>
        <v/>
      </c>
      <c r="AD834" s="104"/>
      <c r="AE834" s="105"/>
      <c r="AF834" s="111" t="str">
        <f t="shared" si="6"/>
        <v/>
      </c>
      <c r="AG834" s="110" t="str">
        <f t="shared" si="7"/>
        <v/>
      </c>
      <c r="AH834" s="103" t="str">
        <f>if(AC834,if(and(hour(AC834+AH$7)&gt;9.5,(hour(AC834+AH$7)&lt;19.5)),AC834+AH$7,_xlfn.workday.intl(int(AC834),1,"0000001",Holidays!A:A)+hour(AC834+AH$7-$B$1)/24+minute(AC834)/1440),"")</f>
        <v/>
      </c>
      <c r="AI834" s="104"/>
      <c r="AJ834" s="105"/>
      <c r="AK834" s="111" t="str">
        <f t="shared" si="8"/>
        <v/>
      </c>
      <c r="AL834" s="112" t="str">
        <f t="shared" si="9"/>
        <v/>
      </c>
      <c r="AM834" s="113"/>
      <c r="AN834" s="291" t="s">
        <v>2540</v>
      </c>
      <c r="AO834" s="115"/>
      <c r="AP834" s="115"/>
      <c r="AQ834" s="115"/>
      <c r="AR834" s="115"/>
      <c r="AS834" s="115"/>
      <c r="AT834" s="115"/>
      <c r="AU834" s="115"/>
      <c r="AV834" s="115"/>
      <c r="AW834" s="115"/>
      <c r="AX834" s="115"/>
      <c r="AY834" s="115"/>
    </row>
    <row r="835">
      <c r="A835" s="95" t="str">
        <f t="shared" si="11"/>
        <v/>
      </c>
      <c r="B835" s="100"/>
      <c r="C835" s="97"/>
      <c r="D835" s="97"/>
      <c r="E835" s="97"/>
      <c r="F835" s="97"/>
      <c r="G835" s="97"/>
      <c r="H835" s="99"/>
      <c r="I835" s="100"/>
      <c r="J835" s="101"/>
      <c r="K835" s="100"/>
      <c r="L835" s="102"/>
      <c r="M835" s="103" t="str">
        <f>if(B835,if(and(hour(B835+M$7)&gt;9.5,(hour(B835+M$7)&lt;19.5)),B835+M$7,_xlfn.workday.intl(int(B835),1,"0000001",Holidays!A:A)+hour(B835+M$7-$B$1)/24+minute(B835)/1440),"")</f>
        <v/>
      </c>
      <c r="N835" s="104"/>
      <c r="O835" s="105"/>
      <c r="P835" s="106" t="str">
        <f t="shared" si="1"/>
        <v/>
      </c>
      <c r="Q835" s="107"/>
      <c r="R835" s="108"/>
      <c r="S835" s="103" t="str">
        <f>if(M835,if(and(hour(M835+S$7)&gt;9.5,(hour(M835+S$7)&lt;19.5)),M835+S$7,_xlfn.workday.intl(int(M835),1,"0000001",Holidays!A:A)+hour(M835+S$7-$B$1)/24+minute(M835)/1440),"")</f>
        <v/>
      </c>
      <c r="T835" s="104"/>
      <c r="U835" s="105"/>
      <c r="V835" s="109" t="str">
        <f t="shared" si="2"/>
        <v/>
      </c>
      <c r="W835" s="110" t="str">
        <f t="shared" si="3"/>
        <v/>
      </c>
      <c r="X835" s="103" t="str">
        <f>if(S835,if(and(hour(S835+X$7)&gt;9.5,(hour(S835+X$7)&lt;19.5)),S835+X$7,_xlfn.workday.intl(int(S835),1,"0000001",Holidays!A:A)+hour(S835+X$7-$B$1)/24+minute(S835)/1440),"")</f>
        <v/>
      </c>
      <c r="Y835" s="104"/>
      <c r="Z835" s="105"/>
      <c r="AA835" s="111" t="str">
        <f t="shared" si="4"/>
        <v/>
      </c>
      <c r="AB835" s="110" t="str">
        <f t="shared" si="5"/>
        <v/>
      </c>
      <c r="AC835" s="103" t="str">
        <f>if(X835,_xlfn.WORKDAY.INTL(X835,AC$7,"0000001",Holidays!A:A)+hour(X835)/24+MINUTE(X835)/1440,"")</f>
        <v/>
      </c>
      <c r="AD835" s="104"/>
      <c r="AE835" s="105"/>
      <c r="AF835" s="111" t="str">
        <f t="shared" si="6"/>
        <v/>
      </c>
      <c r="AG835" s="110" t="str">
        <f t="shared" si="7"/>
        <v/>
      </c>
      <c r="AH835" s="103" t="str">
        <f>if(AC835,if(and(hour(AC835+AH$7)&gt;9.5,(hour(AC835+AH$7)&lt;19.5)),AC835+AH$7,_xlfn.workday.intl(int(AC835),1,"0000001",Holidays!A:A)+hour(AC835+AH$7-$B$1)/24+minute(AC835)/1440),"")</f>
        <v/>
      </c>
      <c r="AI835" s="104"/>
      <c r="AJ835" s="105"/>
      <c r="AK835" s="111" t="str">
        <f t="shared" si="8"/>
        <v/>
      </c>
      <c r="AL835" s="112" t="str">
        <f t="shared" si="9"/>
        <v/>
      </c>
      <c r="AM835" s="113"/>
      <c r="AN835" s="291" t="s">
        <v>2540</v>
      </c>
      <c r="AO835" s="115"/>
      <c r="AP835" s="115"/>
      <c r="AQ835" s="115"/>
      <c r="AR835" s="115"/>
      <c r="AS835" s="115"/>
      <c r="AT835" s="115"/>
      <c r="AU835" s="115"/>
      <c r="AV835" s="115"/>
      <c r="AW835" s="115"/>
      <c r="AX835" s="115"/>
      <c r="AY835" s="115"/>
    </row>
    <row r="836">
      <c r="A836" s="95" t="str">
        <f t="shared" si="11"/>
        <v/>
      </c>
      <c r="B836" s="100"/>
      <c r="C836" s="97"/>
      <c r="D836" s="97"/>
      <c r="E836" s="97"/>
      <c r="F836" s="97"/>
      <c r="G836" s="97"/>
      <c r="H836" s="99"/>
      <c r="I836" s="100"/>
      <c r="J836" s="101"/>
      <c r="K836" s="100"/>
      <c r="L836" s="102"/>
      <c r="M836" s="103" t="str">
        <f>if(B836,if(and(hour(B836+M$7)&gt;9.5,(hour(B836+M$7)&lt;19.5)),B836+M$7,_xlfn.workday.intl(int(B836),1,"0000001",Holidays!A:A)+hour(B836+M$7-$B$1)/24+minute(B836)/1440),"")</f>
        <v/>
      </c>
      <c r="N836" s="104"/>
      <c r="O836" s="105"/>
      <c r="P836" s="106" t="str">
        <f t="shared" si="1"/>
        <v/>
      </c>
      <c r="Q836" s="107"/>
      <c r="R836" s="108"/>
      <c r="S836" s="103" t="str">
        <f>if(M836,if(and(hour(M836+S$7)&gt;9.5,(hour(M836+S$7)&lt;19.5)),M836+S$7,_xlfn.workday.intl(int(M836),1,"0000001",Holidays!A:A)+hour(M836+S$7-$B$1)/24+minute(M836)/1440),"")</f>
        <v/>
      </c>
      <c r="T836" s="104"/>
      <c r="U836" s="105"/>
      <c r="V836" s="109" t="str">
        <f t="shared" si="2"/>
        <v/>
      </c>
      <c r="W836" s="110" t="str">
        <f t="shared" si="3"/>
        <v/>
      </c>
      <c r="X836" s="103" t="str">
        <f>if(S836,if(and(hour(S836+X$7)&gt;9.5,(hour(S836+X$7)&lt;19.5)),S836+X$7,_xlfn.workday.intl(int(S836),1,"0000001",Holidays!A:A)+hour(S836+X$7-$B$1)/24+minute(S836)/1440),"")</f>
        <v/>
      </c>
      <c r="Y836" s="104"/>
      <c r="Z836" s="105"/>
      <c r="AA836" s="111" t="str">
        <f t="shared" si="4"/>
        <v/>
      </c>
      <c r="AB836" s="110" t="str">
        <f t="shared" si="5"/>
        <v/>
      </c>
      <c r="AC836" s="103" t="str">
        <f>if(X836,_xlfn.WORKDAY.INTL(X836,AC$7,"0000001",Holidays!A:A)+hour(X836)/24+MINUTE(X836)/1440,"")</f>
        <v/>
      </c>
      <c r="AD836" s="104"/>
      <c r="AE836" s="105"/>
      <c r="AF836" s="111" t="str">
        <f t="shared" si="6"/>
        <v/>
      </c>
      <c r="AG836" s="110" t="str">
        <f t="shared" si="7"/>
        <v/>
      </c>
      <c r="AH836" s="103" t="str">
        <f>if(AC836,if(and(hour(AC836+AH$7)&gt;9.5,(hour(AC836+AH$7)&lt;19.5)),AC836+AH$7,_xlfn.workday.intl(int(AC836),1,"0000001",Holidays!A:A)+hour(AC836+AH$7-$B$1)/24+minute(AC836)/1440),"")</f>
        <v/>
      </c>
      <c r="AI836" s="104"/>
      <c r="AJ836" s="105"/>
      <c r="AK836" s="111" t="str">
        <f t="shared" si="8"/>
        <v/>
      </c>
      <c r="AL836" s="112" t="str">
        <f t="shared" si="9"/>
        <v/>
      </c>
      <c r="AM836" s="113"/>
      <c r="AN836" s="291" t="s">
        <v>2540</v>
      </c>
      <c r="AO836" s="115"/>
      <c r="AP836" s="115"/>
      <c r="AQ836" s="115"/>
      <c r="AR836" s="115"/>
      <c r="AS836" s="115"/>
      <c r="AT836" s="115"/>
      <c r="AU836" s="115"/>
      <c r="AV836" s="115"/>
      <c r="AW836" s="115"/>
      <c r="AX836" s="115"/>
      <c r="AY836" s="115"/>
    </row>
    <row r="837">
      <c r="A837" s="95" t="str">
        <f t="shared" si="11"/>
        <v/>
      </c>
      <c r="B837" s="100"/>
      <c r="C837" s="97"/>
      <c r="D837" s="97"/>
      <c r="E837" s="97"/>
      <c r="F837" s="97"/>
      <c r="G837" s="97"/>
      <c r="H837" s="99"/>
      <c r="I837" s="100"/>
      <c r="J837" s="101"/>
      <c r="K837" s="100"/>
      <c r="L837" s="102"/>
      <c r="M837" s="103" t="str">
        <f>if(B837,if(and(hour(B837+M$7)&gt;9.5,(hour(B837+M$7)&lt;19.5)),B837+M$7,_xlfn.workday.intl(int(B837),1,"0000001",Holidays!A:A)+hour(B837+M$7-$B$1)/24+minute(B837)/1440),"")</f>
        <v/>
      </c>
      <c r="N837" s="104"/>
      <c r="O837" s="105"/>
      <c r="P837" s="106" t="str">
        <f t="shared" si="1"/>
        <v/>
      </c>
      <c r="Q837" s="107"/>
      <c r="R837" s="108"/>
      <c r="S837" s="103" t="str">
        <f>if(M837,if(and(hour(M837+S$7)&gt;9.5,(hour(M837+S$7)&lt;19.5)),M837+S$7,_xlfn.workday.intl(int(M837),1,"0000001",Holidays!A:A)+hour(M837+S$7-$B$1)/24+minute(M837)/1440),"")</f>
        <v/>
      </c>
      <c r="T837" s="104"/>
      <c r="U837" s="105"/>
      <c r="V837" s="109" t="str">
        <f t="shared" si="2"/>
        <v/>
      </c>
      <c r="W837" s="110" t="str">
        <f t="shared" si="3"/>
        <v/>
      </c>
      <c r="X837" s="103" t="str">
        <f>if(S837,if(and(hour(S837+X$7)&gt;9.5,(hour(S837+X$7)&lt;19.5)),S837+X$7,_xlfn.workday.intl(int(S837),1,"0000001",Holidays!A:A)+hour(S837+X$7-$B$1)/24+minute(S837)/1440),"")</f>
        <v/>
      </c>
      <c r="Y837" s="104"/>
      <c r="Z837" s="105"/>
      <c r="AA837" s="111" t="str">
        <f t="shared" si="4"/>
        <v/>
      </c>
      <c r="AB837" s="110" t="str">
        <f t="shared" si="5"/>
        <v/>
      </c>
      <c r="AC837" s="103" t="str">
        <f>if(X837,_xlfn.WORKDAY.INTL(X837,AC$7,"0000001",Holidays!A:A)+hour(X837)/24+MINUTE(X837)/1440,"")</f>
        <v/>
      </c>
      <c r="AD837" s="104"/>
      <c r="AE837" s="105"/>
      <c r="AF837" s="111" t="str">
        <f t="shared" si="6"/>
        <v/>
      </c>
      <c r="AG837" s="110" t="str">
        <f t="shared" si="7"/>
        <v/>
      </c>
      <c r="AH837" s="103" t="str">
        <f>if(AC837,if(and(hour(AC837+AH$7)&gt;9.5,(hour(AC837+AH$7)&lt;19.5)),AC837+AH$7,_xlfn.workday.intl(int(AC837),1,"0000001",Holidays!A:A)+hour(AC837+AH$7-$B$1)/24+minute(AC837)/1440),"")</f>
        <v/>
      </c>
      <c r="AI837" s="104"/>
      <c r="AJ837" s="105"/>
      <c r="AK837" s="111" t="str">
        <f t="shared" si="8"/>
        <v/>
      </c>
      <c r="AL837" s="112" t="str">
        <f t="shared" si="9"/>
        <v/>
      </c>
      <c r="AM837" s="113"/>
      <c r="AN837" s="291" t="s">
        <v>2540</v>
      </c>
      <c r="AO837" s="115"/>
      <c r="AP837" s="115"/>
      <c r="AQ837" s="115"/>
      <c r="AR837" s="115"/>
      <c r="AS837" s="115"/>
      <c r="AT837" s="115"/>
      <c r="AU837" s="115"/>
      <c r="AV837" s="115"/>
      <c r="AW837" s="115"/>
      <c r="AX837" s="115"/>
      <c r="AY837" s="115"/>
    </row>
    <row r="838">
      <c r="A838" s="95" t="str">
        <f t="shared" si="11"/>
        <v/>
      </c>
      <c r="B838" s="100"/>
      <c r="C838" s="97"/>
      <c r="D838" s="97"/>
      <c r="E838" s="97"/>
      <c r="F838" s="97"/>
      <c r="G838" s="97"/>
      <c r="H838" s="99"/>
      <c r="I838" s="100"/>
      <c r="J838" s="101"/>
      <c r="K838" s="100"/>
      <c r="L838" s="102"/>
      <c r="M838" s="103" t="str">
        <f>if(B838,if(and(hour(B838+M$7)&gt;9.5,(hour(B838+M$7)&lt;19.5)),B838+M$7,_xlfn.workday.intl(int(B838),1,"0000001",Holidays!A:A)+hour(B838+M$7-$B$1)/24+minute(B838)/1440),"")</f>
        <v/>
      </c>
      <c r="N838" s="104"/>
      <c r="O838" s="105"/>
      <c r="P838" s="106" t="str">
        <f t="shared" si="1"/>
        <v/>
      </c>
      <c r="Q838" s="107"/>
      <c r="R838" s="108"/>
      <c r="S838" s="103" t="str">
        <f>if(M838,if(and(hour(M838+S$7)&gt;9.5,(hour(M838+S$7)&lt;19.5)),M838+S$7,_xlfn.workday.intl(int(M838),1,"0000001",Holidays!A:A)+hour(M838+S$7-$B$1)/24+minute(M838)/1440),"")</f>
        <v/>
      </c>
      <c r="T838" s="104"/>
      <c r="U838" s="105"/>
      <c r="V838" s="109" t="str">
        <f t="shared" si="2"/>
        <v/>
      </c>
      <c r="W838" s="110" t="str">
        <f t="shared" si="3"/>
        <v/>
      </c>
      <c r="X838" s="103" t="str">
        <f>if(S838,if(and(hour(S838+X$7)&gt;9.5,(hour(S838+X$7)&lt;19.5)),S838+X$7,_xlfn.workday.intl(int(S838),1,"0000001",Holidays!A:A)+hour(S838+X$7-$B$1)/24+minute(S838)/1440),"")</f>
        <v/>
      </c>
      <c r="Y838" s="104"/>
      <c r="Z838" s="105"/>
      <c r="AA838" s="111" t="str">
        <f t="shared" si="4"/>
        <v/>
      </c>
      <c r="AB838" s="110" t="str">
        <f t="shared" si="5"/>
        <v/>
      </c>
      <c r="AC838" s="103" t="str">
        <f>if(X838,_xlfn.WORKDAY.INTL(X838,AC$7,"0000001",Holidays!A:A)+hour(X838)/24+MINUTE(X838)/1440,"")</f>
        <v/>
      </c>
      <c r="AD838" s="104"/>
      <c r="AE838" s="105"/>
      <c r="AF838" s="111" t="str">
        <f t="shared" si="6"/>
        <v/>
      </c>
      <c r="AG838" s="110" t="str">
        <f t="shared" si="7"/>
        <v/>
      </c>
      <c r="AH838" s="103" t="str">
        <f>if(AC838,if(and(hour(AC838+AH$7)&gt;9.5,(hour(AC838+AH$7)&lt;19.5)),AC838+AH$7,_xlfn.workday.intl(int(AC838),1,"0000001",Holidays!A:A)+hour(AC838+AH$7-$B$1)/24+minute(AC838)/1440),"")</f>
        <v/>
      </c>
      <c r="AI838" s="104"/>
      <c r="AJ838" s="105"/>
      <c r="AK838" s="111" t="str">
        <f t="shared" si="8"/>
        <v/>
      </c>
      <c r="AL838" s="112" t="str">
        <f t="shared" si="9"/>
        <v/>
      </c>
      <c r="AM838" s="113"/>
      <c r="AN838" s="291" t="s">
        <v>2540</v>
      </c>
      <c r="AO838" s="115"/>
      <c r="AP838" s="115"/>
      <c r="AQ838" s="115"/>
      <c r="AR838" s="115"/>
      <c r="AS838" s="115"/>
      <c r="AT838" s="115"/>
      <c r="AU838" s="115"/>
      <c r="AV838" s="115"/>
      <c r="AW838" s="115"/>
      <c r="AX838" s="115"/>
      <c r="AY838" s="115"/>
    </row>
    <row r="839">
      <c r="A839" s="95" t="str">
        <f t="shared" si="11"/>
        <v/>
      </c>
      <c r="B839" s="100"/>
      <c r="C839" s="97"/>
      <c r="D839" s="97"/>
      <c r="E839" s="97"/>
      <c r="F839" s="97"/>
      <c r="G839" s="97"/>
      <c r="H839" s="99"/>
      <c r="I839" s="100"/>
      <c r="J839" s="101"/>
      <c r="K839" s="100"/>
      <c r="L839" s="102"/>
      <c r="M839" s="103" t="str">
        <f>if(B839,if(and(hour(B839+M$7)&gt;9.5,(hour(B839+M$7)&lt;19.5)),B839+M$7,_xlfn.workday.intl(int(B839),1,"0000001",Holidays!A:A)+hour(B839+M$7-$B$1)/24+minute(B839)/1440),"")</f>
        <v/>
      </c>
      <c r="N839" s="104"/>
      <c r="O839" s="105"/>
      <c r="P839" s="106" t="str">
        <f t="shared" si="1"/>
        <v/>
      </c>
      <c r="Q839" s="107"/>
      <c r="R839" s="108"/>
      <c r="S839" s="103" t="str">
        <f>if(M839,if(and(hour(M839+S$7)&gt;9.5,(hour(M839+S$7)&lt;19.5)),M839+S$7,_xlfn.workday.intl(int(M839),1,"0000001",Holidays!A:A)+hour(M839+S$7-$B$1)/24+minute(M839)/1440),"")</f>
        <v/>
      </c>
      <c r="T839" s="104"/>
      <c r="U839" s="105"/>
      <c r="V839" s="109" t="str">
        <f t="shared" si="2"/>
        <v/>
      </c>
      <c r="W839" s="110" t="str">
        <f t="shared" si="3"/>
        <v/>
      </c>
      <c r="X839" s="103" t="str">
        <f>if(S839,if(and(hour(S839+X$7)&gt;9.5,(hour(S839+X$7)&lt;19.5)),S839+X$7,_xlfn.workday.intl(int(S839),1,"0000001",Holidays!A:A)+hour(S839+X$7-$B$1)/24+minute(S839)/1440),"")</f>
        <v/>
      </c>
      <c r="Y839" s="104"/>
      <c r="Z839" s="105"/>
      <c r="AA839" s="111" t="str">
        <f t="shared" si="4"/>
        <v/>
      </c>
      <c r="AB839" s="110" t="str">
        <f t="shared" si="5"/>
        <v/>
      </c>
      <c r="AC839" s="103" t="str">
        <f>if(X839,_xlfn.WORKDAY.INTL(X839,AC$7,"0000001",Holidays!A:A)+hour(X839)/24+MINUTE(X839)/1440,"")</f>
        <v/>
      </c>
      <c r="AD839" s="104"/>
      <c r="AE839" s="105"/>
      <c r="AF839" s="111" t="str">
        <f t="shared" si="6"/>
        <v/>
      </c>
      <c r="AG839" s="110" t="str">
        <f t="shared" si="7"/>
        <v/>
      </c>
      <c r="AH839" s="103" t="str">
        <f>if(AC839,if(and(hour(AC839+AH$7)&gt;9.5,(hour(AC839+AH$7)&lt;19.5)),AC839+AH$7,_xlfn.workday.intl(int(AC839),1,"0000001",Holidays!A:A)+hour(AC839+AH$7-$B$1)/24+minute(AC839)/1440),"")</f>
        <v/>
      </c>
      <c r="AI839" s="104"/>
      <c r="AJ839" s="105"/>
      <c r="AK839" s="111" t="str">
        <f t="shared" si="8"/>
        <v/>
      </c>
      <c r="AL839" s="112" t="str">
        <f t="shared" si="9"/>
        <v/>
      </c>
      <c r="AM839" s="113"/>
      <c r="AN839" s="291" t="s">
        <v>2540</v>
      </c>
      <c r="AO839" s="115"/>
      <c r="AP839" s="115"/>
      <c r="AQ839" s="115"/>
      <c r="AR839" s="115"/>
      <c r="AS839" s="115"/>
      <c r="AT839" s="115"/>
      <c r="AU839" s="115"/>
      <c r="AV839" s="115"/>
      <c r="AW839" s="115"/>
      <c r="AX839" s="115"/>
      <c r="AY839" s="115"/>
    </row>
    <row r="840">
      <c r="A840" s="95" t="str">
        <f t="shared" si="11"/>
        <v/>
      </c>
      <c r="B840" s="100"/>
      <c r="C840" s="97"/>
      <c r="D840" s="97"/>
      <c r="E840" s="97"/>
      <c r="F840" s="97"/>
      <c r="G840" s="97"/>
      <c r="H840" s="99"/>
      <c r="I840" s="100"/>
      <c r="J840" s="101"/>
      <c r="K840" s="100"/>
      <c r="L840" s="102"/>
      <c r="M840" s="103" t="str">
        <f>if(B840,if(and(hour(B840+M$7)&gt;9.5,(hour(B840+M$7)&lt;19.5)),B840+M$7,_xlfn.workday.intl(int(B840),1,"0000001",Holidays!A:A)+hour(B840+M$7-$B$1)/24+minute(B840)/1440),"")</f>
        <v/>
      </c>
      <c r="N840" s="104"/>
      <c r="O840" s="105"/>
      <c r="P840" s="106" t="str">
        <f t="shared" si="1"/>
        <v/>
      </c>
      <c r="Q840" s="107"/>
      <c r="R840" s="108"/>
      <c r="S840" s="103" t="str">
        <f>if(M840,if(and(hour(M840+S$7)&gt;9.5,(hour(M840+S$7)&lt;19.5)),M840+S$7,_xlfn.workday.intl(int(M840),1,"0000001",Holidays!A:A)+hour(M840+S$7-$B$1)/24+minute(M840)/1440),"")</f>
        <v/>
      </c>
      <c r="T840" s="104"/>
      <c r="U840" s="105"/>
      <c r="V840" s="109" t="str">
        <f t="shared" si="2"/>
        <v/>
      </c>
      <c r="W840" s="110" t="str">
        <f t="shared" si="3"/>
        <v/>
      </c>
      <c r="X840" s="103" t="str">
        <f>if(S840,if(and(hour(S840+X$7)&gt;9.5,(hour(S840+X$7)&lt;19.5)),S840+X$7,_xlfn.workday.intl(int(S840),1,"0000001",Holidays!A:A)+hour(S840+X$7-$B$1)/24+minute(S840)/1440),"")</f>
        <v/>
      </c>
      <c r="Y840" s="104"/>
      <c r="Z840" s="105"/>
      <c r="AA840" s="111" t="str">
        <f t="shared" si="4"/>
        <v/>
      </c>
      <c r="AB840" s="110" t="str">
        <f t="shared" si="5"/>
        <v/>
      </c>
      <c r="AC840" s="103" t="str">
        <f>if(X840,_xlfn.WORKDAY.INTL(X840,AC$7,"0000001",Holidays!A:A)+hour(X840)/24+MINUTE(X840)/1440,"")</f>
        <v/>
      </c>
      <c r="AD840" s="104"/>
      <c r="AE840" s="105"/>
      <c r="AF840" s="111" t="str">
        <f t="shared" si="6"/>
        <v/>
      </c>
      <c r="AG840" s="110" t="str">
        <f t="shared" si="7"/>
        <v/>
      </c>
      <c r="AH840" s="103" t="str">
        <f>if(AC840,if(and(hour(AC840+AH$7)&gt;9.5,(hour(AC840+AH$7)&lt;19.5)),AC840+AH$7,_xlfn.workday.intl(int(AC840),1,"0000001",Holidays!A:A)+hour(AC840+AH$7-$B$1)/24+minute(AC840)/1440),"")</f>
        <v/>
      </c>
      <c r="AI840" s="104"/>
      <c r="AJ840" s="105"/>
      <c r="AK840" s="111" t="str">
        <f t="shared" si="8"/>
        <v/>
      </c>
      <c r="AL840" s="112" t="str">
        <f t="shared" si="9"/>
        <v/>
      </c>
      <c r="AM840" s="113"/>
      <c r="AN840" s="291" t="s">
        <v>2540</v>
      </c>
      <c r="AO840" s="115"/>
      <c r="AP840" s="115"/>
      <c r="AQ840" s="115"/>
      <c r="AR840" s="115"/>
      <c r="AS840" s="115"/>
      <c r="AT840" s="115"/>
      <c r="AU840" s="115"/>
      <c r="AV840" s="115"/>
      <c r="AW840" s="115"/>
      <c r="AX840" s="115"/>
      <c r="AY840" s="115"/>
    </row>
    <row r="841">
      <c r="A841" s="95" t="str">
        <f t="shared" si="11"/>
        <v/>
      </c>
      <c r="B841" s="100"/>
      <c r="C841" s="97"/>
      <c r="D841" s="97"/>
      <c r="E841" s="97"/>
      <c r="F841" s="97"/>
      <c r="G841" s="97"/>
      <c r="H841" s="99"/>
      <c r="I841" s="100"/>
      <c r="J841" s="101"/>
      <c r="K841" s="100"/>
      <c r="L841" s="102"/>
      <c r="M841" s="103" t="str">
        <f>if(B841,if(and(hour(B841+M$7)&gt;9.5,(hour(B841+M$7)&lt;19.5)),B841+M$7,_xlfn.workday.intl(int(B841),1,"0000001",Holidays!A:A)+hour(B841+M$7-$B$1)/24+minute(B841)/1440),"")</f>
        <v/>
      </c>
      <c r="N841" s="104"/>
      <c r="O841" s="105"/>
      <c r="P841" s="106" t="str">
        <f t="shared" si="1"/>
        <v/>
      </c>
      <c r="Q841" s="107"/>
      <c r="R841" s="108"/>
      <c r="S841" s="103" t="str">
        <f>if(M841,if(and(hour(M841+S$7)&gt;9.5,(hour(M841+S$7)&lt;19.5)),M841+S$7,_xlfn.workday.intl(int(M841),1,"0000001",Holidays!A:A)+hour(M841+S$7-$B$1)/24+minute(M841)/1440),"")</f>
        <v/>
      </c>
      <c r="T841" s="104"/>
      <c r="U841" s="105"/>
      <c r="V841" s="109" t="str">
        <f t="shared" si="2"/>
        <v/>
      </c>
      <c r="W841" s="110" t="str">
        <f t="shared" si="3"/>
        <v/>
      </c>
      <c r="X841" s="103" t="str">
        <f>if(S841,if(and(hour(S841+X$7)&gt;9.5,(hour(S841+X$7)&lt;19.5)),S841+X$7,_xlfn.workday.intl(int(S841),1,"0000001",Holidays!A:A)+hour(S841+X$7-$B$1)/24+minute(S841)/1440),"")</f>
        <v/>
      </c>
      <c r="Y841" s="104"/>
      <c r="Z841" s="105"/>
      <c r="AA841" s="111" t="str">
        <f t="shared" si="4"/>
        <v/>
      </c>
      <c r="AB841" s="110" t="str">
        <f t="shared" si="5"/>
        <v/>
      </c>
      <c r="AC841" s="103" t="str">
        <f>if(X841,_xlfn.WORKDAY.INTL(X841,AC$7,"0000001",Holidays!A:A)+hour(X841)/24+MINUTE(X841)/1440,"")</f>
        <v/>
      </c>
      <c r="AD841" s="104"/>
      <c r="AE841" s="105"/>
      <c r="AF841" s="111" t="str">
        <f t="shared" si="6"/>
        <v/>
      </c>
      <c r="AG841" s="110" t="str">
        <f t="shared" si="7"/>
        <v/>
      </c>
      <c r="AH841" s="103" t="str">
        <f>if(AC841,if(and(hour(AC841+AH$7)&gt;9.5,(hour(AC841+AH$7)&lt;19.5)),AC841+AH$7,_xlfn.workday.intl(int(AC841),1,"0000001",Holidays!A:A)+hour(AC841+AH$7-$B$1)/24+minute(AC841)/1440),"")</f>
        <v/>
      </c>
      <c r="AI841" s="104"/>
      <c r="AJ841" s="105"/>
      <c r="AK841" s="111" t="str">
        <f t="shared" si="8"/>
        <v/>
      </c>
      <c r="AL841" s="112" t="str">
        <f t="shared" si="9"/>
        <v/>
      </c>
      <c r="AM841" s="113"/>
      <c r="AN841" s="291" t="s">
        <v>2540</v>
      </c>
      <c r="AO841" s="115"/>
      <c r="AP841" s="115"/>
      <c r="AQ841" s="115"/>
      <c r="AR841" s="115"/>
      <c r="AS841" s="115"/>
      <c r="AT841" s="115"/>
      <c r="AU841" s="115"/>
      <c r="AV841" s="115"/>
      <c r="AW841" s="115"/>
      <c r="AX841" s="115"/>
      <c r="AY841" s="115"/>
    </row>
    <row r="842">
      <c r="A842" s="95" t="str">
        <f t="shared" si="11"/>
        <v/>
      </c>
      <c r="B842" s="100"/>
      <c r="C842" s="97"/>
      <c r="D842" s="97"/>
      <c r="E842" s="97"/>
      <c r="F842" s="97"/>
      <c r="G842" s="97"/>
      <c r="H842" s="99"/>
      <c r="I842" s="100"/>
      <c r="J842" s="101"/>
      <c r="K842" s="100"/>
      <c r="L842" s="102"/>
      <c r="M842" s="103" t="str">
        <f>if(B842,if(and(hour(B842+M$7)&gt;9.5,(hour(B842+M$7)&lt;19.5)),B842+M$7,_xlfn.workday.intl(int(B842),1,"0000001",Holidays!A:A)+hour(B842+M$7-$B$1)/24+minute(B842)/1440),"")</f>
        <v/>
      </c>
      <c r="N842" s="104"/>
      <c r="O842" s="105"/>
      <c r="P842" s="106" t="str">
        <f t="shared" si="1"/>
        <v/>
      </c>
      <c r="Q842" s="107"/>
      <c r="R842" s="108"/>
      <c r="S842" s="103" t="str">
        <f>if(M842,if(and(hour(M842+S$7)&gt;9.5,(hour(M842+S$7)&lt;19.5)),M842+S$7,_xlfn.workday.intl(int(M842),1,"0000001",Holidays!A:A)+hour(M842+S$7-$B$1)/24+minute(M842)/1440),"")</f>
        <v/>
      </c>
      <c r="T842" s="104"/>
      <c r="U842" s="105"/>
      <c r="V842" s="109" t="str">
        <f t="shared" si="2"/>
        <v/>
      </c>
      <c r="W842" s="110" t="str">
        <f t="shared" si="3"/>
        <v/>
      </c>
      <c r="X842" s="103" t="str">
        <f>if(S842,if(and(hour(S842+X$7)&gt;9.5,(hour(S842+X$7)&lt;19.5)),S842+X$7,_xlfn.workday.intl(int(S842),1,"0000001",Holidays!A:A)+hour(S842+X$7-$B$1)/24+minute(S842)/1440),"")</f>
        <v/>
      </c>
      <c r="Y842" s="104"/>
      <c r="Z842" s="105"/>
      <c r="AA842" s="111" t="str">
        <f t="shared" si="4"/>
        <v/>
      </c>
      <c r="AB842" s="110" t="str">
        <f t="shared" si="5"/>
        <v/>
      </c>
      <c r="AC842" s="103" t="str">
        <f>if(X842,_xlfn.WORKDAY.INTL(X842,AC$7,"0000001",Holidays!A:A)+hour(X842)/24+MINUTE(X842)/1440,"")</f>
        <v/>
      </c>
      <c r="AD842" s="104"/>
      <c r="AE842" s="105"/>
      <c r="AF842" s="111" t="str">
        <f t="shared" si="6"/>
        <v/>
      </c>
      <c r="AG842" s="110" t="str">
        <f t="shared" si="7"/>
        <v/>
      </c>
      <c r="AH842" s="103" t="str">
        <f>if(AC842,if(and(hour(AC842+AH$7)&gt;9.5,(hour(AC842+AH$7)&lt;19.5)),AC842+AH$7,_xlfn.workday.intl(int(AC842),1,"0000001",Holidays!A:A)+hour(AC842+AH$7-$B$1)/24+minute(AC842)/1440),"")</f>
        <v/>
      </c>
      <c r="AI842" s="104"/>
      <c r="AJ842" s="105"/>
      <c r="AK842" s="111" t="str">
        <f t="shared" si="8"/>
        <v/>
      </c>
      <c r="AL842" s="112" t="str">
        <f t="shared" si="9"/>
        <v/>
      </c>
      <c r="AM842" s="113"/>
      <c r="AN842" s="291" t="s">
        <v>2540</v>
      </c>
      <c r="AO842" s="115"/>
      <c r="AP842" s="115"/>
      <c r="AQ842" s="115"/>
      <c r="AR842" s="115"/>
      <c r="AS842" s="115"/>
      <c r="AT842" s="115"/>
      <c r="AU842" s="115"/>
      <c r="AV842" s="115"/>
      <c r="AW842" s="115"/>
      <c r="AX842" s="115"/>
      <c r="AY842" s="115"/>
    </row>
    <row r="843">
      <c r="A843" s="95" t="str">
        <f t="shared" si="11"/>
        <v/>
      </c>
      <c r="B843" s="100"/>
      <c r="C843" s="97"/>
      <c r="D843" s="97"/>
      <c r="E843" s="97"/>
      <c r="F843" s="97"/>
      <c r="G843" s="97"/>
      <c r="H843" s="99"/>
      <c r="I843" s="100"/>
      <c r="J843" s="101"/>
      <c r="K843" s="100"/>
      <c r="L843" s="102"/>
      <c r="M843" s="103" t="str">
        <f>if(B843,if(and(hour(B843+M$7)&gt;9.5,(hour(B843+M$7)&lt;19.5)),B843+M$7,_xlfn.workday.intl(int(B843),1,"0000001",Holidays!A:A)+hour(B843+M$7-$B$1)/24+minute(B843)/1440),"")</f>
        <v/>
      </c>
      <c r="N843" s="104"/>
      <c r="O843" s="105"/>
      <c r="P843" s="106" t="str">
        <f t="shared" si="1"/>
        <v/>
      </c>
      <c r="Q843" s="107"/>
      <c r="R843" s="108"/>
      <c r="S843" s="103" t="str">
        <f>if(M843,if(and(hour(M843+S$7)&gt;9.5,(hour(M843+S$7)&lt;19.5)),M843+S$7,_xlfn.workday.intl(int(M843),1,"0000001",Holidays!A:A)+hour(M843+S$7-$B$1)/24+minute(M843)/1440),"")</f>
        <v/>
      </c>
      <c r="T843" s="104"/>
      <c r="U843" s="105"/>
      <c r="V843" s="109" t="str">
        <f t="shared" si="2"/>
        <v/>
      </c>
      <c r="W843" s="110" t="str">
        <f t="shared" si="3"/>
        <v/>
      </c>
      <c r="X843" s="103" t="str">
        <f>if(S843,if(and(hour(S843+X$7)&gt;9.5,(hour(S843+X$7)&lt;19.5)),S843+X$7,_xlfn.workday.intl(int(S843),1,"0000001",Holidays!A:A)+hour(S843+X$7-$B$1)/24+minute(S843)/1440),"")</f>
        <v/>
      </c>
      <c r="Y843" s="104"/>
      <c r="Z843" s="105"/>
      <c r="AA843" s="111" t="str">
        <f t="shared" si="4"/>
        <v/>
      </c>
      <c r="AB843" s="110" t="str">
        <f t="shared" si="5"/>
        <v/>
      </c>
      <c r="AC843" s="103" t="str">
        <f>if(X843,_xlfn.WORKDAY.INTL(X843,AC$7,"0000001",Holidays!A:A)+hour(X843)/24+MINUTE(X843)/1440,"")</f>
        <v/>
      </c>
      <c r="AD843" s="104"/>
      <c r="AE843" s="105"/>
      <c r="AF843" s="111" t="str">
        <f t="shared" si="6"/>
        <v/>
      </c>
      <c r="AG843" s="110" t="str">
        <f t="shared" si="7"/>
        <v/>
      </c>
      <c r="AH843" s="103" t="str">
        <f>if(AC843,if(and(hour(AC843+AH$7)&gt;9.5,(hour(AC843+AH$7)&lt;19.5)),AC843+AH$7,_xlfn.workday.intl(int(AC843),1,"0000001",Holidays!A:A)+hour(AC843+AH$7-$B$1)/24+minute(AC843)/1440),"")</f>
        <v/>
      </c>
      <c r="AI843" s="104"/>
      <c r="AJ843" s="105"/>
      <c r="AK843" s="111" t="str">
        <f t="shared" si="8"/>
        <v/>
      </c>
      <c r="AL843" s="112" t="str">
        <f t="shared" si="9"/>
        <v/>
      </c>
      <c r="AM843" s="113"/>
      <c r="AN843" s="291" t="s">
        <v>2540</v>
      </c>
      <c r="AO843" s="115"/>
      <c r="AP843" s="115"/>
      <c r="AQ843" s="115"/>
      <c r="AR843" s="115"/>
      <c r="AS843" s="115"/>
      <c r="AT843" s="115"/>
      <c r="AU843" s="115"/>
      <c r="AV843" s="115"/>
      <c r="AW843" s="115"/>
      <c r="AX843" s="115"/>
      <c r="AY843" s="115"/>
    </row>
    <row r="844">
      <c r="A844" s="95" t="str">
        <f t="shared" si="11"/>
        <v/>
      </c>
      <c r="B844" s="100"/>
      <c r="C844" s="97"/>
      <c r="D844" s="97"/>
      <c r="E844" s="97"/>
      <c r="F844" s="97"/>
      <c r="G844" s="97"/>
      <c r="H844" s="99"/>
      <c r="I844" s="100"/>
      <c r="J844" s="101"/>
      <c r="K844" s="100"/>
      <c r="L844" s="102"/>
      <c r="M844" s="103" t="str">
        <f>if(B844,if(and(hour(B844+M$7)&gt;9.5,(hour(B844+M$7)&lt;19.5)),B844+M$7,_xlfn.workday.intl(int(B844),1,"0000001",Holidays!A:A)+hour(B844+M$7-$B$1)/24+minute(B844)/1440),"")</f>
        <v/>
      </c>
      <c r="N844" s="104"/>
      <c r="O844" s="105"/>
      <c r="P844" s="106" t="str">
        <f t="shared" si="1"/>
        <v/>
      </c>
      <c r="Q844" s="107"/>
      <c r="R844" s="108"/>
      <c r="S844" s="103" t="str">
        <f>if(M844,if(and(hour(M844+S$7)&gt;9.5,(hour(M844+S$7)&lt;19.5)),M844+S$7,_xlfn.workday.intl(int(M844),1,"0000001",Holidays!A:A)+hour(M844+S$7-$B$1)/24+minute(M844)/1440),"")</f>
        <v/>
      </c>
      <c r="T844" s="104"/>
      <c r="U844" s="105"/>
      <c r="V844" s="109" t="str">
        <f t="shared" si="2"/>
        <v/>
      </c>
      <c r="W844" s="110" t="str">
        <f t="shared" si="3"/>
        <v/>
      </c>
      <c r="X844" s="103" t="str">
        <f>if(S844,if(and(hour(S844+X$7)&gt;9.5,(hour(S844+X$7)&lt;19.5)),S844+X$7,_xlfn.workday.intl(int(S844),1,"0000001",Holidays!A:A)+hour(S844+X$7-$B$1)/24+minute(S844)/1440),"")</f>
        <v/>
      </c>
      <c r="Y844" s="104"/>
      <c r="Z844" s="105"/>
      <c r="AA844" s="111" t="str">
        <f t="shared" si="4"/>
        <v/>
      </c>
      <c r="AB844" s="110" t="str">
        <f t="shared" si="5"/>
        <v/>
      </c>
      <c r="AC844" s="103" t="str">
        <f>if(X844,_xlfn.WORKDAY.INTL(X844,AC$7,"0000001",Holidays!A:A)+hour(X844)/24+MINUTE(X844)/1440,"")</f>
        <v/>
      </c>
      <c r="AD844" s="104"/>
      <c r="AE844" s="105"/>
      <c r="AF844" s="111" t="str">
        <f t="shared" si="6"/>
        <v/>
      </c>
      <c r="AG844" s="110" t="str">
        <f t="shared" si="7"/>
        <v/>
      </c>
      <c r="AH844" s="103" t="str">
        <f>if(AC844,if(and(hour(AC844+AH$7)&gt;9.5,(hour(AC844+AH$7)&lt;19.5)),AC844+AH$7,_xlfn.workday.intl(int(AC844),1,"0000001",Holidays!A:A)+hour(AC844+AH$7-$B$1)/24+minute(AC844)/1440),"")</f>
        <v/>
      </c>
      <c r="AI844" s="104"/>
      <c r="AJ844" s="105"/>
      <c r="AK844" s="111" t="str">
        <f t="shared" si="8"/>
        <v/>
      </c>
      <c r="AL844" s="112" t="str">
        <f t="shared" si="9"/>
        <v/>
      </c>
      <c r="AM844" s="113"/>
      <c r="AN844" s="291" t="s">
        <v>2540</v>
      </c>
      <c r="AO844" s="115"/>
      <c r="AP844" s="115"/>
      <c r="AQ844" s="115"/>
      <c r="AR844" s="115"/>
      <c r="AS844" s="115"/>
      <c r="AT844" s="115"/>
      <c r="AU844" s="115"/>
      <c r="AV844" s="115"/>
      <c r="AW844" s="115"/>
      <c r="AX844" s="115"/>
      <c r="AY844" s="115"/>
    </row>
    <row r="845">
      <c r="A845" s="95" t="str">
        <f t="shared" si="11"/>
        <v/>
      </c>
      <c r="B845" s="100"/>
      <c r="C845" s="97"/>
      <c r="D845" s="97"/>
      <c r="E845" s="97"/>
      <c r="F845" s="97"/>
      <c r="G845" s="97"/>
      <c r="H845" s="99"/>
      <c r="I845" s="100"/>
      <c r="J845" s="101"/>
      <c r="K845" s="100"/>
      <c r="L845" s="102"/>
      <c r="M845" s="103" t="str">
        <f>if(B845,if(and(hour(B845+M$7)&gt;9.5,(hour(B845+M$7)&lt;19.5)),B845+M$7,_xlfn.workday.intl(int(B845),1,"0000001",Holidays!A:A)+hour(B845+M$7-$B$1)/24+minute(B845)/1440),"")</f>
        <v/>
      </c>
      <c r="N845" s="104"/>
      <c r="O845" s="105"/>
      <c r="P845" s="106" t="str">
        <f t="shared" si="1"/>
        <v/>
      </c>
      <c r="Q845" s="107"/>
      <c r="R845" s="108"/>
      <c r="S845" s="103" t="str">
        <f>if(M845,if(and(hour(M845+S$7)&gt;9.5,(hour(M845+S$7)&lt;19.5)),M845+S$7,_xlfn.workday.intl(int(M845),1,"0000001",Holidays!A:A)+hour(M845+S$7-$B$1)/24+minute(M845)/1440),"")</f>
        <v/>
      </c>
      <c r="T845" s="104"/>
      <c r="U845" s="105"/>
      <c r="V845" s="109" t="str">
        <f t="shared" si="2"/>
        <v/>
      </c>
      <c r="W845" s="110" t="str">
        <f t="shared" si="3"/>
        <v/>
      </c>
      <c r="X845" s="103" t="str">
        <f>if(S845,if(and(hour(S845+X$7)&gt;9.5,(hour(S845+X$7)&lt;19.5)),S845+X$7,_xlfn.workday.intl(int(S845),1,"0000001",Holidays!A:A)+hour(S845+X$7-$B$1)/24+minute(S845)/1440),"")</f>
        <v/>
      </c>
      <c r="Y845" s="104"/>
      <c r="Z845" s="105"/>
      <c r="AA845" s="111" t="str">
        <f t="shared" si="4"/>
        <v/>
      </c>
      <c r="AB845" s="110" t="str">
        <f t="shared" si="5"/>
        <v/>
      </c>
      <c r="AC845" s="103" t="str">
        <f>if(X845,_xlfn.WORKDAY.INTL(X845,AC$7,"0000001",Holidays!A:A)+hour(X845)/24+MINUTE(X845)/1440,"")</f>
        <v/>
      </c>
      <c r="AD845" s="104"/>
      <c r="AE845" s="105"/>
      <c r="AF845" s="111" t="str">
        <f t="shared" si="6"/>
        <v/>
      </c>
      <c r="AG845" s="110" t="str">
        <f t="shared" si="7"/>
        <v/>
      </c>
      <c r="AH845" s="103" t="str">
        <f>if(AC845,if(and(hour(AC845+AH$7)&gt;9.5,(hour(AC845+AH$7)&lt;19.5)),AC845+AH$7,_xlfn.workday.intl(int(AC845),1,"0000001",Holidays!A:A)+hour(AC845+AH$7-$B$1)/24+minute(AC845)/1440),"")</f>
        <v/>
      </c>
      <c r="AI845" s="104"/>
      <c r="AJ845" s="105"/>
      <c r="AK845" s="111" t="str">
        <f t="shared" si="8"/>
        <v/>
      </c>
      <c r="AL845" s="112" t="str">
        <f t="shared" si="9"/>
        <v/>
      </c>
      <c r="AM845" s="113"/>
      <c r="AN845" s="291" t="s">
        <v>2540</v>
      </c>
      <c r="AO845" s="115"/>
      <c r="AP845" s="115"/>
      <c r="AQ845" s="115"/>
      <c r="AR845" s="115"/>
      <c r="AS845" s="115"/>
      <c r="AT845" s="115"/>
      <c r="AU845" s="115"/>
      <c r="AV845" s="115"/>
      <c r="AW845" s="115"/>
      <c r="AX845" s="115"/>
      <c r="AY845" s="115"/>
    </row>
    <row r="846">
      <c r="A846" s="95" t="str">
        <f t="shared" si="11"/>
        <v/>
      </c>
      <c r="B846" s="100"/>
      <c r="C846" s="97"/>
      <c r="D846" s="97"/>
      <c r="E846" s="97"/>
      <c r="F846" s="97"/>
      <c r="G846" s="97"/>
      <c r="H846" s="99"/>
      <c r="I846" s="100"/>
      <c r="J846" s="101"/>
      <c r="K846" s="100"/>
      <c r="L846" s="102"/>
      <c r="M846" s="103" t="str">
        <f>if(B846,if(and(hour(B846+M$7)&gt;9.5,(hour(B846+M$7)&lt;19.5)),B846+M$7,_xlfn.workday.intl(int(B846),1,"0000001",Holidays!A:A)+hour(B846+M$7-$B$1)/24+minute(B846)/1440),"")</f>
        <v/>
      </c>
      <c r="N846" s="104"/>
      <c r="O846" s="105"/>
      <c r="P846" s="106" t="str">
        <f t="shared" si="1"/>
        <v/>
      </c>
      <c r="Q846" s="107"/>
      <c r="R846" s="108"/>
      <c r="S846" s="103" t="str">
        <f>if(M846,if(and(hour(M846+S$7)&gt;9.5,(hour(M846+S$7)&lt;19.5)),M846+S$7,_xlfn.workday.intl(int(M846),1,"0000001",Holidays!A:A)+hour(M846+S$7-$B$1)/24+minute(M846)/1440),"")</f>
        <v/>
      </c>
      <c r="T846" s="104"/>
      <c r="U846" s="105"/>
      <c r="V846" s="109" t="str">
        <f t="shared" si="2"/>
        <v/>
      </c>
      <c r="W846" s="110" t="str">
        <f t="shared" si="3"/>
        <v/>
      </c>
      <c r="X846" s="103" t="str">
        <f>if(S846,if(and(hour(S846+X$7)&gt;9.5,(hour(S846+X$7)&lt;19.5)),S846+X$7,_xlfn.workday.intl(int(S846),1,"0000001",Holidays!A:A)+hour(S846+X$7-$B$1)/24+minute(S846)/1440),"")</f>
        <v/>
      </c>
      <c r="Y846" s="104"/>
      <c r="Z846" s="105"/>
      <c r="AA846" s="111" t="str">
        <f t="shared" si="4"/>
        <v/>
      </c>
      <c r="AB846" s="110" t="str">
        <f t="shared" si="5"/>
        <v/>
      </c>
      <c r="AC846" s="103" t="str">
        <f>if(X846,_xlfn.WORKDAY.INTL(X846,AC$7,"0000001",Holidays!A:A)+hour(X846)/24+MINUTE(X846)/1440,"")</f>
        <v/>
      </c>
      <c r="AD846" s="104"/>
      <c r="AE846" s="105"/>
      <c r="AF846" s="111" t="str">
        <f t="shared" si="6"/>
        <v/>
      </c>
      <c r="AG846" s="110" t="str">
        <f t="shared" si="7"/>
        <v/>
      </c>
      <c r="AH846" s="103" t="str">
        <f>if(AC846,if(and(hour(AC846+AH$7)&gt;9.5,(hour(AC846+AH$7)&lt;19.5)),AC846+AH$7,_xlfn.workday.intl(int(AC846),1,"0000001",Holidays!A:A)+hour(AC846+AH$7-$B$1)/24+minute(AC846)/1440),"")</f>
        <v/>
      </c>
      <c r="AI846" s="104"/>
      <c r="AJ846" s="105"/>
      <c r="AK846" s="111" t="str">
        <f t="shared" si="8"/>
        <v/>
      </c>
      <c r="AL846" s="112" t="str">
        <f t="shared" si="9"/>
        <v/>
      </c>
      <c r="AM846" s="113"/>
      <c r="AN846" s="291" t="s">
        <v>2540</v>
      </c>
      <c r="AO846" s="115"/>
      <c r="AP846" s="115"/>
      <c r="AQ846" s="115"/>
      <c r="AR846" s="115"/>
      <c r="AS846" s="115"/>
      <c r="AT846" s="115"/>
      <c r="AU846" s="115"/>
      <c r="AV846" s="115"/>
      <c r="AW846" s="115"/>
      <c r="AX846" s="115"/>
      <c r="AY846" s="115"/>
    </row>
    <row r="847">
      <c r="A847" s="95" t="str">
        <f t="shared" si="11"/>
        <v/>
      </c>
      <c r="B847" s="100"/>
      <c r="C847" s="97"/>
      <c r="D847" s="97"/>
      <c r="E847" s="97"/>
      <c r="F847" s="97"/>
      <c r="G847" s="97"/>
      <c r="H847" s="99"/>
      <c r="I847" s="100"/>
      <c r="J847" s="101"/>
      <c r="K847" s="100"/>
      <c r="L847" s="102"/>
      <c r="M847" s="103" t="str">
        <f>if(B847,if(and(hour(B847+M$7)&gt;9.5,(hour(B847+M$7)&lt;19.5)),B847+M$7,_xlfn.workday.intl(int(B847),1,"0000001",Holidays!A:A)+hour(B847+M$7-$B$1)/24+minute(B847)/1440),"")</f>
        <v/>
      </c>
      <c r="N847" s="104"/>
      <c r="O847" s="105"/>
      <c r="P847" s="106" t="str">
        <f t="shared" si="1"/>
        <v/>
      </c>
      <c r="Q847" s="107"/>
      <c r="R847" s="108"/>
      <c r="S847" s="103" t="str">
        <f>if(M847,if(and(hour(M847+S$7)&gt;9.5,(hour(M847+S$7)&lt;19.5)),M847+S$7,_xlfn.workday.intl(int(M847),1,"0000001",Holidays!A:A)+hour(M847+S$7-$B$1)/24+minute(M847)/1440),"")</f>
        <v/>
      </c>
      <c r="T847" s="104"/>
      <c r="U847" s="105"/>
      <c r="V847" s="109" t="str">
        <f t="shared" si="2"/>
        <v/>
      </c>
      <c r="W847" s="110" t="str">
        <f t="shared" si="3"/>
        <v/>
      </c>
      <c r="X847" s="103" t="str">
        <f>if(S847,if(and(hour(S847+X$7)&gt;9.5,(hour(S847+X$7)&lt;19.5)),S847+X$7,_xlfn.workday.intl(int(S847),1,"0000001",Holidays!A:A)+hour(S847+X$7-$B$1)/24+minute(S847)/1440),"")</f>
        <v/>
      </c>
      <c r="Y847" s="104"/>
      <c r="Z847" s="105"/>
      <c r="AA847" s="111" t="str">
        <f t="shared" si="4"/>
        <v/>
      </c>
      <c r="AB847" s="110" t="str">
        <f t="shared" si="5"/>
        <v/>
      </c>
      <c r="AC847" s="103" t="str">
        <f>if(X847,_xlfn.WORKDAY.INTL(X847,AC$7,"0000001",Holidays!A:A)+hour(X847)/24+MINUTE(X847)/1440,"")</f>
        <v/>
      </c>
      <c r="AD847" s="104"/>
      <c r="AE847" s="105"/>
      <c r="AF847" s="111" t="str">
        <f t="shared" si="6"/>
        <v/>
      </c>
      <c r="AG847" s="110" t="str">
        <f t="shared" si="7"/>
        <v/>
      </c>
      <c r="AH847" s="103" t="str">
        <f>if(AC847,if(and(hour(AC847+AH$7)&gt;9.5,(hour(AC847+AH$7)&lt;19.5)),AC847+AH$7,_xlfn.workday.intl(int(AC847),1,"0000001",Holidays!A:A)+hour(AC847+AH$7-$B$1)/24+minute(AC847)/1440),"")</f>
        <v/>
      </c>
      <c r="AI847" s="104"/>
      <c r="AJ847" s="105"/>
      <c r="AK847" s="111" t="str">
        <f t="shared" si="8"/>
        <v/>
      </c>
      <c r="AL847" s="112" t="str">
        <f t="shared" si="9"/>
        <v/>
      </c>
      <c r="AM847" s="113"/>
      <c r="AN847" s="291" t="s">
        <v>2540</v>
      </c>
      <c r="AO847" s="115"/>
      <c r="AP847" s="115"/>
      <c r="AQ847" s="115"/>
      <c r="AR847" s="115"/>
      <c r="AS847" s="115"/>
      <c r="AT847" s="115"/>
      <c r="AU847" s="115"/>
      <c r="AV847" s="115"/>
      <c r="AW847" s="115"/>
      <c r="AX847" s="115"/>
      <c r="AY847" s="115"/>
    </row>
    <row r="848">
      <c r="A848" s="95" t="str">
        <f t="shared" si="11"/>
        <v/>
      </c>
      <c r="B848" s="100"/>
      <c r="C848" s="97"/>
      <c r="D848" s="97"/>
      <c r="E848" s="97"/>
      <c r="F848" s="97"/>
      <c r="G848" s="97"/>
      <c r="H848" s="99"/>
      <c r="I848" s="100"/>
      <c r="J848" s="101"/>
      <c r="K848" s="100"/>
      <c r="L848" s="102"/>
      <c r="M848" s="103" t="str">
        <f>if(B848,if(and(hour(B848+M$7)&gt;9.5,(hour(B848+M$7)&lt;19.5)),B848+M$7,_xlfn.workday.intl(int(B848),1,"0000001",Holidays!A:A)+hour(B848+M$7-$B$1)/24+minute(B848)/1440),"")</f>
        <v/>
      </c>
      <c r="N848" s="104"/>
      <c r="O848" s="105"/>
      <c r="P848" s="106" t="str">
        <f t="shared" si="1"/>
        <v/>
      </c>
      <c r="Q848" s="107"/>
      <c r="R848" s="108"/>
      <c r="S848" s="103" t="str">
        <f>if(M848,if(and(hour(M848+S$7)&gt;9.5,(hour(M848+S$7)&lt;19.5)),M848+S$7,_xlfn.workday.intl(int(M848),1,"0000001",Holidays!A:A)+hour(M848+S$7-$B$1)/24+minute(M848)/1440),"")</f>
        <v/>
      </c>
      <c r="T848" s="104"/>
      <c r="U848" s="105"/>
      <c r="V848" s="109" t="str">
        <f t="shared" si="2"/>
        <v/>
      </c>
      <c r="W848" s="110" t="str">
        <f t="shared" si="3"/>
        <v/>
      </c>
      <c r="X848" s="103" t="str">
        <f>if(S848,if(and(hour(S848+X$7)&gt;9.5,(hour(S848+X$7)&lt;19.5)),S848+X$7,_xlfn.workday.intl(int(S848),1,"0000001",Holidays!A:A)+hour(S848+X$7-$B$1)/24+minute(S848)/1440),"")</f>
        <v/>
      </c>
      <c r="Y848" s="104"/>
      <c r="Z848" s="105"/>
      <c r="AA848" s="111" t="str">
        <f t="shared" si="4"/>
        <v/>
      </c>
      <c r="AB848" s="110" t="str">
        <f t="shared" si="5"/>
        <v/>
      </c>
      <c r="AC848" s="103" t="str">
        <f>if(X848,_xlfn.WORKDAY.INTL(X848,AC$7,"0000001",Holidays!A:A)+hour(X848)/24+MINUTE(X848)/1440,"")</f>
        <v/>
      </c>
      <c r="AD848" s="104"/>
      <c r="AE848" s="105"/>
      <c r="AF848" s="111" t="str">
        <f t="shared" si="6"/>
        <v/>
      </c>
      <c r="AG848" s="110" t="str">
        <f t="shared" si="7"/>
        <v/>
      </c>
      <c r="AH848" s="103" t="str">
        <f>if(AC848,if(and(hour(AC848+AH$7)&gt;9.5,(hour(AC848+AH$7)&lt;19.5)),AC848+AH$7,_xlfn.workday.intl(int(AC848),1,"0000001",Holidays!A:A)+hour(AC848+AH$7-$B$1)/24+minute(AC848)/1440),"")</f>
        <v/>
      </c>
      <c r="AI848" s="104"/>
      <c r="AJ848" s="105"/>
      <c r="AK848" s="111" t="str">
        <f t="shared" si="8"/>
        <v/>
      </c>
      <c r="AL848" s="112" t="str">
        <f t="shared" si="9"/>
        <v/>
      </c>
      <c r="AM848" s="113"/>
      <c r="AN848" s="291" t="s">
        <v>2540</v>
      </c>
      <c r="AO848" s="115"/>
      <c r="AP848" s="115"/>
      <c r="AQ848" s="115"/>
      <c r="AR848" s="115"/>
      <c r="AS848" s="115"/>
      <c r="AT848" s="115"/>
      <c r="AU848" s="115"/>
      <c r="AV848" s="115"/>
      <c r="AW848" s="115"/>
      <c r="AX848" s="115"/>
      <c r="AY848" s="115"/>
    </row>
    <row r="849">
      <c r="A849" s="95" t="str">
        <f t="shared" si="11"/>
        <v/>
      </c>
      <c r="B849" s="100"/>
      <c r="C849" s="97"/>
      <c r="D849" s="97"/>
      <c r="E849" s="97"/>
      <c r="F849" s="97"/>
      <c r="G849" s="97"/>
      <c r="H849" s="99"/>
      <c r="I849" s="100"/>
      <c r="J849" s="101"/>
      <c r="K849" s="100"/>
      <c r="L849" s="102"/>
      <c r="M849" s="103" t="str">
        <f>if(B849,if(and(hour(B849+M$7)&gt;9.5,(hour(B849+M$7)&lt;19.5)),B849+M$7,_xlfn.workday.intl(int(B849),1,"0000001",Holidays!A:A)+hour(B849+M$7-$B$1)/24+minute(B849)/1440),"")</f>
        <v/>
      </c>
      <c r="N849" s="104"/>
      <c r="O849" s="105"/>
      <c r="P849" s="106" t="str">
        <f t="shared" si="1"/>
        <v/>
      </c>
      <c r="Q849" s="107"/>
      <c r="R849" s="108"/>
      <c r="S849" s="103" t="str">
        <f>if(M849,if(and(hour(M849+S$7)&gt;9.5,(hour(M849+S$7)&lt;19.5)),M849+S$7,_xlfn.workday.intl(int(M849),1,"0000001",Holidays!A:A)+hour(M849+S$7-$B$1)/24+minute(M849)/1440),"")</f>
        <v/>
      </c>
      <c r="T849" s="104"/>
      <c r="U849" s="105"/>
      <c r="V849" s="109" t="str">
        <f t="shared" si="2"/>
        <v/>
      </c>
      <c r="W849" s="110" t="str">
        <f t="shared" si="3"/>
        <v/>
      </c>
      <c r="X849" s="103" t="str">
        <f>if(S849,if(and(hour(S849+X$7)&gt;9.5,(hour(S849+X$7)&lt;19.5)),S849+X$7,_xlfn.workday.intl(int(S849),1,"0000001",Holidays!A:A)+hour(S849+X$7-$B$1)/24+minute(S849)/1440),"")</f>
        <v/>
      </c>
      <c r="Y849" s="104"/>
      <c r="Z849" s="105"/>
      <c r="AA849" s="111" t="str">
        <f t="shared" si="4"/>
        <v/>
      </c>
      <c r="AB849" s="110" t="str">
        <f t="shared" si="5"/>
        <v/>
      </c>
      <c r="AC849" s="103" t="str">
        <f>if(X849,_xlfn.WORKDAY.INTL(X849,AC$7,"0000001",Holidays!A:A)+hour(X849)/24+MINUTE(X849)/1440,"")</f>
        <v/>
      </c>
      <c r="AD849" s="104"/>
      <c r="AE849" s="105"/>
      <c r="AF849" s="111" t="str">
        <f t="shared" si="6"/>
        <v/>
      </c>
      <c r="AG849" s="110" t="str">
        <f t="shared" si="7"/>
        <v/>
      </c>
      <c r="AH849" s="103" t="str">
        <f>if(AC849,if(and(hour(AC849+AH$7)&gt;9.5,(hour(AC849+AH$7)&lt;19.5)),AC849+AH$7,_xlfn.workday.intl(int(AC849),1,"0000001",Holidays!A:A)+hour(AC849+AH$7-$B$1)/24+minute(AC849)/1440),"")</f>
        <v/>
      </c>
      <c r="AI849" s="104"/>
      <c r="AJ849" s="105"/>
      <c r="AK849" s="111" t="str">
        <f t="shared" si="8"/>
        <v/>
      </c>
      <c r="AL849" s="112" t="str">
        <f t="shared" si="9"/>
        <v/>
      </c>
      <c r="AM849" s="113"/>
      <c r="AN849" s="291" t="s">
        <v>2540</v>
      </c>
      <c r="AO849" s="115"/>
      <c r="AP849" s="115"/>
      <c r="AQ849" s="115"/>
      <c r="AR849" s="115"/>
      <c r="AS849" s="115"/>
      <c r="AT849" s="115"/>
      <c r="AU849" s="115"/>
      <c r="AV849" s="115"/>
      <c r="AW849" s="115"/>
      <c r="AX849" s="115"/>
      <c r="AY849" s="115"/>
    </row>
    <row r="850">
      <c r="A850" s="95" t="str">
        <f t="shared" si="11"/>
        <v/>
      </c>
      <c r="B850" s="100"/>
      <c r="C850" s="97"/>
      <c r="D850" s="97"/>
      <c r="E850" s="97"/>
      <c r="F850" s="97"/>
      <c r="G850" s="97"/>
      <c r="H850" s="99"/>
      <c r="I850" s="100"/>
      <c r="J850" s="101"/>
      <c r="K850" s="100"/>
      <c r="L850" s="102"/>
      <c r="M850" s="103" t="str">
        <f>if(B850,if(and(hour(B850+M$7)&gt;9.5,(hour(B850+M$7)&lt;19.5)),B850+M$7,_xlfn.workday.intl(int(B850),1,"0000001",Holidays!A:A)+hour(B850+M$7-$B$1)/24+minute(B850)/1440),"")</f>
        <v/>
      </c>
      <c r="N850" s="104"/>
      <c r="O850" s="105"/>
      <c r="P850" s="106" t="str">
        <f t="shared" si="1"/>
        <v/>
      </c>
      <c r="Q850" s="107"/>
      <c r="R850" s="108"/>
      <c r="S850" s="103" t="str">
        <f>if(M850,if(and(hour(M850+S$7)&gt;9.5,(hour(M850+S$7)&lt;19.5)),M850+S$7,_xlfn.workday.intl(int(M850),1,"0000001",Holidays!A:A)+hour(M850+S$7-$B$1)/24+minute(M850)/1440),"")</f>
        <v/>
      </c>
      <c r="T850" s="104"/>
      <c r="U850" s="105"/>
      <c r="V850" s="109" t="str">
        <f t="shared" si="2"/>
        <v/>
      </c>
      <c r="W850" s="110" t="str">
        <f t="shared" si="3"/>
        <v/>
      </c>
      <c r="X850" s="103" t="str">
        <f>if(S850,if(and(hour(S850+X$7)&gt;9.5,(hour(S850+X$7)&lt;19.5)),S850+X$7,_xlfn.workday.intl(int(S850),1,"0000001",Holidays!A:A)+hour(S850+X$7-$B$1)/24+minute(S850)/1440),"")</f>
        <v/>
      </c>
      <c r="Y850" s="104"/>
      <c r="Z850" s="105"/>
      <c r="AA850" s="111" t="str">
        <f t="shared" si="4"/>
        <v/>
      </c>
      <c r="AB850" s="110" t="str">
        <f t="shared" si="5"/>
        <v/>
      </c>
      <c r="AC850" s="103" t="str">
        <f>if(X850,_xlfn.WORKDAY.INTL(X850,AC$7,"0000001",Holidays!A:A)+hour(X850)/24+MINUTE(X850)/1440,"")</f>
        <v/>
      </c>
      <c r="AD850" s="104"/>
      <c r="AE850" s="105"/>
      <c r="AF850" s="111" t="str">
        <f t="shared" si="6"/>
        <v/>
      </c>
      <c r="AG850" s="110" t="str">
        <f t="shared" si="7"/>
        <v/>
      </c>
      <c r="AH850" s="103" t="str">
        <f>if(AC850,if(and(hour(AC850+AH$7)&gt;9.5,(hour(AC850+AH$7)&lt;19.5)),AC850+AH$7,_xlfn.workday.intl(int(AC850),1,"0000001",Holidays!A:A)+hour(AC850+AH$7-$B$1)/24+minute(AC850)/1440),"")</f>
        <v/>
      </c>
      <c r="AI850" s="104"/>
      <c r="AJ850" s="105"/>
      <c r="AK850" s="111" t="str">
        <f t="shared" si="8"/>
        <v/>
      </c>
      <c r="AL850" s="112" t="str">
        <f t="shared" si="9"/>
        <v/>
      </c>
      <c r="AM850" s="113"/>
      <c r="AN850" s="291" t="s">
        <v>2540</v>
      </c>
      <c r="AO850" s="115"/>
      <c r="AP850" s="115"/>
      <c r="AQ850" s="115"/>
      <c r="AR850" s="115"/>
      <c r="AS850" s="115"/>
      <c r="AT850" s="115"/>
      <c r="AU850" s="115"/>
      <c r="AV850" s="115"/>
      <c r="AW850" s="115"/>
      <c r="AX850" s="115"/>
      <c r="AY850" s="115"/>
    </row>
    <row r="851">
      <c r="A851" s="95" t="str">
        <f t="shared" si="11"/>
        <v/>
      </c>
      <c r="B851" s="100"/>
      <c r="C851" s="97"/>
      <c r="D851" s="97"/>
      <c r="E851" s="97"/>
      <c r="F851" s="97"/>
      <c r="G851" s="97"/>
      <c r="H851" s="99"/>
      <c r="I851" s="100"/>
      <c r="J851" s="101"/>
      <c r="K851" s="100"/>
      <c r="L851" s="102"/>
      <c r="M851" s="103" t="str">
        <f>if(B851,if(and(hour(B851+M$7)&gt;9.5,(hour(B851+M$7)&lt;19.5)),B851+M$7,_xlfn.workday.intl(int(B851),1,"0000001",Holidays!A:A)+hour(B851+M$7-$B$1)/24+minute(B851)/1440),"")</f>
        <v/>
      </c>
      <c r="N851" s="104"/>
      <c r="O851" s="105"/>
      <c r="P851" s="106" t="str">
        <f t="shared" si="1"/>
        <v/>
      </c>
      <c r="Q851" s="107"/>
      <c r="R851" s="108"/>
      <c r="S851" s="103" t="str">
        <f>if(M851,if(and(hour(M851+S$7)&gt;9.5,(hour(M851+S$7)&lt;19.5)),M851+S$7,_xlfn.workday.intl(int(M851),1,"0000001",Holidays!A:A)+hour(M851+S$7-$B$1)/24+minute(M851)/1440),"")</f>
        <v/>
      </c>
      <c r="T851" s="104"/>
      <c r="U851" s="105"/>
      <c r="V851" s="109" t="str">
        <f t="shared" si="2"/>
        <v/>
      </c>
      <c r="W851" s="110" t="str">
        <f t="shared" si="3"/>
        <v/>
      </c>
      <c r="X851" s="103" t="str">
        <f>if(S851,if(and(hour(S851+X$7)&gt;9.5,(hour(S851+X$7)&lt;19.5)),S851+X$7,_xlfn.workday.intl(int(S851),1,"0000001",Holidays!A:A)+hour(S851+X$7-$B$1)/24+minute(S851)/1440),"")</f>
        <v/>
      </c>
      <c r="Y851" s="104"/>
      <c r="Z851" s="105"/>
      <c r="AA851" s="111" t="str">
        <f t="shared" si="4"/>
        <v/>
      </c>
      <c r="AB851" s="110" t="str">
        <f t="shared" si="5"/>
        <v/>
      </c>
      <c r="AC851" s="103" t="str">
        <f>if(X851,_xlfn.WORKDAY.INTL(X851,AC$7,"0000001",Holidays!A:A)+hour(X851)/24+MINUTE(X851)/1440,"")</f>
        <v/>
      </c>
      <c r="AD851" s="104"/>
      <c r="AE851" s="105"/>
      <c r="AF851" s="111" t="str">
        <f t="shared" si="6"/>
        <v/>
      </c>
      <c r="AG851" s="110" t="str">
        <f t="shared" si="7"/>
        <v/>
      </c>
      <c r="AH851" s="103" t="str">
        <f>if(AC851,if(and(hour(AC851+AH$7)&gt;9.5,(hour(AC851+AH$7)&lt;19.5)),AC851+AH$7,_xlfn.workday.intl(int(AC851),1,"0000001",Holidays!A:A)+hour(AC851+AH$7-$B$1)/24+minute(AC851)/1440),"")</f>
        <v/>
      </c>
      <c r="AI851" s="104"/>
      <c r="AJ851" s="105"/>
      <c r="AK851" s="111" t="str">
        <f t="shared" si="8"/>
        <v/>
      </c>
      <c r="AL851" s="112" t="str">
        <f t="shared" si="9"/>
        <v/>
      </c>
      <c r="AM851" s="113"/>
      <c r="AN851" s="291" t="s">
        <v>2540</v>
      </c>
      <c r="AO851" s="115"/>
      <c r="AP851" s="115"/>
      <c r="AQ851" s="115"/>
      <c r="AR851" s="115"/>
      <c r="AS851" s="115"/>
      <c r="AT851" s="115"/>
      <c r="AU851" s="115"/>
      <c r="AV851" s="115"/>
      <c r="AW851" s="115"/>
      <c r="AX851" s="115"/>
      <c r="AY851" s="115"/>
    </row>
    <row r="852">
      <c r="A852" s="95" t="str">
        <f t="shared" si="11"/>
        <v/>
      </c>
      <c r="B852" s="100"/>
      <c r="C852" s="97"/>
      <c r="D852" s="97"/>
      <c r="E852" s="97"/>
      <c r="F852" s="97"/>
      <c r="G852" s="97"/>
      <c r="H852" s="99"/>
      <c r="I852" s="100"/>
      <c r="J852" s="101"/>
      <c r="K852" s="100"/>
      <c r="L852" s="102"/>
      <c r="M852" s="103" t="str">
        <f>if(B852,if(and(hour(B852+M$7)&gt;9.5,(hour(B852+M$7)&lt;19.5)),B852+M$7,_xlfn.workday.intl(int(B852),1,"0000001",Holidays!A:A)+hour(B852+M$7-$B$1)/24+minute(B852)/1440),"")</f>
        <v/>
      </c>
      <c r="N852" s="104"/>
      <c r="O852" s="105"/>
      <c r="P852" s="106" t="str">
        <f t="shared" si="1"/>
        <v/>
      </c>
      <c r="Q852" s="107"/>
      <c r="R852" s="108"/>
      <c r="S852" s="103" t="str">
        <f>if(M852,if(and(hour(M852+S$7)&gt;9.5,(hour(M852+S$7)&lt;19.5)),M852+S$7,_xlfn.workday.intl(int(M852),1,"0000001",Holidays!A:A)+hour(M852+S$7-$B$1)/24+minute(M852)/1440),"")</f>
        <v/>
      </c>
      <c r="T852" s="104"/>
      <c r="U852" s="105"/>
      <c r="V852" s="109" t="str">
        <f t="shared" si="2"/>
        <v/>
      </c>
      <c r="W852" s="110" t="str">
        <f t="shared" si="3"/>
        <v/>
      </c>
      <c r="X852" s="103" t="str">
        <f>if(S852,if(and(hour(S852+X$7)&gt;9.5,(hour(S852+X$7)&lt;19.5)),S852+X$7,_xlfn.workday.intl(int(S852),1,"0000001",Holidays!A:A)+hour(S852+X$7-$B$1)/24+minute(S852)/1440),"")</f>
        <v/>
      </c>
      <c r="Y852" s="104"/>
      <c r="Z852" s="105"/>
      <c r="AA852" s="111" t="str">
        <f t="shared" si="4"/>
        <v/>
      </c>
      <c r="AB852" s="110" t="str">
        <f t="shared" si="5"/>
        <v/>
      </c>
      <c r="AC852" s="103" t="str">
        <f>if(X852,_xlfn.WORKDAY.INTL(X852,AC$7,"0000001",Holidays!A:A)+hour(X852)/24+MINUTE(X852)/1440,"")</f>
        <v/>
      </c>
      <c r="AD852" s="104"/>
      <c r="AE852" s="105"/>
      <c r="AF852" s="111" t="str">
        <f t="shared" si="6"/>
        <v/>
      </c>
      <c r="AG852" s="110" t="str">
        <f t="shared" si="7"/>
        <v/>
      </c>
      <c r="AH852" s="103" t="str">
        <f>if(AC852,if(and(hour(AC852+AH$7)&gt;9.5,(hour(AC852+AH$7)&lt;19.5)),AC852+AH$7,_xlfn.workday.intl(int(AC852),1,"0000001",Holidays!A:A)+hour(AC852+AH$7-$B$1)/24+minute(AC852)/1440),"")</f>
        <v/>
      </c>
      <c r="AI852" s="104"/>
      <c r="AJ852" s="105"/>
      <c r="AK852" s="111" t="str">
        <f t="shared" si="8"/>
        <v/>
      </c>
      <c r="AL852" s="112" t="str">
        <f t="shared" si="9"/>
        <v/>
      </c>
      <c r="AM852" s="113"/>
      <c r="AN852" s="291" t="s">
        <v>2540</v>
      </c>
      <c r="AO852" s="115"/>
      <c r="AP852" s="115"/>
      <c r="AQ852" s="115"/>
      <c r="AR852" s="115"/>
      <c r="AS852" s="115"/>
      <c r="AT852" s="115"/>
      <c r="AU852" s="115"/>
      <c r="AV852" s="115"/>
      <c r="AW852" s="115"/>
      <c r="AX852" s="115"/>
      <c r="AY852" s="115"/>
    </row>
    <row r="853">
      <c r="A853" s="95" t="str">
        <f t="shared" si="11"/>
        <v/>
      </c>
      <c r="B853" s="100"/>
      <c r="C853" s="97"/>
      <c r="D853" s="97"/>
      <c r="E853" s="97"/>
      <c r="F853" s="97"/>
      <c r="G853" s="97"/>
      <c r="H853" s="99"/>
      <c r="I853" s="100"/>
      <c r="J853" s="101"/>
      <c r="K853" s="100"/>
      <c r="L853" s="102"/>
      <c r="M853" s="103" t="str">
        <f>if(B853,if(and(hour(B853+M$7)&gt;9.5,(hour(B853+M$7)&lt;19.5)),B853+M$7,_xlfn.workday.intl(int(B853),1,"0000001",Holidays!A:A)+hour(B853+M$7-$B$1)/24+minute(B853)/1440),"")</f>
        <v/>
      </c>
      <c r="N853" s="104"/>
      <c r="O853" s="105"/>
      <c r="P853" s="106" t="str">
        <f t="shared" si="1"/>
        <v/>
      </c>
      <c r="Q853" s="107"/>
      <c r="R853" s="108"/>
      <c r="S853" s="103" t="str">
        <f>if(M853,if(and(hour(M853+S$7)&gt;9.5,(hour(M853+S$7)&lt;19.5)),M853+S$7,_xlfn.workday.intl(int(M853),1,"0000001",Holidays!A:A)+hour(M853+S$7-$B$1)/24+minute(M853)/1440),"")</f>
        <v/>
      </c>
      <c r="T853" s="104"/>
      <c r="U853" s="105"/>
      <c r="V853" s="109" t="str">
        <f t="shared" si="2"/>
        <v/>
      </c>
      <c r="W853" s="110" t="str">
        <f t="shared" si="3"/>
        <v/>
      </c>
      <c r="X853" s="103" t="str">
        <f>if(S853,if(and(hour(S853+X$7)&gt;9.5,(hour(S853+X$7)&lt;19.5)),S853+X$7,_xlfn.workday.intl(int(S853),1,"0000001",Holidays!A:A)+hour(S853+X$7-$B$1)/24+minute(S853)/1440),"")</f>
        <v/>
      </c>
      <c r="Y853" s="104"/>
      <c r="Z853" s="105"/>
      <c r="AA853" s="111" t="str">
        <f t="shared" si="4"/>
        <v/>
      </c>
      <c r="AB853" s="110" t="str">
        <f t="shared" si="5"/>
        <v/>
      </c>
      <c r="AC853" s="103" t="str">
        <f>if(X853,_xlfn.WORKDAY.INTL(X853,AC$7,"0000001",Holidays!A:A)+hour(X853)/24+MINUTE(X853)/1440,"")</f>
        <v/>
      </c>
      <c r="AD853" s="104"/>
      <c r="AE853" s="105"/>
      <c r="AF853" s="111" t="str">
        <f t="shared" si="6"/>
        <v/>
      </c>
      <c r="AG853" s="110" t="str">
        <f t="shared" si="7"/>
        <v/>
      </c>
      <c r="AH853" s="103" t="str">
        <f>if(AC853,if(and(hour(AC853+AH$7)&gt;9.5,(hour(AC853+AH$7)&lt;19.5)),AC853+AH$7,_xlfn.workday.intl(int(AC853),1,"0000001",Holidays!A:A)+hour(AC853+AH$7-$B$1)/24+minute(AC853)/1440),"")</f>
        <v/>
      </c>
      <c r="AI853" s="104"/>
      <c r="AJ853" s="105"/>
      <c r="AK853" s="111" t="str">
        <f t="shared" si="8"/>
        <v/>
      </c>
      <c r="AL853" s="112" t="str">
        <f t="shared" si="9"/>
        <v/>
      </c>
      <c r="AM853" s="113"/>
      <c r="AN853" s="291" t="s">
        <v>2540</v>
      </c>
      <c r="AO853" s="115"/>
      <c r="AP853" s="115"/>
      <c r="AQ853" s="115"/>
      <c r="AR853" s="115"/>
      <c r="AS853" s="115"/>
      <c r="AT853" s="115"/>
      <c r="AU853" s="115"/>
      <c r="AV853" s="115"/>
      <c r="AW853" s="115"/>
      <c r="AX853" s="115"/>
      <c r="AY853" s="115"/>
    </row>
    <row r="854">
      <c r="A854" s="95" t="str">
        <f t="shared" si="11"/>
        <v/>
      </c>
      <c r="B854" s="100"/>
      <c r="C854" s="97"/>
      <c r="D854" s="97"/>
      <c r="E854" s="97"/>
      <c r="F854" s="97"/>
      <c r="G854" s="97"/>
      <c r="H854" s="99"/>
      <c r="I854" s="100"/>
      <c r="J854" s="101"/>
      <c r="K854" s="100"/>
      <c r="L854" s="102"/>
      <c r="M854" s="103" t="str">
        <f>if(B854,if(and(hour(B854+M$7)&gt;9.5,(hour(B854+M$7)&lt;19.5)),B854+M$7,_xlfn.workday.intl(int(B854),1,"0000001",Holidays!A:A)+hour(B854+M$7-$B$1)/24+minute(B854)/1440),"")</f>
        <v/>
      </c>
      <c r="N854" s="104"/>
      <c r="O854" s="105"/>
      <c r="P854" s="106" t="str">
        <f t="shared" si="1"/>
        <v/>
      </c>
      <c r="Q854" s="107"/>
      <c r="R854" s="108"/>
      <c r="S854" s="103" t="str">
        <f>if(M854,if(and(hour(M854+S$7)&gt;9.5,(hour(M854+S$7)&lt;19.5)),M854+S$7,_xlfn.workday.intl(int(M854),1,"0000001",Holidays!A:A)+hour(M854+S$7-$B$1)/24+minute(M854)/1440),"")</f>
        <v/>
      </c>
      <c r="T854" s="104"/>
      <c r="U854" s="105"/>
      <c r="V854" s="109" t="str">
        <f t="shared" si="2"/>
        <v/>
      </c>
      <c r="W854" s="110" t="str">
        <f t="shared" si="3"/>
        <v/>
      </c>
      <c r="X854" s="103" t="str">
        <f>if(S854,if(and(hour(S854+X$7)&gt;9.5,(hour(S854+X$7)&lt;19.5)),S854+X$7,_xlfn.workday.intl(int(S854),1,"0000001",Holidays!A:A)+hour(S854+X$7-$B$1)/24+minute(S854)/1440),"")</f>
        <v/>
      </c>
      <c r="Y854" s="104"/>
      <c r="Z854" s="105"/>
      <c r="AA854" s="111" t="str">
        <f t="shared" si="4"/>
        <v/>
      </c>
      <c r="AB854" s="110" t="str">
        <f t="shared" si="5"/>
        <v/>
      </c>
      <c r="AC854" s="103" t="str">
        <f>if(X854,_xlfn.WORKDAY.INTL(X854,AC$7,"0000001",Holidays!A:A)+hour(X854)/24+MINUTE(X854)/1440,"")</f>
        <v/>
      </c>
      <c r="AD854" s="104"/>
      <c r="AE854" s="105"/>
      <c r="AF854" s="111" t="str">
        <f t="shared" si="6"/>
        <v/>
      </c>
      <c r="AG854" s="110" t="str">
        <f t="shared" si="7"/>
        <v/>
      </c>
      <c r="AH854" s="103" t="str">
        <f>if(AC854,if(and(hour(AC854+AH$7)&gt;9.5,(hour(AC854+AH$7)&lt;19.5)),AC854+AH$7,_xlfn.workday.intl(int(AC854),1,"0000001",Holidays!A:A)+hour(AC854+AH$7-$B$1)/24+minute(AC854)/1440),"")</f>
        <v/>
      </c>
      <c r="AI854" s="104"/>
      <c r="AJ854" s="105"/>
      <c r="AK854" s="111" t="str">
        <f t="shared" si="8"/>
        <v/>
      </c>
      <c r="AL854" s="112" t="str">
        <f t="shared" si="9"/>
        <v/>
      </c>
      <c r="AM854" s="113"/>
      <c r="AN854" s="291" t="s">
        <v>2540</v>
      </c>
      <c r="AO854" s="115"/>
      <c r="AP854" s="115"/>
      <c r="AQ854" s="115"/>
      <c r="AR854" s="115"/>
      <c r="AS854" s="115"/>
      <c r="AT854" s="115"/>
      <c r="AU854" s="115"/>
      <c r="AV854" s="115"/>
      <c r="AW854" s="115"/>
      <c r="AX854" s="115"/>
      <c r="AY854" s="115"/>
    </row>
    <row r="855">
      <c r="A855" s="95" t="str">
        <f t="shared" si="11"/>
        <v/>
      </c>
      <c r="B855" s="100"/>
      <c r="C855" s="97"/>
      <c r="D855" s="97"/>
      <c r="E855" s="97"/>
      <c r="F855" s="97"/>
      <c r="G855" s="97"/>
      <c r="H855" s="99"/>
      <c r="I855" s="100"/>
      <c r="J855" s="101"/>
      <c r="K855" s="100"/>
      <c r="L855" s="102"/>
      <c r="M855" s="103" t="str">
        <f>if(B855,if(and(hour(B855+M$7)&gt;9.5,(hour(B855+M$7)&lt;19.5)),B855+M$7,_xlfn.workday.intl(int(B855),1,"0000001",Holidays!A:A)+hour(B855+M$7-$B$1)/24+minute(B855)/1440),"")</f>
        <v/>
      </c>
      <c r="N855" s="104"/>
      <c r="O855" s="105"/>
      <c r="P855" s="106" t="str">
        <f t="shared" si="1"/>
        <v/>
      </c>
      <c r="Q855" s="107"/>
      <c r="R855" s="108"/>
      <c r="S855" s="103" t="str">
        <f>if(M855,if(and(hour(M855+S$7)&gt;9.5,(hour(M855+S$7)&lt;19.5)),M855+S$7,_xlfn.workday.intl(int(M855),1,"0000001",Holidays!A:A)+hour(M855+S$7-$B$1)/24+minute(M855)/1440),"")</f>
        <v/>
      </c>
      <c r="T855" s="104"/>
      <c r="U855" s="105"/>
      <c r="V855" s="109" t="str">
        <f t="shared" si="2"/>
        <v/>
      </c>
      <c r="W855" s="110" t="str">
        <f t="shared" si="3"/>
        <v/>
      </c>
      <c r="X855" s="103" t="str">
        <f>if(S855,if(and(hour(S855+X$7)&gt;9.5,(hour(S855+X$7)&lt;19.5)),S855+X$7,_xlfn.workday.intl(int(S855),1,"0000001",Holidays!A:A)+hour(S855+X$7-$B$1)/24+minute(S855)/1440),"")</f>
        <v/>
      </c>
      <c r="Y855" s="104"/>
      <c r="Z855" s="105"/>
      <c r="AA855" s="111" t="str">
        <f t="shared" si="4"/>
        <v/>
      </c>
      <c r="AB855" s="110" t="str">
        <f t="shared" si="5"/>
        <v/>
      </c>
      <c r="AC855" s="103" t="str">
        <f>if(X855,_xlfn.WORKDAY.INTL(X855,AC$7,"0000001",Holidays!A:A)+hour(X855)/24+MINUTE(X855)/1440,"")</f>
        <v/>
      </c>
      <c r="AD855" s="104"/>
      <c r="AE855" s="105"/>
      <c r="AF855" s="111" t="str">
        <f t="shared" si="6"/>
        <v/>
      </c>
      <c r="AG855" s="110" t="str">
        <f t="shared" si="7"/>
        <v/>
      </c>
      <c r="AH855" s="103" t="str">
        <f>if(AC855,if(and(hour(AC855+AH$7)&gt;9.5,(hour(AC855+AH$7)&lt;19.5)),AC855+AH$7,_xlfn.workday.intl(int(AC855),1,"0000001",Holidays!A:A)+hour(AC855+AH$7-$B$1)/24+minute(AC855)/1440),"")</f>
        <v/>
      </c>
      <c r="AI855" s="104"/>
      <c r="AJ855" s="105"/>
      <c r="AK855" s="111" t="str">
        <f t="shared" si="8"/>
        <v/>
      </c>
      <c r="AL855" s="112" t="str">
        <f t="shared" si="9"/>
        <v/>
      </c>
      <c r="AM855" s="113"/>
      <c r="AN855" s="291" t="s">
        <v>2540</v>
      </c>
      <c r="AO855" s="115"/>
      <c r="AP855" s="115"/>
      <c r="AQ855" s="115"/>
      <c r="AR855" s="115"/>
      <c r="AS855" s="115"/>
      <c r="AT855" s="115"/>
      <c r="AU855" s="115"/>
      <c r="AV855" s="115"/>
      <c r="AW855" s="115"/>
      <c r="AX855" s="115"/>
      <c r="AY855" s="115"/>
    </row>
    <row r="856">
      <c r="A856" s="95" t="str">
        <f t="shared" si="11"/>
        <v/>
      </c>
      <c r="B856" s="100"/>
      <c r="C856" s="97"/>
      <c r="D856" s="97"/>
      <c r="E856" s="97"/>
      <c r="F856" s="97"/>
      <c r="G856" s="97"/>
      <c r="H856" s="99"/>
      <c r="I856" s="100"/>
      <c r="J856" s="101"/>
      <c r="K856" s="100"/>
      <c r="L856" s="102"/>
      <c r="M856" s="103" t="str">
        <f>if(B856,if(and(hour(B856+M$7)&gt;9.5,(hour(B856+M$7)&lt;19.5)),B856+M$7,_xlfn.workday.intl(int(B856),1,"0000001",Holidays!A:A)+hour(B856+M$7-$B$1)/24+minute(B856)/1440),"")</f>
        <v/>
      </c>
      <c r="N856" s="104"/>
      <c r="O856" s="105"/>
      <c r="P856" s="106" t="str">
        <f t="shared" si="1"/>
        <v/>
      </c>
      <c r="Q856" s="107"/>
      <c r="R856" s="108"/>
      <c r="S856" s="103" t="str">
        <f>if(M856,if(and(hour(M856+S$7)&gt;9.5,(hour(M856+S$7)&lt;19.5)),M856+S$7,_xlfn.workday.intl(int(M856),1,"0000001",Holidays!A:A)+hour(M856+S$7-$B$1)/24+minute(M856)/1440),"")</f>
        <v/>
      </c>
      <c r="T856" s="104"/>
      <c r="U856" s="105"/>
      <c r="V856" s="109" t="str">
        <f t="shared" si="2"/>
        <v/>
      </c>
      <c r="W856" s="110" t="str">
        <f t="shared" si="3"/>
        <v/>
      </c>
      <c r="X856" s="103" t="str">
        <f>if(S856,if(and(hour(S856+X$7)&gt;9.5,(hour(S856+X$7)&lt;19.5)),S856+X$7,_xlfn.workday.intl(int(S856),1,"0000001",Holidays!A:A)+hour(S856+X$7-$B$1)/24+minute(S856)/1440),"")</f>
        <v/>
      </c>
      <c r="Y856" s="104"/>
      <c r="Z856" s="105"/>
      <c r="AA856" s="111" t="str">
        <f t="shared" si="4"/>
        <v/>
      </c>
      <c r="AB856" s="110" t="str">
        <f t="shared" si="5"/>
        <v/>
      </c>
      <c r="AC856" s="103" t="str">
        <f>if(X856,_xlfn.WORKDAY.INTL(X856,AC$7,"0000001",Holidays!A:A)+hour(X856)/24+MINUTE(X856)/1440,"")</f>
        <v/>
      </c>
      <c r="AD856" s="104"/>
      <c r="AE856" s="105"/>
      <c r="AF856" s="111" t="str">
        <f t="shared" si="6"/>
        <v/>
      </c>
      <c r="AG856" s="110" t="str">
        <f t="shared" si="7"/>
        <v/>
      </c>
      <c r="AH856" s="103" t="str">
        <f>if(AC856,if(and(hour(AC856+AH$7)&gt;9.5,(hour(AC856+AH$7)&lt;19.5)),AC856+AH$7,_xlfn.workday.intl(int(AC856),1,"0000001",Holidays!A:A)+hour(AC856+AH$7-$B$1)/24+minute(AC856)/1440),"")</f>
        <v/>
      </c>
      <c r="AI856" s="104"/>
      <c r="AJ856" s="105"/>
      <c r="AK856" s="111" t="str">
        <f t="shared" si="8"/>
        <v/>
      </c>
      <c r="AL856" s="112" t="str">
        <f t="shared" si="9"/>
        <v/>
      </c>
      <c r="AM856" s="113"/>
      <c r="AN856" s="291" t="s">
        <v>2540</v>
      </c>
      <c r="AO856" s="115"/>
      <c r="AP856" s="115"/>
      <c r="AQ856" s="115"/>
      <c r="AR856" s="115"/>
      <c r="AS856" s="115"/>
      <c r="AT856" s="115"/>
      <c r="AU856" s="115"/>
      <c r="AV856" s="115"/>
      <c r="AW856" s="115"/>
      <c r="AX856" s="115"/>
      <c r="AY856" s="115"/>
    </row>
    <row r="857">
      <c r="A857" s="95" t="str">
        <f t="shared" si="11"/>
        <v/>
      </c>
      <c r="B857" s="100"/>
      <c r="C857" s="97"/>
      <c r="D857" s="97"/>
      <c r="E857" s="97"/>
      <c r="F857" s="97"/>
      <c r="G857" s="97"/>
      <c r="H857" s="99"/>
      <c r="I857" s="100"/>
      <c r="J857" s="101"/>
      <c r="K857" s="100"/>
      <c r="L857" s="102"/>
      <c r="M857" s="103" t="str">
        <f>if(B857,if(and(hour(B857+M$7)&gt;9.5,(hour(B857+M$7)&lt;19.5)),B857+M$7,_xlfn.workday.intl(int(B857),1,"0000001",Holidays!A:A)+hour(B857+M$7-$B$1)/24+minute(B857)/1440),"")</f>
        <v/>
      </c>
      <c r="N857" s="104"/>
      <c r="O857" s="105"/>
      <c r="P857" s="106" t="str">
        <f t="shared" si="1"/>
        <v/>
      </c>
      <c r="Q857" s="107"/>
      <c r="R857" s="108"/>
      <c r="S857" s="103" t="str">
        <f>if(M857,if(and(hour(M857+S$7)&gt;9.5,(hour(M857+S$7)&lt;19.5)),M857+S$7,_xlfn.workday.intl(int(M857),1,"0000001",Holidays!A:A)+hour(M857+S$7-$B$1)/24+minute(M857)/1440),"")</f>
        <v/>
      </c>
      <c r="T857" s="104"/>
      <c r="U857" s="105"/>
      <c r="V857" s="109" t="str">
        <f t="shared" si="2"/>
        <v/>
      </c>
      <c r="W857" s="110" t="str">
        <f t="shared" si="3"/>
        <v/>
      </c>
      <c r="X857" s="103" t="str">
        <f>if(S857,if(and(hour(S857+X$7)&gt;9.5,(hour(S857+X$7)&lt;19.5)),S857+X$7,_xlfn.workday.intl(int(S857),1,"0000001",Holidays!A:A)+hour(S857+X$7-$B$1)/24+minute(S857)/1440),"")</f>
        <v/>
      </c>
      <c r="Y857" s="104"/>
      <c r="Z857" s="105"/>
      <c r="AA857" s="111" t="str">
        <f t="shared" si="4"/>
        <v/>
      </c>
      <c r="AB857" s="110" t="str">
        <f t="shared" si="5"/>
        <v/>
      </c>
      <c r="AC857" s="103" t="str">
        <f>if(X857,_xlfn.WORKDAY.INTL(X857,AC$7,"0000001",Holidays!A:A)+hour(X857)/24+MINUTE(X857)/1440,"")</f>
        <v/>
      </c>
      <c r="AD857" s="104"/>
      <c r="AE857" s="105"/>
      <c r="AF857" s="111" t="str">
        <f t="shared" si="6"/>
        <v/>
      </c>
      <c r="AG857" s="110" t="str">
        <f t="shared" si="7"/>
        <v/>
      </c>
      <c r="AH857" s="103" t="str">
        <f>if(AC857,if(and(hour(AC857+AH$7)&gt;9.5,(hour(AC857+AH$7)&lt;19.5)),AC857+AH$7,_xlfn.workday.intl(int(AC857),1,"0000001",Holidays!A:A)+hour(AC857+AH$7-$B$1)/24+minute(AC857)/1440),"")</f>
        <v/>
      </c>
      <c r="AI857" s="104"/>
      <c r="AJ857" s="105"/>
      <c r="AK857" s="111" t="str">
        <f t="shared" si="8"/>
        <v/>
      </c>
      <c r="AL857" s="112" t="str">
        <f t="shared" si="9"/>
        <v/>
      </c>
      <c r="AM857" s="113"/>
      <c r="AN857" s="291" t="s">
        <v>2540</v>
      </c>
      <c r="AO857" s="115"/>
      <c r="AP857" s="115"/>
      <c r="AQ857" s="115"/>
      <c r="AR857" s="115"/>
      <c r="AS857" s="115"/>
      <c r="AT857" s="115"/>
      <c r="AU857" s="115"/>
      <c r="AV857" s="115"/>
      <c r="AW857" s="115"/>
      <c r="AX857" s="115"/>
      <c r="AY857" s="115"/>
    </row>
    <row r="858">
      <c r="A858" s="95" t="str">
        <f t="shared" si="11"/>
        <v/>
      </c>
      <c r="B858" s="100"/>
      <c r="C858" s="97"/>
      <c r="D858" s="97"/>
      <c r="E858" s="97"/>
      <c r="F858" s="97"/>
      <c r="G858" s="97"/>
      <c r="H858" s="99"/>
      <c r="I858" s="100"/>
      <c r="J858" s="101"/>
      <c r="K858" s="100"/>
      <c r="L858" s="102"/>
      <c r="M858" s="103" t="str">
        <f>if(B858,if(and(hour(B858+M$7)&gt;9.5,(hour(B858+M$7)&lt;19.5)),B858+M$7,_xlfn.workday.intl(int(B858),1,"0000001",Holidays!A:A)+hour(B858+M$7-$B$1)/24+minute(B858)/1440),"")</f>
        <v/>
      </c>
      <c r="N858" s="104"/>
      <c r="O858" s="105"/>
      <c r="P858" s="106" t="str">
        <f t="shared" si="1"/>
        <v/>
      </c>
      <c r="Q858" s="107"/>
      <c r="R858" s="108"/>
      <c r="S858" s="103" t="str">
        <f>if(M858,if(and(hour(M858+S$7)&gt;9.5,(hour(M858+S$7)&lt;19.5)),M858+S$7,_xlfn.workday.intl(int(M858),1,"0000001",Holidays!A:A)+hour(M858+S$7-$B$1)/24+minute(M858)/1440),"")</f>
        <v/>
      </c>
      <c r="T858" s="104"/>
      <c r="U858" s="105"/>
      <c r="V858" s="109" t="str">
        <f t="shared" si="2"/>
        <v/>
      </c>
      <c r="W858" s="110" t="str">
        <f t="shared" si="3"/>
        <v/>
      </c>
      <c r="X858" s="103" t="str">
        <f>if(S858,if(and(hour(S858+X$7)&gt;9.5,(hour(S858+X$7)&lt;19.5)),S858+X$7,_xlfn.workday.intl(int(S858),1,"0000001",Holidays!A:A)+hour(S858+X$7-$B$1)/24+minute(S858)/1440),"")</f>
        <v/>
      </c>
      <c r="Y858" s="104"/>
      <c r="Z858" s="105"/>
      <c r="AA858" s="111" t="str">
        <f t="shared" si="4"/>
        <v/>
      </c>
      <c r="AB858" s="110" t="str">
        <f t="shared" si="5"/>
        <v/>
      </c>
      <c r="AC858" s="103" t="str">
        <f>if(X858,_xlfn.WORKDAY.INTL(X858,AC$7,"0000001",Holidays!A:A)+hour(X858)/24+MINUTE(X858)/1440,"")</f>
        <v/>
      </c>
      <c r="AD858" s="104"/>
      <c r="AE858" s="105"/>
      <c r="AF858" s="111" t="str">
        <f t="shared" si="6"/>
        <v/>
      </c>
      <c r="AG858" s="110" t="str">
        <f t="shared" si="7"/>
        <v/>
      </c>
      <c r="AH858" s="103" t="str">
        <f>if(AC858,if(and(hour(AC858+AH$7)&gt;9.5,(hour(AC858+AH$7)&lt;19.5)),AC858+AH$7,_xlfn.workday.intl(int(AC858),1,"0000001",Holidays!A:A)+hour(AC858+AH$7-$B$1)/24+minute(AC858)/1440),"")</f>
        <v/>
      </c>
      <c r="AI858" s="104"/>
      <c r="AJ858" s="105"/>
      <c r="AK858" s="111" t="str">
        <f t="shared" si="8"/>
        <v/>
      </c>
      <c r="AL858" s="112" t="str">
        <f t="shared" si="9"/>
        <v/>
      </c>
      <c r="AM858" s="113"/>
      <c r="AN858" s="291" t="s">
        <v>2540</v>
      </c>
      <c r="AO858" s="115"/>
      <c r="AP858" s="115"/>
      <c r="AQ858" s="115"/>
      <c r="AR858" s="115"/>
      <c r="AS858" s="115"/>
      <c r="AT858" s="115"/>
      <c r="AU858" s="115"/>
      <c r="AV858" s="115"/>
      <c r="AW858" s="115"/>
      <c r="AX858" s="115"/>
      <c r="AY858" s="115"/>
    </row>
    <row r="859">
      <c r="A859" s="95" t="str">
        <f t="shared" si="11"/>
        <v/>
      </c>
      <c r="B859" s="100"/>
      <c r="C859" s="97"/>
      <c r="D859" s="97"/>
      <c r="E859" s="97"/>
      <c r="F859" s="97"/>
      <c r="G859" s="97"/>
      <c r="H859" s="99"/>
      <c r="I859" s="100"/>
      <c r="J859" s="101"/>
      <c r="K859" s="100"/>
      <c r="L859" s="102"/>
      <c r="M859" s="103" t="str">
        <f>if(B859,if(and(hour(B859+M$7)&gt;9.5,(hour(B859+M$7)&lt;19.5)),B859+M$7,_xlfn.workday.intl(int(B859),1,"0000001",Holidays!A:A)+hour(B859+M$7-$B$1)/24+minute(B859)/1440),"")</f>
        <v/>
      </c>
      <c r="N859" s="104"/>
      <c r="O859" s="105"/>
      <c r="P859" s="106" t="str">
        <f t="shared" si="1"/>
        <v/>
      </c>
      <c r="Q859" s="107"/>
      <c r="R859" s="108"/>
      <c r="S859" s="103" t="str">
        <f>if(M859,if(and(hour(M859+S$7)&gt;9.5,(hour(M859+S$7)&lt;19.5)),M859+S$7,_xlfn.workday.intl(int(M859),1,"0000001",Holidays!A:A)+hour(M859+S$7-$B$1)/24+minute(M859)/1440),"")</f>
        <v/>
      </c>
      <c r="T859" s="104"/>
      <c r="U859" s="105"/>
      <c r="V859" s="109" t="str">
        <f t="shared" si="2"/>
        <v/>
      </c>
      <c r="W859" s="110" t="str">
        <f t="shared" si="3"/>
        <v/>
      </c>
      <c r="X859" s="103" t="str">
        <f>if(S859,if(and(hour(S859+X$7)&gt;9.5,(hour(S859+X$7)&lt;19.5)),S859+X$7,_xlfn.workday.intl(int(S859),1,"0000001",Holidays!A:A)+hour(S859+X$7-$B$1)/24+minute(S859)/1440),"")</f>
        <v/>
      </c>
      <c r="Y859" s="104"/>
      <c r="Z859" s="105"/>
      <c r="AA859" s="111" t="str">
        <f t="shared" si="4"/>
        <v/>
      </c>
      <c r="AB859" s="110" t="str">
        <f t="shared" si="5"/>
        <v/>
      </c>
      <c r="AC859" s="103" t="str">
        <f>if(X859,_xlfn.WORKDAY.INTL(X859,AC$7,"0000001",Holidays!A:A)+hour(X859)/24+MINUTE(X859)/1440,"")</f>
        <v/>
      </c>
      <c r="AD859" s="104"/>
      <c r="AE859" s="105"/>
      <c r="AF859" s="111" t="str">
        <f t="shared" si="6"/>
        <v/>
      </c>
      <c r="AG859" s="110" t="str">
        <f t="shared" si="7"/>
        <v/>
      </c>
      <c r="AH859" s="103" t="str">
        <f>if(AC859,if(and(hour(AC859+AH$7)&gt;9.5,(hour(AC859+AH$7)&lt;19.5)),AC859+AH$7,_xlfn.workday.intl(int(AC859),1,"0000001",Holidays!A:A)+hour(AC859+AH$7-$B$1)/24+minute(AC859)/1440),"")</f>
        <v/>
      </c>
      <c r="AI859" s="104"/>
      <c r="AJ859" s="105"/>
      <c r="AK859" s="111" t="str">
        <f t="shared" si="8"/>
        <v/>
      </c>
      <c r="AL859" s="112" t="str">
        <f t="shared" si="9"/>
        <v/>
      </c>
      <c r="AM859" s="113"/>
      <c r="AN859" s="291" t="s">
        <v>2540</v>
      </c>
      <c r="AO859" s="115"/>
      <c r="AP859" s="115"/>
      <c r="AQ859" s="115"/>
      <c r="AR859" s="115"/>
      <c r="AS859" s="115"/>
      <c r="AT859" s="115"/>
      <c r="AU859" s="115"/>
      <c r="AV859" s="115"/>
      <c r="AW859" s="115"/>
      <c r="AX859" s="115"/>
      <c r="AY859" s="115"/>
    </row>
    <row r="860">
      <c r="A860" s="95" t="str">
        <f t="shared" si="11"/>
        <v/>
      </c>
      <c r="B860" s="100"/>
      <c r="C860" s="97"/>
      <c r="D860" s="97"/>
      <c r="E860" s="97"/>
      <c r="F860" s="97"/>
      <c r="G860" s="97"/>
      <c r="H860" s="99"/>
      <c r="I860" s="100"/>
      <c r="J860" s="101"/>
      <c r="K860" s="100"/>
      <c r="L860" s="102"/>
      <c r="M860" s="103" t="str">
        <f>if(B860,if(and(hour(B860+M$7)&gt;9.5,(hour(B860+M$7)&lt;19.5)),B860+M$7,_xlfn.workday.intl(int(B860),1,"0000001",Holidays!A:A)+hour(B860+M$7-$B$1)/24+minute(B860)/1440),"")</f>
        <v/>
      </c>
      <c r="N860" s="104"/>
      <c r="O860" s="105"/>
      <c r="P860" s="106" t="str">
        <f t="shared" si="1"/>
        <v/>
      </c>
      <c r="Q860" s="107"/>
      <c r="R860" s="108"/>
      <c r="S860" s="103" t="str">
        <f>if(M860,if(and(hour(M860+S$7)&gt;9.5,(hour(M860+S$7)&lt;19.5)),M860+S$7,_xlfn.workday.intl(int(M860),1,"0000001",Holidays!A:A)+hour(M860+S$7-$B$1)/24+minute(M860)/1440),"")</f>
        <v/>
      </c>
      <c r="T860" s="104"/>
      <c r="U860" s="105"/>
      <c r="V860" s="109" t="str">
        <f t="shared" si="2"/>
        <v/>
      </c>
      <c r="W860" s="110" t="str">
        <f t="shared" si="3"/>
        <v/>
      </c>
      <c r="X860" s="103" t="str">
        <f>if(S860,if(and(hour(S860+X$7)&gt;9.5,(hour(S860+X$7)&lt;19.5)),S860+X$7,_xlfn.workday.intl(int(S860),1,"0000001",Holidays!A:A)+hour(S860+X$7-$B$1)/24+minute(S860)/1440),"")</f>
        <v/>
      </c>
      <c r="Y860" s="104"/>
      <c r="Z860" s="105"/>
      <c r="AA860" s="111" t="str">
        <f t="shared" si="4"/>
        <v/>
      </c>
      <c r="AB860" s="110" t="str">
        <f t="shared" si="5"/>
        <v/>
      </c>
      <c r="AC860" s="103" t="str">
        <f>if(X860,_xlfn.WORKDAY.INTL(X860,AC$7,"0000001",Holidays!A:A)+hour(X860)/24+MINUTE(X860)/1440,"")</f>
        <v/>
      </c>
      <c r="AD860" s="104"/>
      <c r="AE860" s="105"/>
      <c r="AF860" s="111" t="str">
        <f t="shared" si="6"/>
        <v/>
      </c>
      <c r="AG860" s="110" t="str">
        <f t="shared" si="7"/>
        <v/>
      </c>
      <c r="AH860" s="103" t="str">
        <f>if(AC860,if(and(hour(AC860+AH$7)&gt;9.5,(hour(AC860+AH$7)&lt;19.5)),AC860+AH$7,_xlfn.workday.intl(int(AC860),1,"0000001",Holidays!A:A)+hour(AC860+AH$7-$B$1)/24+minute(AC860)/1440),"")</f>
        <v/>
      </c>
      <c r="AI860" s="104"/>
      <c r="AJ860" s="105"/>
      <c r="AK860" s="111" t="str">
        <f t="shared" si="8"/>
        <v/>
      </c>
      <c r="AL860" s="112" t="str">
        <f t="shared" si="9"/>
        <v/>
      </c>
      <c r="AM860" s="113"/>
      <c r="AN860" s="291" t="s">
        <v>2540</v>
      </c>
      <c r="AO860" s="115"/>
      <c r="AP860" s="115"/>
      <c r="AQ860" s="115"/>
      <c r="AR860" s="115"/>
      <c r="AS860" s="115"/>
      <c r="AT860" s="115"/>
      <c r="AU860" s="115"/>
      <c r="AV860" s="115"/>
      <c r="AW860" s="115"/>
      <c r="AX860" s="115"/>
      <c r="AY860" s="115"/>
    </row>
    <row r="861">
      <c r="A861" s="95" t="str">
        <f t="shared" si="11"/>
        <v/>
      </c>
      <c r="B861" s="100"/>
      <c r="C861" s="97"/>
      <c r="D861" s="97"/>
      <c r="E861" s="97"/>
      <c r="F861" s="97"/>
      <c r="G861" s="97"/>
      <c r="H861" s="99"/>
      <c r="I861" s="100"/>
      <c r="J861" s="101"/>
      <c r="K861" s="100"/>
      <c r="L861" s="102"/>
      <c r="M861" s="103" t="str">
        <f>if(B861,if(and(hour(B861+M$7)&gt;9.5,(hour(B861+M$7)&lt;19.5)),B861+M$7,_xlfn.workday.intl(int(B861),1,"0000001",Holidays!A:A)+hour(B861+M$7-$B$1)/24+minute(B861)/1440),"")</f>
        <v/>
      </c>
      <c r="N861" s="104"/>
      <c r="O861" s="105"/>
      <c r="P861" s="106" t="str">
        <f t="shared" si="1"/>
        <v/>
      </c>
      <c r="Q861" s="107"/>
      <c r="R861" s="108"/>
      <c r="S861" s="103" t="str">
        <f>if(M861,if(and(hour(M861+S$7)&gt;9.5,(hour(M861+S$7)&lt;19.5)),M861+S$7,_xlfn.workday.intl(int(M861),1,"0000001",Holidays!A:A)+hour(M861+S$7-$B$1)/24+minute(M861)/1440),"")</f>
        <v/>
      </c>
      <c r="T861" s="104"/>
      <c r="U861" s="105"/>
      <c r="V861" s="109" t="str">
        <f t="shared" si="2"/>
        <v/>
      </c>
      <c r="W861" s="110" t="str">
        <f t="shared" si="3"/>
        <v/>
      </c>
      <c r="X861" s="103" t="str">
        <f>if(S861,if(and(hour(S861+X$7)&gt;9.5,(hour(S861+X$7)&lt;19.5)),S861+X$7,_xlfn.workday.intl(int(S861),1,"0000001",Holidays!A:A)+hour(S861+X$7-$B$1)/24+minute(S861)/1440),"")</f>
        <v/>
      </c>
      <c r="Y861" s="104"/>
      <c r="Z861" s="105"/>
      <c r="AA861" s="111" t="str">
        <f t="shared" si="4"/>
        <v/>
      </c>
      <c r="AB861" s="110" t="str">
        <f t="shared" si="5"/>
        <v/>
      </c>
      <c r="AC861" s="103" t="str">
        <f>if(X861,_xlfn.WORKDAY.INTL(X861,AC$7,"0000001",Holidays!A:A)+hour(X861)/24+MINUTE(X861)/1440,"")</f>
        <v/>
      </c>
      <c r="AD861" s="104"/>
      <c r="AE861" s="105"/>
      <c r="AF861" s="111" t="str">
        <f t="shared" si="6"/>
        <v/>
      </c>
      <c r="AG861" s="110" t="str">
        <f t="shared" si="7"/>
        <v/>
      </c>
      <c r="AH861" s="103" t="str">
        <f>if(AC861,if(and(hour(AC861+AH$7)&gt;9.5,(hour(AC861+AH$7)&lt;19.5)),AC861+AH$7,_xlfn.workday.intl(int(AC861),1,"0000001",Holidays!A:A)+hour(AC861+AH$7-$B$1)/24+minute(AC861)/1440),"")</f>
        <v/>
      </c>
      <c r="AI861" s="104"/>
      <c r="AJ861" s="105"/>
      <c r="AK861" s="111" t="str">
        <f t="shared" si="8"/>
        <v/>
      </c>
      <c r="AL861" s="112" t="str">
        <f t="shared" si="9"/>
        <v/>
      </c>
      <c r="AM861" s="113"/>
      <c r="AN861" s="291" t="s">
        <v>2540</v>
      </c>
      <c r="AO861" s="115"/>
      <c r="AP861" s="115"/>
      <c r="AQ861" s="115"/>
      <c r="AR861" s="115"/>
      <c r="AS861" s="115"/>
      <c r="AT861" s="115"/>
      <c r="AU861" s="115"/>
      <c r="AV861" s="115"/>
      <c r="AW861" s="115"/>
      <c r="AX861" s="115"/>
      <c r="AY861" s="115"/>
    </row>
    <row r="862">
      <c r="A862" s="95" t="str">
        <f t="shared" si="11"/>
        <v/>
      </c>
      <c r="B862" s="100"/>
      <c r="C862" s="97"/>
      <c r="D862" s="97"/>
      <c r="E862" s="97"/>
      <c r="F862" s="97"/>
      <c r="G862" s="97"/>
      <c r="H862" s="99"/>
      <c r="I862" s="100"/>
      <c r="J862" s="101"/>
      <c r="K862" s="100"/>
      <c r="L862" s="102"/>
      <c r="M862" s="103" t="str">
        <f>if(B862,if(and(hour(B862+M$7)&gt;9.5,(hour(B862+M$7)&lt;19.5)),B862+M$7,_xlfn.workday.intl(int(B862),1,"0000001",Holidays!A:A)+hour(B862+M$7-$B$1)/24+minute(B862)/1440),"")</f>
        <v/>
      </c>
      <c r="N862" s="104"/>
      <c r="O862" s="105"/>
      <c r="P862" s="106" t="str">
        <f t="shared" si="1"/>
        <v/>
      </c>
      <c r="Q862" s="107"/>
      <c r="R862" s="108"/>
      <c r="S862" s="103" t="str">
        <f>if(M862,if(and(hour(M862+S$7)&gt;9.5,(hour(M862+S$7)&lt;19.5)),M862+S$7,_xlfn.workday.intl(int(M862),1,"0000001",Holidays!A:A)+hour(M862+S$7-$B$1)/24+minute(M862)/1440),"")</f>
        <v/>
      </c>
      <c r="T862" s="104"/>
      <c r="U862" s="105"/>
      <c r="V862" s="109" t="str">
        <f t="shared" si="2"/>
        <v/>
      </c>
      <c r="W862" s="110" t="str">
        <f t="shared" si="3"/>
        <v/>
      </c>
      <c r="X862" s="103" t="str">
        <f>if(S862,if(and(hour(S862+X$7)&gt;9.5,(hour(S862+X$7)&lt;19.5)),S862+X$7,_xlfn.workday.intl(int(S862),1,"0000001",Holidays!A:A)+hour(S862+X$7-$B$1)/24+minute(S862)/1440),"")</f>
        <v/>
      </c>
      <c r="Y862" s="104"/>
      <c r="Z862" s="105"/>
      <c r="AA862" s="111" t="str">
        <f t="shared" si="4"/>
        <v/>
      </c>
      <c r="AB862" s="110" t="str">
        <f t="shared" si="5"/>
        <v/>
      </c>
      <c r="AC862" s="103" t="str">
        <f>if(X862,_xlfn.WORKDAY.INTL(X862,AC$7,"0000001",Holidays!A:A)+hour(X862)/24+MINUTE(X862)/1440,"")</f>
        <v/>
      </c>
      <c r="AD862" s="104"/>
      <c r="AE862" s="105"/>
      <c r="AF862" s="111" t="str">
        <f t="shared" si="6"/>
        <v/>
      </c>
      <c r="AG862" s="110" t="str">
        <f t="shared" si="7"/>
        <v/>
      </c>
      <c r="AH862" s="103" t="str">
        <f>if(AC862,if(and(hour(AC862+AH$7)&gt;9.5,(hour(AC862+AH$7)&lt;19.5)),AC862+AH$7,_xlfn.workday.intl(int(AC862),1,"0000001",Holidays!A:A)+hour(AC862+AH$7-$B$1)/24+minute(AC862)/1440),"")</f>
        <v/>
      </c>
      <c r="AI862" s="104"/>
      <c r="AJ862" s="105"/>
      <c r="AK862" s="111" t="str">
        <f t="shared" si="8"/>
        <v/>
      </c>
      <c r="AL862" s="112" t="str">
        <f t="shared" si="9"/>
        <v/>
      </c>
      <c r="AM862" s="113"/>
      <c r="AN862" s="291" t="s">
        <v>2540</v>
      </c>
      <c r="AO862" s="115"/>
      <c r="AP862" s="115"/>
      <c r="AQ862" s="115"/>
      <c r="AR862" s="115"/>
      <c r="AS862" s="115"/>
      <c r="AT862" s="115"/>
      <c r="AU862" s="115"/>
      <c r="AV862" s="115"/>
      <c r="AW862" s="115"/>
      <c r="AX862" s="115"/>
      <c r="AY862" s="115"/>
    </row>
    <row r="863">
      <c r="A863" s="95" t="str">
        <f t="shared" si="11"/>
        <v/>
      </c>
      <c r="B863" s="100"/>
      <c r="C863" s="97"/>
      <c r="D863" s="97"/>
      <c r="E863" s="97"/>
      <c r="F863" s="97"/>
      <c r="G863" s="97"/>
      <c r="H863" s="99"/>
      <c r="I863" s="100"/>
      <c r="J863" s="101"/>
      <c r="K863" s="100"/>
      <c r="L863" s="102"/>
      <c r="M863" s="103" t="str">
        <f>if(B863,if(and(hour(B863+M$7)&gt;9.5,(hour(B863+M$7)&lt;19.5)),B863+M$7,_xlfn.workday.intl(int(B863),1,"0000001",Holidays!A:A)+hour(B863+M$7-$B$1)/24+minute(B863)/1440),"")</f>
        <v/>
      </c>
      <c r="N863" s="104"/>
      <c r="O863" s="105"/>
      <c r="P863" s="106" t="str">
        <f t="shared" si="1"/>
        <v/>
      </c>
      <c r="Q863" s="107"/>
      <c r="R863" s="108"/>
      <c r="S863" s="103" t="str">
        <f>if(M863,if(and(hour(M863+S$7)&gt;9.5,(hour(M863+S$7)&lt;19.5)),M863+S$7,_xlfn.workday.intl(int(M863),1,"0000001",Holidays!A:A)+hour(M863+S$7-$B$1)/24+minute(M863)/1440),"")</f>
        <v/>
      </c>
      <c r="T863" s="104"/>
      <c r="U863" s="105"/>
      <c r="V863" s="109" t="str">
        <f t="shared" si="2"/>
        <v/>
      </c>
      <c r="W863" s="110" t="str">
        <f t="shared" si="3"/>
        <v/>
      </c>
      <c r="X863" s="103" t="str">
        <f>if(S863,if(and(hour(S863+X$7)&gt;9.5,(hour(S863+X$7)&lt;19.5)),S863+X$7,_xlfn.workday.intl(int(S863),1,"0000001",Holidays!A:A)+hour(S863+X$7-$B$1)/24+minute(S863)/1440),"")</f>
        <v/>
      </c>
      <c r="Y863" s="104"/>
      <c r="Z863" s="105"/>
      <c r="AA863" s="111" t="str">
        <f t="shared" si="4"/>
        <v/>
      </c>
      <c r="AB863" s="110" t="str">
        <f t="shared" si="5"/>
        <v/>
      </c>
      <c r="AC863" s="103" t="str">
        <f>if(X863,_xlfn.WORKDAY.INTL(X863,AC$7,"0000001",Holidays!A:A)+hour(X863)/24+MINUTE(X863)/1440,"")</f>
        <v/>
      </c>
      <c r="AD863" s="104"/>
      <c r="AE863" s="105"/>
      <c r="AF863" s="111" t="str">
        <f t="shared" si="6"/>
        <v/>
      </c>
      <c r="AG863" s="110" t="str">
        <f t="shared" si="7"/>
        <v/>
      </c>
      <c r="AH863" s="103" t="str">
        <f>if(AC863,if(and(hour(AC863+AH$7)&gt;9.5,(hour(AC863+AH$7)&lt;19.5)),AC863+AH$7,_xlfn.workday.intl(int(AC863),1,"0000001",Holidays!A:A)+hour(AC863+AH$7-$B$1)/24+minute(AC863)/1440),"")</f>
        <v/>
      </c>
      <c r="AI863" s="104"/>
      <c r="AJ863" s="105"/>
      <c r="AK863" s="111" t="str">
        <f t="shared" si="8"/>
        <v/>
      </c>
      <c r="AL863" s="112" t="str">
        <f t="shared" si="9"/>
        <v/>
      </c>
      <c r="AM863" s="113"/>
      <c r="AN863" s="291" t="s">
        <v>2540</v>
      </c>
      <c r="AO863" s="115"/>
      <c r="AP863" s="115"/>
      <c r="AQ863" s="115"/>
      <c r="AR863" s="115"/>
      <c r="AS863" s="115"/>
      <c r="AT863" s="115"/>
      <c r="AU863" s="115"/>
      <c r="AV863" s="115"/>
      <c r="AW863" s="115"/>
      <c r="AX863" s="115"/>
      <c r="AY863" s="115"/>
    </row>
    <row r="864">
      <c r="A864" s="95" t="str">
        <f t="shared" si="11"/>
        <v/>
      </c>
      <c r="B864" s="100"/>
      <c r="C864" s="97"/>
      <c r="D864" s="97"/>
      <c r="E864" s="97"/>
      <c r="F864" s="97"/>
      <c r="G864" s="97"/>
      <c r="H864" s="99"/>
      <c r="I864" s="100"/>
      <c r="J864" s="101"/>
      <c r="K864" s="100"/>
      <c r="L864" s="102"/>
      <c r="M864" s="103" t="str">
        <f>if(B864,if(and(hour(B864+M$7)&gt;9.5,(hour(B864+M$7)&lt;19.5)),B864+M$7,_xlfn.workday.intl(int(B864),1,"0000001",Holidays!A:A)+hour(B864+M$7-$B$1)/24+minute(B864)/1440),"")</f>
        <v/>
      </c>
      <c r="N864" s="104"/>
      <c r="O864" s="105"/>
      <c r="P864" s="106" t="str">
        <f t="shared" si="1"/>
        <v/>
      </c>
      <c r="Q864" s="107"/>
      <c r="R864" s="108"/>
      <c r="S864" s="103" t="str">
        <f>if(M864,if(and(hour(M864+S$7)&gt;9.5,(hour(M864+S$7)&lt;19.5)),M864+S$7,_xlfn.workday.intl(int(M864),1,"0000001",Holidays!A:A)+hour(M864+S$7-$B$1)/24+minute(M864)/1440),"")</f>
        <v/>
      </c>
      <c r="T864" s="104"/>
      <c r="U864" s="105"/>
      <c r="V864" s="109" t="str">
        <f t="shared" si="2"/>
        <v/>
      </c>
      <c r="W864" s="110" t="str">
        <f t="shared" si="3"/>
        <v/>
      </c>
      <c r="X864" s="103" t="str">
        <f>if(S864,if(and(hour(S864+X$7)&gt;9.5,(hour(S864+X$7)&lt;19.5)),S864+X$7,_xlfn.workday.intl(int(S864),1,"0000001",Holidays!A:A)+hour(S864+X$7-$B$1)/24+minute(S864)/1440),"")</f>
        <v/>
      </c>
      <c r="Y864" s="104"/>
      <c r="Z864" s="105"/>
      <c r="AA864" s="111" t="str">
        <f t="shared" si="4"/>
        <v/>
      </c>
      <c r="AB864" s="110" t="str">
        <f t="shared" si="5"/>
        <v/>
      </c>
      <c r="AC864" s="103" t="str">
        <f>if(X864,_xlfn.WORKDAY.INTL(X864,AC$7,"0000001",Holidays!A:A)+hour(X864)/24+MINUTE(X864)/1440,"")</f>
        <v/>
      </c>
      <c r="AD864" s="104"/>
      <c r="AE864" s="105"/>
      <c r="AF864" s="111" t="str">
        <f t="shared" si="6"/>
        <v/>
      </c>
      <c r="AG864" s="110" t="str">
        <f t="shared" si="7"/>
        <v/>
      </c>
      <c r="AH864" s="103" t="str">
        <f>if(AC864,if(and(hour(AC864+AH$7)&gt;9.5,(hour(AC864+AH$7)&lt;19.5)),AC864+AH$7,_xlfn.workday.intl(int(AC864),1,"0000001",Holidays!A:A)+hour(AC864+AH$7-$B$1)/24+minute(AC864)/1440),"")</f>
        <v/>
      </c>
      <c r="AI864" s="104"/>
      <c r="AJ864" s="105"/>
      <c r="AK864" s="111" t="str">
        <f t="shared" si="8"/>
        <v/>
      </c>
      <c r="AL864" s="112" t="str">
        <f t="shared" si="9"/>
        <v/>
      </c>
      <c r="AM864" s="113"/>
      <c r="AN864" s="291" t="s">
        <v>2540</v>
      </c>
      <c r="AO864" s="115"/>
      <c r="AP864" s="115"/>
      <c r="AQ864" s="115"/>
      <c r="AR864" s="115"/>
      <c r="AS864" s="115"/>
      <c r="AT864" s="115"/>
      <c r="AU864" s="115"/>
      <c r="AV864" s="115"/>
      <c r="AW864" s="115"/>
      <c r="AX864" s="115"/>
      <c r="AY864" s="115"/>
    </row>
    <row r="865">
      <c r="A865" s="95" t="str">
        <f t="shared" si="11"/>
        <v/>
      </c>
      <c r="B865" s="100"/>
      <c r="C865" s="97"/>
      <c r="D865" s="97"/>
      <c r="E865" s="97"/>
      <c r="F865" s="97"/>
      <c r="G865" s="97"/>
      <c r="H865" s="99"/>
      <c r="I865" s="100"/>
      <c r="J865" s="101"/>
      <c r="K865" s="100"/>
      <c r="L865" s="102"/>
      <c r="M865" s="103" t="str">
        <f>if(B865,if(and(hour(B865+M$7)&gt;9.5,(hour(B865+M$7)&lt;19.5)),B865+M$7,_xlfn.workday.intl(int(B865),1,"0000001",Holidays!A:A)+hour(B865+M$7-$B$1)/24+minute(B865)/1440),"")</f>
        <v/>
      </c>
      <c r="N865" s="104"/>
      <c r="O865" s="105"/>
      <c r="P865" s="106" t="str">
        <f t="shared" si="1"/>
        <v/>
      </c>
      <c r="Q865" s="107"/>
      <c r="R865" s="108"/>
      <c r="S865" s="103" t="str">
        <f>if(M865,if(and(hour(M865+S$7)&gt;9.5,(hour(M865+S$7)&lt;19.5)),M865+S$7,_xlfn.workday.intl(int(M865),1,"0000001",Holidays!A:A)+hour(M865+S$7-$B$1)/24+minute(M865)/1440),"")</f>
        <v/>
      </c>
      <c r="T865" s="104"/>
      <c r="U865" s="105"/>
      <c r="V865" s="109" t="str">
        <f t="shared" si="2"/>
        <v/>
      </c>
      <c r="W865" s="110" t="str">
        <f t="shared" si="3"/>
        <v/>
      </c>
      <c r="X865" s="103" t="str">
        <f>if(S865,if(and(hour(S865+X$7)&gt;9.5,(hour(S865+X$7)&lt;19.5)),S865+X$7,_xlfn.workday.intl(int(S865),1,"0000001",Holidays!A:A)+hour(S865+X$7-$B$1)/24+minute(S865)/1440),"")</f>
        <v/>
      </c>
      <c r="Y865" s="104"/>
      <c r="Z865" s="105"/>
      <c r="AA865" s="111" t="str">
        <f t="shared" si="4"/>
        <v/>
      </c>
      <c r="AB865" s="110" t="str">
        <f t="shared" si="5"/>
        <v/>
      </c>
      <c r="AC865" s="103" t="str">
        <f>if(X865,_xlfn.WORKDAY.INTL(X865,AC$7,"0000001",Holidays!A:A)+hour(X865)/24+MINUTE(X865)/1440,"")</f>
        <v/>
      </c>
      <c r="AD865" s="104"/>
      <c r="AE865" s="105"/>
      <c r="AF865" s="111" t="str">
        <f t="shared" si="6"/>
        <v/>
      </c>
      <c r="AG865" s="110" t="str">
        <f t="shared" si="7"/>
        <v/>
      </c>
      <c r="AH865" s="103" t="str">
        <f>if(AC865,if(and(hour(AC865+AH$7)&gt;9.5,(hour(AC865+AH$7)&lt;19.5)),AC865+AH$7,_xlfn.workday.intl(int(AC865),1,"0000001",Holidays!A:A)+hour(AC865+AH$7-$B$1)/24+minute(AC865)/1440),"")</f>
        <v/>
      </c>
      <c r="AI865" s="104"/>
      <c r="AJ865" s="105"/>
      <c r="AK865" s="111" t="str">
        <f t="shared" si="8"/>
        <v/>
      </c>
      <c r="AL865" s="112" t="str">
        <f t="shared" si="9"/>
        <v/>
      </c>
      <c r="AM865" s="113"/>
      <c r="AN865" s="291" t="s">
        <v>2540</v>
      </c>
      <c r="AO865" s="115"/>
      <c r="AP865" s="115"/>
      <c r="AQ865" s="115"/>
      <c r="AR865" s="115"/>
      <c r="AS865" s="115"/>
      <c r="AT865" s="115"/>
      <c r="AU865" s="115"/>
      <c r="AV865" s="115"/>
      <c r="AW865" s="115"/>
      <c r="AX865" s="115"/>
      <c r="AY865" s="115"/>
    </row>
    <row r="866">
      <c r="A866" s="95" t="str">
        <f t="shared" si="11"/>
        <v/>
      </c>
      <c r="B866" s="100"/>
      <c r="C866" s="97"/>
      <c r="D866" s="97"/>
      <c r="E866" s="97"/>
      <c r="F866" s="97"/>
      <c r="G866" s="97"/>
      <c r="H866" s="99"/>
      <c r="I866" s="100"/>
      <c r="J866" s="101"/>
      <c r="K866" s="100"/>
      <c r="L866" s="102"/>
      <c r="M866" s="103" t="str">
        <f>if(B866,if(and(hour(B866+M$7)&gt;9.5,(hour(B866+M$7)&lt;19.5)),B866+M$7,_xlfn.workday.intl(int(B866),1,"0000001",Holidays!A:A)+hour(B866+M$7-$B$1)/24+minute(B866)/1440),"")</f>
        <v/>
      </c>
      <c r="N866" s="104"/>
      <c r="O866" s="105"/>
      <c r="P866" s="106" t="str">
        <f t="shared" si="1"/>
        <v/>
      </c>
      <c r="Q866" s="107"/>
      <c r="R866" s="108"/>
      <c r="S866" s="103" t="str">
        <f>if(M866,if(and(hour(M866+S$7)&gt;9.5,(hour(M866+S$7)&lt;19.5)),M866+S$7,_xlfn.workday.intl(int(M866),1,"0000001",Holidays!A:A)+hour(M866+S$7-$B$1)/24+minute(M866)/1440),"")</f>
        <v/>
      </c>
      <c r="T866" s="104"/>
      <c r="U866" s="105"/>
      <c r="V866" s="109" t="str">
        <f t="shared" si="2"/>
        <v/>
      </c>
      <c r="W866" s="110" t="str">
        <f t="shared" si="3"/>
        <v/>
      </c>
      <c r="X866" s="103" t="str">
        <f>if(S866,if(and(hour(S866+X$7)&gt;9.5,(hour(S866+X$7)&lt;19.5)),S866+X$7,_xlfn.workday.intl(int(S866),1,"0000001",Holidays!A:A)+hour(S866+X$7-$B$1)/24+minute(S866)/1440),"")</f>
        <v/>
      </c>
      <c r="Y866" s="104"/>
      <c r="Z866" s="105"/>
      <c r="AA866" s="111" t="str">
        <f t="shared" si="4"/>
        <v/>
      </c>
      <c r="AB866" s="110" t="str">
        <f t="shared" si="5"/>
        <v/>
      </c>
      <c r="AC866" s="103" t="str">
        <f>if(X866,_xlfn.WORKDAY.INTL(X866,AC$7,"0000001",Holidays!A:A)+hour(X866)/24+MINUTE(X866)/1440,"")</f>
        <v/>
      </c>
      <c r="AD866" s="104"/>
      <c r="AE866" s="105"/>
      <c r="AF866" s="111" t="str">
        <f t="shared" si="6"/>
        <v/>
      </c>
      <c r="AG866" s="110" t="str">
        <f t="shared" si="7"/>
        <v/>
      </c>
      <c r="AH866" s="103" t="str">
        <f>if(AC866,if(and(hour(AC866+AH$7)&gt;9.5,(hour(AC866+AH$7)&lt;19.5)),AC866+AH$7,_xlfn.workday.intl(int(AC866),1,"0000001",Holidays!A:A)+hour(AC866+AH$7-$B$1)/24+minute(AC866)/1440),"")</f>
        <v/>
      </c>
      <c r="AI866" s="104"/>
      <c r="AJ866" s="105"/>
      <c r="AK866" s="111" t="str">
        <f t="shared" si="8"/>
        <v/>
      </c>
      <c r="AL866" s="112" t="str">
        <f t="shared" si="9"/>
        <v/>
      </c>
      <c r="AM866" s="113"/>
      <c r="AN866" s="291" t="s">
        <v>2540</v>
      </c>
      <c r="AO866" s="115"/>
      <c r="AP866" s="115"/>
      <c r="AQ866" s="115"/>
      <c r="AR866" s="115"/>
      <c r="AS866" s="115"/>
      <c r="AT866" s="115"/>
      <c r="AU866" s="115"/>
      <c r="AV866" s="115"/>
      <c r="AW866" s="115"/>
      <c r="AX866" s="115"/>
      <c r="AY866" s="115"/>
    </row>
    <row r="867">
      <c r="A867" s="95" t="str">
        <f t="shared" si="11"/>
        <v/>
      </c>
      <c r="B867" s="100"/>
      <c r="C867" s="97"/>
      <c r="D867" s="97"/>
      <c r="E867" s="97"/>
      <c r="F867" s="97"/>
      <c r="G867" s="97"/>
      <c r="H867" s="99"/>
      <c r="I867" s="100"/>
      <c r="J867" s="101"/>
      <c r="K867" s="100"/>
      <c r="L867" s="102"/>
      <c r="M867" s="103" t="str">
        <f>if(B867,if(and(hour(B867+M$7)&gt;9.5,(hour(B867+M$7)&lt;19.5)),B867+M$7,_xlfn.workday.intl(int(B867),1,"0000001",Holidays!A:A)+hour(B867+M$7-$B$1)/24+minute(B867)/1440),"")</f>
        <v/>
      </c>
      <c r="N867" s="104"/>
      <c r="O867" s="105"/>
      <c r="P867" s="106" t="str">
        <f t="shared" si="1"/>
        <v/>
      </c>
      <c r="Q867" s="107"/>
      <c r="R867" s="108"/>
      <c r="S867" s="103" t="str">
        <f>if(M867,if(and(hour(M867+S$7)&gt;9.5,(hour(M867+S$7)&lt;19.5)),M867+S$7,_xlfn.workday.intl(int(M867),1,"0000001",Holidays!A:A)+hour(M867+S$7-$B$1)/24+minute(M867)/1440),"")</f>
        <v/>
      </c>
      <c r="T867" s="104"/>
      <c r="U867" s="105"/>
      <c r="V867" s="109" t="str">
        <f t="shared" si="2"/>
        <v/>
      </c>
      <c r="W867" s="110" t="str">
        <f t="shared" si="3"/>
        <v/>
      </c>
      <c r="X867" s="103" t="str">
        <f>if(S867,if(and(hour(S867+X$7)&gt;9.5,(hour(S867+X$7)&lt;19.5)),S867+X$7,_xlfn.workday.intl(int(S867),1,"0000001",Holidays!A:A)+hour(S867+X$7-$B$1)/24+minute(S867)/1440),"")</f>
        <v/>
      </c>
      <c r="Y867" s="104"/>
      <c r="Z867" s="105"/>
      <c r="AA867" s="111" t="str">
        <f t="shared" si="4"/>
        <v/>
      </c>
      <c r="AB867" s="110" t="str">
        <f t="shared" si="5"/>
        <v/>
      </c>
      <c r="AC867" s="103" t="str">
        <f>if(X867,_xlfn.WORKDAY.INTL(X867,AC$7,"0000001",Holidays!A:A)+hour(X867)/24+MINUTE(X867)/1440,"")</f>
        <v/>
      </c>
      <c r="AD867" s="104"/>
      <c r="AE867" s="105"/>
      <c r="AF867" s="111" t="str">
        <f t="shared" si="6"/>
        <v/>
      </c>
      <c r="AG867" s="110" t="str">
        <f t="shared" si="7"/>
        <v/>
      </c>
      <c r="AH867" s="103" t="str">
        <f>if(AC867,if(and(hour(AC867+AH$7)&gt;9.5,(hour(AC867+AH$7)&lt;19.5)),AC867+AH$7,_xlfn.workday.intl(int(AC867),1,"0000001",Holidays!A:A)+hour(AC867+AH$7-$B$1)/24+minute(AC867)/1440),"")</f>
        <v/>
      </c>
      <c r="AI867" s="104"/>
      <c r="AJ867" s="105"/>
      <c r="AK867" s="111" t="str">
        <f t="shared" si="8"/>
        <v/>
      </c>
      <c r="AL867" s="112" t="str">
        <f t="shared" si="9"/>
        <v/>
      </c>
      <c r="AM867" s="113"/>
      <c r="AN867" s="291" t="s">
        <v>2540</v>
      </c>
      <c r="AO867" s="115"/>
      <c r="AP867" s="115"/>
      <c r="AQ867" s="115"/>
      <c r="AR867" s="115"/>
      <c r="AS867" s="115"/>
      <c r="AT867" s="115"/>
      <c r="AU867" s="115"/>
      <c r="AV867" s="115"/>
      <c r="AW867" s="115"/>
      <c r="AX867" s="115"/>
      <c r="AY867" s="115"/>
    </row>
    <row r="868">
      <c r="A868" s="95" t="str">
        <f t="shared" si="11"/>
        <v/>
      </c>
      <c r="B868" s="100"/>
      <c r="C868" s="97"/>
      <c r="D868" s="97"/>
      <c r="E868" s="97"/>
      <c r="F868" s="97"/>
      <c r="G868" s="97"/>
      <c r="H868" s="99"/>
      <c r="I868" s="100"/>
      <c r="J868" s="101"/>
      <c r="K868" s="100"/>
      <c r="L868" s="102"/>
      <c r="M868" s="103" t="str">
        <f>if(B868,if(and(hour(B868+M$7)&gt;9.5,(hour(B868+M$7)&lt;19.5)),B868+M$7,_xlfn.workday.intl(int(B868),1,"0000001",Holidays!A:A)+hour(B868+M$7-$B$1)/24+minute(B868)/1440),"")</f>
        <v/>
      </c>
      <c r="N868" s="104"/>
      <c r="O868" s="105"/>
      <c r="P868" s="106" t="str">
        <f t="shared" si="1"/>
        <v/>
      </c>
      <c r="Q868" s="107"/>
      <c r="R868" s="108"/>
      <c r="S868" s="103" t="str">
        <f>if(M868,if(and(hour(M868+S$7)&gt;9.5,(hour(M868+S$7)&lt;19.5)),M868+S$7,_xlfn.workday.intl(int(M868),1,"0000001",Holidays!A:A)+hour(M868+S$7-$B$1)/24+minute(M868)/1440),"")</f>
        <v/>
      </c>
      <c r="T868" s="104"/>
      <c r="U868" s="105"/>
      <c r="V868" s="109" t="str">
        <f t="shared" si="2"/>
        <v/>
      </c>
      <c r="W868" s="110" t="str">
        <f t="shared" si="3"/>
        <v/>
      </c>
      <c r="X868" s="103" t="str">
        <f>if(S868,if(and(hour(S868+X$7)&gt;9.5,(hour(S868+X$7)&lt;19.5)),S868+X$7,_xlfn.workday.intl(int(S868),1,"0000001",Holidays!A:A)+hour(S868+X$7-$B$1)/24+minute(S868)/1440),"")</f>
        <v/>
      </c>
      <c r="Y868" s="104"/>
      <c r="Z868" s="105"/>
      <c r="AA868" s="111" t="str">
        <f t="shared" si="4"/>
        <v/>
      </c>
      <c r="AB868" s="110" t="str">
        <f t="shared" si="5"/>
        <v/>
      </c>
      <c r="AC868" s="103" t="str">
        <f>if(X868,_xlfn.WORKDAY.INTL(X868,AC$7,"0000001",Holidays!A:A)+hour(X868)/24+MINUTE(X868)/1440,"")</f>
        <v/>
      </c>
      <c r="AD868" s="104"/>
      <c r="AE868" s="105"/>
      <c r="AF868" s="111" t="str">
        <f t="shared" si="6"/>
        <v/>
      </c>
      <c r="AG868" s="110" t="str">
        <f t="shared" si="7"/>
        <v/>
      </c>
      <c r="AH868" s="103" t="str">
        <f>if(AC868,if(and(hour(AC868+AH$7)&gt;9.5,(hour(AC868+AH$7)&lt;19.5)),AC868+AH$7,_xlfn.workday.intl(int(AC868),1,"0000001",Holidays!A:A)+hour(AC868+AH$7-$B$1)/24+minute(AC868)/1440),"")</f>
        <v/>
      </c>
      <c r="AI868" s="104"/>
      <c r="AJ868" s="105"/>
      <c r="AK868" s="111" t="str">
        <f t="shared" si="8"/>
        <v/>
      </c>
      <c r="AL868" s="112" t="str">
        <f t="shared" si="9"/>
        <v/>
      </c>
      <c r="AM868" s="113"/>
      <c r="AN868" s="291" t="s">
        <v>2540</v>
      </c>
      <c r="AO868" s="115"/>
      <c r="AP868" s="115"/>
      <c r="AQ868" s="115"/>
      <c r="AR868" s="115"/>
      <c r="AS868" s="115"/>
      <c r="AT868" s="115"/>
      <c r="AU868" s="115"/>
      <c r="AV868" s="115"/>
      <c r="AW868" s="115"/>
      <c r="AX868" s="115"/>
      <c r="AY868" s="115"/>
    </row>
    <row r="869">
      <c r="A869" s="95" t="str">
        <f t="shared" si="11"/>
        <v/>
      </c>
      <c r="B869" s="100"/>
      <c r="C869" s="97"/>
      <c r="D869" s="97"/>
      <c r="E869" s="97"/>
      <c r="F869" s="97"/>
      <c r="G869" s="97"/>
      <c r="H869" s="99"/>
      <c r="I869" s="100"/>
      <c r="J869" s="101"/>
      <c r="K869" s="100"/>
      <c r="L869" s="102"/>
      <c r="M869" s="103" t="str">
        <f>if(B869,if(and(hour(B869+M$7)&gt;9.5,(hour(B869+M$7)&lt;19.5)),B869+M$7,_xlfn.workday.intl(int(B869),1,"0000001",Holidays!A:A)+hour(B869+M$7-$B$1)/24+minute(B869)/1440),"")</f>
        <v/>
      </c>
      <c r="N869" s="104"/>
      <c r="O869" s="105"/>
      <c r="P869" s="106" t="str">
        <f t="shared" si="1"/>
        <v/>
      </c>
      <c r="Q869" s="107"/>
      <c r="R869" s="108"/>
      <c r="S869" s="103" t="str">
        <f>if(M869,if(and(hour(M869+S$7)&gt;9.5,(hour(M869+S$7)&lt;19.5)),M869+S$7,_xlfn.workday.intl(int(M869),1,"0000001",Holidays!A:A)+hour(M869+S$7-$B$1)/24+minute(M869)/1440),"")</f>
        <v/>
      </c>
      <c r="T869" s="104"/>
      <c r="U869" s="105"/>
      <c r="V869" s="109" t="str">
        <f t="shared" si="2"/>
        <v/>
      </c>
      <c r="W869" s="110" t="str">
        <f t="shared" si="3"/>
        <v/>
      </c>
      <c r="X869" s="103" t="str">
        <f>if(S869,if(and(hour(S869+X$7)&gt;9.5,(hour(S869+X$7)&lt;19.5)),S869+X$7,_xlfn.workday.intl(int(S869),1,"0000001",Holidays!A:A)+hour(S869+X$7-$B$1)/24+minute(S869)/1440),"")</f>
        <v/>
      </c>
      <c r="Y869" s="104"/>
      <c r="Z869" s="105"/>
      <c r="AA869" s="111" t="str">
        <f t="shared" si="4"/>
        <v/>
      </c>
      <c r="AB869" s="110" t="str">
        <f t="shared" si="5"/>
        <v/>
      </c>
      <c r="AC869" s="103" t="str">
        <f>if(X869,_xlfn.WORKDAY.INTL(X869,AC$7,"0000001",Holidays!A:A)+hour(X869)/24+MINUTE(X869)/1440,"")</f>
        <v/>
      </c>
      <c r="AD869" s="104"/>
      <c r="AE869" s="105"/>
      <c r="AF869" s="111" t="str">
        <f t="shared" si="6"/>
        <v/>
      </c>
      <c r="AG869" s="110" t="str">
        <f t="shared" si="7"/>
        <v/>
      </c>
      <c r="AH869" s="103" t="str">
        <f>if(AC869,if(and(hour(AC869+AH$7)&gt;9.5,(hour(AC869+AH$7)&lt;19.5)),AC869+AH$7,_xlfn.workday.intl(int(AC869),1,"0000001",Holidays!A:A)+hour(AC869+AH$7-$B$1)/24+minute(AC869)/1440),"")</f>
        <v/>
      </c>
      <c r="AI869" s="104"/>
      <c r="AJ869" s="105"/>
      <c r="AK869" s="111" t="str">
        <f t="shared" si="8"/>
        <v/>
      </c>
      <c r="AL869" s="112" t="str">
        <f t="shared" si="9"/>
        <v/>
      </c>
      <c r="AM869" s="113"/>
      <c r="AN869" s="291" t="s">
        <v>2540</v>
      </c>
      <c r="AO869" s="115"/>
      <c r="AP869" s="115"/>
      <c r="AQ869" s="115"/>
      <c r="AR869" s="115"/>
      <c r="AS869" s="115"/>
      <c r="AT869" s="115"/>
      <c r="AU869" s="115"/>
      <c r="AV869" s="115"/>
      <c r="AW869" s="115"/>
      <c r="AX869" s="115"/>
      <c r="AY869" s="115"/>
    </row>
    <row r="870">
      <c r="A870" s="95" t="str">
        <f t="shared" si="11"/>
        <v/>
      </c>
      <c r="B870" s="100"/>
      <c r="C870" s="97"/>
      <c r="D870" s="97"/>
      <c r="E870" s="97"/>
      <c r="F870" s="97"/>
      <c r="G870" s="97"/>
      <c r="H870" s="99"/>
      <c r="I870" s="100"/>
      <c r="J870" s="101"/>
      <c r="K870" s="100"/>
      <c r="L870" s="102"/>
      <c r="M870" s="103" t="str">
        <f>if(B870,if(and(hour(B870+M$7)&gt;9.5,(hour(B870+M$7)&lt;19.5)),B870+M$7,_xlfn.workday.intl(int(B870),1,"0000001",Holidays!A:A)+hour(B870+M$7-$B$1)/24+minute(B870)/1440),"")</f>
        <v/>
      </c>
      <c r="N870" s="104"/>
      <c r="O870" s="105"/>
      <c r="P870" s="106" t="str">
        <f t="shared" si="1"/>
        <v/>
      </c>
      <c r="Q870" s="107"/>
      <c r="R870" s="108"/>
      <c r="S870" s="103" t="str">
        <f>if(M870,if(and(hour(M870+S$7)&gt;9.5,(hour(M870+S$7)&lt;19.5)),M870+S$7,_xlfn.workday.intl(int(M870),1,"0000001",Holidays!A:A)+hour(M870+S$7-$B$1)/24+minute(M870)/1440),"")</f>
        <v/>
      </c>
      <c r="T870" s="104"/>
      <c r="U870" s="105"/>
      <c r="V870" s="109" t="str">
        <f t="shared" si="2"/>
        <v/>
      </c>
      <c r="W870" s="110" t="str">
        <f t="shared" si="3"/>
        <v/>
      </c>
      <c r="X870" s="103" t="str">
        <f>if(S870,if(and(hour(S870+X$7)&gt;9.5,(hour(S870+X$7)&lt;19.5)),S870+X$7,_xlfn.workday.intl(int(S870),1,"0000001",Holidays!A:A)+hour(S870+X$7-$B$1)/24+minute(S870)/1440),"")</f>
        <v/>
      </c>
      <c r="Y870" s="104"/>
      <c r="Z870" s="105"/>
      <c r="AA870" s="111" t="str">
        <f t="shared" si="4"/>
        <v/>
      </c>
      <c r="AB870" s="110" t="str">
        <f t="shared" si="5"/>
        <v/>
      </c>
      <c r="AC870" s="103" t="str">
        <f>if(X870,_xlfn.WORKDAY.INTL(X870,AC$7,"0000001",Holidays!A:A)+hour(X870)/24+MINUTE(X870)/1440,"")</f>
        <v/>
      </c>
      <c r="AD870" s="104"/>
      <c r="AE870" s="105"/>
      <c r="AF870" s="111" t="str">
        <f t="shared" si="6"/>
        <v/>
      </c>
      <c r="AG870" s="110" t="str">
        <f t="shared" si="7"/>
        <v/>
      </c>
      <c r="AH870" s="103" t="str">
        <f>if(AC870,if(and(hour(AC870+AH$7)&gt;9.5,(hour(AC870+AH$7)&lt;19.5)),AC870+AH$7,_xlfn.workday.intl(int(AC870),1,"0000001",Holidays!A:A)+hour(AC870+AH$7-$B$1)/24+minute(AC870)/1440),"")</f>
        <v/>
      </c>
      <c r="AI870" s="104"/>
      <c r="AJ870" s="105"/>
      <c r="AK870" s="111" t="str">
        <f t="shared" si="8"/>
        <v/>
      </c>
      <c r="AL870" s="112" t="str">
        <f t="shared" si="9"/>
        <v/>
      </c>
      <c r="AM870" s="113"/>
      <c r="AN870" s="291" t="s">
        <v>2540</v>
      </c>
      <c r="AO870" s="115"/>
      <c r="AP870" s="115"/>
      <c r="AQ870" s="115"/>
      <c r="AR870" s="115"/>
      <c r="AS870" s="115"/>
      <c r="AT870" s="115"/>
      <c r="AU870" s="115"/>
      <c r="AV870" s="115"/>
      <c r="AW870" s="115"/>
      <c r="AX870" s="115"/>
      <c r="AY870" s="115"/>
    </row>
    <row r="871">
      <c r="A871" s="95" t="str">
        <f t="shared" si="11"/>
        <v/>
      </c>
      <c r="B871" s="100"/>
      <c r="C871" s="97"/>
      <c r="D871" s="97"/>
      <c r="E871" s="97"/>
      <c r="F871" s="97"/>
      <c r="G871" s="97"/>
      <c r="H871" s="99"/>
      <c r="I871" s="100"/>
      <c r="J871" s="101"/>
      <c r="K871" s="100"/>
      <c r="L871" s="102"/>
      <c r="M871" s="103" t="str">
        <f>if(B871,if(and(hour(B871+M$7)&gt;9.5,(hour(B871+M$7)&lt;19.5)),B871+M$7,_xlfn.workday.intl(int(B871),1,"0000001",Holidays!A:A)+hour(B871+M$7-$B$1)/24+minute(B871)/1440),"")</f>
        <v/>
      </c>
      <c r="N871" s="104"/>
      <c r="O871" s="105"/>
      <c r="P871" s="106" t="str">
        <f t="shared" si="1"/>
        <v/>
      </c>
      <c r="Q871" s="107"/>
      <c r="R871" s="108"/>
      <c r="S871" s="103" t="str">
        <f>if(M871,if(and(hour(M871+S$7)&gt;9.5,(hour(M871+S$7)&lt;19.5)),M871+S$7,_xlfn.workday.intl(int(M871),1,"0000001",Holidays!A:A)+hour(M871+S$7-$B$1)/24+minute(M871)/1440),"")</f>
        <v/>
      </c>
      <c r="T871" s="104"/>
      <c r="U871" s="105"/>
      <c r="V871" s="109" t="str">
        <f t="shared" si="2"/>
        <v/>
      </c>
      <c r="W871" s="110" t="str">
        <f t="shared" si="3"/>
        <v/>
      </c>
      <c r="X871" s="103" t="str">
        <f>if(S871,if(and(hour(S871+X$7)&gt;9.5,(hour(S871+X$7)&lt;19.5)),S871+X$7,_xlfn.workday.intl(int(S871),1,"0000001",Holidays!A:A)+hour(S871+X$7-$B$1)/24+minute(S871)/1440),"")</f>
        <v/>
      </c>
      <c r="Y871" s="104"/>
      <c r="Z871" s="105"/>
      <c r="AA871" s="111" t="str">
        <f t="shared" si="4"/>
        <v/>
      </c>
      <c r="AB871" s="110" t="str">
        <f t="shared" si="5"/>
        <v/>
      </c>
      <c r="AC871" s="103" t="str">
        <f>if(X871,_xlfn.WORKDAY.INTL(X871,AC$7,"0000001",Holidays!A:A)+hour(X871)/24+MINUTE(X871)/1440,"")</f>
        <v/>
      </c>
      <c r="AD871" s="104"/>
      <c r="AE871" s="105"/>
      <c r="AF871" s="111" t="str">
        <f t="shared" si="6"/>
        <v/>
      </c>
      <c r="AG871" s="110" t="str">
        <f t="shared" si="7"/>
        <v/>
      </c>
      <c r="AH871" s="103" t="str">
        <f>if(AC871,if(and(hour(AC871+AH$7)&gt;9.5,(hour(AC871+AH$7)&lt;19.5)),AC871+AH$7,_xlfn.workday.intl(int(AC871),1,"0000001",Holidays!A:A)+hour(AC871+AH$7-$B$1)/24+minute(AC871)/1440),"")</f>
        <v/>
      </c>
      <c r="AI871" s="104"/>
      <c r="AJ871" s="105"/>
      <c r="AK871" s="111" t="str">
        <f t="shared" si="8"/>
        <v/>
      </c>
      <c r="AL871" s="112" t="str">
        <f t="shared" si="9"/>
        <v/>
      </c>
      <c r="AM871" s="113"/>
      <c r="AN871" s="291" t="s">
        <v>2540</v>
      </c>
      <c r="AO871" s="115"/>
      <c r="AP871" s="115"/>
      <c r="AQ871" s="115"/>
      <c r="AR871" s="115"/>
      <c r="AS871" s="115"/>
      <c r="AT871" s="115"/>
      <c r="AU871" s="115"/>
      <c r="AV871" s="115"/>
      <c r="AW871" s="115"/>
      <c r="AX871" s="115"/>
      <c r="AY871" s="115"/>
    </row>
    <row r="872">
      <c r="A872" s="95" t="str">
        <f t="shared" si="11"/>
        <v/>
      </c>
      <c r="B872" s="100"/>
      <c r="C872" s="97"/>
      <c r="D872" s="97"/>
      <c r="E872" s="97"/>
      <c r="F872" s="97"/>
      <c r="G872" s="97"/>
      <c r="H872" s="99"/>
      <c r="I872" s="100"/>
      <c r="J872" s="101"/>
      <c r="K872" s="100"/>
      <c r="L872" s="102"/>
      <c r="M872" s="103" t="str">
        <f>if(B872,if(and(hour(B872+M$7)&gt;9.5,(hour(B872+M$7)&lt;19.5)),B872+M$7,_xlfn.workday.intl(int(B872),1,"0000001",Holidays!A:A)+hour(B872+M$7-$B$1)/24+minute(B872)/1440),"")</f>
        <v/>
      </c>
      <c r="N872" s="104"/>
      <c r="O872" s="105"/>
      <c r="P872" s="106" t="str">
        <f t="shared" si="1"/>
        <v/>
      </c>
      <c r="Q872" s="107"/>
      <c r="R872" s="108"/>
      <c r="S872" s="103" t="str">
        <f>if(M872,if(and(hour(M872+S$7)&gt;9.5,(hour(M872+S$7)&lt;19.5)),M872+S$7,_xlfn.workday.intl(int(M872),1,"0000001",Holidays!A:A)+hour(M872+S$7-$B$1)/24+minute(M872)/1440),"")</f>
        <v/>
      </c>
      <c r="T872" s="104"/>
      <c r="U872" s="105"/>
      <c r="V872" s="109" t="str">
        <f t="shared" si="2"/>
        <v/>
      </c>
      <c r="W872" s="110" t="str">
        <f t="shared" si="3"/>
        <v/>
      </c>
      <c r="X872" s="103" t="str">
        <f>if(S872,if(and(hour(S872+X$7)&gt;9.5,(hour(S872+X$7)&lt;19.5)),S872+X$7,_xlfn.workday.intl(int(S872),1,"0000001",Holidays!A:A)+hour(S872+X$7-$B$1)/24+minute(S872)/1440),"")</f>
        <v/>
      </c>
      <c r="Y872" s="104"/>
      <c r="Z872" s="105"/>
      <c r="AA872" s="111" t="str">
        <f t="shared" si="4"/>
        <v/>
      </c>
      <c r="AB872" s="110" t="str">
        <f t="shared" si="5"/>
        <v/>
      </c>
      <c r="AC872" s="103" t="str">
        <f>if(X872,_xlfn.WORKDAY.INTL(X872,AC$7,"0000001",Holidays!A:A)+hour(X872)/24+MINUTE(X872)/1440,"")</f>
        <v/>
      </c>
      <c r="AD872" s="104"/>
      <c r="AE872" s="105"/>
      <c r="AF872" s="111" t="str">
        <f t="shared" si="6"/>
        <v/>
      </c>
      <c r="AG872" s="110" t="str">
        <f t="shared" si="7"/>
        <v/>
      </c>
      <c r="AH872" s="103" t="str">
        <f>if(AC872,if(and(hour(AC872+AH$7)&gt;9.5,(hour(AC872+AH$7)&lt;19.5)),AC872+AH$7,_xlfn.workday.intl(int(AC872),1,"0000001",Holidays!A:A)+hour(AC872+AH$7-$B$1)/24+minute(AC872)/1440),"")</f>
        <v/>
      </c>
      <c r="AI872" s="104"/>
      <c r="AJ872" s="105"/>
      <c r="AK872" s="111" t="str">
        <f t="shared" si="8"/>
        <v/>
      </c>
      <c r="AL872" s="112" t="str">
        <f t="shared" si="9"/>
        <v/>
      </c>
      <c r="AM872" s="113"/>
      <c r="AN872" s="291" t="s">
        <v>2540</v>
      </c>
      <c r="AO872" s="115"/>
      <c r="AP872" s="115"/>
      <c r="AQ872" s="115"/>
      <c r="AR872" s="115"/>
      <c r="AS872" s="115"/>
      <c r="AT872" s="115"/>
      <c r="AU872" s="115"/>
      <c r="AV872" s="115"/>
      <c r="AW872" s="115"/>
      <c r="AX872" s="115"/>
      <c r="AY872" s="115"/>
    </row>
    <row r="873">
      <c r="A873" s="95" t="str">
        <f t="shared" si="11"/>
        <v/>
      </c>
      <c r="B873" s="100"/>
      <c r="C873" s="97"/>
      <c r="D873" s="97"/>
      <c r="E873" s="97"/>
      <c r="F873" s="97"/>
      <c r="G873" s="97"/>
      <c r="H873" s="99"/>
      <c r="I873" s="100"/>
      <c r="J873" s="101"/>
      <c r="K873" s="100"/>
      <c r="L873" s="102"/>
      <c r="M873" s="103" t="str">
        <f>if(B873,if(and(hour(B873+M$7)&gt;9.5,(hour(B873+M$7)&lt;19.5)),B873+M$7,_xlfn.workday.intl(int(B873),1,"0000001",Holidays!A:A)+hour(B873+M$7-$B$1)/24+minute(B873)/1440),"")</f>
        <v/>
      </c>
      <c r="N873" s="104"/>
      <c r="O873" s="105"/>
      <c r="P873" s="106" t="str">
        <f t="shared" si="1"/>
        <v/>
      </c>
      <c r="Q873" s="107"/>
      <c r="R873" s="108"/>
      <c r="S873" s="103" t="str">
        <f>if(M873,if(and(hour(M873+S$7)&gt;9.5,(hour(M873+S$7)&lt;19.5)),M873+S$7,_xlfn.workday.intl(int(M873),1,"0000001",Holidays!A:A)+hour(M873+S$7-$B$1)/24+minute(M873)/1440),"")</f>
        <v/>
      </c>
      <c r="T873" s="104"/>
      <c r="U873" s="105"/>
      <c r="V873" s="109" t="str">
        <f t="shared" si="2"/>
        <v/>
      </c>
      <c r="W873" s="110" t="str">
        <f t="shared" si="3"/>
        <v/>
      </c>
      <c r="X873" s="103" t="str">
        <f>if(S873,if(and(hour(S873+X$7)&gt;9.5,(hour(S873+X$7)&lt;19.5)),S873+X$7,_xlfn.workday.intl(int(S873),1,"0000001",Holidays!A:A)+hour(S873+X$7-$B$1)/24+minute(S873)/1440),"")</f>
        <v/>
      </c>
      <c r="Y873" s="104"/>
      <c r="Z873" s="105"/>
      <c r="AA873" s="111" t="str">
        <f t="shared" si="4"/>
        <v/>
      </c>
      <c r="AB873" s="110" t="str">
        <f t="shared" si="5"/>
        <v/>
      </c>
      <c r="AC873" s="103" t="str">
        <f>if(X873,_xlfn.WORKDAY.INTL(X873,AC$7,"0000001",Holidays!A:A)+hour(X873)/24+MINUTE(X873)/1440,"")</f>
        <v/>
      </c>
      <c r="AD873" s="104"/>
      <c r="AE873" s="105"/>
      <c r="AF873" s="111" t="str">
        <f t="shared" si="6"/>
        <v/>
      </c>
      <c r="AG873" s="110" t="str">
        <f t="shared" si="7"/>
        <v/>
      </c>
      <c r="AH873" s="103" t="str">
        <f>if(AC873,if(and(hour(AC873+AH$7)&gt;9.5,(hour(AC873+AH$7)&lt;19.5)),AC873+AH$7,_xlfn.workday.intl(int(AC873),1,"0000001",Holidays!A:A)+hour(AC873+AH$7-$B$1)/24+minute(AC873)/1440),"")</f>
        <v/>
      </c>
      <c r="AI873" s="104"/>
      <c r="AJ873" s="105"/>
      <c r="AK873" s="111" t="str">
        <f t="shared" si="8"/>
        <v/>
      </c>
      <c r="AL873" s="112" t="str">
        <f t="shared" si="9"/>
        <v/>
      </c>
      <c r="AM873" s="113"/>
      <c r="AN873" s="291" t="s">
        <v>2540</v>
      </c>
      <c r="AO873" s="115"/>
      <c r="AP873" s="115"/>
      <c r="AQ873" s="115"/>
      <c r="AR873" s="115"/>
      <c r="AS873" s="115"/>
      <c r="AT873" s="115"/>
      <c r="AU873" s="115"/>
      <c r="AV873" s="115"/>
      <c r="AW873" s="115"/>
      <c r="AX873" s="115"/>
      <c r="AY873" s="115"/>
    </row>
    <row r="874">
      <c r="A874" s="95" t="str">
        <f t="shared" si="11"/>
        <v/>
      </c>
      <c r="B874" s="100"/>
      <c r="C874" s="97"/>
      <c r="D874" s="97"/>
      <c r="E874" s="97"/>
      <c r="F874" s="97"/>
      <c r="G874" s="97"/>
      <c r="H874" s="99"/>
      <c r="I874" s="100"/>
      <c r="J874" s="101"/>
      <c r="K874" s="100"/>
      <c r="L874" s="102"/>
      <c r="M874" s="103" t="str">
        <f>if(B874,if(and(hour(B874+M$7)&gt;9.5,(hour(B874+M$7)&lt;19.5)),B874+M$7,_xlfn.workday.intl(int(B874),1,"0000001",Holidays!A:A)+hour(B874+M$7-$B$1)/24+minute(B874)/1440),"")</f>
        <v/>
      </c>
      <c r="N874" s="104"/>
      <c r="O874" s="105"/>
      <c r="P874" s="106" t="str">
        <f t="shared" si="1"/>
        <v/>
      </c>
      <c r="Q874" s="107"/>
      <c r="R874" s="108"/>
      <c r="S874" s="103" t="str">
        <f>if(M874,if(and(hour(M874+S$7)&gt;9.5,(hour(M874+S$7)&lt;19.5)),M874+S$7,_xlfn.workday.intl(int(M874),1,"0000001",Holidays!A:A)+hour(M874+S$7-$B$1)/24+minute(M874)/1440),"")</f>
        <v/>
      </c>
      <c r="T874" s="104"/>
      <c r="U874" s="105"/>
      <c r="V874" s="109" t="str">
        <f t="shared" si="2"/>
        <v/>
      </c>
      <c r="W874" s="110" t="str">
        <f t="shared" si="3"/>
        <v/>
      </c>
      <c r="X874" s="103" t="str">
        <f>if(S874,if(and(hour(S874+X$7)&gt;9.5,(hour(S874+X$7)&lt;19.5)),S874+X$7,_xlfn.workday.intl(int(S874),1,"0000001",Holidays!A:A)+hour(S874+X$7-$B$1)/24+minute(S874)/1440),"")</f>
        <v/>
      </c>
      <c r="Y874" s="104"/>
      <c r="Z874" s="105"/>
      <c r="AA874" s="111" t="str">
        <f t="shared" si="4"/>
        <v/>
      </c>
      <c r="AB874" s="110" t="str">
        <f t="shared" si="5"/>
        <v/>
      </c>
      <c r="AC874" s="103" t="str">
        <f>if(X874,_xlfn.WORKDAY.INTL(X874,AC$7,"0000001",Holidays!A:A)+hour(X874)/24+MINUTE(X874)/1440,"")</f>
        <v/>
      </c>
      <c r="AD874" s="104"/>
      <c r="AE874" s="105"/>
      <c r="AF874" s="111" t="str">
        <f t="shared" si="6"/>
        <v/>
      </c>
      <c r="AG874" s="110" t="str">
        <f t="shared" si="7"/>
        <v/>
      </c>
      <c r="AH874" s="103" t="str">
        <f>if(AC874,if(and(hour(AC874+AH$7)&gt;9.5,(hour(AC874+AH$7)&lt;19.5)),AC874+AH$7,_xlfn.workday.intl(int(AC874),1,"0000001",Holidays!A:A)+hour(AC874+AH$7-$B$1)/24+minute(AC874)/1440),"")</f>
        <v/>
      </c>
      <c r="AI874" s="104"/>
      <c r="AJ874" s="105"/>
      <c r="AK874" s="111" t="str">
        <f t="shared" si="8"/>
        <v/>
      </c>
      <c r="AL874" s="112" t="str">
        <f t="shared" si="9"/>
        <v/>
      </c>
      <c r="AM874" s="113"/>
      <c r="AN874" s="291" t="s">
        <v>2540</v>
      </c>
      <c r="AO874" s="115"/>
      <c r="AP874" s="115"/>
      <c r="AQ874" s="115"/>
      <c r="AR874" s="115"/>
      <c r="AS874" s="115"/>
      <c r="AT874" s="115"/>
      <c r="AU874" s="115"/>
      <c r="AV874" s="115"/>
      <c r="AW874" s="115"/>
      <c r="AX874" s="115"/>
      <c r="AY874" s="115"/>
    </row>
    <row r="875">
      <c r="A875" s="95" t="str">
        <f t="shared" si="11"/>
        <v/>
      </c>
      <c r="B875" s="100"/>
      <c r="C875" s="97"/>
      <c r="D875" s="97"/>
      <c r="E875" s="97"/>
      <c r="F875" s="97"/>
      <c r="G875" s="97"/>
      <c r="H875" s="99"/>
      <c r="I875" s="100"/>
      <c r="J875" s="101"/>
      <c r="K875" s="100"/>
      <c r="L875" s="102"/>
      <c r="M875" s="103" t="str">
        <f>if(B875,if(and(hour(B875+M$7)&gt;9.5,(hour(B875+M$7)&lt;19.5)),B875+M$7,_xlfn.workday.intl(int(B875),1,"0000001",Holidays!A:A)+hour(B875+M$7-$B$1)/24+minute(B875)/1440),"")</f>
        <v/>
      </c>
      <c r="N875" s="104"/>
      <c r="O875" s="105"/>
      <c r="P875" s="106" t="str">
        <f t="shared" si="1"/>
        <v/>
      </c>
      <c r="Q875" s="107"/>
      <c r="R875" s="108"/>
      <c r="S875" s="103" t="str">
        <f>if(M875,if(and(hour(M875+S$7)&gt;9.5,(hour(M875+S$7)&lt;19.5)),M875+S$7,_xlfn.workday.intl(int(M875),1,"0000001",Holidays!A:A)+hour(M875+S$7-$B$1)/24+minute(M875)/1440),"")</f>
        <v/>
      </c>
      <c r="T875" s="104"/>
      <c r="U875" s="105"/>
      <c r="V875" s="109" t="str">
        <f t="shared" si="2"/>
        <v/>
      </c>
      <c r="W875" s="110" t="str">
        <f t="shared" si="3"/>
        <v/>
      </c>
      <c r="X875" s="103" t="str">
        <f>if(S875,if(and(hour(S875+X$7)&gt;9.5,(hour(S875+X$7)&lt;19.5)),S875+X$7,_xlfn.workday.intl(int(S875),1,"0000001",Holidays!A:A)+hour(S875+X$7-$B$1)/24+minute(S875)/1440),"")</f>
        <v/>
      </c>
      <c r="Y875" s="104"/>
      <c r="Z875" s="105"/>
      <c r="AA875" s="111" t="str">
        <f t="shared" si="4"/>
        <v/>
      </c>
      <c r="AB875" s="110" t="str">
        <f t="shared" si="5"/>
        <v/>
      </c>
      <c r="AC875" s="103" t="str">
        <f>if(X875,_xlfn.WORKDAY.INTL(X875,AC$7,"0000001",Holidays!A:A)+hour(X875)/24+MINUTE(X875)/1440,"")</f>
        <v/>
      </c>
      <c r="AD875" s="104"/>
      <c r="AE875" s="105"/>
      <c r="AF875" s="111" t="str">
        <f t="shared" si="6"/>
        <v/>
      </c>
      <c r="AG875" s="110" t="str">
        <f t="shared" si="7"/>
        <v/>
      </c>
      <c r="AH875" s="103" t="str">
        <f>if(AC875,if(and(hour(AC875+AH$7)&gt;9.5,(hour(AC875+AH$7)&lt;19.5)),AC875+AH$7,_xlfn.workday.intl(int(AC875),1,"0000001",Holidays!A:A)+hour(AC875+AH$7-$B$1)/24+minute(AC875)/1440),"")</f>
        <v/>
      </c>
      <c r="AI875" s="104"/>
      <c r="AJ875" s="105"/>
      <c r="AK875" s="111" t="str">
        <f t="shared" si="8"/>
        <v/>
      </c>
      <c r="AL875" s="112" t="str">
        <f t="shared" si="9"/>
        <v/>
      </c>
      <c r="AM875" s="113"/>
      <c r="AN875" s="291" t="s">
        <v>2540</v>
      </c>
      <c r="AO875" s="115"/>
      <c r="AP875" s="115"/>
      <c r="AQ875" s="115"/>
      <c r="AR875" s="115"/>
      <c r="AS875" s="115"/>
      <c r="AT875" s="115"/>
      <c r="AU875" s="115"/>
      <c r="AV875" s="115"/>
      <c r="AW875" s="115"/>
      <c r="AX875" s="115"/>
      <c r="AY875" s="115"/>
    </row>
    <row r="876">
      <c r="A876" s="95" t="str">
        <f t="shared" si="11"/>
        <v/>
      </c>
      <c r="B876" s="100"/>
      <c r="C876" s="97"/>
      <c r="D876" s="97"/>
      <c r="E876" s="97"/>
      <c r="F876" s="97"/>
      <c r="G876" s="97"/>
      <c r="H876" s="99"/>
      <c r="I876" s="100"/>
      <c r="J876" s="101"/>
      <c r="K876" s="100"/>
      <c r="L876" s="102"/>
      <c r="M876" s="103" t="str">
        <f>if(B876,if(and(hour(B876+M$7)&gt;9.5,(hour(B876+M$7)&lt;19.5)),B876+M$7,_xlfn.workday.intl(int(B876),1,"0000001",Holidays!A:A)+hour(B876+M$7-$B$1)/24+minute(B876)/1440),"")</f>
        <v/>
      </c>
      <c r="N876" s="104"/>
      <c r="O876" s="105"/>
      <c r="P876" s="106" t="str">
        <f t="shared" si="1"/>
        <v/>
      </c>
      <c r="Q876" s="107"/>
      <c r="R876" s="108"/>
      <c r="S876" s="103" t="str">
        <f>if(M876,if(and(hour(M876+S$7)&gt;9.5,(hour(M876+S$7)&lt;19.5)),M876+S$7,_xlfn.workday.intl(int(M876),1,"0000001",Holidays!A:A)+hour(M876+S$7-$B$1)/24+minute(M876)/1440),"")</f>
        <v/>
      </c>
      <c r="T876" s="104"/>
      <c r="U876" s="105"/>
      <c r="V876" s="109" t="str">
        <f t="shared" si="2"/>
        <v/>
      </c>
      <c r="W876" s="110" t="str">
        <f t="shared" si="3"/>
        <v/>
      </c>
      <c r="X876" s="103" t="str">
        <f>if(S876,if(and(hour(S876+X$7)&gt;9.5,(hour(S876+X$7)&lt;19.5)),S876+X$7,_xlfn.workday.intl(int(S876),1,"0000001",Holidays!A:A)+hour(S876+X$7-$B$1)/24+minute(S876)/1440),"")</f>
        <v/>
      </c>
      <c r="Y876" s="104"/>
      <c r="Z876" s="105"/>
      <c r="AA876" s="111" t="str">
        <f t="shared" si="4"/>
        <v/>
      </c>
      <c r="AB876" s="110" t="str">
        <f t="shared" si="5"/>
        <v/>
      </c>
      <c r="AC876" s="103" t="str">
        <f>if(X876,_xlfn.WORKDAY.INTL(X876,AC$7,"0000001",Holidays!A:A)+hour(X876)/24+MINUTE(X876)/1440,"")</f>
        <v/>
      </c>
      <c r="AD876" s="104"/>
      <c r="AE876" s="105"/>
      <c r="AF876" s="111" t="str">
        <f t="shared" si="6"/>
        <v/>
      </c>
      <c r="AG876" s="110" t="str">
        <f t="shared" si="7"/>
        <v/>
      </c>
      <c r="AH876" s="103" t="str">
        <f>if(AC876,if(and(hour(AC876+AH$7)&gt;9.5,(hour(AC876+AH$7)&lt;19.5)),AC876+AH$7,_xlfn.workday.intl(int(AC876),1,"0000001",Holidays!A:A)+hour(AC876+AH$7-$B$1)/24+minute(AC876)/1440),"")</f>
        <v/>
      </c>
      <c r="AI876" s="104"/>
      <c r="AJ876" s="105"/>
      <c r="AK876" s="111" t="str">
        <f t="shared" si="8"/>
        <v/>
      </c>
      <c r="AL876" s="112" t="str">
        <f t="shared" si="9"/>
        <v/>
      </c>
      <c r="AM876" s="113"/>
      <c r="AN876" s="291" t="s">
        <v>2540</v>
      </c>
      <c r="AO876" s="115"/>
      <c r="AP876" s="115"/>
      <c r="AQ876" s="115"/>
      <c r="AR876" s="115"/>
      <c r="AS876" s="115"/>
      <c r="AT876" s="115"/>
      <c r="AU876" s="115"/>
      <c r="AV876" s="115"/>
      <c r="AW876" s="115"/>
      <c r="AX876" s="115"/>
      <c r="AY876" s="115"/>
    </row>
    <row r="877">
      <c r="A877" s="95" t="str">
        <f t="shared" si="11"/>
        <v/>
      </c>
      <c r="B877" s="100"/>
      <c r="C877" s="97"/>
      <c r="D877" s="97"/>
      <c r="E877" s="97"/>
      <c r="F877" s="97"/>
      <c r="G877" s="97"/>
      <c r="H877" s="99"/>
      <c r="I877" s="100"/>
      <c r="J877" s="101"/>
      <c r="K877" s="100"/>
      <c r="L877" s="102"/>
      <c r="M877" s="103" t="str">
        <f>if(B877,if(and(hour(B877+M$7)&gt;9.5,(hour(B877+M$7)&lt;19.5)),B877+M$7,_xlfn.workday.intl(int(B877),1,"0000001",Holidays!A:A)+hour(B877+M$7-$B$1)/24+minute(B877)/1440),"")</f>
        <v/>
      </c>
      <c r="N877" s="104"/>
      <c r="O877" s="105"/>
      <c r="P877" s="106" t="str">
        <f t="shared" si="1"/>
        <v/>
      </c>
      <c r="Q877" s="107"/>
      <c r="R877" s="108"/>
      <c r="S877" s="103" t="str">
        <f>if(M877,if(and(hour(M877+S$7)&gt;9.5,(hour(M877+S$7)&lt;19.5)),M877+S$7,_xlfn.workday.intl(int(M877),1,"0000001",Holidays!A:A)+hour(M877+S$7-$B$1)/24+minute(M877)/1440),"")</f>
        <v/>
      </c>
      <c r="T877" s="104"/>
      <c r="U877" s="105"/>
      <c r="V877" s="109" t="str">
        <f t="shared" si="2"/>
        <v/>
      </c>
      <c r="W877" s="110" t="str">
        <f t="shared" si="3"/>
        <v/>
      </c>
      <c r="X877" s="103" t="str">
        <f>if(S877,if(and(hour(S877+X$7)&gt;9.5,(hour(S877+X$7)&lt;19.5)),S877+X$7,_xlfn.workday.intl(int(S877),1,"0000001",Holidays!A:A)+hour(S877+X$7-$B$1)/24+minute(S877)/1440),"")</f>
        <v/>
      </c>
      <c r="Y877" s="104"/>
      <c r="Z877" s="105"/>
      <c r="AA877" s="111" t="str">
        <f t="shared" si="4"/>
        <v/>
      </c>
      <c r="AB877" s="110" t="str">
        <f t="shared" si="5"/>
        <v/>
      </c>
      <c r="AC877" s="103" t="str">
        <f>if(X877,_xlfn.WORKDAY.INTL(X877,AC$7,"0000001",Holidays!A:A)+hour(X877)/24+MINUTE(X877)/1440,"")</f>
        <v/>
      </c>
      <c r="AD877" s="104"/>
      <c r="AE877" s="105"/>
      <c r="AF877" s="111" t="str">
        <f t="shared" si="6"/>
        <v/>
      </c>
      <c r="AG877" s="110" t="str">
        <f t="shared" si="7"/>
        <v/>
      </c>
      <c r="AH877" s="103" t="str">
        <f>if(AC877,if(and(hour(AC877+AH$7)&gt;9.5,(hour(AC877+AH$7)&lt;19.5)),AC877+AH$7,_xlfn.workday.intl(int(AC877),1,"0000001",Holidays!A:A)+hour(AC877+AH$7-$B$1)/24+minute(AC877)/1440),"")</f>
        <v/>
      </c>
      <c r="AI877" s="104"/>
      <c r="AJ877" s="105"/>
      <c r="AK877" s="111" t="str">
        <f t="shared" si="8"/>
        <v/>
      </c>
      <c r="AL877" s="112" t="str">
        <f t="shared" si="9"/>
        <v/>
      </c>
      <c r="AM877" s="113"/>
      <c r="AN877" s="291" t="s">
        <v>2540</v>
      </c>
      <c r="AO877" s="115"/>
      <c r="AP877" s="115"/>
      <c r="AQ877" s="115"/>
      <c r="AR877" s="115"/>
      <c r="AS877" s="115"/>
      <c r="AT877" s="115"/>
      <c r="AU877" s="115"/>
      <c r="AV877" s="115"/>
      <c r="AW877" s="115"/>
      <c r="AX877" s="115"/>
      <c r="AY877" s="115"/>
    </row>
    <row r="878">
      <c r="A878" s="95" t="str">
        <f t="shared" si="11"/>
        <v/>
      </c>
      <c r="B878" s="100"/>
      <c r="C878" s="97"/>
      <c r="D878" s="97"/>
      <c r="E878" s="97"/>
      <c r="F878" s="97"/>
      <c r="G878" s="97"/>
      <c r="H878" s="99"/>
      <c r="I878" s="100"/>
      <c r="J878" s="101"/>
      <c r="K878" s="100"/>
      <c r="L878" s="102"/>
      <c r="M878" s="103" t="str">
        <f>if(B878,if(and(hour(B878+M$7)&gt;9.5,(hour(B878+M$7)&lt;19.5)),B878+M$7,_xlfn.workday.intl(int(B878),1,"0000001",Holidays!A:A)+hour(B878+M$7-$B$1)/24+minute(B878)/1440),"")</f>
        <v/>
      </c>
      <c r="N878" s="104"/>
      <c r="O878" s="105"/>
      <c r="P878" s="106" t="str">
        <f t="shared" si="1"/>
        <v/>
      </c>
      <c r="Q878" s="107"/>
      <c r="R878" s="108"/>
      <c r="S878" s="103" t="str">
        <f>if(M878,if(and(hour(M878+S$7)&gt;9.5,(hour(M878+S$7)&lt;19.5)),M878+S$7,_xlfn.workday.intl(int(M878),1,"0000001",Holidays!A:A)+hour(M878+S$7-$B$1)/24+minute(M878)/1440),"")</f>
        <v/>
      </c>
      <c r="T878" s="104"/>
      <c r="U878" s="105"/>
      <c r="V878" s="109" t="str">
        <f t="shared" si="2"/>
        <v/>
      </c>
      <c r="W878" s="110" t="str">
        <f t="shared" si="3"/>
        <v/>
      </c>
      <c r="X878" s="103" t="str">
        <f>if(S878,if(and(hour(S878+X$7)&gt;9.5,(hour(S878+X$7)&lt;19.5)),S878+X$7,_xlfn.workday.intl(int(S878),1,"0000001",Holidays!A:A)+hour(S878+X$7-$B$1)/24+minute(S878)/1440),"")</f>
        <v/>
      </c>
      <c r="Y878" s="104"/>
      <c r="Z878" s="105"/>
      <c r="AA878" s="111" t="str">
        <f t="shared" si="4"/>
        <v/>
      </c>
      <c r="AB878" s="110" t="str">
        <f t="shared" si="5"/>
        <v/>
      </c>
      <c r="AC878" s="103" t="str">
        <f>if(X878,_xlfn.WORKDAY.INTL(X878,AC$7,"0000001",Holidays!A:A)+hour(X878)/24+MINUTE(X878)/1440,"")</f>
        <v/>
      </c>
      <c r="AD878" s="104"/>
      <c r="AE878" s="105"/>
      <c r="AF878" s="111" t="str">
        <f t="shared" si="6"/>
        <v/>
      </c>
      <c r="AG878" s="110" t="str">
        <f t="shared" si="7"/>
        <v/>
      </c>
      <c r="AH878" s="103" t="str">
        <f>if(AC878,if(and(hour(AC878+AH$7)&gt;9.5,(hour(AC878+AH$7)&lt;19.5)),AC878+AH$7,_xlfn.workday.intl(int(AC878),1,"0000001",Holidays!A:A)+hour(AC878+AH$7-$B$1)/24+minute(AC878)/1440),"")</f>
        <v/>
      </c>
      <c r="AI878" s="104"/>
      <c r="AJ878" s="105"/>
      <c r="AK878" s="111" t="str">
        <f t="shared" si="8"/>
        <v/>
      </c>
      <c r="AL878" s="112" t="str">
        <f t="shared" si="9"/>
        <v/>
      </c>
      <c r="AM878" s="113"/>
      <c r="AN878" s="291" t="s">
        <v>2540</v>
      </c>
      <c r="AO878" s="115"/>
      <c r="AP878" s="115"/>
      <c r="AQ878" s="115"/>
      <c r="AR878" s="115"/>
      <c r="AS878" s="115"/>
      <c r="AT878" s="115"/>
      <c r="AU878" s="115"/>
      <c r="AV878" s="115"/>
      <c r="AW878" s="115"/>
      <c r="AX878" s="115"/>
      <c r="AY878" s="115"/>
    </row>
    <row r="879">
      <c r="A879" s="95" t="str">
        <f t="shared" si="11"/>
        <v/>
      </c>
      <c r="B879" s="100"/>
      <c r="C879" s="97"/>
      <c r="D879" s="97"/>
      <c r="E879" s="97"/>
      <c r="F879" s="97"/>
      <c r="G879" s="97"/>
      <c r="H879" s="99"/>
      <c r="I879" s="100"/>
      <c r="J879" s="101"/>
      <c r="K879" s="100"/>
      <c r="L879" s="102"/>
      <c r="M879" s="103" t="str">
        <f>if(B879,if(and(hour(B879+M$7)&gt;9.5,(hour(B879+M$7)&lt;19.5)),B879+M$7,_xlfn.workday.intl(int(B879),1,"0000001",Holidays!A:A)+hour(B879+M$7-$B$1)/24+minute(B879)/1440),"")</f>
        <v/>
      </c>
      <c r="N879" s="104"/>
      <c r="O879" s="105"/>
      <c r="P879" s="106" t="str">
        <f t="shared" si="1"/>
        <v/>
      </c>
      <c r="Q879" s="107"/>
      <c r="R879" s="108"/>
      <c r="S879" s="103" t="str">
        <f>if(M879,if(and(hour(M879+S$7)&gt;9.5,(hour(M879+S$7)&lt;19.5)),M879+S$7,_xlfn.workday.intl(int(M879),1,"0000001",Holidays!A:A)+hour(M879+S$7-$B$1)/24+minute(M879)/1440),"")</f>
        <v/>
      </c>
      <c r="T879" s="104"/>
      <c r="U879" s="105"/>
      <c r="V879" s="109" t="str">
        <f t="shared" si="2"/>
        <v/>
      </c>
      <c r="W879" s="110" t="str">
        <f t="shared" si="3"/>
        <v/>
      </c>
      <c r="X879" s="103" t="str">
        <f>if(S879,if(and(hour(S879+X$7)&gt;9.5,(hour(S879+X$7)&lt;19.5)),S879+X$7,_xlfn.workday.intl(int(S879),1,"0000001",Holidays!A:A)+hour(S879+X$7-$B$1)/24+minute(S879)/1440),"")</f>
        <v/>
      </c>
      <c r="Y879" s="104"/>
      <c r="Z879" s="105"/>
      <c r="AA879" s="111" t="str">
        <f t="shared" si="4"/>
        <v/>
      </c>
      <c r="AB879" s="110" t="str">
        <f t="shared" si="5"/>
        <v/>
      </c>
      <c r="AC879" s="103" t="str">
        <f>if(X879,_xlfn.WORKDAY.INTL(X879,AC$7,"0000001",Holidays!A:A)+hour(X879)/24+MINUTE(X879)/1440,"")</f>
        <v/>
      </c>
      <c r="AD879" s="104"/>
      <c r="AE879" s="105"/>
      <c r="AF879" s="111" t="str">
        <f t="shared" si="6"/>
        <v/>
      </c>
      <c r="AG879" s="110" t="str">
        <f t="shared" si="7"/>
        <v/>
      </c>
      <c r="AH879" s="103" t="str">
        <f>if(AC879,if(and(hour(AC879+AH$7)&gt;9.5,(hour(AC879+AH$7)&lt;19.5)),AC879+AH$7,_xlfn.workday.intl(int(AC879),1,"0000001",Holidays!A:A)+hour(AC879+AH$7-$B$1)/24+minute(AC879)/1440),"")</f>
        <v/>
      </c>
      <c r="AI879" s="104"/>
      <c r="AJ879" s="105"/>
      <c r="AK879" s="111" t="str">
        <f t="shared" si="8"/>
        <v/>
      </c>
      <c r="AL879" s="112" t="str">
        <f t="shared" si="9"/>
        <v/>
      </c>
      <c r="AM879" s="113"/>
      <c r="AN879" s="291" t="s">
        <v>2540</v>
      </c>
      <c r="AO879" s="115"/>
      <c r="AP879" s="115"/>
      <c r="AQ879" s="115"/>
      <c r="AR879" s="115"/>
      <c r="AS879" s="115"/>
      <c r="AT879" s="115"/>
      <c r="AU879" s="115"/>
      <c r="AV879" s="115"/>
      <c r="AW879" s="115"/>
      <c r="AX879" s="115"/>
      <c r="AY879" s="115"/>
    </row>
    <row r="880">
      <c r="A880" s="95" t="str">
        <f t="shared" si="11"/>
        <v/>
      </c>
      <c r="B880" s="100"/>
      <c r="C880" s="97"/>
      <c r="D880" s="97"/>
      <c r="E880" s="97"/>
      <c r="F880" s="97"/>
      <c r="G880" s="97"/>
      <c r="H880" s="99"/>
      <c r="I880" s="100"/>
      <c r="J880" s="101"/>
      <c r="K880" s="100"/>
      <c r="L880" s="102"/>
      <c r="M880" s="103" t="str">
        <f>if(B880,if(and(hour(B880+M$7)&gt;9.5,(hour(B880+M$7)&lt;19.5)),B880+M$7,_xlfn.workday.intl(int(B880),1,"0000001",Holidays!A:A)+hour(B880+M$7-$B$1)/24+minute(B880)/1440),"")</f>
        <v/>
      </c>
      <c r="N880" s="104"/>
      <c r="O880" s="105"/>
      <c r="P880" s="106" t="str">
        <f t="shared" si="1"/>
        <v/>
      </c>
      <c r="Q880" s="107"/>
      <c r="R880" s="108"/>
      <c r="S880" s="103" t="str">
        <f>if(M880,if(and(hour(M880+S$7)&gt;9.5,(hour(M880+S$7)&lt;19.5)),M880+S$7,_xlfn.workday.intl(int(M880),1,"0000001",Holidays!A:A)+hour(M880+S$7-$B$1)/24+minute(M880)/1440),"")</f>
        <v/>
      </c>
      <c r="T880" s="104"/>
      <c r="U880" s="105"/>
      <c r="V880" s="109" t="str">
        <f t="shared" si="2"/>
        <v/>
      </c>
      <c r="W880" s="110" t="str">
        <f t="shared" si="3"/>
        <v/>
      </c>
      <c r="X880" s="103" t="str">
        <f>if(S880,if(and(hour(S880+X$7)&gt;9.5,(hour(S880+X$7)&lt;19.5)),S880+X$7,_xlfn.workday.intl(int(S880),1,"0000001",Holidays!A:A)+hour(S880+X$7-$B$1)/24+minute(S880)/1440),"")</f>
        <v/>
      </c>
      <c r="Y880" s="104"/>
      <c r="Z880" s="105"/>
      <c r="AA880" s="111" t="str">
        <f t="shared" si="4"/>
        <v/>
      </c>
      <c r="AB880" s="110" t="str">
        <f t="shared" si="5"/>
        <v/>
      </c>
      <c r="AC880" s="103" t="str">
        <f>if(X880,_xlfn.WORKDAY.INTL(X880,AC$7,"0000001",Holidays!A:A)+hour(X880)/24+MINUTE(X880)/1440,"")</f>
        <v/>
      </c>
      <c r="AD880" s="104"/>
      <c r="AE880" s="105"/>
      <c r="AF880" s="111" t="str">
        <f t="shared" si="6"/>
        <v/>
      </c>
      <c r="AG880" s="110" t="str">
        <f t="shared" si="7"/>
        <v/>
      </c>
      <c r="AH880" s="103" t="str">
        <f>if(AC880,if(and(hour(AC880+AH$7)&gt;9.5,(hour(AC880+AH$7)&lt;19.5)),AC880+AH$7,_xlfn.workday.intl(int(AC880),1,"0000001",Holidays!A:A)+hour(AC880+AH$7-$B$1)/24+minute(AC880)/1440),"")</f>
        <v/>
      </c>
      <c r="AI880" s="104"/>
      <c r="AJ880" s="105"/>
      <c r="AK880" s="111" t="str">
        <f t="shared" si="8"/>
        <v/>
      </c>
      <c r="AL880" s="112" t="str">
        <f t="shared" si="9"/>
        <v/>
      </c>
      <c r="AM880" s="113"/>
      <c r="AN880" s="291" t="s">
        <v>2540</v>
      </c>
      <c r="AO880" s="115"/>
      <c r="AP880" s="115"/>
      <c r="AQ880" s="115"/>
      <c r="AR880" s="115"/>
      <c r="AS880" s="115"/>
      <c r="AT880" s="115"/>
      <c r="AU880" s="115"/>
      <c r="AV880" s="115"/>
      <c r="AW880" s="115"/>
      <c r="AX880" s="115"/>
      <c r="AY880" s="115"/>
    </row>
    <row r="881">
      <c r="A881" s="95" t="str">
        <f t="shared" si="11"/>
        <v/>
      </c>
      <c r="B881" s="100"/>
      <c r="C881" s="97"/>
      <c r="D881" s="97"/>
      <c r="E881" s="97"/>
      <c r="F881" s="97"/>
      <c r="G881" s="97"/>
      <c r="H881" s="99"/>
      <c r="I881" s="100"/>
      <c r="J881" s="101"/>
      <c r="K881" s="100"/>
      <c r="L881" s="102"/>
      <c r="M881" s="103" t="str">
        <f>if(B881,if(and(hour(B881+M$7)&gt;9.5,(hour(B881+M$7)&lt;19.5)),B881+M$7,_xlfn.workday.intl(int(B881),1,"0000001",Holidays!A:A)+hour(B881+M$7-$B$1)/24+minute(B881)/1440),"")</f>
        <v/>
      </c>
      <c r="N881" s="104"/>
      <c r="O881" s="105"/>
      <c r="P881" s="106" t="str">
        <f t="shared" si="1"/>
        <v/>
      </c>
      <c r="Q881" s="107"/>
      <c r="R881" s="108"/>
      <c r="S881" s="103" t="str">
        <f>if(M881,if(and(hour(M881+S$7)&gt;9.5,(hour(M881+S$7)&lt;19.5)),M881+S$7,_xlfn.workday.intl(int(M881),1,"0000001",Holidays!A:A)+hour(M881+S$7-$B$1)/24+minute(M881)/1440),"")</f>
        <v/>
      </c>
      <c r="T881" s="104"/>
      <c r="U881" s="105"/>
      <c r="V881" s="109" t="str">
        <f t="shared" si="2"/>
        <v/>
      </c>
      <c r="W881" s="110" t="str">
        <f t="shared" si="3"/>
        <v/>
      </c>
      <c r="X881" s="103" t="str">
        <f>if(S881,if(and(hour(S881+X$7)&gt;9.5,(hour(S881+X$7)&lt;19.5)),S881+X$7,_xlfn.workday.intl(int(S881),1,"0000001",Holidays!A:A)+hour(S881+X$7-$B$1)/24+minute(S881)/1440),"")</f>
        <v/>
      </c>
      <c r="Y881" s="104"/>
      <c r="Z881" s="105"/>
      <c r="AA881" s="111" t="str">
        <f t="shared" si="4"/>
        <v/>
      </c>
      <c r="AB881" s="110" t="str">
        <f t="shared" si="5"/>
        <v/>
      </c>
      <c r="AC881" s="103" t="str">
        <f>if(X881,_xlfn.WORKDAY.INTL(X881,AC$7,"0000001",Holidays!A:A)+hour(X881)/24+MINUTE(X881)/1440,"")</f>
        <v/>
      </c>
      <c r="AD881" s="104"/>
      <c r="AE881" s="105"/>
      <c r="AF881" s="111" t="str">
        <f t="shared" si="6"/>
        <v/>
      </c>
      <c r="AG881" s="110" t="str">
        <f t="shared" si="7"/>
        <v/>
      </c>
      <c r="AH881" s="103" t="str">
        <f>if(AC881,if(and(hour(AC881+AH$7)&gt;9.5,(hour(AC881+AH$7)&lt;19.5)),AC881+AH$7,_xlfn.workday.intl(int(AC881),1,"0000001",Holidays!A:A)+hour(AC881+AH$7-$B$1)/24+minute(AC881)/1440),"")</f>
        <v/>
      </c>
      <c r="AI881" s="104"/>
      <c r="AJ881" s="105"/>
      <c r="AK881" s="111" t="str">
        <f t="shared" si="8"/>
        <v/>
      </c>
      <c r="AL881" s="112" t="str">
        <f t="shared" si="9"/>
        <v/>
      </c>
      <c r="AM881" s="113"/>
      <c r="AN881" s="291" t="s">
        <v>2540</v>
      </c>
      <c r="AO881" s="115"/>
      <c r="AP881" s="115"/>
      <c r="AQ881" s="115"/>
      <c r="AR881" s="115"/>
      <c r="AS881" s="115"/>
      <c r="AT881" s="115"/>
      <c r="AU881" s="115"/>
      <c r="AV881" s="115"/>
      <c r="AW881" s="115"/>
      <c r="AX881" s="115"/>
      <c r="AY881" s="115"/>
    </row>
    <row r="882">
      <c r="A882" s="95" t="str">
        <f t="shared" si="11"/>
        <v/>
      </c>
      <c r="B882" s="100"/>
      <c r="C882" s="97"/>
      <c r="D882" s="97"/>
      <c r="E882" s="97"/>
      <c r="F882" s="97"/>
      <c r="G882" s="97"/>
      <c r="H882" s="99"/>
      <c r="I882" s="100"/>
      <c r="J882" s="101"/>
      <c r="K882" s="100"/>
      <c r="L882" s="102"/>
      <c r="M882" s="103" t="str">
        <f>if(B882,if(and(hour(B882+M$7)&gt;9.5,(hour(B882+M$7)&lt;19.5)),B882+M$7,_xlfn.workday.intl(int(B882),1,"0000001",Holidays!A:A)+hour(B882+M$7-$B$1)/24+minute(B882)/1440),"")</f>
        <v/>
      </c>
      <c r="N882" s="104"/>
      <c r="O882" s="105"/>
      <c r="P882" s="106" t="str">
        <f t="shared" si="1"/>
        <v/>
      </c>
      <c r="Q882" s="107"/>
      <c r="R882" s="108"/>
      <c r="S882" s="103" t="str">
        <f>if(M882,if(and(hour(M882+S$7)&gt;9.5,(hour(M882+S$7)&lt;19.5)),M882+S$7,_xlfn.workday.intl(int(M882),1,"0000001",Holidays!A:A)+hour(M882+S$7-$B$1)/24+minute(M882)/1440),"")</f>
        <v/>
      </c>
      <c r="T882" s="104"/>
      <c r="U882" s="105"/>
      <c r="V882" s="109" t="str">
        <f t="shared" si="2"/>
        <v/>
      </c>
      <c r="W882" s="110" t="str">
        <f t="shared" si="3"/>
        <v/>
      </c>
      <c r="X882" s="103" t="str">
        <f>if(S882,if(and(hour(S882+X$7)&gt;9.5,(hour(S882+X$7)&lt;19.5)),S882+X$7,_xlfn.workday.intl(int(S882),1,"0000001",Holidays!A:A)+hour(S882+X$7-$B$1)/24+minute(S882)/1440),"")</f>
        <v/>
      </c>
      <c r="Y882" s="104"/>
      <c r="Z882" s="105"/>
      <c r="AA882" s="111" t="str">
        <f t="shared" si="4"/>
        <v/>
      </c>
      <c r="AB882" s="110" t="str">
        <f t="shared" si="5"/>
        <v/>
      </c>
      <c r="AC882" s="103" t="str">
        <f>if(X882,_xlfn.WORKDAY.INTL(X882,AC$7,"0000001",Holidays!A:A)+hour(X882)/24+MINUTE(X882)/1440,"")</f>
        <v/>
      </c>
      <c r="AD882" s="104"/>
      <c r="AE882" s="105"/>
      <c r="AF882" s="111" t="str">
        <f t="shared" si="6"/>
        <v/>
      </c>
      <c r="AG882" s="110" t="str">
        <f t="shared" si="7"/>
        <v/>
      </c>
      <c r="AH882" s="103" t="str">
        <f>if(AC882,if(and(hour(AC882+AH$7)&gt;9.5,(hour(AC882+AH$7)&lt;19.5)),AC882+AH$7,_xlfn.workday.intl(int(AC882),1,"0000001",Holidays!A:A)+hour(AC882+AH$7-$B$1)/24+minute(AC882)/1440),"")</f>
        <v/>
      </c>
      <c r="AI882" s="104"/>
      <c r="AJ882" s="105"/>
      <c r="AK882" s="111" t="str">
        <f t="shared" si="8"/>
        <v/>
      </c>
      <c r="AL882" s="112" t="str">
        <f t="shared" si="9"/>
        <v/>
      </c>
      <c r="AM882" s="113"/>
      <c r="AN882" s="291" t="s">
        <v>2540</v>
      </c>
      <c r="AO882" s="115"/>
      <c r="AP882" s="115"/>
      <c r="AQ882" s="115"/>
      <c r="AR882" s="115"/>
      <c r="AS882" s="115"/>
      <c r="AT882" s="115"/>
      <c r="AU882" s="115"/>
      <c r="AV882" s="115"/>
      <c r="AW882" s="115"/>
      <c r="AX882" s="115"/>
      <c r="AY882" s="115"/>
    </row>
    <row r="883">
      <c r="A883" s="95" t="str">
        <f t="shared" si="11"/>
        <v/>
      </c>
      <c r="B883" s="100"/>
      <c r="C883" s="97"/>
      <c r="D883" s="97"/>
      <c r="E883" s="97"/>
      <c r="F883" s="97"/>
      <c r="G883" s="97"/>
      <c r="H883" s="99"/>
      <c r="I883" s="100"/>
      <c r="J883" s="101"/>
      <c r="K883" s="100"/>
      <c r="L883" s="102"/>
      <c r="M883" s="103" t="str">
        <f>if(B883,if(and(hour(B883+M$7)&gt;9.5,(hour(B883+M$7)&lt;19.5)),B883+M$7,_xlfn.workday.intl(int(B883),1,"0000001",Holidays!A:A)+hour(B883+M$7-$B$1)/24+minute(B883)/1440),"")</f>
        <v/>
      </c>
      <c r="N883" s="104"/>
      <c r="O883" s="105"/>
      <c r="P883" s="106" t="str">
        <f t="shared" si="1"/>
        <v/>
      </c>
      <c r="Q883" s="107"/>
      <c r="R883" s="108"/>
      <c r="S883" s="103" t="str">
        <f>if(M883,if(and(hour(M883+S$7)&gt;9.5,(hour(M883+S$7)&lt;19.5)),M883+S$7,_xlfn.workday.intl(int(M883),1,"0000001",Holidays!A:A)+hour(M883+S$7-$B$1)/24+minute(M883)/1440),"")</f>
        <v/>
      </c>
      <c r="T883" s="104"/>
      <c r="U883" s="105"/>
      <c r="V883" s="109" t="str">
        <f t="shared" si="2"/>
        <v/>
      </c>
      <c r="W883" s="110" t="str">
        <f t="shared" si="3"/>
        <v/>
      </c>
      <c r="X883" s="103" t="str">
        <f>if(S883,if(and(hour(S883+X$7)&gt;9.5,(hour(S883+X$7)&lt;19.5)),S883+X$7,_xlfn.workday.intl(int(S883),1,"0000001",Holidays!A:A)+hour(S883+X$7-$B$1)/24+minute(S883)/1440),"")</f>
        <v/>
      </c>
      <c r="Y883" s="104"/>
      <c r="Z883" s="105"/>
      <c r="AA883" s="111" t="str">
        <f t="shared" si="4"/>
        <v/>
      </c>
      <c r="AB883" s="110" t="str">
        <f t="shared" si="5"/>
        <v/>
      </c>
      <c r="AC883" s="103" t="str">
        <f>if(X883,_xlfn.WORKDAY.INTL(X883,AC$7,"0000001",Holidays!A:A)+hour(X883)/24+MINUTE(X883)/1440,"")</f>
        <v/>
      </c>
      <c r="AD883" s="104"/>
      <c r="AE883" s="105"/>
      <c r="AF883" s="111" t="str">
        <f t="shared" si="6"/>
        <v/>
      </c>
      <c r="AG883" s="110" t="str">
        <f t="shared" si="7"/>
        <v/>
      </c>
      <c r="AH883" s="103" t="str">
        <f>if(AC883,if(and(hour(AC883+AH$7)&gt;9.5,(hour(AC883+AH$7)&lt;19.5)),AC883+AH$7,_xlfn.workday.intl(int(AC883),1,"0000001",Holidays!A:A)+hour(AC883+AH$7-$B$1)/24+minute(AC883)/1440),"")</f>
        <v/>
      </c>
      <c r="AI883" s="104"/>
      <c r="AJ883" s="105"/>
      <c r="AK883" s="111" t="str">
        <f t="shared" si="8"/>
        <v/>
      </c>
      <c r="AL883" s="112" t="str">
        <f t="shared" si="9"/>
        <v/>
      </c>
      <c r="AM883" s="113"/>
      <c r="AN883" s="291" t="s">
        <v>2540</v>
      </c>
      <c r="AO883" s="115"/>
      <c r="AP883" s="115"/>
      <c r="AQ883" s="115"/>
      <c r="AR883" s="115"/>
      <c r="AS883" s="115"/>
      <c r="AT883" s="115"/>
      <c r="AU883" s="115"/>
      <c r="AV883" s="115"/>
      <c r="AW883" s="115"/>
      <c r="AX883" s="115"/>
      <c r="AY883" s="115"/>
    </row>
    <row r="884">
      <c r="A884" s="95" t="str">
        <f t="shared" si="11"/>
        <v/>
      </c>
      <c r="B884" s="100"/>
      <c r="C884" s="97"/>
      <c r="D884" s="97"/>
      <c r="E884" s="97"/>
      <c r="F884" s="97"/>
      <c r="G884" s="97"/>
      <c r="H884" s="99"/>
      <c r="I884" s="100"/>
      <c r="J884" s="101"/>
      <c r="K884" s="100"/>
      <c r="L884" s="102"/>
      <c r="M884" s="103" t="str">
        <f>if(B884,if(and(hour(B884+M$7)&gt;9.5,(hour(B884+M$7)&lt;19.5)),B884+M$7,_xlfn.workday.intl(int(B884),1,"0000001",Holidays!A:A)+hour(B884+M$7-$B$1)/24+minute(B884)/1440),"")</f>
        <v/>
      </c>
      <c r="N884" s="104"/>
      <c r="O884" s="105"/>
      <c r="P884" s="106" t="str">
        <f t="shared" si="1"/>
        <v/>
      </c>
      <c r="Q884" s="107"/>
      <c r="R884" s="108"/>
      <c r="S884" s="103" t="str">
        <f>if(M884,if(and(hour(M884+S$7)&gt;9.5,(hour(M884+S$7)&lt;19.5)),M884+S$7,_xlfn.workday.intl(int(M884),1,"0000001",Holidays!A:A)+hour(M884+S$7-$B$1)/24+minute(M884)/1440),"")</f>
        <v/>
      </c>
      <c r="T884" s="104"/>
      <c r="U884" s="105"/>
      <c r="V884" s="109" t="str">
        <f t="shared" si="2"/>
        <v/>
      </c>
      <c r="W884" s="110" t="str">
        <f t="shared" si="3"/>
        <v/>
      </c>
      <c r="X884" s="103" t="str">
        <f>if(S884,if(and(hour(S884+X$7)&gt;9.5,(hour(S884+X$7)&lt;19.5)),S884+X$7,_xlfn.workday.intl(int(S884),1,"0000001",Holidays!A:A)+hour(S884+X$7-$B$1)/24+minute(S884)/1440),"")</f>
        <v/>
      </c>
      <c r="Y884" s="104"/>
      <c r="Z884" s="105"/>
      <c r="AA884" s="111" t="str">
        <f t="shared" si="4"/>
        <v/>
      </c>
      <c r="AB884" s="110" t="str">
        <f t="shared" si="5"/>
        <v/>
      </c>
      <c r="AC884" s="103" t="str">
        <f>if(X884,_xlfn.WORKDAY.INTL(X884,AC$7,"0000001",Holidays!A:A)+hour(X884)/24+MINUTE(X884)/1440,"")</f>
        <v/>
      </c>
      <c r="AD884" s="104"/>
      <c r="AE884" s="105"/>
      <c r="AF884" s="111" t="str">
        <f t="shared" si="6"/>
        <v/>
      </c>
      <c r="AG884" s="110" t="str">
        <f t="shared" si="7"/>
        <v/>
      </c>
      <c r="AH884" s="103" t="str">
        <f>if(AC884,if(and(hour(AC884+AH$7)&gt;9.5,(hour(AC884+AH$7)&lt;19.5)),AC884+AH$7,_xlfn.workday.intl(int(AC884),1,"0000001",Holidays!A:A)+hour(AC884+AH$7-$B$1)/24+minute(AC884)/1440),"")</f>
        <v/>
      </c>
      <c r="AI884" s="104"/>
      <c r="AJ884" s="105"/>
      <c r="AK884" s="111" t="str">
        <f t="shared" si="8"/>
        <v/>
      </c>
      <c r="AL884" s="112" t="str">
        <f t="shared" si="9"/>
        <v/>
      </c>
      <c r="AM884" s="113"/>
      <c r="AN884" s="291" t="s">
        <v>2540</v>
      </c>
      <c r="AO884" s="115"/>
      <c r="AP884" s="115"/>
      <c r="AQ884" s="115"/>
      <c r="AR884" s="115"/>
      <c r="AS884" s="115"/>
      <c r="AT884" s="115"/>
      <c r="AU884" s="115"/>
      <c r="AV884" s="115"/>
      <c r="AW884" s="115"/>
      <c r="AX884" s="115"/>
      <c r="AY884" s="115"/>
    </row>
    <row r="885">
      <c r="A885" s="95" t="str">
        <f t="shared" si="11"/>
        <v/>
      </c>
      <c r="B885" s="100"/>
      <c r="C885" s="97"/>
      <c r="D885" s="97"/>
      <c r="E885" s="97"/>
      <c r="F885" s="97"/>
      <c r="G885" s="97"/>
      <c r="H885" s="99"/>
      <c r="I885" s="100"/>
      <c r="J885" s="101"/>
      <c r="K885" s="100"/>
      <c r="L885" s="102"/>
      <c r="M885" s="103" t="str">
        <f>if(B885,if(and(hour(B885+M$7)&gt;9.5,(hour(B885+M$7)&lt;19.5)),B885+M$7,_xlfn.workday.intl(int(B885),1,"0000001",Holidays!A:A)+hour(B885+M$7-$B$1)/24+minute(B885)/1440),"")</f>
        <v/>
      </c>
      <c r="N885" s="104"/>
      <c r="O885" s="105"/>
      <c r="P885" s="106" t="str">
        <f t="shared" si="1"/>
        <v/>
      </c>
      <c r="Q885" s="107"/>
      <c r="R885" s="108"/>
      <c r="S885" s="103" t="str">
        <f>if(M885,if(and(hour(M885+S$7)&gt;9.5,(hour(M885+S$7)&lt;19.5)),M885+S$7,_xlfn.workday.intl(int(M885),1,"0000001",Holidays!A:A)+hour(M885+S$7-$B$1)/24+minute(M885)/1440),"")</f>
        <v/>
      </c>
      <c r="T885" s="104"/>
      <c r="U885" s="105"/>
      <c r="V885" s="109" t="str">
        <f t="shared" si="2"/>
        <v/>
      </c>
      <c r="W885" s="110" t="str">
        <f t="shared" si="3"/>
        <v/>
      </c>
      <c r="X885" s="103" t="str">
        <f>if(S885,if(and(hour(S885+X$7)&gt;9.5,(hour(S885+X$7)&lt;19.5)),S885+X$7,_xlfn.workday.intl(int(S885),1,"0000001",Holidays!A:A)+hour(S885+X$7-$B$1)/24+minute(S885)/1440),"")</f>
        <v/>
      </c>
      <c r="Y885" s="104"/>
      <c r="Z885" s="105"/>
      <c r="AA885" s="111" t="str">
        <f t="shared" si="4"/>
        <v/>
      </c>
      <c r="AB885" s="110" t="str">
        <f t="shared" si="5"/>
        <v/>
      </c>
      <c r="AC885" s="103" t="str">
        <f>if(X885,_xlfn.WORKDAY.INTL(X885,AC$7,"0000001",Holidays!A:A)+hour(X885)/24+MINUTE(X885)/1440,"")</f>
        <v/>
      </c>
      <c r="AD885" s="104"/>
      <c r="AE885" s="105"/>
      <c r="AF885" s="111" t="str">
        <f t="shared" si="6"/>
        <v/>
      </c>
      <c r="AG885" s="110" t="str">
        <f t="shared" si="7"/>
        <v/>
      </c>
      <c r="AH885" s="103" t="str">
        <f>if(AC885,if(and(hour(AC885+AH$7)&gt;9.5,(hour(AC885+AH$7)&lt;19.5)),AC885+AH$7,_xlfn.workday.intl(int(AC885),1,"0000001",Holidays!A:A)+hour(AC885+AH$7-$B$1)/24+minute(AC885)/1440),"")</f>
        <v/>
      </c>
      <c r="AI885" s="104"/>
      <c r="AJ885" s="105"/>
      <c r="AK885" s="111" t="str">
        <f t="shared" si="8"/>
        <v/>
      </c>
      <c r="AL885" s="112" t="str">
        <f t="shared" si="9"/>
        <v/>
      </c>
      <c r="AM885" s="113"/>
      <c r="AN885" s="291" t="s">
        <v>2540</v>
      </c>
      <c r="AO885" s="115"/>
      <c r="AP885" s="115"/>
      <c r="AQ885" s="115"/>
      <c r="AR885" s="115"/>
      <c r="AS885" s="115"/>
      <c r="AT885" s="115"/>
      <c r="AU885" s="115"/>
      <c r="AV885" s="115"/>
      <c r="AW885" s="115"/>
      <c r="AX885" s="115"/>
      <c r="AY885" s="115"/>
    </row>
    <row r="886">
      <c r="A886" s="95" t="str">
        <f t="shared" si="11"/>
        <v/>
      </c>
      <c r="B886" s="100"/>
      <c r="C886" s="97"/>
      <c r="D886" s="97"/>
      <c r="E886" s="97"/>
      <c r="F886" s="97"/>
      <c r="G886" s="97"/>
      <c r="H886" s="99"/>
      <c r="I886" s="100"/>
      <c r="J886" s="101"/>
      <c r="K886" s="100"/>
      <c r="L886" s="102"/>
      <c r="M886" s="103" t="str">
        <f>if(B886,if(and(hour(B886+M$7)&gt;9.5,(hour(B886+M$7)&lt;19.5)),B886+M$7,_xlfn.workday.intl(int(B886),1,"0000001",Holidays!A:A)+hour(B886+M$7-$B$1)/24+minute(B886)/1440),"")</f>
        <v/>
      </c>
      <c r="N886" s="104"/>
      <c r="O886" s="105"/>
      <c r="P886" s="106" t="str">
        <f t="shared" si="1"/>
        <v/>
      </c>
      <c r="Q886" s="107"/>
      <c r="R886" s="108"/>
      <c r="S886" s="103" t="str">
        <f>if(M886,if(and(hour(M886+S$7)&gt;9.5,(hour(M886+S$7)&lt;19.5)),M886+S$7,_xlfn.workday.intl(int(M886),1,"0000001",Holidays!A:A)+hour(M886+S$7-$B$1)/24+minute(M886)/1440),"")</f>
        <v/>
      </c>
      <c r="T886" s="104"/>
      <c r="U886" s="105"/>
      <c r="V886" s="109" t="str">
        <f t="shared" si="2"/>
        <v/>
      </c>
      <c r="W886" s="110" t="str">
        <f t="shared" si="3"/>
        <v/>
      </c>
      <c r="X886" s="103" t="str">
        <f>if(S886,if(and(hour(S886+X$7)&gt;9.5,(hour(S886+X$7)&lt;19.5)),S886+X$7,_xlfn.workday.intl(int(S886),1,"0000001",Holidays!A:A)+hour(S886+X$7-$B$1)/24+minute(S886)/1440),"")</f>
        <v/>
      </c>
      <c r="Y886" s="104"/>
      <c r="Z886" s="105"/>
      <c r="AA886" s="111" t="str">
        <f t="shared" si="4"/>
        <v/>
      </c>
      <c r="AB886" s="110" t="str">
        <f t="shared" si="5"/>
        <v/>
      </c>
      <c r="AC886" s="103" t="str">
        <f>if(X886,_xlfn.WORKDAY.INTL(X886,AC$7,"0000001",Holidays!A:A)+hour(X886)/24+MINUTE(X886)/1440,"")</f>
        <v/>
      </c>
      <c r="AD886" s="104"/>
      <c r="AE886" s="105"/>
      <c r="AF886" s="111" t="str">
        <f t="shared" si="6"/>
        <v/>
      </c>
      <c r="AG886" s="110" t="str">
        <f t="shared" si="7"/>
        <v/>
      </c>
      <c r="AH886" s="103" t="str">
        <f>if(AC886,if(and(hour(AC886+AH$7)&gt;9.5,(hour(AC886+AH$7)&lt;19.5)),AC886+AH$7,_xlfn.workday.intl(int(AC886),1,"0000001",Holidays!A:A)+hour(AC886+AH$7-$B$1)/24+minute(AC886)/1440),"")</f>
        <v/>
      </c>
      <c r="AI886" s="104"/>
      <c r="AJ886" s="105"/>
      <c r="AK886" s="111" t="str">
        <f t="shared" si="8"/>
        <v/>
      </c>
      <c r="AL886" s="112" t="str">
        <f t="shared" si="9"/>
        <v/>
      </c>
      <c r="AM886" s="113"/>
      <c r="AN886" s="291" t="s">
        <v>2540</v>
      </c>
      <c r="AO886" s="115"/>
      <c r="AP886" s="115"/>
      <c r="AQ886" s="115"/>
      <c r="AR886" s="115"/>
      <c r="AS886" s="115"/>
      <c r="AT886" s="115"/>
      <c r="AU886" s="115"/>
      <c r="AV886" s="115"/>
      <c r="AW886" s="115"/>
      <c r="AX886" s="115"/>
      <c r="AY886" s="115"/>
    </row>
    <row r="887">
      <c r="A887" s="95" t="str">
        <f t="shared" si="11"/>
        <v/>
      </c>
      <c r="B887" s="100"/>
      <c r="C887" s="97"/>
      <c r="D887" s="97"/>
      <c r="E887" s="97"/>
      <c r="F887" s="97"/>
      <c r="G887" s="97"/>
      <c r="H887" s="99"/>
      <c r="I887" s="100"/>
      <c r="J887" s="101"/>
      <c r="K887" s="100"/>
      <c r="L887" s="102"/>
      <c r="M887" s="103" t="str">
        <f>if(B887,if(and(hour(B887+M$7)&gt;9.5,(hour(B887+M$7)&lt;19.5)),B887+M$7,_xlfn.workday.intl(int(B887),1,"0000001",Holidays!A:A)+hour(B887+M$7-$B$1)/24+minute(B887)/1440),"")</f>
        <v/>
      </c>
      <c r="N887" s="104"/>
      <c r="O887" s="105"/>
      <c r="P887" s="106" t="str">
        <f t="shared" si="1"/>
        <v/>
      </c>
      <c r="Q887" s="107"/>
      <c r="R887" s="108"/>
      <c r="S887" s="103" t="str">
        <f>if(M887,if(and(hour(M887+S$7)&gt;9.5,(hour(M887+S$7)&lt;19.5)),M887+S$7,_xlfn.workday.intl(int(M887),1,"0000001",Holidays!A:A)+hour(M887+S$7-$B$1)/24+minute(M887)/1440),"")</f>
        <v/>
      </c>
      <c r="T887" s="104"/>
      <c r="U887" s="105"/>
      <c r="V887" s="109" t="str">
        <f t="shared" si="2"/>
        <v/>
      </c>
      <c r="W887" s="110" t="str">
        <f t="shared" si="3"/>
        <v/>
      </c>
      <c r="X887" s="103" t="str">
        <f>if(S887,if(and(hour(S887+X$7)&gt;9.5,(hour(S887+X$7)&lt;19.5)),S887+X$7,_xlfn.workday.intl(int(S887),1,"0000001",Holidays!A:A)+hour(S887+X$7-$B$1)/24+minute(S887)/1440),"")</f>
        <v/>
      </c>
      <c r="Y887" s="104"/>
      <c r="Z887" s="105"/>
      <c r="AA887" s="111" t="str">
        <f t="shared" si="4"/>
        <v/>
      </c>
      <c r="AB887" s="110" t="str">
        <f t="shared" si="5"/>
        <v/>
      </c>
      <c r="AC887" s="103" t="str">
        <f>if(X887,_xlfn.WORKDAY.INTL(X887,AC$7,"0000001",Holidays!A:A)+hour(X887)/24+MINUTE(X887)/1440,"")</f>
        <v/>
      </c>
      <c r="AD887" s="104"/>
      <c r="AE887" s="105"/>
      <c r="AF887" s="111" t="str">
        <f t="shared" si="6"/>
        <v/>
      </c>
      <c r="AG887" s="110" t="str">
        <f t="shared" si="7"/>
        <v/>
      </c>
      <c r="AH887" s="103" t="str">
        <f>if(AC887,if(and(hour(AC887+AH$7)&gt;9.5,(hour(AC887+AH$7)&lt;19.5)),AC887+AH$7,_xlfn.workday.intl(int(AC887),1,"0000001",Holidays!A:A)+hour(AC887+AH$7-$B$1)/24+minute(AC887)/1440),"")</f>
        <v/>
      </c>
      <c r="AI887" s="104"/>
      <c r="AJ887" s="105"/>
      <c r="AK887" s="111" t="str">
        <f t="shared" si="8"/>
        <v/>
      </c>
      <c r="AL887" s="112" t="str">
        <f t="shared" si="9"/>
        <v/>
      </c>
      <c r="AM887" s="113"/>
      <c r="AN887" s="291" t="s">
        <v>2540</v>
      </c>
      <c r="AO887" s="115"/>
      <c r="AP887" s="115"/>
      <c r="AQ887" s="115"/>
      <c r="AR887" s="115"/>
      <c r="AS887" s="115"/>
      <c r="AT887" s="115"/>
      <c r="AU887" s="115"/>
      <c r="AV887" s="115"/>
      <c r="AW887" s="115"/>
      <c r="AX887" s="115"/>
      <c r="AY887" s="115"/>
    </row>
    <row r="888">
      <c r="A888" s="95" t="str">
        <f t="shared" si="11"/>
        <v/>
      </c>
      <c r="B888" s="100"/>
      <c r="C888" s="97"/>
      <c r="D888" s="97"/>
      <c r="E888" s="97"/>
      <c r="F888" s="97"/>
      <c r="G888" s="97"/>
      <c r="H888" s="99"/>
      <c r="I888" s="100"/>
      <c r="J888" s="101"/>
      <c r="K888" s="100"/>
      <c r="L888" s="102"/>
      <c r="M888" s="103" t="str">
        <f>if(B888,if(and(hour(B888+M$7)&gt;9.5,(hour(B888+M$7)&lt;19.5)),B888+M$7,_xlfn.workday.intl(int(B888),1,"0000001",Holidays!A:A)+hour(B888+M$7-$B$1)/24+minute(B888)/1440),"")</f>
        <v/>
      </c>
      <c r="N888" s="104"/>
      <c r="O888" s="105"/>
      <c r="P888" s="106" t="str">
        <f t="shared" si="1"/>
        <v/>
      </c>
      <c r="Q888" s="107"/>
      <c r="R888" s="108"/>
      <c r="S888" s="103" t="str">
        <f>if(M888,if(and(hour(M888+S$7)&gt;9.5,(hour(M888+S$7)&lt;19.5)),M888+S$7,_xlfn.workday.intl(int(M888),1,"0000001",Holidays!A:A)+hour(M888+S$7-$B$1)/24+minute(M888)/1440),"")</f>
        <v/>
      </c>
      <c r="T888" s="104"/>
      <c r="U888" s="105"/>
      <c r="V888" s="109" t="str">
        <f t="shared" si="2"/>
        <v/>
      </c>
      <c r="W888" s="110" t="str">
        <f t="shared" si="3"/>
        <v/>
      </c>
      <c r="X888" s="103" t="str">
        <f>if(S888,if(and(hour(S888+X$7)&gt;9.5,(hour(S888+X$7)&lt;19.5)),S888+X$7,_xlfn.workday.intl(int(S888),1,"0000001",Holidays!A:A)+hour(S888+X$7-$B$1)/24+minute(S888)/1440),"")</f>
        <v/>
      </c>
      <c r="Y888" s="104"/>
      <c r="Z888" s="105"/>
      <c r="AA888" s="111" t="str">
        <f t="shared" si="4"/>
        <v/>
      </c>
      <c r="AB888" s="110" t="str">
        <f t="shared" si="5"/>
        <v/>
      </c>
      <c r="AC888" s="103" t="str">
        <f>if(X888,_xlfn.WORKDAY.INTL(X888,AC$7,"0000001",Holidays!A:A)+hour(X888)/24+MINUTE(X888)/1440,"")</f>
        <v/>
      </c>
      <c r="AD888" s="104"/>
      <c r="AE888" s="105"/>
      <c r="AF888" s="111" t="str">
        <f t="shared" si="6"/>
        <v/>
      </c>
      <c r="AG888" s="110" t="str">
        <f t="shared" si="7"/>
        <v/>
      </c>
      <c r="AH888" s="103" t="str">
        <f>if(AC888,if(and(hour(AC888+AH$7)&gt;9.5,(hour(AC888+AH$7)&lt;19.5)),AC888+AH$7,_xlfn.workday.intl(int(AC888),1,"0000001",Holidays!A:A)+hour(AC888+AH$7-$B$1)/24+minute(AC888)/1440),"")</f>
        <v/>
      </c>
      <c r="AI888" s="104"/>
      <c r="AJ888" s="105"/>
      <c r="AK888" s="111" t="str">
        <f t="shared" si="8"/>
        <v/>
      </c>
      <c r="AL888" s="112" t="str">
        <f t="shared" si="9"/>
        <v/>
      </c>
      <c r="AM888" s="113"/>
      <c r="AN888" s="291" t="s">
        <v>2540</v>
      </c>
      <c r="AO888" s="115"/>
      <c r="AP888" s="115"/>
      <c r="AQ888" s="115"/>
      <c r="AR888" s="115"/>
      <c r="AS888" s="115"/>
      <c r="AT888" s="115"/>
      <c r="AU888" s="115"/>
      <c r="AV888" s="115"/>
      <c r="AW888" s="115"/>
      <c r="AX888" s="115"/>
      <c r="AY888" s="115"/>
    </row>
    <row r="889">
      <c r="A889" s="95" t="str">
        <f t="shared" si="11"/>
        <v/>
      </c>
      <c r="B889" s="100"/>
      <c r="C889" s="97"/>
      <c r="D889" s="97"/>
      <c r="E889" s="97"/>
      <c r="F889" s="97"/>
      <c r="G889" s="97"/>
      <c r="H889" s="99"/>
      <c r="I889" s="100"/>
      <c r="J889" s="101"/>
      <c r="K889" s="100"/>
      <c r="L889" s="102"/>
      <c r="M889" s="103" t="str">
        <f>if(B889,if(and(hour(B889+M$7)&gt;9.5,(hour(B889+M$7)&lt;19.5)),B889+M$7,_xlfn.workday.intl(int(B889),1,"0000001",Holidays!A:A)+hour(B889+M$7-$B$1)/24+minute(B889)/1440),"")</f>
        <v/>
      </c>
      <c r="N889" s="104"/>
      <c r="O889" s="105"/>
      <c r="P889" s="106" t="str">
        <f t="shared" si="1"/>
        <v/>
      </c>
      <c r="Q889" s="107"/>
      <c r="R889" s="108"/>
      <c r="S889" s="103" t="str">
        <f>if(M889,if(and(hour(M889+S$7)&gt;9.5,(hour(M889+S$7)&lt;19.5)),M889+S$7,_xlfn.workday.intl(int(M889),1,"0000001",Holidays!A:A)+hour(M889+S$7-$B$1)/24+minute(M889)/1440),"")</f>
        <v/>
      </c>
      <c r="T889" s="104"/>
      <c r="U889" s="105"/>
      <c r="V889" s="109" t="str">
        <f t="shared" si="2"/>
        <v/>
      </c>
      <c r="W889" s="110" t="str">
        <f t="shared" si="3"/>
        <v/>
      </c>
      <c r="X889" s="103" t="str">
        <f>if(S889,if(and(hour(S889+X$7)&gt;9.5,(hour(S889+X$7)&lt;19.5)),S889+X$7,_xlfn.workday.intl(int(S889),1,"0000001",Holidays!A:A)+hour(S889+X$7-$B$1)/24+minute(S889)/1440),"")</f>
        <v/>
      </c>
      <c r="Y889" s="104"/>
      <c r="Z889" s="105"/>
      <c r="AA889" s="111" t="str">
        <f t="shared" si="4"/>
        <v/>
      </c>
      <c r="AB889" s="110" t="str">
        <f t="shared" si="5"/>
        <v/>
      </c>
      <c r="AC889" s="103" t="str">
        <f>if(X889,_xlfn.WORKDAY.INTL(X889,AC$7,"0000001",Holidays!A:A)+hour(X889)/24+MINUTE(X889)/1440,"")</f>
        <v/>
      </c>
      <c r="AD889" s="104"/>
      <c r="AE889" s="105"/>
      <c r="AF889" s="111" t="str">
        <f t="shared" si="6"/>
        <v/>
      </c>
      <c r="AG889" s="110" t="str">
        <f t="shared" si="7"/>
        <v/>
      </c>
      <c r="AH889" s="103" t="str">
        <f>if(AC889,if(and(hour(AC889+AH$7)&gt;9.5,(hour(AC889+AH$7)&lt;19.5)),AC889+AH$7,_xlfn.workday.intl(int(AC889),1,"0000001",Holidays!A:A)+hour(AC889+AH$7-$B$1)/24+minute(AC889)/1440),"")</f>
        <v/>
      </c>
      <c r="AI889" s="104"/>
      <c r="AJ889" s="105"/>
      <c r="AK889" s="111" t="str">
        <f t="shared" si="8"/>
        <v/>
      </c>
      <c r="AL889" s="112" t="str">
        <f t="shared" si="9"/>
        <v/>
      </c>
      <c r="AM889" s="113"/>
      <c r="AN889" s="291" t="s">
        <v>2540</v>
      </c>
      <c r="AO889" s="115"/>
      <c r="AP889" s="115"/>
      <c r="AQ889" s="115"/>
      <c r="AR889" s="115"/>
      <c r="AS889" s="115"/>
      <c r="AT889" s="115"/>
      <c r="AU889" s="115"/>
      <c r="AV889" s="115"/>
      <c r="AW889" s="115"/>
      <c r="AX889" s="115"/>
      <c r="AY889" s="115"/>
    </row>
    <row r="890">
      <c r="A890" s="95" t="str">
        <f t="shared" si="11"/>
        <v/>
      </c>
      <c r="B890" s="100"/>
      <c r="C890" s="97"/>
      <c r="D890" s="97"/>
      <c r="E890" s="97"/>
      <c r="F890" s="97"/>
      <c r="G890" s="97"/>
      <c r="H890" s="99"/>
      <c r="I890" s="100"/>
      <c r="J890" s="101"/>
      <c r="K890" s="100"/>
      <c r="L890" s="102"/>
      <c r="M890" s="103" t="str">
        <f>if(B890,if(and(hour(B890+M$7)&gt;9.5,(hour(B890+M$7)&lt;19.5)),B890+M$7,_xlfn.workday.intl(int(B890),1,"0000001",Holidays!A:A)+hour(B890+M$7-$B$1)/24+minute(B890)/1440),"")</f>
        <v/>
      </c>
      <c r="N890" s="104"/>
      <c r="O890" s="105"/>
      <c r="P890" s="106" t="str">
        <f t="shared" si="1"/>
        <v/>
      </c>
      <c r="Q890" s="107"/>
      <c r="R890" s="108"/>
      <c r="S890" s="103" t="str">
        <f>if(M890,if(and(hour(M890+S$7)&gt;9.5,(hour(M890+S$7)&lt;19.5)),M890+S$7,_xlfn.workday.intl(int(M890),1,"0000001",Holidays!A:A)+hour(M890+S$7-$B$1)/24+minute(M890)/1440),"")</f>
        <v/>
      </c>
      <c r="T890" s="104"/>
      <c r="U890" s="105"/>
      <c r="V890" s="109" t="str">
        <f t="shared" si="2"/>
        <v/>
      </c>
      <c r="W890" s="110" t="str">
        <f t="shared" si="3"/>
        <v/>
      </c>
      <c r="X890" s="103" t="str">
        <f>if(S890,if(and(hour(S890+X$7)&gt;9.5,(hour(S890+X$7)&lt;19.5)),S890+X$7,_xlfn.workday.intl(int(S890),1,"0000001",Holidays!A:A)+hour(S890+X$7-$B$1)/24+minute(S890)/1440),"")</f>
        <v/>
      </c>
      <c r="Y890" s="104"/>
      <c r="Z890" s="105"/>
      <c r="AA890" s="111" t="str">
        <f t="shared" si="4"/>
        <v/>
      </c>
      <c r="AB890" s="110" t="str">
        <f t="shared" si="5"/>
        <v/>
      </c>
      <c r="AC890" s="103" t="str">
        <f>if(X890,_xlfn.WORKDAY.INTL(X890,AC$7,"0000001",Holidays!A:A)+hour(X890)/24+MINUTE(X890)/1440,"")</f>
        <v/>
      </c>
      <c r="AD890" s="104"/>
      <c r="AE890" s="105"/>
      <c r="AF890" s="111" t="str">
        <f t="shared" si="6"/>
        <v/>
      </c>
      <c r="AG890" s="110" t="str">
        <f t="shared" si="7"/>
        <v/>
      </c>
      <c r="AH890" s="103" t="str">
        <f>if(AC890,if(and(hour(AC890+AH$7)&gt;9.5,(hour(AC890+AH$7)&lt;19.5)),AC890+AH$7,_xlfn.workday.intl(int(AC890),1,"0000001",Holidays!A:A)+hour(AC890+AH$7-$B$1)/24+minute(AC890)/1440),"")</f>
        <v/>
      </c>
      <c r="AI890" s="104"/>
      <c r="AJ890" s="105"/>
      <c r="AK890" s="111" t="str">
        <f t="shared" si="8"/>
        <v/>
      </c>
      <c r="AL890" s="112" t="str">
        <f t="shared" si="9"/>
        <v/>
      </c>
      <c r="AM890" s="113"/>
      <c r="AN890" s="291" t="s">
        <v>2540</v>
      </c>
      <c r="AO890" s="115"/>
      <c r="AP890" s="115"/>
      <c r="AQ890" s="115"/>
      <c r="AR890" s="115"/>
      <c r="AS890" s="115"/>
      <c r="AT890" s="115"/>
      <c r="AU890" s="115"/>
      <c r="AV890" s="115"/>
      <c r="AW890" s="115"/>
      <c r="AX890" s="115"/>
      <c r="AY890" s="115"/>
    </row>
    <row r="891">
      <c r="A891" s="95" t="str">
        <f t="shared" si="11"/>
        <v/>
      </c>
      <c r="B891" s="100"/>
      <c r="C891" s="97"/>
      <c r="D891" s="97"/>
      <c r="E891" s="97"/>
      <c r="F891" s="97"/>
      <c r="G891" s="97"/>
      <c r="H891" s="99"/>
      <c r="I891" s="100"/>
      <c r="J891" s="101"/>
      <c r="K891" s="100"/>
      <c r="L891" s="102"/>
      <c r="M891" s="103" t="str">
        <f>if(B891,if(and(hour(B891+M$7)&gt;9.5,(hour(B891+M$7)&lt;19.5)),B891+M$7,_xlfn.workday.intl(int(B891),1,"0000001",Holidays!A:A)+hour(B891+M$7-$B$1)/24+minute(B891)/1440),"")</f>
        <v/>
      </c>
      <c r="N891" s="104"/>
      <c r="O891" s="105"/>
      <c r="P891" s="106" t="str">
        <f t="shared" si="1"/>
        <v/>
      </c>
      <c r="Q891" s="107"/>
      <c r="R891" s="108"/>
      <c r="S891" s="103" t="str">
        <f>if(M891,if(and(hour(M891+S$7)&gt;9.5,(hour(M891+S$7)&lt;19.5)),M891+S$7,_xlfn.workday.intl(int(M891),1,"0000001",Holidays!A:A)+hour(M891+S$7-$B$1)/24+minute(M891)/1440),"")</f>
        <v/>
      </c>
      <c r="T891" s="104"/>
      <c r="U891" s="105"/>
      <c r="V891" s="109" t="str">
        <f t="shared" si="2"/>
        <v/>
      </c>
      <c r="W891" s="110" t="str">
        <f t="shared" si="3"/>
        <v/>
      </c>
      <c r="X891" s="103" t="str">
        <f>if(S891,if(and(hour(S891+X$7)&gt;9.5,(hour(S891+X$7)&lt;19.5)),S891+X$7,_xlfn.workday.intl(int(S891),1,"0000001",Holidays!A:A)+hour(S891+X$7-$B$1)/24+minute(S891)/1440),"")</f>
        <v/>
      </c>
      <c r="Y891" s="104"/>
      <c r="Z891" s="105"/>
      <c r="AA891" s="111" t="str">
        <f t="shared" si="4"/>
        <v/>
      </c>
      <c r="AB891" s="110" t="str">
        <f t="shared" si="5"/>
        <v/>
      </c>
      <c r="AC891" s="103" t="str">
        <f>if(X891,_xlfn.WORKDAY.INTL(X891,AC$7,"0000001",Holidays!A:A)+hour(X891)/24+MINUTE(X891)/1440,"")</f>
        <v/>
      </c>
      <c r="AD891" s="104"/>
      <c r="AE891" s="105"/>
      <c r="AF891" s="111" t="str">
        <f t="shared" si="6"/>
        <v/>
      </c>
      <c r="AG891" s="110" t="str">
        <f t="shared" si="7"/>
        <v/>
      </c>
      <c r="AH891" s="103" t="str">
        <f>if(AC891,if(and(hour(AC891+AH$7)&gt;9.5,(hour(AC891+AH$7)&lt;19.5)),AC891+AH$7,_xlfn.workday.intl(int(AC891),1,"0000001",Holidays!A:A)+hour(AC891+AH$7-$B$1)/24+minute(AC891)/1440),"")</f>
        <v/>
      </c>
      <c r="AI891" s="104"/>
      <c r="AJ891" s="105"/>
      <c r="AK891" s="111" t="str">
        <f t="shared" si="8"/>
        <v/>
      </c>
      <c r="AL891" s="112" t="str">
        <f t="shared" si="9"/>
        <v/>
      </c>
      <c r="AM891" s="113"/>
      <c r="AN891" s="291" t="s">
        <v>2540</v>
      </c>
      <c r="AO891" s="115"/>
      <c r="AP891" s="115"/>
      <c r="AQ891" s="115"/>
      <c r="AR891" s="115"/>
      <c r="AS891" s="115"/>
      <c r="AT891" s="115"/>
      <c r="AU891" s="115"/>
      <c r="AV891" s="115"/>
      <c r="AW891" s="115"/>
      <c r="AX891" s="115"/>
      <c r="AY891" s="115"/>
    </row>
    <row r="892">
      <c r="A892" s="95" t="str">
        <f t="shared" si="11"/>
        <v/>
      </c>
      <c r="B892" s="100"/>
      <c r="C892" s="97"/>
      <c r="D892" s="97"/>
      <c r="E892" s="97"/>
      <c r="F892" s="97"/>
      <c r="G892" s="97"/>
      <c r="H892" s="99"/>
      <c r="I892" s="100"/>
      <c r="J892" s="101"/>
      <c r="K892" s="100"/>
      <c r="L892" s="102"/>
      <c r="M892" s="103" t="str">
        <f>if(B892,if(and(hour(B892+M$7)&gt;9.5,(hour(B892+M$7)&lt;19.5)),B892+M$7,_xlfn.workday.intl(int(B892),1,"0000001",Holidays!A:A)+hour(B892+M$7-$B$1)/24+minute(B892)/1440),"")</f>
        <v/>
      </c>
      <c r="N892" s="104"/>
      <c r="O892" s="105"/>
      <c r="P892" s="106" t="str">
        <f t="shared" si="1"/>
        <v/>
      </c>
      <c r="Q892" s="107"/>
      <c r="R892" s="108"/>
      <c r="S892" s="103" t="str">
        <f>if(M892,if(and(hour(M892+S$7)&gt;9.5,(hour(M892+S$7)&lt;19.5)),M892+S$7,_xlfn.workday.intl(int(M892),1,"0000001",Holidays!A:A)+hour(M892+S$7-$B$1)/24+minute(M892)/1440),"")</f>
        <v/>
      </c>
      <c r="T892" s="104"/>
      <c r="U892" s="105"/>
      <c r="V892" s="109" t="str">
        <f t="shared" si="2"/>
        <v/>
      </c>
      <c r="W892" s="110" t="str">
        <f t="shared" si="3"/>
        <v/>
      </c>
      <c r="X892" s="103" t="str">
        <f>if(S892,if(and(hour(S892+X$7)&gt;9.5,(hour(S892+X$7)&lt;19.5)),S892+X$7,_xlfn.workday.intl(int(S892),1,"0000001",Holidays!A:A)+hour(S892+X$7-$B$1)/24+minute(S892)/1440),"")</f>
        <v/>
      </c>
      <c r="Y892" s="104"/>
      <c r="Z892" s="105"/>
      <c r="AA892" s="111" t="str">
        <f t="shared" si="4"/>
        <v/>
      </c>
      <c r="AB892" s="110" t="str">
        <f t="shared" si="5"/>
        <v/>
      </c>
      <c r="AC892" s="103" t="str">
        <f>if(X892,_xlfn.WORKDAY.INTL(X892,AC$7,"0000001",Holidays!A:A)+hour(X892)/24+MINUTE(X892)/1440,"")</f>
        <v/>
      </c>
      <c r="AD892" s="104"/>
      <c r="AE892" s="105"/>
      <c r="AF892" s="111" t="str">
        <f t="shared" si="6"/>
        <v/>
      </c>
      <c r="AG892" s="110" t="str">
        <f t="shared" si="7"/>
        <v/>
      </c>
      <c r="AH892" s="103" t="str">
        <f>if(AC892,if(and(hour(AC892+AH$7)&gt;9.5,(hour(AC892+AH$7)&lt;19.5)),AC892+AH$7,_xlfn.workday.intl(int(AC892),1,"0000001",Holidays!A:A)+hour(AC892+AH$7-$B$1)/24+minute(AC892)/1440),"")</f>
        <v/>
      </c>
      <c r="AI892" s="104"/>
      <c r="AJ892" s="105"/>
      <c r="AK892" s="111" t="str">
        <f t="shared" si="8"/>
        <v/>
      </c>
      <c r="AL892" s="112" t="str">
        <f t="shared" si="9"/>
        <v/>
      </c>
      <c r="AM892" s="113"/>
      <c r="AN892" s="291" t="s">
        <v>2540</v>
      </c>
      <c r="AO892" s="115"/>
      <c r="AP892" s="115"/>
      <c r="AQ892" s="115"/>
      <c r="AR892" s="115"/>
      <c r="AS892" s="115"/>
      <c r="AT892" s="115"/>
      <c r="AU892" s="115"/>
      <c r="AV892" s="115"/>
      <c r="AW892" s="115"/>
      <c r="AX892" s="115"/>
      <c r="AY892" s="115"/>
    </row>
    <row r="893">
      <c r="A893" s="95" t="str">
        <f t="shared" si="11"/>
        <v/>
      </c>
      <c r="B893" s="100"/>
      <c r="C893" s="97"/>
      <c r="D893" s="97"/>
      <c r="E893" s="97"/>
      <c r="F893" s="97"/>
      <c r="G893" s="97"/>
      <c r="H893" s="99"/>
      <c r="I893" s="100"/>
      <c r="J893" s="101"/>
      <c r="K893" s="100"/>
      <c r="L893" s="102"/>
      <c r="M893" s="103" t="str">
        <f>if(B893,if(and(hour(B893+M$7)&gt;9.5,(hour(B893+M$7)&lt;19.5)),B893+M$7,_xlfn.workday.intl(int(B893),1,"0000001",Holidays!A:A)+hour(B893+M$7-$B$1)/24+minute(B893)/1440),"")</f>
        <v/>
      </c>
      <c r="N893" s="104"/>
      <c r="O893" s="105"/>
      <c r="P893" s="106" t="str">
        <f t="shared" si="1"/>
        <v/>
      </c>
      <c r="Q893" s="107"/>
      <c r="R893" s="108"/>
      <c r="S893" s="103" t="str">
        <f>if(M893,if(and(hour(M893+S$7)&gt;9.5,(hour(M893+S$7)&lt;19.5)),M893+S$7,_xlfn.workday.intl(int(M893),1,"0000001",Holidays!A:A)+hour(M893+S$7-$B$1)/24+minute(M893)/1440),"")</f>
        <v/>
      </c>
      <c r="T893" s="104"/>
      <c r="U893" s="105"/>
      <c r="V893" s="109" t="str">
        <f t="shared" si="2"/>
        <v/>
      </c>
      <c r="W893" s="110" t="str">
        <f t="shared" si="3"/>
        <v/>
      </c>
      <c r="X893" s="103" t="str">
        <f>if(S893,if(and(hour(S893+X$7)&gt;9.5,(hour(S893+X$7)&lt;19.5)),S893+X$7,_xlfn.workday.intl(int(S893),1,"0000001",Holidays!A:A)+hour(S893+X$7-$B$1)/24+minute(S893)/1440),"")</f>
        <v/>
      </c>
      <c r="Y893" s="104"/>
      <c r="Z893" s="105"/>
      <c r="AA893" s="111" t="str">
        <f t="shared" si="4"/>
        <v/>
      </c>
      <c r="AB893" s="110" t="str">
        <f t="shared" si="5"/>
        <v/>
      </c>
      <c r="AC893" s="103" t="str">
        <f>if(X893,_xlfn.WORKDAY.INTL(X893,AC$7,"0000001",Holidays!A:A)+hour(X893)/24+MINUTE(X893)/1440,"")</f>
        <v/>
      </c>
      <c r="AD893" s="104"/>
      <c r="AE893" s="105"/>
      <c r="AF893" s="111" t="str">
        <f t="shared" si="6"/>
        <v/>
      </c>
      <c r="AG893" s="110" t="str">
        <f t="shared" si="7"/>
        <v/>
      </c>
      <c r="AH893" s="103" t="str">
        <f>if(AC893,if(and(hour(AC893+AH$7)&gt;9.5,(hour(AC893+AH$7)&lt;19.5)),AC893+AH$7,_xlfn.workday.intl(int(AC893),1,"0000001",Holidays!A:A)+hour(AC893+AH$7-$B$1)/24+minute(AC893)/1440),"")</f>
        <v/>
      </c>
      <c r="AI893" s="104"/>
      <c r="AJ893" s="105"/>
      <c r="AK893" s="111" t="str">
        <f t="shared" si="8"/>
        <v/>
      </c>
      <c r="AL893" s="112" t="str">
        <f t="shared" si="9"/>
        <v/>
      </c>
      <c r="AM893" s="113"/>
      <c r="AN893" s="291" t="s">
        <v>2540</v>
      </c>
      <c r="AO893" s="115"/>
      <c r="AP893" s="115"/>
      <c r="AQ893" s="115"/>
      <c r="AR893" s="115"/>
      <c r="AS893" s="115"/>
      <c r="AT893" s="115"/>
      <c r="AU893" s="115"/>
      <c r="AV893" s="115"/>
      <c r="AW893" s="115"/>
      <c r="AX893" s="115"/>
      <c r="AY893" s="115"/>
    </row>
    <row r="894">
      <c r="A894" s="95" t="str">
        <f t="shared" si="11"/>
        <v/>
      </c>
      <c r="B894" s="100"/>
      <c r="C894" s="97"/>
      <c r="D894" s="97"/>
      <c r="E894" s="97"/>
      <c r="F894" s="97"/>
      <c r="G894" s="97"/>
      <c r="H894" s="99"/>
      <c r="I894" s="100"/>
      <c r="J894" s="101"/>
      <c r="K894" s="100"/>
      <c r="L894" s="102"/>
      <c r="M894" s="103" t="str">
        <f>if(B894,if(and(hour(B894+M$7)&gt;9.5,(hour(B894+M$7)&lt;19.5)),B894+M$7,_xlfn.workday.intl(int(B894),1,"0000001",Holidays!A:A)+hour(B894+M$7-$B$1)/24+minute(B894)/1440),"")</f>
        <v/>
      </c>
      <c r="N894" s="104"/>
      <c r="O894" s="105"/>
      <c r="P894" s="106" t="str">
        <f t="shared" si="1"/>
        <v/>
      </c>
      <c r="Q894" s="107"/>
      <c r="R894" s="108"/>
      <c r="S894" s="103" t="str">
        <f>if(M894,if(and(hour(M894+S$7)&gt;9.5,(hour(M894+S$7)&lt;19.5)),M894+S$7,_xlfn.workday.intl(int(M894),1,"0000001",Holidays!A:A)+hour(M894+S$7-$B$1)/24+minute(M894)/1440),"")</f>
        <v/>
      </c>
      <c r="T894" s="104"/>
      <c r="U894" s="105"/>
      <c r="V894" s="109" t="str">
        <f t="shared" si="2"/>
        <v/>
      </c>
      <c r="W894" s="110" t="str">
        <f t="shared" si="3"/>
        <v/>
      </c>
      <c r="X894" s="103" t="str">
        <f>if(S894,if(and(hour(S894+X$7)&gt;9.5,(hour(S894+X$7)&lt;19.5)),S894+X$7,_xlfn.workday.intl(int(S894),1,"0000001",Holidays!A:A)+hour(S894+X$7-$B$1)/24+minute(S894)/1440),"")</f>
        <v/>
      </c>
      <c r="Y894" s="104"/>
      <c r="Z894" s="105"/>
      <c r="AA894" s="111" t="str">
        <f t="shared" si="4"/>
        <v/>
      </c>
      <c r="AB894" s="110" t="str">
        <f t="shared" si="5"/>
        <v/>
      </c>
      <c r="AC894" s="103" t="str">
        <f>if(X894,_xlfn.WORKDAY.INTL(X894,AC$7,"0000001",Holidays!A:A)+hour(X894)/24+MINUTE(X894)/1440,"")</f>
        <v/>
      </c>
      <c r="AD894" s="104"/>
      <c r="AE894" s="105"/>
      <c r="AF894" s="111" t="str">
        <f t="shared" si="6"/>
        <v/>
      </c>
      <c r="AG894" s="110" t="str">
        <f t="shared" si="7"/>
        <v/>
      </c>
      <c r="AH894" s="103" t="str">
        <f>if(AC894,if(and(hour(AC894+AH$7)&gt;9.5,(hour(AC894+AH$7)&lt;19.5)),AC894+AH$7,_xlfn.workday.intl(int(AC894),1,"0000001",Holidays!A:A)+hour(AC894+AH$7-$B$1)/24+minute(AC894)/1440),"")</f>
        <v/>
      </c>
      <c r="AI894" s="104"/>
      <c r="AJ894" s="105"/>
      <c r="AK894" s="111" t="str">
        <f t="shared" si="8"/>
        <v/>
      </c>
      <c r="AL894" s="112" t="str">
        <f t="shared" si="9"/>
        <v/>
      </c>
      <c r="AM894" s="113"/>
      <c r="AN894" s="291" t="s">
        <v>2540</v>
      </c>
      <c r="AO894" s="115"/>
      <c r="AP894" s="115"/>
      <c r="AQ894" s="115"/>
      <c r="AR894" s="115"/>
      <c r="AS894" s="115"/>
      <c r="AT894" s="115"/>
      <c r="AU894" s="115"/>
      <c r="AV894" s="115"/>
      <c r="AW894" s="115"/>
      <c r="AX894" s="115"/>
      <c r="AY894" s="115"/>
    </row>
    <row r="895">
      <c r="A895" s="95" t="str">
        <f t="shared" si="11"/>
        <v/>
      </c>
      <c r="B895" s="100"/>
      <c r="C895" s="97"/>
      <c r="D895" s="97"/>
      <c r="E895" s="97"/>
      <c r="F895" s="97"/>
      <c r="G895" s="97"/>
      <c r="H895" s="99"/>
      <c r="I895" s="100"/>
      <c r="J895" s="101"/>
      <c r="K895" s="100"/>
      <c r="L895" s="102"/>
      <c r="M895" s="103" t="str">
        <f>if(B895,if(and(hour(B895+M$7)&gt;9.5,(hour(B895+M$7)&lt;19.5)),B895+M$7,_xlfn.workday.intl(int(B895),1,"0000001",Holidays!A:A)+hour(B895+M$7-$B$1)/24+minute(B895)/1440),"")</f>
        <v/>
      </c>
      <c r="N895" s="104"/>
      <c r="O895" s="105"/>
      <c r="P895" s="106" t="str">
        <f t="shared" si="1"/>
        <v/>
      </c>
      <c r="Q895" s="107"/>
      <c r="R895" s="108"/>
      <c r="S895" s="103" t="str">
        <f>if(M895,if(and(hour(M895+S$7)&gt;9.5,(hour(M895+S$7)&lt;19.5)),M895+S$7,_xlfn.workday.intl(int(M895),1,"0000001",Holidays!A:A)+hour(M895+S$7-$B$1)/24+minute(M895)/1440),"")</f>
        <v/>
      </c>
      <c r="T895" s="104"/>
      <c r="U895" s="105"/>
      <c r="V895" s="109" t="str">
        <f t="shared" si="2"/>
        <v/>
      </c>
      <c r="W895" s="110" t="str">
        <f t="shared" si="3"/>
        <v/>
      </c>
      <c r="X895" s="103" t="str">
        <f>if(S895,if(and(hour(S895+X$7)&gt;9.5,(hour(S895+X$7)&lt;19.5)),S895+X$7,_xlfn.workday.intl(int(S895),1,"0000001",Holidays!A:A)+hour(S895+X$7-$B$1)/24+minute(S895)/1440),"")</f>
        <v/>
      </c>
      <c r="Y895" s="104"/>
      <c r="Z895" s="105"/>
      <c r="AA895" s="111" t="str">
        <f t="shared" si="4"/>
        <v/>
      </c>
      <c r="AB895" s="110" t="str">
        <f t="shared" si="5"/>
        <v/>
      </c>
      <c r="AC895" s="103" t="str">
        <f>if(X895,_xlfn.WORKDAY.INTL(X895,AC$7,"0000001",Holidays!A:A)+hour(X895)/24+MINUTE(X895)/1440,"")</f>
        <v/>
      </c>
      <c r="AD895" s="104"/>
      <c r="AE895" s="105"/>
      <c r="AF895" s="111" t="str">
        <f t="shared" si="6"/>
        <v/>
      </c>
      <c r="AG895" s="110" t="str">
        <f t="shared" si="7"/>
        <v/>
      </c>
      <c r="AH895" s="103" t="str">
        <f>if(AC895,if(and(hour(AC895+AH$7)&gt;9.5,(hour(AC895+AH$7)&lt;19.5)),AC895+AH$7,_xlfn.workday.intl(int(AC895),1,"0000001",Holidays!A:A)+hour(AC895+AH$7-$B$1)/24+minute(AC895)/1440),"")</f>
        <v/>
      </c>
      <c r="AI895" s="104"/>
      <c r="AJ895" s="105"/>
      <c r="AK895" s="111" t="str">
        <f t="shared" si="8"/>
        <v/>
      </c>
      <c r="AL895" s="112" t="str">
        <f t="shared" si="9"/>
        <v/>
      </c>
      <c r="AM895" s="113"/>
      <c r="AN895" s="291" t="s">
        <v>2540</v>
      </c>
      <c r="AO895" s="115"/>
      <c r="AP895" s="115"/>
      <c r="AQ895" s="115"/>
      <c r="AR895" s="115"/>
      <c r="AS895" s="115"/>
      <c r="AT895" s="115"/>
      <c r="AU895" s="115"/>
      <c r="AV895" s="115"/>
      <c r="AW895" s="115"/>
      <c r="AX895" s="115"/>
      <c r="AY895" s="115"/>
    </row>
    <row r="896">
      <c r="A896" s="95" t="str">
        <f t="shared" si="11"/>
        <v/>
      </c>
      <c r="B896" s="100"/>
      <c r="C896" s="97"/>
      <c r="D896" s="97"/>
      <c r="E896" s="97"/>
      <c r="F896" s="97"/>
      <c r="G896" s="97"/>
      <c r="H896" s="99"/>
      <c r="I896" s="100"/>
      <c r="J896" s="101"/>
      <c r="K896" s="100"/>
      <c r="L896" s="102"/>
      <c r="M896" s="103" t="str">
        <f>if(B896,if(and(hour(B896+M$7)&gt;9.5,(hour(B896+M$7)&lt;19.5)),B896+M$7,_xlfn.workday.intl(int(B896),1,"0000001",Holidays!A:A)+hour(B896+M$7-$B$1)/24+minute(B896)/1440),"")</f>
        <v/>
      </c>
      <c r="N896" s="104"/>
      <c r="O896" s="105"/>
      <c r="P896" s="106" t="str">
        <f t="shared" si="1"/>
        <v/>
      </c>
      <c r="Q896" s="107"/>
      <c r="R896" s="108"/>
      <c r="S896" s="103" t="str">
        <f>if(M896,if(and(hour(M896+S$7)&gt;9.5,(hour(M896+S$7)&lt;19.5)),M896+S$7,_xlfn.workday.intl(int(M896),1,"0000001",Holidays!A:A)+hour(M896+S$7-$B$1)/24+minute(M896)/1440),"")</f>
        <v/>
      </c>
      <c r="T896" s="104"/>
      <c r="U896" s="105"/>
      <c r="V896" s="109" t="str">
        <f t="shared" si="2"/>
        <v/>
      </c>
      <c r="W896" s="110" t="str">
        <f t="shared" si="3"/>
        <v/>
      </c>
      <c r="X896" s="103" t="str">
        <f>if(S896,if(and(hour(S896+X$7)&gt;9.5,(hour(S896+X$7)&lt;19.5)),S896+X$7,_xlfn.workday.intl(int(S896),1,"0000001",Holidays!A:A)+hour(S896+X$7-$B$1)/24+minute(S896)/1440),"")</f>
        <v/>
      </c>
      <c r="Y896" s="104"/>
      <c r="Z896" s="105"/>
      <c r="AA896" s="111" t="str">
        <f t="shared" si="4"/>
        <v/>
      </c>
      <c r="AB896" s="110" t="str">
        <f t="shared" si="5"/>
        <v/>
      </c>
      <c r="AC896" s="103" t="str">
        <f>if(X896,_xlfn.WORKDAY.INTL(X896,AC$7,"0000001",Holidays!A:A)+hour(X896)/24+MINUTE(X896)/1440,"")</f>
        <v/>
      </c>
      <c r="AD896" s="104"/>
      <c r="AE896" s="105"/>
      <c r="AF896" s="111" t="str">
        <f t="shared" si="6"/>
        <v/>
      </c>
      <c r="AG896" s="110" t="str">
        <f t="shared" si="7"/>
        <v/>
      </c>
      <c r="AH896" s="103" t="str">
        <f>if(AC896,if(and(hour(AC896+AH$7)&gt;9.5,(hour(AC896+AH$7)&lt;19.5)),AC896+AH$7,_xlfn.workday.intl(int(AC896),1,"0000001",Holidays!A:A)+hour(AC896+AH$7-$B$1)/24+minute(AC896)/1440),"")</f>
        <v/>
      </c>
      <c r="AI896" s="104"/>
      <c r="AJ896" s="105"/>
      <c r="AK896" s="111" t="str">
        <f t="shared" si="8"/>
        <v/>
      </c>
      <c r="AL896" s="112" t="str">
        <f t="shared" si="9"/>
        <v/>
      </c>
      <c r="AM896" s="113"/>
      <c r="AN896" s="291" t="s">
        <v>2540</v>
      </c>
      <c r="AO896" s="115"/>
      <c r="AP896" s="115"/>
      <c r="AQ896" s="115"/>
      <c r="AR896" s="115"/>
      <c r="AS896" s="115"/>
      <c r="AT896" s="115"/>
      <c r="AU896" s="115"/>
      <c r="AV896" s="115"/>
      <c r="AW896" s="115"/>
      <c r="AX896" s="115"/>
      <c r="AY896" s="115"/>
    </row>
    <row r="897">
      <c r="A897" s="95" t="str">
        <f t="shared" si="11"/>
        <v/>
      </c>
      <c r="B897" s="100"/>
      <c r="C897" s="97"/>
      <c r="D897" s="97"/>
      <c r="E897" s="97"/>
      <c r="F897" s="97"/>
      <c r="G897" s="97"/>
      <c r="H897" s="99"/>
      <c r="I897" s="100"/>
      <c r="J897" s="101"/>
      <c r="K897" s="100"/>
      <c r="L897" s="102"/>
      <c r="M897" s="103" t="str">
        <f>if(B897,if(and(hour(B897+M$7)&gt;9.5,(hour(B897+M$7)&lt;19.5)),B897+M$7,_xlfn.workday.intl(int(B897),1,"0000001",Holidays!A:A)+hour(B897+M$7-$B$1)/24+minute(B897)/1440),"")</f>
        <v/>
      </c>
      <c r="N897" s="104"/>
      <c r="O897" s="105"/>
      <c r="P897" s="106" t="str">
        <f t="shared" si="1"/>
        <v/>
      </c>
      <c r="Q897" s="107"/>
      <c r="R897" s="108"/>
      <c r="S897" s="103" t="str">
        <f>if(M897,if(and(hour(M897+S$7)&gt;9.5,(hour(M897+S$7)&lt;19.5)),M897+S$7,_xlfn.workday.intl(int(M897),1,"0000001",Holidays!A:A)+hour(M897+S$7-$B$1)/24+minute(M897)/1440),"")</f>
        <v/>
      </c>
      <c r="T897" s="104"/>
      <c r="U897" s="105"/>
      <c r="V897" s="109" t="str">
        <f t="shared" si="2"/>
        <v/>
      </c>
      <c r="W897" s="110" t="str">
        <f t="shared" si="3"/>
        <v/>
      </c>
      <c r="X897" s="103" t="str">
        <f>if(S897,if(and(hour(S897+X$7)&gt;9.5,(hour(S897+X$7)&lt;19.5)),S897+X$7,_xlfn.workday.intl(int(S897),1,"0000001",Holidays!A:A)+hour(S897+X$7-$B$1)/24+minute(S897)/1440),"")</f>
        <v/>
      </c>
      <c r="Y897" s="104"/>
      <c r="Z897" s="105"/>
      <c r="AA897" s="111" t="str">
        <f t="shared" si="4"/>
        <v/>
      </c>
      <c r="AB897" s="110" t="str">
        <f t="shared" si="5"/>
        <v/>
      </c>
      <c r="AC897" s="103" t="str">
        <f>if(X897,_xlfn.WORKDAY.INTL(X897,AC$7,"0000001",Holidays!A:A)+hour(X897)/24+MINUTE(X897)/1440,"")</f>
        <v/>
      </c>
      <c r="AD897" s="104"/>
      <c r="AE897" s="105"/>
      <c r="AF897" s="111" t="str">
        <f t="shared" si="6"/>
        <v/>
      </c>
      <c r="AG897" s="110" t="str">
        <f t="shared" si="7"/>
        <v/>
      </c>
      <c r="AH897" s="103" t="str">
        <f>if(AC897,if(and(hour(AC897+AH$7)&gt;9.5,(hour(AC897+AH$7)&lt;19.5)),AC897+AH$7,_xlfn.workday.intl(int(AC897),1,"0000001",Holidays!A:A)+hour(AC897+AH$7-$B$1)/24+minute(AC897)/1440),"")</f>
        <v/>
      </c>
      <c r="AI897" s="104"/>
      <c r="AJ897" s="105"/>
      <c r="AK897" s="111" t="str">
        <f t="shared" si="8"/>
        <v/>
      </c>
      <c r="AL897" s="112" t="str">
        <f t="shared" si="9"/>
        <v/>
      </c>
      <c r="AM897" s="113"/>
      <c r="AN897" s="291" t="s">
        <v>2540</v>
      </c>
      <c r="AO897" s="115"/>
      <c r="AP897" s="115"/>
      <c r="AQ897" s="115"/>
      <c r="AR897" s="115"/>
      <c r="AS897" s="115"/>
      <c r="AT897" s="115"/>
      <c r="AU897" s="115"/>
      <c r="AV897" s="115"/>
      <c r="AW897" s="115"/>
      <c r="AX897" s="115"/>
      <c r="AY897" s="115"/>
    </row>
    <row r="898">
      <c r="A898" s="95" t="str">
        <f t="shared" si="11"/>
        <v/>
      </c>
      <c r="B898" s="100"/>
      <c r="C898" s="97"/>
      <c r="D898" s="97"/>
      <c r="E898" s="97"/>
      <c r="F898" s="97"/>
      <c r="G898" s="97"/>
      <c r="H898" s="99"/>
      <c r="I898" s="100"/>
      <c r="J898" s="101"/>
      <c r="K898" s="100"/>
      <c r="L898" s="102"/>
      <c r="M898" s="103" t="str">
        <f>if(B898,if(and(hour(B898+M$7)&gt;9.5,(hour(B898+M$7)&lt;19.5)),B898+M$7,_xlfn.workday.intl(int(B898),1,"0000001",Holidays!A:A)+hour(B898+M$7-$B$1)/24+minute(B898)/1440),"")</f>
        <v/>
      </c>
      <c r="N898" s="104"/>
      <c r="O898" s="105"/>
      <c r="P898" s="106" t="str">
        <f t="shared" si="1"/>
        <v/>
      </c>
      <c r="Q898" s="107"/>
      <c r="R898" s="108"/>
      <c r="S898" s="103" t="str">
        <f>if(M898,if(and(hour(M898+S$7)&gt;9.5,(hour(M898+S$7)&lt;19.5)),M898+S$7,_xlfn.workday.intl(int(M898),1,"0000001",Holidays!A:A)+hour(M898+S$7-$B$1)/24+minute(M898)/1440),"")</f>
        <v/>
      </c>
      <c r="T898" s="104"/>
      <c r="U898" s="105"/>
      <c r="V898" s="109" t="str">
        <f t="shared" si="2"/>
        <v/>
      </c>
      <c r="W898" s="110" t="str">
        <f t="shared" si="3"/>
        <v/>
      </c>
      <c r="X898" s="103" t="str">
        <f>if(S898,if(and(hour(S898+X$7)&gt;9.5,(hour(S898+X$7)&lt;19.5)),S898+X$7,_xlfn.workday.intl(int(S898),1,"0000001",Holidays!A:A)+hour(S898+X$7-$B$1)/24+minute(S898)/1440),"")</f>
        <v/>
      </c>
      <c r="Y898" s="104"/>
      <c r="Z898" s="105"/>
      <c r="AA898" s="111" t="str">
        <f t="shared" si="4"/>
        <v/>
      </c>
      <c r="AB898" s="110" t="str">
        <f t="shared" si="5"/>
        <v/>
      </c>
      <c r="AC898" s="103" t="str">
        <f>if(X898,_xlfn.WORKDAY.INTL(X898,AC$7,"0000001",Holidays!A:A)+hour(X898)/24+MINUTE(X898)/1440,"")</f>
        <v/>
      </c>
      <c r="AD898" s="104"/>
      <c r="AE898" s="105"/>
      <c r="AF898" s="111" t="str">
        <f t="shared" si="6"/>
        <v/>
      </c>
      <c r="AG898" s="110" t="str">
        <f t="shared" si="7"/>
        <v/>
      </c>
      <c r="AH898" s="103" t="str">
        <f>if(AC898,if(and(hour(AC898+AH$7)&gt;9.5,(hour(AC898+AH$7)&lt;19.5)),AC898+AH$7,_xlfn.workday.intl(int(AC898),1,"0000001",Holidays!A:A)+hour(AC898+AH$7-$B$1)/24+minute(AC898)/1440),"")</f>
        <v/>
      </c>
      <c r="AI898" s="104"/>
      <c r="AJ898" s="105"/>
      <c r="AK898" s="111" t="str">
        <f t="shared" si="8"/>
        <v/>
      </c>
      <c r="AL898" s="112" t="str">
        <f t="shared" si="9"/>
        <v/>
      </c>
      <c r="AM898" s="113"/>
      <c r="AN898" s="291" t="s">
        <v>2540</v>
      </c>
      <c r="AO898" s="115"/>
      <c r="AP898" s="115"/>
      <c r="AQ898" s="115"/>
      <c r="AR898" s="115"/>
      <c r="AS898" s="115"/>
      <c r="AT898" s="115"/>
      <c r="AU898" s="115"/>
      <c r="AV898" s="115"/>
      <c r="AW898" s="115"/>
      <c r="AX898" s="115"/>
      <c r="AY898" s="115"/>
    </row>
    <row r="899">
      <c r="A899" s="95" t="str">
        <f t="shared" si="11"/>
        <v/>
      </c>
      <c r="B899" s="100"/>
      <c r="C899" s="97"/>
      <c r="D899" s="97"/>
      <c r="E899" s="97"/>
      <c r="F899" s="97"/>
      <c r="G899" s="97"/>
      <c r="H899" s="99"/>
      <c r="I899" s="100"/>
      <c r="J899" s="101"/>
      <c r="K899" s="100"/>
      <c r="L899" s="102"/>
      <c r="M899" s="103" t="str">
        <f>if(B899,if(and(hour(B899+M$7)&gt;9.5,(hour(B899+M$7)&lt;19.5)),B899+M$7,_xlfn.workday.intl(int(B899),1,"0000001",Holidays!A:A)+hour(B899+M$7-$B$1)/24+minute(B899)/1440),"")</f>
        <v/>
      </c>
      <c r="N899" s="104"/>
      <c r="O899" s="105"/>
      <c r="P899" s="106" t="str">
        <f t="shared" si="1"/>
        <v/>
      </c>
      <c r="Q899" s="107"/>
      <c r="R899" s="108"/>
      <c r="S899" s="103" t="str">
        <f>if(M899,if(and(hour(M899+S$7)&gt;9.5,(hour(M899+S$7)&lt;19.5)),M899+S$7,_xlfn.workday.intl(int(M899),1,"0000001",Holidays!A:A)+hour(M899+S$7-$B$1)/24+minute(M899)/1440),"")</f>
        <v/>
      </c>
      <c r="T899" s="104"/>
      <c r="U899" s="105"/>
      <c r="V899" s="109" t="str">
        <f t="shared" si="2"/>
        <v/>
      </c>
      <c r="W899" s="110" t="str">
        <f t="shared" si="3"/>
        <v/>
      </c>
      <c r="X899" s="103" t="str">
        <f>if(S899,if(and(hour(S899+X$7)&gt;9.5,(hour(S899+X$7)&lt;19.5)),S899+X$7,_xlfn.workday.intl(int(S899),1,"0000001",Holidays!A:A)+hour(S899+X$7-$B$1)/24+minute(S899)/1440),"")</f>
        <v/>
      </c>
      <c r="Y899" s="104"/>
      <c r="Z899" s="105"/>
      <c r="AA899" s="111" t="str">
        <f t="shared" si="4"/>
        <v/>
      </c>
      <c r="AB899" s="110" t="str">
        <f t="shared" si="5"/>
        <v/>
      </c>
      <c r="AC899" s="103" t="str">
        <f>if(X899,_xlfn.WORKDAY.INTL(X899,AC$7,"0000001",Holidays!A:A)+hour(X899)/24+MINUTE(X899)/1440,"")</f>
        <v/>
      </c>
      <c r="AD899" s="104"/>
      <c r="AE899" s="105"/>
      <c r="AF899" s="111" t="str">
        <f t="shared" si="6"/>
        <v/>
      </c>
      <c r="AG899" s="110" t="str">
        <f t="shared" si="7"/>
        <v/>
      </c>
      <c r="AH899" s="103" t="str">
        <f>if(AC899,if(and(hour(AC899+AH$7)&gt;9.5,(hour(AC899+AH$7)&lt;19.5)),AC899+AH$7,_xlfn.workday.intl(int(AC899),1,"0000001",Holidays!A:A)+hour(AC899+AH$7-$B$1)/24+minute(AC899)/1440),"")</f>
        <v/>
      </c>
      <c r="AI899" s="104"/>
      <c r="AJ899" s="105"/>
      <c r="AK899" s="111" t="str">
        <f t="shared" si="8"/>
        <v/>
      </c>
      <c r="AL899" s="112" t="str">
        <f t="shared" si="9"/>
        <v/>
      </c>
      <c r="AM899" s="113"/>
      <c r="AN899" s="291" t="s">
        <v>2540</v>
      </c>
      <c r="AO899" s="115"/>
      <c r="AP899" s="115"/>
      <c r="AQ899" s="115"/>
      <c r="AR899" s="115"/>
      <c r="AS899" s="115"/>
      <c r="AT899" s="115"/>
      <c r="AU899" s="115"/>
      <c r="AV899" s="115"/>
      <c r="AW899" s="115"/>
      <c r="AX899" s="115"/>
      <c r="AY899" s="115"/>
    </row>
    <row r="900">
      <c r="A900" s="95" t="str">
        <f t="shared" si="11"/>
        <v/>
      </c>
      <c r="B900" s="100"/>
      <c r="C900" s="97"/>
      <c r="D900" s="97"/>
      <c r="E900" s="97"/>
      <c r="F900" s="97"/>
      <c r="G900" s="97"/>
      <c r="H900" s="99"/>
      <c r="I900" s="100"/>
      <c r="J900" s="101"/>
      <c r="K900" s="100"/>
      <c r="L900" s="102"/>
      <c r="M900" s="103" t="str">
        <f>if(B900,if(and(hour(B900+M$7)&gt;9.5,(hour(B900+M$7)&lt;19.5)),B900+M$7,_xlfn.workday.intl(int(B900),1,"0000001",Holidays!A:A)+hour(B900+M$7-$B$1)/24+minute(B900)/1440),"")</f>
        <v/>
      </c>
      <c r="N900" s="104"/>
      <c r="O900" s="105"/>
      <c r="P900" s="106" t="str">
        <f t="shared" si="1"/>
        <v/>
      </c>
      <c r="Q900" s="107"/>
      <c r="R900" s="108"/>
      <c r="S900" s="103" t="str">
        <f>if(M900,if(and(hour(M900+S$7)&gt;9.5,(hour(M900+S$7)&lt;19.5)),M900+S$7,_xlfn.workday.intl(int(M900),1,"0000001",Holidays!A:A)+hour(M900+S$7-$B$1)/24+minute(M900)/1440),"")</f>
        <v/>
      </c>
      <c r="T900" s="104"/>
      <c r="U900" s="105"/>
      <c r="V900" s="109" t="str">
        <f t="shared" si="2"/>
        <v/>
      </c>
      <c r="W900" s="110" t="str">
        <f t="shared" si="3"/>
        <v/>
      </c>
      <c r="X900" s="103" t="str">
        <f>if(S900,if(and(hour(S900+X$7)&gt;9.5,(hour(S900+X$7)&lt;19.5)),S900+X$7,_xlfn.workday.intl(int(S900),1,"0000001",Holidays!A:A)+hour(S900+X$7-$B$1)/24+minute(S900)/1440),"")</f>
        <v/>
      </c>
      <c r="Y900" s="104"/>
      <c r="Z900" s="105"/>
      <c r="AA900" s="111" t="str">
        <f t="shared" si="4"/>
        <v/>
      </c>
      <c r="AB900" s="110" t="str">
        <f t="shared" si="5"/>
        <v/>
      </c>
      <c r="AC900" s="103" t="str">
        <f>if(X900,_xlfn.WORKDAY.INTL(X900,AC$7,"0000001",Holidays!A:A)+hour(X900)/24+MINUTE(X900)/1440,"")</f>
        <v/>
      </c>
      <c r="AD900" s="104"/>
      <c r="AE900" s="105"/>
      <c r="AF900" s="111" t="str">
        <f t="shared" si="6"/>
        <v/>
      </c>
      <c r="AG900" s="110" t="str">
        <f t="shared" si="7"/>
        <v/>
      </c>
      <c r="AH900" s="103" t="str">
        <f>if(AC900,if(and(hour(AC900+AH$7)&gt;9.5,(hour(AC900+AH$7)&lt;19.5)),AC900+AH$7,_xlfn.workday.intl(int(AC900),1,"0000001",Holidays!A:A)+hour(AC900+AH$7-$B$1)/24+minute(AC900)/1440),"")</f>
        <v/>
      </c>
      <c r="AI900" s="104"/>
      <c r="AJ900" s="105"/>
      <c r="AK900" s="111" t="str">
        <f t="shared" si="8"/>
        <v/>
      </c>
      <c r="AL900" s="112" t="str">
        <f t="shared" si="9"/>
        <v/>
      </c>
      <c r="AM900" s="113"/>
      <c r="AN900" s="291" t="s">
        <v>2540</v>
      </c>
      <c r="AO900" s="115"/>
      <c r="AP900" s="115"/>
      <c r="AQ900" s="115"/>
      <c r="AR900" s="115"/>
      <c r="AS900" s="115"/>
      <c r="AT900" s="115"/>
      <c r="AU900" s="115"/>
      <c r="AV900" s="115"/>
      <c r="AW900" s="115"/>
      <c r="AX900" s="115"/>
      <c r="AY900" s="115"/>
    </row>
    <row r="901">
      <c r="A901" s="95" t="str">
        <f t="shared" si="11"/>
        <v/>
      </c>
      <c r="B901" s="100"/>
      <c r="C901" s="97"/>
      <c r="D901" s="97"/>
      <c r="E901" s="97"/>
      <c r="F901" s="97"/>
      <c r="G901" s="97"/>
      <c r="H901" s="99"/>
      <c r="I901" s="100"/>
      <c r="J901" s="101"/>
      <c r="K901" s="100"/>
      <c r="L901" s="102"/>
      <c r="M901" s="103" t="str">
        <f>if(B901,if(and(hour(B901+M$7)&gt;9.5,(hour(B901+M$7)&lt;19.5)),B901+M$7,_xlfn.workday.intl(int(B901),1,"0000001",Holidays!A:A)+hour(B901+M$7-$B$1)/24+minute(B901)/1440),"")</f>
        <v/>
      </c>
      <c r="N901" s="104"/>
      <c r="O901" s="105"/>
      <c r="P901" s="106" t="str">
        <f t="shared" si="1"/>
        <v/>
      </c>
      <c r="Q901" s="107"/>
      <c r="R901" s="108"/>
      <c r="S901" s="103" t="str">
        <f>if(M901,if(and(hour(M901+S$7)&gt;9.5,(hour(M901+S$7)&lt;19.5)),M901+S$7,_xlfn.workday.intl(int(M901),1,"0000001",Holidays!A:A)+hour(M901+S$7-$B$1)/24+minute(M901)/1440),"")</f>
        <v/>
      </c>
      <c r="T901" s="104"/>
      <c r="U901" s="105"/>
      <c r="V901" s="109" t="str">
        <f t="shared" si="2"/>
        <v/>
      </c>
      <c r="W901" s="110" t="str">
        <f t="shared" si="3"/>
        <v/>
      </c>
      <c r="X901" s="103" t="str">
        <f>if(S901,if(and(hour(S901+X$7)&gt;9.5,(hour(S901+X$7)&lt;19.5)),S901+X$7,_xlfn.workday.intl(int(S901),1,"0000001",Holidays!A:A)+hour(S901+X$7-$B$1)/24+minute(S901)/1440),"")</f>
        <v/>
      </c>
      <c r="Y901" s="104"/>
      <c r="Z901" s="105"/>
      <c r="AA901" s="111" t="str">
        <f t="shared" si="4"/>
        <v/>
      </c>
      <c r="AB901" s="110" t="str">
        <f t="shared" si="5"/>
        <v/>
      </c>
      <c r="AC901" s="103" t="str">
        <f>if(X901,_xlfn.WORKDAY.INTL(X901,AC$7,"0000001",Holidays!A:A)+hour(X901)/24+MINUTE(X901)/1440,"")</f>
        <v/>
      </c>
      <c r="AD901" s="104"/>
      <c r="AE901" s="105"/>
      <c r="AF901" s="111" t="str">
        <f t="shared" si="6"/>
        <v/>
      </c>
      <c r="AG901" s="110" t="str">
        <f t="shared" si="7"/>
        <v/>
      </c>
      <c r="AH901" s="103" t="str">
        <f>if(AC901,if(and(hour(AC901+AH$7)&gt;9.5,(hour(AC901+AH$7)&lt;19.5)),AC901+AH$7,_xlfn.workday.intl(int(AC901),1,"0000001",Holidays!A:A)+hour(AC901+AH$7-$B$1)/24+minute(AC901)/1440),"")</f>
        <v/>
      </c>
      <c r="AI901" s="104"/>
      <c r="AJ901" s="105"/>
      <c r="AK901" s="111" t="str">
        <f t="shared" si="8"/>
        <v/>
      </c>
      <c r="AL901" s="112" t="str">
        <f t="shared" si="9"/>
        <v/>
      </c>
      <c r="AM901" s="113"/>
      <c r="AN901" s="291" t="s">
        <v>2540</v>
      </c>
      <c r="AO901" s="115"/>
      <c r="AP901" s="115"/>
      <c r="AQ901" s="115"/>
      <c r="AR901" s="115"/>
      <c r="AS901" s="115"/>
      <c r="AT901" s="115"/>
      <c r="AU901" s="115"/>
      <c r="AV901" s="115"/>
      <c r="AW901" s="115"/>
      <c r="AX901" s="115"/>
      <c r="AY901" s="115"/>
    </row>
    <row r="902">
      <c r="A902" s="95" t="str">
        <f t="shared" si="11"/>
        <v/>
      </c>
      <c r="B902" s="100"/>
      <c r="C902" s="97"/>
      <c r="D902" s="97"/>
      <c r="E902" s="97"/>
      <c r="F902" s="97"/>
      <c r="G902" s="97"/>
      <c r="H902" s="99"/>
      <c r="I902" s="100"/>
      <c r="J902" s="101"/>
      <c r="K902" s="100"/>
      <c r="L902" s="102"/>
      <c r="M902" s="103" t="str">
        <f>if(B902,if(and(hour(B902+M$7)&gt;9.5,(hour(B902+M$7)&lt;19.5)),B902+M$7,_xlfn.workday.intl(int(B902),1,"0000001",Holidays!A:A)+hour(B902+M$7-$B$1)/24+minute(B902)/1440),"")</f>
        <v/>
      </c>
      <c r="N902" s="104"/>
      <c r="O902" s="105"/>
      <c r="P902" s="106" t="str">
        <f t="shared" si="1"/>
        <v/>
      </c>
      <c r="Q902" s="107"/>
      <c r="R902" s="108"/>
      <c r="S902" s="103" t="str">
        <f>if(M902,if(and(hour(M902+S$7)&gt;9.5,(hour(M902+S$7)&lt;19.5)),M902+S$7,_xlfn.workday.intl(int(M902),1,"0000001",Holidays!A:A)+hour(M902+S$7-$B$1)/24+minute(M902)/1440),"")</f>
        <v/>
      </c>
      <c r="T902" s="104"/>
      <c r="U902" s="105"/>
      <c r="V902" s="109" t="str">
        <f t="shared" si="2"/>
        <v/>
      </c>
      <c r="W902" s="110" t="str">
        <f t="shared" si="3"/>
        <v/>
      </c>
      <c r="X902" s="103" t="str">
        <f>if(S902,if(and(hour(S902+X$7)&gt;9.5,(hour(S902+X$7)&lt;19.5)),S902+X$7,_xlfn.workday.intl(int(S902),1,"0000001",Holidays!A:A)+hour(S902+X$7-$B$1)/24+minute(S902)/1440),"")</f>
        <v/>
      </c>
      <c r="Y902" s="104"/>
      <c r="Z902" s="105"/>
      <c r="AA902" s="111" t="str">
        <f t="shared" si="4"/>
        <v/>
      </c>
      <c r="AB902" s="110" t="str">
        <f t="shared" si="5"/>
        <v/>
      </c>
      <c r="AC902" s="103" t="str">
        <f>if(X902,_xlfn.WORKDAY.INTL(X902,AC$7,"0000001",Holidays!A:A)+hour(X902)/24+MINUTE(X902)/1440,"")</f>
        <v/>
      </c>
      <c r="AD902" s="104"/>
      <c r="AE902" s="105"/>
      <c r="AF902" s="111" t="str">
        <f t="shared" si="6"/>
        <v/>
      </c>
      <c r="AG902" s="110" t="str">
        <f t="shared" si="7"/>
        <v/>
      </c>
      <c r="AH902" s="103" t="str">
        <f>if(AC902,if(and(hour(AC902+AH$7)&gt;9.5,(hour(AC902+AH$7)&lt;19.5)),AC902+AH$7,_xlfn.workday.intl(int(AC902),1,"0000001",Holidays!A:A)+hour(AC902+AH$7-$B$1)/24+minute(AC902)/1440),"")</f>
        <v/>
      </c>
      <c r="AI902" s="104"/>
      <c r="AJ902" s="105"/>
      <c r="AK902" s="111" t="str">
        <f t="shared" si="8"/>
        <v/>
      </c>
      <c r="AL902" s="112" t="str">
        <f t="shared" si="9"/>
        <v/>
      </c>
      <c r="AM902" s="113"/>
      <c r="AN902" s="291" t="s">
        <v>2540</v>
      </c>
      <c r="AO902" s="115"/>
      <c r="AP902" s="115"/>
      <c r="AQ902" s="115"/>
      <c r="AR902" s="115"/>
      <c r="AS902" s="115"/>
      <c r="AT902" s="115"/>
      <c r="AU902" s="115"/>
      <c r="AV902" s="115"/>
      <c r="AW902" s="115"/>
      <c r="AX902" s="115"/>
      <c r="AY902" s="115"/>
    </row>
    <row r="903">
      <c r="A903" s="95" t="str">
        <f t="shared" si="11"/>
        <v/>
      </c>
      <c r="B903" s="100"/>
      <c r="C903" s="97"/>
      <c r="D903" s="97"/>
      <c r="E903" s="97"/>
      <c r="F903" s="97"/>
      <c r="G903" s="97"/>
      <c r="H903" s="99"/>
      <c r="I903" s="100"/>
      <c r="J903" s="101"/>
      <c r="K903" s="100"/>
      <c r="L903" s="102"/>
      <c r="M903" s="103" t="str">
        <f>if(B903,if(and(hour(B903+M$7)&gt;9.5,(hour(B903+M$7)&lt;19.5)),B903+M$7,_xlfn.workday.intl(int(B903),1,"0000001",Holidays!A:A)+hour(B903+M$7-$B$1)/24+minute(B903)/1440),"")</f>
        <v/>
      </c>
      <c r="N903" s="104"/>
      <c r="O903" s="105"/>
      <c r="P903" s="106" t="str">
        <f t="shared" si="1"/>
        <v/>
      </c>
      <c r="Q903" s="107"/>
      <c r="R903" s="108"/>
      <c r="S903" s="103" t="str">
        <f>if(M903,if(and(hour(M903+S$7)&gt;9.5,(hour(M903+S$7)&lt;19.5)),M903+S$7,_xlfn.workday.intl(int(M903),1,"0000001",Holidays!A:A)+hour(M903+S$7-$B$1)/24+minute(M903)/1440),"")</f>
        <v/>
      </c>
      <c r="T903" s="104"/>
      <c r="U903" s="105"/>
      <c r="V903" s="109" t="str">
        <f t="shared" si="2"/>
        <v/>
      </c>
      <c r="W903" s="110" t="str">
        <f t="shared" si="3"/>
        <v/>
      </c>
      <c r="X903" s="103" t="str">
        <f>if(S903,if(and(hour(S903+X$7)&gt;9.5,(hour(S903+X$7)&lt;19.5)),S903+X$7,_xlfn.workday.intl(int(S903),1,"0000001",Holidays!A:A)+hour(S903+X$7-$B$1)/24+minute(S903)/1440),"")</f>
        <v/>
      </c>
      <c r="Y903" s="104"/>
      <c r="Z903" s="105"/>
      <c r="AA903" s="111" t="str">
        <f t="shared" si="4"/>
        <v/>
      </c>
      <c r="AB903" s="110" t="str">
        <f t="shared" si="5"/>
        <v/>
      </c>
      <c r="AC903" s="103" t="str">
        <f>if(X903,_xlfn.WORKDAY.INTL(X903,AC$7,"0000001",Holidays!A:A)+hour(X903)/24+MINUTE(X903)/1440,"")</f>
        <v/>
      </c>
      <c r="AD903" s="104"/>
      <c r="AE903" s="105"/>
      <c r="AF903" s="111" t="str">
        <f t="shared" si="6"/>
        <v/>
      </c>
      <c r="AG903" s="110" t="str">
        <f t="shared" si="7"/>
        <v/>
      </c>
      <c r="AH903" s="103" t="str">
        <f>if(AC903,if(and(hour(AC903+AH$7)&gt;9.5,(hour(AC903+AH$7)&lt;19.5)),AC903+AH$7,_xlfn.workday.intl(int(AC903),1,"0000001",Holidays!A:A)+hour(AC903+AH$7-$B$1)/24+minute(AC903)/1440),"")</f>
        <v/>
      </c>
      <c r="AI903" s="104"/>
      <c r="AJ903" s="105"/>
      <c r="AK903" s="111" t="str">
        <f t="shared" si="8"/>
        <v/>
      </c>
      <c r="AL903" s="112" t="str">
        <f t="shared" si="9"/>
        <v/>
      </c>
      <c r="AM903" s="113"/>
      <c r="AN903" s="291" t="s">
        <v>2540</v>
      </c>
      <c r="AO903" s="115"/>
      <c r="AP903" s="115"/>
      <c r="AQ903" s="115"/>
      <c r="AR903" s="115"/>
      <c r="AS903" s="115"/>
      <c r="AT903" s="115"/>
      <c r="AU903" s="115"/>
      <c r="AV903" s="115"/>
      <c r="AW903" s="115"/>
      <c r="AX903" s="115"/>
      <c r="AY903" s="115"/>
    </row>
    <row r="904">
      <c r="A904" s="95" t="str">
        <f t="shared" si="11"/>
        <v/>
      </c>
      <c r="B904" s="100"/>
      <c r="C904" s="97"/>
      <c r="D904" s="97"/>
      <c r="E904" s="97"/>
      <c r="F904" s="97"/>
      <c r="G904" s="97"/>
      <c r="H904" s="99"/>
      <c r="I904" s="100"/>
      <c r="J904" s="101"/>
      <c r="K904" s="100"/>
      <c r="L904" s="102"/>
      <c r="M904" s="103" t="str">
        <f>if(B904,if(and(hour(B904+M$7)&gt;9.5,(hour(B904+M$7)&lt;19.5)),B904+M$7,_xlfn.workday.intl(int(B904),1,"0000001",Holidays!A:A)+hour(B904+M$7-$B$1)/24+minute(B904)/1440),"")</f>
        <v/>
      </c>
      <c r="N904" s="104"/>
      <c r="O904" s="105"/>
      <c r="P904" s="106" t="str">
        <f t="shared" si="1"/>
        <v/>
      </c>
      <c r="Q904" s="107"/>
      <c r="R904" s="108"/>
      <c r="S904" s="103" t="str">
        <f>if(M904,if(and(hour(M904+S$7)&gt;9.5,(hour(M904+S$7)&lt;19.5)),M904+S$7,_xlfn.workday.intl(int(M904),1,"0000001",Holidays!A:A)+hour(M904+S$7-$B$1)/24+minute(M904)/1440),"")</f>
        <v/>
      </c>
      <c r="T904" s="104"/>
      <c r="U904" s="105"/>
      <c r="V904" s="109" t="str">
        <f t="shared" si="2"/>
        <v/>
      </c>
      <c r="W904" s="110" t="str">
        <f t="shared" si="3"/>
        <v/>
      </c>
      <c r="X904" s="103" t="str">
        <f>if(S904,if(and(hour(S904+X$7)&gt;9.5,(hour(S904+X$7)&lt;19.5)),S904+X$7,_xlfn.workday.intl(int(S904),1,"0000001",Holidays!A:A)+hour(S904+X$7-$B$1)/24+minute(S904)/1440),"")</f>
        <v/>
      </c>
      <c r="Y904" s="104"/>
      <c r="Z904" s="105"/>
      <c r="AA904" s="111" t="str">
        <f t="shared" si="4"/>
        <v/>
      </c>
      <c r="AB904" s="110" t="str">
        <f t="shared" si="5"/>
        <v/>
      </c>
      <c r="AC904" s="103" t="str">
        <f>if(X904,_xlfn.WORKDAY.INTL(X904,AC$7,"0000001",Holidays!A:A)+hour(X904)/24+MINUTE(X904)/1440,"")</f>
        <v/>
      </c>
      <c r="AD904" s="104"/>
      <c r="AE904" s="105"/>
      <c r="AF904" s="111" t="str">
        <f t="shared" si="6"/>
        <v/>
      </c>
      <c r="AG904" s="110" t="str">
        <f t="shared" si="7"/>
        <v/>
      </c>
      <c r="AH904" s="103" t="str">
        <f>if(AC904,if(and(hour(AC904+AH$7)&gt;9.5,(hour(AC904+AH$7)&lt;19.5)),AC904+AH$7,_xlfn.workday.intl(int(AC904),1,"0000001",Holidays!A:A)+hour(AC904+AH$7-$B$1)/24+minute(AC904)/1440),"")</f>
        <v/>
      </c>
      <c r="AI904" s="104"/>
      <c r="AJ904" s="105"/>
      <c r="AK904" s="111" t="str">
        <f t="shared" si="8"/>
        <v/>
      </c>
      <c r="AL904" s="112" t="str">
        <f t="shared" si="9"/>
        <v/>
      </c>
      <c r="AM904" s="113"/>
      <c r="AN904" s="291" t="s">
        <v>2540</v>
      </c>
      <c r="AO904" s="115"/>
      <c r="AP904" s="115"/>
      <c r="AQ904" s="115"/>
      <c r="AR904" s="115"/>
      <c r="AS904" s="115"/>
      <c r="AT904" s="115"/>
      <c r="AU904" s="115"/>
      <c r="AV904" s="115"/>
      <c r="AW904" s="115"/>
      <c r="AX904" s="115"/>
      <c r="AY904" s="115"/>
    </row>
    <row r="905">
      <c r="A905" s="95" t="str">
        <f t="shared" si="11"/>
        <v/>
      </c>
      <c r="B905" s="100"/>
      <c r="C905" s="97"/>
      <c r="D905" s="97"/>
      <c r="E905" s="97"/>
      <c r="F905" s="97"/>
      <c r="G905" s="97"/>
      <c r="H905" s="99"/>
      <c r="I905" s="100"/>
      <c r="J905" s="101"/>
      <c r="K905" s="100"/>
      <c r="L905" s="102"/>
      <c r="M905" s="103" t="str">
        <f>if(B905,if(and(hour(B905+M$7)&gt;9.5,(hour(B905+M$7)&lt;19.5)),B905+M$7,_xlfn.workday.intl(int(B905),1,"0000001",Holidays!A:A)+hour(B905+M$7-$B$1)/24+minute(B905)/1440),"")</f>
        <v/>
      </c>
      <c r="N905" s="104"/>
      <c r="O905" s="105"/>
      <c r="P905" s="106" t="str">
        <f t="shared" si="1"/>
        <v/>
      </c>
      <c r="Q905" s="107"/>
      <c r="R905" s="108"/>
      <c r="S905" s="103" t="str">
        <f>if(M905,if(and(hour(M905+S$7)&gt;9.5,(hour(M905+S$7)&lt;19.5)),M905+S$7,_xlfn.workday.intl(int(M905),1,"0000001",Holidays!A:A)+hour(M905+S$7-$B$1)/24+minute(M905)/1440),"")</f>
        <v/>
      </c>
      <c r="T905" s="104"/>
      <c r="U905" s="105"/>
      <c r="V905" s="109" t="str">
        <f t="shared" si="2"/>
        <v/>
      </c>
      <c r="W905" s="110" t="str">
        <f t="shared" si="3"/>
        <v/>
      </c>
      <c r="X905" s="103" t="str">
        <f>if(S905,if(and(hour(S905+X$7)&gt;9.5,(hour(S905+X$7)&lt;19.5)),S905+X$7,_xlfn.workday.intl(int(S905),1,"0000001",Holidays!A:A)+hour(S905+X$7-$B$1)/24+minute(S905)/1440),"")</f>
        <v/>
      </c>
      <c r="Y905" s="104"/>
      <c r="Z905" s="105"/>
      <c r="AA905" s="111" t="str">
        <f t="shared" si="4"/>
        <v/>
      </c>
      <c r="AB905" s="110" t="str">
        <f t="shared" si="5"/>
        <v/>
      </c>
      <c r="AC905" s="103" t="str">
        <f>if(X905,_xlfn.WORKDAY.INTL(X905,AC$7,"0000001",Holidays!A:A)+hour(X905)/24+MINUTE(X905)/1440,"")</f>
        <v/>
      </c>
      <c r="AD905" s="104"/>
      <c r="AE905" s="105"/>
      <c r="AF905" s="111" t="str">
        <f t="shared" si="6"/>
        <v/>
      </c>
      <c r="AG905" s="110" t="str">
        <f t="shared" si="7"/>
        <v/>
      </c>
      <c r="AH905" s="103" t="str">
        <f>if(AC905,if(and(hour(AC905+AH$7)&gt;9.5,(hour(AC905+AH$7)&lt;19.5)),AC905+AH$7,_xlfn.workday.intl(int(AC905),1,"0000001",Holidays!A:A)+hour(AC905+AH$7-$B$1)/24+minute(AC905)/1440),"")</f>
        <v/>
      </c>
      <c r="AI905" s="104"/>
      <c r="AJ905" s="105"/>
      <c r="AK905" s="111" t="str">
        <f t="shared" si="8"/>
        <v/>
      </c>
      <c r="AL905" s="112" t="str">
        <f t="shared" si="9"/>
        <v/>
      </c>
      <c r="AM905" s="113"/>
      <c r="AN905" s="291" t="s">
        <v>2540</v>
      </c>
      <c r="AO905" s="115"/>
      <c r="AP905" s="115"/>
      <c r="AQ905" s="115"/>
      <c r="AR905" s="115"/>
      <c r="AS905" s="115"/>
      <c r="AT905" s="115"/>
      <c r="AU905" s="115"/>
      <c r="AV905" s="115"/>
      <c r="AW905" s="115"/>
      <c r="AX905" s="115"/>
      <c r="AY905" s="115"/>
    </row>
    <row r="906">
      <c r="A906" s="95" t="str">
        <f t="shared" si="11"/>
        <v/>
      </c>
      <c r="B906" s="100"/>
      <c r="C906" s="97"/>
      <c r="D906" s="97"/>
      <c r="E906" s="97"/>
      <c r="F906" s="97"/>
      <c r="G906" s="97"/>
      <c r="H906" s="99"/>
      <c r="I906" s="100"/>
      <c r="J906" s="101"/>
      <c r="K906" s="100"/>
      <c r="L906" s="102"/>
      <c r="M906" s="103" t="str">
        <f>if(B906,if(and(hour(B906+M$7)&gt;9.5,(hour(B906+M$7)&lt;19.5)),B906+M$7,_xlfn.workday.intl(int(B906),1,"0000001",Holidays!A:A)+hour(B906+M$7-$B$1)/24+minute(B906)/1440),"")</f>
        <v/>
      </c>
      <c r="N906" s="104"/>
      <c r="O906" s="105"/>
      <c r="P906" s="106" t="str">
        <f t="shared" si="1"/>
        <v/>
      </c>
      <c r="Q906" s="107"/>
      <c r="R906" s="108"/>
      <c r="S906" s="103" t="str">
        <f>if(M906,if(and(hour(M906+S$7)&gt;9.5,(hour(M906+S$7)&lt;19.5)),M906+S$7,_xlfn.workday.intl(int(M906),1,"0000001",Holidays!A:A)+hour(M906+S$7-$B$1)/24+minute(M906)/1440),"")</f>
        <v/>
      </c>
      <c r="T906" s="104"/>
      <c r="U906" s="105"/>
      <c r="V906" s="109" t="str">
        <f t="shared" si="2"/>
        <v/>
      </c>
      <c r="W906" s="110" t="str">
        <f t="shared" si="3"/>
        <v/>
      </c>
      <c r="X906" s="103" t="str">
        <f>if(S906,if(and(hour(S906+X$7)&gt;9.5,(hour(S906+X$7)&lt;19.5)),S906+X$7,_xlfn.workday.intl(int(S906),1,"0000001",Holidays!A:A)+hour(S906+X$7-$B$1)/24+minute(S906)/1440),"")</f>
        <v/>
      </c>
      <c r="Y906" s="104"/>
      <c r="Z906" s="105"/>
      <c r="AA906" s="111" t="str">
        <f t="shared" si="4"/>
        <v/>
      </c>
      <c r="AB906" s="110" t="str">
        <f t="shared" si="5"/>
        <v/>
      </c>
      <c r="AC906" s="103" t="str">
        <f>if(X906,_xlfn.WORKDAY.INTL(X906,AC$7,"0000001",Holidays!A:A)+hour(X906)/24+MINUTE(X906)/1440,"")</f>
        <v/>
      </c>
      <c r="AD906" s="104"/>
      <c r="AE906" s="105"/>
      <c r="AF906" s="111" t="str">
        <f t="shared" si="6"/>
        <v/>
      </c>
      <c r="AG906" s="110" t="str">
        <f t="shared" si="7"/>
        <v/>
      </c>
      <c r="AH906" s="103" t="str">
        <f>if(AC906,if(and(hour(AC906+AH$7)&gt;9.5,(hour(AC906+AH$7)&lt;19.5)),AC906+AH$7,_xlfn.workday.intl(int(AC906),1,"0000001",Holidays!A:A)+hour(AC906+AH$7-$B$1)/24+minute(AC906)/1440),"")</f>
        <v/>
      </c>
      <c r="AI906" s="104"/>
      <c r="AJ906" s="105"/>
      <c r="AK906" s="111" t="str">
        <f t="shared" si="8"/>
        <v/>
      </c>
      <c r="AL906" s="112" t="str">
        <f t="shared" si="9"/>
        <v/>
      </c>
      <c r="AM906" s="113"/>
      <c r="AN906" s="291" t="s">
        <v>2540</v>
      </c>
      <c r="AO906" s="115"/>
      <c r="AP906" s="115"/>
      <c r="AQ906" s="115"/>
      <c r="AR906" s="115"/>
      <c r="AS906" s="115"/>
      <c r="AT906" s="115"/>
      <c r="AU906" s="115"/>
      <c r="AV906" s="115"/>
      <c r="AW906" s="115"/>
      <c r="AX906" s="115"/>
      <c r="AY906" s="115"/>
    </row>
    <row r="907">
      <c r="A907" s="95" t="str">
        <f t="shared" si="11"/>
        <v/>
      </c>
      <c r="B907" s="100"/>
      <c r="C907" s="97"/>
      <c r="D907" s="97"/>
      <c r="E907" s="97"/>
      <c r="F907" s="97"/>
      <c r="G907" s="97"/>
      <c r="H907" s="99"/>
      <c r="I907" s="100"/>
      <c r="J907" s="101"/>
      <c r="K907" s="100"/>
      <c r="L907" s="102"/>
      <c r="M907" s="103" t="str">
        <f>if(B907,if(and(hour(B907+M$7)&gt;9.5,(hour(B907+M$7)&lt;19.5)),B907+M$7,_xlfn.workday.intl(int(B907),1,"0000001",Holidays!A:A)+hour(B907+M$7-$B$1)/24+minute(B907)/1440),"")</f>
        <v/>
      </c>
      <c r="N907" s="104"/>
      <c r="O907" s="105"/>
      <c r="P907" s="106" t="str">
        <f t="shared" si="1"/>
        <v/>
      </c>
      <c r="Q907" s="107"/>
      <c r="R907" s="108"/>
      <c r="S907" s="103" t="str">
        <f>if(M907,if(and(hour(M907+S$7)&gt;9.5,(hour(M907+S$7)&lt;19.5)),M907+S$7,_xlfn.workday.intl(int(M907),1,"0000001",Holidays!A:A)+hour(M907+S$7-$B$1)/24+minute(M907)/1440),"")</f>
        <v/>
      </c>
      <c r="T907" s="104"/>
      <c r="U907" s="105"/>
      <c r="V907" s="109" t="str">
        <f t="shared" si="2"/>
        <v/>
      </c>
      <c r="W907" s="110" t="str">
        <f t="shared" si="3"/>
        <v/>
      </c>
      <c r="X907" s="103" t="str">
        <f>if(S907,if(and(hour(S907+X$7)&gt;9.5,(hour(S907+X$7)&lt;19.5)),S907+X$7,_xlfn.workday.intl(int(S907),1,"0000001",Holidays!A:A)+hour(S907+X$7-$B$1)/24+minute(S907)/1440),"")</f>
        <v/>
      </c>
      <c r="Y907" s="104"/>
      <c r="Z907" s="105"/>
      <c r="AA907" s="111" t="str">
        <f t="shared" si="4"/>
        <v/>
      </c>
      <c r="AB907" s="110" t="str">
        <f t="shared" si="5"/>
        <v/>
      </c>
      <c r="AC907" s="103" t="str">
        <f>if(X907,_xlfn.WORKDAY.INTL(X907,AC$7,"0000001",Holidays!A:A)+hour(X907)/24+MINUTE(X907)/1440,"")</f>
        <v/>
      </c>
      <c r="AD907" s="104"/>
      <c r="AE907" s="105"/>
      <c r="AF907" s="111" t="str">
        <f t="shared" si="6"/>
        <v/>
      </c>
      <c r="AG907" s="110" t="str">
        <f t="shared" si="7"/>
        <v/>
      </c>
      <c r="AH907" s="103" t="str">
        <f>if(AC907,if(and(hour(AC907+AH$7)&gt;9.5,(hour(AC907+AH$7)&lt;19.5)),AC907+AH$7,_xlfn.workday.intl(int(AC907),1,"0000001",Holidays!A:A)+hour(AC907+AH$7-$B$1)/24+minute(AC907)/1440),"")</f>
        <v/>
      </c>
      <c r="AI907" s="104"/>
      <c r="AJ907" s="105"/>
      <c r="AK907" s="111" t="str">
        <f t="shared" si="8"/>
        <v/>
      </c>
      <c r="AL907" s="112" t="str">
        <f t="shared" si="9"/>
        <v/>
      </c>
      <c r="AM907" s="113"/>
      <c r="AN907" s="291" t="s">
        <v>2540</v>
      </c>
      <c r="AO907" s="115"/>
      <c r="AP907" s="115"/>
      <c r="AQ907" s="115"/>
      <c r="AR907" s="115"/>
      <c r="AS907" s="115"/>
      <c r="AT907" s="115"/>
      <c r="AU907" s="115"/>
      <c r="AV907" s="115"/>
      <c r="AW907" s="115"/>
      <c r="AX907" s="115"/>
      <c r="AY907" s="115"/>
    </row>
    <row r="908">
      <c r="A908" s="95" t="str">
        <f t="shared" si="11"/>
        <v/>
      </c>
      <c r="B908" s="100"/>
      <c r="C908" s="97"/>
      <c r="D908" s="97"/>
      <c r="E908" s="97"/>
      <c r="F908" s="97"/>
      <c r="G908" s="97"/>
      <c r="H908" s="99"/>
      <c r="I908" s="100"/>
      <c r="J908" s="101"/>
      <c r="K908" s="100"/>
      <c r="L908" s="102"/>
      <c r="M908" s="103" t="str">
        <f>if(B908,if(and(hour(B908+M$7)&gt;9.5,(hour(B908+M$7)&lt;19.5)),B908+M$7,_xlfn.workday.intl(int(B908),1,"0000001",Holidays!A:A)+hour(B908+M$7-$B$1)/24+minute(B908)/1440),"")</f>
        <v/>
      </c>
      <c r="N908" s="104"/>
      <c r="O908" s="105"/>
      <c r="P908" s="106" t="str">
        <f t="shared" si="1"/>
        <v/>
      </c>
      <c r="Q908" s="107"/>
      <c r="R908" s="108"/>
      <c r="S908" s="103" t="str">
        <f>if(M908,if(and(hour(M908+S$7)&gt;9.5,(hour(M908+S$7)&lt;19.5)),M908+S$7,_xlfn.workday.intl(int(M908),1,"0000001",Holidays!A:A)+hour(M908+S$7-$B$1)/24+minute(M908)/1440),"")</f>
        <v/>
      </c>
      <c r="T908" s="104"/>
      <c r="U908" s="105"/>
      <c r="V908" s="109" t="str">
        <f t="shared" si="2"/>
        <v/>
      </c>
      <c r="W908" s="110" t="str">
        <f t="shared" si="3"/>
        <v/>
      </c>
      <c r="X908" s="103" t="str">
        <f>if(S908,if(and(hour(S908+X$7)&gt;9.5,(hour(S908+X$7)&lt;19.5)),S908+X$7,_xlfn.workday.intl(int(S908),1,"0000001",Holidays!A:A)+hour(S908+X$7-$B$1)/24+minute(S908)/1440),"")</f>
        <v/>
      </c>
      <c r="Y908" s="104"/>
      <c r="Z908" s="105"/>
      <c r="AA908" s="111" t="str">
        <f t="shared" si="4"/>
        <v/>
      </c>
      <c r="AB908" s="110" t="str">
        <f t="shared" si="5"/>
        <v/>
      </c>
      <c r="AC908" s="103" t="str">
        <f>if(X908,_xlfn.WORKDAY.INTL(X908,AC$7,"0000001",Holidays!A:A)+hour(X908)/24+MINUTE(X908)/1440,"")</f>
        <v/>
      </c>
      <c r="AD908" s="104"/>
      <c r="AE908" s="105"/>
      <c r="AF908" s="111" t="str">
        <f t="shared" si="6"/>
        <v/>
      </c>
      <c r="AG908" s="110" t="str">
        <f t="shared" si="7"/>
        <v/>
      </c>
      <c r="AH908" s="103" t="str">
        <f>if(AC908,if(and(hour(AC908+AH$7)&gt;9.5,(hour(AC908+AH$7)&lt;19.5)),AC908+AH$7,_xlfn.workday.intl(int(AC908),1,"0000001",Holidays!A:A)+hour(AC908+AH$7-$B$1)/24+minute(AC908)/1440),"")</f>
        <v/>
      </c>
      <c r="AI908" s="104"/>
      <c r="AJ908" s="105"/>
      <c r="AK908" s="111" t="str">
        <f t="shared" si="8"/>
        <v/>
      </c>
      <c r="AL908" s="112" t="str">
        <f t="shared" si="9"/>
        <v/>
      </c>
      <c r="AM908" s="113"/>
      <c r="AN908" s="291" t="s">
        <v>2540</v>
      </c>
      <c r="AO908" s="115"/>
      <c r="AP908" s="115"/>
      <c r="AQ908" s="115"/>
      <c r="AR908" s="115"/>
      <c r="AS908" s="115"/>
      <c r="AT908" s="115"/>
      <c r="AU908" s="115"/>
      <c r="AV908" s="115"/>
      <c r="AW908" s="115"/>
      <c r="AX908" s="115"/>
      <c r="AY908" s="115"/>
    </row>
    <row r="909">
      <c r="A909" s="95" t="str">
        <f t="shared" si="11"/>
        <v/>
      </c>
      <c r="B909" s="100"/>
      <c r="C909" s="97"/>
      <c r="D909" s="97"/>
      <c r="E909" s="97"/>
      <c r="F909" s="97"/>
      <c r="G909" s="97"/>
      <c r="H909" s="99"/>
      <c r="I909" s="100"/>
      <c r="J909" s="101"/>
      <c r="K909" s="100"/>
      <c r="L909" s="102"/>
      <c r="M909" s="103" t="str">
        <f>if(B909,if(and(hour(B909+M$7)&gt;9.5,(hour(B909+M$7)&lt;19.5)),B909+M$7,_xlfn.workday.intl(int(B909),1,"0000001",Holidays!A:A)+hour(B909+M$7-$B$1)/24+minute(B909)/1440),"")</f>
        <v/>
      </c>
      <c r="N909" s="104"/>
      <c r="O909" s="105"/>
      <c r="P909" s="106" t="str">
        <f t="shared" si="1"/>
        <v/>
      </c>
      <c r="Q909" s="107"/>
      <c r="R909" s="108"/>
      <c r="S909" s="103" t="str">
        <f>if(M909,if(and(hour(M909+S$7)&gt;9.5,(hour(M909+S$7)&lt;19.5)),M909+S$7,_xlfn.workday.intl(int(M909),1,"0000001",Holidays!A:A)+hour(M909+S$7-$B$1)/24+minute(M909)/1440),"")</f>
        <v/>
      </c>
      <c r="T909" s="104"/>
      <c r="U909" s="105"/>
      <c r="V909" s="109" t="str">
        <f t="shared" si="2"/>
        <v/>
      </c>
      <c r="W909" s="110" t="str">
        <f t="shared" si="3"/>
        <v/>
      </c>
      <c r="X909" s="103" t="str">
        <f>if(S909,if(and(hour(S909+X$7)&gt;9.5,(hour(S909+X$7)&lt;19.5)),S909+X$7,_xlfn.workday.intl(int(S909),1,"0000001",Holidays!A:A)+hour(S909+X$7-$B$1)/24+minute(S909)/1440),"")</f>
        <v/>
      </c>
      <c r="Y909" s="104"/>
      <c r="Z909" s="105"/>
      <c r="AA909" s="111" t="str">
        <f t="shared" si="4"/>
        <v/>
      </c>
      <c r="AB909" s="110" t="str">
        <f t="shared" si="5"/>
        <v/>
      </c>
      <c r="AC909" s="103" t="str">
        <f>if(X909,_xlfn.WORKDAY.INTL(X909,AC$7,"0000001",Holidays!A:A)+hour(X909)/24+MINUTE(X909)/1440,"")</f>
        <v/>
      </c>
      <c r="AD909" s="104"/>
      <c r="AE909" s="105"/>
      <c r="AF909" s="111" t="str">
        <f t="shared" si="6"/>
        <v/>
      </c>
      <c r="AG909" s="110" t="str">
        <f t="shared" si="7"/>
        <v/>
      </c>
      <c r="AH909" s="103" t="str">
        <f>if(AC909,if(and(hour(AC909+AH$7)&gt;9.5,(hour(AC909+AH$7)&lt;19.5)),AC909+AH$7,_xlfn.workday.intl(int(AC909),1,"0000001",Holidays!A:A)+hour(AC909+AH$7-$B$1)/24+minute(AC909)/1440),"")</f>
        <v/>
      </c>
      <c r="AI909" s="104"/>
      <c r="AJ909" s="105"/>
      <c r="AK909" s="111" t="str">
        <f t="shared" si="8"/>
        <v/>
      </c>
      <c r="AL909" s="112" t="str">
        <f t="shared" si="9"/>
        <v/>
      </c>
      <c r="AM909" s="113"/>
      <c r="AN909" s="291" t="s">
        <v>2540</v>
      </c>
      <c r="AO909" s="115"/>
      <c r="AP909" s="115"/>
      <c r="AQ909" s="115"/>
      <c r="AR909" s="115"/>
      <c r="AS909" s="115"/>
      <c r="AT909" s="115"/>
      <c r="AU909" s="115"/>
      <c r="AV909" s="115"/>
      <c r="AW909" s="115"/>
      <c r="AX909" s="115"/>
      <c r="AY909" s="115"/>
    </row>
    <row r="910">
      <c r="A910" s="95" t="str">
        <f t="shared" si="11"/>
        <v/>
      </c>
      <c r="B910" s="100"/>
      <c r="C910" s="97"/>
      <c r="D910" s="97"/>
      <c r="E910" s="97"/>
      <c r="F910" s="97"/>
      <c r="G910" s="97"/>
      <c r="H910" s="99"/>
      <c r="I910" s="100"/>
      <c r="J910" s="101"/>
      <c r="K910" s="100"/>
      <c r="L910" s="102"/>
      <c r="M910" s="103" t="str">
        <f>if(B910,if(and(hour(B910+M$7)&gt;9.5,(hour(B910+M$7)&lt;19.5)),B910+M$7,_xlfn.workday.intl(int(B910),1,"0000001",Holidays!A:A)+hour(B910+M$7-$B$1)/24+minute(B910)/1440),"")</f>
        <v/>
      </c>
      <c r="N910" s="104"/>
      <c r="O910" s="105"/>
      <c r="P910" s="106" t="str">
        <f t="shared" si="1"/>
        <v/>
      </c>
      <c r="Q910" s="107"/>
      <c r="R910" s="108"/>
      <c r="S910" s="103" t="str">
        <f>if(M910,if(and(hour(M910+S$7)&gt;9.5,(hour(M910+S$7)&lt;19.5)),M910+S$7,_xlfn.workday.intl(int(M910),1,"0000001",Holidays!A:A)+hour(M910+S$7-$B$1)/24+minute(M910)/1440),"")</f>
        <v/>
      </c>
      <c r="T910" s="104"/>
      <c r="U910" s="105"/>
      <c r="V910" s="109" t="str">
        <f t="shared" si="2"/>
        <v/>
      </c>
      <c r="W910" s="110" t="str">
        <f t="shared" si="3"/>
        <v/>
      </c>
      <c r="X910" s="103" t="str">
        <f>if(S910,if(and(hour(S910+X$7)&gt;9.5,(hour(S910+X$7)&lt;19.5)),S910+X$7,_xlfn.workday.intl(int(S910),1,"0000001",Holidays!A:A)+hour(S910+X$7-$B$1)/24+minute(S910)/1440),"")</f>
        <v/>
      </c>
      <c r="Y910" s="104"/>
      <c r="Z910" s="105"/>
      <c r="AA910" s="111" t="str">
        <f t="shared" si="4"/>
        <v/>
      </c>
      <c r="AB910" s="110" t="str">
        <f t="shared" si="5"/>
        <v/>
      </c>
      <c r="AC910" s="103" t="str">
        <f>if(X910,_xlfn.WORKDAY.INTL(X910,AC$7,"0000001",Holidays!A:A)+hour(X910)/24+MINUTE(X910)/1440,"")</f>
        <v/>
      </c>
      <c r="AD910" s="104"/>
      <c r="AE910" s="105"/>
      <c r="AF910" s="111" t="str">
        <f t="shared" si="6"/>
        <v/>
      </c>
      <c r="AG910" s="110" t="str">
        <f t="shared" si="7"/>
        <v/>
      </c>
      <c r="AH910" s="103" t="str">
        <f>if(AC910,if(and(hour(AC910+AH$7)&gt;9.5,(hour(AC910+AH$7)&lt;19.5)),AC910+AH$7,_xlfn.workday.intl(int(AC910),1,"0000001",Holidays!A:A)+hour(AC910+AH$7-$B$1)/24+minute(AC910)/1440),"")</f>
        <v/>
      </c>
      <c r="AI910" s="104"/>
      <c r="AJ910" s="105"/>
      <c r="AK910" s="111" t="str">
        <f t="shared" si="8"/>
        <v/>
      </c>
      <c r="AL910" s="112" t="str">
        <f t="shared" si="9"/>
        <v/>
      </c>
      <c r="AM910" s="113"/>
      <c r="AN910" s="291" t="s">
        <v>2540</v>
      </c>
      <c r="AO910" s="115"/>
      <c r="AP910" s="115"/>
      <c r="AQ910" s="115"/>
      <c r="AR910" s="115"/>
      <c r="AS910" s="115"/>
      <c r="AT910" s="115"/>
      <c r="AU910" s="115"/>
      <c r="AV910" s="115"/>
      <c r="AW910" s="115"/>
      <c r="AX910" s="115"/>
      <c r="AY910" s="115"/>
    </row>
    <row r="911">
      <c r="A911" s="95" t="str">
        <f t="shared" si="11"/>
        <v/>
      </c>
      <c r="B911" s="100"/>
      <c r="C911" s="97"/>
      <c r="D911" s="97"/>
      <c r="E911" s="97"/>
      <c r="F911" s="97"/>
      <c r="G911" s="97"/>
      <c r="H911" s="99"/>
      <c r="I911" s="100"/>
      <c r="J911" s="101"/>
      <c r="K911" s="100"/>
      <c r="L911" s="102"/>
      <c r="M911" s="103" t="str">
        <f>if(B911,if(and(hour(B911+M$7)&gt;9.5,(hour(B911+M$7)&lt;19.5)),B911+M$7,_xlfn.workday.intl(int(B911),1,"0000001",Holidays!A:A)+hour(B911+M$7-$B$1)/24+minute(B911)/1440),"")</f>
        <v/>
      </c>
      <c r="N911" s="104"/>
      <c r="O911" s="105"/>
      <c r="P911" s="106" t="str">
        <f t="shared" si="1"/>
        <v/>
      </c>
      <c r="Q911" s="107"/>
      <c r="R911" s="108"/>
      <c r="S911" s="103" t="str">
        <f>if(M911,if(and(hour(M911+S$7)&gt;9.5,(hour(M911+S$7)&lt;19.5)),M911+S$7,_xlfn.workday.intl(int(M911),1,"0000001",Holidays!A:A)+hour(M911+S$7-$B$1)/24+minute(M911)/1440),"")</f>
        <v/>
      </c>
      <c r="T911" s="104"/>
      <c r="U911" s="105"/>
      <c r="V911" s="109" t="str">
        <f t="shared" si="2"/>
        <v/>
      </c>
      <c r="W911" s="110" t="str">
        <f t="shared" si="3"/>
        <v/>
      </c>
      <c r="X911" s="103" t="str">
        <f>if(S911,if(and(hour(S911+X$7)&gt;9.5,(hour(S911+X$7)&lt;19.5)),S911+X$7,_xlfn.workday.intl(int(S911),1,"0000001",Holidays!A:A)+hour(S911+X$7-$B$1)/24+minute(S911)/1440),"")</f>
        <v/>
      </c>
      <c r="Y911" s="104"/>
      <c r="Z911" s="105"/>
      <c r="AA911" s="111" t="str">
        <f t="shared" si="4"/>
        <v/>
      </c>
      <c r="AB911" s="110" t="str">
        <f t="shared" si="5"/>
        <v/>
      </c>
      <c r="AC911" s="103" t="str">
        <f>if(X911,_xlfn.WORKDAY.INTL(X911,AC$7,"0000001",Holidays!A:A)+hour(X911)/24+MINUTE(X911)/1440,"")</f>
        <v/>
      </c>
      <c r="AD911" s="104"/>
      <c r="AE911" s="105"/>
      <c r="AF911" s="111" t="str">
        <f t="shared" si="6"/>
        <v/>
      </c>
      <c r="AG911" s="110" t="str">
        <f t="shared" si="7"/>
        <v/>
      </c>
      <c r="AH911" s="103" t="str">
        <f>if(AC911,if(and(hour(AC911+AH$7)&gt;9.5,(hour(AC911+AH$7)&lt;19.5)),AC911+AH$7,_xlfn.workday.intl(int(AC911),1,"0000001",Holidays!A:A)+hour(AC911+AH$7-$B$1)/24+minute(AC911)/1440),"")</f>
        <v/>
      </c>
      <c r="AI911" s="104"/>
      <c r="AJ911" s="105"/>
      <c r="AK911" s="111" t="str">
        <f t="shared" si="8"/>
        <v/>
      </c>
      <c r="AL911" s="112" t="str">
        <f t="shared" si="9"/>
        <v/>
      </c>
      <c r="AM911" s="113"/>
      <c r="AN911" s="291" t="s">
        <v>2540</v>
      </c>
      <c r="AO911" s="115"/>
      <c r="AP911" s="115"/>
      <c r="AQ911" s="115"/>
      <c r="AR911" s="115"/>
      <c r="AS911" s="115"/>
      <c r="AT911" s="115"/>
      <c r="AU911" s="115"/>
      <c r="AV911" s="115"/>
      <c r="AW911" s="115"/>
      <c r="AX911" s="115"/>
      <c r="AY911" s="115"/>
    </row>
    <row r="912">
      <c r="A912" s="95" t="str">
        <f t="shared" si="11"/>
        <v/>
      </c>
      <c r="B912" s="100"/>
      <c r="C912" s="97"/>
      <c r="D912" s="97"/>
      <c r="E912" s="97"/>
      <c r="F912" s="97"/>
      <c r="G912" s="97"/>
      <c r="H912" s="99"/>
      <c r="I912" s="100"/>
      <c r="J912" s="101"/>
      <c r="K912" s="100"/>
      <c r="L912" s="102"/>
      <c r="M912" s="103" t="str">
        <f>if(B912,if(and(hour(B912+M$7)&gt;9.5,(hour(B912+M$7)&lt;19.5)),B912+M$7,_xlfn.workday.intl(int(B912),1,"0000001",Holidays!A:A)+hour(B912+M$7-$B$1)/24+minute(B912)/1440),"")</f>
        <v/>
      </c>
      <c r="N912" s="104"/>
      <c r="O912" s="105"/>
      <c r="P912" s="106" t="str">
        <f t="shared" si="1"/>
        <v/>
      </c>
      <c r="Q912" s="107"/>
      <c r="R912" s="108"/>
      <c r="S912" s="103" t="str">
        <f>if(M912,if(and(hour(M912+S$7)&gt;9.5,(hour(M912+S$7)&lt;19.5)),M912+S$7,_xlfn.workday.intl(int(M912),1,"0000001",Holidays!A:A)+hour(M912+S$7-$B$1)/24+minute(M912)/1440),"")</f>
        <v/>
      </c>
      <c r="T912" s="104"/>
      <c r="U912" s="105"/>
      <c r="V912" s="109" t="str">
        <f t="shared" si="2"/>
        <v/>
      </c>
      <c r="W912" s="110" t="str">
        <f t="shared" si="3"/>
        <v/>
      </c>
      <c r="X912" s="103" t="str">
        <f>if(S912,if(and(hour(S912+X$7)&gt;9.5,(hour(S912+X$7)&lt;19.5)),S912+X$7,_xlfn.workday.intl(int(S912),1,"0000001",Holidays!A:A)+hour(S912+X$7-$B$1)/24+minute(S912)/1440),"")</f>
        <v/>
      </c>
      <c r="Y912" s="104"/>
      <c r="Z912" s="105"/>
      <c r="AA912" s="111" t="str">
        <f t="shared" si="4"/>
        <v/>
      </c>
      <c r="AB912" s="110" t="str">
        <f t="shared" si="5"/>
        <v/>
      </c>
      <c r="AC912" s="103" t="str">
        <f>if(X912,_xlfn.WORKDAY.INTL(X912,AC$7,"0000001",Holidays!A:A)+hour(X912)/24+MINUTE(X912)/1440,"")</f>
        <v/>
      </c>
      <c r="AD912" s="104"/>
      <c r="AE912" s="105"/>
      <c r="AF912" s="111" t="str">
        <f t="shared" si="6"/>
        <v/>
      </c>
      <c r="AG912" s="110" t="str">
        <f t="shared" si="7"/>
        <v/>
      </c>
      <c r="AH912" s="103" t="str">
        <f>if(AC912,if(and(hour(AC912+AH$7)&gt;9.5,(hour(AC912+AH$7)&lt;19.5)),AC912+AH$7,_xlfn.workday.intl(int(AC912),1,"0000001",Holidays!A:A)+hour(AC912+AH$7-$B$1)/24+minute(AC912)/1440),"")</f>
        <v/>
      </c>
      <c r="AI912" s="104"/>
      <c r="AJ912" s="105"/>
      <c r="AK912" s="111" t="str">
        <f t="shared" si="8"/>
        <v/>
      </c>
      <c r="AL912" s="112" t="str">
        <f t="shared" si="9"/>
        <v/>
      </c>
      <c r="AM912" s="113"/>
      <c r="AN912" s="291" t="s">
        <v>2540</v>
      </c>
      <c r="AO912" s="115"/>
      <c r="AP912" s="115"/>
      <c r="AQ912" s="115"/>
      <c r="AR912" s="115"/>
      <c r="AS912" s="115"/>
      <c r="AT912" s="115"/>
      <c r="AU912" s="115"/>
      <c r="AV912" s="115"/>
      <c r="AW912" s="115"/>
      <c r="AX912" s="115"/>
      <c r="AY912" s="115"/>
    </row>
    <row r="913">
      <c r="A913" s="95" t="str">
        <f t="shared" si="11"/>
        <v/>
      </c>
      <c r="B913" s="100"/>
      <c r="C913" s="97"/>
      <c r="D913" s="97"/>
      <c r="E913" s="97"/>
      <c r="F913" s="97"/>
      <c r="G913" s="97"/>
      <c r="H913" s="99"/>
      <c r="I913" s="100"/>
      <c r="J913" s="101"/>
      <c r="K913" s="100"/>
      <c r="L913" s="102"/>
      <c r="M913" s="103" t="str">
        <f>if(B913,if(and(hour(B913+M$7)&gt;9.5,(hour(B913+M$7)&lt;19.5)),B913+M$7,_xlfn.workday.intl(int(B913),1,"0000001",Holidays!A:A)+hour(B913+M$7-$B$1)/24+minute(B913)/1440),"")</f>
        <v/>
      </c>
      <c r="N913" s="104"/>
      <c r="O913" s="105"/>
      <c r="P913" s="106" t="str">
        <f t="shared" si="1"/>
        <v/>
      </c>
      <c r="Q913" s="107"/>
      <c r="R913" s="108"/>
      <c r="S913" s="103" t="str">
        <f>if(M913,if(and(hour(M913+S$7)&gt;9.5,(hour(M913+S$7)&lt;19.5)),M913+S$7,_xlfn.workday.intl(int(M913),1,"0000001",Holidays!A:A)+hour(M913+S$7-$B$1)/24+minute(M913)/1440),"")</f>
        <v/>
      </c>
      <c r="T913" s="104"/>
      <c r="U913" s="105"/>
      <c r="V913" s="109" t="str">
        <f t="shared" si="2"/>
        <v/>
      </c>
      <c r="W913" s="110" t="str">
        <f t="shared" si="3"/>
        <v/>
      </c>
      <c r="X913" s="103" t="str">
        <f>if(S913,if(and(hour(S913+X$7)&gt;9.5,(hour(S913+X$7)&lt;19.5)),S913+X$7,_xlfn.workday.intl(int(S913),1,"0000001",Holidays!A:A)+hour(S913+X$7-$B$1)/24+minute(S913)/1440),"")</f>
        <v/>
      </c>
      <c r="Y913" s="104"/>
      <c r="Z913" s="105"/>
      <c r="AA913" s="111" t="str">
        <f t="shared" si="4"/>
        <v/>
      </c>
      <c r="AB913" s="110" t="str">
        <f t="shared" si="5"/>
        <v/>
      </c>
      <c r="AC913" s="103" t="str">
        <f>if(X913,_xlfn.WORKDAY.INTL(X913,AC$7,"0000001",Holidays!A:A)+hour(X913)/24+MINUTE(X913)/1440,"")</f>
        <v/>
      </c>
      <c r="AD913" s="104"/>
      <c r="AE913" s="105"/>
      <c r="AF913" s="111" t="str">
        <f t="shared" si="6"/>
        <v/>
      </c>
      <c r="AG913" s="110" t="str">
        <f t="shared" si="7"/>
        <v/>
      </c>
      <c r="AH913" s="103" t="str">
        <f>if(AC913,if(and(hour(AC913+AH$7)&gt;9.5,(hour(AC913+AH$7)&lt;19.5)),AC913+AH$7,_xlfn.workday.intl(int(AC913),1,"0000001",Holidays!A:A)+hour(AC913+AH$7-$B$1)/24+minute(AC913)/1440),"")</f>
        <v/>
      </c>
      <c r="AI913" s="104"/>
      <c r="AJ913" s="105"/>
      <c r="AK913" s="111" t="str">
        <f t="shared" si="8"/>
        <v/>
      </c>
      <c r="AL913" s="112" t="str">
        <f t="shared" si="9"/>
        <v/>
      </c>
      <c r="AM913" s="113"/>
      <c r="AN913" s="291" t="s">
        <v>2540</v>
      </c>
      <c r="AO913" s="115"/>
      <c r="AP913" s="115"/>
      <c r="AQ913" s="115"/>
      <c r="AR913" s="115"/>
      <c r="AS913" s="115"/>
      <c r="AT913" s="115"/>
      <c r="AU913" s="115"/>
      <c r="AV913" s="115"/>
      <c r="AW913" s="115"/>
      <c r="AX913" s="115"/>
      <c r="AY913" s="115"/>
    </row>
  </sheetData>
  <customSheetViews>
    <customSheetView guid="{E7356AFB-EEB4-43C8-8521-114D5CCF15EB}" filter="1" showAutoFilter="1">
      <autoFilter ref="$A$8:$AY$8"/>
    </customSheetView>
  </customSheetViews>
  <mergeCells count="38">
    <mergeCell ref="M1:R1"/>
    <mergeCell ref="AC1:AL1"/>
    <mergeCell ref="M2:R2"/>
    <mergeCell ref="S2:W2"/>
    <mergeCell ref="X2:AB2"/>
    <mergeCell ref="AC2:AG2"/>
    <mergeCell ref="AH2:AL2"/>
    <mergeCell ref="E2:L2"/>
    <mergeCell ref="H3:L3"/>
    <mergeCell ref="M3:R3"/>
    <mergeCell ref="S3:W3"/>
    <mergeCell ref="X3:AB3"/>
    <mergeCell ref="AC3:AG3"/>
    <mergeCell ref="AH3:AL3"/>
    <mergeCell ref="M5:R5"/>
    <mergeCell ref="S5:W5"/>
    <mergeCell ref="I6:L6"/>
    <mergeCell ref="M6:R6"/>
    <mergeCell ref="S6:W6"/>
    <mergeCell ref="I7:L7"/>
    <mergeCell ref="M7:R7"/>
    <mergeCell ref="S7:W7"/>
    <mergeCell ref="X5:AB5"/>
    <mergeCell ref="AC5:AG5"/>
    <mergeCell ref="X6:AB6"/>
    <mergeCell ref="AC6:AG6"/>
    <mergeCell ref="AH6:AL6"/>
    <mergeCell ref="X7:AB7"/>
    <mergeCell ref="AC7:AG7"/>
    <mergeCell ref="AH7:AL7"/>
    <mergeCell ref="I4:L4"/>
    <mergeCell ref="M4:R4"/>
    <mergeCell ref="S4:W4"/>
    <mergeCell ref="X4:AB4"/>
    <mergeCell ref="AC4:AG4"/>
    <mergeCell ref="AH4:AL4"/>
    <mergeCell ref="I5:L5"/>
    <mergeCell ref="AH5:AL5"/>
  </mergeCells>
  <conditionalFormatting sqref="M9:R913 T197">
    <cfRule type="expression" dxfId="2" priority="1">
      <formula>$O9="Cancelled"</formula>
    </cfRule>
  </conditionalFormatting>
  <conditionalFormatting sqref="M9:R913">
    <cfRule type="expression" dxfId="3" priority="2">
      <formula>IF($M9:$M913&lt;$A$2,AND($O9&lt;&gt;"done",$O9&lt;&gt;"Not required"))</formula>
    </cfRule>
  </conditionalFormatting>
  <conditionalFormatting sqref="O9:P913">
    <cfRule type="expression" dxfId="3" priority="3">
      <formula>IF($M9=" ",$O9=0)</formula>
    </cfRule>
  </conditionalFormatting>
  <conditionalFormatting sqref="X9:AB913 T193 T199">
    <cfRule type="expression" dxfId="2" priority="4">
      <formula>$Z9="Cancelled"</formula>
    </cfRule>
  </conditionalFormatting>
  <conditionalFormatting sqref="X9:AB913 T193 T199">
    <cfRule type="expression" dxfId="3" priority="5">
      <formula>IF($X9:$X913&lt;$A$2,and($Z9&lt;&gt;"done",$Z9&lt;&gt;"Not required"))</formula>
    </cfRule>
  </conditionalFormatting>
  <conditionalFormatting sqref="X9:AB913 T193 T199">
    <cfRule type="expression" dxfId="3" priority="6">
      <formula>IF($X9=" ",$Z9=0)</formula>
    </cfRule>
  </conditionalFormatting>
  <conditionalFormatting sqref="AA9:AA913">
    <cfRule type="expression" dxfId="3" priority="7">
      <formula>If($Z9="pending",AA9&lt;&gt;0)</formula>
    </cfRule>
  </conditionalFormatting>
  <conditionalFormatting sqref="P9:P913">
    <cfRule type="expression" dxfId="3" priority="8">
      <formula>If($O9="pending",P9&lt;&gt;0)</formula>
    </cfRule>
  </conditionalFormatting>
  <conditionalFormatting sqref="S9:W913 AI76:AI80 AD78 Y81">
    <cfRule type="expression" dxfId="2" priority="9">
      <formula>$U9="Cancelled"</formula>
    </cfRule>
  </conditionalFormatting>
  <conditionalFormatting sqref="S9:W913 AI76:AI80 AD78 Y81">
    <cfRule type="expression" dxfId="3" priority="10">
      <formula>IF($S9:$S913&lt;$A$2,AND($U9&lt;&gt;"done",$U9&lt;&gt;"Not required"))</formula>
    </cfRule>
  </conditionalFormatting>
  <conditionalFormatting sqref="S9:W913 AI76:AI80 AD78 Y81">
    <cfRule type="expression" dxfId="3" priority="11">
      <formula>IF($S9=" ",$U9=0)</formula>
    </cfRule>
  </conditionalFormatting>
  <conditionalFormatting sqref="V9:V913">
    <cfRule type="expression" dxfId="3" priority="12">
      <formula>If($U9="pending",V9&lt;&gt;0)</formula>
    </cfRule>
  </conditionalFormatting>
  <conditionalFormatting sqref="AC9:AG913">
    <cfRule type="expression" dxfId="2" priority="13">
      <formula>$AE9="Cancelled"</formula>
    </cfRule>
  </conditionalFormatting>
  <conditionalFormatting sqref="AC9:AG913">
    <cfRule type="expression" dxfId="3" priority="14">
      <formula>IF($AC9:$AC913&lt;$A$2,and($AE9&lt;&gt;"done",$AE9&lt;&gt;"Not required"))</formula>
    </cfRule>
  </conditionalFormatting>
  <conditionalFormatting sqref="AC9:AC913">
    <cfRule type="expression" dxfId="3" priority="15">
      <formula>IF($AC9=" ",$AE9=0)</formula>
    </cfRule>
  </conditionalFormatting>
  <conditionalFormatting sqref="AC9:AG913">
    <cfRule type="expression" dxfId="3" priority="16">
      <formula>If($AE9="pending",AF9&lt;&gt;0)</formula>
    </cfRule>
  </conditionalFormatting>
  <conditionalFormatting sqref="AH9:AL913">
    <cfRule type="expression" dxfId="2" priority="17">
      <formula>$AJ9="Cancelled"</formula>
    </cfRule>
  </conditionalFormatting>
  <conditionalFormatting sqref="AH9:AL913">
    <cfRule type="expression" dxfId="3" priority="18">
      <formula>IF($AH9:$AH913&lt;$A$2,and($AJ9&lt;&gt;"done",$AJ9&lt;&gt;"Not required"))</formula>
    </cfRule>
  </conditionalFormatting>
  <conditionalFormatting sqref="AH9:AL913">
    <cfRule type="expression" dxfId="3" priority="19">
      <formula>IF($AH9=" ",$AJ9=0)</formula>
    </cfRule>
  </conditionalFormatting>
  <conditionalFormatting sqref="AK9:AK913">
    <cfRule type="expression" dxfId="3" priority="20">
      <formula>If($AJ9="pending",AK9&lt;&gt;0)</formula>
    </cfRule>
  </conditionalFormatting>
  <conditionalFormatting sqref="M9:R913 T197">
    <cfRule type="expression" dxfId="4" priority="21">
      <formula>$O9="Done"</formula>
    </cfRule>
  </conditionalFormatting>
  <conditionalFormatting sqref="M9:R913 T197">
    <cfRule type="expression" dxfId="5" priority="22">
      <formula>if($O9="Done",$U9="")</formula>
    </cfRule>
  </conditionalFormatting>
  <conditionalFormatting sqref="S9:W913 AI76:AI80 AD78 Y81">
    <cfRule type="expression" dxfId="6" priority="23">
      <formula>$U9="Done"</formula>
    </cfRule>
  </conditionalFormatting>
  <conditionalFormatting sqref="X9:AB913 T193 T199">
    <cfRule type="expression" dxfId="4" priority="24">
      <formula>$Z9="Done"</formula>
    </cfRule>
  </conditionalFormatting>
  <conditionalFormatting sqref="X9:AB913 T193 T199">
    <cfRule type="expression" dxfId="5" priority="25">
      <formula>if($U9="Done",$Z9="")</formula>
    </cfRule>
  </conditionalFormatting>
  <conditionalFormatting sqref="AC9:AG913">
    <cfRule type="expression" dxfId="4" priority="26">
      <formula>$AE9="Done"</formula>
    </cfRule>
  </conditionalFormatting>
  <conditionalFormatting sqref="AC9:AG913">
    <cfRule type="expression" dxfId="5" priority="27">
      <formula>if($Z9="Done",$AE9="")</formula>
    </cfRule>
  </conditionalFormatting>
  <conditionalFormatting sqref="AH9:AL913">
    <cfRule type="expression" dxfId="4" priority="28">
      <formula>$AJ9="Done"</formula>
    </cfRule>
  </conditionalFormatting>
  <conditionalFormatting sqref="A9:L913">
    <cfRule type="expression" dxfId="5" priority="29">
      <formula>if($O9="Done",$AJ9="")</formula>
    </cfRule>
  </conditionalFormatting>
  <conditionalFormatting sqref="A9:AL913">
    <cfRule type="expression" dxfId="4" priority="30">
      <formula>$AJ9="Done"</formula>
    </cfRule>
  </conditionalFormatting>
  <conditionalFormatting sqref="AH9:AL913">
    <cfRule type="expression" dxfId="5" priority="31">
      <formula>if($AE9="Done",$AJ9="")</formula>
    </cfRule>
  </conditionalFormatting>
  <conditionalFormatting sqref="S9:W913 AI76:AI80 AD78 Y81">
    <cfRule type="expression" dxfId="7" priority="32">
      <formula>if($U9="Done",$Z9="")</formula>
    </cfRule>
  </conditionalFormatting>
  <conditionalFormatting sqref="A2">
    <cfRule type="notContainsBlanks" dxfId="8" priority="33">
      <formula>LEN(TRIM(A2))&gt;0</formula>
    </cfRule>
  </conditionalFormatting>
  <conditionalFormatting sqref="M9:Q913">
    <cfRule type="expression" dxfId="9" priority="34">
      <formula>AND($O9="Done",$P9&lt;0)</formula>
    </cfRule>
  </conditionalFormatting>
  <conditionalFormatting sqref="V309:V913">
    <cfRule type="expression" dxfId="10" priority="35">
      <formula>AND($U9="Done",$V9&lt;0)</formula>
    </cfRule>
  </conditionalFormatting>
  <dataValidations>
    <dataValidation type="list" allowBlank="1" showInputMessage="1" showErrorMessage="1" prompt="Click and enter a value from range FMS!AN2:AN4" sqref="O9:O913 U9:U913 Z9:Z913 AE9:AE913 AJ9:AJ913">
      <formula1>'FMS MASTER'!$A$2:$A$5</formula1>
    </dataValidation>
    <dataValidation type="list" allowBlank="1" showErrorMessage="1" sqref="R9:R913">
      <formula1>'FMS MASTER'!$C$2:$C$3</formula1>
    </dataValidation>
    <dataValidation type="list" allowBlank="1" showErrorMessage="1" sqref="Q9:Q913">
      <formula1>'FMS MASTER'!$B$2:$B$5</formula1>
    </dataValidation>
    <dataValidation type="custom" allowBlank="1" showDropDown="1" showErrorMessage="1" sqref="Y9:Y316 N9:N913 T9:T913 Y318:Y913 AD9:AD913 AI9:AI913">
      <formula1>OR(NOT(ISERROR(DATEVALUE(N9))), AND(ISNUMBER(N9), LEFT(CELL("format", N9))="D"))</formula1>
    </dataValidation>
  </dataValidations>
  <hyperlinks>
    <hyperlink r:id="rId1" ref="B6"/>
    <hyperlink r:id="rId2" ref="E9"/>
    <hyperlink r:id="rId3" ref="E10"/>
    <hyperlink r:id="rId4" ref="AN10"/>
    <hyperlink r:id="rId5" ref="E11"/>
    <hyperlink r:id="rId6" ref="AN11"/>
    <hyperlink r:id="rId7" ref="E12"/>
    <hyperlink r:id="rId8" ref="AN12"/>
    <hyperlink r:id="rId9" ref="E13"/>
    <hyperlink r:id="rId10" ref="AN13"/>
    <hyperlink r:id="rId11" ref="E14"/>
    <hyperlink r:id="rId12" ref="AN14"/>
    <hyperlink r:id="rId13" ref="E15"/>
    <hyperlink r:id="rId14" ref="AN15"/>
    <hyperlink r:id="rId15" ref="E16"/>
    <hyperlink r:id="rId16" ref="AN16"/>
    <hyperlink r:id="rId17" ref="E17"/>
    <hyperlink r:id="rId18" ref="F17"/>
    <hyperlink r:id="rId19" ref="AN17"/>
    <hyperlink r:id="rId20" ref="E18"/>
    <hyperlink r:id="rId21" ref="AN18"/>
    <hyperlink r:id="rId22" ref="E19"/>
    <hyperlink r:id="rId23" ref="AN19"/>
    <hyperlink r:id="rId24" ref="E20"/>
    <hyperlink r:id="rId25" ref="AN20"/>
    <hyperlink r:id="rId26" ref="E21"/>
    <hyperlink r:id="rId27" ref="AN21"/>
    <hyperlink r:id="rId28" ref="E22"/>
    <hyperlink r:id="rId29" ref="AN22"/>
    <hyperlink r:id="rId30" ref="E23"/>
    <hyperlink r:id="rId31" ref="F23"/>
    <hyperlink r:id="rId32" ref="AN23"/>
    <hyperlink r:id="rId33" ref="E24"/>
    <hyperlink r:id="rId34" ref="AN24"/>
    <hyperlink r:id="rId35" ref="E25"/>
    <hyperlink r:id="rId36" ref="AN25"/>
    <hyperlink r:id="rId37" ref="E26"/>
    <hyperlink r:id="rId38" ref="AN26"/>
    <hyperlink r:id="rId39" ref="E27"/>
    <hyperlink r:id="rId40" ref="AN27"/>
    <hyperlink r:id="rId41" ref="E28"/>
    <hyperlink r:id="rId42" ref="AN28"/>
    <hyperlink r:id="rId43" ref="E29"/>
    <hyperlink r:id="rId44" ref="F29"/>
    <hyperlink r:id="rId45" ref="AN29"/>
    <hyperlink r:id="rId46" ref="E30"/>
    <hyperlink r:id="rId47" ref="AN30"/>
    <hyperlink r:id="rId48" ref="E31"/>
    <hyperlink r:id="rId49" ref="AN31"/>
    <hyperlink r:id="rId50" ref="E32"/>
    <hyperlink r:id="rId51" ref="AN32"/>
    <hyperlink r:id="rId52" ref="E33"/>
    <hyperlink r:id="rId53" ref="AN33"/>
    <hyperlink r:id="rId54" ref="E34"/>
    <hyperlink r:id="rId55" ref="AN34"/>
    <hyperlink r:id="rId56" ref="E35"/>
    <hyperlink r:id="rId57" ref="AN35"/>
    <hyperlink r:id="rId58" ref="E36"/>
    <hyperlink r:id="rId59" ref="AN36"/>
    <hyperlink r:id="rId60" ref="E37"/>
    <hyperlink r:id="rId61" ref="AN37"/>
    <hyperlink r:id="rId62" ref="E38"/>
    <hyperlink r:id="rId63" ref="AN38"/>
    <hyperlink r:id="rId64" ref="E39"/>
    <hyperlink r:id="rId65" ref="AN39"/>
    <hyperlink r:id="rId66" ref="E40"/>
    <hyperlink r:id="rId67" ref="F40"/>
    <hyperlink r:id="rId68" ref="AN40"/>
    <hyperlink r:id="rId69" ref="E41"/>
    <hyperlink r:id="rId70" ref="F41"/>
    <hyperlink r:id="rId71" ref="AN41"/>
    <hyperlink r:id="rId72" ref="E42"/>
    <hyperlink r:id="rId73" ref="AN42"/>
    <hyperlink r:id="rId74" ref="E43"/>
    <hyperlink r:id="rId75" ref="F43"/>
    <hyperlink r:id="rId76" ref="AN43"/>
    <hyperlink r:id="rId77" ref="E44"/>
    <hyperlink r:id="rId78" ref="AN44"/>
    <hyperlink r:id="rId79" ref="E45"/>
    <hyperlink r:id="rId80" ref="AN45"/>
    <hyperlink r:id="rId81" ref="E46"/>
    <hyperlink r:id="rId82" ref="F46"/>
    <hyperlink r:id="rId83" ref="AN46"/>
    <hyperlink r:id="rId84" ref="E47"/>
    <hyperlink r:id="rId85" ref="F47"/>
    <hyperlink r:id="rId86" ref="AN47"/>
    <hyperlink r:id="rId87" ref="E48"/>
    <hyperlink r:id="rId88" ref="AN48"/>
    <hyperlink r:id="rId89" ref="E49"/>
    <hyperlink r:id="rId90" ref="AN49"/>
    <hyperlink r:id="rId91" ref="E50"/>
    <hyperlink r:id="rId92" ref="AN50"/>
    <hyperlink r:id="rId93" ref="E51"/>
    <hyperlink r:id="rId94" ref="AN51"/>
    <hyperlink r:id="rId95" ref="E52"/>
    <hyperlink r:id="rId96" ref="AN52"/>
    <hyperlink r:id="rId97" ref="E53"/>
    <hyperlink r:id="rId98" ref="AN53"/>
    <hyperlink r:id="rId99" ref="E54"/>
    <hyperlink r:id="rId100" ref="F54"/>
    <hyperlink r:id="rId101" ref="AN54"/>
    <hyperlink r:id="rId102" ref="E55"/>
    <hyperlink r:id="rId103" ref="F55"/>
    <hyperlink r:id="rId104" ref="AN55"/>
    <hyperlink r:id="rId105" ref="E56"/>
    <hyperlink r:id="rId106" ref="AN56"/>
    <hyperlink r:id="rId107" ref="E57"/>
    <hyperlink r:id="rId108" ref="F57"/>
    <hyperlink r:id="rId109" ref="AN57"/>
    <hyperlink r:id="rId110" ref="E58"/>
    <hyperlink r:id="rId111" ref="F58"/>
    <hyperlink r:id="rId112" ref="AN58"/>
    <hyperlink r:id="rId113" ref="E59"/>
    <hyperlink r:id="rId114" ref="F59"/>
    <hyperlink r:id="rId115" ref="AN59"/>
    <hyperlink r:id="rId116" ref="E60"/>
    <hyperlink r:id="rId117" ref="AN60"/>
    <hyperlink r:id="rId118" ref="E61"/>
    <hyperlink r:id="rId119" ref="AN61"/>
    <hyperlink r:id="rId120" ref="E62"/>
    <hyperlink r:id="rId121" ref="AN62"/>
    <hyperlink r:id="rId122" ref="E63"/>
    <hyperlink r:id="rId123" ref="AN63"/>
    <hyperlink r:id="rId124" ref="E64"/>
    <hyperlink r:id="rId125" ref="F64"/>
    <hyperlink r:id="rId126" ref="AN64"/>
    <hyperlink r:id="rId127" ref="E65"/>
    <hyperlink r:id="rId128" ref="F65"/>
    <hyperlink r:id="rId129" ref="AN65"/>
    <hyperlink r:id="rId130" ref="E66"/>
    <hyperlink r:id="rId131" ref="AN66"/>
    <hyperlink r:id="rId132" ref="E67"/>
    <hyperlink r:id="rId133" ref="AN67"/>
    <hyperlink r:id="rId134" ref="E68"/>
    <hyperlink r:id="rId135" ref="AN68"/>
    <hyperlink r:id="rId136" ref="E69"/>
    <hyperlink r:id="rId137" ref="AN69"/>
    <hyperlink r:id="rId138" ref="E70"/>
    <hyperlink r:id="rId139" ref="AN70"/>
    <hyperlink r:id="rId140" ref="E71"/>
    <hyperlink r:id="rId141" ref="AN71"/>
    <hyperlink r:id="rId142" ref="E72"/>
    <hyperlink r:id="rId143" ref="AN72"/>
    <hyperlink r:id="rId144" ref="E73"/>
    <hyperlink r:id="rId145" ref="AN73"/>
    <hyperlink r:id="rId146" ref="E74"/>
    <hyperlink r:id="rId147" ref="AN74"/>
    <hyperlink r:id="rId148" ref="E75"/>
    <hyperlink r:id="rId149" ref="AN75"/>
    <hyperlink r:id="rId150" ref="E76"/>
    <hyperlink r:id="rId151" ref="AN76"/>
    <hyperlink r:id="rId152" ref="E77"/>
    <hyperlink r:id="rId153" ref="F77"/>
    <hyperlink r:id="rId154" ref="AN77"/>
    <hyperlink r:id="rId155" ref="E78"/>
    <hyperlink r:id="rId156" ref="F78"/>
    <hyperlink r:id="rId157" ref="AN78"/>
    <hyperlink r:id="rId158" ref="E79"/>
    <hyperlink r:id="rId159" ref="AN79"/>
    <hyperlink r:id="rId160" ref="E80"/>
    <hyperlink r:id="rId161" ref="AN80"/>
    <hyperlink r:id="rId162" ref="E81"/>
    <hyperlink r:id="rId163" ref="AN81"/>
    <hyperlink r:id="rId164" ref="E82"/>
    <hyperlink r:id="rId165" ref="F82"/>
    <hyperlink r:id="rId166" ref="AN82"/>
    <hyperlink r:id="rId167" ref="E83"/>
    <hyperlink r:id="rId168" ref="F83"/>
    <hyperlink r:id="rId169" ref="AN83"/>
    <hyperlink r:id="rId170" ref="E84"/>
    <hyperlink r:id="rId171" ref="F84"/>
    <hyperlink r:id="rId172" ref="AN84"/>
    <hyperlink r:id="rId173" ref="E85"/>
    <hyperlink r:id="rId174" ref="AN85"/>
    <hyperlink r:id="rId175" ref="E86"/>
    <hyperlink r:id="rId176" ref="F86"/>
    <hyperlink r:id="rId177" ref="AN86"/>
    <hyperlink r:id="rId178" ref="E87"/>
    <hyperlink r:id="rId179" ref="F87"/>
    <hyperlink r:id="rId180" ref="AN87"/>
    <hyperlink r:id="rId181" ref="E88"/>
    <hyperlink r:id="rId182" ref="F88"/>
    <hyperlink r:id="rId183" ref="AN88"/>
    <hyperlink r:id="rId184" ref="E89"/>
    <hyperlink r:id="rId185" ref="AN89"/>
    <hyperlink r:id="rId186" ref="E90"/>
    <hyperlink r:id="rId187" ref="AN90"/>
    <hyperlink r:id="rId188" ref="E91"/>
    <hyperlink r:id="rId189" ref="AN91"/>
    <hyperlink r:id="rId190" ref="E92"/>
    <hyperlink r:id="rId191" ref="F92"/>
    <hyperlink r:id="rId192" ref="AN92"/>
    <hyperlink r:id="rId193" ref="E93"/>
    <hyperlink r:id="rId194" ref="AN93"/>
    <hyperlink r:id="rId195" ref="E94"/>
    <hyperlink r:id="rId196" ref="F94"/>
    <hyperlink r:id="rId197" ref="AN94"/>
    <hyperlink r:id="rId198" ref="E95"/>
    <hyperlink r:id="rId199" ref="AN95"/>
    <hyperlink r:id="rId200" ref="E96"/>
    <hyperlink r:id="rId201" ref="AN96"/>
    <hyperlink r:id="rId202" ref="E97"/>
    <hyperlink r:id="rId203" ref="AN97"/>
    <hyperlink r:id="rId204" ref="E98"/>
    <hyperlink r:id="rId205" ref="AN98"/>
    <hyperlink r:id="rId206" ref="E99"/>
    <hyperlink r:id="rId207" ref="AN99"/>
    <hyperlink r:id="rId208" ref="E100"/>
    <hyperlink r:id="rId209" ref="AN100"/>
    <hyperlink r:id="rId210" ref="E101"/>
    <hyperlink r:id="rId211" ref="AN101"/>
    <hyperlink r:id="rId212" ref="E102"/>
    <hyperlink r:id="rId213" ref="AN102"/>
    <hyperlink r:id="rId214" ref="E103"/>
    <hyperlink r:id="rId215" ref="F103"/>
    <hyperlink r:id="rId216" ref="AN103"/>
    <hyperlink r:id="rId217" ref="E104"/>
    <hyperlink r:id="rId218" ref="F104"/>
    <hyperlink r:id="rId219" ref="AN104"/>
    <hyperlink r:id="rId220" ref="E105"/>
    <hyperlink r:id="rId221" ref="F105"/>
    <hyperlink r:id="rId222" ref="AN105"/>
    <hyperlink r:id="rId223" ref="E106"/>
    <hyperlink r:id="rId224" ref="AN106"/>
    <hyperlink r:id="rId225" ref="E107"/>
    <hyperlink r:id="rId226" ref="AN107"/>
    <hyperlink r:id="rId227" ref="E108"/>
    <hyperlink r:id="rId228" ref="AN108"/>
    <hyperlink r:id="rId229" ref="E109"/>
    <hyperlink r:id="rId230" ref="AN109"/>
    <hyperlink r:id="rId231" ref="E110"/>
    <hyperlink r:id="rId232" ref="AN110"/>
    <hyperlink r:id="rId233" ref="E111"/>
    <hyperlink r:id="rId234" ref="AN111"/>
    <hyperlink r:id="rId235" ref="E112"/>
    <hyperlink r:id="rId236" ref="AN112"/>
    <hyperlink r:id="rId237" ref="E113"/>
    <hyperlink r:id="rId238" ref="AN113"/>
    <hyperlink r:id="rId239" ref="E114"/>
    <hyperlink r:id="rId240" ref="AN114"/>
    <hyperlink r:id="rId241" ref="E115"/>
    <hyperlink r:id="rId242" ref="AN115"/>
    <hyperlink r:id="rId243" ref="E116"/>
    <hyperlink r:id="rId244" ref="AN116"/>
    <hyperlink r:id="rId245" ref="E117"/>
    <hyperlink r:id="rId246" ref="AN117"/>
    <hyperlink r:id="rId247" ref="E118"/>
    <hyperlink r:id="rId248" ref="AN118"/>
    <hyperlink r:id="rId249" ref="E119"/>
    <hyperlink r:id="rId250" ref="AN119"/>
    <hyperlink r:id="rId251" ref="E120"/>
    <hyperlink r:id="rId252" ref="AN120"/>
    <hyperlink r:id="rId253" ref="E121"/>
    <hyperlink r:id="rId254" ref="AN121"/>
    <hyperlink r:id="rId255" ref="E122"/>
    <hyperlink r:id="rId256" ref="F122"/>
    <hyperlink r:id="rId257" ref="AN122"/>
    <hyperlink r:id="rId258" ref="E123"/>
    <hyperlink r:id="rId259" ref="AN123"/>
    <hyperlink r:id="rId260" ref="E124"/>
    <hyperlink r:id="rId261" ref="AN124"/>
    <hyperlink r:id="rId262" ref="E125"/>
    <hyperlink r:id="rId263" ref="F125"/>
    <hyperlink r:id="rId264" ref="AN125"/>
    <hyperlink r:id="rId265" ref="E126"/>
    <hyperlink r:id="rId266" ref="AN126"/>
    <hyperlink r:id="rId267" ref="E127"/>
    <hyperlink r:id="rId268" ref="F127"/>
    <hyperlink r:id="rId269" ref="AN127"/>
    <hyperlink r:id="rId270" ref="E128"/>
    <hyperlink r:id="rId271" ref="AN128"/>
    <hyperlink r:id="rId272" ref="E129"/>
    <hyperlink r:id="rId273" ref="AN129"/>
    <hyperlink r:id="rId274" ref="E130"/>
    <hyperlink r:id="rId275" ref="AN130"/>
    <hyperlink r:id="rId276" ref="E131"/>
    <hyperlink r:id="rId277" ref="AN131"/>
    <hyperlink r:id="rId278" ref="E132"/>
    <hyperlink r:id="rId279" ref="AN132"/>
    <hyperlink r:id="rId280" ref="E133"/>
    <hyperlink r:id="rId281" ref="AN133"/>
    <hyperlink r:id="rId282" ref="E134"/>
    <hyperlink r:id="rId283" ref="AN134"/>
    <hyperlink r:id="rId284" ref="E135"/>
    <hyperlink r:id="rId285" ref="AN135"/>
    <hyperlink r:id="rId286" ref="E136"/>
    <hyperlink r:id="rId287" ref="AN136"/>
    <hyperlink r:id="rId288" ref="E137"/>
    <hyperlink r:id="rId289" ref="F137"/>
    <hyperlink r:id="rId290" ref="AN137"/>
    <hyperlink r:id="rId291" ref="E138"/>
    <hyperlink r:id="rId292" ref="F138"/>
    <hyperlink r:id="rId293" ref="AN138"/>
    <hyperlink r:id="rId294" ref="E139"/>
    <hyperlink r:id="rId295" ref="AN139"/>
    <hyperlink r:id="rId296" ref="E140"/>
    <hyperlink r:id="rId297" ref="F140"/>
    <hyperlink r:id="rId298" ref="AN140"/>
    <hyperlink r:id="rId299" ref="E141"/>
    <hyperlink r:id="rId300" ref="F141"/>
    <hyperlink r:id="rId301" ref="AN141"/>
    <hyperlink r:id="rId302" ref="E142"/>
    <hyperlink r:id="rId303" ref="AN142"/>
    <hyperlink r:id="rId304" ref="E143"/>
    <hyperlink r:id="rId305" ref="AN143"/>
    <hyperlink r:id="rId306" ref="E144"/>
    <hyperlink r:id="rId307" ref="F144"/>
    <hyperlink r:id="rId308" ref="AN144"/>
    <hyperlink r:id="rId309" ref="E145"/>
    <hyperlink r:id="rId310" ref="AN145"/>
    <hyperlink r:id="rId311" ref="E146"/>
    <hyperlink r:id="rId312" ref="F146"/>
    <hyperlink r:id="rId313" ref="AN146"/>
    <hyperlink r:id="rId314" ref="E147"/>
    <hyperlink r:id="rId315" ref="AN147"/>
    <hyperlink r:id="rId316" ref="E148"/>
    <hyperlink r:id="rId317" ref="AN148"/>
    <hyperlink r:id="rId318" ref="E149"/>
    <hyperlink r:id="rId319" ref="AN149"/>
    <hyperlink r:id="rId320" ref="E150"/>
    <hyperlink r:id="rId321" ref="AN150"/>
    <hyperlink r:id="rId322" ref="E151"/>
    <hyperlink r:id="rId323" ref="AN151"/>
    <hyperlink r:id="rId324" ref="E152"/>
    <hyperlink r:id="rId325" ref="F152"/>
    <hyperlink r:id="rId326" ref="AN152"/>
    <hyperlink r:id="rId327" ref="E153"/>
    <hyperlink r:id="rId328" ref="AN153"/>
    <hyperlink r:id="rId329" ref="E154"/>
    <hyperlink r:id="rId330" ref="AN154"/>
    <hyperlink r:id="rId331" ref="E155"/>
    <hyperlink r:id="rId332" ref="AN155"/>
    <hyperlink r:id="rId333" ref="E156"/>
    <hyperlink r:id="rId334" ref="AN156"/>
    <hyperlink r:id="rId335" ref="E157"/>
    <hyperlink r:id="rId336" ref="F157"/>
    <hyperlink r:id="rId337" ref="AN157"/>
    <hyperlink r:id="rId338" ref="E158"/>
    <hyperlink r:id="rId339" ref="F158"/>
    <hyperlink r:id="rId340" ref="AN158"/>
    <hyperlink r:id="rId341" ref="E159"/>
    <hyperlink r:id="rId342" ref="AN159"/>
    <hyperlink r:id="rId343" ref="E160"/>
    <hyperlink r:id="rId344" ref="AN160"/>
    <hyperlink r:id="rId345" ref="E161"/>
    <hyperlink r:id="rId346" ref="AN161"/>
    <hyperlink r:id="rId347" ref="E162"/>
    <hyperlink r:id="rId348" ref="AN162"/>
    <hyperlink r:id="rId349" ref="E163"/>
    <hyperlink r:id="rId350" ref="AN163"/>
    <hyperlink r:id="rId351" ref="E164"/>
    <hyperlink r:id="rId352" ref="AN164"/>
    <hyperlink r:id="rId353" ref="E165"/>
    <hyperlink r:id="rId354" ref="AN165"/>
    <hyperlink r:id="rId355" ref="E166"/>
    <hyperlink r:id="rId356" ref="F166"/>
    <hyperlink r:id="rId357" ref="AN166"/>
    <hyperlink r:id="rId358" ref="E167"/>
    <hyperlink r:id="rId359" ref="F167"/>
    <hyperlink r:id="rId360" ref="AN167"/>
    <hyperlink r:id="rId361" ref="E168"/>
    <hyperlink r:id="rId362" ref="AN168"/>
    <hyperlink r:id="rId363" ref="E169"/>
    <hyperlink r:id="rId364" ref="F169"/>
    <hyperlink r:id="rId365" ref="AN169"/>
    <hyperlink r:id="rId366" ref="E170"/>
    <hyperlink r:id="rId367" ref="AN170"/>
    <hyperlink r:id="rId368" ref="E171"/>
    <hyperlink r:id="rId369" ref="AN171"/>
    <hyperlink r:id="rId370" ref="E172"/>
    <hyperlink r:id="rId371" ref="AN172"/>
    <hyperlink r:id="rId372" ref="E173"/>
    <hyperlink r:id="rId373" ref="F173"/>
    <hyperlink r:id="rId374" ref="AN173"/>
    <hyperlink r:id="rId375" ref="E174"/>
    <hyperlink r:id="rId376" ref="AN174"/>
    <hyperlink r:id="rId377" ref="E175"/>
    <hyperlink r:id="rId378" ref="AN175"/>
    <hyperlink r:id="rId379" ref="E176"/>
    <hyperlink r:id="rId380" ref="AN176"/>
    <hyperlink r:id="rId381" ref="E177"/>
    <hyperlink r:id="rId382" ref="AN177"/>
    <hyperlink r:id="rId383" ref="E178"/>
    <hyperlink r:id="rId384" ref="AN178"/>
    <hyperlink r:id="rId385" ref="E179"/>
    <hyperlink r:id="rId386" ref="AN179"/>
    <hyperlink r:id="rId387" ref="E180"/>
    <hyperlink r:id="rId388" ref="AN180"/>
    <hyperlink r:id="rId389" ref="E181"/>
    <hyperlink r:id="rId390" ref="AN181"/>
    <hyperlink r:id="rId391" ref="E182"/>
    <hyperlink r:id="rId392" ref="AN182"/>
    <hyperlink r:id="rId393" ref="E183"/>
    <hyperlink r:id="rId394" ref="AN183"/>
    <hyperlink r:id="rId395" ref="E184"/>
    <hyperlink r:id="rId396" ref="AN184"/>
    <hyperlink r:id="rId397" ref="E185"/>
    <hyperlink r:id="rId398" ref="AN185"/>
    <hyperlink r:id="rId399" ref="E186"/>
    <hyperlink r:id="rId400" ref="F186"/>
    <hyperlink r:id="rId401" ref="AN186"/>
    <hyperlink r:id="rId402" ref="E187"/>
    <hyperlink r:id="rId403" ref="F187"/>
    <hyperlink r:id="rId404" ref="AN187"/>
    <hyperlink r:id="rId405" ref="E188"/>
    <hyperlink r:id="rId406" ref="F188"/>
    <hyperlink r:id="rId407" ref="AN188"/>
    <hyperlink r:id="rId408" ref="E189"/>
    <hyperlink r:id="rId409" ref="F189"/>
    <hyperlink r:id="rId410" ref="AN189"/>
    <hyperlink r:id="rId411" ref="E190"/>
    <hyperlink r:id="rId412" ref="AN190"/>
    <hyperlink r:id="rId413" ref="E191"/>
    <hyperlink r:id="rId414" ref="AN191"/>
    <hyperlink r:id="rId415" ref="E192"/>
    <hyperlink r:id="rId416" ref="AN192"/>
    <hyperlink r:id="rId417" ref="E193"/>
    <hyperlink r:id="rId418" ref="AN193"/>
    <hyperlink r:id="rId419" ref="E194"/>
    <hyperlink r:id="rId420" ref="AN194"/>
    <hyperlink r:id="rId421" ref="E195"/>
    <hyperlink r:id="rId422" ref="AN195"/>
    <hyperlink r:id="rId423" ref="E196"/>
    <hyperlink r:id="rId424" ref="F196"/>
    <hyperlink r:id="rId425" ref="AN196"/>
    <hyperlink r:id="rId426" ref="E197"/>
    <hyperlink r:id="rId427" ref="AN197"/>
    <hyperlink r:id="rId428" ref="E198"/>
    <hyperlink r:id="rId429" ref="F198"/>
    <hyperlink r:id="rId430" ref="AN198"/>
    <hyperlink r:id="rId431" ref="E199"/>
    <hyperlink r:id="rId432" ref="AN199"/>
    <hyperlink r:id="rId433" ref="E200"/>
    <hyperlink r:id="rId434" ref="F200"/>
    <hyperlink r:id="rId435" ref="AN200"/>
    <hyperlink r:id="rId436" ref="E201"/>
    <hyperlink r:id="rId437" ref="AN201"/>
    <hyperlink r:id="rId438" ref="E202"/>
    <hyperlink r:id="rId439" ref="AN202"/>
    <hyperlink r:id="rId440" ref="E203"/>
    <hyperlink r:id="rId441" ref="AN203"/>
    <hyperlink r:id="rId442" ref="E204"/>
    <hyperlink r:id="rId443" ref="F204"/>
    <hyperlink r:id="rId444" ref="AN204"/>
    <hyperlink r:id="rId445" ref="E205"/>
    <hyperlink r:id="rId446" ref="AN205"/>
    <hyperlink r:id="rId447" ref="E206"/>
    <hyperlink r:id="rId448" ref="AN206"/>
    <hyperlink r:id="rId449" ref="E207"/>
    <hyperlink r:id="rId450" ref="AN207"/>
    <hyperlink r:id="rId451" ref="E208"/>
    <hyperlink r:id="rId452" ref="AN208"/>
    <hyperlink r:id="rId453" ref="E209"/>
    <hyperlink r:id="rId454" ref="AN209"/>
    <hyperlink r:id="rId455" ref="E210"/>
    <hyperlink r:id="rId456" ref="AN210"/>
    <hyperlink r:id="rId457" ref="E211"/>
    <hyperlink r:id="rId458" ref="AN211"/>
    <hyperlink r:id="rId459" ref="E212"/>
    <hyperlink r:id="rId460" ref="F212"/>
    <hyperlink r:id="rId461" ref="AN212"/>
    <hyperlink r:id="rId462" ref="E213"/>
    <hyperlink r:id="rId463" ref="AN213"/>
    <hyperlink r:id="rId464" ref="E214"/>
    <hyperlink r:id="rId465" ref="AN214"/>
    <hyperlink r:id="rId466" ref="E215"/>
    <hyperlink r:id="rId467" ref="AN215"/>
    <hyperlink r:id="rId468" ref="E216"/>
    <hyperlink r:id="rId469" ref="AN216"/>
    <hyperlink r:id="rId470" ref="E217"/>
    <hyperlink r:id="rId471" ref="AN217"/>
    <hyperlink r:id="rId472" ref="E218"/>
    <hyperlink r:id="rId473" ref="AN218"/>
    <hyperlink r:id="rId474" ref="E219"/>
    <hyperlink r:id="rId475" ref="F219"/>
    <hyperlink r:id="rId476" ref="AN219"/>
    <hyperlink r:id="rId477" ref="E220"/>
    <hyperlink r:id="rId478" ref="AN220"/>
    <hyperlink r:id="rId479" ref="E221"/>
    <hyperlink r:id="rId480" ref="AN221"/>
    <hyperlink r:id="rId481" ref="E222"/>
    <hyperlink r:id="rId482" ref="AN222"/>
    <hyperlink r:id="rId483" ref="E223"/>
    <hyperlink r:id="rId484" ref="AN223"/>
    <hyperlink r:id="rId485" ref="E224"/>
    <hyperlink r:id="rId486" ref="AN224"/>
    <hyperlink r:id="rId487" ref="E225"/>
    <hyperlink r:id="rId488" ref="AN225"/>
    <hyperlink r:id="rId489" ref="E226"/>
    <hyperlink r:id="rId490" ref="F226"/>
    <hyperlink r:id="rId491" ref="AN226"/>
    <hyperlink r:id="rId492" ref="E227"/>
    <hyperlink r:id="rId493" ref="F227"/>
    <hyperlink r:id="rId494" ref="AN227"/>
    <hyperlink r:id="rId495" ref="E228"/>
    <hyperlink r:id="rId496" ref="AN228"/>
    <hyperlink r:id="rId497" ref="E229"/>
    <hyperlink r:id="rId498" ref="AN229"/>
    <hyperlink r:id="rId499" ref="E230"/>
    <hyperlink r:id="rId500" ref="F230"/>
    <hyperlink r:id="rId501" ref="AN230"/>
    <hyperlink r:id="rId502" ref="E231"/>
    <hyperlink r:id="rId503" ref="F231"/>
    <hyperlink r:id="rId504" ref="AN231"/>
    <hyperlink r:id="rId505" ref="E232"/>
    <hyperlink r:id="rId506" ref="AN232"/>
    <hyperlink r:id="rId507" ref="E233"/>
    <hyperlink r:id="rId508" ref="AN233"/>
    <hyperlink r:id="rId509" ref="E234"/>
    <hyperlink r:id="rId510" ref="F234"/>
    <hyperlink r:id="rId511" ref="AN234"/>
    <hyperlink r:id="rId512" ref="E235"/>
    <hyperlink r:id="rId513" ref="AN235"/>
    <hyperlink r:id="rId514" ref="E236"/>
    <hyperlink r:id="rId515" ref="AN236"/>
    <hyperlink r:id="rId516" ref="E237"/>
    <hyperlink r:id="rId517" ref="AN237"/>
    <hyperlink r:id="rId518" ref="E238"/>
    <hyperlink r:id="rId519" ref="AN238"/>
    <hyperlink r:id="rId520" ref="E239"/>
    <hyperlink r:id="rId521" ref="AN239"/>
    <hyperlink r:id="rId522" ref="E240"/>
    <hyperlink r:id="rId523" ref="AN240"/>
    <hyperlink r:id="rId524" ref="E241"/>
    <hyperlink r:id="rId525" ref="AN241"/>
    <hyperlink r:id="rId526" ref="E242"/>
    <hyperlink r:id="rId527" ref="F242"/>
    <hyperlink r:id="rId528" ref="AN242"/>
    <hyperlink r:id="rId529" ref="E243"/>
    <hyperlink r:id="rId530" ref="AN243"/>
    <hyperlink r:id="rId531" ref="E244"/>
    <hyperlink r:id="rId532" ref="AN244"/>
    <hyperlink r:id="rId533" ref="E245"/>
    <hyperlink r:id="rId534" ref="AN245"/>
    <hyperlink r:id="rId535" ref="E246"/>
    <hyperlink r:id="rId536" ref="F246"/>
    <hyperlink r:id="rId537" ref="AN246"/>
    <hyperlink r:id="rId538" ref="E247"/>
    <hyperlink r:id="rId539" ref="AN247"/>
    <hyperlink r:id="rId540" ref="E248"/>
    <hyperlink r:id="rId541" ref="AN248"/>
    <hyperlink r:id="rId542" ref="E249"/>
    <hyperlink r:id="rId543" ref="AN249"/>
    <hyperlink r:id="rId544" ref="E250"/>
    <hyperlink r:id="rId545" ref="AN250"/>
    <hyperlink r:id="rId546" ref="E251"/>
    <hyperlink r:id="rId547" ref="AN251"/>
    <hyperlink r:id="rId548" ref="E252"/>
    <hyperlink r:id="rId549" ref="AN252"/>
    <hyperlink r:id="rId550" ref="E253"/>
    <hyperlink r:id="rId551" ref="AN253"/>
    <hyperlink r:id="rId552" ref="E254"/>
    <hyperlink r:id="rId553" ref="AN254"/>
    <hyperlink r:id="rId554" ref="E255"/>
    <hyperlink r:id="rId555" ref="AN255"/>
    <hyperlink r:id="rId556" ref="E256"/>
    <hyperlink r:id="rId557" ref="AN256"/>
    <hyperlink r:id="rId558" ref="E257"/>
    <hyperlink r:id="rId559" ref="AN257"/>
    <hyperlink r:id="rId560" ref="E258"/>
    <hyperlink r:id="rId561" ref="AN258"/>
    <hyperlink r:id="rId562" ref="E259"/>
    <hyperlink r:id="rId563" ref="AN259"/>
    <hyperlink r:id="rId564" ref="E260"/>
    <hyperlink r:id="rId565" ref="AN260"/>
    <hyperlink r:id="rId566" ref="E261"/>
    <hyperlink r:id="rId567" ref="AN261"/>
    <hyperlink r:id="rId568" ref="E262"/>
    <hyperlink r:id="rId569" ref="AN262"/>
    <hyperlink r:id="rId570" ref="E263"/>
    <hyperlink r:id="rId571" ref="AN263"/>
    <hyperlink r:id="rId572" ref="E264"/>
    <hyperlink r:id="rId573" ref="AN264"/>
    <hyperlink r:id="rId574" ref="E265"/>
    <hyperlink r:id="rId575" ref="AN265"/>
    <hyperlink r:id="rId576" ref="E266"/>
    <hyperlink r:id="rId577" ref="AN266"/>
    <hyperlink r:id="rId578" ref="E267"/>
    <hyperlink r:id="rId579" ref="AN267"/>
    <hyperlink r:id="rId580" ref="E268"/>
    <hyperlink r:id="rId581" ref="AN268"/>
    <hyperlink r:id="rId582" ref="E269"/>
    <hyperlink r:id="rId583" ref="AN269"/>
    <hyperlink r:id="rId584" ref="E270"/>
    <hyperlink r:id="rId585" ref="F270"/>
    <hyperlink r:id="rId586" ref="AN270"/>
    <hyperlink r:id="rId587" ref="E271"/>
    <hyperlink r:id="rId588" ref="AN271"/>
    <hyperlink r:id="rId589" ref="E272"/>
    <hyperlink r:id="rId590" ref="AN272"/>
    <hyperlink r:id="rId591" ref="E273"/>
    <hyperlink r:id="rId592" ref="AN273"/>
    <hyperlink r:id="rId593" ref="E274"/>
    <hyperlink r:id="rId594" ref="AN274"/>
    <hyperlink r:id="rId595" ref="E275"/>
    <hyperlink r:id="rId596" ref="AN275"/>
    <hyperlink r:id="rId597" ref="E276"/>
    <hyperlink r:id="rId598" ref="F276"/>
    <hyperlink r:id="rId599" ref="AN276"/>
    <hyperlink r:id="rId600" ref="E277"/>
    <hyperlink r:id="rId601" ref="AN277"/>
    <hyperlink r:id="rId602" ref="E278"/>
    <hyperlink r:id="rId603" ref="AN278"/>
    <hyperlink r:id="rId604" ref="E279"/>
    <hyperlink r:id="rId605" ref="AN279"/>
    <hyperlink r:id="rId606" ref="E280"/>
    <hyperlink r:id="rId607" ref="AN280"/>
    <hyperlink r:id="rId608" ref="E281"/>
    <hyperlink r:id="rId609" ref="AN281"/>
    <hyperlink r:id="rId610" ref="E282"/>
    <hyperlink r:id="rId611" ref="F282"/>
    <hyperlink r:id="rId612" ref="AN282"/>
    <hyperlink r:id="rId613" ref="E283"/>
    <hyperlink r:id="rId614" ref="AN283"/>
    <hyperlink r:id="rId615" ref="E284"/>
    <hyperlink r:id="rId616" ref="F284"/>
    <hyperlink r:id="rId617" ref="AN284"/>
    <hyperlink r:id="rId618" ref="E285"/>
    <hyperlink r:id="rId619" ref="AN285"/>
    <hyperlink r:id="rId620" ref="E286"/>
    <hyperlink r:id="rId621" ref="AN286"/>
    <hyperlink r:id="rId622" ref="E287"/>
    <hyperlink r:id="rId623" ref="AN287"/>
    <hyperlink r:id="rId624" ref="E288"/>
    <hyperlink r:id="rId625" ref="AN288"/>
    <hyperlink r:id="rId626" ref="E289"/>
    <hyperlink r:id="rId627" ref="AN289"/>
    <hyperlink r:id="rId628" ref="E290"/>
    <hyperlink r:id="rId629" ref="AN290"/>
    <hyperlink r:id="rId630" ref="E291"/>
    <hyperlink r:id="rId631" ref="AN291"/>
    <hyperlink r:id="rId632" ref="E292"/>
    <hyperlink r:id="rId633" ref="AN292"/>
    <hyperlink r:id="rId634" ref="E293"/>
    <hyperlink r:id="rId635" ref="F293"/>
    <hyperlink r:id="rId636" ref="AN293"/>
    <hyperlink r:id="rId637" ref="E294"/>
    <hyperlink r:id="rId638" ref="F294"/>
    <hyperlink r:id="rId639" ref="AN294"/>
    <hyperlink r:id="rId640" ref="E295"/>
    <hyperlink r:id="rId641" ref="F295"/>
    <hyperlink r:id="rId642" ref="AN295"/>
    <hyperlink r:id="rId643" ref="E296"/>
    <hyperlink r:id="rId644" ref="AN296"/>
    <hyperlink r:id="rId645" ref="E297"/>
    <hyperlink r:id="rId646" ref="AN297"/>
    <hyperlink r:id="rId647" ref="E298"/>
    <hyperlink r:id="rId648" ref="AN298"/>
    <hyperlink r:id="rId649" ref="E299"/>
    <hyperlink r:id="rId650" ref="AN299"/>
    <hyperlink r:id="rId651" ref="E300"/>
    <hyperlink r:id="rId652" ref="AN300"/>
    <hyperlink r:id="rId653" ref="E301"/>
    <hyperlink r:id="rId654" ref="AN301"/>
    <hyperlink r:id="rId655" ref="E302"/>
    <hyperlink r:id="rId656" ref="F302"/>
    <hyperlink r:id="rId657" ref="AN302"/>
    <hyperlink r:id="rId658" ref="E303"/>
    <hyperlink r:id="rId659" ref="F303"/>
    <hyperlink r:id="rId660" ref="AN303"/>
    <hyperlink r:id="rId661" ref="E304"/>
    <hyperlink r:id="rId662" ref="F304"/>
    <hyperlink r:id="rId663" ref="AN304"/>
    <hyperlink r:id="rId664" ref="E305"/>
    <hyperlink r:id="rId665" ref="F305"/>
    <hyperlink r:id="rId666" ref="AN305"/>
    <hyperlink r:id="rId667" ref="E306"/>
    <hyperlink r:id="rId668" ref="F306"/>
    <hyperlink r:id="rId669" ref="AN306"/>
    <hyperlink r:id="rId670" ref="E307"/>
    <hyperlink r:id="rId671" ref="F307"/>
    <hyperlink r:id="rId672" ref="AN307"/>
    <hyperlink r:id="rId673" ref="E308"/>
    <hyperlink r:id="rId674" ref="F308"/>
    <hyperlink r:id="rId675" ref="AN308"/>
    <hyperlink r:id="rId676" ref="E309"/>
    <hyperlink r:id="rId677" ref="AN309"/>
    <hyperlink r:id="rId678" ref="E310"/>
    <hyperlink r:id="rId679" ref="AN310"/>
    <hyperlink r:id="rId680" ref="E311"/>
    <hyperlink r:id="rId681" ref="AN311"/>
    <hyperlink r:id="rId682" ref="E312"/>
    <hyperlink r:id="rId683" ref="AN312"/>
    <hyperlink r:id="rId684" ref="E313"/>
    <hyperlink r:id="rId685" ref="AN313"/>
    <hyperlink r:id="rId686" ref="E314"/>
    <hyperlink r:id="rId687" ref="AN314"/>
    <hyperlink r:id="rId688" ref="E315"/>
    <hyperlink r:id="rId689" ref="AN315"/>
    <hyperlink r:id="rId690" ref="E316"/>
    <hyperlink r:id="rId691" ref="AN316"/>
    <hyperlink r:id="rId692" ref="E317"/>
    <hyperlink r:id="rId693" ref="AN317"/>
    <hyperlink r:id="rId694" ref="E318"/>
    <hyperlink r:id="rId695" ref="AN318"/>
    <hyperlink r:id="rId696" ref="E319"/>
    <hyperlink r:id="rId697" ref="AN319"/>
    <hyperlink r:id="rId698" ref="E320"/>
    <hyperlink r:id="rId699" ref="AN320"/>
    <hyperlink r:id="rId700" ref="E321"/>
    <hyperlink r:id="rId701" ref="AN321"/>
    <hyperlink r:id="rId702" ref="E322"/>
    <hyperlink r:id="rId703" ref="AN322"/>
    <hyperlink r:id="rId704" ref="E323"/>
    <hyperlink r:id="rId705" ref="AN323"/>
    <hyperlink r:id="rId706" ref="E324"/>
    <hyperlink r:id="rId707" ref="AN324"/>
    <hyperlink r:id="rId708" ref="E325"/>
    <hyperlink r:id="rId709" ref="AN325"/>
    <hyperlink r:id="rId710" ref="E326"/>
    <hyperlink r:id="rId711" ref="AN326"/>
    <hyperlink r:id="rId712" ref="E327"/>
    <hyperlink r:id="rId713" ref="AN327"/>
    <hyperlink r:id="rId714" ref="E328"/>
    <hyperlink r:id="rId715" ref="AN328"/>
    <hyperlink r:id="rId716" ref="E329"/>
    <hyperlink r:id="rId717" ref="AN329"/>
    <hyperlink r:id="rId718" ref="E330"/>
    <hyperlink r:id="rId719" ref="AN330"/>
    <hyperlink r:id="rId720" ref="E331"/>
    <hyperlink r:id="rId721" ref="AN331"/>
    <hyperlink r:id="rId722" ref="E332"/>
    <hyperlink r:id="rId723" ref="AN332"/>
    <hyperlink r:id="rId724" ref="E333"/>
    <hyperlink r:id="rId725" ref="AN333"/>
    <hyperlink r:id="rId726" ref="E334"/>
    <hyperlink r:id="rId727" ref="AN334"/>
    <hyperlink r:id="rId728" ref="E335"/>
    <hyperlink r:id="rId729" ref="AN335"/>
    <hyperlink r:id="rId730" ref="E336"/>
    <hyperlink r:id="rId731" ref="AN336"/>
    <hyperlink r:id="rId732" ref="E337"/>
    <hyperlink r:id="rId733" ref="AN337"/>
    <hyperlink r:id="rId734" ref="E338"/>
    <hyperlink r:id="rId735" ref="AN338"/>
    <hyperlink r:id="rId736" ref="E339"/>
    <hyperlink r:id="rId737" ref="AN339"/>
    <hyperlink r:id="rId738" ref="E340"/>
    <hyperlink r:id="rId739" ref="AN340"/>
    <hyperlink r:id="rId740" ref="E341"/>
    <hyperlink r:id="rId741" ref="AN341"/>
    <hyperlink r:id="rId742" ref="E342"/>
    <hyperlink r:id="rId743" ref="AN342"/>
    <hyperlink r:id="rId744" ref="E343"/>
    <hyperlink r:id="rId745" ref="AN343"/>
    <hyperlink r:id="rId746" ref="E344"/>
    <hyperlink r:id="rId747" ref="AN344"/>
    <hyperlink r:id="rId748" ref="E345"/>
    <hyperlink r:id="rId749" ref="AN345"/>
    <hyperlink r:id="rId750" ref="E346"/>
    <hyperlink r:id="rId751" ref="AN346"/>
    <hyperlink r:id="rId752" ref="E347"/>
    <hyperlink r:id="rId753" ref="AN347"/>
    <hyperlink r:id="rId754" ref="E348"/>
    <hyperlink r:id="rId755" ref="AN348"/>
    <hyperlink r:id="rId756" ref="E349"/>
    <hyperlink r:id="rId757" ref="AN349"/>
    <hyperlink r:id="rId758" ref="E350"/>
    <hyperlink r:id="rId759" ref="AN350"/>
    <hyperlink r:id="rId760" ref="E351"/>
    <hyperlink r:id="rId761" ref="AN351"/>
    <hyperlink r:id="rId762" ref="E352"/>
    <hyperlink r:id="rId763" ref="AN352"/>
    <hyperlink r:id="rId764" ref="E353"/>
    <hyperlink r:id="rId765" ref="AN353"/>
    <hyperlink r:id="rId766" ref="E354"/>
    <hyperlink r:id="rId767" ref="AN354"/>
    <hyperlink r:id="rId768" ref="E355"/>
    <hyperlink r:id="rId769" ref="F355"/>
    <hyperlink r:id="rId770" ref="AN355"/>
    <hyperlink r:id="rId771" ref="E356"/>
    <hyperlink r:id="rId772" ref="F356"/>
    <hyperlink r:id="rId773" ref="AN356"/>
    <hyperlink r:id="rId774" ref="E357"/>
    <hyperlink r:id="rId775" ref="AN357"/>
    <hyperlink r:id="rId776" ref="E358"/>
    <hyperlink r:id="rId777" ref="F358"/>
    <hyperlink r:id="rId778" ref="AN358"/>
    <hyperlink r:id="rId779" ref="E359"/>
    <hyperlink r:id="rId780" ref="F359"/>
    <hyperlink r:id="rId781" ref="AN359"/>
    <hyperlink r:id="rId782" ref="E360"/>
    <hyperlink r:id="rId783" ref="AN360"/>
    <hyperlink r:id="rId784" ref="E361"/>
    <hyperlink r:id="rId785" ref="AN361"/>
    <hyperlink r:id="rId786" ref="E362"/>
    <hyperlink r:id="rId787" ref="AN362"/>
    <hyperlink r:id="rId788" ref="E363"/>
    <hyperlink r:id="rId789" ref="F363"/>
    <hyperlink r:id="rId790" ref="AN363"/>
    <hyperlink r:id="rId791" ref="E364"/>
    <hyperlink r:id="rId792" ref="AN364"/>
    <hyperlink r:id="rId793" ref="E365"/>
    <hyperlink r:id="rId794" ref="AN365"/>
    <hyperlink r:id="rId795" ref="E366"/>
    <hyperlink r:id="rId796" ref="AN366"/>
    <hyperlink r:id="rId797" ref="E367"/>
    <hyperlink r:id="rId798" ref="AN367"/>
    <hyperlink r:id="rId799" ref="E368"/>
    <hyperlink r:id="rId800" ref="AN368"/>
    <hyperlink r:id="rId801" ref="E369"/>
    <hyperlink r:id="rId802" ref="AN369"/>
    <hyperlink r:id="rId803" ref="E370"/>
    <hyperlink r:id="rId804" ref="AN370"/>
    <hyperlink r:id="rId805" ref="E371"/>
    <hyperlink r:id="rId806" ref="AN371"/>
    <hyperlink r:id="rId807" ref="E372"/>
    <hyperlink r:id="rId808" ref="AN372"/>
    <hyperlink r:id="rId809" ref="E373"/>
    <hyperlink r:id="rId810" ref="AN373"/>
    <hyperlink r:id="rId811" ref="E374"/>
    <hyperlink r:id="rId812" ref="AN374"/>
    <hyperlink r:id="rId813" ref="E375"/>
    <hyperlink r:id="rId814" ref="AN375"/>
    <hyperlink r:id="rId815" ref="E376"/>
    <hyperlink r:id="rId816" ref="AN376"/>
    <hyperlink r:id="rId817" ref="E377"/>
    <hyperlink r:id="rId818" ref="AN377"/>
    <hyperlink r:id="rId819" ref="E378"/>
    <hyperlink r:id="rId820" ref="AN378"/>
    <hyperlink r:id="rId821" ref="E379"/>
    <hyperlink r:id="rId822" ref="F379"/>
    <hyperlink r:id="rId823" ref="AN379"/>
    <hyperlink r:id="rId824" ref="E380"/>
    <hyperlink r:id="rId825" ref="AN380"/>
    <hyperlink r:id="rId826" ref="E381"/>
    <hyperlink r:id="rId827" ref="AN381"/>
    <hyperlink r:id="rId828" ref="E382"/>
    <hyperlink r:id="rId829" ref="AN382"/>
    <hyperlink r:id="rId830" ref="E383"/>
    <hyperlink r:id="rId831" ref="AN383"/>
    <hyperlink r:id="rId832" ref="E384"/>
    <hyperlink r:id="rId833" ref="AN384"/>
    <hyperlink r:id="rId834" ref="E385"/>
    <hyperlink r:id="rId835" ref="AN385"/>
    <hyperlink r:id="rId836" ref="E386"/>
    <hyperlink r:id="rId837" ref="AN386"/>
    <hyperlink r:id="rId838" ref="E387"/>
    <hyperlink r:id="rId839" ref="AN387"/>
    <hyperlink r:id="rId840" ref="E388"/>
    <hyperlink r:id="rId841" ref="AN388"/>
    <hyperlink r:id="rId842" ref="E389"/>
    <hyperlink r:id="rId843" ref="F389"/>
    <hyperlink r:id="rId844" ref="AN389"/>
    <hyperlink r:id="rId845" ref="E390"/>
    <hyperlink r:id="rId846" ref="AN390"/>
    <hyperlink r:id="rId847" ref="E391"/>
    <hyperlink r:id="rId848" ref="F391"/>
    <hyperlink r:id="rId849" ref="AN391"/>
    <hyperlink r:id="rId850" ref="E392"/>
    <hyperlink r:id="rId851" ref="F392"/>
    <hyperlink r:id="rId852" ref="AN392"/>
    <hyperlink r:id="rId853" ref="E393"/>
    <hyperlink r:id="rId854" ref="AN393"/>
    <hyperlink r:id="rId855" ref="E394"/>
    <hyperlink r:id="rId856" ref="AN394"/>
    <hyperlink r:id="rId857" ref="E395"/>
    <hyperlink r:id="rId858" ref="AN395"/>
    <hyperlink r:id="rId859" ref="E396"/>
    <hyperlink r:id="rId860" ref="AN396"/>
    <hyperlink r:id="rId861" ref="E397"/>
    <hyperlink r:id="rId862" ref="AN397"/>
    <hyperlink r:id="rId863" ref="E398"/>
    <hyperlink r:id="rId864" ref="AN398"/>
    <hyperlink r:id="rId865" ref="E399"/>
    <hyperlink r:id="rId866" ref="AN399"/>
    <hyperlink r:id="rId867" ref="E400"/>
    <hyperlink r:id="rId868" ref="AN400"/>
    <hyperlink r:id="rId869" ref="E401"/>
    <hyperlink r:id="rId870" ref="AN401"/>
    <hyperlink r:id="rId871" ref="E402"/>
    <hyperlink r:id="rId872" ref="AN402"/>
    <hyperlink r:id="rId873" ref="E403"/>
    <hyperlink r:id="rId874" ref="AN403"/>
    <hyperlink r:id="rId875" ref="E404"/>
    <hyperlink r:id="rId876" ref="AN404"/>
    <hyperlink r:id="rId877" ref="E405"/>
    <hyperlink r:id="rId878" ref="F405"/>
    <hyperlink r:id="rId879" ref="AN405"/>
    <hyperlink r:id="rId880" ref="E406"/>
    <hyperlink r:id="rId881" ref="AN406"/>
    <hyperlink r:id="rId882" ref="E407"/>
    <hyperlink r:id="rId883" ref="F407"/>
    <hyperlink r:id="rId884" ref="AN407"/>
    <hyperlink r:id="rId885" ref="E408"/>
    <hyperlink r:id="rId886" ref="AN408"/>
    <hyperlink r:id="rId887" ref="E409"/>
    <hyperlink r:id="rId888" ref="AN409"/>
    <hyperlink r:id="rId889" ref="E410"/>
    <hyperlink r:id="rId890" ref="AN410"/>
    <hyperlink r:id="rId891" ref="E411"/>
    <hyperlink r:id="rId892" ref="AN411"/>
    <hyperlink r:id="rId893" ref="E412"/>
    <hyperlink r:id="rId894" ref="AN412"/>
    <hyperlink r:id="rId895" ref="E413"/>
    <hyperlink r:id="rId896" ref="AN413"/>
    <hyperlink r:id="rId897" ref="E414"/>
    <hyperlink r:id="rId898" ref="AN414"/>
    <hyperlink r:id="rId899" ref="E415"/>
    <hyperlink r:id="rId900" ref="AN415"/>
    <hyperlink r:id="rId901" ref="E416"/>
    <hyperlink r:id="rId902" ref="AN416"/>
    <hyperlink r:id="rId903" ref="E417"/>
    <hyperlink r:id="rId904" ref="AN417"/>
    <hyperlink r:id="rId905" ref="E418"/>
    <hyperlink r:id="rId906" ref="AN418"/>
    <hyperlink r:id="rId907" ref="E419"/>
    <hyperlink r:id="rId908" ref="AN419"/>
    <hyperlink r:id="rId909" ref="E420"/>
    <hyperlink r:id="rId910" ref="AN420"/>
    <hyperlink r:id="rId911" ref="E421"/>
    <hyperlink r:id="rId912" ref="F421"/>
    <hyperlink r:id="rId913" ref="AN421"/>
    <hyperlink r:id="rId914" ref="E422"/>
    <hyperlink r:id="rId915" ref="AN422"/>
    <hyperlink r:id="rId916" ref="E423"/>
    <hyperlink r:id="rId917" ref="AN423"/>
    <hyperlink r:id="rId918" ref="E424"/>
    <hyperlink r:id="rId919" ref="AN424"/>
    <hyperlink r:id="rId920" ref="E425"/>
    <hyperlink r:id="rId921" ref="AN425"/>
    <hyperlink r:id="rId922" ref="E426"/>
    <hyperlink r:id="rId923" ref="AN426"/>
    <hyperlink r:id="rId924" ref="E427"/>
    <hyperlink r:id="rId925" ref="AN427"/>
    <hyperlink r:id="rId926" ref="E428"/>
    <hyperlink r:id="rId927" ref="AN428"/>
    <hyperlink r:id="rId928" ref="E429"/>
    <hyperlink r:id="rId929" ref="AN429"/>
    <hyperlink r:id="rId930" ref="E430"/>
    <hyperlink r:id="rId931" ref="AN430"/>
    <hyperlink r:id="rId932" ref="E431"/>
    <hyperlink r:id="rId933" ref="AN431"/>
    <hyperlink r:id="rId934" ref="E432"/>
    <hyperlink r:id="rId935" ref="AN432"/>
    <hyperlink r:id="rId936" ref="E433"/>
    <hyperlink r:id="rId937" ref="AN433"/>
    <hyperlink r:id="rId938" ref="E434"/>
    <hyperlink r:id="rId939" ref="AN434"/>
    <hyperlink r:id="rId940" ref="E435"/>
    <hyperlink r:id="rId941" ref="AN435"/>
    <hyperlink r:id="rId942" ref="E436"/>
    <hyperlink r:id="rId943" ref="AN436"/>
    <hyperlink r:id="rId944" ref="E437"/>
    <hyperlink r:id="rId945" ref="AN437"/>
    <hyperlink r:id="rId946" ref="E438"/>
    <hyperlink r:id="rId947" ref="AN438"/>
    <hyperlink r:id="rId948" ref="E439"/>
    <hyperlink r:id="rId949" ref="AN439"/>
    <hyperlink r:id="rId950" ref="E440"/>
    <hyperlink r:id="rId951" ref="AN440"/>
    <hyperlink r:id="rId952" ref="E441"/>
    <hyperlink r:id="rId953" ref="AN441"/>
    <hyperlink r:id="rId954" ref="E442"/>
    <hyperlink r:id="rId955" ref="AN442"/>
    <hyperlink r:id="rId956" ref="E443"/>
    <hyperlink r:id="rId957" ref="AN443"/>
    <hyperlink r:id="rId958" ref="E444"/>
    <hyperlink r:id="rId959" ref="AN444"/>
    <hyperlink r:id="rId960" ref="E445"/>
    <hyperlink r:id="rId961" ref="AN445"/>
    <hyperlink r:id="rId962" ref="E446"/>
    <hyperlink r:id="rId963" ref="AN446"/>
    <hyperlink r:id="rId964" ref="E447"/>
    <hyperlink r:id="rId965" ref="AN447"/>
    <hyperlink r:id="rId966" ref="E448"/>
    <hyperlink r:id="rId967" ref="AN448"/>
    <hyperlink r:id="rId968" ref="E449"/>
    <hyperlink r:id="rId969" ref="AN449"/>
    <hyperlink r:id="rId970" ref="E450"/>
    <hyperlink r:id="rId971" ref="F450"/>
    <hyperlink r:id="rId972" ref="AN450"/>
    <hyperlink r:id="rId973" ref="E451"/>
    <hyperlink r:id="rId974" ref="F451"/>
    <hyperlink r:id="rId975" ref="AN451"/>
    <hyperlink r:id="rId976" ref="E452"/>
    <hyperlink r:id="rId977" ref="F452"/>
    <hyperlink r:id="rId978" ref="AN452"/>
    <hyperlink r:id="rId979" ref="E453"/>
    <hyperlink r:id="rId980" ref="AN453"/>
    <hyperlink r:id="rId981" ref="E454"/>
    <hyperlink r:id="rId982" ref="F454"/>
    <hyperlink r:id="rId983" ref="AN454"/>
    <hyperlink r:id="rId984" ref="E455"/>
    <hyperlink r:id="rId985" ref="AN455"/>
    <hyperlink r:id="rId986" ref="E456"/>
    <hyperlink r:id="rId987" ref="AN456"/>
    <hyperlink r:id="rId988" ref="E457"/>
    <hyperlink r:id="rId989" ref="F457"/>
    <hyperlink r:id="rId990" ref="AN457"/>
    <hyperlink r:id="rId991" ref="E458"/>
    <hyperlink r:id="rId992" ref="AN458"/>
    <hyperlink r:id="rId993" ref="E459"/>
    <hyperlink r:id="rId994" ref="AN459"/>
    <hyperlink r:id="rId995" ref="E460"/>
    <hyperlink r:id="rId996" ref="AN460"/>
    <hyperlink r:id="rId997" ref="E461"/>
    <hyperlink r:id="rId998" ref="AN461"/>
    <hyperlink r:id="rId999" ref="E462"/>
    <hyperlink r:id="rId1000" ref="AN462"/>
    <hyperlink r:id="rId1001" ref="E463"/>
    <hyperlink r:id="rId1002" ref="AN463"/>
    <hyperlink r:id="rId1003" ref="E464"/>
    <hyperlink r:id="rId1004" ref="AN464"/>
    <hyperlink r:id="rId1005" ref="E465"/>
    <hyperlink r:id="rId1006" ref="AN465"/>
    <hyperlink r:id="rId1007" ref="E466"/>
    <hyperlink r:id="rId1008" ref="AN466"/>
    <hyperlink r:id="rId1009" ref="E467"/>
    <hyperlink r:id="rId1010" ref="AN467"/>
    <hyperlink r:id="rId1011" ref="E468"/>
    <hyperlink r:id="rId1012" ref="AN468"/>
    <hyperlink r:id="rId1013" ref="E469"/>
    <hyperlink r:id="rId1014" ref="AN469"/>
    <hyperlink r:id="rId1015" ref="E470"/>
    <hyperlink r:id="rId1016" ref="AN470"/>
    <hyperlink r:id="rId1017" ref="E471"/>
    <hyperlink r:id="rId1018" ref="AN471"/>
    <hyperlink r:id="rId1019" ref="E472"/>
    <hyperlink r:id="rId1020" ref="AN472"/>
    <hyperlink r:id="rId1021" ref="E473"/>
    <hyperlink r:id="rId1022" ref="F473"/>
    <hyperlink r:id="rId1023" ref="AN473"/>
    <hyperlink r:id="rId1024" ref="E474"/>
    <hyperlink r:id="rId1025" ref="AN474"/>
    <hyperlink r:id="rId1026" ref="E475"/>
    <hyperlink r:id="rId1027" ref="AN475"/>
    <hyperlink r:id="rId1028" ref="E476"/>
    <hyperlink r:id="rId1029" ref="AN476"/>
    <hyperlink r:id="rId1030" ref="E477"/>
    <hyperlink r:id="rId1031" ref="AN477"/>
    <hyperlink r:id="rId1032" ref="E478"/>
    <hyperlink r:id="rId1033" ref="F478"/>
    <hyperlink r:id="rId1034" ref="AN478"/>
    <hyperlink r:id="rId1035" ref="E479"/>
    <hyperlink r:id="rId1036" ref="AN479"/>
    <hyperlink r:id="rId1037" ref="E480"/>
    <hyperlink r:id="rId1038" ref="F480"/>
    <hyperlink r:id="rId1039" ref="AN480"/>
    <hyperlink r:id="rId1040" ref="E481"/>
    <hyperlink r:id="rId1041" ref="F481"/>
    <hyperlink r:id="rId1042" ref="AN481"/>
    <hyperlink r:id="rId1043" ref="E482"/>
    <hyperlink r:id="rId1044" ref="AN482"/>
    <hyperlink r:id="rId1045" ref="E483"/>
    <hyperlink r:id="rId1046" ref="AN483"/>
    <hyperlink r:id="rId1047" ref="E484"/>
    <hyperlink r:id="rId1048" ref="AN484"/>
    <hyperlink r:id="rId1049" ref="E485"/>
    <hyperlink r:id="rId1050" ref="AN485"/>
    <hyperlink r:id="rId1051" ref="E486"/>
    <hyperlink r:id="rId1052" ref="AN486"/>
    <hyperlink r:id="rId1053" ref="E487"/>
    <hyperlink r:id="rId1054" ref="AN487"/>
    <hyperlink r:id="rId1055" ref="E488"/>
    <hyperlink r:id="rId1056" ref="AN488"/>
    <hyperlink r:id="rId1057" ref="E489"/>
    <hyperlink r:id="rId1058" ref="F489"/>
    <hyperlink r:id="rId1059" ref="AN489"/>
    <hyperlink r:id="rId1060" ref="E490"/>
    <hyperlink r:id="rId1061" ref="F490"/>
    <hyperlink r:id="rId1062" ref="AN490"/>
    <hyperlink r:id="rId1063" ref="E491"/>
    <hyperlink r:id="rId1064" ref="AN491"/>
    <hyperlink r:id="rId1065" ref="E492"/>
    <hyperlink r:id="rId1066" ref="AN492"/>
    <hyperlink r:id="rId1067" ref="E493"/>
    <hyperlink r:id="rId1068" ref="AN493"/>
    <hyperlink r:id="rId1069" ref="E494"/>
    <hyperlink r:id="rId1070" ref="F494"/>
    <hyperlink r:id="rId1071" ref="AN494"/>
    <hyperlink r:id="rId1072" ref="E495"/>
    <hyperlink r:id="rId1073" ref="F495"/>
    <hyperlink r:id="rId1074" ref="AN495"/>
    <hyperlink r:id="rId1075" ref="E496"/>
    <hyperlink r:id="rId1076" ref="AN496"/>
    <hyperlink r:id="rId1077" ref="E497"/>
    <hyperlink r:id="rId1078" ref="AN497"/>
    <hyperlink r:id="rId1079" ref="E498"/>
    <hyperlink r:id="rId1080" ref="AN498"/>
    <hyperlink r:id="rId1081" ref="E499"/>
    <hyperlink r:id="rId1082" ref="AN499"/>
    <hyperlink r:id="rId1083" ref="E500"/>
    <hyperlink r:id="rId1084" ref="AN500"/>
    <hyperlink r:id="rId1085" ref="E501"/>
    <hyperlink r:id="rId1086" ref="AN501"/>
    <hyperlink r:id="rId1087" ref="E502"/>
    <hyperlink r:id="rId1088" ref="F502"/>
    <hyperlink r:id="rId1089" ref="AN502"/>
    <hyperlink r:id="rId1090" ref="E503"/>
    <hyperlink r:id="rId1091" ref="AN503"/>
    <hyperlink r:id="rId1092" ref="E504"/>
    <hyperlink r:id="rId1093" ref="AN504"/>
    <hyperlink r:id="rId1094" ref="E505"/>
    <hyperlink r:id="rId1095" ref="AN505"/>
    <hyperlink r:id="rId1096" ref="E506"/>
    <hyperlink r:id="rId1097" ref="AN506"/>
  </hyperlinks>
  <drawing r:id="rId109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5.0"/>
    <col customWidth="1" min="2" max="2" width="61.13"/>
    <col customWidth="1" min="3" max="3" width="18.13"/>
    <col customWidth="1" min="4" max="4" width="18.75"/>
    <col customWidth="1" min="5" max="5" width="27.25"/>
    <col customWidth="1" min="6" max="6" width="18.13"/>
    <col customWidth="1" min="9" max="9" width="46.25"/>
  </cols>
  <sheetData>
    <row r="1">
      <c r="A1" s="1" t="s">
        <v>0</v>
      </c>
      <c r="B1" s="1" t="s">
        <v>1</v>
      </c>
      <c r="C1" s="1" t="s">
        <v>0</v>
      </c>
      <c r="D1" s="2" t="s">
        <v>2</v>
      </c>
      <c r="E1" s="1" t="s">
        <v>3</v>
      </c>
      <c r="F1" s="1" t="s">
        <v>4</v>
      </c>
      <c r="G1" s="1" t="s">
        <v>5</v>
      </c>
      <c r="H1" s="1" t="s">
        <v>6</v>
      </c>
      <c r="I1" s="1" t="s">
        <v>7</v>
      </c>
      <c r="J1" s="1" t="s">
        <v>8</v>
      </c>
    </row>
    <row r="2">
      <c r="A2" s="3" t="s">
        <v>9</v>
      </c>
      <c r="B2" s="3" t="s">
        <v>10</v>
      </c>
      <c r="C2" s="3" t="s">
        <v>10</v>
      </c>
      <c r="D2" s="4" t="s">
        <v>11</v>
      </c>
      <c r="E2" s="3" t="s">
        <v>12</v>
      </c>
      <c r="F2" s="5">
        <v>46083.745358796295</v>
      </c>
      <c r="G2" s="5">
        <v>46083.63197916667</v>
      </c>
      <c r="H2" s="3" t="s">
        <v>14</v>
      </c>
      <c r="I2" s="3">
        <v>0.0</v>
      </c>
      <c r="J2" s="3" t="s">
        <v>15</v>
      </c>
    </row>
    <row r="3">
      <c r="A3" s="3" t="s">
        <v>16</v>
      </c>
      <c r="B3" s="3" t="s">
        <v>17</v>
      </c>
      <c r="C3" s="3" t="s">
        <v>17</v>
      </c>
      <c r="D3" s="4" t="s">
        <v>11</v>
      </c>
      <c r="E3" s="3" t="s">
        <v>12</v>
      </c>
      <c r="F3" s="5">
        <v>46083.75230324074</v>
      </c>
      <c r="G3" s="5">
        <v>46083.632523148146</v>
      </c>
      <c r="H3" s="3" t="s">
        <v>14</v>
      </c>
      <c r="I3" s="7">
        <v>0.0</v>
      </c>
      <c r="J3" s="3" t="s">
        <v>15</v>
      </c>
    </row>
    <row r="4">
      <c r="A4" s="3" t="s">
        <v>20</v>
      </c>
      <c r="B4" s="3" t="s">
        <v>21</v>
      </c>
      <c r="C4" s="3" t="s">
        <v>21</v>
      </c>
      <c r="D4" s="4" t="s">
        <v>11</v>
      </c>
      <c r="E4" s="3" t="s">
        <v>12</v>
      </c>
      <c r="F4" s="5">
        <v>46084.41875</v>
      </c>
      <c r="G4" s="5">
        <v>46083.63263888889</v>
      </c>
      <c r="H4" s="3" t="s">
        <v>14</v>
      </c>
      <c r="I4" s="7">
        <v>0.0</v>
      </c>
      <c r="J4" s="3" t="s">
        <v>15</v>
      </c>
    </row>
    <row r="5">
      <c r="A5" s="3" t="s">
        <v>23</v>
      </c>
      <c r="B5" s="3" t="s">
        <v>24</v>
      </c>
      <c r="C5" s="3" t="s">
        <v>24</v>
      </c>
      <c r="D5" s="4" t="s">
        <v>11</v>
      </c>
      <c r="E5" s="3" t="s">
        <v>12</v>
      </c>
      <c r="F5" s="5">
        <v>46086.41875</v>
      </c>
      <c r="G5" s="5">
        <v>46083.69431712963</v>
      </c>
      <c r="H5" s="3" t="s">
        <v>14</v>
      </c>
      <c r="I5" s="7">
        <v>0.0</v>
      </c>
      <c r="J5" s="3" t="s">
        <v>15</v>
      </c>
    </row>
    <row r="6">
      <c r="A6" s="3" t="s">
        <v>25</v>
      </c>
      <c r="B6" s="3" t="s">
        <v>26</v>
      </c>
      <c r="C6" s="3" t="s">
        <v>26</v>
      </c>
      <c r="D6" s="4" t="s">
        <v>11</v>
      </c>
      <c r="E6" s="3" t="s">
        <v>12</v>
      </c>
      <c r="F6" s="5">
        <v>46086.46041666667</v>
      </c>
      <c r="G6" s="5">
        <v>46083.694386574076</v>
      </c>
      <c r="H6" s="3" t="s">
        <v>14</v>
      </c>
      <c r="I6" s="7">
        <v>0.0</v>
      </c>
      <c r="J6" s="3" t="s">
        <v>15</v>
      </c>
    </row>
    <row r="7">
      <c r="A7" s="3"/>
      <c r="B7" s="3"/>
      <c r="C7" s="3" t="s">
        <v>10</v>
      </c>
      <c r="D7" s="4" t="s">
        <v>28</v>
      </c>
      <c r="E7" s="3" t="s">
        <v>30</v>
      </c>
      <c r="F7" s="5">
        <v>46083.780335648145</v>
      </c>
      <c r="G7" s="5">
        <v>46083.63197916667</v>
      </c>
      <c r="H7" s="3">
        <v>490.0</v>
      </c>
      <c r="I7" s="3">
        <v>0.0</v>
      </c>
      <c r="J7" s="3" t="s">
        <v>15</v>
      </c>
    </row>
    <row r="8">
      <c r="A8" s="3"/>
      <c r="B8" s="3"/>
      <c r="C8" s="3" t="s">
        <v>17</v>
      </c>
      <c r="D8" s="4" t="s">
        <v>28</v>
      </c>
      <c r="E8" s="3" t="s">
        <v>30</v>
      </c>
      <c r="F8" s="5">
        <v>46083.78728009259</v>
      </c>
      <c r="G8" s="5">
        <v>46083.6325462963</v>
      </c>
      <c r="H8" s="3">
        <v>490.0</v>
      </c>
      <c r="I8" s="7">
        <v>0.0</v>
      </c>
      <c r="J8" s="3" t="s">
        <v>15</v>
      </c>
    </row>
    <row r="9">
      <c r="A9" s="3"/>
      <c r="B9" s="3"/>
      <c r="C9" s="3" t="s">
        <v>21</v>
      </c>
      <c r="D9" s="4" t="s">
        <v>28</v>
      </c>
      <c r="E9" s="3" t="s">
        <v>30</v>
      </c>
      <c r="F9" s="5">
        <v>46084.49513888889</v>
      </c>
      <c r="G9" s="5">
        <v>46083.632685185185</v>
      </c>
      <c r="H9" s="3">
        <v>495.0</v>
      </c>
      <c r="I9" s="7">
        <v>0.0</v>
      </c>
      <c r="J9" s="3" t="s">
        <v>15</v>
      </c>
    </row>
    <row r="10">
      <c r="A10" s="3"/>
      <c r="B10" s="3"/>
      <c r="C10" s="3" t="s">
        <v>24</v>
      </c>
      <c r="D10" s="4" t="s">
        <v>28</v>
      </c>
      <c r="E10" s="3" t="s">
        <v>30</v>
      </c>
      <c r="F10" s="5">
        <v>46086.49513888889</v>
      </c>
      <c r="G10" s="5">
        <v>46084.74443287037</v>
      </c>
      <c r="H10" s="3" t="s">
        <v>14</v>
      </c>
      <c r="I10" s="7">
        <v>0.0</v>
      </c>
      <c r="J10" s="3" t="s">
        <v>15</v>
      </c>
    </row>
    <row r="11">
      <c r="A11" s="3"/>
      <c r="B11" s="3"/>
      <c r="C11" s="3" t="s">
        <v>26</v>
      </c>
      <c r="D11" s="4" t="s">
        <v>28</v>
      </c>
      <c r="E11" s="3" t="s">
        <v>30</v>
      </c>
      <c r="F11" s="5">
        <v>46086.53680555556</v>
      </c>
      <c r="G11" s="5">
        <v>46084.74449074074</v>
      </c>
      <c r="H11" s="3">
        <v>491.0</v>
      </c>
      <c r="I11" s="7">
        <v>0.0</v>
      </c>
      <c r="J11" s="3" t="s">
        <v>15</v>
      </c>
    </row>
    <row r="12">
      <c r="A12" s="3"/>
      <c r="B12" s="3"/>
      <c r="C12" s="3" t="s">
        <v>10</v>
      </c>
      <c r="D12" s="4" t="s">
        <v>45</v>
      </c>
      <c r="E12" s="3" t="s">
        <v>46</v>
      </c>
      <c r="F12" s="5">
        <v>46083.78141203704</v>
      </c>
      <c r="G12" s="5">
        <v>46083.632002314815</v>
      </c>
      <c r="H12" s="3">
        <v>490.0</v>
      </c>
      <c r="I12" s="3">
        <v>0.0</v>
      </c>
      <c r="J12" s="3" t="s">
        <v>48</v>
      </c>
    </row>
    <row r="13">
      <c r="A13" s="3"/>
      <c r="B13" s="3"/>
      <c r="C13" s="3" t="s">
        <v>17</v>
      </c>
      <c r="D13" s="4" t="s">
        <v>45</v>
      </c>
      <c r="E13" s="3" t="s">
        <v>46</v>
      </c>
      <c r="F13" s="5">
        <v>46083.788356481484</v>
      </c>
      <c r="G13" s="5">
        <v>46083.63208333333</v>
      </c>
      <c r="H13" s="3">
        <v>482.0</v>
      </c>
      <c r="I13" s="7">
        <v>0.0</v>
      </c>
      <c r="J13" s="3" t="s">
        <v>48</v>
      </c>
    </row>
    <row r="14">
      <c r="A14" s="3"/>
      <c r="B14" s="3"/>
      <c r="C14" s="3" t="s">
        <v>21</v>
      </c>
      <c r="D14" s="4" t="s">
        <v>45</v>
      </c>
      <c r="E14" s="3" t="s">
        <v>46</v>
      </c>
      <c r="F14" s="5">
        <v>46084.49652777778</v>
      </c>
      <c r="G14" s="5">
        <v>46083.632685185185</v>
      </c>
      <c r="H14" s="3">
        <v>493.0</v>
      </c>
      <c r="I14" s="7">
        <v>0.0</v>
      </c>
      <c r="J14" s="3" t="s">
        <v>48</v>
      </c>
    </row>
    <row r="15">
      <c r="A15" s="3"/>
      <c r="B15" s="3"/>
      <c r="C15" s="3" t="s">
        <v>24</v>
      </c>
      <c r="D15" s="4" t="s">
        <v>45</v>
      </c>
      <c r="E15" s="3" t="s">
        <v>46</v>
      </c>
      <c r="F15" s="5">
        <v>46086.49652777778</v>
      </c>
      <c r="G15" s="5">
        <v>46084.638020833336</v>
      </c>
      <c r="H15" s="3" t="s">
        <v>14</v>
      </c>
      <c r="I15" s="7">
        <v>0.0</v>
      </c>
      <c r="J15" s="3" t="s">
        <v>48</v>
      </c>
    </row>
    <row r="16">
      <c r="A16" s="3"/>
      <c r="B16" s="3"/>
      <c r="C16" s="3" t="s">
        <v>26</v>
      </c>
      <c r="D16" s="4" t="s">
        <v>45</v>
      </c>
      <c r="E16" s="3" t="s">
        <v>46</v>
      </c>
      <c r="F16" s="5">
        <v>46086.538194444445</v>
      </c>
      <c r="G16" s="5">
        <v>46084.63841435185</v>
      </c>
      <c r="H16" s="3">
        <v>491.0</v>
      </c>
      <c r="I16" s="7">
        <v>0.0</v>
      </c>
      <c r="J16" s="3" t="s">
        <v>48</v>
      </c>
    </row>
    <row r="17">
      <c r="A17" s="3"/>
      <c r="B17" s="3"/>
      <c r="C17" s="3" t="s">
        <v>10</v>
      </c>
      <c r="D17" s="4" t="s">
        <v>51</v>
      </c>
      <c r="E17" s="3" t="s">
        <v>52</v>
      </c>
      <c r="F17" s="5">
        <v>46084.80105324074</v>
      </c>
      <c r="G17" s="5">
        <v>46084.63851851852</v>
      </c>
      <c r="H17" s="3">
        <v>0.0</v>
      </c>
      <c r="I17" s="3">
        <v>0.0</v>
      </c>
      <c r="J17" s="3" t="s">
        <v>48</v>
      </c>
    </row>
    <row r="18">
      <c r="A18" s="3"/>
      <c r="B18" s="3"/>
      <c r="C18" s="3" t="s">
        <v>17</v>
      </c>
      <c r="D18" s="4" t="s">
        <v>51</v>
      </c>
      <c r="E18" s="3" t="s">
        <v>52</v>
      </c>
      <c r="F18" s="5">
        <v>46084.80799768519</v>
      </c>
      <c r="G18" s="5">
        <v>46084.63863425926</v>
      </c>
      <c r="H18" s="3">
        <v>8.0</v>
      </c>
      <c r="I18" s="7">
        <v>0.0</v>
      </c>
      <c r="J18" s="3" t="s">
        <v>48</v>
      </c>
    </row>
    <row r="19">
      <c r="A19" s="3"/>
      <c r="B19" s="3"/>
      <c r="C19" s="3" t="s">
        <v>21</v>
      </c>
      <c r="D19" s="4" t="s">
        <v>51</v>
      </c>
      <c r="E19" s="3" t="s">
        <v>52</v>
      </c>
      <c r="F19" s="5">
        <v>46086.47430555556</v>
      </c>
      <c r="G19" s="5">
        <v>46084.63866898148</v>
      </c>
      <c r="H19" s="3">
        <v>2.0</v>
      </c>
      <c r="I19" s="7">
        <v>0.0</v>
      </c>
      <c r="J19" s="3" t="s">
        <v>48</v>
      </c>
    </row>
    <row r="20">
      <c r="A20" s="3"/>
      <c r="B20" s="3"/>
      <c r="C20" s="3" t="s">
        <v>24</v>
      </c>
      <c r="D20" s="4" t="s">
        <v>51</v>
      </c>
      <c r="E20" s="3" t="s">
        <v>52</v>
      </c>
      <c r="F20" s="5">
        <v>46087.47430555556</v>
      </c>
      <c r="G20" s="5">
        <v>46084.638703703706</v>
      </c>
      <c r="H20" s="3" t="s">
        <v>14</v>
      </c>
      <c r="I20" s="7">
        <v>0.0</v>
      </c>
      <c r="J20" s="3" t="s">
        <v>48</v>
      </c>
    </row>
    <row r="21">
      <c r="A21" s="3"/>
      <c r="B21" s="3"/>
      <c r="C21" s="3" t="s">
        <v>26</v>
      </c>
      <c r="D21" s="4" t="s">
        <v>51</v>
      </c>
      <c r="E21" s="3" t="s">
        <v>52</v>
      </c>
      <c r="F21" s="5">
        <v>46087.51597222222</v>
      </c>
      <c r="G21" s="5">
        <v>46084.638761574075</v>
      </c>
      <c r="H21" s="3">
        <v>0.0</v>
      </c>
      <c r="I21" s="7">
        <v>0.0</v>
      </c>
      <c r="J21" s="3" t="s">
        <v>48</v>
      </c>
    </row>
    <row r="22">
      <c r="A22" s="3"/>
      <c r="B22" s="3"/>
      <c r="C22" s="3" t="s">
        <v>10</v>
      </c>
      <c r="D22" s="4" t="s">
        <v>55</v>
      </c>
      <c r="E22" s="3" t="s">
        <v>56</v>
      </c>
      <c r="F22" s="5">
        <v>46084.82603009259</v>
      </c>
      <c r="G22" s="5">
        <v>46084.74417824074</v>
      </c>
      <c r="H22" s="5">
        <v>46167.16196759259</v>
      </c>
      <c r="I22" s="3">
        <v>0.0</v>
      </c>
      <c r="J22" s="3" t="s">
        <v>15</v>
      </c>
    </row>
    <row r="23">
      <c r="A23" s="3"/>
      <c r="B23" s="3"/>
      <c r="C23" s="3" t="s">
        <v>17</v>
      </c>
      <c r="D23" s="4" t="s">
        <v>55</v>
      </c>
      <c r="E23" s="3" t="s">
        <v>56</v>
      </c>
      <c r="F23" s="5">
        <v>46084.832974537036</v>
      </c>
      <c r="G23" s="5">
        <v>46084.7443287037</v>
      </c>
      <c r="H23" s="5">
        <v>46167.19050925926</v>
      </c>
      <c r="I23" s="7">
        <v>0.0</v>
      </c>
      <c r="J23" s="3" t="s">
        <v>15</v>
      </c>
    </row>
    <row r="24">
      <c r="A24" s="3"/>
      <c r="B24" s="3"/>
      <c r="C24" s="3" t="s">
        <v>21</v>
      </c>
      <c r="D24" s="4" t="s">
        <v>55</v>
      </c>
      <c r="E24" s="3" t="s">
        <v>56</v>
      </c>
      <c r="F24" s="5">
        <v>46086.540972222225</v>
      </c>
      <c r="G24" s="5">
        <v>46084.74438657407</v>
      </c>
      <c r="H24" s="5">
        <v>46166.64701388889</v>
      </c>
      <c r="I24" s="7">
        <v>0.0</v>
      </c>
      <c r="J24" s="3" t="s">
        <v>15</v>
      </c>
    </row>
    <row r="25">
      <c r="A25" s="3"/>
      <c r="B25" s="3"/>
      <c r="C25" s="3" t="s">
        <v>24</v>
      </c>
      <c r="D25" s="4" t="s">
        <v>55</v>
      </c>
      <c r="E25" s="3" t="s">
        <v>56</v>
      </c>
      <c r="F25" s="5">
        <v>46087.540972222225</v>
      </c>
      <c r="G25" s="5">
        <v>46084.744525462964</v>
      </c>
      <c r="H25" s="3" t="s">
        <v>14</v>
      </c>
      <c r="I25" s="7">
        <v>0.0</v>
      </c>
      <c r="J25" s="3" t="s">
        <v>15</v>
      </c>
    </row>
    <row r="26">
      <c r="A26" s="3"/>
      <c r="B26" s="3"/>
      <c r="C26" s="3" t="s">
        <v>26</v>
      </c>
      <c r="D26" s="4" t="s">
        <v>55</v>
      </c>
      <c r="E26" s="3" t="s">
        <v>56</v>
      </c>
      <c r="F26" s="5">
        <v>46087.58263888889</v>
      </c>
      <c r="G26" s="5">
        <v>46084.744525462964</v>
      </c>
      <c r="H26" s="5">
        <v>46167.418657407405</v>
      </c>
      <c r="I26" s="7">
        <v>0.0</v>
      </c>
      <c r="J26" s="3" t="s">
        <v>15</v>
      </c>
    </row>
    <row r="27">
      <c r="A27" s="3"/>
      <c r="B27" s="3"/>
      <c r="C27" s="3" t="s">
        <v>10</v>
      </c>
      <c r="D27" s="4" t="s">
        <v>58</v>
      </c>
      <c r="E27" s="3" t="s">
        <v>59</v>
      </c>
      <c r="F27" s="5">
        <v>46086.60822916667</v>
      </c>
      <c r="G27" s="5">
        <v>46086.49304398148</v>
      </c>
      <c r="H27" s="5">
        <v>46166.821064814816</v>
      </c>
      <c r="I27" s="3">
        <v>0.0</v>
      </c>
      <c r="J27" s="3" t="s">
        <v>61</v>
      </c>
    </row>
    <row r="28">
      <c r="A28" s="3"/>
      <c r="B28" s="3"/>
      <c r="C28" s="3" t="s">
        <v>17</v>
      </c>
      <c r="D28" s="4" t="s">
        <v>58</v>
      </c>
      <c r="E28" s="3" t="s">
        <v>59</v>
      </c>
      <c r="F28" s="5">
        <v>46086.61517361111</v>
      </c>
      <c r="G28" s="5">
        <v>46086.493101851855</v>
      </c>
      <c r="H28" s="5">
        <v>46166.82859953704</v>
      </c>
      <c r="I28" s="7">
        <v>0.0</v>
      </c>
      <c r="J28" s="3" t="s">
        <v>61</v>
      </c>
    </row>
    <row r="29">
      <c r="A29" s="3"/>
      <c r="B29" s="3"/>
      <c r="C29" s="3" t="s">
        <v>21</v>
      </c>
      <c r="D29" s="4" t="s">
        <v>58</v>
      </c>
      <c r="E29" s="3" t="s">
        <v>59</v>
      </c>
      <c r="F29" s="5">
        <v>46086.71934027778</v>
      </c>
      <c r="G29" s="5">
        <v>46086.49313657408</v>
      </c>
      <c r="H29" s="5">
        <v>46166.07575231481</v>
      </c>
      <c r="I29" s="7">
        <v>0.0</v>
      </c>
      <c r="J29" s="3" t="s">
        <v>61</v>
      </c>
    </row>
    <row r="30">
      <c r="A30" s="3"/>
      <c r="B30" s="3"/>
      <c r="C30" s="3" t="s">
        <v>24</v>
      </c>
      <c r="D30" s="4" t="s">
        <v>58</v>
      </c>
      <c r="E30" s="3" t="s">
        <v>59</v>
      </c>
      <c r="F30" s="5">
        <v>46087.71875</v>
      </c>
      <c r="G30" s="5">
        <v>46086.629155092596</v>
      </c>
      <c r="H30" s="3" t="s">
        <v>14</v>
      </c>
      <c r="I30" s="7">
        <v>0.0</v>
      </c>
      <c r="J30" s="3" t="s">
        <v>61</v>
      </c>
    </row>
    <row r="31">
      <c r="A31" s="3"/>
      <c r="B31" s="3"/>
      <c r="C31" s="3" t="s">
        <v>26</v>
      </c>
      <c r="D31" s="4" t="s">
        <v>58</v>
      </c>
      <c r="E31" s="3" t="s">
        <v>59</v>
      </c>
      <c r="F31" s="5">
        <v>46087.760416666664</v>
      </c>
      <c r="G31" s="5">
        <v>46087.40925925926</v>
      </c>
      <c r="H31" s="5">
        <v>46166.28456018519</v>
      </c>
      <c r="I31" s="7">
        <v>0.0</v>
      </c>
      <c r="J31" s="3" t="s">
        <v>61</v>
      </c>
    </row>
    <row r="32">
      <c r="A32" s="3"/>
      <c r="B32" s="3"/>
      <c r="C32" s="3" t="s">
        <v>10</v>
      </c>
      <c r="D32" s="4" t="s">
        <v>70</v>
      </c>
      <c r="E32" s="3" t="s">
        <v>71</v>
      </c>
      <c r="F32" s="5">
        <v>46087.43819444445</v>
      </c>
      <c r="G32" s="5">
        <v>46086.70101851852</v>
      </c>
      <c r="H32" s="3" t="s">
        <v>14</v>
      </c>
      <c r="I32" s="3">
        <v>0.0</v>
      </c>
      <c r="J32" s="3" t="s">
        <v>72</v>
      </c>
    </row>
    <row r="33">
      <c r="A33" s="3"/>
      <c r="B33" s="3"/>
      <c r="C33" s="3" t="s">
        <v>17</v>
      </c>
      <c r="D33" s="4" t="s">
        <v>70</v>
      </c>
      <c r="E33" s="3" t="s">
        <v>71</v>
      </c>
      <c r="F33" s="5">
        <v>46087.44513888889</v>
      </c>
      <c r="G33" s="5">
        <v>46086.70119212963</v>
      </c>
      <c r="H33" s="3" t="s">
        <v>14</v>
      </c>
      <c r="I33" s="7">
        <v>0.0</v>
      </c>
      <c r="J33" s="3" t="s">
        <v>72</v>
      </c>
    </row>
    <row r="34">
      <c r="A34" s="3"/>
      <c r="B34" s="3"/>
      <c r="C34" s="3" t="s">
        <v>21</v>
      </c>
      <c r="D34" s="4" t="s">
        <v>70</v>
      </c>
      <c r="E34" s="3" t="s">
        <v>71</v>
      </c>
      <c r="F34" s="5">
        <v>46087.549305555556</v>
      </c>
      <c r="G34" s="5">
        <v>46086.71181712963</v>
      </c>
      <c r="H34" s="3" t="s">
        <v>14</v>
      </c>
      <c r="I34" s="7">
        <v>0.0</v>
      </c>
      <c r="J34" s="3" t="s">
        <v>72</v>
      </c>
    </row>
    <row r="35">
      <c r="A35" s="3"/>
      <c r="B35" s="3"/>
      <c r="C35" s="3" t="s">
        <v>24</v>
      </c>
      <c r="D35" s="4" t="s">
        <v>70</v>
      </c>
      <c r="E35" s="3" t="s">
        <v>71</v>
      </c>
      <c r="F35" s="5">
        <v>46088.549305555556</v>
      </c>
      <c r="G35" s="5">
        <v>46087.66334490741</v>
      </c>
      <c r="H35" s="3" t="s">
        <v>14</v>
      </c>
      <c r="I35" s="7">
        <v>0.0</v>
      </c>
      <c r="J35" s="3" t="s">
        <v>72</v>
      </c>
    </row>
    <row r="36">
      <c r="A36" s="3"/>
      <c r="B36" s="3"/>
      <c r="C36" s="3" t="s">
        <v>26</v>
      </c>
      <c r="D36" s="4" t="s">
        <v>70</v>
      </c>
      <c r="E36" s="3" t="s">
        <v>71</v>
      </c>
      <c r="F36" s="5">
        <v>46088.59097222222</v>
      </c>
      <c r="G36" s="5">
        <v>46087.663449074076</v>
      </c>
      <c r="H36" s="3" t="s">
        <v>14</v>
      </c>
      <c r="I36" s="7">
        <v>0.0</v>
      </c>
      <c r="J36" s="3" t="s">
        <v>72</v>
      </c>
    </row>
    <row r="37">
      <c r="A37" s="3"/>
      <c r="B37" s="3"/>
      <c r="C37" s="3" t="s">
        <v>10</v>
      </c>
      <c r="D37" s="4" t="s">
        <v>73</v>
      </c>
      <c r="E37" s="3" t="s">
        <v>74</v>
      </c>
      <c r="F37" s="5">
        <v>46087.44027777778</v>
      </c>
      <c r="G37" s="5">
        <v>46086.70104166667</v>
      </c>
      <c r="H37" s="3" t="s">
        <v>14</v>
      </c>
      <c r="I37" s="3">
        <v>0.0</v>
      </c>
      <c r="J37" s="3" t="s">
        <v>72</v>
      </c>
    </row>
    <row r="38">
      <c r="A38" s="3"/>
      <c r="B38" s="3"/>
      <c r="C38" s="3" t="s">
        <v>17</v>
      </c>
      <c r="D38" s="4" t="s">
        <v>73</v>
      </c>
      <c r="E38" s="3" t="s">
        <v>74</v>
      </c>
      <c r="F38" s="5">
        <v>46087.447222222225</v>
      </c>
      <c r="G38" s="5">
        <v>46086.701215277775</v>
      </c>
      <c r="H38" s="3" t="s">
        <v>14</v>
      </c>
      <c r="I38" s="7">
        <v>0.0</v>
      </c>
      <c r="J38" s="3" t="s">
        <v>72</v>
      </c>
    </row>
    <row r="39">
      <c r="A39" s="3"/>
      <c r="B39" s="3"/>
      <c r="C39" s="3" t="s">
        <v>21</v>
      </c>
      <c r="D39" s="4" t="s">
        <v>73</v>
      </c>
      <c r="E39" s="3" t="s">
        <v>74</v>
      </c>
      <c r="F39" s="5">
        <v>46087.55138888889</v>
      </c>
      <c r="G39" s="5">
        <v>46086.71181712963</v>
      </c>
      <c r="H39" s="3" t="s">
        <v>14</v>
      </c>
      <c r="I39" s="7">
        <v>0.0</v>
      </c>
      <c r="J39" s="3" t="s">
        <v>72</v>
      </c>
    </row>
    <row r="40">
      <c r="A40" s="3"/>
      <c r="B40" s="3"/>
      <c r="C40" s="3" t="s">
        <v>24</v>
      </c>
      <c r="D40" s="4" t="s">
        <v>73</v>
      </c>
      <c r="E40" s="3" t="s">
        <v>74</v>
      </c>
      <c r="F40" s="5">
        <v>46088.55138888889</v>
      </c>
      <c r="G40" s="5">
        <v>46087.66336805555</v>
      </c>
      <c r="H40" s="3" t="s">
        <v>14</v>
      </c>
      <c r="I40" s="7">
        <v>0.0</v>
      </c>
      <c r="J40" s="3" t="s">
        <v>72</v>
      </c>
    </row>
    <row r="41">
      <c r="A41" s="3"/>
      <c r="B41" s="3"/>
      <c r="C41" s="3" t="s">
        <v>26</v>
      </c>
      <c r="D41" s="4" t="s">
        <v>73</v>
      </c>
      <c r="E41" s="3" t="s">
        <v>74</v>
      </c>
      <c r="F41" s="5">
        <v>46088.59305555555</v>
      </c>
      <c r="G41" s="5">
        <v>46087.66342592592</v>
      </c>
      <c r="H41" s="3" t="s">
        <v>14</v>
      </c>
      <c r="I41" s="7">
        <v>0.0</v>
      </c>
      <c r="J41" s="3" t="s">
        <v>72</v>
      </c>
    </row>
    <row r="42">
      <c r="A42" s="3"/>
      <c r="B42" s="3"/>
      <c r="C42" s="3" t="s">
        <v>10</v>
      </c>
      <c r="D42" s="4" t="s">
        <v>81</v>
      </c>
      <c r="E42" s="3" t="s">
        <v>82</v>
      </c>
      <c r="F42" s="5">
        <v>46087.62372685185</v>
      </c>
      <c r="G42" s="5">
        <v>46087.47363425926</v>
      </c>
      <c r="H42" s="3" t="s">
        <v>14</v>
      </c>
      <c r="I42" s="3">
        <v>0.0</v>
      </c>
      <c r="J42" s="3" t="s">
        <v>15</v>
      </c>
    </row>
    <row r="43">
      <c r="A43" s="3"/>
      <c r="B43" s="3"/>
      <c r="C43" s="3" t="s">
        <v>17</v>
      </c>
      <c r="D43" s="4" t="s">
        <v>81</v>
      </c>
      <c r="E43" s="3" t="s">
        <v>82</v>
      </c>
      <c r="F43" s="5">
        <v>46087.6306712963</v>
      </c>
      <c r="G43" s="5">
        <v>46087.47372685185</v>
      </c>
      <c r="H43" s="3" t="s">
        <v>14</v>
      </c>
      <c r="I43" s="7">
        <v>0.0</v>
      </c>
      <c r="J43" s="3" t="s">
        <v>15</v>
      </c>
    </row>
    <row r="44">
      <c r="A44" s="3"/>
      <c r="B44" s="3"/>
      <c r="C44" s="3" t="s">
        <v>21</v>
      </c>
      <c r="D44" s="4" t="s">
        <v>81</v>
      </c>
      <c r="E44" s="3" t="s">
        <v>82</v>
      </c>
      <c r="F44" s="5">
        <v>46087.73483796296</v>
      </c>
      <c r="G44" s="5">
        <v>46087.47381944444</v>
      </c>
      <c r="H44" s="3" t="s">
        <v>14</v>
      </c>
      <c r="I44" s="7">
        <v>0.0</v>
      </c>
      <c r="J44" s="3" t="s">
        <v>15</v>
      </c>
    </row>
    <row r="45">
      <c r="A45" s="3"/>
      <c r="B45" s="3"/>
      <c r="C45" s="3" t="s">
        <v>24</v>
      </c>
      <c r="D45" s="4" t="s">
        <v>81</v>
      </c>
      <c r="E45" s="3" t="s">
        <v>82</v>
      </c>
      <c r="F45" s="5">
        <v>46088.73472222222</v>
      </c>
      <c r="G45" s="5">
        <v>46087.49581018519</v>
      </c>
      <c r="H45" s="3" t="s">
        <v>14</v>
      </c>
      <c r="I45" s="7">
        <v>0.0</v>
      </c>
      <c r="J45" s="3" t="s">
        <v>15</v>
      </c>
    </row>
    <row r="46">
      <c r="A46" s="3"/>
      <c r="B46" s="3"/>
      <c r="C46" s="3" t="s">
        <v>26</v>
      </c>
      <c r="D46" s="4" t="s">
        <v>81</v>
      </c>
      <c r="E46" s="3" t="s">
        <v>82</v>
      </c>
      <c r="F46" s="5">
        <v>46088.77638888889</v>
      </c>
      <c r="G46" s="5">
        <v>46087.49585648148</v>
      </c>
      <c r="H46" s="3" t="s">
        <v>14</v>
      </c>
      <c r="I46" s="7">
        <v>0.0</v>
      </c>
      <c r="J46" s="3" t="s">
        <v>15</v>
      </c>
    </row>
    <row r="47">
      <c r="A47" s="3"/>
      <c r="B47" s="3"/>
      <c r="C47" s="3" t="s">
        <v>10</v>
      </c>
      <c r="D47" s="4" t="s">
        <v>83</v>
      </c>
      <c r="E47" s="3" t="s">
        <v>84</v>
      </c>
      <c r="F47" s="5">
        <v>46087.80578703704</v>
      </c>
      <c r="G47" s="5">
        <v>46087.640439814815</v>
      </c>
      <c r="H47" s="3" t="s">
        <v>14</v>
      </c>
      <c r="I47" s="3">
        <v>0.0</v>
      </c>
      <c r="J47" s="3" t="s">
        <v>61</v>
      </c>
    </row>
    <row r="48">
      <c r="A48" s="3"/>
      <c r="B48" s="3"/>
      <c r="C48" s="3" t="s">
        <v>17</v>
      </c>
      <c r="D48" s="4" t="s">
        <v>83</v>
      </c>
      <c r="E48" s="3" t="s">
        <v>84</v>
      </c>
      <c r="F48" s="5">
        <v>46087.812731481485</v>
      </c>
      <c r="G48" s="5">
        <v>46087.64059027778</v>
      </c>
      <c r="H48" s="3" t="s">
        <v>14</v>
      </c>
      <c r="I48" s="7">
        <v>0.0</v>
      </c>
      <c r="J48" s="3" t="s">
        <v>61</v>
      </c>
    </row>
    <row r="49">
      <c r="A49" s="3"/>
      <c r="B49" s="3"/>
      <c r="C49" s="3" t="s">
        <v>21</v>
      </c>
      <c r="D49" s="4" t="s">
        <v>83</v>
      </c>
      <c r="E49" s="3" t="s">
        <v>84</v>
      </c>
      <c r="F49" s="5">
        <v>46088.520833333336</v>
      </c>
      <c r="G49" s="5">
        <v>46088.41774305556</v>
      </c>
      <c r="H49" s="3" t="s">
        <v>14</v>
      </c>
      <c r="I49" s="7">
        <v>0.0</v>
      </c>
      <c r="J49" s="3" t="s">
        <v>61</v>
      </c>
    </row>
    <row r="50">
      <c r="A50" s="3"/>
      <c r="B50" s="3"/>
      <c r="C50" s="3" t="s">
        <v>24</v>
      </c>
      <c r="D50" s="4" t="s">
        <v>83</v>
      </c>
      <c r="E50" s="3" t="s">
        <v>84</v>
      </c>
      <c r="F50" s="5">
        <v>46090.520833333336</v>
      </c>
      <c r="G50" s="5">
        <v>46088.41782407407</v>
      </c>
      <c r="H50" s="3" t="s">
        <v>14</v>
      </c>
      <c r="I50" s="7">
        <v>0.0</v>
      </c>
      <c r="J50" s="3" t="s">
        <v>61</v>
      </c>
    </row>
    <row r="51">
      <c r="A51" s="3"/>
      <c r="B51" s="3"/>
      <c r="C51" s="3" t="s">
        <v>26</v>
      </c>
      <c r="D51" s="4" t="s">
        <v>83</v>
      </c>
      <c r="E51" s="3" t="s">
        <v>84</v>
      </c>
      <c r="F51" s="5">
        <v>46090.5625</v>
      </c>
      <c r="G51" s="5">
        <v>46088.41788194444</v>
      </c>
      <c r="H51" s="3" t="s">
        <v>14</v>
      </c>
      <c r="I51" s="7">
        <v>0.0</v>
      </c>
      <c r="J51" s="3" t="s">
        <v>61</v>
      </c>
    </row>
    <row r="52">
      <c r="A52" s="3"/>
      <c r="B52" s="3"/>
      <c r="C52" s="3" t="s">
        <v>10</v>
      </c>
      <c r="D52" s="4" t="s">
        <v>89</v>
      </c>
      <c r="E52" s="3" t="s">
        <v>90</v>
      </c>
      <c r="F52" s="5">
        <v>46088.48263888889</v>
      </c>
      <c r="G52" s="5">
        <v>46087.73550925926</v>
      </c>
      <c r="H52" s="3" t="s">
        <v>14</v>
      </c>
      <c r="I52" s="3">
        <v>0.0</v>
      </c>
      <c r="J52" s="3" t="s">
        <v>15</v>
      </c>
    </row>
    <row r="53">
      <c r="A53" s="3"/>
      <c r="B53" s="3"/>
      <c r="C53" s="3" t="s">
        <v>17</v>
      </c>
      <c r="D53" s="4" t="s">
        <v>89</v>
      </c>
      <c r="E53" s="3" t="s">
        <v>90</v>
      </c>
      <c r="F53" s="5">
        <v>46088.489583333336</v>
      </c>
      <c r="G53" s="5">
        <v>46087.73570601852</v>
      </c>
      <c r="H53" s="3" t="s">
        <v>14</v>
      </c>
      <c r="I53" s="7">
        <v>0.0</v>
      </c>
      <c r="J53" s="3" t="s">
        <v>15</v>
      </c>
    </row>
    <row r="54">
      <c r="A54" s="3"/>
      <c r="B54" s="3"/>
      <c r="C54" s="3" t="s">
        <v>21</v>
      </c>
      <c r="D54" s="4" t="s">
        <v>89</v>
      </c>
      <c r="E54" s="3" t="s">
        <v>90</v>
      </c>
      <c r="F54" s="5">
        <v>46088.59375</v>
      </c>
      <c r="G54" s="5">
        <v>46087.73599537037</v>
      </c>
      <c r="H54" s="3" t="s">
        <v>14</v>
      </c>
      <c r="I54" s="7">
        <v>0.0</v>
      </c>
      <c r="J54" s="3" t="s">
        <v>15</v>
      </c>
    </row>
    <row r="55">
      <c r="A55" s="3"/>
      <c r="B55" s="3"/>
      <c r="C55" s="3" t="s">
        <v>24</v>
      </c>
      <c r="D55" s="4" t="s">
        <v>89</v>
      </c>
      <c r="E55" s="3" t="s">
        <v>90</v>
      </c>
      <c r="F55" s="5">
        <v>46090.59375</v>
      </c>
      <c r="G55" s="5">
        <v>46088.44898148148</v>
      </c>
      <c r="H55" s="3" t="s">
        <v>14</v>
      </c>
      <c r="I55" s="7">
        <v>0.0</v>
      </c>
      <c r="J55" s="3" t="s">
        <v>15</v>
      </c>
    </row>
    <row r="56">
      <c r="A56" s="3"/>
      <c r="B56" s="3"/>
      <c r="C56" s="3" t="s">
        <v>26</v>
      </c>
      <c r="D56" s="4" t="s">
        <v>89</v>
      </c>
      <c r="E56" s="3" t="s">
        <v>90</v>
      </c>
      <c r="F56" s="5">
        <v>46090.635416666664</v>
      </c>
      <c r="G56" s="5">
        <v>46088.44907407407</v>
      </c>
      <c r="H56" s="3" t="s">
        <v>14</v>
      </c>
      <c r="I56" s="7">
        <v>0.0</v>
      </c>
      <c r="J56" s="3" t="s">
        <v>15</v>
      </c>
    </row>
    <row r="57">
      <c r="A57" s="3"/>
      <c r="B57" s="3"/>
      <c r="C57" s="3" t="s">
        <v>10</v>
      </c>
      <c r="D57" s="4" t="s">
        <v>93</v>
      </c>
      <c r="E57" s="3" t="s">
        <v>94</v>
      </c>
      <c r="F57" s="5">
        <v>46088.52569444444</v>
      </c>
      <c r="G57" s="5">
        <v>46088.4175</v>
      </c>
      <c r="H57" s="3" t="s">
        <v>14</v>
      </c>
      <c r="I57" s="3">
        <v>0.0</v>
      </c>
      <c r="J57" s="3" t="s">
        <v>15</v>
      </c>
    </row>
    <row r="58">
      <c r="A58" s="3"/>
      <c r="B58" s="3"/>
      <c r="C58" s="3" t="s">
        <v>17</v>
      </c>
      <c r="D58" s="4" t="s">
        <v>93</v>
      </c>
      <c r="E58" s="3" t="s">
        <v>94</v>
      </c>
      <c r="F58" s="5">
        <v>46088.532638888886</v>
      </c>
      <c r="G58" s="5">
        <v>46088.41758101852</v>
      </c>
      <c r="H58" s="3" t="s">
        <v>14</v>
      </c>
      <c r="I58" s="7">
        <v>0.0</v>
      </c>
      <c r="J58" s="3" t="s">
        <v>15</v>
      </c>
    </row>
    <row r="59">
      <c r="A59" s="3"/>
      <c r="B59" s="3"/>
      <c r="C59" s="3" t="s">
        <v>21</v>
      </c>
      <c r="D59" s="4" t="s">
        <v>93</v>
      </c>
      <c r="E59" s="3" t="s">
        <v>94</v>
      </c>
      <c r="F59" s="5">
        <v>46088.63680555556</v>
      </c>
      <c r="G59" s="5">
        <v>46088.41813657407</v>
      </c>
      <c r="H59" s="3" t="s">
        <v>14</v>
      </c>
      <c r="I59" s="7">
        <v>0.0</v>
      </c>
      <c r="J59" s="3" t="s">
        <v>15</v>
      </c>
    </row>
    <row r="60">
      <c r="A60" s="3"/>
      <c r="B60" s="3"/>
      <c r="C60" s="3" t="s">
        <v>24</v>
      </c>
      <c r="D60" s="4" t="s">
        <v>93</v>
      </c>
      <c r="E60" s="3" t="s">
        <v>94</v>
      </c>
      <c r="F60" s="5">
        <v>46090.63680555556</v>
      </c>
      <c r="G60" s="5">
        <v>46088.44912037037</v>
      </c>
      <c r="H60" s="3" t="s">
        <v>14</v>
      </c>
      <c r="I60" s="7">
        <v>0.0</v>
      </c>
      <c r="J60" s="3" t="s">
        <v>15</v>
      </c>
    </row>
    <row r="61">
      <c r="A61" s="3"/>
      <c r="B61" s="3"/>
      <c r="C61" s="3" t="s">
        <v>26</v>
      </c>
      <c r="D61" s="4" t="s">
        <v>93</v>
      </c>
      <c r="E61" s="3" t="s">
        <v>94</v>
      </c>
      <c r="F61" s="5">
        <v>46090.67847222222</v>
      </c>
      <c r="G61" s="5">
        <v>46088.50059027778</v>
      </c>
      <c r="H61" s="3" t="s">
        <v>14</v>
      </c>
      <c r="I61" s="7">
        <v>0.0</v>
      </c>
      <c r="J61" s="3" t="s">
        <v>15</v>
      </c>
    </row>
    <row r="62">
      <c r="A62" s="3"/>
      <c r="B62" s="3"/>
      <c r="C62" s="3" t="s">
        <v>10</v>
      </c>
      <c r="D62" s="4" t="s">
        <v>100</v>
      </c>
      <c r="E62" s="3" t="s">
        <v>101</v>
      </c>
      <c r="F62" s="5">
        <v>46088.58368055556</v>
      </c>
      <c r="G62" s="5">
        <v>46088.41740740741</v>
      </c>
      <c r="H62" s="3" t="s">
        <v>14</v>
      </c>
      <c r="I62" s="3">
        <v>0.0</v>
      </c>
      <c r="J62" s="3" t="s">
        <v>61</v>
      </c>
    </row>
    <row r="63">
      <c r="A63" s="3"/>
      <c r="B63" s="3"/>
      <c r="C63" s="3" t="s">
        <v>17</v>
      </c>
      <c r="D63" s="4" t="s">
        <v>100</v>
      </c>
      <c r="E63" s="3" t="s">
        <v>101</v>
      </c>
      <c r="F63" s="5">
        <v>46088.590625</v>
      </c>
      <c r="G63" s="5">
        <v>46088.41758101852</v>
      </c>
      <c r="H63" s="3" t="s">
        <v>14</v>
      </c>
      <c r="I63" s="7">
        <v>0.0</v>
      </c>
      <c r="J63" s="3" t="s">
        <v>61</v>
      </c>
    </row>
    <row r="64">
      <c r="A64" s="3"/>
      <c r="B64" s="3"/>
      <c r="C64" s="3" t="s">
        <v>21</v>
      </c>
      <c r="D64" s="4" t="s">
        <v>100</v>
      </c>
      <c r="E64" s="3" t="s">
        <v>101</v>
      </c>
      <c r="F64" s="5">
        <v>46088.69479166667</v>
      </c>
      <c r="G64" s="5">
        <v>46088.41815972222</v>
      </c>
      <c r="H64" s="3" t="s">
        <v>14</v>
      </c>
      <c r="I64" s="7">
        <v>0.0</v>
      </c>
      <c r="J64" s="3" t="s">
        <v>61</v>
      </c>
    </row>
    <row r="65">
      <c r="A65" s="3"/>
      <c r="B65" s="3"/>
      <c r="C65" s="3" t="s">
        <v>24</v>
      </c>
      <c r="D65" s="4" t="s">
        <v>100</v>
      </c>
      <c r="E65" s="3" t="s">
        <v>101</v>
      </c>
      <c r="F65" s="5">
        <v>46090.694444444445</v>
      </c>
      <c r="G65" s="5">
        <v>46088.48164351852</v>
      </c>
      <c r="H65" s="3" t="s">
        <v>14</v>
      </c>
      <c r="I65" s="7">
        <v>0.0</v>
      </c>
      <c r="J65" s="3" t="s">
        <v>61</v>
      </c>
    </row>
    <row r="66">
      <c r="A66" s="3"/>
      <c r="B66" s="3"/>
      <c r="C66" s="3" t="s">
        <v>26</v>
      </c>
      <c r="D66" s="4" t="s">
        <v>100</v>
      </c>
      <c r="E66" s="3" t="s">
        <v>101</v>
      </c>
      <c r="F66" s="5">
        <v>46090.73611111111</v>
      </c>
      <c r="G66" s="5">
        <v>46088.48170138889</v>
      </c>
      <c r="H66" s="3" t="s">
        <v>14</v>
      </c>
      <c r="I66" s="7">
        <v>0.0</v>
      </c>
      <c r="J66" s="3" t="s">
        <v>61</v>
      </c>
    </row>
    <row r="67">
      <c r="A67" s="3"/>
      <c r="B67" s="3"/>
      <c r="C67" s="3" t="s">
        <v>10</v>
      </c>
      <c r="D67" s="4" t="s">
        <v>108</v>
      </c>
      <c r="E67" s="3" t="s">
        <v>109</v>
      </c>
      <c r="F67" s="5">
        <v>46088.60958333333</v>
      </c>
      <c r="G67" s="5">
        <v>46088.448530092595</v>
      </c>
      <c r="H67" s="3" t="s">
        <v>14</v>
      </c>
      <c r="I67" s="3">
        <v>0.0</v>
      </c>
      <c r="J67" s="3" t="s">
        <v>15</v>
      </c>
    </row>
    <row r="68">
      <c r="A68" s="3"/>
      <c r="B68" s="3"/>
      <c r="C68" s="3" t="s">
        <v>17</v>
      </c>
      <c r="D68" s="4" t="s">
        <v>108</v>
      </c>
      <c r="E68" s="3" t="s">
        <v>109</v>
      </c>
      <c r="F68" s="5">
        <v>46088.616527777776</v>
      </c>
      <c r="G68" s="5">
        <v>46088.4487037037</v>
      </c>
      <c r="H68" s="3" t="s">
        <v>14</v>
      </c>
      <c r="I68" s="7">
        <v>0.0</v>
      </c>
      <c r="J68" s="3" t="s">
        <v>15</v>
      </c>
    </row>
    <row r="69">
      <c r="A69" s="3"/>
      <c r="B69" s="3"/>
      <c r="C69" s="3" t="s">
        <v>21</v>
      </c>
      <c r="D69" s="4" t="s">
        <v>108</v>
      </c>
      <c r="E69" s="3" t="s">
        <v>109</v>
      </c>
      <c r="F69" s="5">
        <v>46088.72069444445</v>
      </c>
      <c r="G69" s="5">
        <v>46088.448842592596</v>
      </c>
      <c r="H69" s="3" t="s">
        <v>14</v>
      </c>
      <c r="I69" s="7">
        <v>0.0</v>
      </c>
      <c r="J69" s="3" t="s">
        <v>15</v>
      </c>
    </row>
    <row r="70">
      <c r="A70" s="3"/>
      <c r="B70" s="3"/>
      <c r="C70" s="3" t="s">
        <v>24</v>
      </c>
      <c r="D70" s="4" t="s">
        <v>108</v>
      </c>
      <c r="E70" s="3" t="s">
        <v>109</v>
      </c>
      <c r="F70" s="5">
        <v>46090.720138888886</v>
      </c>
      <c r="G70" s="5">
        <v>46090.62253472222</v>
      </c>
      <c r="H70" s="3" t="s">
        <v>14</v>
      </c>
      <c r="I70" s="7">
        <v>0.0</v>
      </c>
      <c r="J70" s="3" t="s">
        <v>15</v>
      </c>
    </row>
    <row r="71">
      <c r="A71" s="3"/>
      <c r="B71" s="3"/>
      <c r="C71" s="3" t="s">
        <v>26</v>
      </c>
      <c r="D71" s="4" t="s">
        <v>108</v>
      </c>
      <c r="E71" s="3" t="s">
        <v>109</v>
      </c>
      <c r="F71" s="5">
        <v>46090.76180555556</v>
      </c>
      <c r="G71" s="5">
        <v>46090.67188657408</v>
      </c>
      <c r="H71" s="3" t="s">
        <v>14</v>
      </c>
      <c r="I71" s="7">
        <v>0.0</v>
      </c>
      <c r="J71" s="3" t="s">
        <v>15</v>
      </c>
    </row>
    <row r="72">
      <c r="A72" s="3"/>
      <c r="B72" s="3"/>
      <c r="C72" s="3" t="s">
        <v>10</v>
      </c>
      <c r="D72" s="4" t="s">
        <v>115</v>
      </c>
      <c r="E72" s="3" t="s">
        <v>116</v>
      </c>
      <c r="F72" s="5">
        <v>46090.66302083333</v>
      </c>
      <c r="G72" s="5">
        <v>46090.51929398148</v>
      </c>
      <c r="H72" s="3" t="s">
        <v>14</v>
      </c>
      <c r="I72" s="3">
        <v>0.0</v>
      </c>
      <c r="J72" s="3" t="s">
        <v>15</v>
      </c>
    </row>
    <row r="73">
      <c r="A73" s="3"/>
      <c r="B73" s="3"/>
      <c r="C73" s="3" t="s">
        <v>17</v>
      </c>
      <c r="D73" s="4" t="s">
        <v>115</v>
      </c>
      <c r="E73" s="3" t="s">
        <v>116</v>
      </c>
      <c r="F73" s="5">
        <v>46090.669965277775</v>
      </c>
      <c r="G73" s="5">
        <v>46090.519467592596</v>
      </c>
      <c r="H73" s="3" t="s">
        <v>14</v>
      </c>
      <c r="I73" s="7">
        <v>0.0</v>
      </c>
      <c r="J73" s="3" t="s">
        <v>15</v>
      </c>
    </row>
    <row r="74">
      <c r="A74" s="3"/>
      <c r="B74" s="3"/>
      <c r="C74" s="3" t="s">
        <v>21</v>
      </c>
      <c r="D74" s="4" t="s">
        <v>115</v>
      </c>
      <c r="E74" s="3" t="s">
        <v>116</v>
      </c>
      <c r="F74" s="5">
        <v>46090.77413194445</v>
      </c>
      <c r="G74" s="5">
        <v>46090.67171296296</v>
      </c>
      <c r="H74" s="3" t="s">
        <v>14</v>
      </c>
      <c r="I74" s="7">
        <v>0.0</v>
      </c>
      <c r="J74" s="3" t="s">
        <v>15</v>
      </c>
    </row>
    <row r="75">
      <c r="A75" s="3"/>
      <c r="B75" s="3"/>
      <c r="C75" s="3" t="s">
        <v>24</v>
      </c>
      <c r="D75" s="4" t="s">
        <v>115</v>
      </c>
      <c r="E75" s="3" t="s">
        <v>116</v>
      </c>
      <c r="F75" s="5">
        <v>46091.77361111111</v>
      </c>
      <c r="G75" s="5">
        <v>46091.772465277776</v>
      </c>
      <c r="H75" s="3" t="s">
        <v>14</v>
      </c>
      <c r="I75" s="7">
        <v>0.0</v>
      </c>
      <c r="J75" s="3" t="s">
        <v>15</v>
      </c>
    </row>
    <row r="76">
      <c r="A76" s="3"/>
      <c r="B76" s="3"/>
      <c r="C76" s="3" t="s">
        <v>26</v>
      </c>
      <c r="D76" s="4" t="s">
        <v>115</v>
      </c>
      <c r="E76" s="3" t="s">
        <v>116</v>
      </c>
      <c r="F76" s="5">
        <v>46091.81527777778</v>
      </c>
      <c r="G76" s="5">
        <v>46091.775300925925</v>
      </c>
      <c r="H76" s="3" t="s">
        <v>14</v>
      </c>
      <c r="I76" s="7">
        <v>0.0</v>
      </c>
      <c r="J76" s="3" t="s">
        <v>15</v>
      </c>
    </row>
    <row r="77">
      <c r="A77" s="3"/>
      <c r="B77" s="3"/>
      <c r="C77" s="3" t="s">
        <v>10</v>
      </c>
      <c r="D77" s="4" t="s">
        <v>118</v>
      </c>
      <c r="E77" s="3" t="s">
        <v>120</v>
      </c>
      <c r="F77" s="5">
        <v>46090.70149305555</v>
      </c>
      <c r="G77" s="5">
        <v>46090.62032407407</v>
      </c>
      <c r="H77" s="3" t="s">
        <v>14</v>
      </c>
      <c r="I77" s="3">
        <v>0.0</v>
      </c>
      <c r="J77" s="3" t="s">
        <v>15</v>
      </c>
    </row>
    <row r="78">
      <c r="A78" s="3"/>
      <c r="B78" s="3"/>
      <c r="C78" s="3" t="s">
        <v>17</v>
      </c>
      <c r="D78" s="4" t="s">
        <v>118</v>
      </c>
      <c r="E78" s="3" t="s">
        <v>120</v>
      </c>
      <c r="F78" s="5">
        <v>46090.7084375</v>
      </c>
      <c r="G78" s="5">
        <v>46090.62068287037</v>
      </c>
      <c r="H78" s="3" t="s">
        <v>14</v>
      </c>
      <c r="I78" s="7">
        <v>0.0</v>
      </c>
      <c r="J78" s="3" t="s">
        <v>15</v>
      </c>
    </row>
    <row r="79">
      <c r="A79" s="3"/>
      <c r="B79" s="3"/>
      <c r="C79" s="3" t="s">
        <v>21</v>
      </c>
      <c r="D79" s="4" t="s">
        <v>118</v>
      </c>
      <c r="E79" s="3" t="s">
        <v>120</v>
      </c>
      <c r="F79" s="5">
        <v>46090.81260416667</v>
      </c>
      <c r="G79" s="5">
        <v>46090.671793981484</v>
      </c>
      <c r="H79" s="3" t="s">
        <v>14</v>
      </c>
      <c r="I79" s="7">
        <v>0.0</v>
      </c>
      <c r="J79" s="3" t="s">
        <v>15</v>
      </c>
    </row>
    <row r="80">
      <c r="A80" s="3"/>
      <c r="B80" s="3"/>
      <c r="C80" s="3" t="s">
        <v>24</v>
      </c>
      <c r="D80" s="4" t="s">
        <v>118</v>
      </c>
      <c r="E80" s="3" t="s">
        <v>120</v>
      </c>
      <c r="F80" s="5">
        <v>46091.8125</v>
      </c>
      <c r="G80" s="5">
        <v>46091.540289351855</v>
      </c>
      <c r="H80" s="3" t="s">
        <v>14</v>
      </c>
      <c r="I80" s="7">
        <v>0.0</v>
      </c>
      <c r="J80" s="3" t="s">
        <v>15</v>
      </c>
    </row>
    <row r="81">
      <c r="A81" s="3"/>
      <c r="B81" s="3"/>
      <c r="C81" s="3" t="s">
        <v>26</v>
      </c>
      <c r="D81" s="4" t="s">
        <v>118</v>
      </c>
      <c r="E81" s="3" t="s">
        <v>120</v>
      </c>
      <c r="F81" s="5">
        <v>46092.4375</v>
      </c>
      <c r="G81" s="5">
        <v>46091.54032407407</v>
      </c>
      <c r="H81" s="3" t="s">
        <v>14</v>
      </c>
      <c r="I81" s="7">
        <v>0.0</v>
      </c>
      <c r="J81" s="3" t="s">
        <v>15</v>
      </c>
    </row>
    <row r="82">
      <c r="A82" s="3"/>
      <c r="B82" s="3"/>
      <c r="C82" s="3" t="s">
        <v>10</v>
      </c>
      <c r="D82" s="4" t="s">
        <v>124</v>
      </c>
      <c r="E82" s="3" t="s">
        <v>125</v>
      </c>
      <c r="F82" s="5">
        <v>46090.70457175926</v>
      </c>
      <c r="G82" s="5">
        <v>46090.6202662037</v>
      </c>
      <c r="H82" s="3" t="s">
        <v>14</v>
      </c>
      <c r="I82" s="3">
        <v>0.0</v>
      </c>
      <c r="J82" s="3" t="s">
        <v>61</v>
      </c>
    </row>
    <row r="83">
      <c r="A83" s="3"/>
      <c r="B83" s="3"/>
      <c r="C83" s="3" t="s">
        <v>17</v>
      </c>
      <c r="D83" s="4" t="s">
        <v>124</v>
      </c>
      <c r="E83" s="3" t="s">
        <v>125</v>
      </c>
      <c r="F83" s="5">
        <v>46090.7115162037</v>
      </c>
      <c r="G83" s="5">
        <v>46090.620625</v>
      </c>
      <c r="H83" s="3" t="s">
        <v>14</v>
      </c>
      <c r="I83" s="7">
        <v>0.0</v>
      </c>
      <c r="J83" s="3" t="s">
        <v>61</v>
      </c>
    </row>
    <row r="84">
      <c r="A84" s="3"/>
      <c r="B84" s="3"/>
      <c r="C84" s="3" t="s">
        <v>21</v>
      </c>
      <c r="D84" s="4" t="s">
        <v>124</v>
      </c>
      <c r="E84" s="3" t="s">
        <v>125</v>
      </c>
      <c r="F84" s="5">
        <v>46090.81568287037</v>
      </c>
      <c r="G84" s="5">
        <v>46090.6246875</v>
      </c>
      <c r="H84" s="3" t="s">
        <v>14</v>
      </c>
      <c r="I84" s="7">
        <v>0.0</v>
      </c>
      <c r="J84" s="3" t="s">
        <v>61</v>
      </c>
    </row>
    <row r="85">
      <c r="A85" s="3"/>
      <c r="B85" s="3"/>
      <c r="C85" s="3" t="s">
        <v>24</v>
      </c>
      <c r="D85" s="4" t="s">
        <v>124</v>
      </c>
      <c r="E85" s="3" t="s">
        <v>125</v>
      </c>
      <c r="F85" s="5">
        <v>46091.81527777778</v>
      </c>
      <c r="G85" s="5">
        <v>46090.62472222222</v>
      </c>
      <c r="H85" s="3" t="s">
        <v>14</v>
      </c>
      <c r="I85" s="7">
        <v>0.0</v>
      </c>
      <c r="J85" s="3" t="s">
        <v>61</v>
      </c>
    </row>
    <row r="86">
      <c r="A86" s="3"/>
      <c r="B86" s="3"/>
      <c r="C86" s="3" t="s">
        <v>26</v>
      </c>
      <c r="D86" s="4" t="s">
        <v>124</v>
      </c>
      <c r="E86" s="3" t="s">
        <v>125</v>
      </c>
      <c r="F86" s="5">
        <v>46092.44027777778</v>
      </c>
      <c r="G86" s="5">
        <v>46090.62479166667</v>
      </c>
      <c r="H86" s="3" t="s">
        <v>14</v>
      </c>
      <c r="I86" s="7">
        <v>0.0</v>
      </c>
      <c r="J86" s="3" t="s">
        <v>61</v>
      </c>
    </row>
    <row r="87">
      <c r="A87" s="3"/>
      <c r="B87" s="3"/>
      <c r="C87" s="3" t="s">
        <v>10</v>
      </c>
      <c r="D87" s="4" t="s">
        <v>129</v>
      </c>
      <c r="E87" s="3" t="s">
        <v>130</v>
      </c>
      <c r="F87" s="5">
        <v>46090.70701388889</v>
      </c>
      <c r="G87" s="5">
        <v>46090.549733796295</v>
      </c>
      <c r="H87" s="3" t="s">
        <v>14</v>
      </c>
      <c r="I87" s="3">
        <v>0.0</v>
      </c>
      <c r="J87" s="3" t="s">
        <v>48</v>
      </c>
    </row>
    <row r="88">
      <c r="A88" s="3"/>
      <c r="B88" s="3"/>
      <c r="C88" s="3" t="s">
        <v>17</v>
      </c>
      <c r="D88" s="4" t="s">
        <v>129</v>
      </c>
      <c r="E88" s="3" t="s">
        <v>130</v>
      </c>
      <c r="F88" s="5">
        <v>46090.713958333334</v>
      </c>
      <c r="G88" s="5">
        <v>46090.54988425926</v>
      </c>
      <c r="H88" s="3" t="s">
        <v>14</v>
      </c>
      <c r="I88" s="7">
        <v>0.0</v>
      </c>
      <c r="J88" s="3" t="s">
        <v>48</v>
      </c>
    </row>
    <row r="89">
      <c r="A89" s="3"/>
      <c r="B89" s="3"/>
      <c r="C89" s="3" t="s">
        <v>21</v>
      </c>
      <c r="D89" s="4" t="s">
        <v>129</v>
      </c>
      <c r="E89" s="3" t="s">
        <v>130</v>
      </c>
      <c r="F89" s="5">
        <v>46090.818125</v>
      </c>
      <c r="G89" s="5">
        <v>46090.549942129626</v>
      </c>
      <c r="H89" s="3" t="s">
        <v>14</v>
      </c>
      <c r="I89" s="7">
        <v>0.0</v>
      </c>
      <c r="J89" s="3" t="s">
        <v>48</v>
      </c>
    </row>
    <row r="90">
      <c r="A90" s="3"/>
      <c r="B90" s="3"/>
      <c r="C90" s="3" t="s">
        <v>24</v>
      </c>
      <c r="D90" s="4" t="s">
        <v>129</v>
      </c>
      <c r="E90" s="3" t="s">
        <v>130</v>
      </c>
      <c r="F90" s="5">
        <v>46091.81805555556</v>
      </c>
      <c r="G90" s="5">
        <v>46091.46880787037</v>
      </c>
      <c r="H90" s="3" t="s">
        <v>14</v>
      </c>
      <c r="I90" s="7">
        <v>0.0</v>
      </c>
      <c r="J90" s="3" t="s">
        <v>48</v>
      </c>
    </row>
    <row r="91">
      <c r="A91" s="3"/>
      <c r="B91" s="3"/>
      <c r="C91" s="3" t="s">
        <v>26</v>
      </c>
      <c r="D91" s="4" t="s">
        <v>129</v>
      </c>
      <c r="E91" s="3" t="s">
        <v>130</v>
      </c>
      <c r="F91" s="5">
        <v>46092.44305555556</v>
      </c>
      <c r="G91" s="5">
        <v>46091.46886574074</v>
      </c>
      <c r="H91" s="3" t="s">
        <v>14</v>
      </c>
      <c r="I91" s="7">
        <v>0.0</v>
      </c>
      <c r="J91" s="3" t="s">
        <v>48</v>
      </c>
    </row>
    <row r="92">
      <c r="A92" s="3"/>
      <c r="B92" s="3"/>
      <c r="C92" s="3" t="s">
        <v>10</v>
      </c>
      <c r="D92" s="4" t="s">
        <v>135</v>
      </c>
      <c r="E92" s="3" t="s">
        <v>136</v>
      </c>
      <c r="F92" s="5">
        <v>46090.74271990741</v>
      </c>
      <c r="G92" s="5">
        <v>46090.62042824074</v>
      </c>
      <c r="H92" s="3" t="s">
        <v>14</v>
      </c>
      <c r="I92" s="3">
        <v>0.0</v>
      </c>
      <c r="J92" s="3" t="s">
        <v>15</v>
      </c>
    </row>
    <row r="93">
      <c r="A93" s="3"/>
      <c r="B93" s="3"/>
      <c r="C93" s="3" t="s">
        <v>17</v>
      </c>
      <c r="D93" s="4" t="s">
        <v>135</v>
      </c>
      <c r="E93" s="3" t="s">
        <v>136</v>
      </c>
      <c r="F93" s="5">
        <v>46090.74966435185</v>
      </c>
      <c r="G93" s="5">
        <v>46090.77300925926</v>
      </c>
      <c r="H93" s="3" t="s">
        <v>14</v>
      </c>
      <c r="I93" s="7">
        <v>0.02335648148148148</v>
      </c>
      <c r="J93" s="3" t="s">
        <v>15</v>
      </c>
    </row>
    <row r="94">
      <c r="A94" s="3"/>
      <c r="B94" s="3"/>
      <c r="C94" s="3" t="s">
        <v>21</v>
      </c>
      <c r="D94" s="4" t="s">
        <v>135</v>
      </c>
      <c r="E94" s="3" t="s">
        <v>136</v>
      </c>
      <c r="F94" s="5">
        <v>46091.45763888889</v>
      </c>
      <c r="G94" s="5">
        <v>46090.77306712963</v>
      </c>
      <c r="H94" s="3" t="s">
        <v>14</v>
      </c>
      <c r="I94" s="7">
        <v>0.0</v>
      </c>
      <c r="J94" s="3" t="s">
        <v>15</v>
      </c>
    </row>
    <row r="95">
      <c r="A95" s="3"/>
      <c r="B95" s="3"/>
      <c r="C95" s="3" t="s">
        <v>24</v>
      </c>
      <c r="D95" s="4" t="s">
        <v>135</v>
      </c>
      <c r="E95" s="3" t="s">
        <v>136</v>
      </c>
      <c r="F95" s="5">
        <v>46092.45763888889</v>
      </c>
      <c r="G95" s="5">
        <v>46091.54042824074</v>
      </c>
      <c r="H95" s="3" t="s">
        <v>14</v>
      </c>
      <c r="I95" s="7">
        <v>0.0</v>
      </c>
      <c r="J95" s="3" t="s">
        <v>15</v>
      </c>
    </row>
    <row r="96">
      <c r="A96" s="3"/>
      <c r="B96" s="3"/>
      <c r="C96" s="3" t="s">
        <v>26</v>
      </c>
      <c r="D96" s="4" t="s">
        <v>135</v>
      </c>
      <c r="E96" s="3" t="s">
        <v>136</v>
      </c>
      <c r="F96" s="5">
        <v>46092.49930555555</v>
      </c>
      <c r="G96" s="5">
        <v>46091.54046296296</v>
      </c>
      <c r="H96" s="3" t="s">
        <v>14</v>
      </c>
      <c r="I96" s="7">
        <v>0.0</v>
      </c>
      <c r="J96" s="3" t="s">
        <v>15</v>
      </c>
    </row>
    <row r="97">
      <c r="A97" s="3"/>
      <c r="B97" s="3"/>
      <c r="C97" s="3" t="s">
        <v>10</v>
      </c>
      <c r="D97" s="4" t="s">
        <v>144</v>
      </c>
      <c r="E97" s="3" t="s">
        <v>145</v>
      </c>
      <c r="F97" s="5">
        <v>46091.76150462963</v>
      </c>
      <c r="G97" s="5">
        <v>46091.46802083333</v>
      </c>
      <c r="H97" s="3" t="s">
        <v>14</v>
      </c>
      <c r="I97" s="3">
        <v>0.0</v>
      </c>
      <c r="J97" s="3" t="s">
        <v>15</v>
      </c>
    </row>
    <row r="98">
      <c r="A98" s="3"/>
      <c r="B98" s="3"/>
      <c r="C98" s="3" t="s">
        <v>17</v>
      </c>
      <c r="D98" s="4" t="s">
        <v>144</v>
      </c>
      <c r="E98" s="3" t="s">
        <v>145</v>
      </c>
      <c r="F98" s="5">
        <v>46091.76844907407</v>
      </c>
      <c r="G98" s="5">
        <v>46091.46834490741</v>
      </c>
      <c r="H98" s="3" t="s">
        <v>14</v>
      </c>
      <c r="I98" s="7">
        <v>0.0</v>
      </c>
      <c r="J98" s="3" t="s">
        <v>15</v>
      </c>
    </row>
    <row r="99">
      <c r="A99" s="3"/>
      <c r="B99" s="3"/>
      <c r="C99" s="3" t="s">
        <v>21</v>
      </c>
      <c r="D99" s="4" t="s">
        <v>144</v>
      </c>
      <c r="E99" s="3" t="s">
        <v>145</v>
      </c>
      <c r="F99" s="5">
        <v>46091.47638888889</v>
      </c>
      <c r="G99" s="5">
        <v>46091.468564814815</v>
      </c>
      <c r="H99" s="3" t="s">
        <v>14</v>
      </c>
      <c r="I99" s="7">
        <v>0.0</v>
      </c>
      <c r="J99" s="3" t="s">
        <v>15</v>
      </c>
    </row>
    <row r="100">
      <c r="A100" s="3"/>
      <c r="B100" s="3"/>
      <c r="C100" s="3" t="s">
        <v>24</v>
      </c>
      <c r="D100" s="4" t="s">
        <v>144</v>
      </c>
      <c r="E100" s="3" t="s">
        <v>145</v>
      </c>
      <c r="F100" s="5">
        <v>46092.47638888889</v>
      </c>
      <c r="G100" s="5">
        <v>46091.46864583333</v>
      </c>
      <c r="H100" s="3" t="s">
        <v>14</v>
      </c>
      <c r="I100" s="7">
        <v>0.0</v>
      </c>
      <c r="J100" s="3" t="s">
        <v>15</v>
      </c>
    </row>
    <row r="101">
      <c r="A101" s="3"/>
      <c r="B101" s="3"/>
      <c r="C101" s="3" t="s">
        <v>26</v>
      </c>
      <c r="D101" s="4" t="s">
        <v>144</v>
      </c>
      <c r="E101" s="3" t="s">
        <v>145</v>
      </c>
      <c r="F101" s="5">
        <v>46092.518055555556</v>
      </c>
      <c r="G101" s="5">
        <v>46091.46869212963</v>
      </c>
      <c r="H101" s="3" t="s">
        <v>14</v>
      </c>
      <c r="I101" s="7">
        <v>0.0</v>
      </c>
      <c r="J101" s="3" t="s">
        <v>15</v>
      </c>
    </row>
    <row r="102">
      <c r="A102" s="3"/>
      <c r="B102" s="3"/>
      <c r="C102" s="3" t="s">
        <v>10</v>
      </c>
      <c r="D102" s="4" t="s">
        <v>153</v>
      </c>
      <c r="E102" s="3" t="s">
        <v>154</v>
      </c>
      <c r="F102" s="5">
        <v>46091.78534722222</v>
      </c>
      <c r="G102" s="5">
        <v>46091.62577546296</v>
      </c>
      <c r="H102" s="3" t="s">
        <v>14</v>
      </c>
      <c r="I102" s="3">
        <v>0.0</v>
      </c>
      <c r="J102" s="3" t="s">
        <v>61</v>
      </c>
    </row>
    <row r="103">
      <c r="A103" s="3"/>
      <c r="B103" s="3"/>
      <c r="C103" s="3" t="s">
        <v>17</v>
      </c>
      <c r="D103" s="4" t="s">
        <v>153</v>
      </c>
      <c r="E103" s="3" t="s">
        <v>154</v>
      </c>
      <c r="F103" s="5">
        <v>46091.792291666665</v>
      </c>
      <c r="G103" s="5">
        <v>46091.6258912037</v>
      </c>
      <c r="H103" s="3" t="s">
        <v>14</v>
      </c>
      <c r="I103" s="7">
        <v>0.0</v>
      </c>
      <c r="J103" s="3" t="s">
        <v>61</v>
      </c>
    </row>
    <row r="104">
      <c r="A104" s="3"/>
      <c r="B104" s="3"/>
      <c r="C104" s="3" t="s">
        <v>21</v>
      </c>
      <c r="D104" s="4" t="s">
        <v>153</v>
      </c>
      <c r="E104" s="3" t="s">
        <v>154</v>
      </c>
      <c r="F104" s="5">
        <v>46092.458333333336</v>
      </c>
      <c r="G104" s="5">
        <v>46091.77643518519</v>
      </c>
      <c r="H104" s="3" t="s">
        <v>14</v>
      </c>
      <c r="I104" s="7">
        <v>0.0</v>
      </c>
      <c r="J104" s="3" t="s">
        <v>61</v>
      </c>
    </row>
    <row r="105">
      <c r="A105" s="3"/>
      <c r="B105" s="3"/>
      <c r="C105" s="3" t="s">
        <v>24</v>
      </c>
      <c r="D105" s="4" t="s">
        <v>153</v>
      </c>
      <c r="E105" s="3" t="s">
        <v>154</v>
      </c>
      <c r="F105" s="5">
        <v>46093.458333333336</v>
      </c>
      <c r="G105" s="5">
        <v>46092.416284722225</v>
      </c>
      <c r="H105" s="3" t="s">
        <v>14</v>
      </c>
      <c r="I105" s="7">
        <v>0.0</v>
      </c>
      <c r="J105" s="3" t="s">
        <v>61</v>
      </c>
    </row>
    <row r="106">
      <c r="A106" s="3"/>
      <c r="B106" s="3"/>
      <c r="C106" s="3" t="s">
        <v>26</v>
      </c>
      <c r="D106" s="4" t="s">
        <v>153</v>
      </c>
      <c r="E106" s="3" t="s">
        <v>154</v>
      </c>
      <c r="F106" s="5">
        <v>46093.5</v>
      </c>
      <c r="G106" s="5">
        <v>46092.41633101852</v>
      </c>
      <c r="H106" s="3" t="s">
        <v>14</v>
      </c>
      <c r="I106" s="7">
        <v>0.0</v>
      </c>
      <c r="J106" s="3" t="s">
        <v>61</v>
      </c>
    </row>
    <row r="107">
      <c r="A107" s="3"/>
      <c r="B107" s="3"/>
      <c r="C107" s="3" t="s">
        <v>10</v>
      </c>
      <c r="D107" s="4" t="s">
        <v>157</v>
      </c>
      <c r="E107" s="3" t="s">
        <v>158</v>
      </c>
      <c r="F107" s="5">
        <v>46091.78946759259</v>
      </c>
      <c r="G107" s="5">
        <v>46091.625752314816</v>
      </c>
      <c r="H107" s="3" t="s">
        <v>14</v>
      </c>
      <c r="I107" s="3">
        <v>0.0</v>
      </c>
      <c r="J107" s="3" t="s">
        <v>15</v>
      </c>
    </row>
    <row r="108">
      <c r="A108" s="3"/>
      <c r="B108" s="3"/>
      <c r="C108" s="3" t="s">
        <v>17</v>
      </c>
      <c r="D108" s="4" t="s">
        <v>157</v>
      </c>
      <c r="E108" s="3" t="s">
        <v>158</v>
      </c>
      <c r="F108" s="5">
        <v>46091.79641203704</v>
      </c>
      <c r="G108" s="5">
        <v>46091.6259375</v>
      </c>
      <c r="H108" s="3" t="s">
        <v>14</v>
      </c>
      <c r="I108" s="7">
        <v>0.0</v>
      </c>
      <c r="J108" s="3" t="s">
        <v>15</v>
      </c>
    </row>
    <row r="109">
      <c r="A109" s="3"/>
      <c r="B109" s="3"/>
      <c r="C109" s="3" t="s">
        <v>21</v>
      </c>
      <c r="D109" s="4" t="s">
        <v>157</v>
      </c>
      <c r="E109" s="3" t="s">
        <v>158</v>
      </c>
      <c r="F109" s="5">
        <v>46092.4625</v>
      </c>
      <c r="G109" s="5">
        <v>46091.77626157407</v>
      </c>
      <c r="H109" s="3" t="s">
        <v>14</v>
      </c>
      <c r="I109" s="7">
        <v>0.0</v>
      </c>
      <c r="J109" s="3" t="s">
        <v>15</v>
      </c>
    </row>
    <row r="110">
      <c r="A110" s="3"/>
      <c r="B110" s="3"/>
      <c r="C110" s="3" t="s">
        <v>24</v>
      </c>
      <c r="D110" s="4" t="s">
        <v>157</v>
      </c>
      <c r="E110" s="3" t="s">
        <v>158</v>
      </c>
      <c r="F110" s="5">
        <v>46093.4625</v>
      </c>
      <c r="G110" s="5">
        <v>46091.77631944444</v>
      </c>
      <c r="H110" s="3" t="s">
        <v>14</v>
      </c>
      <c r="I110" s="7">
        <v>0.0</v>
      </c>
      <c r="J110" s="3" t="s">
        <v>15</v>
      </c>
    </row>
    <row r="111">
      <c r="A111" s="3"/>
      <c r="B111" s="3"/>
      <c r="C111" s="3" t="s">
        <v>26</v>
      </c>
      <c r="D111" s="4" t="s">
        <v>157</v>
      </c>
      <c r="E111" s="3" t="s">
        <v>158</v>
      </c>
      <c r="F111" s="5">
        <v>46093.504166666666</v>
      </c>
      <c r="G111" s="5">
        <v>46091.776342592595</v>
      </c>
      <c r="H111" s="3" t="s">
        <v>14</v>
      </c>
      <c r="I111" s="7">
        <v>0.0</v>
      </c>
      <c r="J111" s="3" t="s">
        <v>15</v>
      </c>
    </row>
    <row r="112">
      <c r="A112" s="3"/>
      <c r="B112" s="3"/>
      <c r="C112" s="3" t="s">
        <v>10</v>
      </c>
      <c r="D112" s="4" t="s">
        <v>165</v>
      </c>
      <c r="E112" s="3" t="s">
        <v>166</v>
      </c>
      <c r="F112" s="5">
        <v>46092.48819444444</v>
      </c>
      <c r="G112" s="5">
        <v>46091.77605324074</v>
      </c>
      <c r="H112" s="3" t="s">
        <v>14</v>
      </c>
      <c r="I112" s="3">
        <v>0.0</v>
      </c>
      <c r="J112" s="3" t="s">
        <v>15</v>
      </c>
    </row>
    <row r="113">
      <c r="A113" s="3"/>
      <c r="B113" s="3"/>
      <c r="C113" s="3" t="s">
        <v>17</v>
      </c>
      <c r="D113" s="4" t="s">
        <v>165</v>
      </c>
      <c r="E113" s="3" t="s">
        <v>166</v>
      </c>
      <c r="F113" s="5">
        <v>46092.49513888889</v>
      </c>
      <c r="G113" s="5">
        <v>46091.77615740741</v>
      </c>
      <c r="H113" s="3" t="s">
        <v>14</v>
      </c>
      <c r="I113" s="7">
        <v>0.0</v>
      </c>
      <c r="J113" s="3" t="s">
        <v>15</v>
      </c>
    </row>
    <row r="114">
      <c r="A114" s="3"/>
      <c r="B114" s="3"/>
      <c r="C114" s="3" t="s">
        <v>21</v>
      </c>
      <c r="D114" s="4" t="s">
        <v>165</v>
      </c>
      <c r="E114" s="3" t="s">
        <v>166</v>
      </c>
      <c r="F114" s="5">
        <v>46092.59930555556</v>
      </c>
      <c r="G114" s="5">
        <v>46092.43224537037</v>
      </c>
      <c r="H114" s="3" t="s">
        <v>14</v>
      </c>
      <c r="I114" s="7">
        <v>0.0</v>
      </c>
      <c r="J114" s="3" t="s">
        <v>15</v>
      </c>
    </row>
    <row r="115">
      <c r="A115" s="3"/>
      <c r="B115" s="3"/>
      <c r="C115" s="3" t="s">
        <v>24</v>
      </c>
      <c r="D115" s="4" t="s">
        <v>165</v>
      </c>
      <c r="E115" s="3" t="s">
        <v>166</v>
      </c>
      <c r="F115" s="5">
        <v>46093.59930555556</v>
      </c>
      <c r="G115" s="5">
        <v>46092.59758101852</v>
      </c>
      <c r="H115" s="3" t="s">
        <v>14</v>
      </c>
      <c r="I115" s="7">
        <v>0.0</v>
      </c>
      <c r="J115" s="3" t="s">
        <v>15</v>
      </c>
    </row>
    <row r="116">
      <c r="A116" s="3"/>
      <c r="B116" s="3"/>
      <c r="C116" s="3" t="s">
        <v>26</v>
      </c>
      <c r="D116" s="4" t="s">
        <v>165</v>
      </c>
      <c r="E116" s="3" t="s">
        <v>166</v>
      </c>
      <c r="F116" s="5">
        <v>46093.64097222222</v>
      </c>
      <c r="G116" s="5">
        <v>46092.597650462965</v>
      </c>
      <c r="H116" s="3" t="s">
        <v>14</v>
      </c>
      <c r="I116" s="7">
        <v>0.0</v>
      </c>
      <c r="J116" s="3" t="s">
        <v>15</v>
      </c>
    </row>
    <row r="117">
      <c r="A117" s="3"/>
      <c r="B117" s="3"/>
      <c r="C117" s="3" t="s">
        <v>10</v>
      </c>
      <c r="D117" s="4" t="s">
        <v>172</v>
      </c>
      <c r="E117" s="3">
        <v>3152.0</v>
      </c>
      <c r="F117" s="5">
        <v>46092.5625</v>
      </c>
      <c r="G117" s="5">
        <v>46092.43209490741</v>
      </c>
      <c r="H117" s="3" t="s">
        <v>14</v>
      </c>
      <c r="I117" s="3">
        <v>0.0</v>
      </c>
      <c r="J117" s="3" t="s">
        <v>72</v>
      </c>
    </row>
    <row r="118">
      <c r="A118" s="3"/>
      <c r="B118" s="3"/>
      <c r="C118" s="3" t="s">
        <v>17</v>
      </c>
      <c r="D118" s="4" t="s">
        <v>172</v>
      </c>
      <c r="E118" s="3">
        <v>3152.0</v>
      </c>
      <c r="F118" s="5">
        <v>46092.569444444445</v>
      </c>
      <c r="G118" s="5">
        <v>46092.43216435185</v>
      </c>
      <c r="H118" s="3" t="s">
        <v>14</v>
      </c>
      <c r="I118" s="7">
        <v>0.0</v>
      </c>
      <c r="J118" s="3" t="s">
        <v>72</v>
      </c>
    </row>
    <row r="119">
      <c r="A119" s="3"/>
      <c r="B119" s="3"/>
      <c r="C119" s="3" t="s">
        <v>21</v>
      </c>
      <c r="D119" s="4" t="s">
        <v>172</v>
      </c>
      <c r="E119" s="3">
        <v>3152.0</v>
      </c>
      <c r="F119" s="5">
        <v>46092.67361111111</v>
      </c>
      <c r="G119" s="5">
        <v>46092.43221064815</v>
      </c>
      <c r="H119" s="3" t="s">
        <v>14</v>
      </c>
      <c r="I119" s="7">
        <v>0.0</v>
      </c>
      <c r="J119" s="3" t="s">
        <v>72</v>
      </c>
    </row>
    <row r="120">
      <c r="A120" s="3"/>
      <c r="B120" s="3"/>
      <c r="C120" s="3" t="s">
        <v>24</v>
      </c>
      <c r="D120" s="4" t="s">
        <v>172</v>
      </c>
      <c r="E120" s="3">
        <v>3152.0</v>
      </c>
      <c r="F120" s="5">
        <v>46093.67361111111</v>
      </c>
      <c r="G120" s="5">
        <v>46092.43226851852</v>
      </c>
      <c r="H120" s="3" t="s">
        <v>14</v>
      </c>
      <c r="I120" s="7">
        <v>0.0</v>
      </c>
      <c r="J120" s="3" t="s">
        <v>72</v>
      </c>
    </row>
    <row r="121">
      <c r="A121" s="3"/>
      <c r="B121" s="3"/>
      <c r="C121" s="3" t="s">
        <v>26</v>
      </c>
      <c r="D121" s="4" t="s">
        <v>172</v>
      </c>
      <c r="E121" s="3">
        <v>3152.0</v>
      </c>
      <c r="F121" s="5">
        <v>46093.71527777778</v>
      </c>
      <c r="G121" s="5">
        <v>46093.42423611111</v>
      </c>
      <c r="H121" s="3" t="s">
        <v>14</v>
      </c>
      <c r="I121" s="7">
        <v>0.0</v>
      </c>
      <c r="J121" s="3" t="s">
        <v>72</v>
      </c>
    </row>
    <row r="122">
      <c r="A122" s="3"/>
      <c r="B122" s="3"/>
      <c r="C122" s="3" t="s">
        <v>10</v>
      </c>
      <c r="D122" s="4" t="s">
        <v>177</v>
      </c>
      <c r="E122" s="3" t="s">
        <v>178</v>
      </c>
      <c r="F122" s="5">
        <v>46092.80049768519</v>
      </c>
      <c r="G122" s="5">
        <v>46092.74086805555</v>
      </c>
      <c r="H122" s="3" t="s">
        <v>14</v>
      </c>
      <c r="I122" s="3">
        <v>0.0</v>
      </c>
      <c r="J122" s="3" t="s">
        <v>15</v>
      </c>
    </row>
    <row r="123">
      <c r="A123" s="3"/>
      <c r="B123" s="3"/>
      <c r="C123" s="3" t="s">
        <v>17</v>
      </c>
      <c r="D123" s="4" t="s">
        <v>177</v>
      </c>
      <c r="E123" s="3" t="s">
        <v>178</v>
      </c>
      <c r="F123" s="5">
        <v>46092.807442129626</v>
      </c>
      <c r="G123" s="5">
        <v>46092.7409837963</v>
      </c>
      <c r="H123" s="3" t="s">
        <v>14</v>
      </c>
      <c r="I123" s="7">
        <v>0.0</v>
      </c>
      <c r="J123" s="3" t="s">
        <v>15</v>
      </c>
    </row>
    <row r="124">
      <c r="A124" s="3"/>
      <c r="B124" s="3"/>
      <c r="C124" s="3" t="s">
        <v>21</v>
      </c>
      <c r="D124" s="4" t="s">
        <v>177</v>
      </c>
      <c r="E124" s="3" t="s">
        <v>178</v>
      </c>
      <c r="F124" s="5">
        <v>46093.47361111111</v>
      </c>
      <c r="G124" s="5">
        <v>46092.741064814814</v>
      </c>
      <c r="H124" s="3" t="s">
        <v>14</v>
      </c>
      <c r="I124" s="7">
        <v>0.0</v>
      </c>
      <c r="J124" s="3" t="s">
        <v>15</v>
      </c>
    </row>
    <row r="125">
      <c r="A125" s="3"/>
      <c r="B125" s="3"/>
      <c r="C125" s="3" t="s">
        <v>24</v>
      </c>
      <c r="D125" s="4" t="s">
        <v>177</v>
      </c>
      <c r="E125" s="3" t="s">
        <v>178</v>
      </c>
      <c r="F125" s="5">
        <v>46094.47361111111</v>
      </c>
      <c r="G125" s="5">
        <v>46092.76840277778</v>
      </c>
      <c r="H125" s="3" t="s">
        <v>14</v>
      </c>
      <c r="I125" s="7">
        <v>0.0</v>
      </c>
      <c r="J125" s="3" t="s">
        <v>15</v>
      </c>
    </row>
    <row r="126">
      <c r="A126" s="3"/>
      <c r="B126" s="3"/>
      <c r="C126" s="3" t="s">
        <v>26</v>
      </c>
      <c r="D126" s="4" t="s">
        <v>177</v>
      </c>
      <c r="E126" s="3" t="s">
        <v>178</v>
      </c>
      <c r="F126" s="5">
        <v>46094.51527777778</v>
      </c>
      <c r="G126" s="5">
        <v>46092.7684375</v>
      </c>
      <c r="H126" s="3" t="s">
        <v>14</v>
      </c>
      <c r="I126" s="7">
        <v>0.0</v>
      </c>
      <c r="J126" s="3" t="s">
        <v>15</v>
      </c>
    </row>
    <row r="127">
      <c r="A127" s="3"/>
      <c r="B127" s="3"/>
      <c r="C127" s="3" t="s">
        <v>10</v>
      </c>
      <c r="D127" s="4" t="s">
        <v>191</v>
      </c>
      <c r="E127" s="3" t="s">
        <v>193</v>
      </c>
      <c r="F127" s="5">
        <v>46093.61638888889</v>
      </c>
      <c r="G127" s="5">
        <v>46093.52087962963</v>
      </c>
      <c r="H127" s="3" t="s">
        <v>14</v>
      </c>
      <c r="I127" s="3">
        <v>0.0</v>
      </c>
      <c r="J127" s="3" t="s">
        <v>61</v>
      </c>
    </row>
    <row r="128">
      <c r="A128" s="3"/>
      <c r="B128" s="3"/>
      <c r="C128" s="3" t="s">
        <v>17</v>
      </c>
      <c r="D128" s="4" t="s">
        <v>191</v>
      </c>
      <c r="E128" s="3" t="s">
        <v>193</v>
      </c>
      <c r="F128" s="5">
        <v>46093.62333333334</v>
      </c>
      <c r="G128" s="5">
        <v>46093.545</v>
      </c>
      <c r="H128" s="3" t="s">
        <v>14</v>
      </c>
      <c r="I128" s="7">
        <v>0.0</v>
      </c>
      <c r="J128" s="3" t="s">
        <v>61</v>
      </c>
    </row>
    <row r="129">
      <c r="A129" s="3"/>
      <c r="B129" s="3"/>
      <c r="C129" s="3" t="s">
        <v>21</v>
      </c>
      <c r="D129" s="4" t="s">
        <v>191</v>
      </c>
      <c r="E129" s="3" t="s">
        <v>193</v>
      </c>
      <c r="F129" s="5">
        <v>46093.7275</v>
      </c>
      <c r="G129" s="5">
        <v>46093.545115740744</v>
      </c>
      <c r="H129" s="3" t="s">
        <v>14</v>
      </c>
      <c r="I129" s="7">
        <v>0.0</v>
      </c>
      <c r="J129" s="3" t="s">
        <v>61</v>
      </c>
    </row>
    <row r="130">
      <c r="A130" s="3"/>
      <c r="B130" s="3"/>
      <c r="C130" s="3" t="s">
        <v>24</v>
      </c>
      <c r="D130" s="4" t="s">
        <v>191</v>
      </c>
      <c r="E130" s="3" t="s">
        <v>193</v>
      </c>
      <c r="F130" s="5">
        <v>46094.72708333333</v>
      </c>
      <c r="G130" s="5">
        <v>46094.43350694444</v>
      </c>
      <c r="H130" s="3" t="s">
        <v>14</v>
      </c>
      <c r="I130" s="7">
        <v>0.0</v>
      </c>
      <c r="J130" s="3" t="s">
        <v>61</v>
      </c>
    </row>
    <row r="131">
      <c r="A131" s="3"/>
      <c r="B131" s="3"/>
      <c r="C131" s="3" t="s">
        <v>26</v>
      </c>
      <c r="D131" s="4" t="s">
        <v>191</v>
      </c>
      <c r="E131" s="3" t="s">
        <v>193</v>
      </c>
      <c r="F131" s="5">
        <v>46094.76875</v>
      </c>
      <c r="G131" s="5">
        <v>46094.50879629629</v>
      </c>
      <c r="H131" s="3" t="s">
        <v>14</v>
      </c>
      <c r="I131" s="7">
        <v>0.0</v>
      </c>
      <c r="J131" s="3" t="s">
        <v>61</v>
      </c>
    </row>
    <row r="132">
      <c r="A132" s="3"/>
      <c r="B132" s="3"/>
      <c r="C132" s="3" t="s">
        <v>10</v>
      </c>
      <c r="D132" s="4" t="s">
        <v>201</v>
      </c>
      <c r="E132" s="3" t="s">
        <v>202</v>
      </c>
      <c r="F132" s="5">
        <v>46093.61719907408</v>
      </c>
      <c r="G132" s="5">
        <v>46093.52091435185</v>
      </c>
      <c r="H132" s="3" t="s">
        <v>14</v>
      </c>
      <c r="I132" s="3">
        <v>0.0</v>
      </c>
      <c r="J132" s="3" t="s">
        <v>72</v>
      </c>
    </row>
    <row r="133">
      <c r="A133" s="3"/>
      <c r="B133" s="3"/>
      <c r="C133" s="3" t="s">
        <v>17</v>
      </c>
      <c r="D133" s="4" t="s">
        <v>201</v>
      </c>
      <c r="E133" s="3" t="s">
        <v>202</v>
      </c>
      <c r="F133" s="5">
        <v>46093.62414351852</v>
      </c>
      <c r="G133" s="5">
        <v>46093.545</v>
      </c>
      <c r="H133" s="3" t="s">
        <v>14</v>
      </c>
      <c r="I133" s="7">
        <v>0.0</v>
      </c>
      <c r="J133" s="3" t="s">
        <v>72</v>
      </c>
    </row>
    <row r="134">
      <c r="A134" s="3"/>
      <c r="B134" s="3"/>
      <c r="C134" s="3" t="s">
        <v>21</v>
      </c>
      <c r="D134" s="4" t="s">
        <v>201</v>
      </c>
      <c r="E134" s="3" t="s">
        <v>202</v>
      </c>
      <c r="F134" s="5">
        <v>46093.728310185186</v>
      </c>
      <c r="G134" s="5">
        <v>46093.545115740744</v>
      </c>
      <c r="H134" s="3" t="s">
        <v>14</v>
      </c>
      <c r="I134" s="7">
        <v>0.0</v>
      </c>
      <c r="J134" s="3" t="s">
        <v>72</v>
      </c>
    </row>
    <row r="135">
      <c r="A135" s="3"/>
      <c r="B135" s="3"/>
      <c r="C135" s="3" t="s">
        <v>24</v>
      </c>
      <c r="D135" s="4" t="s">
        <v>201</v>
      </c>
      <c r="E135" s="3" t="s">
        <v>202</v>
      </c>
      <c r="F135" s="5">
        <v>46094.72777777778</v>
      </c>
      <c r="G135" s="5">
        <v>46094.43351851852</v>
      </c>
      <c r="H135" s="3" t="s">
        <v>14</v>
      </c>
      <c r="I135" s="7">
        <v>0.0</v>
      </c>
      <c r="J135" s="3" t="s">
        <v>72</v>
      </c>
    </row>
    <row r="136">
      <c r="A136" s="3"/>
      <c r="B136" s="3"/>
      <c r="C136" s="3" t="s">
        <v>26</v>
      </c>
      <c r="D136" s="4" t="s">
        <v>201</v>
      </c>
      <c r="E136" s="3" t="s">
        <v>202</v>
      </c>
      <c r="F136" s="5">
        <v>46094.76944444444</v>
      </c>
      <c r="G136" s="5">
        <v>46094.50880787037</v>
      </c>
      <c r="H136" s="3" t="s">
        <v>14</v>
      </c>
      <c r="I136" s="7">
        <v>0.0</v>
      </c>
      <c r="J136" s="3" t="s">
        <v>72</v>
      </c>
    </row>
    <row r="137">
      <c r="A137" s="3"/>
      <c r="B137" s="3"/>
      <c r="C137" s="3" t="s">
        <v>10</v>
      </c>
      <c r="D137" s="4" t="s">
        <v>209</v>
      </c>
      <c r="E137" s="3" t="s">
        <v>210</v>
      </c>
      <c r="F137" s="5">
        <v>46093.61785879629</v>
      </c>
      <c r="G137" s="5">
        <v>46093.52092592593</v>
      </c>
      <c r="H137" s="3" t="s">
        <v>14</v>
      </c>
      <c r="I137" s="3">
        <v>0.0</v>
      </c>
      <c r="J137" s="3" t="s">
        <v>72</v>
      </c>
    </row>
    <row r="138">
      <c r="A138" s="3"/>
      <c r="B138" s="3"/>
      <c r="C138" s="3" t="s">
        <v>17</v>
      </c>
      <c r="D138" s="4" t="s">
        <v>209</v>
      </c>
      <c r="E138" s="3" t="s">
        <v>210</v>
      </c>
      <c r="F138" s="5">
        <v>46093.62480324074</v>
      </c>
      <c r="G138" s="5">
        <v>46093.545</v>
      </c>
      <c r="H138" s="3" t="s">
        <v>14</v>
      </c>
      <c r="I138" s="7">
        <v>0.0</v>
      </c>
      <c r="J138" s="3" t="s">
        <v>72</v>
      </c>
    </row>
    <row r="139">
      <c r="A139" s="3"/>
      <c r="B139" s="3"/>
      <c r="C139" s="3" t="s">
        <v>21</v>
      </c>
      <c r="D139" s="4" t="s">
        <v>209</v>
      </c>
      <c r="E139" s="3" t="s">
        <v>210</v>
      </c>
      <c r="F139" s="5">
        <v>46093.72896990741</v>
      </c>
      <c r="G139" s="5">
        <v>46093.545115740744</v>
      </c>
      <c r="H139" s="3" t="s">
        <v>14</v>
      </c>
      <c r="I139" s="7">
        <v>0.0</v>
      </c>
      <c r="J139" s="3" t="s">
        <v>72</v>
      </c>
    </row>
    <row r="140">
      <c r="A140" s="3"/>
      <c r="B140" s="3"/>
      <c r="C140" s="3" t="s">
        <v>24</v>
      </c>
      <c r="D140" s="4" t="s">
        <v>209</v>
      </c>
      <c r="E140" s="3" t="s">
        <v>210</v>
      </c>
      <c r="F140" s="5">
        <v>46094.728472222225</v>
      </c>
      <c r="G140" s="5">
        <v>46094.433530092596</v>
      </c>
      <c r="H140" s="3" t="s">
        <v>14</v>
      </c>
      <c r="I140" s="7">
        <v>0.0</v>
      </c>
      <c r="J140" s="3" t="s">
        <v>72</v>
      </c>
    </row>
    <row r="141">
      <c r="A141" s="3"/>
      <c r="B141" s="3"/>
      <c r="C141" s="3" t="s">
        <v>26</v>
      </c>
      <c r="D141" s="4" t="s">
        <v>209</v>
      </c>
      <c r="E141" s="3" t="s">
        <v>210</v>
      </c>
      <c r="F141" s="5">
        <v>46094.77013888889</v>
      </c>
      <c r="G141" s="5">
        <v>46094.50880787037</v>
      </c>
      <c r="H141" s="3" t="s">
        <v>14</v>
      </c>
      <c r="I141" s="7">
        <v>0.0</v>
      </c>
      <c r="J141" s="3" t="s">
        <v>72</v>
      </c>
    </row>
    <row r="142">
      <c r="A142" s="3"/>
      <c r="B142" s="3"/>
      <c r="C142" s="3" t="s">
        <v>10</v>
      </c>
      <c r="D142" s="4" t="s">
        <v>218</v>
      </c>
      <c r="E142" s="3" t="s">
        <v>219</v>
      </c>
      <c r="F142" s="5">
        <v>46093.61853009259</v>
      </c>
      <c r="G142" s="5">
        <v>46093.520949074074</v>
      </c>
      <c r="H142" s="3" t="s">
        <v>14</v>
      </c>
      <c r="I142" s="3">
        <v>0.0</v>
      </c>
      <c r="J142" s="3" t="s">
        <v>72</v>
      </c>
    </row>
    <row r="143">
      <c r="A143" s="3"/>
      <c r="B143" s="3"/>
      <c r="C143" s="3" t="s">
        <v>17</v>
      </c>
      <c r="D143" s="4" t="s">
        <v>218</v>
      </c>
      <c r="E143" s="3" t="s">
        <v>219</v>
      </c>
      <c r="F143" s="5">
        <v>46093.62547453704</v>
      </c>
      <c r="G143" s="5">
        <v>46093.545</v>
      </c>
      <c r="H143" s="3" t="s">
        <v>14</v>
      </c>
      <c r="I143" s="7">
        <v>0.0</v>
      </c>
      <c r="J143" s="3" t="s">
        <v>72</v>
      </c>
    </row>
    <row r="144">
      <c r="A144" s="3"/>
      <c r="B144" s="3"/>
      <c r="C144" s="3" t="s">
        <v>21</v>
      </c>
      <c r="D144" s="4" t="s">
        <v>218</v>
      </c>
      <c r="E144" s="3" t="s">
        <v>219</v>
      </c>
      <c r="F144" s="5">
        <v>46093.7296412037</v>
      </c>
      <c r="G144" s="5">
        <v>46093.54517361111</v>
      </c>
      <c r="H144" s="3" t="s">
        <v>14</v>
      </c>
      <c r="I144" s="7">
        <v>0.0</v>
      </c>
      <c r="J144" s="3" t="s">
        <v>72</v>
      </c>
    </row>
    <row r="145">
      <c r="A145" s="3"/>
      <c r="B145" s="3"/>
      <c r="C145" s="3" t="s">
        <v>24</v>
      </c>
      <c r="D145" s="4" t="s">
        <v>218</v>
      </c>
      <c r="E145" s="3" t="s">
        <v>219</v>
      </c>
      <c r="F145" s="5">
        <v>46094.729166666664</v>
      </c>
      <c r="G145" s="5">
        <v>46094.43355324074</v>
      </c>
      <c r="H145" s="3" t="s">
        <v>14</v>
      </c>
      <c r="I145" s="7">
        <v>0.0</v>
      </c>
      <c r="J145" s="3" t="s">
        <v>72</v>
      </c>
    </row>
    <row r="146">
      <c r="A146" s="3"/>
      <c r="B146" s="3"/>
      <c r="C146" s="3" t="s">
        <v>26</v>
      </c>
      <c r="D146" s="4" t="s">
        <v>218</v>
      </c>
      <c r="E146" s="3" t="s">
        <v>219</v>
      </c>
      <c r="F146" s="5">
        <v>46094.770833333336</v>
      </c>
      <c r="G146" s="5">
        <v>46094.50881944445</v>
      </c>
      <c r="H146" s="3" t="s">
        <v>14</v>
      </c>
      <c r="I146" s="7">
        <v>0.0</v>
      </c>
      <c r="J146" s="3" t="s">
        <v>72</v>
      </c>
    </row>
    <row r="147">
      <c r="A147" s="3"/>
      <c r="B147" s="3"/>
      <c r="C147" s="3" t="s">
        <v>10</v>
      </c>
      <c r="D147" s="4" t="s">
        <v>229</v>
      </c>
      <c r="E147" s="3" t="s">
        <v>230</v>
      </c>
      <c r="F147" s="5">
        <v>46093.6869212963</v>
      </c>
      <c r="G147" s="5">
        <v>46093.52108796296</v>
      </c>
      <c r="H147" s="3" t="s">
        <v>14</v>
      </c>
      <c r="I147" s="3">
        <v>0.0</v>
      </c>
      <c r="J147" s="3" t="s">
        <v>72</v>
      </c>
    </row>
    <row r="148">
      <c r="A148" s="3"/>
      <c r="B148" s="3"/>
      <c r="C148" s="3" t="s">
        <v>17</v>
      </c>
      <c r="D148" s="4" t="s">
        <v>229</v>
      </c>
      <c r="E148" s="3" t="s">
        <v>230</v>
      </c>
      <c r="F148" s="5">
        <v>46093.69386574074</v>
      </c>
      <c r="G148" s="5">
        <v>46093.545011574075</v>
      </c>
      <c r="H148" s="3" t="s">
        <v>14</v>
      </c>
      <c r="I148" s="7">
        <v>0.0</v>
      </c>
      <c r="J148" s="3" t="s">
        <v>72</v>
      </c>
    </row>
    <row r="149">
      <c r="A149" s="3"/>
      <c r="B149" s="3"/>
      <c r="C149" s="3" t="s">
        <v>21</v>
      </c>
      <c r="D149" s="4" t="s">
        <v>229</v>
      </c>
      <c r="E149" s="3" t="s">
        <v>230</v>
      </c>
      <c r="F149" s="5">
        <v>46093.79803240741</v>
      </c>
      <c r="G149" s="5">
        <v>46093.54515046296</v>
      </c>
      <c r="H149" s="3" t="s">
        <v>14</v>
      </c>
      <c r="I149" s="7">
        <v>0.0</v>
      </c>
      <c r="J149" s="3" t="s">
        <v>72</v>
      </c>
    </row>
    <row r="150">
      <c r="A150" s="3"/>
      <c r="B150" s="3"/>
      <c r="C150" s="3" t="s">
        <v>24</v>
      </c>
      <c r="D150" s="4" t="s">
        <v>229</v>
      </c>
      <c r="E150" s="3" t="s">
        <v>230</v>
      </c>
      <c r="F150" s="5">
        <v>46094.79791666667</v>
      </c>
      <c r="G150" s="5">
        <v>46094.43355324074</v>
      </c>
      <c r="H150" s="3" t="s">
        <v>14</v>
      </c>
      <c r="I150" s="7">
        <v>0.0</v>
      </c>
      <c r="J150" s="3" t="s">
        <v>72</v>
      </c>
    </row>
    <row r="151">
      <c r="A151" s="3"/>
      <c r="B151" s="3"/>
      <c r="C151" s="3" t="s">
        <v>26</v>
      </c>
      <c r="D151" s="4" t="s">
        <v>229</v>
      </c>
      <c r="E151" s="3" t="s">
        <v>230</v>
      </c>
      <c r="F151" s="5">
        <v>46095.42291666667</v>
      </c>
      <c r="G151" s="5">
        <v>46094.635613425926</v>
      </c>
      <c r="H151" s="3" t="s">
        <v>14</v>
      </c>
      <c r="I151" s="7">
        <v>0.0</v>
      </c>
      <c r="J151" s="3" t="s">
        <v>72</v>
      </c>
    </row>
    <row r="152">
      <c r="A152" s="3"/>
      <c r="B152" s="3"/>
      <c r="C152" s="3" t="s">
        <v>10</v>
      </c>
      <c r="D152" s="4" t="s">
        <v>234</v>
      </c>
      <c r="E152" s="3" t="s">
        <v>236</v>
      </c>
      <c r="F152" s="5">
        <v>46093.720983796295</v>
      </c>
      <c r="G152" s="5">
        <v>46093.58230324074</v>
      </c>
      <c r="H152" s="3" t="s">
        <v>14</v>
      </c>
      <c r="I152" s="3">
        <v>0.0</v>
      </c>
      <c r="J152" s="3" t="s">
        <v>61</v>
      </c>
    </row>
    <row r="153">
      <c r="A153" s="3"/>
      <c r="B153" s="3"/>
      <c r="C153" s="3" t="s">
        <v>17</v>
      </c>
      <c r="D153" s="4" t="s">
        <v>234</v>
      </c>
      <c r="E153" s="3" t="s">
        <v>236</v>
      </c>
      <c r="F153" s="5">
        <v>46093.72792824074</v>
      </c>
      <c r="G153" s="5">
        <v>46093.582395833335</v>
      </c>
      <c r="H153" s="3" t="s">
        <v>14</v>
      </c>
      <c r="I153" s="7">
        <v>0.0</v>
      </c>
      <c r="J153" s="3" t="s">
        <v>61</v>
      </c>
    </row>
    <row r="154">
      <c r="A154" s="3"/>
      <c r="B154" s="3"/>
      <c r="C154" s="3" t="s">
        <v>21</v>
      </c>
      <c r="D154" s="4" t="s">
        <v>234</v>
      </c>
      <c r="E154" s="3" t="s">
        <v>236</v>
      </c>
      <c r="F154" s="5">
        <v>46093.832094907404</v>
      </c>
      <c r="G154" s="5">
        <v>46093.68939814815</v>
      </c>
      <c r="H154" s="3" t="s">
        <v>14</v>
      </c>
      <c r="I154" s="7">
        <v>0.0</v>
      </c>
      <c r="J154" s="3" t="s">
        <v>61</v>
      </c>
    </row>
    <row r="155">
      <c r="A155" s="3"/>
      <c r="B155" s="3"/>
      <c r="C155" s="3" t="s">
        <v>24</v>
      </c>
      <c r="D155" s="4" t="s">
        <v>234</v>
      </c>
      <c r="E155" s="3" t="s">
        <v>236</v>
      </c>
      <c r="F155" s="5">
        <v>46094.83194444444</v>
      </c>
      <c r="G155" s="5">
        <v>46093.68943287037</v>
      </c>
      <c r="H155" s="3" t="s">
        <v>14</v>
      </c>
      <c r="I155" s="7">
        <v>0.0</v>
      </c>
      <c r="J155" s="3" t="s">
        <v>61</v>
      </c>
    </row>
    <row r="156">
      <c r="A156" s="3"/>
      <c r="B156" s="3"/>
      <c r="C156" s="3" t="s">
        <v>26</v>
      </c>
      <c r="D156" s="4" t="s">
        <v>234</v>
      </c>
      <c r="E156" s="3" t="s">
        <v>236</v>
      </c>
      <c r="F156" s="5">
        <v>46095.45694444444</v>
      </c>
      <c r="G156" s="5">
        <v>46093.76228009259</v>
      </c>
      <c r="H156" s="3" t="s">
        <v>14</v>
      </c>
      <c r="I156" s="7">
        <v>0.0</v>
      </c>
      <c r="J156" s="3" t="s">
        <v>61</v>
      </c>
    </row>
    <row r="157">
      <c r="A157" s="3"/>
      <c r="B157" s="3"/>
      <c r="C157" s="3" t="s">
        <v>10</v>
      </c>
      <c r="D157" s="4" t="s">
        <v>242</v>
      </c>
      <c r="E157" s="3" t="s">
        <v>244</v>
      </c>
      <c r="F157" s="5">
        <v>46093.73579861111</v>
      </c>
      <c r="G157" s="5">
        <v>46093.58232638889</v>
      </c>
      <c r="H157" s="3" t="s">
        <v>14</v>
      </c>
      <c r="I157" s="3">
        <v>0.0</v>
      </c>
      <c r="J157" s="3" t="s">
        <v>15</v>
      </c>
    </row>
    <row r="158">
      <c r="A158" s="3"/>
      <c r="B158" s="3"/>
      <c r="C158" s="3" t="s">
        <v>17</v>
      </c>
      <c r="D158" s="4" t="s">
        <v>242</v>
      </c>
      <c r="E158" s="3" t="s">
        <v>244</v>
      </c>
      <c r="F158" s="5">
        <v>46093.742743055554</v>
      </c>
      <c r="G158" s="5">
        <v>46093.582395833335</v>
      </c>
      <c r="H158" s="3" t="s">
        <v>14</v>
      </c>
      <c r="I158" s="7">
        <v>0.0</v>
      </c>
      <c r="J158" s="3" t="s">
        <v>15</v>
      </c>
    </row>
    <row r="159">
      <c r="A159" s="3"/>
      <c r="B159" s="3"/>
      <c r="C159" s="3" t="s">
        <v>21</v>
      </c>
      <c r="D159" s="4" t="s">
        <v>242</v>
      </c>
      <c r="E159" s="3" t="s">
        <v>244</v>
      </c>
      <c r="F159" s="5">
        <v>46094.450694444444</v>
      </c>
      <c r="G159" s="5">
        <v>46093.67697916667</v>
      </c>
      <c r="H159" s="3" t="s">
        <v>14</v>
      </c>
      <c r="I159" s="7">
        <v>0.0</v>
      </c>
      <c r="J159" s="3" t="s">
        <v>15</v>
      </c>
    </row>
    <row r="160">
      <c r="A160" s="3"/>
      <c r="B160" s="3"/>
      <c r="C160" s="3" t="s">
        <v>24</v>
      </c>
      <c r="D160" s="4" t="s">
        <v>242</v>
      </c>
      <c r="E160" s="3" t="s">
        <v>244</v>
      </c>
      <c r="F160" s="5">
        <v>46095.450694444444</v>
      </c>
      <c r="G160" s="5">
        <v>46093.76215277778</v>
      </c>
      <c r="H160" s="3" t="s">
        <v>14</v>
      </c>
      <c r="I160" s="7">
        <v>0.0</v>
      </c>
      <c r="J160" s="3" t="s">
        <v>15</v>
      </c>
    </row>
    <row r="161">
      <c r="A161" s="3"/>
      <c r="B161" s="3"/>
      <c r="C161" s="3" t="s">
        <v>26</v>
      </c>
      <c r="D161" s="4" t="s">
        <v>242</v>
      </c>
      <c r="E161" s="3" t="s">
        <v>244</v>
      </c>
      <c r="F161" s="5">
        <v>46095.49236111111</v>
      </c>
      <c r="G161" s="5">
        <v>46093.76222222222</v>
      </c>
      <c r="H161" s="3" t="s">
        <v>14</v>
      </c>
      <c r="I161" s="7">
        <v>0.0</v>
      </c>
      <c r="J161" s="3" t="s">
        <v>15</v>
      </c>
    </row>
    <row r="162">
      <c r="A162" s="3"/>
      <c r="B162" s="3"/>
      <c r="C162" s="3" t="s">
        <v>10</v>
      </c>
      <c r="D162" s="4" t="s">
        <v>248</v>
      </c>
      <c r="E162" s="3" t="s">
        <v>249</v>
      </c>
      <c r="F162" s="5">
        <v>46093.81201388889</v>
      </c>
      <c r="G162" s="5">
        <v>46093.66872685185</v>
      </c>
      <c r="H162" s="3" t="s">
        <v>14</v>
      </c>
      <c r="I162" s="3">
        <v>0.0</v>
      </c>
      <c r="J162" s="3" t="s">
        <v>48</v>
      </c>
    </row>
    <row r="163">
      <c r="A163" s="3"/>
      <c r="B163" s="3"/>
      <c r="C163" s="3" t="s">
        <v>17</v>
      </c>
      <c r="D163" s="4" t="s">
        <v>248</v>
      </c>
      <c r="E163" s="3" t="s">
        <v>249</v>
      </c>
      <c r="F163" s="5">
        <v>46093.81895833334</v>
      </c>
      <c r="G163" s="5">
        <v>46093.676886574074</v>
      </c>
      <c r="H163" s="3" t="s">
        <v>14</v>
      </c>
      <c r="I163" s="7">
        <v>0.0</v>
      </c>
      <c r="J163" s="3" t="s">
        <v>48</v>
      </c>
    </row>
    <row r="164">
      <c r="A164" s="3"/>
      <c r="B164" s="3"/>
      <c r="C164" s="3" t="s">
        <v>21</v>
      </c>
      <c r="D164" s="4" t="s">
        <v>248</v>
      </c>
      <c r="E164" s="3" t="s">
        <v>249</v>
      </c>
      <c r="F164" s="5">
        <v>46094.527083333334</v>
      </c>
      <c r="G164" s="5">
        <v>46094.45245370371</v>
      </c>
      <c r="H164" s="3" t="s">
        <v>14</v>
      </c>
      <c r="I164" s="7">
        <v>0.0</v>
      </c>
      <c r="J164" s="3" t="s">
        <v>48</v>
      </c>
    </row>
    <row r="165">
      <c r="A165" s="3"/>
      <c r="B165" s="3"/>
      <c r="C165" s="3" t="s">
        <v>24</v>
      </c>
      <c r="D165" s="4" t="s">
        <v>248</v>
      </c>
      <c r="E165" s="3" t="s">
        <v>249</v>
      </c>
      <c r="F165" s="5">
        <v>46095.527083333334</v>
      </c>
      <c r="G165" s="5">
        <v>46094.454305555555</v>
      </c>
      <c r="H165" s="3" t="s">
        <v>14</v>
      </c>
      <c r="I165" s="7">
        <v>0.0</v>
      </c>
      <c r="J165" s="3" t="s">
        <v>48</v>
      </c>
    </row>
    <row r="166">
      <c r="A166" s="3"/>
      <c r="B166" s="3"/>
      <c r="C166" s="3" t="s">
        <v>26</v>
      </c>
      <c r="D166" s="4" t="s">
        <v>248</v>
      </c>
      <c r="E166" s="3" t="s">
        <v>249</v>
      </c>
      <c r="F166" s="5">
        <v>46095.56875</v>
      </c>
      <c r="G166" s="5">
        <v>46094.45434027778</v>
      </c>
      <c r="H166" s="3" t="s">
        <v>14</v>
      </c>
      <c r="I166" s="7">
        <v>0.0</v>
      </c>
      <c r="J166" s="3" t="s">
        <v>48</v>
      </c>
    </row>
    <row r="167">
      <c r="A167" s="3"/>
      <c r="B167" s="3"/>
      <c r="C167" s="3" t="s">
        <v>10</v>
      </c>
      <c r="D167" s="4" t="s">
        <v>251</v>
      </c>
      <c r="E167" s="3">
        <v>3152.0</v>
      </c>
      <c r="F167" s="5">
        <v>46094.47638888889</v>
      </c>
      <c r="G167" s="5">
        <v>46093.749502314815</v>
      </c>
      <c r="H167" s="3" t="s">
        <v>14</v>
      </c>
      <c r="I167" s="3">
        <v>0.0</v>
      </c>
      <c r="J167" s="3" t="s">
        <v>72</v>
      </c>
    </row>
    <row r="168">
      <c r="A168" s="3"/>
      <c r="B168" s="3"/>
      <c r="C168" s="3" t="s">
        <v>17</v>
      </c>
      <c r="D168" s="4" t="s">
        <v>251</v>
      </c>
      <c r="E168" s="3">
        <v>3152.0</v>
      </c>
      <c r="F168" s="5">
        <v>46094.48333333333</v>
      </c>
      <c r="G168" s="5">
        <v>46093.74958333333</v>
      </c>
      <c r="H168" s="3" t="s">
        <v>14</v>
      </c>
      <c r="I168" s="7">
        <v>0.0</v>
      </c>
      <c r="J168" s="3" t="s">
        <v>72</v>
      </c>
    </row>
    <row r="169">
      <c r="A169" s="3"/>
      <c r="B169" s="3"/>
      <c r="C169" s="3" t="s">
        <v>21</v>
      </c>
      <c r="D169" s="4" t="s">
        <v>251</v>
      </c>
      <c r="E169" s="3">
        <v>3152.0</v>
      </c>
      <c r="F169" s="5">
        <v>46094.5875</v>
      </c>
      <c r="G169" s="5">
        <v>46093.74961805555</v>
      </c>
      <c r="H169" s="3" t="s">
        <v>14</v>
      </c>
      <c r="I169" s="7">
        <v>0.0</v>
      </c>
      <c r="J169" s="3" t="s">
        <v>72</v>
      </c>
    </row>
    <row r="170">
      <c r="A170" s="3"/>
      <c r="B170" s="3"/>
      <c r="C170" s="3" t="s">
        <v>24</v>
      </c>
      <c r="D170" s="4" t="s">
        <v>251</v>
      </c>
      <c r="E170" s="3">
        <v>3152.0</v>
      </c>
      <c r="F170" s="5">
        <v>46095.5875</v>
      </c>
      <c r="G170" s="5">
        <v>46093.74965277778</v>
      </c>
      <c r="H170" s="3" t="s">
        <v>14</v>
      </c>
      <c r="I170" s="7">
        <v>0.0</v>
      </c>
      <c r="J170" s="3" t="s">
        <v>72</v>
      </c>
    </row>
    <row r="171">
      <c r="A171" s="3"/>
      <c r="B171" s="3"/>
      <c r="C171" s="3" t="s">
        <v>26</v>
      </c>
      <c r="D171" s="4" t="s">
        <v>251</v>
      </c>
      <c r="E171" s="3">
        <v>3152.0</v>
      </c>
      <c r="F171" s="5">
        <v>46095.629166666666</v>
      </c>
      <c r="G171" s="5">
        <v>46094.45543981482</v>
      </c>
      <c r="H171" s="3" t="s">
        <v>14</v>
      </c>
      <c r="I171" s="7">
        <v>0.0</v>
      </c>
      <c r="J171" s="3" t="s">
        <v>72</v>
      </c>
    </row>
    <row r="172">
      <c r="A172" s="3"/>
      <c r="B172" s="3"/>
      <c r="C172" s="3" t="s">
        <v>10</v>
      </c>
      <c r="D172" s="4" t="s">
        <v>258</v>
      </c>
      <c r="E172" s="3" t="s">
        <v>74</v>
      </c>
      <c r="F172" s="5">
        <v>46094.48402777778</v>
      </c>
      <c r="G172" s="5">
        <v>46093.74953703704</v>
      </c>
      <c r="H172" s="3" t="s">
        <v>14</v>
      </c>
      <c r="I172" s="3">
        <v>0.0</v>
      </c>
      <c r="J172" s="3" t="s">
        <v>72</v>
      </c>
    </row>
    <row r="173">
      <c r="A173" s="3"/>
      <c r="B173" s="3"/>
      <c r="C173" s="3" t="s">
        <v>17</v>
      </c>
      <c r="D173" s="4" t="s">
        <v>258</v>
      </c>
      <c r="E173" s="3" t="s">
        <v>74</v>
      </c>
      <c r="F173" s="5">
        <v>46094.49097222222</v>
      </c>
      <c r="G173" s="5">
        <v>46093.74958333333</v>
      </c>
      <c r="H173" s="3" t="s">
        <v>14</v>
      </c>
      <c r="I173" s="7">
        <v>0.0</v>
      </c>
      <c r="J173" s="3" t="s">
        <v>72</v>
      </c>
    </row>
    <row r="174">
      <c r="A174" s="3"/>
      <c r="B174" s="3"/>
      <c r="C174" s="3" t="s">
        <v>21</v>
      </c>
      <c r="D174" s="4" t="s">
        <v>258</v>
      </c>
      <c r="E174" s="3" t="s">
        <v>74</v>
      </c>
      <c r="F174" s="5">
        <v>46094.595138888886</v>
      </c>
      <c r="G174" s="5">
        <v>46093.74961805555</v>
      </c>
      <c r="H174" s="3" t="s">
        <v>14</v>
      </c>
      <c r="I174" s="7">
        <v>0.0</v>
      </c>
      <c r="J174" s="3" t="s">
        <v>72</v>
      </c>
    </row>
    <row r="175">
      <c r="A175" s="3"/>
      <c r="B175" s="3"/>
      <c r="C175" s="3" t="s">
        <v>24</v>
      </c>
      <c r="D175" s="4" t="s">
        <v>258</v>
      </c>
      <c r="E175" s="3" t="s">
        <v>74</v>
      </c>
      <c r="F175" s="5">
        <v>46095.595138888886</v>
      </c>
      <c r="G175" s="5">
        <v>46093.74965277778</v>
      </c>
      <c r="H175" s="3" t="s">
        <v>14</v>
      </c>
      <c r="I175" s="7">
        <v>0.0</v>
      </c>
      <c r="J175" s="3" t="s">
        <v>72</v>
      </c>
    </row>
    <row r="176">
      <c r="A176" s="3"/>
      <c r="B176" s="3"/>
      <c r="C176" s="3" t="s">
        <v>26</v>
      </c>
      <c r="D176" s="4" t="s">
        <v>258</v>
      </c>
      <c r="E176" s="3" t="s">
        <v>74</v>
      </c>
      <c r="F176" s="5">
        <v>46095.63680555556</v>
      </c>
      <c r="G176" s="5">
        <v>46094.45543981482</v>
      </c>
      <c r="H176" s="3" t="s">
        <v>14</v>
      </c>
      <c r="I176" s="7">
        <v>0.0</v>
      </c>
      <c r="J176" s="3" t="s">
        <v>72</v>
      </c>
    </row>
    <row r="177">
      <c r="A177" s="3"/>
      <c r="B177" s="3"/>
      <c r="C177" s="3" t="s">
        <v>10</v>
      </c>
      <c r="D177" s="4" t="s">
        <v>267</v>
      </c>
      <c r="E177" s="3" t="s">
        <v>166</v>
      </c>
      <c r="F177" s="5">
        <v>46094.61219907407</v>
      </c>
      <c r="G177" s="5">
        <v>46094.47667824074</v>
      </c>
      <c r="H177" s="3" t="s">
        <v>14</v>
      </c>
      <c r="I177" s="3">
        <v>0.0</v>
      </c>
      <c r="J177" s="3" t="s">
        <v>15</v>
      </c>
    </row>
    <row r="178">
      <c r="A178" s="3"/>
      <c r="B178" s="3"/>
      <c r="C178" s="3" t="s">
        <v>17</v>
      </c>
      <c r="D178" s="4" t="s">
        <v>267</v>
      </c>
      <c r="E178" s="3" t="s">
        <v>166</v>
      </c>
      <c r="F178" s="5">
        <v>46094.61914351852</v>
      </c>
      <c r="G178" s="5">
        <v>46094.47675925926</v>
      </c>
      <c r="H178" s="3" t="s">
        <v>14</v>
      </c>
      <c r="I178" s="7">
        <v>0.0</v>
      </c>
      <c r="J178" s="3" t="s">
        <v>15</v>
      </c>
    </row>
    <row r="179">
      <c r="A179" s="3"/>
      <c r="B179" s="3"/>
      <c r="C179" s="3" t="s">
        <v>21</v>
      </c>
      <c r="D179" s="4" t="s">
        <v>267</v>
      </c>
      <c r="E179" s="3" t="s">
        <v>166</v>
      </c>
      <c r="F179" s="5">
        <v>46094.72331018518</v>
      </c>
      <c r="G179" s="5">
        <v>46094.47681712963</v>
      </c>
      <c r="H179" s="3" t="s">
        <v>14</v>
      </c>
      <c r="I179" s="7">
        <v>0.0</v>
      </c>
      <c r="J179" s="3" t="s">
        <v>15</v>
      </c>
    </row>
    <row r="180">
      <c r="A180" s="3"/>
      <c r="B180" s="3"/>
      <c r="C180" s="3" t="s">
        <v>24</v>
      </c>
      <c r="D180" s="4" t="s">
        <v>267</v>
      </c>
      <c r="E180" s="3" t="s">
        <v>166</v>
      </c>
      <c r="F180" s="5">
        <v>46095.722916666666</v>
      </c>
      <c r="G180" s="5">
        <v>46094.508368055554</v>
      </c>
      <c r="H180" s="3" t="s">
        <v>14</v>
      </c>
      <c r="I180" s="7">
        <v>0.0</v>
      </c>
      <c r="J180" s="3" t="s">
        <v>15</v>
      </c>
    </row>
    <row r="181">
      <c r="A181" s="3"/>
      <c r="B181" s="3"/>
      <c r="C181" s="3" t="s">
        <v>26</v>
      </c>
      <c r="D181" s="4" t="s">
        <v>267</v>
      </c>
      <c r="E181" s="3" t="s">
        <v>166</v>
      </c>
      <c r="F181" s="5">
        <v>46095.76458333333</v>
      </c>
      <c r="G181" s="5">
        <v>46094.50855324074</v>
      </c>
      <c r="H181" s="3" t="s">
        <v>14</v>
      </c>
      <c r="I181" s="7">
        <v>0.0</v>
      </c>
      <c r="J181" s="3" t="s">
        <v>15</v>
      </c>
    </row>
    <row r="182">
      <c r="A182" s="3"/>
      <c r="B182" s="3"/>
      <c r="C182" s="3" t="s">
        <v>10</v>
      </c>
      <c r="D182" s="4" t="s">
        <v>274</v>
      </c>
      <c r="E182" s="3" t="s">
        <v>275</v>
      </c>
      <c r="F182" s="5">
        <v>46094.65572916667</v>
      </c>
      <c r="G182" s="5">
        <v>46094.50844907408</v>
      </c>
      <c r="H182" s="3" t="s">
        <v>14</v>
      </c>
      <c r="I182" s="3">
        <v>0.0</v>
      </c>
      <c r="J182" s="3" t="s">
        <v>72</v>
      </c>
    </row>
    <row r="183">
      <c r="A183" s="3"/>
      <c r="B183" s="3"/>
      <c r="C183" s="3" t="s">
        <v>17</v>
      </c>
      <c r="D183" s="4" t="s">
        <v>274</v>
      </c>
      <c r="E183" s="3" t="s">
        <v>275</v>
      </c>
      <c r="F183" s="5">
        <v>46094.662673611114</v>
      </c>
      <c r="G183" s="5">
        <v>46094.50855324074</v>
      </c>
      <c r="H183" s="3" t="s">
        <v>14</v>
      </c>
      <c r="I183" s="7">
        <v>0.0</v>
      </c>
      <c r="J183" s="3" t="s">
        <v>72</v>
      </c>
    </row>
    <row r="184">
      <c r="A184" s="3"/>
      <c r="B184" s="3"/>
      <c r="C184" s="3" t="s">
        <v>21</v>
      </c>
      <c r="D184" s="4" t="s">
        <v>274</v>
      </c>
      <c r="E184" s="3" t="s">
        <v>275</v>
      </c>
      <c r="F184" s="5">
        <v>46094.76684027778</v>
      </c>
      <c r="G184" s="5">
        <v>46094.50859953704</v>
      </c>
      <c r="H184" s="3" t="s">
        <v>14</v>
      </c>
      <c r="I184" s="7">
        <v>0.0</v>
      </c>
      <c r="J184" s="3" t="s">
        <v>72</v>
      </c>
    </row>
    <row r="185">
      <c r="A185" s="3"/>
      <c r="B185" s="3"/>
      <c r="C185" s="3" t="s">
        <v>24</v>
      </c>
      <c r="D185" s="4" t="s">
        <v>274</v>
      </c>
      <c r="E185" s="3" t="s">
        <v>275</v>
      </c>
      <c r="F185" s="5">
        <v>46095.76666666667</v>
      </c>
      <c r="G185" s="5">
        <v>46094.63553240741</v>
      </c>
      <c r="H185" s="3" t="s">
        <v>14</v>
      </c>
      <c r="I185" s="7">
        <v>0.0</v>
      </c>
      <c r="J185" s="3" t="s">
        <v>72</v>
      </c>
    </row>
    <row r="186">
      <c r="A186" s="3"/>
      <c r="B186" s="3"/>
      <c r="C186" s="3" t="s">
        <v>26</v>
      </c>
      <c r="D186" s="4" t="s">
        <v>274</v>
      </c>
      <c r="E186" s="3" t="s">
        <v>275</v>
      </c>
      <c r="F186" s="5">
        <v>46097.475</v>
      </c>
      <c r="G186" s="5">
        <v>46095.44493055555</v>
      </c>
      <c r="H186" s="3" t="s">
        <v>14</v>
      </c>
      <c r="I186" s="7">
        <v>0.0</v>
      </c>
      <c r="J186" s="3" t="s">
        <v>72</v>
      </c>
    </row>
    <row r="187">
      <c r="A187" s="3"/>
      <c r="B187" s="3"/>
      <c r="C187" s="3" t="s">
        <v>10</v>
      </c>
      <c r="D187" s="4" t="s">
        <v>279</v>
      </c>
      <c r="E187" s="3" t="s">
        <v>280</v>
      </c>
      <c r="F187" s="5">
        <v>46094.688726851855</v>
      </c>
      <c r="G187" s="5">
        <v>46094.56219907408</v>
      </c>
      <c r="H187" s="3" t="s">
        <v>14</v>
      </c>
      <c r="I187" s="3">
        <v>0.0</v>
      </c>
      <c r="J187" s="3" t="s">
        <v>72</v>
      </c>
    </row>
    <row r="188">
      <c r="A188" s="3"/>
      <c r="B188" s="3"/>
      <c r="C188" s="3" t="s">
        <v>17</v>
      </c>
      <c r="D188" s="4" t="s">
        <v>279</v>
      </c>
      <c r="E188" s="3" t="s">
        <v>280</v>
      </c>
      <c r="F188" s="5">
        <v>46094.69567129629</v>
      </c>
      <c r="G188" s="5">
        <v>46094.56230324074</v>
      </c>
      <c r="H188" s="3" t="s">
        <v>14</v>
      </c>
      <c r="I188" s="7">
        <v>0.0</v>
      </c>
      <c r="J188" s="3" t="s">
        <v>72</v>
      </c>
    </row>
    <row r="189">
      <c r="A189" s="3"/>
      <c r="B189" s="3"/>
      <c r="C189" s="3" t="s">
        <v>21</v>
      </c>
      <c r="D189" s="4" t="s">
        <v>279</v>
      </c>
      <c r="E189" s="3" t="s">
        <v>280</v>
      </c>
      <c r="F189" s="5">
        <v>46094.799837962964</v>
      </c>
      <c r="G189" s="5">
        <v>46094.56233796296</v>
      </c>
      <c r="H189" s="3" t="s">
        <v>14</v>
      </c>
      <c r="I189" s="7">
        <v>0.0</v>
      </c>
      <c r="J189" s="3" t="s">
        <v>72</v>
      </c>
    </row>
    <row r="190">
      <c r="A190" s="3"/>
      <c r="B190" s="3"/>
      <c r="C190" s="3" t="s">
        <v>24</v>
      </c>
      <c r="D190" s="4" t="s">
        <v>279</v>
      </c>
      <c r="E190" s="3" t="s">
        <v>280</v>
      </c>
      <c r="F190" s="5">
        <v>46095.799305555556</v>
      </c>
      <c r="G190" s="5">
        <v>46094.63548611111</v>
      </c>
      <c r="H190" s="3" t="s">
        <v>14</v>
      </c>
      <c r="I190" s="7">
        <v>0.0</v>
      </c>
      <c r="J190" s="3" t="s">
        <v>72</v>
      </c>
    </row>
    <row r="191">
      <c r="A191" s="3"/>
      <c r="B191" s="3"/>
      <c r="C191" s="3" t="s">
        <v>26</v>
      </c>
      <c r="D191" s="4" t="s">
        <v>279</v>
      </c>
      <c r="E191" s="3" t="s">
        <v>280</v>
      </c>
      <c r="F191" s="5">
        <v>46097.424305555556</v>
      </c>
      <c r="G191" s="5">
        <v>46094.63550925926</v>
      </c>
      <c r="H191" s="3" t="s">
        <v>14</v>
      </c>
      <c r="I191" s="7">
        <v>0.0</v>
      </c>
      <c r="J191" s="3" t="s">
        <v>72</v>
      </c>
    </row>
    <row r="192">
      <c r="A192" s="3"/>
      <c r="B192" s="3"/>
      <c r="C192" s="3" t="s">
        <v>10</v>
      </c>
      <c r="D192" s="4" t="s">
        <v>283</v>
      </c>
      <c r="E192" s="3" t="s">
        <v>284</v>
      </c>
      <c r="F192" s="5">
        <v>46094.690717592595</v>
      </c>
      <c r="G192" s="5">
        <v>46094.562476851854</v>
      </c>
      <c r="H192" s="3" t="s">
        <v>14</v>
      </c>
      <c r="I192" s="3">
        <v>0.0</v>
      </c>
      <c r="J192" s="3" t="s">
        <v>48</v>
      </c>
    </row>
    <row r="193">
      <c r="A193" s="3"/>
      <c r="B193" s="3"/>
      <c r="C193" s="3" t="s">
        <v>17</v>
      </c>
      <c r="D193" s="4" t="s">
        <v>283</v>
      </c>
      <c r="E193" s="3" t="s">
        <v>284</v>
      </c>
      <c r="F193" s="5">
        <v>46094.69766203704</v>
      </c>
      <c r="G193" s="5">
        <v>46094.56261574074</v>
      </c>
      <c r="H193" s="3" t="s">
        <v>14</v>
      </c>
      <c r="I193" s="7">
        <v>0.0</v>
      </c>
      <c r="J193" s="3" t="s">
        <v>48</v>
      </c>
    </row>
    <row r="194">
      <c r="A194" s="3"/>
      <c r="B194" s="3"/>
      <c r="C194" s="3" t="s">
        <v>21</v>
      </c>
      <c r="D194" s="4" t="s">
        <v>283</v>
      </c>
      <c r="E194" s="3" t="s">
        <v>284</v>
      </c>
      <c r="F194" s="5">
        <v>46094.801828703705</v>
      </c>
      <c r="G194" s="5">
        <v>46094.56266203704</v>
      </c>
      <c r="H194" s="3" t="s">
        <v>14</v>
      </c>
      <c r="I194" s="7">
        <v>0.0</v>
      </c>
      <c r="J194" s="3" t="s">
        <v>48</v>
      </c>
    </row>
    <row r="195">
      <c r="A195" s="3"/>
      <c r="B195" s="3"/>
      <c r="C195" s="3" t="s">
        <v>24</v>
      </c>
      <c r="D195" s="4" t="s">
        <v>283</v>
      </c>
      <c r="E195" s="3" t="s">
        <v>284</v>
      </c>
      <c r="F195" s="5">
        <v>46097.46805555555</v>
      </c>
      <c r="G195" s="5">
        <v>46095.444814814815</v>
      </c>
      <c r="H195" s="3" t="s">
        <v>14</v>
      </c>
      <c r="I195" s="7">
        <v>0.0</v>
      </c>
      <c r="J195" s="3" t="s">
        <v>48</v>
      </c>
    </row>
    <row r="196">
      <c r="A196" s="3"/>
      <c r="B196" s="3"/>
      <c r="C196" s="3" t="s">
        <v>26</v>
      </c>
      <c r="D196" s="4" t="s">
        <v>283</v>
      </c>
      <c r="E196" s="3" t="s">
        <v>284</v>
      </c>
      <c r="F196" s="5">
        <v>46097.509722222225</v>
      </c>
      <c r="G196" s="5">
        <v>46095.44501157408</v>
      </c>
      <c r="H196" s="3" t="s">
        <v>14</v>
      </c>
      <c r="I196" s="7">
        <v>0.0</v>
      </c>
      <c r="J196" s="3" t="s">
        <v>48</v>
      </c>
    </row>
    <row r="197">
      <c r="A197" s="3"/>
      <c r="B197" s="3"/>
      <c r="C197" s="3" t="s">
        <v>10</v>
      </c>
      <c r="D197" s="4" t="s">
        <v>287</v>
      </c>
      <c r="E197" s="3" t="s">
        <v>288</v>
      </c>
      <c r="F197" s="5">
        <v>46095.41805555556</v>
      </c>
      <c r="G197" s="5">
        <v>46094.69931712963</v>
      </c>
      <c r="H197" s="3" t="s">
        <v>14</v>
      </c>
      <c r="I197" s="3">
        <v>0.0</v>
      </c>
      <c r="J197" s="3" t="s">
        <v>15</v>
      </c>
    </row>
    <row r="198">
      <c r="A198" s="3"/>
      <c r="B198" s="3"/>
      <c r="C198" s="3" t="s">
        <v>17</v>
      </c>
      <c r="D198" s="4" t="s">
        <v>287</v>
      </c>
      <c r="E198" s="3" t="s">
        <v>288</v>
      </c>
      <c r="F198" s="5">
        <v>46095.425</v>
      </c>
      <c r="G198" s="5">
        <v>46094.56261574074</v>
      </c>
      <c r="H198" s="3" t="s">
        <v>14</v>
      </c>
      <c r="I198" s="7">
        <v>0.0</v>
      </c>
      <c r="J198" s="3" t="s">
        <v>15</v>
      </c>
    </row>
    <row r="199">
      <c r="A199" s="3"/>
      <c r="B199" s="3"/>
      <c r="C199" s="3" t="s">
        <v>21</v>
      </c>
      <c r="D199" s="4" t="s">
        <v>287</v>
      </c>
      <c r="E199" s="3" t="s">
        <v>288</v>
      </c>
      <c r="F199" s="5">
        <v>46095.52916666667</v>
      </c>
      <c r="G199" s="5">
        <v>46094.90819444445</v>
      </c>
      <c r="H199" s="3" t="s">
        <v>14</v>
      </c>
      <c r="I199" s="7">
        <v>0.0</v>
      </c>
      <c r="J199" s="3" t="s">
        <v>15</v>
      </c>
    </row>
    <row r="200">
      <c r="A200" s="3"/>
      <c r="B200" s="3"/>
      <c r="C200" s="3" t="s">
        <v>24</v>
      </c>
      <c r="D200" s="4" t="s">
        <v>287</v>
      </c>
      <c r="E200" s="3" t="s">
        <v>288</v>
      </c>
      <c r="F200" s="5">
        <v>46097.52916666667</v>
      </c>
      <c r="G200" s="5">
        <v>46097.45392361111</v>
      </c>
      <c r="H200" s="3" t="s">
        <v>14</v>
      </c>
      <c r="I200" s="7">
        <v>0.0</v>
      </c>
      <c r="J200" s="3" t="s">
        <v>15</v>
      </c>
    </row>
    <row r="201">
      <c r="A201" s="3"/>
      <c r="B201" s="3"/>
      <c r="C201" s="3" t="s">
        <v>26</v>
      </c>
      <c r="D201" s="4" t="s">
        <v>287</v>
      </c>
      <c r="E201" s="3" t="s">
        <v>288</v>
      </c>
      <c r="F201" s="5">
        <v>46097.57083333333</v>
      </c>
      <c r="G201" s="5">
        <v>46097.45445601852</v>
      </c>
      <c r="H201" s="3" t="s">
        <v>14</v>
      </c>
      <c r="I201" s="7">
        <v>0.0</v>
      </c>
      <c r="J201" s="3" t="s">
        <v>15</v>
      </c>
    </row>
    <row r="202">
      <c r="A202" s="3"/>
      <c r="B202" s="3"/>
      <c r="C202" s="3" t="s">
        <v>10</v>
      </c>
      <c r="D202" s="4" t="s">
        <v>291</v>
      </c>
      <c r="E202" s="3" t="s">
        <v>166</v>
      </c>
      <c r="F202" s="5">
        <v>46095.48472222222</v>
      </c>
      <c r="G202" s="5">
        <v>46094.75612268518</v>
      </c>
      <c r="H202" s="3" t="s">
        <v>14</v>
      </c>
      <c r="I202" s="3">
        <v>0.0</v>
      </c>
      <c r="J202" s="3" t="s">
        <v>15</v>
      </c>
    </row>
    <row r="203">
      <c r="A203" s="3"/>
      <c r="B203" s="3"/>
      <c r="C203" s="3" t="s">
        <v>17</v>
      </c>
      <c r="D203" s="4" t="s">
        <v>291</v>
      </c>
      <c r="E203" s="3" t="s">
        <v>166</v>
      </c>
      <c r="F203" s="5">
        <v>46095.49166666667</v>
      </c>
      <c r="G203" s="5">
        <v>46094.756203703706</v>
      </c>
      <c r="H203" s="3" t="s">
        <v>14</v>
      </c>
      <c r="I203" s="7">
        <v>0.0</v>
      </c>
      <c r="J203" s="3" t="s">
        <v>15</v>
      </c>
    </row>
    <row r="204">
      <c r="A204" s="3"/>
      <c r="B204" s="3"/>
      <c r="C204" s="3" t="s">
        <v>21</v>
      </c>
      <c r="D204" s="4" t="s">
        <v>291</v>
      </c>
      <c r="E204" s="3" t="s">
        <v>166</v>
      </c>
      <c r="F204" s="5">
        <v>46095.59583333333</v>
      </c>
      <c r="G204" s="5">
        <v>46094.783483796295</v>
      </c>
      <c r="H204" s="3" t="s">
        <v>14</v>
      </c>
      <c r="I204" s="7">
        <v>0.0</v>
      </c>
      <c r="J204" s="3" t="s">
        <v>15</v>
      </c>
    </row>
    <row r="205">
      <c r="A205" s="3"/>
      <c r="B205" s="3"/>
      <c r="C205" s="3" t="s">
        <v>24</v>
      </c>
      <c r="D205" s="4" t="s">
        <v>291</v>
      </c>
      <c r="E205" s="3" t="s">
        <v>166</v>
      </c>
      <c r="F205" s="5">
        <v>46097.59583333333</v>
      </c>
      <c r="G205" s="5">
        <v>46097.45395833333</v>
      </c>
      <c r="H205" s="3" t="s">
        <v>14</v>
      </c>
      <c r="I205" s="7">
        <v>0.0</v>
      </c>
      <c r="J205" s="3" t="s">
        <v>15</v>
      </c>
    </row>
    <row r="206">
      <c r="A206" s="3"/>
      <c r="B206" s="3"/>
      <c r="C206" s="3" t="s">
        <v>26</v>
      </c>
      <c r="D206" s="4" t="s">
        <v>291</v>
      </c>
      <c r="E206" s="3" t="s">
        <v>166</v>
      </c>
      <c r="F206" s="5">
        <v>46097.6375</v>
      </c>
      <c r="G206" s="5">
        <v>46097.45447916666</v>
      </c>
      <c r="H206" s="3" t="s">
        <v>14</v>
      </c>
      <c r="I206" s="7">
        <v>0.0</v>
      </c>
      <c r="J206" s="3" t="s">
        <v>15</v>
      </c>
    </row>
    <row r="207">
      <c r="A207" s="3"/>
      <c r="B207" s="3"/>
      <c r="C207" s="3" t="s">
        <v>10</v>
      </c>
      <c r="D207" s="4" t="s">
        <v>295</v>
      </c>
      <c r="E207" s="3" t="s">
        <v>296</v>
      </c>
      <c r="F207" s="5">
        <v>46095.62642361111</v>
      </c>
      <c r="G207" s="5">
        <v>46095.522372685184</v>
      </c>
      <c r="H207" s="3" t="s">
        <v>14</v>
      </c>
      <c r="I207" s="3">
        <v>0.0</v>
      </c>
      <c r="J207" s="3" t="s">
        <v>15</v>
      </c>
    </row>
    <row r="208">
      <c r="A208" s="3"/>
      <c r="B208" s="3"/>
      <c r="C208" s="3" t="s">
        <v>17</v>
      </c>
      <c r="D208" s="4" t="s">
        <v>295</v>
      </c>
      <c r="E208" s="3" t="s">
        <v>296</v>
      </c>
      <c r="F208" s="5">
        <v>46095.633368055554</v>
      </c>
      <c r="G208" s="5">
        <v>46095.52245370371</v>
      </c>
      <c r="H208" s="3" t="s">
        <v>14</v>
      </c>
      <c r="I208" s="7">
        <v>0.0</v>
      </c>
      <c r="J208" s="3" t="s">
        <v>15</v>
      </c>
    </row>
    <row r="209">
      <c r="A209" s="3"/>
      <c r="B209" s="3"/>
      <c r="C209" s="3" t="s">
        <v>21</v>
      </c>
      <c r="D209" s="4" t="s">
        <v>295</v>
      </c>
      <c r="E209" s="3" t="s">
        <v>296</v>
      </c>
      <c r="F209" s="5">
        <v>46095.73753472222</v>
      </c>
      <c r="G209" s="5">
        <v>46095.52258101852</v>
      </c>
      <c r="H209" s="3" t="s">
        <v>14</v>
      </c>
      <c r="I209" s="7">
        <v>0.0</v>
      </c>
      <c r="J209" s="3" t="s">
        <v>15</v>
      </c>
    </row>
    <row r="210">
      <c r="A210" s="3"/>
      <c r="B210" s="3"/>
      <c r="C210" s="3" t="s">
        <v>24</v>
      </c>
      <c r="D210" s="4" t="s">
        <v>295</v>
      </c>
      <c r="E210" s="3" t="s">
        <v>296</v>
      </c>
      <c r="F210" s="5">
        <v>46097.7375</v>
      </c>
      <c r="G210" s="5">
        <v>46095.537881944445</v>
      </c>
      <c r="H210" s="3" t="s">
        <v>14</v>
      </c>
      <c r="I210" s="7">
        <v>0.0</v>
      </c>
      <c r="J210" s="3" t="s">
        <v>15</v>
      </c>
    </row>
    <row r="211">
      <c r="A211" s="3"/>
      <c r="B211" s="3"/>
      <c r="C211" s="3" t="s">
        <v>26</v>
      </c>
      <c r="D211" s="4" t="s">
        <v>295</v>
      </c>
      <c r="E211" s="3" t="s">
        <v>296</v>
      </c>
      <c r="F211" s="5">
        <v>46097.77916666667</v>
      </c>
      <c r="G211" s="5">
        <v>46095.53789351852</v>
      </c>
      <c r="H211" s="3" t="s">
        <v>14</v>
      </c>
      <c r="I211" s="7">
        <v>0.0</v>
      </c>
      <c r="J211" s="3" t="s">
        <v>15</v>
      </c>
    </row>
    <row r="212">
      <c r="A212" s="3"/>
      <c r="B212" s="3"/>
      <c r="C212" s="3" t="s">
        <v>10</v>
      </c>
      <c r="D212" s="4" t="s">
        <v>300</v>
      </c>
      <c r="E212" s="3" t="s">
        <v>301</v>
      </c>
      <c r="F212" s="5">
        <v>46097.44775462963</v>
      </c>
      <c r="G212" s="5">
        <v>46097.431967592594</v>
      </c>
      <c r="H212" s="3" t="s">
        <v>14</v>
      </c>
      <c r="I212" s="3">
        <v>0.0</v>
      </c>
      <c r="J212" s="3" t="s">
        <v>48</v>
      </c>
    </row>
    <row r="213">
      <c r="A213" s="3"/>
      <c r="B213" s="3"/>
      <c r="C213" s="3" t="s">
        <v>17</v>
      </c>
      <c r="D213" s="4" t="s">
        <v>300</v>
      </c>
      <c r="E213" s="3" t="s">
        <v>301</v>
      </c>
      <c r="F213" s="5">
        <v>46097.45469907407</v>
      </c>
      <c r="G213" s="5">
        <v>46097.43216435185</v>
      </c>
      <c r="H213" s="3" t="s">
        <v>14</v>
      </c>
      <c r="I213" s="7">
        <v>0.0</v>
      </c>
      <c r="J213" s="3" t="s">
        <v>48</v>
      </c>
    </row>
    <row r="214">
      <c r="A214" s="3"/>
      <c r="B214" s="3"/>
      <c r="C214" s="3" t="s">
        <v>21</v>
      </c>
      <c r="D214" s="4" t="s">
        <v>300</v>
      </c>
      <c r="E214" s="3" t="s">
        <v>301</v>
      </c>
      <c r="F214" s="5">
        <v>46097.55886574074</v>
      </c>
      <c r="G214" s="5">
        <v>46097.532002314816</v>
      </c>
      <c r="H214" s="3" t="s">
        <v>14</v>
      </c>
      <c r="I214" s="7">
        <v>0.0</v>
      </c>
      <c r="J214" s="3" t="s">
        <v>48</v>
      </c>
    </row>
    <row r="215">
      <c r="A215" s="3"/>
      <c r="B215" s="3"/>
      <c r="C215" s="3" t="s">
        <v>24</v>
      </c>
      <c r="D215" s="4" t="s">
        <v>300</v>
      </c>
      <c r="E215" s="3" t="s">
        <v>301</v>
      </c>
      <c r="F215" s="5">
        <v>46098.558333333334</v>
      </c>
      <c r="G215" s="5">
        <v>46098.544120370374</v>
      </c>
      <c r="H215" s="3" t="s">
        <v>14</v>
      </c>
      <c r="I215" s="7">
        <v>0.0</v>
      </c>
      <c r="J215" s="3" t="s">
        <v>48</v>
      </c>
    </row>
    <row r="216">
      <c r="A216" s="3"/>
      <c r="B216" s="3"/>
      <c r="C216" s="3" t="s">
        <v>26</v>
      </c>
      <c r="D216" s="4" t="s">
        <v>300</v>
      </c>
      <c r="E216" s="3" t="s">
        <v>301</v>
      </c>
      <c r="F216" s="5">
        <v>46098.6</v>
      </c>
      <c r="G216" s="5">
        <v>46098.54452546296</v>
      </c>
      <c r="H216" s="3" t="s">
        <v>14</v>
      </c>
      <c r="I216" s="7">
        <v>0.0</v>
      </c>
      <c r="J216" s="3" t="s">
        <v>48</v>
      </c>
    </row>
    <row r="217">
      <c r="A217" s="3"/>
      <c r="B217" s="3"/>
      <c r="C217" s="3" t="s">
        <v>10</v>
      </c>
      <c r="D217" s="4" t="s">
        <v>306</v>
      </c>
      <c r="E217" s="3" t="s">
        <v>307</v>
      </c>
      <c r="F217" s="5">
        <v>46097.44775462963</v>
      </c>
      <c r="G217" s="5">
        <v>46097.43199074074</v>
      </c>
      <c r="H217" s="3" t="s">
        <v>14</v>
      </c>
      <c r="I217" s="3">
        <v>0.0</v>
      </c>
      <c r="J217" s="3" t="s">
        <v>48</v>
      </c>
    </row>
    <row r="218">
      <c r="A218" s="3"/>
      <c r="B218" s="3"/>
      <c r="C218" s="3" t="s">
        <v>17</v>
      </c>
      <c r="D218" s="4" t="s">
        <v>306</v>
      </c>
      <c r="E218" s="3" t="s">
        <v>307</v>
      </c>
      <c r="F218" s="5">
        <v>46097.45469907407</v>
      </c>
      <c r="G218" s="5">
        <v>46097.43219907407</v>
      </c>
      <c r="H218" s="3" t="s">
        <v>14</v>
      </c>
      <c r="I218" s="7">
        <v>0.0</v>
      </c>
      <c r="J218" s="3" t="s">
        <v>48</v>
      </c>
    </row>
    <row r="219">
      <c r="A219" s="3"/>
      <c r="B219" s="3"/>
      <c r="C219" s="3" t="s">
        <v>21</v>
      </c>
      <c r="D219" s="4" t="s">
        <v>306</v>
      </c>
      <c r="E219" s="3" t="s">
        <v>307</v>
      </c>
      <c r="F219" s="5">
        <v>46097.55886574074</v>
      </c>
      <c r="G219" s="5">
        <v>46097.53202546296</v>
      </c>
      <c r="H219" s="3" t="s">
        <v>14</v>
      </c>
      <c r="I219" s="7">
        <v>0.0</v>
      </c>
      <c r="J219" s="3" t="s">
        <v>48</v>
      </c>
    </row>
    <row r="220">
      <c r="A220" s="3"/>
      <c r="B220" s="3"/>
      <c r="C220" s="3" t="s">
        <v>24</v>
      </c>
      <c r="D220" s="4" t="s">
        <v>306</v>
      </c>
      <c r="E220" s="3" t="s">
        <v>307</v>
      </c>
      <c r="F220" s="5">
        <v>46098.558333333334</v>
      </c>
      <c r="G220" s="5">
        <v>46098.54417824074</v>
      </c>
      <c r="H220" s="3" t="s">
        <v>14</v>
      </c>
      <c r="I220" s="7">
        <v>0.0</v>
      </c>
      <c r="J220" s="3" t="s">
        <v>48</v>
      </c>
    </row>
    <row r="221">
      <c r="A221" s="3"/>
      <c r="B221" s="3"/>
      <c r="C221" s="3" t="s">
        <v>26</v>
      </c>
      <c r="D221" s="4" t="s">
        <v>306</v>
      </c>
      <c r="E221" s="3" t="s">
        <v>307</v>
      </c>
      <c r="F221" s="5">
        <v>46098.6</v>
      </c>
      <c r="G221" s="5">
        <v>46098.54454861111</v>
      </c>
      <c r="H221" s="3" t="s">
        <v>14</v>
      </c>
      <c r="I221" s="7">
        <v>0.0</v>
      </c>
      <c r="J221" s="3" t="s">
        <v>48</v>
      </c>
    </row>
    <row r="222">
      <c r="A222" s="3"/>
      <c r="B222" s="3"/>
      <c r="C222" s="3" t="s">
        <v>10</v>
      </c>
      <c r="D222" s="4" t="s">
        <v>311</v>
      </c>
      <c r="E222" s="3" t="s">
        <v>313</v>
      </c>
      <c r="F222" s="5">
        <v>46097.68407407407</v>
      </c>
      <c r="G222" s="5">
        <v>46097.53585648148</v>
      </c>
      <c r="H222" s="3" t="s">
        <v>14</v>
      </c>
      <c r="I222" s="3">
        <v>0.0</v>
      </c>
      <c r="J222" s="3" t="s">
        <v>72</v>
      </c>
    </row>
    <row r="223">
      <c r="A223" s="3"/>
      <c r="B223" s="3"/>
      <c r="C223" s="3" t="s">
        <v>17</v>
      </c>
      <c r="D223" s="4" t="s">
        <v>311</v>
      </c>
      <c r="E223" s="3" t="s">
        <v>313</v>
      </c>
      <c r="F223" s="5">
        <v>46097.69101851852</v>
      </c>
      <c r="G223" s="5">
        <v>46097.53592592593</v>
      </c>
      <c r="H223" s="3" t="s">
        <v>14</v>
      </c>
      <c r="I223" s="7">
        <v>0.0</v>
      </c>
      <c r="J223" s="3" t="s">
        <v>72</v>
      </c>
    </row>
    <row r="224">
      <c r="A224" s="3"/>
      <c r="B224" s="3"/>
      <c r="C224" s="3" t="s">
        <v>21</v>
      </c>
      <c r="D224" s="4" t="s">
        <v>311</v>
      </c>
      <c r="E224" s="3" t="s">
        <v>313</v>
      </c>
      <c r="F224" s="5">
        <v>46097.79518518518</v>
      </c>
      <c r="G224" s="5">
        <v>46097.53596064815</v>
      </c>
      <c r="H224" s="3" t="s">
        <v>14</v>
      </c>
      <c r="I224" s="7">
        <v>0.0</v>
      </c>
      <c r="J224" s="3" t="s">
        <v>72</v>
      </c>
    </row>
    <row r="225">
      <c r="A225" s="3"/>
      <c r="B225" s="3"/>
      <c r="C225" s="3" t="s">
        <v>24</v>
      </c>
      <c r="D225" s="4" t="s">
        <v>311</v>
      </c>
      <c r="E225" s="3" t="s">
        <v>313</v>
      </c>
      <c r="F225" s="5">
        <v>46098.79513888889</v>
      </c>
      <c r="G225" s="5">
        <v>46097.76167824074</v>
      </c>
      <c r="H225" s="3" t="s">
        <v>14</v>
      </c>
      <c r="I225" s="7">
        <v>0.0</v>
      </c>
      <c r="J225" s="3" t="s">
        <v>72</v>
      </c>
    </row>
    <row r="226">
      <c r="A226" s="3"/>
      <c r="B226" s="3"/>
      <c r="C226" s="3" t="s">
        <v>26</v>
      </c>
      <c r="D226" s="4" t="s">
        <v>311</v>
      </c>
      <c r="E226" s="3" t="s">
        <v>313</v>
      </c>
      <c r="F226" s="5">
        <v>46099.461805555555</v>
      </c>
      <c r="G226" s="5">
        <v>46099.455</v>
      </c>
      <c r="H226" s="3" t="s">
        <v>14</v>
      </c>
      <c r="I226" s="7">
        <v>0.0</v>
      </c>
      <c r="J226" s="3" t="s">
        <v>72</v>
      </c>
    </row>
    <row r="227">
      <c r="A227" s="3"/>
      <c r="B227" s="3"/>
      <c r="C227" s="3" t="s">
        <v>10</v>
      </c>
      <c r="D227" s="4" t="s">
        <v>317</v>
      </c>
      <c r="E227" s="3" t="s">
        <v>318</v>
      </c>
      <c r="F227" s="5">
        <v>46097.783217592594</v>
      </c>
      <c r="G227" s="5">
        <v>46097.675462962965</v>
      </c>
      <c r="H227" s="3" t="s">
        <v>14</v>
      </c>
      <c r="I227" s="3">
        <v>0.0</v>
      </c>
      <c r="J227" s="3" t="s">
        <v>61</v>
      </c>
    </row>
    <row r="228">
      <c r="A228" s="3"/>
      <c r="B228" s="3"/>
      <c r="C228" s="3" t="s">
        <v>17</v>
      </c>
      <c r="D228" s="4" t="s">
        <v>317</v>
      </c>
      <c r="E228" s="3" t="s">
        <v>318</v>
      </c>
      <c r="F228" s="5">
        <v>46097.79016203704</v>
      </c>
      <c r="G228" s="5">
        <v>46097.67564814815</v>
      </c>
      <c r="H228" s="3" t="s">
        <v>14</v>
      </c>
      <c r="I228" s="7">
        <v>0.0</v>
      </c>
      <c r="J228" s="3" t="s">
        <v>61</v>
      </c>
    </row>
    <row r="229">
      <c r="A229" s="3"/>
      <c r="B229" s="3"/>
      <c r="C229" s="3" t="s">
        <v>21</v>
      </c>
      <c r="D229" s="4" t="s">
        <v>317</v>
      </c>
      <c r="E229" s="3" t="s">
        <v>318</v>
      </c>
      <c r="F229" s="5">
        <v>46098.49791666667</v>
      </c>
      <c r="G229" s="5">
        <v>46097.675775462965</v>
      </c>
      <c r="H229" s="3" t="s">
        <v>14</v>
      </c>
      <c r="I229" s="7">
        <v>0.0</v>
      </c>
      <c r="J229" s="3" t="s">
        <v>61</v>
      </c>
    </row>
    <row r="230">
      <c r="A230" s="3"/>
      <c r="B230" s="3"/>
      <c r="C230" s="3" t="s">
        <v>24</v>
      </c>
      <c r="D230" s="4" t="s">
        <v>317</v>
      </c>
      <c r="E230" s="3" t="s">
        <v>318</v>
      </c>
      <c r="F230" s="5">
        <v>46099.49791666667</v>
      </c>
      <c r="G230" s="5">
        <v>46097.76162037037</v>
      </c>
      <c r="H230" s="3" t="s">
        <v>14</v>
      </c>
      <c r="I230" s="7">
        <v>0.0</v>
      </c>
      <c r="J230" s="3" t="s">
        <v>61</v>
      </c>
    </row>
    <row r="231">
      <c r="A231" s="3"/>
      <c r="B231" s="3"/>
      <c r="C231" s="3" t="s">
        <v>26</v>
      </c>
      <c r="D231" s="4" t="s">
        <v>317</v>
      </c>
      <c r="E231" s="3" t="s">
        <v>318</v>
      </c>
      <c r="F231" s="5">
        <v>46099.53958333333</v>
      </c>
      <c r="G231" s="5">
        <v>46097.76164351852</v>
      </c>
      <c r="H231" s="3" t="s">
        <v>14</v>
      </c>
      <c r="I231" s="7">
        <v>0.0</v>
      </c>
      <c r="J231" s="3" t="s">
        <v>61</v>
      </c>
    </row>
    <row r="232">
      <c r="A232" s="3"/>
      <c r="B232" s="3"/>
      <c r="C232" s="3" t="s">
        <v>10</v>
      </c>
      <c r="D232" s="4" t="s">
        <v>322</v>
      </c>
      <c r="E232" s="3" t="s">
        <v>323</v>
      </c>
      <c r="F232" s="5">
        <v>46099.47708333333</v>
      </c>
      <c r="G232" s="5">
        <v>46098.789305555554</v>
      </c>
      <c r="H232" s="3" t="s">
        <v>14</v>
      </c>
      <c r="I232" s="3">
        <v>0.0</v>
      </c>
      <c r="J232" s="3" t="s">
        <v>15</v>
      </c>
    </row>
    <row r="233">
      <c r="A233" s="3"/>
      <c r="B233" s="3"/>
      <c r="C233" s="3" t="s">
        <v>17</v>
      </c>
      <c r="D233" s="4" t="s">
        <v>322</v>
      </c>
      <c r="E233" s="3" t="s">
        <v>323</v>
      </c>
      <c r="F233" s="5">
        <v>46099.48402777778</v>
      </c>
      <c r="G233" s="5">
        <v>46098.78969907408</v>
      </c>
      <c r="H233" s="3" t="s">
        <v>14</v>
      </c>
      <c r="I233" s="7">
        <v>0.0</v>
      </c>
      <c r="J233" s="3" t="s">
        <v>15</v>
      </c>
    </row>
    <row r="234">
      <c r="A234" s="3"/>
      <c r="B234" s="3"/>
      <c r="C234" s="3" t="s">
        <v>21</v>
      </c>
      <c r="D234" s="4" t="s">
        <v>322</v>
      </c>
      <c r="E234" s="3" t="s">
        <v>323</v>
      </c>
      <c r="F234" s="5">
        <v>46099.58819444444</v>
      </c>
      <c r="G234" s="5">
        <v>46099.50877314815</v>
      </c>
      <c r="H234" s="3" t="s">
        <v>14</v>
      </c>
      <c r="I234" s="7">
        <v>0.0</v>
      </c>
      <c r="J234" s="3" t="s">
        <v>15</v>
      </c>
    </row>
    <row r="235">
      <c r="A235" s="3"/>
      <c r="B235" s="3"/>
      <c r="C235" s="3" t="s">
        <v>24</v>
      </c>
      <c r="D235" s="4" t="s">
        <v>322</v>
      </c>
      <c r="E235" s="3" t="s">
        <v>323</v>
      </c>
      <c r="F235" s="5">
        <v>46100.58819444444</v>
      </c>
      <c r="G235" s="5">
        <v>46099.508784722224</v>
      </c>
      <c r="H235" s="3" t="s">
        <v>14</v>
      </c>
      <c r="I235" s="7">
        <v>0.0</v>
      </c>
      <c r="J235" s="3" t="s">
        <v>15</v>
      </c>
    </row>
    <row r="236">
      <c r="A236" s="3"/>
      <c r="B236" s="3"/>
      <c r="C236" s="3" t="s">
        <v>26</v>
      </c>
      <c r="D236" s="4" t="s">
        <v>322</v>
      </c>
      <c r="E236" s="3" t="s">
        <v>323</v>
      </c>
      <c r="F236" s="5">
        <v>46100.62986111111</v>
      </c>
      <c r="G236" s="5">
        <v>46099.50883101852</v>
      </c>
      <c r="H236" s="3" t="s">
        <v>14</v>
      </c>
      <c r="I236" s="7">
        <v>0.0</v>
      </c>
      <c r="J236" s="3" t="s">
        <v>15</v>
      </c>
    </row>
    <row r="237">
      <c r="A237" s="3"/>
      <c r="B237" s="3"/>
      <c r="C237" s="3" t="s">
        <v>10</v>
      </c>
      <c r="D237" s="4" t="s">
        <v>326</v>
      </c>
      <c r="E237" s="3" t="s">
        <v>327</v>
      </c>
      <c r="F237" s="5">
        <v>46099.478472222225</v>
      </c>
      <c r="G237" s="5">
        <v>46098.7893287037</v>
      </c>
      <c r="H237" s="3" t="s">
        <v>14</v>
      </c>
      <c r="I237" s="3">
        <v>0.0</v>
      </c>
      <c r="J237" s="3" t="s">
        <v>15</v>
      </c>
    </row>
    <row r="238">
      <c r="A238" s="3"/>
      <c r="B238" s="3"/>
      <c r="C238" s="3" t="s">
        <v>17</v>
      </c>
      <c r="D238" s="4" t="s">
        <v>326</v>
      </c>
      <c r="E238" s="3" t="s">
        <v>327</v>
      </c>
      <c r="F238" s="5">
        <v>46099.48541666667</v>
      </c>
      <c r="G238" s="5">
        <v>46098.78973379629</v>
      </c>
      <c r="H238" s="3" t="s">
        <v>14</v>
      </c>
      <c r="I238" s="7">
        <v>0.0</v>
      </c>
      <c r="J238" s="3" t="s">
        <v>15</v>
      </c>
    </row>
    <row r="239">
      <c r="A239" s="3"/>
      <c r="B239" s="3"/>
      <c r="C239" s="3" t="s">
        <v>21</v>
      </c>
      <c r="D239" s="4" t="s">
        <v>326</v>
      </c>
      <c r="E239" s="3" t="s">
        <v>327</v>
      </c>
      <c r="F239" s="5">
        <v>46099.589583333334</v>
      </c>
      <c r="G239" s="5">
        <v>46099.570752314816</v>
      </c>
      <c r="H239" s="3" t="s">
        <v>14</v>
      </c>
      <c r="I239" s="7">
        <v>0.0</v>
      </c>
      <c r="J239" s="3" t="s">
        <v>15</v>
      </c>
    </row>
    <row r="240">
      <c r="A240" s="3"/>
      <c r="B240" s="3"/>
      <c r="C240" s="3" t="s">
        <v>24</v>
      </c>
      <c r="D240" s="4" t="s">
        <v>326</v>
      </c>
      <c r="E240" s="3" t="s">
        <v>327</v>
      </c>
      <c r="F240" s="5">
        <v>46100.589583333334</v>
      </c>
      <c r="G240" s="5">
        <v>46099.613645833335</v>
      </c>
      <c r="H240" s="3" t="s">
        <v>14</v>
      </c>
      <c r="I240" s="7">
        <v>0.0</v>
      </c>
      <c r="J240" s="3" t="s">
        <v>15</v>
      </c>
    </row>
    <row r="241">
      <c r="A241" s="3"/>
      <c r="B241" s="3"/>
      <c r="C241" s="3" t="s">
        <v>26</v>
      </c>
      <c r="D241" s="4" t="s">
        <v>326</v>
      </c>
      <c r="E241" s="3" t="s">
        <v>327</v>
      </c>
      <c r="F241" s="5">
        <v>46100.63125</v>
      </c>
      <c r="G241" s="5">
        <v>46099.81590277778</v>
      </c>
      <c r="H241" s="3" t="s">
        <v>14</v>
      </c>
      <c r="I241" s="7">
        <v>0.0</v>
      </c>
      <c r="J241" s="3" t="s">
        <v>15</v>
      </c>
    </row>
    <row r="242">
      <c r="A242" s="3"/>
      <c r="B242" s="3"/>
      <c r="C242" s="3" t="s">
        <v>10</v>
      </c>
      <c r="D242" s="4" t="s">
        <v>333</v>
      </c>
      <c r="E242" s="3" t="s">
        <v>335</v>
      </c>
      <c r="F242" s="5">
        <v>46099.48055555556</v>
      </c>
      <c r="G242" s="5">
        <v>46098.78934027778</v>
      </c>
      <c r="H242" s="3" t="s">
        <v>14</v>
      </c>
      <c r="I242" s="3">
        <v>0.0</v>
      </c>
      <c r="J242" s="3" t="s">
        <v>15</v>
      </c>
    </row>
    <row r="243">
      <c r="A243" s="3"/>
      <c r="B243" s="3"/>
      <c r="C243" s="3" t="s">
        <v>17</v>
      </c>
      <c r="D243" s="4" t="s">
        <v>333</v>
      </c>
      <c r="E243" s="3" t="s">
        <v>335</v>
      </c>
      <c r="F243" s="5">
        <v>46099.4875</v>
      </c>
      <c r="G243" s="5">
        <v>46098.789722222224</v>
      </c>
      <c r="H243" s="3" t="s">
        <v>14</v>
      </c>
      <c r="I243" s="7">
        <v>0.0</v>
      </c>
      <c r="J243" s="3" t="s">
        <v>15</v>
      </c>
    </row>
    <row r="244">
      <c r="A244" s="3"/>
      <c r="B244" s="3"/>
      <c r="C244" s="3" t="s">
        <v>21</v>
      </c>
      <c r="D244" s="4" t="s">
        <v>333</v>
      </c>
      <c r="E244" s="3" t="s">
        <v>335</v>
      </c>
      <c r="F244" s="5">
        <v>46099.59166666667</v>
      </c>
      <c r="G244" s="5">
        <v>46099.57078703704</v>
      </c>
      <c r="H244" s="3" t="s">
        <v>14</v>
      </c>
      <c r="I244" s="7">
        <v>0.0</v>
      </c>
      <c r="J244" s="3" t="s">
        <v>15</v>
      </c>
    </row>
    <row r="245">
      <c r="A245" s="3"/>
      <c r="B245" s="3"/>
      <c r="C245" s="3" t="s">
        <v>24</v>
      </c>
      <c r="D245" s="4" t="s">
        <v>333</v>
      </c>
      <c r="E245" s="3" t="s">
        <v>335</v>
      </c>
      <c r="F245" s="5">
        <v>46100.59166666667</v>
      </c>
      <c r="G245" s="5">
        <v>46100.46376157407</v>
      </c>
      <c r="H245" s="3" t="s">
        <v>14</v>
      </c>
      <c r="I245" s="7">
        <v>0.0</v>
      </c>
      <c r="J245" s="3" t="s">
        <v>15</v>
      </c>
    </row>
    <row r="246">
      <c r="A246" s="3"/>
      <c r="B246" s="3"/>
      <c r="C246" s="3" t="s">
        <v>26</v>
      </c>
      <c r="D246" s="4" t="s">
        <v>333</v>
      </c>
      <c r="E246" s="3" t="s">
        <v>335</v>
      </c>
      <c r="F246" s="5">
        <v>46100.63333333333</v>
      </c>
      <c r="G246" s="5">
        <v>46100.62059027778</v>
      </c>
      <c r="H246" s="3" t="s">
        <v>14</v>
      </c>
      <c r="I246" s="7">
        <v>0.0</v>
      </c>
      <c r="J246" s="3" t="s">
        <v>15</v>
      </c>
    </row>
    <row r="247">
      <c r="A247" s="3"/>
      <c r="B247" s="3"/>
      <c r="C247" s="3" t="s">
        <v>10</v>
      </c>
      <c r="D247" s="4" t="s">
        <v>339</v>
      </c>
      <c r="E247" s="3" t="s">
        <v>341</v>
      </c>
      <c r="F247" s="5">
        <v>46099.48402777778</v>
      </c>
      <c r="G247" s="5">
        <v>46098.78936342592</v>
      </c>
      <c r="H247" s="3" t="s">
        <v>14</v>
      </c>
      <c r="I247" s="3">
        <v>0.0</v>
      </c>
      <c r="J247" s="3" t="s">
        <v>15</v>
      </c>
    </row>
    <row r="248">
      <c r="A248" s="3"/>
      <c r="B248" s="3"/>
      <c r="C248" s="3" t="s">
        <v>17</v>
      </c>
      <c r="D248" s="4" t="s">
        <v>339</v>
      </c>
      <c r="E248" s="3" t="s">
        <v>341</v>
      </c>
      <c r="F248" s="5">
        <v>46099.49097222222</v>
      </c>
      <c r="G248" s="5">
        <v>46098.78975694445</v>
      </c>
      <c r="H248" s="3" t="s">
        <v>14</v>
      </c>
      <c r="I248" s="7">
        <v>0.0</v>
      </c>
      <c r="J248" s="3" t="s">
        <v>15</v>
      </c>
    </row>
    <row r="249">
      <c r="A249" s="3"/>
      <c r="B249" s="3"/>
      <c r="C249" s="3" t="s">
        <v>21</v>
      </c>
      <c r="D249" s="4" t="s">
        <v>339</v>
      </c>
      <c r="E249" s="3" t="s">
        <v>341</v>
      </c>
      <c r="F249" s="5">
        <v>46099.595138888886</v>
      </c>
      <c r="G249" s="5">
        <v>46099.57079861111</v>
      </c>
      <c r="H249" s="3" t="s">
        <v>14</v>
      </c>
      <c r="I249" s="7">
        <v>0.0</v>
      </c>
      <c r="J249" s="3" t="s">
        <v>15</v>
      </c>
    </row>
    <row r="250">
      <c r="A250" s="3"/>
      <c r="B250" s="3"/>
      <c r="C250" s="3" t="s">
        <v>24</v>
      </c>
      <c r="D250" s="4" t="s">
        <v>339</v>
      </c>
      <c r="E250" s="3" t="s">
        <v>341</v>
      </c>
      <c r="F250" s="5">
        <v>46100.595138888886</v>
      </c>
      <c r="G250" s="5">
        <v>46100.46361111111</v>
      </c>
      <c r="H250" s="3" t="s">
        <v>14</v>
      </c>
      <c r="I250" s="7">
        <v>0.0</v>
      </c>
      <c r="J250" s="3" t="s">
        <v>15</v>
      </c>
    </row>
    <row r="251">
      <c r="A251" s="3"/>
      <c r="B251" s="3"/>
      <c r="C251" s="3" t="s">
        <v>26</v>
      </c>
      <c r="D251" s="4" t="s">
        <v>339</v>
      </c>
      <c r="E251" s="3" t="s">
        <v>341</v>
      </c>
      <c r="F251" s="5">
        <v>46100.63680555556</v>
      </c>
      <c r="G251" s="5">
        <v>46100.46363425926</v>
      </c>
      <c r="H251" s="3" t="s">
        <v>14</v>
      </c>
      <c r="I251" s="7">
        <v>0.0</v>
      </c>
      <c r="J251" s="3" t="s">
        <v>15</v>
      </c>
    </row>
    <row r="252">
      <c r="A252" s="3"/>
      <c r="B252" s="3"/>
      <c r="C252" s="3" t="s">
        <v>10</v>
      </c>
      <c r="D252" s="4" t="s">
        <v>348</v>
      </c>
      <c r="E252" s="3" t="s">
        <v>350</v>
      </c>
      <c r="F252" s="5">
        <v>46099.48611111111</v>
      </c>
      <c r="G252" s="5">
        <v>46098.78939814815</v>
      </c>
      <c r="H252" s="3" t="s">
        <v>14</v>
      </c>
      <c r="I252" s="3">
        <v>0.0</v>
      </c>
      <c r="J252" s="3" t="s">
        <v>61</v>
      </c>
    </row>
    <row r="253">
      <c r="A253" s="3"/>
      <c r="B253" s="3"/>
      <c r="C253" s="3" t="s">
        <v>17</v>
      </c>
      <c r="D253" s="4" t="s">
        <v>348</v>
      </c>
      <c r="E253" s="3" t="s">
        <v>350</v>
      </c>
      <c r="F253" s="5">
        <v>46099.493055555555</v>
      </c>
      <c r="G253" s="5">
        <v>46098.78978009259</v>
      </c>
      <c r="H253" s="3" t="s">
        <v>14</v>
      </c>
      <c r="I253" s="7">
        <v>0.0</v>
      </c>
      <c r="J253" s="3" t="s">
        <v>61</v>
      </c>
    </row>
    <row r="254">
      <c r="A254" s="3"/>
      <c r="B254" s="3"/>
      <c r="C254" s="3" t="s">
        <v>21</v>
      </c>
      <c r="D254" s="4" t="s">
        <v>348</v>
      </c>
      <c r="E254" s="3" t="s">
        <v>350</v>
      </c>
      <c r="F254" s="5">
        <v>46099.59722222222</v>
      </c>
      <c r="G254" s="5">
        <v>46099.57082175926</v>
      </c>
      <c r="H254" s="3" t="s">
        <v>14</v>
      </c>
      <c r="I254" s="7">
        <v>0.0</v>
      </c>
      <c r="J254" s="3" t="s">
        <v>61</v>
      </c>
    </row>
    <row r="255">
      <c r="A255" s="3"/>
      <c r="B255" s="3"/>
      <c r="C255" s="3" t="s">
        <v>24</v>
      </c>
      <c r="D255" s="4" t="s">
        <v>348</v>
      </c>
      <c r="E255" s="3" t="s">
        <v>350</v>
      </c>
      <c r="F255" s="5">
        <v>46100.59722222222</v>
      </c>
      <c r="G255" s="5">
        <v>46099.81146990741</v>
      </c>
      <c r="H255" s="3" t="s">
        <v>14</v>
      </c>
      <c r="I255" s="7">
        <v>0.0</v>
      </c>
      <c r="J255" s="3" t="s">
        <v>61</v>
      </c>
    </row>
    <row r="256">
      <c r="A256" s="3"/>
      <c r="B256" s="3"/>
      <c r="C256" s="3" t="s">
        <v>26</v>
      </c>
      <c r="D256" s="4" t="s">
        <v>348</v>
      </c>
      <c r="E256" s="3" t="s">
        <v>350</v>
      </c>
      <c r="F256" s="5">
        <v>46100.63888888889</v>
      </c>
      <c r="G256" s="5">
        <v>46099.81149305555</v>
      </c>
      <c r="H256" s="3" t="s">
        <v>14</v>
      </c>
      <c r="I256" s="7">
        <v>0.0</v>
      </c>
      <c r="J256" s="3" t="s">
        <v>61</v>
      </c>
    </row>
    <row r="257">
      <c r="A257" s="3"/>
      <c r="B257" s="3"/>
      <c r="C257" s="3" t="s">
        <v>10</v>
      </c>
      <c r="D257" s="4" t="s">
        <v>352</v>
      </c>
      <c r="E257" s="3" t="s">
        <v>353</v>
      </c>
      <c r="F257" s="5">
        <v>46099.62987268518</v>
      </c>
      <c r="G257" s="5">
        <v>46099.487291666665</v>
      </c>
      <c r="H257" s="3" t="s">
        <v>14</v>
      </c>
      <c r="I257" s="3">
        <v>0.0</v>
      </c>
      <c r="J257" s="3" t="s">
        <v>72</v>
      </c>
    </row>
    <row r="258">
      <c r="A258" s="3"/>
      <c r="B258" s="3"/>
      <c r="C258" s="3" t="s">
        <v>17</v>
      </c>
      <c r="D258" s="4" t="s">
        <v>352</v>
      </c>
      <c r="E258" s="3" t="s">
        <v>353</v>
      </c>
      <c r="F258" s="5">
        <v>46099.63681712963</v>
      </c>
      <c r="G258" s="5">
        <v>46099.487349537034</v>
      </c>
      <c r="H258" s="3" t="s">
        <v>14</v>
      </c>
      <c r="I258" s="7">
        <v>0.0</v>
      </c>
      <c r="J258" s="3" t="s">
        <v>72</v>
      </c>
    </row>
    <row r="259">
      <c r="A259" s="3"/>
      <c r="B259" s="3"/>
      <c r="C259" s="3" t="s">
        <v>21</v>
      </c>
      <c r="D259" s="4" t="s">
        <v>352</v>
      </c>
      <c r="E259" s="3" t="s">
        <v>353</v>
      </c>
      <c r="F259" s="5">
        <v>46099.7409837963</v>
      </c>
      <c r="G259" s="5">
        <v>46099.48737268519</v>
      </c>
      <c r="H259" s="3" t="s">
        <v>14</v>
      </c>
      <c r="I259" s="7">
        <v>0.0</v>
      </c>
      <c r="J259" s="3" t="s">
        <v>72</v>
      </c>
    </row>
    <row r="260">
      <c r="A260" s="3"/>
      <c r="B260" s="3"/>
      <c r="C260" s="3" t="s">
        <v>24</v>
      </c>
      <c r="D260" s="4" t="s">
        <v>352</v>
      </c>
      <c r="E260" s="3" t="s">
        <v>353</v>
      </c>
      <c r="F260" s="5">
        <v>46100.74097222222</v>
      </c>
      <c r="G260" s="5">
        <v>46099.48740740741</v>
      </c>
      <c r="H260" s="3" t="s">
        <v>14</v>
      </c>
      <c r="I260" s="7">
        <v>0.0</v>
      </c>
      <c r="J260" s="3" t="s">
        <v>72</v>
      </c>
    </row>
    <row r="261">
      <c r="A261" s="3"/>
      <c r="B261" s="3"/>
      <c r="C261" s="3" t="s">
        <v>26</v>
      </c>
      <c r="D261" s="4" t="s">
        <v>352</v>
      </c>
      <c r="E261" s="3" t="s">
        <v>353</v>
      </c>
      <c r="F261" s="5">
        <v>46100.782638888886</v>
      </c>
      <c r="G261" s="5">
        <v>46099.77006944444</v>
      </c>
      <c r="H261" s="3" t="s">
        <v>14</v>
      </c>
      <c r="I261" s="7">
        <v>0.0</v>
      </c>
      <c r="J261" s="3" t="s">
        <v>72</v>
      </c>
    </row>
    <row r="262">
      <c r="A262" s="3"/>
      <c r="B262" s="3"/>
      <c r="C262" s="3" t="s">
        <v>10</v>
      </c>
      <c r="D262" s="4" t="s">
        <v>359</v>
      </c>
      <c r="E262" s="3" t="s">
        <v>166</v>
      </c>
      <c r="F262" s="5">
        <v>46100.64092592592</v>
      </c>
      <c r="G262" s="5">
        <v>46100.613344907404</v>
      </c>
      <c r="H262" s="3" t="s">
        <v>14</v>
      </c>
      <c r="I262" s="3">
        <v>0.0</v>
      </c>
      <c r="J262" s="3" t="s">
        <v>15</v>
      </c>
    </row>
    <row r="263">
      <c r="A263" s="3"/>
      <c r="B263" s="3"/>
      <c r="C263" s="3" t="s">
        <v>17</v>
      </c>
      <c r="D263" s="4" t="s">
        <v>359</v>
      </c>
      <c r="E263" s="3" t="s">
        <v>166</v>
      </c>
      <c r="F263" s="5">
        <v>46100.64787037037</v>
      </c>
      <c r="G263" s="5">
        <v>46100.61344907407</v>
      </c>
      <c r="H263" s="3" t="s">
        <v>14</v>
      </c>
      <c r="I263" s="7">
        <v>0.0</v>
      </c>
      <c r="J263" s="3" t="s">
        <v>15</v>
      </c>
    </row>
    <row r="264">
      <c r="A264" s="3"/>
      <c r="B264" s="3"/>
      <c r="C264" s="3" t="s">
        <v>21</v>
      </c>
      <c r="D264" s="4" t="s">
        <v>359</v>
      </c>
      <c r="E264" s="3" t="s">
        <v>166</v>
      </c>
      <c r="F264" s="5">
        <v>46100.75203703704</v>
      </c>
      <c r="G264" s="5">
        <v>46100.61351851852</v>
      </c>
      <c r="H264" s="3" t="s">
        <v>14</v>
      </c>
      <c r="I264" s="7">
        <v>0.0</v>
      </c>
      <c r="J264" s="3" t="s">
        <v>15</v>
      </c>
    </row>
    <row r="265">
      <c r="A265" s="3"/>
      <c r="B265" s="3"/>
      <c r="C265" s="3" t="s">
        <v>24</v>
      </c>
      <c r="D265" s="4" t="s">
        <v>359</v>
      </c>
      <c r="E265" s="3" t="s">
        <v>166</v>
      </c>
      <c r="F265" s="5">
        <v>46101.751388888886</v>
      </c>
      <c r="G265" s="5">
        <v>46100.77239583333</v>
      </c>
      <c r="H265" s="3" t="s">
        <v>14</v>
      </c>
      <c r="I265" s="7">
        <v>0.0</v>
      </c>
      <c r="J265" s="3" t="s">
        <v>15</v>
      </c>
    </row>
    <row r="266">
      <c r="A266" s="3"/>
      <c r="B266" s="3"/>
      <c r="C266" s="3" t="s">
        <v>26</v>
      </c>
      <c r="D266" s="4" t="s">
        <v>359</v>
      </c>
      <c r="E266" s="3" t="s">
        <v>166</v>
      </c>
      <c r="F266" s="5">
        <v>46101.79305555556</v>
      </c>
      <c r="G266" s="5">
        <v>46100.772465277776</v>
      </c>
      <c r="H266" s="3" t="s">
        <v>14</v>
      </c>
      <c r="I266" s="7">
        <v>0.0</v>
      </c>
      <c r="J266" s="3" t="s">
        <v>15</v>
      </c>
    </row>
    <row r="267">
      <c r="A267" s="3"/>
      <c r="B267" s="3"/>
      <c r="C267" s="3" t="s">
        <v>10</v>
      </c>
      <c r="D267" s="4" t="s">
        <v>364</v>
      </c>
      <c r="E267" s="3" t="s">
        <v>365</v>
      </c>
      <c r="F267" s="5">
        <v>46100.80001157407</v>
      </c>
      <c r="G267" s="5">
        <v>46100.6453587963</v>
      </c>
      <c r="H267" s="3" t="s">
        <v>14</v>
      </c>
      <c r="I267" s="3">
        <v>0.0</v>
      </c>
      <c r="J267" s="3" t="s">
        <v>72</v>
      </c>
    </row>
    <row r="268">
      <c r="A268" s="3"/>
      <c r="B268" s="3"/>
      <c r="C268" s="3" t="s">
        <v>17</v>
      </c>
      <c r="D268" s="4" t="s">
        <v>364</v>
      </c>
      <c r="E268" s="3" t="s">
        <v>365</v>
      </c>
      <c r="F268" s="5">
        <v>46100.80695601852</v>
      </c>
      <c r="G268" s="5">
        <v>46100.645532407405</v>
      </c>
      <c r="H268" s="3" t="s">
        <v>14</v>
      </c>
      <c r="I268" s="7">
        <v>0.0</v>
      </c>
      <c r="J268" s="3" t="s">
        <v>72</v>
      </c>
    </row>
    <row r="269">
      <c r="A269" s="3"/>
      <c r="B269" s="3"/>
      <c r="C269" s="3" t="s">
        <v>21</v>
      </c>
      <c r="D269" s="4" t="s">
        <v>364</v>
      </c>
      <c r="E269" s="3" t="s">
        <v>365</v>
      </c>
      <c r="F269" s="5">
        <v>46101.47361111111</v>
      </c>
      <c r="G269" s="5">
        <v>46100.64561342593</v>
      </c>
      <c r="H269" s="3" t="s">
        <v>14</v>
      </c>
      <c r="I269" s="7">
        <v>0.0</v>
      </c>
      <c r="J269" s="3" t="s">
        <v>72</v>
      </c>
    </row>
    <row r="270">
      <c r="A270" s="3"/>
      <c r="B270" s="3"/>
      <c r="C270" s="3" t="s">
        <v>24</v>
      </c>
      <c r="D270" s="4" t="s">
        <v>364</v>
      </c>
      <c r="E270" s="3" t="s">
        <v>365</v>
      </c>
      <c r="F270" s="5">
        <v>46104.47361111111</v>
      </c>
      <c r="G270" s="5">
        <v>46100.71864583333</v>
      </c>
      <c r="H270" s="3" t="s">
        <v>14</v>
      </c>
      <c r="I270" s="7">
        <v>0.0</v>
      </c>
      <c r="J270" s="3" t="s">
        <v>72</v>
      </c>
    </row>
    <row r="271">
      <c r="A271" s="3"/>
      <c r="B271" s="3"/>
      <c r="C271" s="3" t="s">
        <v>26</v>
      </c>
      <c r="D271" s="4" t="s">
        <v>364</v>
      </c>
      <c r="E271" s="3" t="s">
        <v>365</v>
      </c>
      <c r="F271" s="5">
        <v>46104.51527777778</v>
      </c>
      <c r="G271" s="5">
        <v>46100.718668981484</v>
      </c>
      <c r="H271" s="3" t="s">
        <v>14</v>
      </c>
      <c r="I271" s="7">
        <v>0.0</v>
      </c>
      <c r="J271" s="3" t="s">
        <v>72</v>
      </c>
    </row>
    <row r="272">
      <c r="A272" s="3"/>
      <c r="B272" s="3"/>
      <c r="C272" s="3" t="s">
        <v>10</v>
      </c>
      <c r="D272" s="4" t="s">
        <v>368</v>
      </c>
      <c r="E272" s="3" t="s">
        <v>136</v>
      </c>
      <c r="F272" s="5">
        <v>46100.46527777778</v>
      </c>
      <c r="G272" s="5">
        <v>46100.459386574075</v>
      </c>
      <c r="H272" s="3" t="s">
        <v>14</v>
      </c>
      <c r="I272" s="3">
        <v>0.0</v>
      </c>
      <c r="J272" s="3" t="s">
        <v>15</v>
      </c>
    </row>
    <row r="273">
      <c r="A273" s="3"/>
      <c r="B273" s="3"/>
      <c r="C273" s="3" t="s">
        <v>17</v>
      </c>
      <c r="D273" s="4" t="s">
        <v>368</v>
      </c>
      <c r="E273" s="3" t="s">
        <v>136</v>
      </c>
      <c r="F273" s="5">
        <v>46100.47222222222</v>
      </c>
      <c r="G273" s="5">
        <v>46100.77140046296</v>
      </c>
      <c r="H273" s="3" t="s">
        <v>14</v>
      </c>
      <c r="I273" s="7">
        <v>0.29917824074074073</v>
      </c>
      <c r="J273" s="3" t="s">
        <v>15</v>
      </c>
    </row>
    <row r="274">
      <c r="A274" s="3"/>
      <c r="B274" s="3"/>
      <c r="C274" s="3" t="s">
        <v>21</v>
      </c>
      <c r="D274" s="4" t="s">
        <v>368</v>
      </c>
      <c r="E274" s="3" t="s">
        <v>136</v>
      </c>
      <c r="F274" s="5">
        <v>46100.57638888889</v>
      </c>
      <c r="G274" s="5">
        <v>46100.77142361111</v>
      </c>
      <c r="H274" s="3" t="s">
        <v>14</v>
      </c>
      <c r="I274" s="7">
        <v>0.19503472222222223</v>
      </c>
      <c r="J274" s="3" t="s">
        <v>15</v>
      </c>
    </row>
    <row r="275">
      <c r="A275" s="3"/>
      <c r="B275" s="3"/>
      <c r="C275" s="3" t="s">
        <v>24</v>
      </c>
      <c r="D275" s="4" t="s">
        <v>368</v>
      </c>
      <c r="E275" s="3" t="s">
        <v>136</v>
      </c>
      <c r="F275" s="5">
        <v>46103.57638888889</v>
      </c>
      <c r="G275" s="5">
        <v>46100.77241898148</v>
      </c>
      <c r="H275" s="3" t="s">
        <v>14</v>
      </c>
      <c r="I275" s="7">
        <v>0.0</v>
      </c>
      <c r="J275" s="3" t="s">
        <v>15</v>
      </c>
    </row>
    <row r="276">
      <c r="A276" s="3"/>
      <c r="B276" s="3"/>
      <c r="C276" s="3" t="s">
        <v>26</v>
      </c>
      <c r="D276" s="4" t="s">
        <v>368</v>
      </c>
      <c r="E276" s="3" t="s">
        <v>136</v>
      </c>
      <c r="F276" s="5">
        <v>46104.618055555555</v>
      </c>
      <c r="G276" s="5">
        <v>46104.65001157407</v>
      </c>
      <c r="H276" s="3" t="s">
        <v>14</v>
      </c>
      <c r="I276" s="7">
        <v>0.031956018518518516</v>
      </c>
      <c r="J276" s="3" t="s">
        <v>15</v>
      </c>
    </row>
    <row r="277">
      <c r="A277" s="3"/>
      <c r="B277" s="3"/>
      <c r="C277" s="3" t="s">
        <v>10</v>
      </c>
      <c r="D277" s="4" t="s">
        <v>370</v>
      </c>
      <c r="E277" s="3" t="s">
        <v>371</v>
      </c>
      <c r="F277" s="5">
        <v>46101.79861111111</v>
      </c>
      <c r="G277" s="5">
        <v>46101.63759259259</v>
      </c>
      <c r="H277" s="3" t="s">
        <v>14</v>
      </c>
      <c r="I277" s="3">
        <v>0.0</v>
      </c>
      <c r="J277" s="3" t="s">
        <v>61</v>
      </c>
    </row>
    <row r="278">
      <c r="A278" s="3"/>
      <c r="B278" s="3"/>
      <c r="C278" s="3" t="s">
        <v>17</v>
      </c>
      <c r="D278" s="4" t="s">
        <v>370</v>
      </c>
      <c r="E278" s="3" t="s">
        <v>371</v>
      </c>
      <c r="F278" s="5">
        <v>46102.555555555555</v>
      </c>
      <c r="G278" s="5">
        <v>46101.72222222222</v>
      </c>
      <c r="H278" s="3" t="s">
        <v>14</v>
      </c>
      <c r="I278" s="7">
        <v>0.0</v>
      </c>
      <c r="J278" s="3" t="s">
        <v>61</v>
      </c>
    </row>
    <row r="279">
      <c r="A279" s="3"/>
      <c r="B279" s="3"/>
      <c r="C279" s="3" t="s">
        <v>21</v>
      </c>
      <c r="D279" s="4" t="s">
        <v>370</v>
      </c>
      <c r="E279" s="3" t="s">
        <v>371</v>
      </c>
      <c r="F279" s="5">
        <v>46104.65972222222</v>
      </c>
      <c r="G279" s="5">
        <v>46104.510405092595</v>
      </c>
      <c r="H279" s="3" t="s">
        <v>14</v>
      </c>
      <c r="I279" s="7">
        <v>0.0</v>
      </c>
      <c r="J279" s="3" t="s">
        <v>61</v>
      </c>
    </row>
    <row r="280">
      <c r="A280" s="3"/>
      <c r="B280" s="3"/>
      <c r="C280" s="3" t="s">
        <v>24</v>
      </c>
      <c r="D280" s="4" t="s">
        <v>370</v>
      </c>
      <c r="E280" s="3" t="s">
        <v>371</v>
      </c>
      <c r="F280" s="5">
        <v>46105.65972222222</v>
      </c>
      <c r="G280" s="5">
        <v>46104.65037037037</v>
      </c>
      <c r="H280" s="3" t="s">
        <v>14</v>
      </c>
      <c r="I280" s="7">
        <v>0.0</v>
      </c>
      <c r="J280" s="3" t="s">
        <v>61</v>
      </c>
    </row>
    <row r="281">
      <c r="A281" s="3"/>
      <c r="B281" s="3"/>
      <c r="C281" s="3" t="s">
        <v>26</v>
      </c>
      <c r="D281" s="4" t="s">
        <v>370</v>
      </c>
      <c r="E281" s="3" t="s">
        <v>371</v>
      </c>
      <c r="F281" s="5">
        <v>46105.70138888889</v>
      </c>
      <c r="G281" s="5">
        <v>46104.65039351852</v>
      </c>
      <c r="H281" s="3" t="s">
        <v>14</v>
      </c>
      <c r="I281" s="7">
        <v>0.0</v>
      </c>
      <c r="J281" s="3" t="s">
        <v>61</v>
      </c>
    </row>
    <row r="282">
      <c r="A282" s="3"/>
      <c r="B282" s="3"/>
      <c r="C282" s="3" t="s">
        <v>10</v>
      </c>
      <c r="D282" s="4" t="s">
        <v>374</v>
      </c>
      <c r="E282" s="3" t="s">
        <v>375</v>
      </c>
      <c r="F282" s="5">
        <v>46104.48402777778</v>
      </c>
      <c r="G282" s="5">
        <v>46101.73599537037</v>
      </c>
      <c r="H282" s="3" t="s">
        <v>14</v>
      </c>
      <c r="I282" s="3">
        <v>0.0</v>
      </c>
      <c r="J282" s="3" t="s">
        <v>48</v>
      </c>
    </row>
    <row r="283">
      <c r="A283" s="3"/>
      <c r="B283" s="3"/>
      <c r="C283" s="3" t="s">
        <v>17</v>
      </c>
      <c r="D283" s="4" t="s">
        <v>374</v>
      </c>
      <c r="E283" s="3" t="s">
        <v>375</v>
      </c>
      <c r="F283" s="5">
        <v>46104.49097222222</v>
      </c>
      <c r="G283" s="5">
        <v>46101.736180555556</v>
      </c>
      <c r="H283" s="3" t="s">
        <v>14</v>
      </c>
      <c r="I283" s="7">
        <v>0.0</v>
      </c>
      <c r="J283" s="3" t="s">
        <v>48</v>
      </c>
    </row>
    <row r="284">
      <c r="A284" s="3"/>
      <c r="B284" s="3"/>
      <c r="C284" s="3" t="s">
        <v>21</v>
      </c>
      <c r="D284" s="4" t="s">
        <v>374</v>
      </c>
      <c r="E284" s="3" t="s">
        <v>375</v>
      </c>
      <c r="F284" s="5">
        <v>46104.595138888886</v>
      </c>
      <c r="G284" s="5">
        <v>46101.736238425925</v>
      </c>
      <c r="H284" s="3" t="s">
        <v>14</v>
      </c>
      <c r="I284" s="7">
        <v>0.0</v>
      </c>
      <c r="J284" s="3" t="s">
        <v>48</v>
      </c>
    </row>
    <row r="285">
      <c r="A285" s="3"/>
      <c r="B285" s="3"/>
      <c r="C285" s="3" t="s">
        <v>24</v>
      </c>
      <c r="D285" s="4" t="s">
        <v>374</v>
      </c>
      <c r="E285" s="3" t="s">
        <v>375</v>
      </c>
      <c r="F285" s="5">
        <v>46105.595138888886</v>
      </c>
      <c r="G285" s="5">
        <v>46105.450266203705</v>
      </c>
      <c r="H285" s="3" t="s">
        <v>14</v>
      </c>
      <c r="I285" s="7">
        <v>0.0</v>
      </c>
      <c r="J285" s="3" t="s">
        <v>48</v>
      </c>
    </row>
    <row r="286">
      <c r="A286" s="3"/>
      <c r="B286" s="3"/>
      <c r="C286" s="3" t="s">
        <v>26</v>
      </c>
      <c r="D286" s="4" t="s">
        <v>374</v>
      </c>
      <c r="E286" s="3" t="s">
        <v>375</v>
      </c>
      <c r="F286" s="5">
        <v>46105.63680555556</v>
      </c>
      <c r="G286" s="5">
        <v>46105.45033564815</v>
      </c>
      <c r="H286" s="3" t="s">
        <v>14</v>
      </c>
      <c r="I286" s="7">
        <v>0.0</v>
      </c>
      <c r="J286" s="3" t="s">
        <v>48</v>
      </c>
    </row>
    <row r="287">
      <c r="A287" s="3"/>
      <c r="B287" s="3"/>
      <c r="C287" s="3" t="s">
        <v>10</v>
      </c>
      <c r="D287" s="4" t="s">
        <v>377</v>
      </c>
      <c r="E287" s="3" t="s">
        <v>244</v>
      </c>
      <c r="F287" s="5">
        <v>46104.51666666667</v>
      </c>
      <c r="G287" s="5">
        <v>46101.77480324074</v>
      </c>
      <c r="H287" s="3" t="s">
        <v>14</v>
      </c>
      <c r="I287" s="3">
        <v>0.0</v>
      </c>
      <c r="J287" s="3" t="s">
        <v>48</v>
      </c>
    </row>
    <row r="288">
      <c r="A288" s="3"/>
      <c r="B288" s="3"/>
      <c r="C288" s="3" t="s">
        <v>17</v>
      </c>
      <c r="D288" s="4" t="s">
        <v>377</v>
      </c>
      <c r="E288" s="3" t="s">
        <v>244</v>
      </c>
      <c r="F288" s="5">
        <v>46104.52361111111</v>
      </c>
      <c r="G288" s="5">
        <v>46101.77494212963</v>
      </c>
      <c r="H288" s="3" t="s">
        <v>14</v>
      </c>
      <c r="I288" s="7">
        <v>0.0</v>
      </c>
      <c r="J288" s="3" t="s">
        <v>48</v>
      </c>
    </row>
    <row r="289">
      <c r="A289" s="3"/>
      <c r="B289" s="3"/>
      <c r="C289" s="3" t="s">
        <v>21</v>
      </c>
      <c r="D289" s="4" t="s">
        <v>377</v>
      </c>
      <c r="E289" s="3" t="s">
        <v>244</v>
      </c>
      <c r="F289" s="5">
        <v>46104.62777777778</v>
      </c>
      <c r="G289" s="5">
        <v>46101.774988425925</v>
      </c>
      <c r="H289" s="3" t="s">
        <v>14</v>
      </c>
      <c r="I289" s="7">
        <v>0.0</v>
      </c>
      <c r="J289" s="3" t="s">
        <v>48</v>
      </c>
    </row>
    <row r="290">
      <c r="A290" s="3"/>
      <c r="B290" s="3"/>
      <c r="C290" s="3" t="s">
        <v>24</v>
      </c>
      <c r="D290" s="4" t="s">
        <v>377</v>
      </c>
      <c r="E290" s="3" t="s">
        <v>244</v>
      </c>
      <c r="F290" s="5">
        <v>46105.62777777778</v>
      </c>
      <c r="G290" s="5">
        <v>46104.68761574074</v>
      </c>
      <c r="H290" s="3" t="s">
        <v>14</v>
      </c>
      <c r="I290" s="7">
        <v>0.0</v>
      </c>
      <c r="J290" s="3" t="s">
        <v>48</v>
      </c>
    </row>
    <row r="291">
      <c r="A291" s="3"/>
      <c r="B291" s="3"/>
      <c r="C291" s="3" t="s">
        <v>26</v>
      </c>
      <c r="D291" s="4" t="s">
        <v>377</v>
      </c>
      <c r="E291" s="3" t="s">
        <v>244</v>
      </c>
      <c r="F291" s="5">
        <v>46105.669444444444</v>
      </c>
      <c r="G291" s="5">
        <v>46105.45034722222</v>
      </c>
      <c r="H291" s="3" t="s">
        <v>14</v>
      </c>
      <c r="I291" s="7">
        <v>0.0</v>
      </c>
      <c r="J291" s="3" t="s">
        <v>48</v>
      </c>
    </row>
    <row r="292">
      <c r="A292" s="3"/>
      <c r="B292" s="3"/>
      <c r="C292" s="3" t="s">
        <v>10</v>
      </c>
      <c r="D292" s="4" t="s">
        <v>380</v>
      </c>
      <c r="E292" s="3" t="s">
        <v>244</v>
      </c>
      <c r="F292" s="5">
        <v>46104.807905092595</v>
      </c>
      <c r="G292" s="5">
        <v>46104.65289351852</v>
      </c>
      <c r="H292" s="3" t="s">
        <v>14</v>
      </c>
      <c r="I292" s="3">
        <v>0.0</v>
      </c>
      <c r="J292" s="3" t="s">
        <v>15</v>
      </c>
    </row>
    <row r="293">
      <c r="A293" s="3"/>
      <c r="B293" s="3"/>
      <c r="C293" s="3" t="s">
        <v>17</v>
      </c>
      <c r="D293" s="4" t="s">
        <v>380</v>
      </c>
      <c r="E293" s="3" t="s">
        <v>244</v>
      </c>
      <c r="F293" s="5">
        <v>46104.81484953704</v>
      </c>
      <c r="G293" s="5">
        <v>46104.65304398148</v>
      </c>
      <c r="H293" s="3" t="s">
        <v>14</v>
      </c>
      <c r="I293" s="7">
        <v>0.0</v>
      </c>
      <c r="J293" s="3" t="s">
        <v>15</v>
      </c>
    </row>
    <row r="294">
      <c r="A294" s="3"/>
      <c r="B294" s="3"/>
      <c r="C294" s="3" t="s">
        <v>21</v>
      </c>
      <c r="D294" s="4" t="s">
        <v>380</v>
      </c>
      <c r="E294" s="3" t="s">
        <v>244</v>
      </c>
      <c r="F294" s="5">
        <v>46105.52291666667</v>
      </c>
      <c r="G294" s="5">
        <v>46104.687523148146</v>
      </c>
      <c r="H294" s="3" t="s">
        <v>14</v>
      </c>
      <c r="I294" s="7">
        <v>0.0</v>
      </c>
      <c r="J294" s="3" t="s">
        <v>15</v>
      </c>
    </row>
    <row r="295">
      <c r="A295" s="3"/>
      <c r="B295" s="3"/>
      <c r="C295" s="3" t="s">
        <v>24</v>
      </c>
      <c r="D295" s="4" t="s">
        <v>380</v>
      </c>
      <c r="E295" s="3" t="s">
        <v>244</v>
      </c>
      <c r="F295" s="5">
        <v>46106.52291666667</v>
      </c>
      <c r="G295" s="5">
        <v>46104.687581018516</v>
      </c>
      <c r="H295" s="3" t="s">
        <v>14</v>
      </c>
      <c r="I295" s="7">
        <v>0.0</v>
      </c>
      <c r="J295" s="3" t="s">
        <v>15</v>
      </c>
    </row>
    <row r="296">
      <c r="A296" s="3"/>
      <c r="B296" s="3"/>
      <c r="C296" s="3" t="s">
        <v>26</v>
      </c>
      <c r="D296" s="4" t="s">
        <v>380</v>
      </c>
      <c r="E296" s="3" t="s">
        <v>244</v>
      </c>
      <c r="F296" s="5">
        <v>46106.56458333333</v>
      </c>
      <c r="G296" s="5">
        <v>46104.736296296294</v>
      </c>
      <c r="H296" s="3" t="s">
        <v>14</v>
      </c>
      <c r="I296" s="7">
        <v>0.0</v>
      </c>
      <c r="J296" s="3" t="s">
        <v>15</v>
      </c>
    </row>
    <row r="297">
      <c r="A297" s="3"/>
      <c r="B297" s="3"/>
      <c r="C297" s="3" t="s">
        <v>10</v>
      </c>
      <c r="D297" s="4" t="s">
        <v>382</v>
      </c>
      <c r="E297" s="3" t="s">
        <v>383</v>
      </c>
      <c r="F297" s="5">
        <v>46104.82944444445</v>
      </c>
      <c r="G297" s="5">
        <v>46104.73405092592</v>
      </c>
      <c r="H297" s="3" t="s">
        <v>14</v>
      </c>
      <c r="I297" s="3">
        <v>0.0</v>
      </c>
      <c r="J297" s="3" t="s">
        <v>48</v>
      </c>
    </row>
    <row r="298">
      <c r="A298" s="3"/>
      <c r="B298" s="3"/>
      <c r="C298" s="3" t="s">
        <v>17</v>
      </c>
      <c r="D298" s="4" t="s">
        <v>382</v>
      </c>
      <c r="E298" s="3" t="s">
        <v>383</v>
      </c>
      <c r="F298" s="5">
        <v>46105.45416666667</v>
      </c>
      <c r="G298" s="5">
        <v>46104.73478009259</v>
      </c>
      <c r="H298" s="3" t="s">
        <v>14</v>
      </c>
      <c r="I298" s="7">
        <v>0.0</v>
      </c>
      <c r="J298" s="3" t="s">
        <v>48</v>
      </c>
    </row>
    <row r="299">
      <c r="A299" s="3"/>
      <c r="B299" s="3"/>
      <c r="C299" s="3" t="s">
        <v>21</v>
      </c>
      <c r="D299" s="4" t="s">
        <v>382</v>
      </c>
      <c r="E299" s="3" t="s">
        <v>383</v>
      </c>
      <c r="F299" s="5">
        <v>46105.558333333334</v>
      </c>
      <c r="G299" s="5">
        <v>46104.734988425924</v>
      </c>
      <c r="H299" s="3" t="s">
        <v>14</v>
      </c>
      <c r="I299" s="7">
        <v>0.0</v>
      </c>
      <c r="J299" s="3" t="s">
        <v>48</v>
      </c>
    </row>
    <row r="300">
      <c r="A300" s="3"/>
      <c r="B300" s="3"/>
      <c r="C300" s="3" t="s">
        <v>24</v>
      </c>
      <c r="D300" s="4" t="s">
        <v>382</v>
      </c>
      <c r="E300" s="3" t="s">
        <v>383</v>
      </c>
      <c r="F300" s="5">
        <v>46106.558333333334</v>
      </c>
      <c r="G300" s="5">
        <v>46104.73606481482</v>
      </c>
      <c r="H300" s="3" t="s">
        <v>14</v>
      </c>
      <c r="I300" s="7">
        <v>0.0</v>
      </c>
      <c r="J300" s="3" t="s">
        <v>48</v>
      </c>
    </row>
    <row r="301">
      <c r="A301" s="3"/>
      <c r="B301" s="3"/>
      <c r="C301" s="3" t="s">
        <v>26</v>
      </c>
      <c r="D301" s="4" t="s">
        <v>382</v>
      </c>
      <c r="E301" s="3" t="s">
        <v>383</v>
      </c>
      <c r="F301" s="5">
        <v>46106.6</v>
      </c>
      <c r="G301" s="5">
        <v>46105.69603009259</v>
      </c>
      <c r="H301" s="3" t="s">
        <v>14</v>
      </c>
      <c r="I301" s="7">
        <v>0.0</v>
      </c>
      <c r="J301" s="3" t="s">
        <v>48</v>
      </c>
    </row>
    <row r="302">
      <c r="A302" s="3"/>
      <c r="B302" s="3"/>
      <c r="C302" s="3" t="s">
        <v>10</v>
      </c>
      <c r="D302" s="4" t="s">
        <v>385</v>
      </c>
      <c r="E302" s="3" t="s">
        <v>386</v>
      </c>
      <c r="F302" s="5">
        <v>46105.46805555555</v>
      </c>
      <c r="G302" s="5">
        <v>46104.73405092592</v>
      </c>
      <c r="H302" s="3" t="s">
        <v>14</v>
      </c>
      <c r="I302" s="3">
        <v>0.0</v>
      </c>
      <c r="J302" s="3" t="s">
        <v>72</v>
      </c>
    </row>
    <row r="303">
      <c r="A303" s="3"/>
      <c r="B303" s="3"/>
      <c r="C303" s="3" t="s">
        <v>17</v>
      </c>
      <c r="D303" s="4" t="s">
        <v>385</v>
      </c>
      <c r="E303" s="3" t="s">
        <v>386</v>
      </c>
      <c r="F303" s="5">
        <v>46105.475</v>
      </c>
      <c r="G303" s="5">
        <v>46104.73488425926</v>
      </c>
      <c r="H303" s="3" t="s">
        <v>14</v>
      </c>
      <c r="I303" s="7">
        <v>0.0</v>
      </c>
      <c r="J303" s="3" t="s">
        <v>72</v>
      </c>
    </row>
    <row r="304">
      <c r="A304" s="3"/>
      <c r="B304" s="3"/>
      <c r="C304" s="3" t="s">
        <v>21</v>
      </c>
      <c r="D304" s="4" t="s">
        <v>385</v>
      </c>
      <c r="E304" s="3" t="s">
        <v>386</v>
      </c>
      <c r="F304" s="5">
        <v>46105.57916666667</v>
      </c>
      <c r="G304" s="5">
        <v>46104.73501157408</v>
      </c>
      <c r="H304" s="3" t="s">
        <v>14</v>
      </c>
      <c r="I304" s="7">
        <v>0.0</v>
      </c>
      <c r="J304" s="3" t="s">
        <v>72</v>
      </c>
    </row>
    <row r="305">
      <c r="A305" s="3"/>
      <c r="B305" s="3"/>
      <c r="C305" s="3" t="s">
        <v>24</v>
      </c>
      <c r="D305" s="4" t="s">
        <v>385</v>
      </c>
      <c r="E305" s="3" t="s">
        <v>386</v>
      </c>
      <c r="F305" s="5">
        <v>46106.57916666667</v>
      </c>
      <c r="G305" s="5">
        <v>46104.73607638889</v>
      </c>
      <c r="H305" s="3" t="s">
        <v>14</v>
      </c>
      <c r="I305" s="7">
        <v>0.0</v>
      </c>
      <c r="J305" s="3" t="s">
        <v>72</v>
      </c>
    </row>
    <row r="306">
      <c r="A306" s="3"/>
      <c r="B306" s="3"/>
      <c r="C306" s="3" t="s">
        <v>26</v>
      </c>
      <c r="D306" s="4" t="s">
        <v>385</v>
      </c>
      <c r="E306" s="3" t="s">
        <v>386</v>
      </c>
      <c r="F306" s="5">
        <v>46106.620833333334</v>
      </c>
      <c r="G306" s="5">
        <v>46106.48459490741</v>
      </c>
      <c r="H306" s="3" t="s">
        <v>14</v>
      </c>
      <c r="I306" s="7">
        <v>0.0</v>
      </c>
      <c r="J306" s="3" t="s">
        <v>72</v>
      </c>
    </row>
    <row r="307">
      <c r="A307" s="3"/>
      <c r="B307" s="3"/>
      <c r="C307" s="3" t="s">
        <v>10</v>
      </c>
      <c r="D307" s="4" t="s">
        <v>388</v>
      </c>
      <c r="E307" s="3" t="s">
        <v>389</v>
      </c>
      <c r="F307" s="5">
        <v>46106.44305555556</v>
      </c>
      <c r="G307" s="5">
        <v>46105.69577546296</v>
      </c>
      <c r="H307" s="3" t="s">
        <v>14</v>
      </c>
      <c r="I307" s="3">
        <v>0.0</v>
      </c>
      <c r="J307" s="3" t="s">
        <v>48</v>
      </c>
    </row>
    <row r="308">
      <c r="A308" s="3"/>
      <c r="B308" s="3"/>
      <c r="C308" s="3" t="s">
        <v>17</v>
      </c>
      <c r="D308" s="4" t="s">
        <v>388</v>
      </c>
      <c r="E308" s="3" t="s">
        <v>389</v>
      </c>
      <c r="F308" s="5">
        <v>46106.45</v>
      </c>
      <c r="G308" s="5">
        <v>46105.69583333333</v>
      </c>
      <c r="H308" s="3" t="s">
        <v>14</v>
      </c>
      <c r="I308" s="7">
        <v>0.0</v>
      </c>
      <c r="J308" s="3" t="s">
        <v>48</v>
      </c>
    </row>
    <row r="309">
      <c r="A309" s="3"/>
      <c r="B309" s="3"/>
      <c r="C309" s="3" t="s">
        <v>21</v>
      </c>
      <c r="D309" s="4" t="s">
        <v>388</v>
      </c>
      <c r="E309" s="3" t="s">
        <v>389</v>
      </c>
      <c r="F309" s="5">
        <v>46106.55416666667</v>
      </c>
      <c r="G309" s="5">
        <v>46105.7784837963</v>
      </c>
      <c r="H309" s="3" t="s">
        <v>14</v>
      </c>
      <c r="I309" s="7">
        <v>0.0</v>
      </c>
      <c r="J309" s="3" t="s">
        <v>48</v>
      </c>
    </row>
    <row r="310">
      <c r="A310" s="3"/>
      <c r="B310" s="3"/>
      <c r="C310" s="3" t="s">
        <v>24</v>
      </c>
      <c r="D310" s="4" t="s">
        <v>388</v>
      </c>
      <c r="E310" s="3" t="s">
        <v>389</v>
      </c>
      <c r="F310" s="5">
        <v>46107.55416666667</v>
      </c>
      <c r="G310" s="5">
        <v>46106.52581018519</v>
      </c>
      <c r="H310" s="3" t="s">
        <v>14</v>
      </c>
      <c r="I310" s="7">
        <v>0.0</v>
      </c>
      <c r="J310" s="3" t="s">
        <v>48</v>
      </c>
    </row>
    <row r="311">
      <c r="A311" s="3"/>
      <c r="B311" s="3"/>
      <c r="C311" s="3" t="s">
        <v>26</v>
      </c>
      <c r="D311" s="4" t="s">
        <v>388</v>
      </c>
      <c r="E311" s="3" t="s">
        <v>389</v>
      </c>
      <c r="F311" s="5">
        <v>46107.59583333333</v>
      </c>
      <c r="G311" s="5">
        <v>46106.66237268518</v>
      </c>
      <c r="H311" s="3" t="s">
        <v>14</v>
      </c>
      <c r="I311" s="7">
        <v>0.0</v>
      </c>
      <c r="J311" s="3" t="s">
        <v>48</v>
      </c>
    </row>
    <row r="312">
      <c r="A312" s="3"/>
      <c r="B312" s="3"/>
      <c r="C312" s="3" t="s">
        <v>10</v>
      </c>
      <c r="D312" s="4" t="s">
        <v>393</v>
      </c>
      <c r="E312" s="3" t="s">
        <v>166</v>
      </c>
      <c r="F312" s="5">
        <v>46106.628912037035</v>
      </c>
      <c r="G312" s="5">
        <v>46106.4844212963</v>
      </c>
      <c r="H312" s="3" t="s">
        <v>14</v>
      </c>
      <c r="I312" s="3">
        <v>0.0</v>
      </c>
      <c r="J312" s="3" t="s">
        <v>15</v>
      </c>
    </row>
    <row r="313">
      <c r="A313" s="3"/>
      <c r="B313" s="3"/>
      <c r="C313" s="3" t="s">
        <v>17</v>
      </c>
      <c r="D313" s="4" t="s">
        <v>393</v>
      </c>
      <c r="E313" s="3" t="s">
        <v>166</v>
      </c>
      <c r="F313" s="5">
        <v>46106.63585648148</v>
      </c>
      <c r="G313" s="5">
        <v>46106.48458333333</v>
      </c>
      <c r="H313" s="3" t="s">
        <v>14</v>
      </c>
      <c r="I313" s="7">
        <v>0.0</v>
      </c>
      <c r="J313" s="3" t="s">
        <v>15</v>
      </c>
    </row>
    <row r="314">
      <c r="A314" s="3"/>
      <c r="B314" s="3"/>
      <c r="C314" s="3" t="s">
        <v>21</v>
      </c>
      <c r="D314" s="4" t="s">
        <v>393</v>
      </c>
      <c r="E314" s="3" t="s">
        <v>166</v>
      </c>
      <c r="F314" s="5">
        <v>46106.74002314815</v>
      </c>
      <c r="G314" s="5">
        <v>46106.63626157407</v>
      </c>
      <c r="H314" s="3" t="s">
        <v>14</v>
      </c>
      <c r="I314" s="7">
        <v>0.0</v>
      </c>
      <c r="J314" s="3" t="s">
        <v>15</v>
      </c>
    </row>
    <row r="315">
      <c r="A315" s="3"/>
      <c r="B315" s="3"/>
      <c r="C315" s="3" t="s">
        <v>24</v>
      </c>
      <c r="D315" s="4" t="s">
        <v>393</v>
      </c>
      <c r="E315" s="3" t="s">
        <v>166</v>
      </c>
      <c r="F315" s="5">
        <v>46107.739583333336</v>
      </c>
      <c r="G315" s="5">
        <v>46106.596550925926</v>
      </c>
      <c r="H315" s="3" t="s">
        <v>14</v>
      </c>
      <c r="I315" s="7">
        <v>0.0</v>
      </c>
      <c r="J315" s="3" t="s">
        <v>15</v>
      </c>
    </row>
    <row r="316">
      <c r="A316" s="3"/>
      <c r="B316" s="3"/>
      <c r="C316" s="3" t="s">
        <v>26</v>
      </c>
      <c r="D316" s="4" t="s">
        <v>393</v>
      </c>
      <c r="E316" s="3" t="s">
        <v>166</v>
      </c>
      <c r="F316" s="5">
        <v>46107.78125</v>
      </c>
      <c r="G316" s="5">
        <v>46106.596597222226</v>
      </c>
      <c r="H316" s="3" t="s">
        <v>14</v>
      </c>
      <c r="I316" s="7">
        <v>0.0</v>
      </c>
      <c r="J316" s="3" t="s">
        <v>15</v>
      </c>
    </row>
    <row r="317">
      <c r="A317" s="3"/>
      <c r="B317" s="3"/>
      <c r="C317" s="3" t="s">
        <v>10</v>
      </c>
      <c r="D317" s="4" t="s">
        <v>396</v>
      </c>
      <c r="E317" s="3" t="s">
        <v>397</v>
      </c>
      <c r="F317" s="5">
        <v>46106.798993055556</v>
      </c>
      <c r="G317" s="5">
        <v>46106.63606481482</v>
      </c>
      <c r="H317" s="3" t="s">
        <v>14</v>
      </c>
      <c r="I317" s="3">
        <v>0.0</v>
      </c>
      <c r="J317" s="3" t="s">
        <v>48</v>
      </c>
    </row>
    <row r="318">
      <c r="A318" s="3"/>
      <c r="B318" s="3"/>
      <c r="C318" s="3" t="s">
        <v>17</v>
      </c>
      <c r="D318" s="4" t="s">
        <v>396</v>
      </c>
      <c r="E318" s="3" t="s">
        <v>397</v>
      </c>
      <c r="F318" s="5">
        <v>46106.8059375</v>
      </c>
      <c r="G318" s="5">
        <v>46106.63613425926</v>
      </c>
      <c r="H318" s="3" t="s">
        <v>14</v>
      </c>
      <c r="I318" s="7">
        <v>0.0</v>
      </c>
      <c r="J318" s="3" t="s">
        <v>48</v>
      </c>
    </row>
    <row r="319">
      <c r="A319" s="3"/>
      <c r="B319" s="3"/>
      <c r="C319" s="3" t="s">
        <v>21</v>
      </c>
      <c r="D319" s="4" t="s">
        <v>396</v>
      </c>
      <c r="E319" s="3" t="s">
        <v>397</v>
      </c>
      <c r="F319" s="5">
        <v>46107.47222222222</v>
      </c>
      <c r="G319" s="5">
        <v>46106.63626157407</v>
      </c>
      <c r="H319" s="3" t="s">
        <v>14</v>
      </c>
      <c r="I319" s="7">
        <v>0.0</v>
      </c>
      <c r="J319" s="3" t="s">
        <v>48</v>
      </c>
    </row>
    <row r="320">
      <c r="A320" s="3"/>
      <c r="B320" s="3"/>
      <c r="C320" s="3" t="s">
        <v>24</v>
      </c>
      <c r="D320" s="4" t="s">
        <v>396</v>
      </c>
      <c r="E320" s="3" t="s">
        <v>397</v>
      </c>
      <c r="F320" s="5">
        <v>46108.47222222222</v>
      </c>
      <c r="G320" s="5">
        <v>46106.66244212963</v>
      </c>
      <c r="H320" s="3" t="s">
        <v>14</v>
      </c>
      <c r="I320" s="7">
        <v>0.0</v>
      </c>
      <c r="J320" s="3" t="s">
        <v>48</v>
      </c>
    </row>
    <row r="321">
      <c r="A321" s="3"/>
      <c r="B321" s="3"/>
      <c r="C321" s="3" t="s">
        <v>26</v>
      </c>
      <c r="D321" s="4" t="s">
        <v>396</v>
      </c>
      <c r="E321" s="3" t="s">
        <v>397</v>
      </c>
      <c r="F321" s="5">
        <v>46108.51388888889</v>
      </c>
      <c r="G321" s="5">
        <v>46106.66248842593</v>
      </c>
      <c r="H321" s="3" t="s">
        <v>14</v>
      </c>
      <c r="I321" s="7">
        <v>0.0</v>
      </c>
      <c r="J321" s="3" t="s">
        <v>48</v>
      </c>
    </row>
    <row r="322">
      <c r="A322" s="3"/>
      <c r="B322" s="3"/>
      <c r="C322" s="3" t="s">
        <v>10</v>
      </c>
      <c r="D322" s="4" t="s">
        <v>402</v>
      </c>
      <c r="E322" s="3" t="s">
        <v>403</v>
      </c>
      <c r="F322" s="5">
        <v>46106.80328703704</v>
      </c>
      <c r="G322" s="5">
        <v>46106.68388888889</v>
      </c>
      <c r="H322" s="3" t="s">
        <v>14</v>
      </c>
      <c r="I322" s="3">
        <v>0.0</v>
      </c>
      <c r="J322" s="3" t="s">
        <v>15</v>
      </c>
    </row>
    <row r="323">
      <c r="A323" s="3"/>
      <c r="B323" s="3"/>
      <c r="C323" s="3" t="s">
        <v>17</v>
      </c>
      <c r="D323" s="4" t="s">
        <v>402</v>
      </c>
      <c r="E323" s="3" t="s">
        <v>403</v>
      </c>
      <c r="F323" s="5">
        <v>46106.81023148148</v>
      </c>
      <c r="G323" s="5">
        <v>46106.68373842593</v>
      </c>
      <c r="H323" s="3" t="s">
        <v>14</v>
      </c>
      <c r="I323" s="7">
        <v>0.0</v>
      </c>
      <c r="J323" s="3" t="s">
        <v>15</v>
      </c>
    </row>
    <row r="324">
      <c r="A324" s="3"/>
      <c r="B324" s="3"/>
      <c r="C324" s="3" t="s">
        <v>21</v>
      </c>
      <c r="D324" s="4" t="s">
        <v>402</v>
      </c>
      <c r="E324" s="3" t="s">
        <v>403</v>
      </c>
      <c r="F324" s="5">
        <v>46107.47638888889</v>
      </c>
      <c r="G324" s="5">
        <v>46106.683796296296</v>
      </c>
      <c r="H324" s="3" t="s">
        <v>14</v>
      </c>
      <c r="I324" s="7">
        <v>0.0</v>
      </c>
      <c r="J324" s="3" t="s">
        <v>15</v>
      </c>
    </row>
    <row r="325">
      <c r="A325" s="3"/>
      <c r="B325" s="3"/>
      <c r="C325" s="3" t="s">
        <v>24</v>
      </c>
      <c r="D325" s="4" t="s">
        <v>402</v>
      </c>
      <c r="E325" s="3" t="s">
        <v>403</v>
      </c>
      <c r="F325" s="5">
        <v>46108.47638888889</v>
      </c>
      <c r="G325" s="5">
        <v>46106.7559375</v>
      </c>
      <c r="H325" s="3" t="s">
        <v>14</v>
      </c>
      <c r="I325" s="7">
        <v>0.0</v>
      </c>
      <c r="J325" s="3" t="s">
        <v>15</v>
      </c>
    </row>
    <row r="326">
      <c r="A326" s="3"/>
      <c r="B326" s="3"/>
      <c r="C326" s="3" t="s">
        <v>26</v>
      </c>
      <c r="D326" s="4" t="s">
        <v>402</v>
      </c>
      <c r="E326" s="3" t="s">
        <v>403</v>
      </c>
      <c r="F326" s="5">
        <v>46108.518055555556</v>
      </c>
      <c r="G326" s="5">
        <v>46106.7559837963</v>
      </c>
      <c r="H326" s="3" t="s">
        <v>14</v>
      </c>
      <c r="I326" s="7">
        <v>0.0</v>
      </c>
      <c r="J326" s="3" t="s">
        <v>15</v>
      </c>
    </row>
    <row r="327">
      <c r="A327" s="3"/>
      <c r="B327" s="3"/>
      <c r="C327" s="3" t="s">
        <v>10</v>
      </c>
      <c r="D327" s="4" t="s">
        <v>406</v>
      </c>
      <c r="E327" s="3" t="s">
        <v>407</v>
      </c>
      <c r="F327" s="5">
        <v>46107.46041666667</v>
      </c>
      <c r="G327" s="5">
        <v>46106.75603009259</v>
      </c>
      <c r="H327" s="3" t="s">
        <v>14</v>
      </c>
      <c r="I327" s="3">
        <v>0.0</v>
      </c>
      <c r="J327" s="3" t="s">
        <v>72</v>
      </c>
    </row>
    <row r="328">
      <c r="A328" s="3"/>
      <c r="B328" s="3"/>
      <c r="C328" s="3" t="s">
        <v>17</v>
      </c>
      <c r="D328" s="4" t="s">
        <v>406</v>
      </c>
      <c r="E328" s="3" t="s">
        <v>407</v>
      </c>
      <c r="F328" s="5">
        <v>46107.467361111114</v>
      </c>
      <c r="G328" s="5">
        <v>46106.75623842593</v>
      </c>
      <c r="H328" s="3" t="s">
        <v>14</v>
      </c>
      <c r="I328" s="7">
        <v>0.0</v>
      </c>
      <c r="J328" s="3" t="s">
        <v>72</v>
      </c>
    </row>
    <row r="329">
      <c r="A329" s="3"/>
      <c r="B329" s="3"/>
      <c r="C329" s="3" t="s">
        <v>21</v>
      </c>
      <c r="D329" s="4" t="s">
        <v>406</v>
      </c>
      <c r="E329" s="3" t="s">
        <v>407</v>
      </c>
      <c r="F329" s="5">
        <v>46107.57152777778</v>
      </c>
      <c r="G329" s="5">
        <v>46106.756377314814</v>
      </c>
      <c r="H329" s="3" t="s">
        <v>14</v>
      </c>
      <c r="I329" s="7">
        <v>0.0</v>
      </c>
      <c r="J329" s="3" t="s">
        <v>72</v>
      </c>
    </row>
    <row r="330">
      <c r="A330" s="3"/>
      <c r="B330" s="3"/>
      <c r="C330" s="3" t="s">
        <v>24</v>
      </c>
      <c r="D330" s="4" t="s">
        <v>406</v>
      </c>
      <c r="E330" s="3" t="s">
        <v>407</v>
      </c>
      <c r="F330" s="5">
        <v>46108.57152777778</v>
      </c>
      <c r="G330" s="5">
        <v>46107.47628472222</v>
      </c>
      <c r="H330" s="3" t="s">
        <v>14</v>
      </c>
      <c r="I330" s="7">
        <v>0.0</v>
      </c>
      <c r="J330" s="3" t="s">
        <v>72</v>
      </c>
    </row>
    <row r="331">
      <c r="A331" s="3"/>
      <c r="B331" s="3"/>
      <c r="C331" s="3" t="s">
        <v>26</v>
      </c>
      <c r="D331" s="4" t="s">
        <v>406</v>
      </c>
      <c r="E331" s="3" t="s">
        <v>407</v>
      </c>
      <c r="F331" s="5">
        <v>46108.61319444444</v>
      </c>
      <c r="G331" s="5">
        <v>46107.47634259259</v>
      </c>
      <c r="H331" s="3" t="s">
        <v>14</v>
      </c>
      <c r="I331" s="7">
        <v>0.0</v>
      </c>
      <c r="J331" s="3" t="s">
        <v>72</v>
      </c>
    </row>
    <row r="332">
      <c r="A332" s="3"/>
      <c r="B332" s="3"/>
      <c r="C332" s="3" t="s">
        <v>10</v>
      </c>
      <c r="D332" s="4" t="s">
        <v>409</v>
      </c>
      <c r="E332" s="3" t="s">
        <v>410</v>
      </c>
      <c r="F332" s="5">
        <v>46107.46805555555</v>
      </c>
      <c r="G332" s="5">
        <v>46106.756053240744</v>
      </c>
      <c r="H332" s="3" t="s">
        <v>14</v>
      </c>
      <c r="I332" s="3">
        <v>0.0</v>
      </c>
      <c r="J332" s="3" t="s">
        <v>72</v>
      </c>
    </row>
    <row r="333">
      <c r="A333" s="3"/>
      <c r="B333" s="3"/>
      <c r="C333" s="3" t="s">
        <v>17</v>
      </c>
      <c r="D333" s="4" t="s">
        <v>409</v>
      </c>
      <c r="E333" s="3" t="s">
        <v>410</v>
      </c>
      <c r="F333" s="5">
        <v>46107.475</v>
      </c>
      <c r="G333" s="5">
        <v>46106.75625</v>
      </c>
      <c r="H333" s="3" t="s">
        <v>14</v>
      </c>
      <c r="I333" s="7">
        <v>0.0</v>
      </c>
      <c r="J333" s="3" t="s">
        <v>72</v>
      </c>
    </row>
    <row r="334">
      <c r="A334" s="3"/>
      <c r="B334" s="3"/>
      <c r="C334" s="3" t="s">
        <v>21</v>
      </c>
      <c r="D334" s="4" t="s">
        <v>409</v>
      </c>
      <c r="E334" s="3" t="s">
        <v>410</v>
      </c>
      <c r="F334" s="5">
        <v>46107.57916666667</v>
      </c>
      <c r="G334" s="5">
        <v>46106.75638888889</v>
      </c>
      <c r="H334" s="3" t="s">
        <v>14</v>
      </c>
      <c r="I334" s="7">
        <v>0.0</v>
      </c>
      <c r="J334" s="3" t="s">
        <v>72</v>
      </c>
    </row>
    <row r="335">
      <c r="A335" s="3"/>
      <c r="B335" s="3"/>
      <c r="C335" s="3" t="s">
        <v>24</v>
      </c>
      <c r="D335" s="4" t="s">
        <v>409</v>
      </c>
      <c r="E335" s="3" t="s">
        <v>410</v>
      </c>
      <c r="F335" s="5">
        <v>46108.57916666667</v>
      </c>
      <c r="G335" s="5">
        <v>46107.4762962963</v>
      </c>
      <c r="H335" s="3" t="s">
        <v>14</v>
      </c>
      <c r="I335" s="7">
        <v>0.0</v>
      </c>
      <c r="J335" s="3" t="s">
        <v>72</v>
      </c>
    </row>
    <row r="336">
      <c r="A336" s="3"/>
      <c r="B336" s="3"/>
      <c r="C336" s="3" t="s">
        <v>26</v>
      </c>
      <c r="D336" s="4" t="s">
        <v>409</v>
      </c>
      <c r="E336" s="3" t="s">
        <v>410</v>
      </c>
      <c r="F336" s="5">
        <v>46108.620833333334</v>
      </c>
      <c r="G336" s="5">
        <v>46107.47635416667</v>
      </c>
      <c r="H336" s="3" t="s">
        <v>14</v>
      </c>
      <c r="I336" s="7">
        <v>0.0</v>
      </c>
      <c r="J336" s="3" t="s">
        <v>72</v>
      </c>
    </row>
    <row r="337">
      <c r="A337" s="3"/>
      <c r="B337" s="3"/>
      <c r="C337" s="3" t="s">
        <v>10</v>
      </c>
      <c r="D337" s="4" t="s">
        <v>412</v>
      </c>
      <c r="E337" s="3" t="s">
        <v>413</v>
      </c>
      <c r="F337" s="5">
        <v>46107.6478587963</v>
      </c>
      <c r="G337" s="5">
        <v>46107.48782407407</v>
      </c>
      <c r="H337" s="3" t="s">
        <v>14</v>
      </c>
      <c r="I337" s="3">
        <v>0.0</v>
      </c>
      <c r="J337" s="3" t="s">
        <v>15</v>
      </c>
    </row>
    <row r="338">
      <c r="A338" s="3"/>
      <c r="B338" s="3"/>
      <c r="C338" s="3" t="s">
        <v>17</v>
      </c>
      <c r="D338" s="4" t="s">
        <v>412</v>
      </c>
      <c r="E338" s="3" t="s">
        <v>413</v>
      </c>
      <c r="F338" s="5">
        <v>46107.65480324074</v>
      </c>
      <c r="G338" s="5">
        <v>46107.48815972222</v>
      </c>
      <c r="H338" s="3" t="s">
        <v>14</v>
      </c>
      <c r="I338" s="7">
        <v>0.0</v>
      </c>
      <c r="J338" s="3" t="s">
        <v>15</v>
      </c>
    </row>
    <row r="339">
      <c r="A339" s="3"/>
      <c r="B339" s="3"/>
      <c r="C339" s="3" t="s">
        <v>21</v>
      </c>
      <c r="D339" s="4" t="s">
        <v>412</v>
      </c>
      <c r="E339" s="3" t="s">
        <v>413</v>
      </c>
      <c r="F339" s="5">
        <v>46107.75896990741</v>
      </c>
      <c r="G339" s="5">
        <v>46107.58443287037</v>
      </c>
      <c r="H339" s="3" t="s">
        <v>14</v>
      </c>
      <c r="I339" s="7">
        <v>0.0</v>
      </c>
      <c r="J339" s="3" t="s">
        <v>15</v>
      </c>
    </row>
    <row r="340">
      <c r="A340" s="3"/>
      <c r="B340" s="3"/>
      <c r="C340" s="3" t="s">
        <v>24</v>
      </c>
      <c r="D340" s="4" t="s">
        <v>412</v>
      </c>
      <c r="E340" s="3" t="s">
        <v>413</v>
      </c>
      <c r="F340" s="5">
        <v>46108.75833333333</v>
      </c>
      <c r="G340" s="5">
        <v>46108.61541666667</v>
      </c>
      <c r="H340" s="3" t="s">
        <v>14</v>
      </c>
      <c r="I340" s="7">
        <v>0.0</v>
      </c>
      <c r="J340" s="3" t="s">
        <v>15</v>
      </c>
    </row>
    <row r="341">
      <c r="A341" s="3"/>
      <c r="B341" s="3"/>
      <c r="C341" s="3" t="s">
        <v>26</v>
      </c>
      <c r="D341" s="4" t="s">
        <v>412</v>
      </c>
      <c r="E341" s="3" t="s">
        <v>413</v>
      </c>
      <c r="F341" s="5">
        <v>46108.8</v>
      </c>
      <c r="G341" s="5">
        <v>46108.584386574075</v>
      </c>
      <c r="H341" s="3" t="s">
        <v>14</v>
      </c>
      <c r="I341" s="7">
        <v>0.0</v>
      </c>
      <c r="J341" s="3" t="s">
        <v>15</v>
      </c>
    </row>
    <row r="342">
      <c r="A342" s="3"/>
      <c r="B342" s="3"/>
      <c r="C342" s="3" t="s">
        <v>10</v>
      </c>
      <c r="D342" s="4" t="s">
        <v>415</v>
      </c>
      <c r="E342" s="3" t="s">
        <v>371</v>
      </c>
      <c r="F342" s="5">
        <v>46107.67118055555</v>
      </c>
      <c r="G342" s="5">
        <v>46107.584027777775</v>
      </c>
      <c r="H342" s="3" t="s">
        <v>14</v>
      </c>
      <c r="I342" s="3">
        <v>0.0</v>
      </c>
      <c r="J342" s="3" t="s">
        <v>72</v>
      </c>
    </row>
    <row r="343">
      <c r="A343" s="3"/>
      <c r="B343" s="3"/>
      <c r="C343" s="3" t="s">
        <v>17</v>
      </c>
      <c r="D343" s="4" t="s">
        <v>415</v>
      </c>
      <c r="E343" s="3" t="s">
        <v>371</v>
      </c>
      <c r="F343" s="5">
        <v>46107.678125</v>
      </c>
      <c r="G343" s="5">
        <v>46107.58435185185</v>
      </c>
      <c r="H343" s="3" t="s">
        <v>14</v>
      </c>
      <c r="I343" s="7">
        <v>0.0</v>
      </c>
      <c r="J343" s="3" t="s">
        <v>72</v>
      </c>
    </row>
    <row r="344">
      <c r="A344" s="3"/>
      <c r="B344" s="3"/>
      <c r="C344" s="3" t="s">
        <v>21</v>
      </c>
      <c r="D344" s="4" t="s">
        <v>415</v>
      </c>
      <c r="E344" s="3" t="s">
        <v>371</v>
      </c>
      <c r="F344" s="5">
        <v>46107.78229166667</v>
      </c>
      <c r="G344" s="5">
        <v>46107.58445601852</v>
      </c>
      <c r="H344" s="3" t="s">
        <v>14</v>
      </c>
      <c r="I344" s="7">
        <v>0.0</v>
      </c>
      <c r="J344" s="3" t="s">
        <v>72</v>
      </c>
    </row>
    <row r="345">
      <c r="A345" s="3"/>
      <c r="B345" s="3"/>
      <c r="C345" s="3" t="s">
        <v>24</v>
      </c>
      <c r="D345" s="4" t="s">
        <v>415</v>
      </c>
      <c r="E345" s="3" t="s">
        <v>371</v>
      </c>
      <c r="F345" s="5">
        <v>46108.78194444445</v>
      </c>
      <c r="G345" s="5">
        <v>46108.615069444444</v>
      </c>
      <c r="H345" s="3" t="s">
        <v>14</v>
      </c>
      <c r="I345" s="7">
        <v>0.0</v>
      </c>
      <c r="J345" s="3" t="s">
        <v>72</v>
      </c>
    </row>
    <row r="346">
      <c r="A346" s="3"/>
      <c r="B346" s="3"/>
      <c r="C346" s="3" t="s">
        <v>26</v>
      </c>
      <c r="D346" s="4" t="s">
        <v>415</v>
      </c>
      <c r="E346" s="3" t="s">
        <v>371</v>
      </c>
      <c r="F346" s="5">
        <v>46108.82361111111</v>
      </c>
      <c r="G346" s="5">
        <v>46108.584386574075</v>
      </c>
      <c r="H346" s="3" t="s">
        <v>14</v>
      </c>
      <c r="I346" s="7">
        <v>0.0</v>
      </c>
      <c r="J346" s="3" t="s">
        <v>72</v>
      </c>
    </row>
    <row r="347">
      <c r="A347" s="3"/>
      <c r="B347" s="3"/>
      <c r="C347" s="3" t="s">
        <v>10</v>
      </c>
      <c r="D347" s="4" t="s">
        <v>419</v>
      </c>
      <c r="E347" s="3" t="s">
        <v>371</v>
      </c>
      <c r="F347" s="5">
        <v>46107.67592592593</v>
      </c>
      <c r="G347" s="5">
        <v>46107.584074074075</v>
      </c>
      <c r="H347" s="3" t="s">
        <v>14</v>
      </c>
      <c r="I347" s="3">
        <v>0.0</v>
      </c>
      <c r="J347" s="3" t="s">
        <v>72</v>
      </c>
    </row>
    <row r="348">
      <c r="A348" s="3"/>
      <c r="B348" s="3"/>
      <c r="C348" s="3" t="s">
        <v>17</v>
      </c>
      <c r="D348" s="4" t="s">
        <v>419</v>
      </c>
      <c r="E348" s="3" t="s">
        <v>371</v>
      </c>
      <c r="F348" s="5">
        <v>46107.68287037037</v>
      </c>
      <c r="G348" s="5">
        <v>46107.58436342593</v>
      </c>
      <c r="H348" s="3" t="s">
        <v>14</v>
      </c>
      <c r="I348" s="7">
        <v>0.0</v>
      </c>
      <c r="J348" s="3" t="s">
        <v>72</v>
      </c>
    </row>
    <row r="349">
      <c r="A349" s="3"/>
      <c r="B349" s="3"/>
      <c r="C349" s="3" t="s">
        <v>21</v>
      </c>
      <c r="D349" s="4" t="s">
        <v>419</v>
      </c>
      <c r="E349" s="3" t="s">
        <v>371</v>
      </c>
      <c r="F349" s="5">
        <v>46107.78703703704</v>
      </c>
      <c r="G349" s="5">
        <v>46107.58446759259</v>
      </c>
      <c r="H349" s="3" t="s">
        <v>14</v>
      </c>
      <c r="I349" s="7">
        <v>0.0</v>
      </c>
      <c r="J349" s="3" t="s">
        <v>72</v>
      </c>
    </row>
    <row r="350">
      <c r="A350" s="3"/>
      <c r="B350" s="3"/>
      <c r="C350" s="3" t="s">
        <v>24</v>
      </c>
      <c r="D350" s="4" t="s">
        <v>419</v>
      </c>
      <c r="E350" s="3" t="s">
        <v>371</v>
      </c>
      <c r="F350" s="5">
        <v>46108.78680555556</v>
      </c>
      <c r="G350" s="5">
        <v>46108.584386574075</v>
      </c>
      <c r="H350" s="3" t="s">
        <v>14</v>
      </c>
      <c r="I350" s="7">
        <v>0.0</v>
      </c>
      <c r="J350" s="3" t="s">
        <v>72</v>
      </c>
    </row>
    <row r="351">
      <c r="A351" s="3"/>
      <c r="B351" s="3"/>
      <c r="C351" s="3" t="s">
        <v>26</v>
      </c>
      <c r="D351" s="4" t="s">
        <v>419</v>
      </c>
      <c r="E351" s="3" t="s">
        <v>371</v>
      </c>
      <c r="F351" s="5">
        <v>46108.82847222222</v>
      </c>
      <c r="G351" s="5">
        <v>46108.584386574075</v>
      </c>
      <c r="H351" s="3" t="s">
        <v>14</v>
      </c>
      <c r="I351" s="7">
        <v>0.0</v>
      </c>
      <c r="J351" s="3" t="s">
        <v>72</v>
      </c>
    </row>
    <row r="352">
      <c r="A352" s="3"/>
      <c r="B352" s="3"/>
      <c r="C352" s="3" t="s">
        <v>10</v>
      </c>
      <c r="D352" s="4" t="s">
        <v>420</v>
      </c>
      <c r="E352" s="3" t="s">
        <v>421</v>
      </c>
      <c r="F352" s="5">
        <v>46107.699166666665</v>
      </c>
      <c r="G352" s="5">
        <v>46107.584085648145</v>
      </c>
      <c r="H352" s="3" t="s">
        <v>14</v>
      </c>
      <c r="I352" s="3">
        <v>0.0</v>
      </c>
      <c r="J352" s="3" t="s">
        <v>48</v>
      </c>
    </row>
    <row r="353">
      <c r="A353" s="3"/>
      <c r="B353" s="3"/>
      <c r="C353" s="3" t="s">
        <v>17</v>
      </c>
      <c r="D353" s="4" t="s">
        <v>420</v>
      </c>
      <c r="E353" s="3" t="s">
        <v>421</v>
      </c>
      <c r="F353" s="5">
        <v>46107.70611111111</v>
      </c>
      <c r="G353" s="5">
        <v>46107.584375</v>
      </c>
      <c r="H353" s="3" t="s">
        <v>14</v>
      </c>
      <c r="I353" s="7">
        <v>0.0</v>
      </c>
      <c r="J353" s="3" t="s">
        <v>48</v>
      </c>
    </row>
    <row r="354">
      <c r="A354" s="3"/>
      <c r="B354" s="3"/>
      <c r="C354" s="3" t="s">
        <v>21</v>
      </c>
      <c r="D354" s="4" t="s">
        <v>420</v>
      </c>
      <c r="E354" s="3" t="s">
        <v>421</v>
      </c>
      <c r="F354" s="5">
        <v>46107.810277777775</v>
      </c>
      <c r="G354" s="5">
        <v>46107.58447916667</v>
      </c>
      <c r="H354" s="3" t="s">
        <v>14</v>
      </c>
      <c r="I354" s="7">
        <v>0.0</v>
      </c>
      <c r="J354" s="3" t="s">
        <v>48</v>
      </c>
    </row>
    <row r="355">
      <c r="A355" s="3"/>
      <c r="B355" s="3"/>
      <c r="C355" s="3" t="s">
        <v>24</v>
      </c>
      <c r="D355" s="4" t="s">
        <v>420</v>
      </c>
      <c r="E355" s="3" t="s">
        <v>421</v>
      </c>
      <c r="F355" s="5">
        <v>46108.80972222222</v>
      </c>
      <c r="G355" s="5">
        <v>46108.715787037036</v>
      </c>
      <c r="H355" s="3" t="s">
        <v>14</v>
      </c>
      <c r="I355" s="7">
        <v>0.0</v>
      </c>
      <c r="J355" s="3" t="s">
        <v>48</v>
      </c>
    </row>
    <row r="356">
      <c r="A356" s="3"/>
      <c r="B356" s="3"/>
      <c r="C356" s="3" t="s">
        <v>26</v>
      </c>
      <c r="D356" s="4" t="s">
        <v>420</v>
      </c>
      <c r="E356" s="3" t="s">
        <v>421</v>
      </c>
      <c r="F356" s="5">
        <v>46109.43472222222</v>
      </c>
      <c r="G356" s="5">
        <v>46108.584386574075</v>
      </c>
      <c r="H356" s="3" t="s">
        <v>14</v>
      </c>
      <c r="I356" s="7">
        <v>0.0</v>
      </c>
      <c r="J356" s="3" t="s">
        <v>48</v>
      </c>
    </row>
    <row r="357">
      <c r="A357" s="3"/>
      <c r="B357" s="3"/>
      <c r="C357" s="3" t="s">
        <v>10</v>
      </c>
      <c r="D357" s="4" t="s">
        <v>423</v>
      </c>
      <c r="E357" s="3" t="s">
        <v>424</v>
      </c>
      <c r="F357" s="5">
        <v>46107.73646990741</v>
      </c>
      <c r="G357" s="5">
        <v>46107.58409722222</v>
      </c>
      <c r="H357" s="3" t="s">
        <v>14</v>
      </c>
      <c r="I357" s="3">
        <v>0.0</v>
      </c>
      <c r="J357" s="3" t="s">
        <v>48</v>
      </c>
    </row>
    <row r="358">
      <c r="A358" s="3"/>
      <c r="B358" s="3"/>
      <c r="C358" s="3" t="s">
        <v>17</v>
      </c>
      <c r="D358" s="4" t="s">
        <v>423</v>
      </c>
      <c r="E358" s="3" t="s">
        <v>424</v>
      </c>
      <c r="F358" s="5">
        <v>46107.743414351855</v>
      </c>
      <c r="G358" s="5">
        <v>46107.584386574075</v>
      </c>
      <c r="H358" s="3" t="s">
        <v>14</v>
      </c>
      <c r="I358" s="7">
        <v>0.0</v>
      </c>
      <c r="J358" s="3" t="s">
        <v>48</v>
      </c>
    </row>
    <row r="359">
      <c r="A359" s="3"/>
      <c r="B359" s="3"/>
      <c r="C359" s="3" t="s">
        <v>21</v>
      </c>
      <c r="D359" s="4" t="s">
        <v>423</v>
      </c>
      <c r="E359" s="3" t="s">
        <v>424</v>
      </c>
      <c r="F359" s="5">
        <v>46108.45138888889</v>
      </c>
      <c r="G359" s="5">
        <v>46107.584502314814</v>
      </c>
      <c r="H359" s="3" t="s">
        <v>14</v>
      </c>
      <c r="I359" s="7">
        <v>0.0</v>
      </c>
      <c r="J359" s="3" t="s">
        <v>48</v>
      </c>
    </row>
    <row r="360">
      <c r="A360" s="3"/>
      <c r="B360" s="3"/>
      <c r="C360" s="3" t="s">
        <v>24</v>
      </c>
      <c r="D360" s="4" t="s">
        <v>423</v>
      </c>
      <c r="E360" s="3" t="s">
        <v>424</v>
      </c>
      <c r="F360" s="5">
        <v>46109.45138888889</v>
      </c>
      <c r="G360" s="5">
        <v>46108.71616898148</v>
      </c>
      <c r="H360" s="3" t="s">
        <v>14</v>
      </c>
      <c r="I360" s="7">
        <v>0.0</v>
      </c>
      <c r="J360" s="3" t="s">
        <v>48</v>
      </c>
    </row>
    <row r="361">
      <c r="A361" s="3"/>
      <c r="B361" s="3"/>
      <c r="C361" s="3" t="s">
        <v>26</v>
      </c>
      <c r="D361" s="4" t="s">
        <v>423</v>
      </c>
      <c r="E361" s="3" t="s">
        <v>424</v>
      </c>
      <c r="F361" s="5">
        <v>46109.493055555555</v>
      </c>
      <c r="G361" s="5">
        <v>46108.584386574075</v>
      </c>
      <c r="H361" s="3" t="s">
        <v>14</v>
      </c>
      <c r="I361" s="7">
        <v>0.0</v>
      </c>
      <c r="J361" s="3" t="s">
        <v>48</v>
      </c>
    </row>
    <row r="362">
      <c r="A362" s="3"/>
      <c r="B362" s="3"/>
      <c r="C362" s="3" t="s">
        <v>10</v>
      </c>
      <c r="D362" s="4" t="s">
        <v>426</v>
      </c>
      <c r="E362" s="3" t="s">
        <v>166</v>
      </c>
      <c r="F362" s="5">
        <v>46108.701215277775</v>
      </c>
      <c r="G362" s="5">
        <v>46108.61587962963</v>
      </c>
      <c r="H362" s="3" t="s">
        <v>14</v>
      </c>
      <c r="I362" s="3">
        <v>0.0</v>
      </c>
      <c r="J362" s="3" t="s">
        <v>15</v>
      </c>
    </row>
    <row r="363">
      <c r="A363" s="3"/>
      <c r="B363" s="3"/>
      <c r="C363" s="3" t="s">
        <v>17</v>
      </c>
      <c r="D363" s="4" t="s">
        <v>426</v>
      </c>
      <c r="E363" s="3" t="s">
        <v>166</v>
      </c>
      <c r="F363" s="5">
        <v>46108.70815972222</v>
      </c>
      <c r="G363" s="5">
        <v>46108.584386574075</v>
      </c>
      <c r="H363" s="3" t="s">
        <v>14</v>
      </c>
      <c r="I363" s="7">
        <v>0.0</v>
      </c>
      <c r="J363" s="3" t="s">
        <v>15</v>
      </c>
    </row>
    <row r="364">
      <c r="A364" s="3"/>
      <c r="B364" s="3"/>
      <c r="C364" s="3" t="s">
        <v>21</v>
      </c>
      <c r="D364" s="4" t="s">
        <v>426</v>
      </c>
      <c r="E364" s="3" t="s">
        <v>166</v>
      </c>
      <c r="F364" s="5">
        <v>46108.81232638889</v>
      </c>
      <c r="G364" s="5">
        <v>46108.584386574075</v>
      </c>
      <c r="H364" s="3" t="s">
        <v>14</v>
      </c>
      <c r="I364" s="7">
        <v>0.0</v>
      </c>
      <c r="J364" s="3" t="s">
        <v>15</v>
      </c>
    </row>
    <row r="365">
      <c r="A365" s="3"/>
      <c r="B365" s="3"/>
      <c r="C365" s="3" t="s">
        <v>24</v>
      </c>
      <c r="D365" s="4" t="s">
        <v>426</v>
      </c>
      <c r="E365" s="3" t="s">
        <v>166</v>
      </c>
      <c r="F365" s="5">
        <v>46109.81180555555</v>
      </c>
      <c r="G365" s="5">
        <v>46108.67318287037</v>
      </c>
      <c r="H365" s="3" t="s">
        <v>14</v>
      </c>
      <c r="I365" s="7">
        <v>0.0</v>
      </c>
      <c r="J365" s="3" t="s">
        <v>15</v>
      </c>
    </row>
    <row r="366">
      <c r="A366" s="3"/>
      <c r="B366" s="3"/>
      <c r="C366" s="3" t="s">
        <v>26</v>
      </c>
      <c r="D366" s="4" t="s">
        <v>426</v>
      </c>
      <c r="E366" s="3" t="s">
        <v>166</v>
      </c>
      <c r="F366" s="5">
        <v>46111.43680555555</v>
      </c>
      <c r="G366" s="5">
        <v>46108.67320601852</v>
      </c>
      <c r="H366" s="3" t="s">
        <v>14</v>
      </c>
      <c r="I366" s="7">
        <v>0.0</v>
      </c>
      <c r="J366" s="3" t="s">
        <v>15</v>
      </c>
    </row>
    <row r="367">
      <c r="A367" s="3"/>
      <c r="B367" s="3"/>
      <c r="C367" s="3" t="s">
        <v>10</v>
      </c>
      <c r="D367" s="4" t="s">
        <v>429</v>
      </c>
      <c r="E367" s="3" t="s">
        <v>430</v>
      </c>
      <c r="F367" s="5">
        <v>46109.42361111111</v>
      </c>
      <c r="G367" s="5">
        <v>46108.783159722225</v>
      </c>
      <c r="H367" s="3" t="s">
        <v>14</v>
      </c>
      <c r="I367" s="3">
        <v>0.0</v>
      </c>
      <c r="J367" s="3" t="s">
        <v>15</v>
      </c>
    </row>
    <row r="368">
      <c r="A368" s="3"/>
      <c r="B368" s="3"/>
      <c r="C368" s="3" t="s">
        <v>17</v>
      </c>
      <c r="D368" s="4" t="s">
        <v>429</v>
      </c>
      <c r="E368" s="3" t="s">
        <v>430</v>
      </c>
      <c r="F368" s="5">
        <v>46109.430555555555</v>
      </c>
      <c r="G368" s="5">
        <v>46108.789988425924</v>
      </c>
      <c r="H368" s="3" t="s">
        <v>14</v>
      </c>
      <c r="I368" s="7">
        <v>0.0</v>
      </c>
      <c r="J368" s="3" t="s">
        <v>15</v>
      </c>
    </row>
    <row r="369">
      <c r="A369" s="3"/>
      <c r="B369" s="3"/>
      <c r="C369" s="3" t="s">
        <v>21</v>
      </c>
      <c r="D369" s="4" t="s">
        <v>429</v>
      </c>
      <c r="E369" s="3" t="s">
        <v>430</v>
      </c>
      <c r="F369" s="5">
        <v>46109.53472222222</v>
      </c>
      <c r="G369" s="5">
        <v>46108.78991898148</v>
      </c>
      <c r="H369" s="3" t="s">
        <v>14</v>
      </c>
      <c r="I369" s="7">
        <v>0.0</v>
      </c>
      <c r="J369" s="3" t="s">
        <v>15</v>
      </c>
    </row>
    <row r="370">
      <c r="A370" s="3"/>
      <c r="B370" s="3"/>
      <c r="C370" s="3" t="s">
        <v>24</v>
      </c>
      <c r="D370" s="4" t="s">
        <v>429</v>
      </c>
      <c r="E370" s="3" t="s">
        <v>430</v>
      </c>
      <c r="F370" s="5">
        <v>46111.53472222222</v>
      </c>
      <c r="G370" s="5">
        <v>46110.70962962963</v>
      </c>
      <c r="H370" s="3" t="s">
        <v>14</v>
      </c>
      <c r="I370" s="7">
        <v>0.0</v>
      </c>
      <c r="J370" s="3" t="s">
        <v>15</v>
      </c>
    </row>
    <row r="371">
      <c r="A371" s="3"/>
      <c r="B371" s="3"/>
      <c r="C371" s="3" t="s">
        <v>26</v>
      </c>
      <c r="D371" s="4" t="s">
        <v>429</v>
      </c>
      <c r="E371" s="3" t="s">
        <v>430</v>
      </c>
      <c r="F371" s="5">
        <v>46111.57638888889</v>
      </c>
      <c r="G371" s="5">
        <v>46110.709699074076</v>
      </c>
      <c r="H371" s="3" t="s">
        <v>14</v>
      </c>
      <c r="I371" s="7">
        <v>0.0</v>
      </c>
      <c r="J371" s="3" t="s">
        <v>15</v>
      </c>
    </row>
    <row r="372">
      <c r="A372" s="3"/>
      <c r="B372" s="3"/>
      <c r="C372" s="3" t="s">
        <v>10</v>
      </c>
      <c r="D372" s="4" t="s">
        <v>435</v>
      </c>
      <c r="E372" s="3" t="s">
        <v>436</v>
      </c>
      <c r="F372" s="5">
        <v>46109.45486111111</v>
      </c>
      <c r="G372" s="5">
        <v>46108.783159722225</v>
      </c>
      <c r="H372" s="3" t="s">
        <v>14</v>
      </c>
      <c r="I372" s="3">
        <v>0.0</v>
      </c>
      <c r="J372" s="3" t="s">
        <v>48</v>
      </c>
    </row>
    <row r="373">
      <c r="A373" s="3"/>
      <c r="B373" s="3"/>
      <c r="C373" s="3" t="s">
        <v>17</v>
      </c>
      <c r="D373" s="4" t="s">
        <v>435</v>
      </c>
      <c r="E373" s="3" t="s">
        <v>436</v>
      </c>
      <c r="F373" s="5">
        <v>46109.461805555555</v>
      </c>
      <c r="G373" s="5">
        <v>46108.79002314815</v>
      </c>
      <c r="H373" s="3" t="s">
        <v>14</v>
      </c>
      <c r="I373" s="7">
        <v>0.0</v>
      </c>
      <c r="J373" s="3" t="s">
        <v>48</v>
      </c>
    </row>
    <row r="374">
      <c r="A374" s="3"/>
      <c r="B374" s="3"/>
      <c r="C374" s="3" t="s">
        <v>21</v>
      </c>
      <c r="D374" s="4" t="s">
        <v>435</v>
      </c>
      <c r="E374" s="3" t="s">
        <v>436</v>
      </c>
      <c r="F374" s="5">
        <v>46109.56597222222</v>
      </c>
      <c r="G374" s="5">
        <v>46108.79006944445</v>
      </c>
      <c r="H374" s="3" t="s">
        <v>14</v>
      </c>
      <c r="I374" s="7">
        <v>0.0</v>
      </c>
      <c r="J374" s="3" t="s">
        <v>48</v>
      </c>
    </row>
    <row r="375">
      <c r="A375" s="3"/>
      <c r="B375" s="3"/>
      <c r="C375" s="3" t="s">
        <v>24</v>
      </c>
      <c r="D375" s="4" t="s">
        <v>435</v>
      </c>
      <c r="E375" s="3" t="s">
        <v>436</v>
      </c>
      <c r="F375" s="5">
        <v>46111.56597222222</v>
      </c>
      <c r="G375" s="5">
        <v>46109.68100694445</v>
      </c>
      <c r="H375" s="3" t="s">
        <v>14</v>
      </c>
      <c r="I375" s="7">
        <v>0.0</v>
      </c>
      <c r="J375" s="3" t="s">
        <v>48</v>
      </c>
    </row>
    <row r="376">
      <c r="A376" s="3"/>
      <c r="B376" s="3"/>
      <c r="C376" s="3" t="s">
        <v>26</v>
      </c>
      <c r="D376" s="4" t="s">
        <v>435</v>
      </c>
      <c r="E376" s="3" t="s">
        <v>436</v>
      </c>
      <c r="F376" s="5">
        <v>46111.60763888889</v>
      </c>
      <c r="G376" s="5">
        <v>46109.68101851852</v>
      </c>
      <c r="H376" s="3" t="s">
        <v>14</v>
      </c>
      <c r="I376" s="7">
        <v>0.0</v>
      </c>
      <c r="J376" s="3" t="s">
        <v>48</v>
      </c>
    </row>
    <row r="377">
      <c r="A377" s="3"/>
      <c r="B377" s="3"/>
      <c r="C377" s="3" t="s">
        <v>10</v>
      </c>
      <c r="D377" s="4" t="s">
        <v>440</v>
      </c>
      <c r="E377" s="3" t="s">
        <v>441</v>
      </c>
      <c r="F377" s="5">
        <v>46109.64267361111</v>
      </c>
      <c r="G377" s="5">
        <v>46109.47861111111</v>
      </c>
      <c r="H377" s="3" t="s">
        <v>14</v>
      </c>
      <c r="I377" s="3">
        <v>0.0</v>
      </c>
      <c r="J377" s="3" t="s">
        <v>15</v>
      </c>
    </row>
    <row r="378">
      <c r="A378" s="3"/>
      <c r="B378" s="3"/>
      <c r="C378" s="3" t="s">
        <v>17</v>
      </c>
      <c r="D378" s="4" t="s">
        <v>440</v>
      </c>
      <c r="E378" s="3" t="s">
        <v>441</v>
      </c>
      <c r="F378" s="5">
        <v>46109.649618055555</v>
      </c>
      <c r="G378" s="5">
        <v>46109.47869212963</v>
      </c>
      <c r="H378" s="3" t="s">
        <v>14</v>
      </c>
      <c r="I378" s="7">
        <v>0.0</v>
      </c>
      <c r="J378" s="3" t="s">
        <v>15</v>
      </c>
    </row>
    <row r="379">
      <c r="A379" s="3"/>
      <c r="B379" s="3"/>
      <c r="C379" s="3" t="s">
        <v>21</v>
      </c>
      <c r="D379" s="4" t="s">
        <v>440</v>
      </c>
      <c r="E379" s="3" t="s">
        <v>441</v>
      </c>
      <c r="F379" s="5">
        <v>46109.75378472222</v>
      </c>
      <c r="G379" s="5">
        <v>46109.622141203705</v>
      </c>
      <c r="H379" s="3" t="s">
        <v>14</v>
      </c>
      <c r="I379" s="7">
        <v>0.0</v>
      </c>
      <c r="J379" s="3" t="s">
        <v>15</v>
      </c>
    </row>
    <row r="380">
      <c r="A380" s="3"/>
      <c r="B380" s="3"/>
      <c r="C380" s="3" t="s">
        <v>24</v>
      </c>
      <c r="D380" s="4" t="s">
        <v>440</v>
      </c>
      <c r="E380" s="3" t="s">
        <v>441</v>
      </c>
      <c r="F380" s="5">
        <v>46111.75347222222</v>
      </c>
      <c r="G380" s="5">
        <v>46109.68108796296</v>
      </c>
      <c r="H380" s="3" t="s">
        <v>14</v>
      </c>
      <c r="I380" s="7">
        <v>0.0</v>
      </c>
      <c r="J380" s="3" t="s">
        <v>15</v>
      </c>
    </row>
    <row r="381">
      <c r="A381" s="3"/>
      <c r="B381" s="3"/>
      <c r="C381" s="3" t="s">
        <v>26</v>
      </c>
      <c r="D381" s="4" t="s">
        <v>440</v>
      </c>
      <c r="E381" s="3" t="s">
        <v>441</v>
      </c>
      <c r="F381" s="5">
        <v>46111.79513888889</v>
      </c>
      <c r="G381" s="5">
        <v>46109.68111111111</v>
      </c>
      <c r="H381" s="3" t="s">
        <v>14</v>
      </c>
      <c r="I381" s="7">
        <v>0.0</v>
      </c>
      <c r="J381" s="3" t="s">
        <v>15</v>
      </c>
    </row>
    <row r="382">
      <c r="A382" s="3"/>
      <c r="B382" s="3"/>
      <c r="C382" s="3" t="s">
        <v>10</v>
      </c>
      <c r="D382" s="4" t="s">
        <v>446</v>
      </c>
      <c r="E382" s="3" t="s">
        <v>447</v>
      </c>
      <c r="F382" s="5">
        <v>46109.667604166665</v>
      </c>
      <c r="G382" s="5">
        <v>46109.53091435185</v>
      </c>
      <c r="H382" s="3" t="s">
        <v>14</v>
      </c>
      <c r="I382" s="3">
        <v>0.0</v>
      </c>
      <c r="J382" s="3" t="s">
        <v>15</v>
      </c>
    </row>
    <row r="383">
      <c r="A383" s="3"/>
      <c r="B383" s="3"/>
      <c r="C383" s="3" t="s">
        <v>17</v>
      </c>
      <c r="D383" s="4" t="s">
        <v>446</v>
      </c>
      <c r="E383" s="3" t="s">
        <v>447</v>
      </c>
      <c r="F383" s="5">
        <v>46109.67454861111</v>
      </c>
      <c r="G383" s="5">
        <v>46109.530960648146</v>
      </c>
      <c r="H383" s="3" t="s">
        <v>14</v>
      </c>
      <c r="I383" s="7">
        <v>0.0</v>
      </c>
      <c r="J383" s="3" t="s">
        <v>15</v>
      </c>
    </row>
    <row r="384">
      <c r="A384" s="3"/>
      <c r="B384" s="3"/>
      <c r="C384" s="3" t="s">
        <v>21</v>
      </c>
      <c r="D384" s="4" t="s">
        <v>446</v>
      </c>
      <c r="E384" s="3" t="s">
        <v>447</v>
      </c>
      <c r="F384" s="5">
        <v>46109.778715277775</v>
      </c>
      <c r="G384" s="5">
        <v>46109.622152777774</v>
      </c>
      <c r="H384" s="3" t="s">
        <v>14</v>
      </c>
      <c r="I384" s="7">
        <v>0.0</v>
      </c>
      <c r="J384" s="3" t="s">
        <v>15</v>
      </c>
    </row>
    <row r="385">
      <c r="A385" s="3"/>
      <c r="B385" s="3"/>
      <c r="C385" s="3" t="s">
        <v>24</v>
      </c>
      <c r="D385" s="4" t="s">
        <v>446</v>
      </c>
      <c r="E385" s="3" t="s">
        <v>447</v>
      </c>
      <c r="F385" s="5">
        <v>46111.77847222222</v>
      </c>
      <c r="G385" s="5">
        <v>46110.71025462963</v>
      </c>
      <c r="H385" s="3" t="s">
        <v>14</v>
      </c>
      <c r="I385" s="7">
        <v>0.0</v>
      </c>
      <c r="J385" s="3" t="s">
        <v>15</v>
      </c>
    </row>
    <row r="386">
      <c r="A386" s="3"/>
      <c r="B386" s="3"/>
      <c r="C386" s="3" t="s">
        <v>26</v>
      </c>
      <c r="D386" s="4" t="s">
        <v>446</v>
      </c>
      <c r="E386" s="3" t="s">
        <v>447</v>
      </c>
      <c r="F386" s="5">
        <v>46111.82013888889</v>
      </c>
      <c r="G386" s="5">
        <v>46110.71030092592</v>
      </c>
      <c r="H386" s="3" t="s">
        <v>14</v>
      </c>
      <c r="I386" s="7">
        <v>0.0</v>
      </c>
      <c r="J386" s="3" t="s">
        <v>15</v>
      </c>
    </row>
    <row r="387">
      <c r="A387" s="3"/>
      <c r="B387" s="3"/>
      <c r="C387" s="3" t="s">
        <v>10</v>
      </c>
      <c r="D387" s="4" t="s">
        <v>450</v>
      </c>
      <c r="E387" s="3" t="s">
        <v>451</v>
      </c>
      <c r="F387" s="5">
        <v>46109.686898148146</v>
      </c>
      <c r="G387" s="5">
        <v>46109.531018518515</v>
      </c>
      <c r="H387" s="3" t="s">
        <v>14</v>
      </c>
      <c r="I387" s="3">
        <v>0.0</v>
      </c>
      <c r="J387" s="3" t="s">
        <v>15</v>
      </c>
    </row>
    <row r="388">
      <c r="A388" s="3"/>
      <c r="B388" s="3"/>
      <c r="C388" s="3" t="s">
        <v>17</v>
      </c>
      <c r="D388" s="4" t="s">
        <v>450</v>
      </c>
      <c r="E388" s="3" t="s">
        <v>451</v>
      </c>
      <c r="F388" s="5">
        <v>46109.69384259259</v>
      </c>
      <c r="G388" s="5">
        <v>46109.531064814815</v>
      </c>
      <c r="H388" s="3" t="s">
        <v>14</v>
      </c>
      <c r="I388" s="7">
        <v>0.0</v>
      </c>
      <c r="J388" s="3" t="s">
        <v>15</v>
      </c>
    </row>
    <row r="389">
      <c r="A389" s="3"/>
      <c r="B389" s="3"/>
      <c r="C389" s="3" t="s">
        <v>21</v>
      </c>
      <c r="D389" s="4" t="s">
        <v>450</v>
      </c>
      <c r="E389" s="3" t="s">
        <v>451</v>
      </c>
      <c r="F389" s="5">
        <v>46109.79800925926</v>
      </c>
      <c r="G389" s="5">
        <v>46109.62217592593</v>
      </c>
      <c r="H389" s="3" t="s">
        <v>14</v>
      </c>
      <c r="I389" s="7">
        <v>0.0</v>
      </c>
      <c r="J389" s="3" t="s">
        <v>15</v>
      </c>
    </row>
    <row r="390">
      <c r="A390" s="3"/>
      <c r="B390" s="3"/>
      <c r="C390" s="3" t="s">
        <v>24</v>
      </c>
      <c r="D390" s="4" t="s">
        <v>450</v>
      </c>
      <c r="E390" s="3" t="s">
        <v>451</v>
      </c>
      <c r="F390" s="5">
        <v>46111.79791666667</v>
      </c>
      <c r="G390" s="5">
        <v>46109.683275462965</v>
      </c>
      <c r="H390" s="3" t="s">
        <v>14</v>
      </c>
      <c r="I390" s="7">
        <v>0.0</v>
      </c>
      <c r="J390" s="3" t="s">
        <v>15</v>
      </c>
    </row>
    <row r="391">
      <c r="A391" s="3"/>
      <c r="B391" s="3"/>
      <c r="C391" s="3" t="s">
        <v>26</v>
      </c>
      <c r="D391" s="4" t="s">
        <v>450</v>
      </c>
      <c r="E391" s="3" t="s">
        <v>451</v>
      </c>
      <c r="F391" s="5">
        <v>46112.42291666667</v>
      </c>
      <c r="G391" s="5">
        <v>46109.68329861111</v>
      </c>
      <c r="H391" s="3" t="s">
        <v>14</v>
      </c>
      <c r="I391" s="7">
        <v>0.0</v>
      </c>
      <c r="J391" s="3" t="s">
        <v>15</v>
      </c>
    </row>
    <row r="392">
      <c r="A392" s="3"/>
      <c r="B392" s="3"/>
      <c r="C392" s="3" t="s">
        <v>10</v>
      </c>
      <c r="D392" s="4" t="s">
        <v>454</v>
      </c>
      <c r="E392" s="3" t="s">
        <v>455</v>
      </c>
      <c r="F392" s="5">
        <v>46109.703877314816</v>
      </c>
      <c r="G392" s="5">
        <v>46109.54083333333</v>
      </c>
      <c r="H392" s="3" t="s">
        <v>14</v>
      </c>
      <c r="I392" s="3">
        <v>0.0</v>
      </c>
      <c r="J392" s="3" t="s">
        <v>15</v>
      </c>
    </row>
    <row r="393">
      <c r="A393" s="3"/>
      <c r="B393" s="3"/>
      <c r="C393" s="3" t="s">
        <v>17</v>
      </c>
      <c r="D393" s="4" t="s">
        <v>454</v>
      </c>
      <c r="E393" s="3" t="s">
        <v>455</v>
      </c>
      <c r="F393" s="5">
        <v>46109.71082175926</v>
      </c>
      <c r="G393" s="5">
        <v>46109.54090277778</v>
      </c>
      <c r="H393" s="3" t="s">
        <v>14</v>
      </c>
      <c r="I393" s="7">
        <v>0.0</v>
      </c>
      <c r="J393" s="3" t="s">
        <v>15</v>
      </c>
    </row>
    <row r="394">
      <c r="A394" s="3"/>
      <c r="B394" s="3"/>
      <c r="C394" s="3" t="s">
        <v>21</v>
      </c>
      <c r="D394" s="4" t="s">
        <v>454</v>
      </c>
      <c r="E394" s="3" t="s">
        <v>455</v>
      </c>
      <c r="F394" s="5">
        <v>46109.814988425926</v>
      </c>
      <c r="G394" s="5">
        <v>46109.622199074074</v>
      </c>
      <c r="H394" s="3" t="s">
        <v>14</v>
      </c>
      <c r="I394" s="7">
        <v>0.0</v>
      </c>
      <c r="J394" s="3" t="s">
        <v>15</v>
      </c>
    </row>
    <row r="395">
      <c r="A395" s="3"/>
      <c r="B395" s="3"/>
      <c r="C395" s="3" t="s">
        <v>24</v>
      </c>
      <c r="D395" s="4" t="s">
        <v>454</v>
      </c>
      <c r="E395" s="3" t="s">
        <v>455</v>
      </c>
      <c r="F395" s="5">
        <v>46111.81458333333</v>
      </c>
      <c r="G395" s="5">
        <v>46109.68342592593</v>
      </c>
      <c r="H395" s="3" t="s">
        <v>14</v>
      </c>
      <c r="I395" s="7">
        <v>0.0</v>
      </c>
      <c r="J395" s="3" t="s">
        <v>15</v>
      </c>
    </row>
    <row r="396">
      <c r="A396" s="3"/>
      <c r="B396" s="3"/>
      <c r="C396" s="3" t="s">
        <v>26</v>
      </c>
      <c r="D396" s="4" t="s">
        <v>454</v>
      </c>
      <c r="E396" s="3" t="s">
        <v>455</v>
      </c>
      <c r="F396" s="5">
        <v>46112.43958333333</v>
      </c>
      <c r="G396" s="5">
        <v>46109.68344907407</v>
      </c>
      <c r="H396" s="3" t="s">
        <v>14</v>
      </c>
      <c r="I396" s="7">
        <v>0.0</v>
      </c>
      <c r="J396" s="3" t="s">
        <v>15</v>
      </c>
    </row>
    <row r="397">
      <c r="A397" s="3"/>
      <c r="B397" s="3"/>
      <c r="C397" s="3" t="s">
        <v>10</v>
      </c>
      <c r="D397" s="4" t="s">
        <v>459</v>
      </c>
      <c r="E397" s="3" t="s">
        <v>460</v>
      </c>
      <c r="F397" s="5">
        <v>46109.70880787037</v>
      </c>
      <c r="G397" s="5">
        <v>46109.62185185185</v>
      </c>
      <c r="H397" s="3" t="s">
        <v>14</v>
      </c>
      <c r="I397" s="3">
        <v>0.0</v>
      </c>
      <c r="J397" s="3" t="s">
        <v>15</v>
      </c>
    </row>
    <row r="398">
      <c r="A398" s="3"/>
      <c r="B398" s="3"/>
      <c r="C398" s="3" t="s">
        <v>17</v>
      </c>
      <c r="D398" s="4" t="s">
        <v>459</v>
      </c>
      <c r="E398" s="3" t="s">
        <v>460</v>
      </c>
      <c r="F398" s="5">
        <v>46109.71575231481</v>
      </c>
      <c r="G398" s="5">
        <v>46109.62199074074</v>
      </c>
      <c r="H398" s="3" t="s">
        <v>14</v>
      </c>
      <c r="I398" s="7">
        <v>0.0</v>
      </c>
      <c r="J398" s="3" t="s">
        <v>15</v>
      </c>
    </row>
    <row r="399">
      <c r="A399" s="3"/>
      <c r="B399" s="3"/>
      <c r="C399" s="3" t="s">
        <v>21</v>
      </c>
      <c r="D399" s="4" t="s">
        <v>459</v>
      </c>
      <c r="E399" s="3" t="s">
        <v>460</v>
      </c>
      <c r="F399" s="5">
        <v>46109.819918981484</v>
      </c>
      <c r="G399" s="5">
        <v>46109.62222222222</v>
      </c>
      <c r="H399" s="3" t="s">
        <v>14</v>
      </c>
      <c r="I399" s="7">
        <v>0.0</v>
      </c>
      <c r="J399" s="3" t="s">
        <v>15</v>
      </c>
    </row>
    <row r="400">
      <c r="A400" s="3"/>
      <c r="B400" s="3"/>
      <c r="C400" s="3" t="s">
        <v>24</v>
      </c>
      <c r="D400" s="4" t="s">
        <v>459</v>
      </c>
      <c r="E400" s="3" t="s">
        <v>460</v>
      </c>
      <c r="F400" s="5">
        <v>46111.819444444445</v>
      </c>
      <c r="G400" s="5">
        <v>46109.68357638889</v>
      </c>
      <c r="H400" s="3" t="s">
        <v>14</v>
      </c>
      <c r="I400" s="7">
        <v>0.0</v>
      </c>
      <c r="J400" s="3" t="s">
        <v>15</v>
      </c>
    </row>
    <row r="401">
      <c r="A401" s="3"/>
      <c r="B401" s="3"/>
      <c r="C401" s="3" t="s">
        <v>26</v>
      </c>
      <c r="D401" s="4" t="s">
        <v>459</v>
      </c>
      <c r="E401" s="3" t="s">
        <v>460</v>
      </c>
      <c r="F401" s="5">
        <v>46112.444444444445</v>
      </c>
      <c r="G401" s="5">
        <v>46109.68362268519</v>
      </c>
      <c r="H401" s="3" t="s">
        <v>14</v>
      </c>
      <c r="I401" s="7">
        <v>0.0</v>
      </c>
      <c r="J401" s="3" t="s">
        <v>15</v>
      </c>
    </row>
    <row r="402">
      <c r="A402" s="3"/>
      <c r="B402" s="3"/>
      <c r="C402" s="3" t="s">
        <v>10</v>
      </c>
      <c r="D402" s="4" t="s">
        <v>463</v>
      </c>
      <c r="E402" s="3" t="s">
        <v>464</v>
      </c>
      <c r="F402" s="5">
        <v>46111.50113425926</v>
      </c>
      <c r="G402" s="5">
        <v>46109.67627314815</v>
      </c>
      <c r="H402" s="3" t="s">
        <v>14</v>
      </c>
      <c r="I402" s="3">
        <v>0.0</v>
      </c>
      <c r="J402" s="3" t="s">
        <v>15</v>
      </c>
    </row>
    <row r="403">
      <c r="A403" s="3"/>
      <c r="B403" s="3"/>
      <c r="C403" s="3" t="s">
        <v>17</v>
      </c>
      <c r="D403" s="4" t="s">
        <v>463</v>
      </c>
      <c r="E403" s="3" t="s">
        <v>464</v>
      </c>
      <c r="F403" s="5">
        <v>46111.5080787037</v>
      </c>
      <c r="G403" s="5">
        <v>46109.67642361111</v>
      </c>
      <c r="H403" s="3" t="s">
        <v>14</v>
      </c>
      <c r="I403" s="7">
        <v>0.0</v>
      </c>
      <c r="J403" s="3" t="s">
        <v>15</v>
      </c>
    </row>
    <row r="404">
      <c r="A404" s="3"/>
      <c r="B404" s="3"/>
      <c r="C404" s="3" t="s">
        <v>21</v>
      </c>
      <c r="D404" s="4" t="s">
        <v>463</v>
      </c>
      <c r="E404" s="3" t="s">
        <v>464</v>
      </c>
      <c r="F404" s="5">
        <v>46111.61224537037</v>
      </c>
      <c r="G404" s="5">
        <v>46109.67675925926</v>
      </c>
      <c r="H404" s="3" t="s">
        <v>14</v>
      </c>
      <c r="I404" s="7">
        <v>0.0</v>
      </c>
      <c r="J404" s="3" t="s">
        <v>15</v>
      </c>
    </row>
    <row r="405">
      <c r="A405" s="3"/>
      <c r="B405" s="3"/>
      <c r="C405" s="3" t="s">
        <v>24</v>
      </c>
      <c r="D405" s="4" t="s">
        <v>463</v>
      </c>
      <c r="E405" s="3" t="s">
        <v>464</v>
      </c>
      <c r="F405" s="5">
        <v>46112.611805555556</v>
      </c>
      <c r="G405" s="5">
        <v>46110.5105787037</v>
      </c>
      <c r="H405" s="3" t="s">
        <v>14</v>
      </c>
      <c r="I405" s="7">
        <v>0.0</v>
      </c>
      <c r="J405" s="3" t="s">
        <v>15</v>
      </c>
    </row>
    <row r="406">
      <c r="A406" s="3"/>
      <c r="B406" s="3"/>
      <c r="C406" s="3" t="s">
        <v>26</v>
      </c>
      <c r="D406" s="4" t="s">
        <v>463</v>
      </c>
      <c r="E406" s="3" t="s">
        <v>464</v>
      </c>
      <c r="F406" s="5">
        <v>46112.65347222222</v>
      </c>
      <c r="G406" s="5">
        <v>46110.510775462964</v>
      </c>
      <c r="H406" s="3" t="s">
        <v>14</v>
      </c>
      <c r="I406" s="7">
        <v>0.0</v>
      </c>
      <c r="J406" s="3" t="s">
        <v>15</v>
      </c>
    </row>
    <row r="407">
      <c r="A407" s="3"/>
      <c r="B407" s="3"/>
      <c r="C407" s="3" t="s">
        <v>10</v>
      </c>
      <c r="D407" s="4" t="s">
        <v>468</v>
      </c>
      <c r="E407" s="3" t="s">
        <v>469</v>
      </c>
      <c r="F407" s="5">
        <v>46111.50184027778</v>
      </c>
      <c r="G407" s="5">
        <v>46109.67633101852</v>
      </c>
      <c r="H407" s="3" t="s">
        <v>14</v>
      </c>
      <c r="I407" s="3">
        <v>0.0</v>
      </c>
      <c r="J407" s="3" t="s">
        <v>15</v>
      </c>
    </row>
    <row r="408">
      <c r="A408" s="3"/>
      <c r="B408" s="3"/>
      <c r="C408" s="3" t="s">
        <v>17</v>
      </c>
      <c r="D408" s="4" t="s">
        <v>468</v>
      </c>
      <c r="E408" s="3" t="s">
        <v>469</v>
      </c>
      <c r="F408" s="5">
        <v>46111.508784722224</v>
      </c>
      <c r="G408" s="5">
        <v>46109.67643518518</v>
      </c>
      <c r="H408" s="3" t="s">
        <v>14</v>
      </c>
      <c r="I408" s="7">
        <v>0.0</v>
      </c>
      <c r="J408" s="3" t="s">
        <v>15</v>
      </c>
    </row>
    <row r="409">
      <c r="A409" s="3"/>
      <c r="B409" s="3"/>
      <c r="C409" s="3" t="s">
        <v>21</v>
      </c>
      <c r="D409" s="4" t="s">
        <v>468</v>
      </c>
      <c r="E409" s="3" t="s">
        <v>469</v>
      </c>
      <c r="F409" s="5">
        <v>46111.61295138889</v>
      </c>
      <c r="G409" s="5">
        <v>46109.676782407405</v>
      </c>
      <c r="H409" s="3" t="s">
        <v>14</v>
      </c>
      <c r="I409" s="7">
        <v>0.0</v>
      </c>
      <c r="J409" s="3" t="s">
        <v>15</v>
      </c>
    </row>
    <row r="410">
      <c r="A410" s="3"/>
      <c r="B410" s="3"/>
      <c r="C410" s="3" t="s">
        <v>24</v>
      </c>
      <c r="D410" s="4" t="s">
        <v>468</v>
      </c>
      <c r="E410" s="3" t="s">
        <v>469</v>
      </c>
      <c r="F410" s="5">
        <v>46112.6125</v>
      </c>
      <c r="G410" s="5">
        <v>46110.59369212963</v>
      </c>
      <c r="H410" s="3" t="s">
        <v>14</v>
      </c>
      <c r="I410" s="7">
        <v>0.0</v>
      </c>
      <c r="J410" s="3" t="s">
        <v>15</v>
      </c>
    </row>
    <row r="411">
      <c r="A411" s="3"/>
      <c r="B411" s="3"/>
      <c r="C411" s="3" t="s">
        <v>26</v>
      </c>
      <c r="D411" s="4" t="s">
        <v>468</v>
      </c>
      <c r="E411" s="3" t="s">
        <v>469</v>
      </c>
      <c r="F411" s="5">
        <v>46112.65416666667</v>
      </c>
      <c r="G411" s="5">
        <v>46110.593726851854</v>
      </c>
      <c r="H411" s="3" t="s">
        <v>14</v>
      </c>
      <c r="I411" s="7">
        <v>0.0</v>
      </c>
      <c r="J411" s="3" t="s">
        <v>15</v>
      </c>
    </row>
    <row r="412">
      <c r="A412" s="3"/>
      <c r="B412" s="3"/>
      <c r="C412" s="3" t="s">
        <v>10</v>
      </c>
      <c r="D412" s="4" t="s">
        <v>473</v>
      </c>
      <c r="E412" s="3" t="s">
        <v>474</v>
      </c>
      <c r="F412" s="5">
        <v>46111.502916666665</v>
      </c>
      <c r="G412" s="5">
        <v>46109.67652777778</v>
      </c>
      <c r="H412" s="3" t="s">
        <v>14</v>
      </c>
      <c r="I412" s="3">
        <v>0.0</v>
      </c>
      <c r="J412" s="3" t="s">
        <v>15</v>
      </c>
    </row>
    <row r="413">
      <c r="A413" s="3"/>
      <c r="B413" s="3"/>
      <c r="C413" s="3" t="s">
        <v>17</v>
      </c>
      <c r="D413" s="4" t="s">
        <v>473</v>
      </c>
      <c r="E413" s="3" t="s">
        <v>474</v>
      </c>
      <c r="F413" s="5">
        <v>46111.50986111111</v>
      </c>
      <c r="G413" s="5">
        <v>46109.67658564815</v>
      </c>
      <c r="H413" s="3" t="s">
        <v>14</v>
      </c>
      <c r="I413" s="7">
        <v>0.0</v>
      </c>
      <c r="J413" s="3" t="s">
        <v>15</v>
      </c>
    </row>
    <row r="414">
      <c r="A414" s="3"/>
      <c r="B414" s="3"/>
      <c r="C414" s="3" t="s">
        <v>21</v>
      </c>
      <c r="D414" s="4" t="s">
        <v>473</v>
      </c>
      <c r="E414" s="3" t="s">
        <v>474</v>
      </c>
      <c r="F414" s="5">
        <v>46111.61402777778</v>
      </c>
      <c r="G414" s="5">
        <v>46109.67679398148</v>
      </c>
      <c r="H414" s="3" t="s">
        <v>14</v>
      </c>
      <c r="I414" s="7">
        <v>0.0</v>
      </c>
      <c r="J414" s="3" t="s">
        <v>15</v>
      </c>
    </row>
    <row r="415">
      <c r="A415" s="3"/>
      <c r="B415" s="3"/>
      <c r="C415" s="3" t="s">
        <v>24</v>
      </c>
      <c r="D415" s="4" t="s">
        <v>473</v>
      </c>
      <c r="E415" s="3" t="s">
        <v>474</v>
      </c>
      <c r="F415" s="5">
        <v>46112.61388888889</v>
      </c>
      <c r="G415" s="5">
        <v>46110.59400462963</v>
      </c>
      <c r="H415" s="3" t="s">
        <v>14</v>
      </c>
      <c r="I415" s="7">
        <v>0.0</v>
      </c>
      <c r="J415" s="3" t="s">
        <v>15</v>
      </c>
    </row>
    <row r="416">
      <c r="A416" s="3"/>
      <c r="B416" s="3"/>
      <c r="C416" s="3" t="s">
        <v>26</v>
      </c>
      <c r="D416" s="4" t="s">
        <v>473</v>
      </c>
      <c r="E416" s="3" t="s">
        <v>474</v>
      </c>
      <c r="F416" s="5">
        <v>46112.65555555555</v>
      </c>
      <c r="G416" s="5">
        <v>46110.594039351854</v>
      </c>
      <c r="H416" s="3" t="s">
        <v>14</v>
      </c>
      <c r="I416" s="7">
        <v>0.0</v>
      </c>
      <c r="J416" s="3" t="s">
        <v>15</v>
      </c>
    </row>
    <row r="417">
      <c r="A417" s="3"/>
      <c r="B417" s="3"/>
      <c r="C417" s="3" t="s">
        <v>10</v>
      </c>
      <c r="D417" s="4" t="s">
        <v>477</v>
      </c>
      <c r="E417" s="3" t="s">
        <v>166</v>
      </c>
      <c r="F417" s="5">
        <v>46111.50641203704</v>
      </c>
      <c r="G417" s="5">
        <v>46109.676620370374</v>
      </c>
      <c r="H417" s="3" t="s">
        <v>14</v>
      </c>
      <c r="I417" s="3">
        <v>0.0</v>
      </c>
      <c r="J417" s="3" t="s">
        <v>15</v>
      </c>
    </row>
    <row r="418">
      <c r="A418" s="3"/>
      <c r="B418" s="3"/>
      <c r="C418" s="3" t="s">
        <v>17</v>
      </c>
      <c r="D418" s="4" t="s">
        <v>477</v>
      </c>
      <c r="E418" s="3" t="s">
        <v>166</v>
      </c>
      <c r="F418" s="5">
        <v>46111.51335648148</v>
      </c>
      <c r="G418" s="5">
        <v>46109.676712962966</v>
      </c>
      <c r="H418" s="3" t="s">
        <v>14</v>
      </c>
      <c r="I418" s="7">
        <v>0.0</v>
      </c>
      <c r="J418" s="3" t="s">
        <v>15</v>
      </c>
    </row>
    <row r="419">
      <c r="A419" s="3"/>
      <c r="B419" s="3"/>
      <c r="C419" s="3" t="s">
        <v>21</v>
      </c>
      <c r="D419" s="4" t="s">
        <v>477</v>
      </c>
      <c r="E419" s="3" t="s">
        <v>166</v>
      </c>
      <c r="F419" s="5">
        <v>46111.61752314815</v>
      </c>
      <c r="G419" s="5">
        <v>46109.67681712963</v>
      </c>
      <c r="H419" s="3" t="s">
        <v>14</v>
      </c>
      <c r="I419" s="7">
        <v>0.0</v>
      </c>
      <c r="J419" s="3" t="s">
        <v>15</v>
      </c>
    </row>
    <row r="420">
      <c r="A420" s="3"/>
      <c r="B420" s="3"/>
      <c r="C420" s="3" t="s">
        <v>24</v>
      </c>
      <c r="D420" s="4" t="s">
        <v>477</v>
      </c>
      <c r="E420" s="3" t="s">
        <v>166</v>
      </c>
      <c r="F420" s="5">
        <v>46112.61736111111</v>
      </c>
      <c r="G420" s="5">
        <v>46109.6844212963</v>
      </c>
      <c r="H420" s="3" t="s">
        <v>14</v>
      </c>
      <c r="I420" s="7">
        <v>0.0</v>
      </c>
      <c r="J420" s="3" t="s">
        <v>15</v>
      </c>
    </row>
    <row r="421">
      <c r="A421" s="3"/>
      <c r="B421" s="3"/>
      <c r="C421" s="3" t="s">
        <v>26</v>
      </c>
      <c r="D421" s="4" t="s">
        <v>477</v>
      </c>
      <c r="E421" s="3" t="s">
        <v>166</v>
      </c>
      <c r="F421" s="5">
        <v>46112.65902777778</v>
      </c>
      <c r="G421" s="5">
        <v>46109.684432870374</v>
      </c>
      <c r="H421" s="3" t="s">
        <v>14</v>
      </c>
      <c r="I421" s="7">
        <v>0.0</v>
      </c>
      <c r="J421" s="3" t="s">
        <v>15</v>
      </c>
    </row>
    <row r="422">
      <c r="A422" s="3"/>
      <c r="B422" s="3"/>
      <c r="C422" s="3" t="s">
        <v>10</v>
      </c>
      <c r="D422" s="4" t="s">
        <v>481</v>
      </c>
      <c r="E422" s="3" t="s">
        <v>482</v>
      </c>
      <c r="F422" s="5">
        <v>46111.69021990741</v>
      </c>
      <c r="G422" s="5">
        <v>46111.546006944445</v>
      </c>
      <c r="H422" s="3" t="s">
        <v>14</v>
      </c>
      <c r="I422" s="3">
        <v>0.0</v>
      </c>
      <c r="J422" s="3" t="s">
        <v>48</v>
      </c>
    </row>
    <row r="423">
      <c r="A423" s="3"/>
      <c r="B423" s="3"/>
      <c r="C423" s="3" t="s">
        <v>17</v>
      </c>
      <c r="D423" s="4" t="s">
        <v>481</v>
      </c>
      <c r="E423" s="3" t="s">
        <v>482</v>
      </c>
      <c r="F423" s="5">
        <v>46111.697164351855</v>
      </c>
      <c r="G423" s="5">
        <v>46111.54608796296</v>
      </c>
      <c r="H423" s="3" t="s">
        <v>14</v>
      </c>
      <c r="I423" s="7">
        <v>0.0</v>
      </c>
      <c r="J423" s="3" t="s">
        <v>48</v>
      </c>
    </row>
    <row r="424">
      <c r="A424" s="3"/>
      <c r="B424" s="3"/>
      <c r="C424" s="3" t="s">
        <v>21</v>
      </c>
      <c r="D424" s="4" t="s">
        <v>481</v>
      </c>
      <c r="E424" s="3" t="s">
        <v>482</v>
      </c>
      <c r="F424" s="5">
        <v>46111.80133101852</v>
      </c>
      <c r="G424" s="5">
        <v>46111.54613425926</v>
      </c>
      <c r="H424" s="3" t="s">
        <v>14</v>
      </c>
      <c r="I424" s="7">
        <v>0.0</v>
      </c>
      <c r="J424" s="3" t="s">
        <v>48</v>
      </c>
    </row>
    <row r="425">
      <c r="A425" s="3"/>
      <c r="B425" s="3"/>
      <c r="C425" s="3" t="s">
        <v>24</v>
      </c>
      <c r="D425" s="4" t="s">
        <v>481</v>
      </c>
      <c r="E425" s="3" t="s">
        <v>482</v>
      </c>
      <c r="F425" s="5">
        <v>46112.80069444444</v>
      </c>
      <c r="G425" s="5">
        <v>46111.54586805555</v>
      </c>
      <c r="H425" s="3" t="s">
        <v>14</v>
      </c>
      <c r="I425" s="7">
        <v>0.0</v>
      </c>
      <c r="J425" s="3" t="s">
        <v>48</v>
      </c>
    </row>
    <row r="426">
      <c r="A426" s="3"/>
      <c r="B426" s="3"/>
      <c r="C426" s="3" t="s">
        <v>26</v>
      </c>
      <c r="D426" s="4" t="s">
        <v>481</v>
      </c>
      <c r="E426" s="3" t="s">
        <v>482</v>
      </c>
      <c r="F426" s="5">
        <v>46113.42569444444</v>
      </c>
      <c r="G426" s="5">
        <v>46112.44664351852</v>
      </c>
      <c r="H426" s="3" t="s">
        <v>14</v>
      </c>
      <c r="I426" s="7">
        <v>0.0</v>
      </c>
      <c r="J426" s="3" t="s">
        <v>48</v>
      </c>
    </row>
    <row r="427">
      <c r="A427" s="3"/>
      <c r="B427" s="3"/>
      <c r="C427" s="3" t="s">
        <v>10</v>
      </c>
      <c r="D427" s="4" t="s">
        <v>485</v>
      </c>
      <c r="E427" s="3" t="s">
        <v>74</v>
      </c>
      <c r="F427" s="5">
        <v>46111.75650462963</v>
      </c>
      <c r="G427" s="5">
        <v>46111.656168981484</v>
      </c>
      <c r="H427" s="3" t="s">
        <v>14</v>
      </c>
      <c r="I427" s="3">
        <v>0.0</v>
      </c>
      <c r="J427" s="3" t="s">
        <v>72</v>
      </c>
    </row>
    <row r="428">
      <c r="A428" s="3"/>
      <c r="B428" s="3"/>
      <c r="C428" s="3" t="s">
        <v>17</v>
      </c>
      <c r="D428" s="4" t="s">
        <v>485</v>
      </c>
      <c r="E428" s="3" t="s">
        <v>74</v>
      </c>
      <c r="F428" s="5">
        <v>46111.763449074075</v>
      </c>
      <c r="G428" s="5">
        <v>46111.6565162037</v>
      </c>
      <c r="H428" s="3" t="s">
        <v>14</v>
      </c>
      <c r="I428" s="7">
        <v>0.0</v>
      </c>
      <c r="J428" s="3" t="s">
        <v>72</v>
      </c>
    </row>
    <row r="429">
      <c r="A429" s="3"/>
      <c r="B429" s="3"/>
      <c r="C429" s="3" t="s">
        <v>21</v>
      </c>
      <c r="D429" s="4" t="s">
        <v>485</v>
      </c>
      <c r="E429" s="3" t="s">
        <v>74</v>
      </c>
      <c r="F429" s="5">
        <v>46112.42986111111</v>
      </c>
      <c r="G429" s="5">
        <v>46111.6565625</v>
      </c>
      <c r="H429" s="3" t="s">
        <v>14</v>
      </c>
      <c r="I429" s="7">
        <v>0.0</v>
      </c>
      <c r="J429" s="3" t="s">
        <v>72</v>
      </c>
    </row>
    <row r="430">
      <c r="A430" s="3"/>
      <c r="B430" s="3"/>
      <c r="C430" s="3" t="s">
        <v>24</v>
      </c>
      <c r="D430" s="4" t="s">
        <v>485</v>
      </c>
      <c r="E430" s="3" t="s">
        <v>74</v>
      </c>
      <c r="F430" s="5">
        <v>46113.42986111111</v>
      </c>
      <c r="G430" s="5">
        <v>46112.56263888889</v>
      </c>
      <c r="H430" s="3" t="s">
        <v>14</v>
      </c>
      <c r="I430" s="7">
        <v>0.0</v>
      </c>
      <c r="J430" s="3" t="s">
        <v>72</v>
      </c>
    </row>
    <row r="431">
      <c r="A431" s="3"/>
      <c r="B431" s="3"/>
      <c r="C431" s="3" t="s">
        <v>26</v>
      </c>
      <c r="D431" s="4" t="s">
        <v>485</v>
      </c>
      <c r="E431" s="3" t="s">
        <v>74</v>
      </c>
      <c r="F431" s="5">
        <v>46113.47152777778</v>
      </c>
      <c r="G431" s="5">
        <v>46112.562743055554</v>
      </c>
      <c r="H431" s="3" t="s">
        <v>14</v>
      </c>
      <c r="I431" s="7">
        <v>0.0</v>
      </c>
      <c r="J431" s="3" t="s">
        <v>72</v>
      </c>
    </row>
    <row r="432">
      <c r="A432" s="3"/>
      <c r="B432" s="3"/>
      <c r="C432" s="3" t="s">
        <v>10</v>
      </c>
      <c r="D432" s="4" t="s">
        <v>490</v>
      </c>
      <c r="E432" s="3">
        <v>3629.0</v>
      </c>
      <c r="F432" s="5">
        <v>46111.806226851855</v>
      </c>
      <c r="G432" s="5">
        <v>46111.656180555554</v>
      </c>
      <c r="H432" s="3" t="s">
        <v>14</v>
      </c>
      <c r="I432" s="3">
        <v>0.0</v>
      </c>
      <c r="J432" s="3" t="s">
        <v>72</v>
      </c>
    </row>
    <row r="433">
      <c r="A433" s="3"/>
      <c r="B433" s="3"/>
      <c r="C433" s="3" t="s">
        <v>17</v>
      </c>
      <c r="D433" s="4" t="s">
        <v>490</v>
      </c>
      <c r="E433" s="3">
        <v>3629.0</v>
      </c>
      <c r="F433" s="5">
        <v>46111.81317129629</v>
      </c>
      <c r="G433" s="5">
        <v>46111.65646990741</v>
      </c>
      <c r="H433" s="3" t="s">
        <v>14</v>
      </c>
      <c r="I433" s="7">
        <v>0.0</v>
      </c>
      <c r="J433" s="3" t="s">
        <v>72</v>
      </c>
    </row>
    <row r="434">
      <c r="A434" s="3"/>
      <c r="B434" s="3"/>
      <c r="C434" s="3" t="s">
        <v>21</v>
      </c>
      <c r="D434" s="4" t="s">
        <v>490</v>
      </c>
      <c r="E434" s="3">
        <v>3629.0</v>
      </c>
      <c r="F434" s="5">
        <v>46112.520833333336</v>
      </c>
      <c r="G434" s="5">
        <v>46111.6565625</v>
      </c>
      <c r="H434" s="3" t="s">
        <v>14</v>
      </c>
      <c r="I434" s="7">
        <v>0.0</v>
      </c>
      <c r="J434" s="3" t="s">
        <v>72</v>
      </c>
    </row>
    <row r="435">
      <c r="A435" s="3"/>
      <c r="B435" s="3"/>
      <c r="C435" s="3" t="s">
        <v>24</v>
      </c>
      <c r="D435" s="4" t="s">
        <v>490</v>
      </c>
      <c r="E435" s="3">
        <v>3629.0</v>
      </c>
      <c r="F435" s="5">
        <v>46113.520833333336</v>
      </c>
      <c r="G435" s="5">
        <v>46112.56266203704</v>
      </c>
      <c r="H435" s="3" t="s">
        <v>14</v>
      </c>
      <c r="I435" s="7">
        <v>0.0</v>
      </c>
      <c r="J435" s="3" t="s">
        <v>72</v>
      </c>
    </row>
    <row r="436">
      <c r="A436" s="3"/>
      <c r="B436" s="3"/>
      <c r="C436" s="3" t="s">
        <v>26</v>
      </c>
      <c r="D436" s="4" t="s">
        <v>490</v>
      </c>
      <c r="E436" s="3">
        <v>3629.0</v>
      </c>
      <c r="F436" s="5">
        <v>46113.5625</v>
      </c>
      <c r="G436" s="5">
        <v>46112.562743055554</v>
      </c>
      <c r="H436" s="3" t="s">
        <v>14</v>
      </c>
      <c r="I436" s="7">
        <v>0.0</v>
      </c>
      <c r="J436" s="3" t="s">
        <v>72</v>
      </c>
    </row>
    <row r="437">
      <c r="A437" s="3"/>
      <c r="B437" s="3"/>
      <c r="C437" s="3" t="s">
        <v>10</v>
      </c>
      <c r="D437" s="4" t="s">
        <v>495</v>
      </c>
      <c r="E437" s="3">
        <v>3630.0</v>
      </c>
      <c r="F437" s="5">
        <v>46111.80738425926</v>
      </c>
      <c r="G437" s="5">
        <v>46111.65619212963</v>
      </c>
      <c r="H437" s="3" t="s">
        <v>14</v>
      </c>
      <c r="I437" s="3">
        <v>0.0</v>
      </c>
      <c r="J437" s="3" t="s">
        <v>72</v>
      </c>
    </row>
    <row r="438">
      <c r="A438" s="3"/>
      <c r="B438" s="3"/>
      <c r="C438" s="3" t="s">
        <v>17</v>
      </c>
      <c r="D438" s="4" t="s">
        <v>495</v>
      </c>
      <c r="E438" s="3">
        <v>3630.0</v>
      </c>
      <c r="F438" s="5">
        <v>46111.8143287037</v>
      </c>
      <c r="G438" s="5">
        <v>46111.656481481485</v>
      </c>
      <c r="H438" s="3" t="s">
        <v>14</v>
      </c>
      <c r="I438" s="7">
        <v>0.0</v>
      </c>
      <c r="J438" s="3" t="s">
        <v>72</v>
      </c>
    </row>
    <row r="439">
      <c r="A439" s="3"/>
      <c r="B439" s="3"/>
      <c r="C439" s="3" t="s">
        <v>21</v>
      </c>
      <c r="D439" s="4" t="s">
        <v>495</v>
      </c>
      <c r="E439" s="3">
        <v>3630.0</v>
      </c>
      <c r="F439" s="5">
        <v>46112.52222222222</v>
      </c>
      <c r="G439" s="5">
        <v>46111.6565625</v>
      </c>
      <c r="H439" s="3" t="s">
        <v>14</v>
      </c>
      <c r="I439" s="7">
        <v>0.0</v>
      </c>
      <c r="J439" s="3" t="s">
        <v>72</v>
      </c>
    </row>
    <row r="440">
      <c r="A440" s="3"/>
      <c r="B440" s="3"/>
      <c r="C440" s="3" t="s">
        <v>24</v>
      </c>
      <c r="D440" s="4" t="s">
        <v>495</v>
      </c>
      <c r="E440" s="3">
        <v>3630.0</v>
      </c>
      <c r="F440" s="5">
        <v>46113.52222222222</v>
      </c>
      <c r="G440" s="5">
        <v>46112.56267361111</v>
      </c>
      <c r="H440" s="3" t="s">
        <v>14</v>
      </c>
      <c r="I440" s="7">
        <v>0.0</v>
      </c>
      <c r="J440" s="3" t="s">
        <v>72</v>
      </c>
    </row>
    <row r="441">
      <c r="A441" s="3"/>
      <c r="B441" s="3"/>
      <c r="C441" s="3" t="s">
        <v>26</v>
      </c>
      <c r="D441" s="4" t="s">
        <v>495</v>
      </c>
      <c r="E441" s="3">
        <v>3630.0</v>
      </c>
      <c r="F441" s="5">
        <v>46113.563888888886</v>
      </c>
      <c r="G441" s="5">
        <v>46112.56275462963</v>
      </c>
      <c r="H441" s="3" t="s">
        <v>14</v>
      </c>
      <c r="I441" s="7">
        <v>0.0</v>
      </c>
      <c r="J441" s="3" t="s">
        <v>72</v>
      </c>
    </row>
    <row r="442">
      <c r="A442" s="3"/>
      <c r="B442" s="3"/>
      <c r="C442" s="3" t="s">
        <v>10</v>
      </c>
      <c r="D442" s="4" t="s">
        <v>498</v>
      </c>
      <c r="E442" s="3">
        <v>3629.0</v>
      </c>
      <c r="F442" s="5">
        <v>46111.808125</v>
      </c>
      <c r="G442" s="5">
        <v>46111.65619212963</v>
      </c>
      <c r="H442" s="3" t="s">
        <v>14</v>
      </c>
      <c r="I442" s="3">
        <v>0.0</v>
      </c>
      <c r="J442" s="3" t="s">
        <v>72</v>
      </c>
    </row>
    <row r="443">
      <c r="A443" s="3"/>
      <c r="B443" s="3"/>
      <c r="C443" s="3" t="s">
        <v>17</v>
      </c>
      <c r="D443" s="4" t="s">
        <v>498</v>
      </c>
      <c r="E443" s="3">
        <v>3629.0</v>
      </c>
      <c r="F443" s="5">
        <v>46111.81506944444</v>
      </c>
      <c r="G443" s="5">
        <v>46111.65650462963</v>
      </c>
      <c r="H443" s="3" t="s">
        <v>14</v>
      </c>
      <c r="I443" s="7">
        <v>0.0</v>
      </c>
      <c r="J443" s="3" t="s">
        <v>72</v>
      </c>
    </row>
    <row r="444">
      <c r="A444" s="3"/>
      <c r="B444" s="3"/>
      <c r="C444" s="3" t="s">
        <v>21</v>
      </c>
      <c r="D444" s="4" t="s">
        <v>498</v>
      </c>
      <c r="E444" s="3">
        <v>3629.0</v>
      </c>
      <c r="F444" s="5">
        <v>46112.52291666667</v>
      </c>
      <c r="G444" s="5">
        <v>46111.6565625</v>
      </c>
      <c r="H444" s="3" t="s">
        <v>14</v>
      </c>
      <c r="I444" s="7">
        <v>0.0</v>
      </c>
      <c r="J444" s="3" t="s">
        <v>72</v>
      </c>
    </row>
    <row r="445">
      <c r="A445" s="3"/>
      <c r="B445" s="3"/>
      <c r="C445" s="3" t="s">
        <v>24</v>
      </c>
      <c r="D445" s="4" t="s">
        <v>498</v>
      </c>
      <c r="E445" s="3">
        <v>3629.0</v>
      </c>
      <c r="F445" s="5">
        <v>46113.52291666667</v>
      </c>
      <c r="G445" s="5">
        <v>46112.56267361111</v>
      </c>
      <c r="H445" s="3" t="s">
        <v>14</v>
      </c>
      <c r="I445" s="7">
        <v>0.0</v>
      </c>
      <c r="J445" s="3" t="s">
        <v>72</v>
      </c>
    </row>
    <row r="446">
      <c r="A446" s="3"/>
      <c r="B446" s="3"/>
      <c r="C446" s="3" t="s">
        <v>26</v>
      </c>
      <c r="D446" s="4" t="s">
        <v>498</v>
      </c>
      <c r="E446" s="3">
        <v>3629.0</v>
      </c>
      <c r="F446" s="5">
        <v>46113.56458333333</v>
      </c>
      <c r="G446" s="5">
        <v>46112.56275462963</v>
      </c>
      <c r="H446" s="3" t="s">
        <v>14</v>
      </c>
      <c r="I446" s="7">
        <v>0.0</v>
      </c>
      <c r="J446" s="3" t="s">
        <v>72</v>
      </c>
    </row>
    <row r="447">
      <c r="A447" s="3"/>
      <c r="B447" s="3"/>
      <c r="C447" s="3" t="s">
        <v>10</v>
      </c>
      <c r="D447" s="4" t="s">
        <v>500</v>
      </c>
      <c r="E447" s="3">
        <v>3630.0</v>
      </c>
      <c r="F447" s="5">
        <v>46111.80935185185</v>
      </c>
      <c r="G447" s="5">
        <v>46111.656168981484</v>
      </c>
      <c r="H447" s="3" t="s">
        <v>14</v>
      </c>
      <c r="I447" s="3">
        <v>0.0</v>
      </c>
      <c r="J447" s="3" t="s">
        <v>72</v>
      </c>
    </row>
    <row r="448">
      <c r="A448" s="3"/>
      <c r="B448" s="3"/>
      <c r="C448" s="3" t="s">
        <v>17</v>
      </c>
      <c r="D448" s="4" t="s">
        <v>500</v>
      </c>
      <c r="E448" s="3">
        <v>3630.0</v>
      </c>
      <c r="F448" s="5">
        <v>46111.816296296296</v>
      </c>
      <c r="G448" s="5">
        <v>46111.656493055554</v>
      </c>
      <c r="H448" s="3" t="s">
        <v>14</v>
      </c>
      <c r="I448" s="7">
        <v>0.0</v>
      </c>
      <c r="J448" s="3" t="s">
        <v>72</v>
      </c>
    </row>
    <row r="449">
      <c r="A449" s="3"/>
      <c r="B449" s="3"/>
      <c r="C449" s="3" t="s">
        <v>21</v>
      </c>
      <c r="D449" s="4" t="s">
        <v>500</v>
      </c>
      <c r="E449" s="3">
        <v>3630.0</v>
      </c>
      <c r="F449" s="5">
        <v>46112.524305555555</v>
      </c>
      <c r="G449" s="5">
        <v>46111.6565625</v>
      </c>
      <c r="H449" s="3" t="s">
        <v>14</v>
      </c>
      <c r="I449" s="7">
        <v>0.0</v>
      </c>
      <c r="J449" s="3" t="s">
        <v>72</v>
      </c>
    </row>
    <row r="450">
      <c r="A450" s="3"/>
      <c r="B450" s="3"/>
      <c r="C450" s="3" t="s">
        <v>24</v>
      </c>
      <c r="D450" s="4" t="s">
        <v>500</v>
      </c>
      <c r="E450" s="3">
        <v>3630.0</v>
      </c>
      <c r="F450" s="5">
        <v>46113.524305555555</v>
      </c>
      <c r="G450" s="5">
        <v>46112.56267361111</v>
      </c>
      <c r="H450" s="3" t="s">
        <v>14</v>
      </c>
      <c r="I450" s="7">
        <v>0.0</v>
      </c>
      <c r="J450" s="3" t="s">
        <v>72</v>
      </c>
    </row>
    <row r="451">
      <c r="A451" s="3"/>
      <c r="B451" s="3"/>
      <c r="C451" s="3" t="s">
        <v>26</v>
      </c>
      <c r="D451" s="4" t="s">
        <v>500</v>
      </c>
      <c r="E451" s="3">
        <v>3630.0</v>
      </c>
      <c r="F451" s="5">
        <v>46113.56597222222</v>
      </c>
      <c r="G451" s="5">
        <v>46112.5627662037</v>
      </c>
      <c r="H451" s="3" t="s">
        <v>14</v>
      </c>
      <c r="I451" s="7">
        <v>0.0</v>
      </c>
      <c r="J451" s="3" t="s">
        <v>72</v>
      </c>
    </row>
    <row r="452">
      <c r="A452" s="3"/>
      <c r="B452" s="3"/>
      <c r="C452" s="3" t="s">
        <v>10</v>
      </c>
      <c r="D452" s="4" t="s">
        <v>503</v>
      </c>
      <c r="E452" s="3" t="s">
        <v>166</v>
      </c>
      <c r="F452" s="5">
        <v>46112.46805555555</v>
      </c>
      <c r="G452" s="5">
        <v>46111.72278935185</v>
      </c>
      <c r="H452" s="3" t="s">
        <v>14</v>
      </c>
      <c r="I452" s="3">
        <v>0.0</v>
      </c>
      <c r="J452" s="3" t="s">
        <v>15</v>
      </c>
    </row>
    <row r="453">
      <c r="A453" s="3"/>
      <c r="B453" s="3"/>
      <c r="C453" s="3" t="s">
        <v>17</v>
      </c>
      <c r="D453" s="4" t="s">
        <v>503</v>
      </c>
      <c r="E453" s="3" t="s">
        <v>166</v>
      </c>
      <c r="F453" s="5">
        <v>46112.475</v>
      </c>
      <c r="G453" s="5">
        <v>46111.8025462963</v>
      </c>
      <c r="H453" s="3" t="s">
        <v>14</v>
      </c>
      <c r="I453" s="7">
        <v>0.0</v>
      </c>
      <c r="J453" s="3" t="s">
        <v>15</v>
      </c>
    </row>
    <row r="454">
      <c r="A454" s="3"/>
      <c r="B454" s="3"/>
      <c r="C454" s="3" t="s">
        <v>21</v>
      </c>
      <c r="D454" s="4" t="s">
        <v>503</v>
      </c>
      <c r="E454" s="3" t="s">
        <v>166</v>
      </c>
      <c r="F454" s="5">
        <v>46112.57916666667</v>
      </c>
      <c r="G454" s="5">
        <v>46111.80260416667</v>
      </c>
      <c r="H454" s="3" t="s">
        <v>14</v>
      </c>
      <c r="I454" s="7">
        <v>0.0</v>
      </c>
      <c r="J454" s="3" t="s">
        <v>15</v>
      </c>
    </row>
    <row r="455">
      <c r="A455" s="3"/>
      <c r="B455" s="3"/>
      <c r="C455" s="3" t="s">
        <v>24</v>
      </c>
      <c r="D455" s="4" t="s">
        <v>503</v>
      </c>
      <c r="E455" s="3" t="s">
        <v>166</v>
      </c>
      <c r="F455" s="5">
        <v>46113.57916666667</v>
      </c>
      <c r="G455" s="5">
        <v>46112.56267361111</v>
      </c>
      <c r="H455" s="3" t="s">
        <v>14</v>
      </c>
      <c r="I455" s="7">
        <v>0.0</v>
      </c>
      <c r="J455" s="3" t="s">
        <v>15</v>
      </c>
    </row>
    <row r="456">
      <c r="A456" s="3"/>
      <c r="B456" s="3"/>
      <c r="C456" s="3" t="s">
        <v>26</v>
      </c>
      <c r="D456" s="4" t="s">
        <v>503</v>
      </c>
      <c r="E456" s="3" t="s">
        <v>166</v>
      </c>
      <c r="F456" s="5">
        <v>46113.620833333334</v>
      </c>
      <c r="G456" s="5">
        <v>46112.56277777778</v>
      </c>
      <c r="H456" s="3" t="s">
        <v>14</v>
      </c>
      <c r="I456" s="7">
        <v>0.0</v>
      </c>
      <c r="J456" s="3" t="s">
        <v>15</v>
      </c>
    </row>
    <row r="457">
      <c r="A457" s="3"/>
      <c r="B457" s="3"/>
      <c r="C457" s="3" t="s">
        <v>10</v>
      </c>
      <c r="D457" s="4" t="s">
        <v>507</v>
      </c>
      <c r="E457" s="3" t="s">
        <v>508</v>
      </c>
      <c r="F457" s="5">
        <v>46112.65262731481</v>
      </c>
      <c r="G457" s="5">
        <v>46112.48974537037</v>
      </c>
      <c r="H457" s="3" t="s">
        <v>14</v>
      </c>
      <c r="I457" s="3">
        <v>0.0</v>
      </c>
      <c r="J457" s="3" t="s">
        <v>72</v>
      </c>
    </row>
    <row r="458">
      <c r="A458" s="3"/>
      <c r="B458" s="3"/>
      <c r="C458" s="3" t="s">
        <v>17</v>
      </c>
      <c r="D458" s="4" t="s">
        <v>507</v>
      </c>
      <c r="E458" s="3" t="s">
        <v>508</v>
      </c>
      <c r="F458" s="5">
        <v>46112.65957175926</v>
      </c>
      <c r="G458" s="5">
        <v>46112.48982638889</v>
      </c>
      <c r="H458" s="3" t="s">
        <v>14</v>
      </c>
      <c r="I458" s="7">
        <v>0.0</v>
      </c>
      <c r="J458" s="3" t="s">
        <v>72</v>
      </c>
    </row>
    <row r="459">
      <c r="A459" s="3"/>
      <c r="B459" s="3"/>
      <c r="C459" s="3" t="s">
        <v>21</v>
      </c>
      <c r="D459" s="4" t="s">
        <v>507</v>
      </c>
      <c r="E459" s="3" t="s">
        <v>508</v>
      </c>
      <c r="F459" s="5">
        <v>46112.76373842593</v>
      </c>
      <c r="G459" s="5">
        <v>46112.489895833336</v>
      </c>
      <c r="H459" s="3" t="s">
        <v>14</v>
      </c>
      <c r="I459" s="7">
        <v>0.0</v>
      </c>
      <c r="J459" s="3" t="s">
        <v>72</v>
      </c>
    </row>
    <row r="460">
      <c r="A460" s="3"/>
      <c r="B460" s="3"/>
      <c r="C460" s="3" t="s">
        <v>24</v>
      </c>
      <c r="D460" s="4" t="s">
        <v>507</v>
      </c>
      <c r="E460" s="3" t="s">
        <v>508</v>
      </c>
      <c r="F460" s="5">
        <v>46113.763194444444</v>
      </c>
      <c r="G460" s="5">
        <v>46112.56260416667</v>
      </c>
      <c r="H460" s="3" t="s">
        <v>14</v>
      </c>
      <c r="I460" s="7">
        <v>0.0</v>
      </c>
      <c r="J460" s="3" t="s">
        <v>72</v>
      </c>
    </row>
    <row r="461">
      <c r="A461" s="3"/>
      <c r="B461" s="3"/>
      <c r="C461" s="3" t="s">
        <v>26</v>
      </c>
      <c r="D461" s="4" t="s">
        <v>507</v>
      </c>
      <c r="E461" s="3" t="s">
        <v>508</v>
      </c>
      <c r="F461" s="5">
        <v>46113.80486111111</v>
      </c>
      <c r="G461" s="5">
        <v>46113.45924768518</v>
      </c>
      <c r="H461" s="3" t="s">
        <v>14</v>
      </c>
      <c r="I461" s="7">
        <v>0.0</v>
      </c>
      <c r="J461" s="3" t="s">
        <v>72</v>
      </c>
    </row>
    <row r="462">
      <c r="A462" s="3"/>
      <c r="B462" s="3"/>
      <c r="C462" s="3" t="s">
        <v>10</v>
      </c>
      <c r="D462" s="4" t="s">
        <v>515</v>
      </c>
      <c r="E462" s="3" t="s">
        <v>516</v>
      </c>
      <c r="F462" s="5">
        <v>46112.65520833333</v>
      </c>
      <c r="G462" s="5">
        <v>46112.48976851852</v>
      </c>
      <c r="H462" s="3" t="s">
        <v>14</v>
      </c>
      <c r="I462" s="3">
        <v>0.0</v>
      </c>
      <c r="J462" s="3" t="s">
        <v>72</v>
      </c>
    </row>
    <row r="463">
      <c r="A463" s="3"/>
      <c r="B463" s="3"/>
      <c r="C463" s="3" t="s">
        <v>17</v>
      </c>
      <c r="D463" s="4" t="s">
        <v>515</v>
      </c>
      <c r="E463" s="3" t="s">
        <v>516</v>
      </c>
      <c r="F463" s="5">
        <v>46112.662152777775</v>
      </c>
      <c r="G463" s="5">
        <v>46112.48982638889</v>
      </c>
      <c r="H463" s="3" t="s">
        <v>14</v>
      </c>
      <c r="I463" s="7">
        <v>0.0</v>
      </c>
      <c r="J463" s="3" t="s">
        <v>72</v>
      </c>
    </row>
    <row r="464">
      <c r="A464" s="3"/>
      <c r="B464" s="3"/>
      <c r="C464" s="3" t="s">
        <v>21</v>
      </c>
      <c r="D464" s="4" t="s">
        <v>515</v>
      </c>
      <c r="E464" s="3" t="s">
        <v>516</v>
      </c>
      <c r="F464" s="5">
        <v>46112.76631944445</v>
      </c>
      <c r="G464" s="5">
        <v>46112.48986111111</v>
      </c>
      <c r="H464" s="3" t="s">
        <v>14</v>
      </c>
      <c r="I464" s="7">
        <v>0.0</v>
      </c>
      <c r="J464" s="3" t="s">
        <v>72</v>
      </c>
    </row>
    <row r="465">
      <c r="A465" s="3"/>
      <c r="B465" s="3"/>
      <c r="C465" s="3" t="s">
        <v>24</v>
      </c>
      <c r="D465" s="4" t="s">
        <v>515</v>
      </c>
      <c r="E465" s="3" t="s">
        <v>516</v>
      </c>
      <c r="F465" s="5">
        <v>46113.76597222222</v>
      </c>
      <c r="G465" s="5">
        <v>46112.56269675926</v>
      </c>
      <c r="H465" s="3" t="s">
        <v>14</v>
      </c>
      <c r="I465" s="7">
        <v>0.0</v>
      </c>
      <c r="J465" s="3" t="s">
        <v>72</v>
      </c>
    </row>
    <row r="466">
      <c r="A466" s="3"/>
      <c r="B466" s="3"/>
      <c r="C466" s="3" t="s">
        <v>26</v>
      </c>
      <c r="D466" s="4" t="s">
        <v>515</v>
      </c>
      <c r="E466" s="3" t="s">
        <v>516</v>
      </c>
      <c r="F466" s="5">
        <v>46113.80763888889</v>
      </c>
      <c r="G466" s="5">
        <v>46113.45927083334</v>
      </c>
      <c r="H466" s="3" t="s">
        <v>14</v>
      </c>
      <c r="I466" s="7">
        <v>0.0</v>
      </c>
      <c r="J466" s="3" t="s">
        <v>72</v>
      </c>
    </row>
    <row r="467">
      <c r="A467" s="3"/>
      <c r="B467" s="3"/>
      <c r="C467" s="3" t="s">
        <v>10</v>
      </c>
      <c r="D467" s="4" t="s">
        <v>521</v>
      </c>
      <c r="E467" s="3" t="s">
        <v>523</v>
      </c>
      <c r="F467" s="5">
        <v>46113.63673611111</v>
      </c>
      <c r="G467" s="5">
        <v>46113.47545138889</v>
      </c>
      <c r="H467" s="3" t="s">
        <v>14</v>
      </c>
      <c r="I467" s="3">
        <v>0.0</v>
      </c>
      <c r="J467" s="3" t="s">
        <v>15</v>
      </c>
    </row>
    <row r="468">
      <c r="A468" s="3"/>
      <c r="B468" s="3"/>
      <c r="C468" s="3" t="s">
        <v>17</v>
      </c>
      <c r="D468" s="4" t="s">
        <v>521</v>
      </c>
      <c r="E468" s="3" t="s">
        <v>523</v>
      </c>
      <c r="F468" s="5">
        <v>46113.64368055556</v>
      </c>
      <c r="G468" s="5">
        <v>46113.47550925926</v>
      </c>
      <c r="H468" s="3" t="s">
        <v>14</v>
      </c>
      <c r="I468" s="7">
        <v>0.0</v>
      </c>
      <c r="J468" s="3" t="s">
        <v>15</v>
      </c>
    </row>
    <row r="469">
      <c r="A469" s="3"/>
      <c r="B469" s="3"/>
      <c r="C469" s="3" t="s">
        <v>21</v>
      </c>
      <c r="D469" s="4" t="s">
        <v>521</v>
      </c>
      <c r="E469" s="3" t="s">
        <v>523</v>
      </c>
      <c r="F469" s="5">
        <v>46113.74784722222</v>
      </c>
      <c r="G469" s="5">
        <v>46113.51520833333</v>
      </c>
      <c r="H469" s="3" t="s">
        <v>14</v>
      </c>
      <c r="I469" s="7">
        <v>0.0</v>
      </c>
      <c r="J469" s="3" t="s">
        <v>15</v>
      </c>
    </row>
    <row r="470">
      <c r="A470" s="3"/>
      <c r="B470" s="3"/>
      <c r="C470" s="3" t="s">
        <v>24</v>
      </c>
      <c r="D470" s="4" t="s">
        <v>521</v>
      </c>
      <c r="E470" s="3" t="s">
        <v>523</v>
      </c>
      <c r="F470" s="5">
        <v>46114.74722222222</v>
      </c>
      <c r="G470" s="5">
        <v>46113.515231481484</v>
      </c>
      <c r="H470" s="3" t="s">
        <v>14</v>
      </c>
      <c r="I470" s="7">
        <v>0.0</v>
      </c>
      <c r="J470" s="3" t="s">
        <v>15</v>
      </c>
    </row>
    <row r="471">
      <c r="A471" s="3"/>
      <c r="B471" s="3"/>
      <c r="C471" s="3" t="s">
        <v>26</v>
      </c>
      <c r="D471" s="4" t="s">
        <v>521</v>
      </c>
      <c r="E471" s="3" t="s">
        <v>523</v>
      </c>
      <c r="F471" s="5">
        <v>46114.78888888889</v>
      </c>
      <c r="G471" s="5">
        <v>46113.51872685185</v>
      </c>
      <c r="H471" s="3" t="s">
        <v>14</v>
      </c>
      <c r="I471" s="7">
        <v>0.0</v>
      </c>
      <c r="J471" s="3" t="s">
        <v>15</v>
      </c>
    </row>
    <row r="472">
      <c r="A472" s="3"/>
      <c r="B472" s="3"/>
      <c r="C472" s="3" t="s">
        <v>10</v>
      </c>
      <c r="D472" s="4" t="s">
        <v>526</v>
      </c>
      <c r="E472" s="3" t="s">
        <v>166</v>
      </c>
      <c r="F472" s="5">
        <v>46113.680601851855</v>
      </c>
      <c r="G472" s="5">
        <v>46113.51530092592</v>
      </c>
      <c r="H472" s="3" t="s">
        <v>14</v>
      </c>
      <c r="I472" s="3">
        <v>0.0</v>
      </c>
      <c r="J472" s="3" t="s">
        <v>15</v>
      </c>
    </row>
    <row r="473">
      <c r="A473" s="3"/>
      <c r="B473" s="3"/>
      <c r="C473" s="3" t="s">
        <v>17</v>
      </c>
      <c r="D473" s="4" t="s">
        <v>526</v>
      </c>
      <c r="E473" s="3" t="s">
        <v>166</v>
      </c>
      <c r="F473" s="5">
        <v>46113.6875462963</v>
      </c>
      <c r="G473" s="5">
        <v>46113.5153587963</v>
      </c>
      <c r="H473" s="3" t="s">
        <v>14</v>
      </c>
      <c r="I473" s="7">
        <v>0.0</v>
      </c>
      <c r="J473" s="3" t="s">
        <v>15</v>
      </c>
    </row>
    <row r="474">
      <c r="A474" s="3"/>
      <c r="B474" s="3"/>
      <c r="C474" s="3" t="s">
        <v>21</v>
      </c>
      <c r="D474" s="4" t="s">
        <v>526</v>
      </c>
      <c r="E474" s="3" t="s">
        <v>166</v>
      </c>
      <c r="F474" s="5">
        <v>46113.791712962964</v>
      </c>
      <c r="G474" s="5">
        <v>46113.51917824074</v>
      </c>
      <c r="H474" s="3" t="s">
        <v>14</v>
      </c>
      <c r="I474" s="7">
        <v>0.0</v>
      </c>
      <c r="J474" s="3" t="s">
        <v>15</v>
      </c>
    </row>
    <row r="475">
      <c r="A475" s="3"/>
      <c r="B475" s="3"/>
      <c r="C475" s="3" t="s">
        <v>24</v>
      </c>
      <c r="D475" s="4" t="s">
        <v>526</v>
      </c>
      <c r="E475" s="3" t="s">
        <v>166</v>
      </c>
      <c r="F475" s="5">
        <v>46114.791666666664</v>
      </c>
      <c r="G475" s="5">
        <v>46113.519212962965</v>
      </c>
      <c r="H475" s="3" t="s">
        <v>14</v>
      </c>
      <c r="I475" s="7">
        <v>0.0</v>
      </c>
      <c r="J475" s="3" t="s">
        <v>15</v>
      </c>
    </row>
    <row r="476">
      <c r="A476" s="3"/>
      <c r="B476" s="3"/>
      <c r="C476" s="3" t="s">
        <v>26</v>
      </c>
      <c r="D476" s="4" t="s">
        <v>526</v>
      </c>
      <c r="E476" s="3" t="s">
        <v>166</v>
      </c>
      <c r="F476" s="5">
        <v>46115.416666666664</v>
      </c>
      <c r="G476" s="5">
        <v>46113.51925925926</v>
      </c>
      <c r="H476" s="3" t="s">
        <v>14</v>
      </c>
      <c r="I476" s="7">
        <v>0.0</v>
      </c>
      <c r="J476" s="3" t="s">
        <v>15</v>
      </c>
    </row>
    <row r="477">
      <c r="A477" s="3"/>
      <c r="B477" s="3"/>
      <c r="C477" s="3" t="s">
        <v>10</v>
      </c>
      <c r="D477" s="4" t="s">
        <v>530</v>
      </c>
      <c r="E477" s="3" t="s">
        <v>166</v>
      </c>
      <c r="F477" s="5">
        <v>46113.69005787037</v>
      </c>
      <c r="G477" s="5">
        <v>46113.54996527778</v>
      </c>
      <c r="H477" s="3" t="s">
        <v>14</v>
      </c>
      <c r="I477" s="3">
        <v>0.0</v>
      </c>
      <c r="J477" s="3" t="s">
        <v>15</v>
      </c>
    </row>
    <row r="478">
      <c r="A478" s="3"/>
      <c r="B478" s="3"/>
      <c r="C478" s="3" t="s">
        <v>17</v>
      </c>
      <c r="D478" s="4" t="s">
        <v>530</v>
      </c>
      <c r="E478" s="3" t="s">
        <v>166</v>
      </c>
      <c r="F478" s="5">
        <v>46113.69700231482</v>
      </c>
      <c r="G478" s="5">
        <v>46113.55</v>
      </c>
      <c r="H478" s="3" t="s">
        <v>14</v>
      </c>
      <c r="I478" s="7">
        <v>0.0</v>
      </c>
      <c r="J478" s="3" t="s">
        <v>15</v>
      </c>
    </row>
    <row r="479">
      <c r="A479" s="3"/>
      <c r="B479" s="3"/>
      <c r="C479" s="3" t="s">
        <v>21</v>
      </c>
      <c r="D479" s="4" t="s">
        <v>530</v>
      </c>
      <c r="E479" s="3" t="s">
        <v>166</v>
      </c>
      <c r="F479" s="5">
        <v>46113.80116898148</v>
      </c>
      <c r="G479" s="5">
        <v>46113.55008101852</v>
      </c>
      <c r="H479" s="3" t="s">
        <v>14</v>
      </c>
      <c r="I479" s="7">
        <v>0.0</v>
      </c>
      <c r="J479" s="3" t="s">
        <v>15</v>
      </c>
    </row>
    <row r="480">
      <c r="A480" s="3"/>
      <c r="B480" s="3"/>
      <c r="C480" s="3" t="s">
        <v>24</v>
      </c>
      <c r="D480" s="4" t="s">
        <v>530</v>
      </c>
      <c r="E480" s="3" t="s">
        <v>166</v>
      </c>
      <c r="F480" s="5">
        <v>46114.80069444444</v>
      </c>
      <c r="G480" s="5">
        <v>46114.64350694444</v>
      </c>
      <c r="H480" s="3" t="s">
        <v>14</v>
      </c>
      <c r="I480" s="7">
        <v>0.0</v>
      </c>
      <c r="J480" s="3" t="s">
        <v>15</v>
      </c>
    </row>
    <row r="481">
      <c r="A481" s="3"/>
      <c r="B481" s="3"/>
      <c r="C481" s="3" t="s">
        <v>26</v>
      </c>
      <c r="D481" s="4" t="s">
        <v>530</v>
      </c>
      <c r="E481" s="3" t="s">
        <v>166</v>
      </c>
      <c r="F481" s="5">
        <v>46115.50902777778</v>
      </c>
      <c r="G481" s="5">
        <v>46115.43519675926</v>
      </c>
      <c r="H481" s="3" t="s">
        <v>14</v>
      </c>
      <c r="I481" s="7">
        <v>0.0</v>
      </c>
      <c r="J481" s="3" t="s">
        <v>15</v>
      </c>
    </row>
    <row r="482">
      <c r="A482" s="3"/>
      <c r="B482" s="3"/>
      <c r="C482" s="3" t="s">
        <v>10</v>
      </c>
      <c r="D482" s="4" t="s">
        <v>532</v>
      </c>
      <c r="E482" s="3" t="s">
        <v>534</v>
      </c>
      <c r="F482" s="5">
        <v>46113.69894675926</v>
      </c>
      <c r="G482" s="5">
        <v>46113.54917824074</v>
      </c>
      <c r="H482" s="3" t="s">
        <v>14</v>
      </c>
      <c r="I482" s="3">
        <v>0.0</v>
      </c>
      <c r="J482" s="3" t="s">
        <v>15</v>
      </c>
    </row>
    <row r="483">
      <c r="A483" s="3"/>
      <c r="B483" s="3"/>
      <c r="C483" s="3" t="s">
        <v>17</v>
      </c>
      <c r="D483" s="4" t="s">
        <v>532</v>
      </c>
      <c r="E483" s="3" t="s">
        <v>534</v>
      </c>
      <c r="F483" s="5">
        <v>46113.7058912037</v>
      </c>
      <c r="G483" s="5">
        <v>46113.549629629626</v>
      </c>
      <c r="H483" s="3" t="s">
        <v>14</v>
      </c>
      <c r="I483" s="7">
        <v>0.0</v>
      </c>
      <c r="J483" s="3" t="s">
        <v>15</v>
      </c>
    </row>
    <row r="484">
      <c r="A484" s="3"/>
      <c r="B484" s="3"/>
      <c r="C484" s="3" t="s">
        <v>21</v>
      </c>
      <c r="D484" s="4" t="s">
        <v>532</v>
      </c>
      <c r="E484" s="3" t="s">
        <v>534</v>
      </c>
      <c r="F484" s="5">
        <v>46113.81005787037</v>
      </c>
      <c r="G484" s="5">
        <v>46113.55012731482</v>
      </c>
      <c r="H484" s="3" t="s">
        <v>14</v>
      </c>
      <c r="I484" s="7">
        <v>0.0</v>
      </c>
      <c r="J484" s="3" t="s">
        <v>15</v>
      </c>
    </row>
    <row r="485">
      <c r="A485" s="3"/>
      <c r="B485" s="3"/>
      <c r="C485" s="3" t="s">
        <v>24</v>
      </c>
      <c r="D485" s="4" t="s">
        <v>532</v>
      </c>
      <c r="E485" s="3" t="s">
        <v>534</v>
      </c>
      <c r="F485" s="5">
        <v>46114.80972222222</v>
      </c>
      <c r="G485" s="5">
        <v>46113.56576388889</v>
      </c>
      <c r="H485" s="3" t="s">
        <v>14</v>
      </c>
      <c r="I485" s="7">
        <v>0.0</v>
      </c>
      <c r="J485" s="3" t="s">
        <v>15</v>
      </c>
    </row>
    <row r="486">
      <c r="A486" s="3"/>
      <c r="B486" s="3"/>
      <c r="C486" s="3" t="s">
        <v>26</v>
      </c>
      <c r="D486" s="4" t="s">
        <v>532</v>
      </c>
      <c r="E486" s="3" t="s">
        <v>534</v>
      </c>
      <c r="F486" s="5">
        <v>46115.43472222222</v>
      </c>
      <c r="G486" s="5">
        <v>46113.56582175926</v>
      </c>
      <c r="H486" s="3" t="s">
        <v>14</v>
      </c>
      <c r="I486" s="7">
        <v>0.0</v>
      </c>
      <c r="J486" s="3" t="s">
        <v>15</v>
      </c>
    </row>
    <row r="487">
      <c r="A487" s="3"/>
      <c r="B487" s="3"/>
      <c r="C487" s="3" t="s">
        <v>10</v>
      </c>
      <c r="D487" s="4" t="s">
        <v>537</v>
      </c>
      <c r="E487" s="3" t="s">
        <v>538</v>
      </c>
      <c r="F487" s="5">
        <v>46113.70049768518</v>
      </c>
      <c r="G487" s="5">
        <v>46113.549305555556</v>
      </c>
      <c r="H487" s="3" t="s">
        <v>14</v>
      </c>
      <c r="I487" s="3">
        <v>0.0</v>
      </c>
      <c r="J487" s="3" t="s">
        <v>15</v>
      </c>
    </row>
    <row r="488">
      <c r="A488" s="3"/>
      <c r="B488" s="3"/>
      <c r="C488" s="3" t="s">
        <v>17</v>
      </c>
      <c r="D488" s="4" t="s">
        <v>537</v>
      </c>
      <c r="E488" s="3" t="s">
        <v>538</v>
      </c>
      <c r="F488" s="5">
        <v>46113.70744212963</v>
      </c>
      <c r="G488" s="5">
        <v>46113.54966435185</v>
      </c>
      <c r="H488" s="3" t="s">
        <v>14</v>
      </c>
      <c r="I488" s="7">
        <v>0.0</v>
      </c>
      <c r="J488" s="3" t="s">
        <v>15</v>
      </c>
    </row>
    <row r="489">
      <c r="A489" s="3"/>
      <c r="B489" s="3"/>
      <c r="C489" s="3" t="s">
        <v>21</v>
      </c>
      <c r="D489" s="4" t="s">
        <v>537</v>
      </c>
      <c r="E489" s="3" t="s">
        <v>538</v>
      </c>
      <c r="F489" s="5">
        <v>46113.8116087963</v>
      </c>
      <c r="G489" s="5">
        <v>46113.55013888889</v>
      </c>
      <c r="H489" s="3" t="s">
        <v>14</v>
      </c>
      <c r="I489" s="7">
        <v>0.0</v>
      </c>
      <c r="J489" s="3" t="s">
        <v>15</v>
      </c>
    </row>
    <row r="490">
      <c r="A490" s="3"/>
      <c r="B490" s="3"/>
      <c r="C490" s="3" t="s">
        <v>24</v>
      </c>
      <c r="D490" s="4" t="s">
        <v>537</v>
      </c>
      <c r="E490" s="3" t="s">
        <v>538</v>
      </c>
      <c r="F490" s="5">
        <v>46114.811111111114</v>
      </c>
      <c r="G490" s="5">
        <v>46113.565671296295</v>
      </c>
      <c r="H490" s="3" t="s">
        <v>14</v>
      </c>
      <c r="I490" s="7">
        <v>0.0</v>
      </c>
      <c r="J490" s="3" t="s">
        <v>15</v>
      </c>
    </row>
    <row r="491">
      <c r="A491" s="3"/>
      <c r="B491" s="3"/>
      <c r="C491" s="3" t="s">
        <v>26</v>
      </c>
      <c r="D491" s="4" t="s">
        <v>537</v>
      </c>
      <c r="E491" s="3" t="s">
        <v>538</v>
      </c>
      <c r="F491" s="5">
        <v>46115.436111111114</v>
      </c>
      <c r="G491" s="5">
        <v>46113.56570601852</v>
      </c>
      <c r="H491" s="3" t="s">
        <v>14</v>
      </c>
      <c r="I491" s="7">
        <v>0.0</v>
      </c>
      <c r="J491" s="3" t="s">
        <v>15</v>
      </c>
    </row>
    <row r="492">
      <c r="A492" s="3"/>
      <c r="B492" s="3"/>
      <c r="C492" s="3" t="s">
        <v>10</v>
      </c>
      <c r="D492" s="4" t="s">
        <v>541</v>
      </c>
      <c r="E492" s="3" t="s">
        <v>523</v>
      </c>
      <c r="F492" s="5">
        <v>46113.70140046296</v>
      </c>
      <c r="G492" s="5">
        <v>46113.54943287037</v>
      </c>
      <c r="H492" s="3" t="s">
        <v>14</v>
      </c>
      <c r="I492" s="3">
        <v>0.0</v>
      </c>
      <c r="J492" s="3" t="s">
        <v>61</v>
      </c>
    </row>
    <row r="493">
      <c r="A493" s="3"/>
      <c r="B493" s="3"/>
      <c r="C493" s="3" t="s">
        <v>17</v>
      </c>
      <c r="D493" s="4" t="s">
        <v>541</v>
      </c>
      <c r="E493" s="3" t="s">
        <v>523</v>
      </c>
      <c r="F493" s="5">
        <v>46113.708344907405</v>
      </c>
      <c r="G493" s="5">
        <v>46113.54969907407</v>
      </c>
      <c r="H493" s="3" t="s">
        <v>14</v>
      </c>
      <c r="I493" s="7">
        <v>0.0</v>
      </c>
      <c r="J493" s="3" t="s">
        <v>61</v>
      </c>
    </row>
    <row r="494">
      <c r="A494" s="3"/>
      <c r="B494" s="3"/>
      <c r="C494" s="3" t="s">
        <v>21</v>
      </c>
      <c r="D494" s="4" t="s">
        <v>541</v>
      </c>
      <c r="E494" s="3" t="s">
        <v>523</v>
      </c>
      <c r="F494" s="5">
        <v>46113.81251157408</v>
      </c>
      <c r="G494" s="5">
        <v>46113.55018518519</v>
      </c>
      <c r="H494" s="3" t="s">
        <v>14</v>
      </c>
      <c r="I494" s="7">
        <v>0.0</v>
      </c>
      <c r="J494" s="3" t="s">
        <v>61</v>
      </c>
    </row>
    <row r="495">
      <c r="A495" s="3"/>
      <c r="B495" s="3"/>
      <c r="C495" s="3" t="s">
        <v>24</v>
      </c>
      <c r="D495" s="4" t="s">
        <v>541</v>
      </c>
      <c r="E495" s="3" t="s">
        <v>523</v>
      </c>
      <c r="F495" s="5">
        <v>46114.8125</v>
      </c>
      <c r="G495" s="5">
        <v>46113.6762962963</v>
      </c>
      <c r="H495" s="3" t="s">
        <v>14</v>
      </c>
      <c r="I495" s="7">
        <v>0.0</v>
      </c>
      <c r="J495" s="3" t="s">
        <v>61</v>
      </c>
    </row>
    <row r="496">
      <c r="A496" s="3"/>
      <c r="B496" s="3"/>
      <c r="C496" s="3" t="s">
        <v>26</v>
      </c>
      <c r="D496" s="4" t="s">
        <v>541</v>
      </c>
      <c r="E496" s="3" t="s">
        <v>523</v>
      </c>
      <c r="F496" s="5">
        <v>46115.4375</v>
      </c>
      <c r="G496" s="5">
        <v>46113.67630787037</v>
      </c>
      <c r="H496" s="3" t="s">
        <v>14</v>
      </c>
      <c r="I496" s="7">
        <v>0.0</v>
      </c>
      <c r="J496" s="3" t="s">
        <v>61</v>
      </c>
    </row>
    <row r="497">
      <c r="A497" s="3"/>
      <c r="B497" s="3"/>
      <c r="C497" s="3" t="s">
        <v>10</v>
      </c>
      <c r="D497" s="4" t="s">
        <v>544</v>
      </c>
      <c r="E497" s="3" t="s">
        <v>74</v>
      </c>
      <c r="F497" s="5">
        <v>46114.44305555556</v>
      </c>
      <c r="G497" s="5">
        <v>46113.783159722225</v>
      </c>
      <c r="H497" s="3" t="s">
        <v>14</v>
      </c>
      <c r="I497" s="3">
        <v>0.0</v>
      </c>
      <c r="J497" s="3" t="s">
        <v>72</v>
      </c>
    </row>
    <row r="498">
      <c r="A498" s="3"/>
      <c r="B498" s="3"/>
      <c r="C498" s="3" t="s">
        <v>17</v>
      </c>
      <c r="D498" s="4" t="s">
        <v>544</v>
      </c>
      <c r="E498" s="3" t="s">
        <v>74</v>
      </c>
      <c r="F498" s="5">
        <v>46114.45</v>
      </c>
      <c r="G498" s="5">
        <v>46113.78356481482</v>
      </c>
      <c r="H498" s="3" t="s">
        <v>14</v>
      </c>
      <c r="I498" s="7">
        <v>0.0</v>
      </c>
      <c r="J498" s="3" t="s">
        <v>72</v>
      </c>
    </row>
    <row r="499">
      <c r="A499" s="3"/>
      <c r="B499" s="3"/>
      <c r="C499" s="3" t="s">
        <v>21</v>
      </c>
      <c r="D499" s="4" t="s">
        <v>544</v>
      </c>
      <c r="E499" s="3" t="s">
        <v>74</v>
      </c>
      <c r="F499" s="5">
        <v>46114.55416666667</v>
      </c>
      <c r="G499" s="5">
        <v>46113.78364583333</v>
      </c>
      <c r="H499" s="3" t="s">
        <v>14</v>
      </c>
      <c r="I499" s="7">
        <v>0.0</v>
      </c>
      <c r="J499" s="3" t="s">
        <v>72</v>
      </c>
    </row>
    <row r="500">
      <c r="A500" s="3"/>
      <c r="B500" s="3"/>
      <c r="C500" s="3" t="s">
        <v>24</v>
      </c>
      <c r="D500" s="4" t="s">
        <v>544</v>
      </c>
      <c r="E500" s="3" t="s">
        <v>74</v>
      </c>
      <c r="F500" s="5">
        <v>46115.55416666667</v>
      </c>
      <c r="G500" s="5">
        <v>46115.43445601852</v>
      </c>
      <c r="H500" s="3" t="s">
        <v>14</v>
      </c>
      <c r="I500" s="7">
        <v>0.0</v>
      </c>
      <c r="J500" s="3" t="s">
        <v>72</v>
      </c>
    </row>
    <row r="501">
      <c r="A501" s="3"/>
      <c r="B501" s="3"/>
      <c r="C501" s="3" t="s">
        <v>26</v>
      </c>
      <c r="D501" s="4" t="s">
        <v>544</v>
      </c>
      <c r="E501" s="3" t="s">
        <v>74</v>
      </c>
      <c r="F501" s="5">
        <v>46115.59583333333</v>
      </c>
      <c r="G501" s="5">
        <v>46115.43446759259</v>
      </c>
      <c r="H501" s="3" t="s">
        <v>14</v>
      </c>
      <c r="I501" s="7">
        <v>0.0</v>
      </c>
      <c r="J501" s="3" t="s">
        <v>72</v>
      </c>
    </row>
    <row r="502">
      <c r="A502" s="3"/>
      <c r="B502" s="3"/>
      <c r="C502" s="3" t="s">
        <v>10</v>
      </c>
      <c r="D502" s="4" t="s">
        <v>546</v>
      </c>
      <c r="E502" s="3" t="s">
        <v>547</v>
      </c>
      <c r="F502" s="5">
        <v>46114.44513888889</v>
      </c>
      <c r="G502" s="5">
        <v>46113.783159722225</v>
      </c>
      <c r="H502" s="3" t="s">
        <v>14</v>
      </c>
      <c r="I502" s="3">
        <v>0.0</v>
      </c>
      <c r="J502" s="3" t="s">
        <v>72</v>
      </c>
    </row>
    <row r="503">
      <c r="A503" s="3"/>
      <c r="B503" s="3"/>
      <c r="C503" s="3" t="s">
        <v>17</v>
      </c>
      <c r="D503" s="4" t="s">
        <v>546</v>
      </c>
      <c r="E503" s="3" t="s">
        <v>547</v>
      </c>
      <c r="F503" s="5">
        <v>46114.45208333333</v>
      </c>
      <c r="G503" s="5">
        <v>46113.78356481482</v>
      </c>
      <c r="H503" s="3" t="s">
        <v>14</v>
      </c>
      <c r="I503" s="7">
        <v>0.0</v>
      </c>
      <c r="J503" s="3" t="s">
        <v>72</v>
      </c>
    </row>
    <row r="504">
      <c r="A504" s="3"/>
      <c r="B504" s="3"/>
      <c r="C504" s="3" t="s">
        <v>21</v>
      </c>
      <c r="D504" s="4" t="s">
        <v>546</v>
      </c>
      <c r="E504" s="3" t="s">
        <v>547</v>
      </c>
      <c r="F504" s="5">
        <v>46114.55625</v>
      </c>
      <c r="G504" s="5">
        <v>46113.78364583333</v>
      </c>
      <c r="H504" s="3" t="s">
        <v>14</v>
      </c>
      <c r="I504" s="7">
        <v>0.0</v>
      </c>
      <c r="J504" s="3" t="s">
        <v>72</v>
      </c>
    </row>
    <row r="505">
      <c r="A505" s="3"/>
      <c r="B505" s="3"/>
      <c r="C505" s="3" t="s">
        <v>24</v>
      </c>
      <c r="D505" s="4" t="s">
        <v>546</v>
      </c>
      <c r="E505" s="3" t="s">
        <v>547</v>
      </c>
      <c r="F505" s="5">
        <v>46115.55625</v>
      </c>
      <c r="G505" s="5">
        <v>46115.43440972222</v>
      </c>
      <c r="H505" s="3" t="s">
        <v>14</v>
      </c>
      <c r="I505" s="7">
        <v>0.0</v>
      </c>
      <c r="J505" s="3" t="s">
        <v>72</v>
      </c>
    </row>
    <row r="506">
      <c r="A506" s="3"/>
      <c r="B506" s="3"/>
      <c r="C506" s="3" t="s">
        <v>26</v>
      </c>
      <c r="D506" s="4" t="s">
        <v>546</v>
      </c>
      <c r="E506" s="3" t="s">
        <v>547</v>
      </c>
      <c r="F506" s="5">
        <v>46115.597916666666</v>
      </c>
      <c r="G506" s="5">
        <v>46115.434479166666</v>
      </c>
      <c r="H506" s="3" t="s">
        <v>14</v>
      </c>
      <c r="I506" s="7">
        <v>0.0</v>
      </c>
      <c r="J506" s="3" t="s">
        <v>72</v>
      </c>
    </row>
    <row r="507">
      <c r="A507" s="3"/>
      <c r="B507" s="3"/>
      <c r="C507" s="3" t="s">
        <v>10</v>
      </c>
      <c r="D507" s="4" t="s">
        <v>549</v>
      </c>
      <c r="E507" s="3" t="s">
        <v>550</v>
      </c>
      <c r="F507" s="5">
        <v>46114.47083333333</v>
      </c>
      <c r="G507" s="5">
        <v>46113.783159722225</v>
      </c>
      <c r="H507" s="3" t="s">
        <v>14</v>
      </c>
      <c r="I507" s="3">
        <v>0.0</v>
      </c>
      <c r="J507" s="3" t="s">
        <v>61</v>
      </c>
    </row>
    <row r="508">
      <c r="A508" s="3"/>
      <c r="B508" s="3"/>
      <c r="C508" s="3" t="s">
        <v>17</v>
      </c>
      <c r="D508" s="4" t="s">
        <v>549</v>
      </c>
      <c r="E508" s="3" t="s">
        <v>550</v>
      </c>
      <c r="F508" s="5">
        <v>46114.47777777778</v>
      </c>
      <c r="G508" s="5">
        <v>46113.78356481482</v>
      </c>
      <c r="H508" s="3" t="s">
        <v>14</v>
      </c>
      <c r="I508" s="7">
        <v>0.0</v>
      </c>
      <c r="J508" s="3" t="s">
        <v>61</v>
      </c>
    </row>
    <row r="509">
      <c r="A509" s="3"/>
      <c r="B509" s="3"/>
      <c r="C509" s="3" t="s">
        <v>21</v>
      </c>
      <c r="D509" s="4" t="s">
        <v>549</v>
      </c>
      <c r="E509" s="3" t="s">
        <v>550</v>
      </c>
      <c r="F509" s="5">
        <v>46114.58194444444</v>
      </c>
      <c r="G509" s="5">
        <v>46113.78364583333</v>
      </c>
      <c r="H509" s="3" t="s">
        <v>14</v>
      </c>
      <c r="I509" s="7">
        <v>0.0</v>
      </c>
      <c r="J509" s="3" t="s">
        <v>61</v>
      </c>
    </row>
    <row r="510">
      <c r="A510" s="3"/>
      <c r="B510" s="3"/>
      <c r="C510" s="3" t="s">
        <v>24</v>
      </c>
      <c r="D510" s="4" t="s">
        <v>549</v>
      </c>
      <c r="E510" s="3" t="s">
        <v>550</v>
      </c>
      <c r="F510" s="5">
        <v>46115.58194444444</v>
      </c>
      <c r="G510" s="5">
        <v>46115.43444444444</v>
      </c>
      <c r="H510" s="3" t="s">
        <v>14</v>
      </c>
      <c r="I510" s="7">
        <v>0.0</v>
      </c>
      <c r="J510" s="3" t="s">
        <v>61</v>
      </c>
    </row>
    <row r="511">
      <c r="A511" s="3"/>
      <c r="B511" s="3"/>
      <c r="C511" s="3" t="s">
        <v>26</v>
      </c>
      <c r="D511" s="4" t="s">
        <v>549</v>
      </c>
      <c r="E511" s="3" t="s">
        <v>550</v>
      </c>
      <c r="F511" s="5">
        <v>46115.623611111114</v>
      </c>
      <c r="G511" s="5">
        <v>46115.43450231481</v>
      </c>
      <c r="H511" s="3" t="s">
        <v>14</v>
      </c>
      <c r="I511" s="7">
        <v>0.0</v>
      </c>
      <c r="J511" s="3" t="s">
        <v>61</v>
      </c>
    </row>
    <row r="512">
      <c r="A512" s="3"/>
      <c r="B512" s="3"/>
      <c r="C512" s="3" t="s">
        <v>10</v>
      </c>
      <c r="D512" s="4" t="s">
        <v>554</v>
      </c>
      <c r="E512" s="3" t="s">
        <v>555</v>
      </c>
      <c r="F512" s="5">
        <v>46114.48333333333</v>
      </c>
      <c r="G512" s="5">
        <v>46113.783159722225</v>
      </c>
      <c r="H512" s="3" t="s">
        <v>14</v>
      </c>
      <c r="I512" s="3">
        <v>0.0</v>
      </c>
      <c r="J512" s="3" t="s">
        <v>15</v>
      </c>
    </row>
    <row r="513">
      <c r="A513" s="3"/>
      <c r="B513" s="3"/>
      <c r="C513" s="3" t="s">
        <v>17</v>
      </c>
      <c r="D513" s="4" t="s">
        <v>554</v>
      </c>
      <c r="E513" s="3" t="s">
        <v>555</v>
      </c>
      <c r="F513" s="5">
        <v>46114.490277777775</v>
      </c>
      <c r="G513" s="5">
        <v>46113.78356481482</v>
      </c>
      <c r="H513" s="3" t="s">
        <v>14</v>
      </c>
      <c r="I513" s="7">
        <v>0.0</v>
      </c>
      <c r="J513" s="3" t="s">
        <v>15</v>
      </c>
    </row>
    <row r="514">
      <c r="A514" s="3"/>
      <c r="B514" s="3"/>
      <c r="C514" s="3" t="s">
        <v>21</v>
      </c>
      <c r="D514" s="4" t="s">
        <v>554</v>
      </c>
      <c r="E514" s="3" t="s">
        <v>555</v>
      </c>
      <c r="F514" s="5">
        <v>46114.59444444445</v>
      </c>
      <c r="G514" s="5">
        <v>46113.783634259256</v>
      </c>
      <c r="H514" s="3" t="s">
        <v>14</v>
      </c>
      <c r="I514" s="7">
        <v>0.0</v>
      </c>
      <c r="J514" s="3" t="s">
        <v>15</v>
      </c>
    </row>
    <row r="515">
      <c r="A515" s="3"/>
      <c r="B515" s="3"/>
      <c r="C515" s="3" t="s">
        <v>24</v>
      </c>
      <c r="D515" s="4" t="s">
        <v>554</v>
      </c>
      <c r="E515" s="3" t="s">
        <v>555</v>
      </c>
      <c r="F515" s="5">
        <v>46115.59444444445</v>
      </c>
      <c r="G515" s="5">
        <v>46114.84104166667</v>
      </c>
      <c r="H515" s="3" t="s">
        <v>14</v>
      </c>
      <c r="I515" s="7">
        <v>0.0</v>
      </c>
      <c r="J515" s="3" t="s">
        <v>15</v>
      </c>
    </row>
    <row r="516">
      <c r="A516" s="3"/>
      <c r="B516" s="3"/>
      <c r="C516" s="3" t="s">
        <v>26</v>
      </c>
      <c r="D516" s="4" t="s">
        <v>554</v>
      </c>
      <c r="E516" s="3" t="s">
        <v>555</v>
      </c>
      <c r="F516" s="5">
        <v>46115.63611111111</v>
      </c>
      <c r="G516" s="5">
        <v>46114.84111111111</v>
      </c>
      <c r="H516" s="3" t="s">
        <v>14</v>
      </c>
      <c r="I516" s="7">
        <v>0.0</v>
      </c>
      <c r="J516" s="3" t="s">
        <v>15</v>
      </c>
    </row>
    <row r="517">
      <c r="A517" s="3"/>
      <c r="B517" s="3"/>
      <c r="C517" s="3" t="s">
        <v>10</v>
      </c>
      <c r="D517" s="4" t="s">
        <v>556</v>
      </c>
      <c r="E517" s="3" t="s">
        <v>166</v>
      </c>
      <c r="F517" s="5">
        <v>46114.48611111111</v>
      </c>
      <c r="G517" s="5">
        <v>46113.78417824074</v>
      </c>
      <c r="H517" s="3" t="s">
        <v>14</v>
      </c>
      <c r="I517" s="3">
        <v>0.0</v>
      </c>
      <c r="J517" s="3" t="s">
        <v>15</v>
      </c>
    </row>
    <row r="518">
      <c r="A518" s="3"/>
      <c r="B518" s="3"/>
      <c r="C518" s="3" t="s">
        <v>17</v>
      </c>
      <c r="D518" s="4" t="s">
        <v>556</v>
      </c>
      <c r="E518" s="3" t="s">
        <v>166</v>
      </c>
      <c r="F518" s="5">
        <v>46114.493055555555</v>
      </c>
      <c r="G518" s="5">
        <v>46113.78357638889</v>
      </c>
      <c r="H518" s="3" t="s">
        <v>14</v>
      </c>
      <c r="I518" s="7">
        <v>0.0</v>
      </c>
      <c r="J518" s="3" t="s">
        <v>15</v>
      </c>
    </row>
    <row r="519">
      <c r="A519" s="3"/>
      <c r="B519" s="3"/>
      <c r="C519" s="3" t="s">
        <v>21</v>
      </c>
      <c r="D519" s="4" t="s">
        <v>556</v>
      </c>
      <c r="E519" s="3" t="s">
        <v>166</v>
      </c>
      <c r="F519" s="5">
        <v>46114.59722222222</v>
      </c>
      <c r="G519" s="5">
        <v>46113.78430555556</v>
      </c>
      <c r="H519" s="3" t="s">
        <v>14</v>
      </c>
      <c r="I519" s="7">
        <v>0.0</v>
      </c>
      <c r="J519" s="3" t="s">
        <v>15</v>
      </c>
    </row>
    <row r="520">
      <c r="A520" s="3"/>
      <c r="B520" s="3"/>
      <c r="C520" s="3" t="s">
        <v>24</v>
      </c>
      <c r="D520" s="4" t="s">
        <v>556</v>
      </c>
      <c r="E520" s="3" t="s">
        <v>166</v>
      </c>
      <c r="F520" s="5">
        <v>46115.59722222222</v>
      </c>
      <c r="G520" s="5">
        <v>46114.45486111111</v>
      </c>
      <c r="H520" s="3" t="s">
        <v>14</v>
      </c>
      <c r="I520" s="7">
        <v>0.0</v>
      </c>
      <c r="J520" s="3" t="s">
        <v>15</v>
      </c>
    </row>
    <row r="521">
      <c r="A521" s="3"/>
      <c r="B521" s="3"/>
      <c r="C521" s="3" t="s">
        <v>26</v>
      </c>
      <c r="D521" s="4" t="s">
        <v>556</v>
      </c>
      <c r="E521" s="3" t="s">
        <v>166</v>
      </c>
      <c r="F521" s="5">
        <v>46115.63888888889</v>
      </c>
      <c r="G521" s="5">
        <v>46114.45489583333</v>
      </c>
      <c r="H521" s="3" t="s">
        <v>14</v>
      </c>
      <c r="I521" s="7">
        <v>0.0</v>
      </c>
      <c r="J521" s="3" t="s">
        <v>15</v>
      </c>
    </row>
    <row r="522">
      <c r="A522" s="3"/>
      <c r="B522" s="3"/>
      <c r="C522" s="3" t="s">
        <v>10</v>
      </c>
      <c r="D522" s="4" t="s">
        <v>559</v>
      </c>
      <c r="E522" s="3" t="s">
        <v>560</v>
      </c>
      <c r="F522" s="5">
        <v>46114.486805555556</v>
      </c>
      <c r="G522" s="5">
        <v>46113.78319444445</v>
      </c>
      <c r="H522" s="3" t="s">
        <v>14</v>
      </c>
      <c r="I522" s="3">
        <v>0.0</v>
      </c>
      <c r="J522" s="3" t="s">
        <v>15</v>
      </c>
    </row>
    <row r="523">
      <c r="A523" s="3"/>
      <c r="B523" s="3"/>
      <c r="C523" s="3" t="s">
        <v>17</v>
      </c>
      <c r="D523" s="4" t="s">
        <v>559</v>
      </c>
      <c r="E523" s="3" t="s">
        <v>560</v>
      </c>
      <c r="F523" s="5">
        <v>46114.49375</v>
      </c>
      <c r="G523" s="5">
        <v>46113.783587962964</v>
      </c>
      <c r="H523" s="3" t="s">
        <v>14</v>
      </c>
      <c r="I523" s="7">
        <v>0.0</v>
      </c>
      <c r="J523" s="3" t="s">
        <v>15</v>
      </c>
    </row>
    <row r="524">
      <c r="A524" s="3"/>
      <c r="B524" s="3"/>
      <c r="C524" s="3" t="s">
        <v>21</v>
      </c>
      <c r="D524" s="4" t="s">
        <v>559</v>
      </c>
      <c r="E524" s="3" t="s">
        <v>560</v>
      </c>
      <c r="F524" s="5">
        <v>46114.597916666666</v>
      </c>
      <c r="G524" s="5">
        <v>46113.78435185185</v>
      </c>
      <c r="H524" s="3" t="s">
        <v>14</v>
      </c>
      <c r="I524" s="7">
        <v>0.0</v>
      </c>
      <c r="J524" s="3" t="s">
        <v>15</v>
      </c>
    </row>
    <row r="525">
      <c r="A525" s="3"/>
      <c r="B525" s="3"/>
      <c r="C525" s="3" t="s">
        <v>24</v>
      </c>
      <c r="D525" s="4" t="s">
        <v>559</v>
      </c>
      <c r="E525" s="3" t="s">
        <v>560</v>
      </c>
      <c r="F525" s="5">
        <v>46115.597916666666</v>
      </c>
      <c r="G525" s="5">
        <v>46114.454872685186</v>
      </c>
      <c r="H525" s="3" t="s">
        <v>14</v>
      </c>
      <c r="I525" s="7">
        <v>0.0</v>
      </c>
      <c r="J525" s="3" t="s">
        <v>15</v>
      </c>
    </row>
    <row r="526">
      <c r="A526" s="3"/>
      <c r="B526" s="3"/>
      <c r="C526" s="3" t="s">
        <v>26</v>
      </c>
      <c r="D526" s="4" t="s">
        <v>559</v>
      </c>
      <c r="E526" s="3" t="s">
        <v>560</v>
      </c>
      <c r="F526" s="5">
        <v>46115.63958333333</v>
      </c>
      <c r="G526" s="5">
        <v>46114.45490740741</v>
      </c>
      <c r="H526" s="3" t="s">
        <v>14</v>
      </c>
      <c r="I526" s="7">
        <v>0.0</v>
      </c>
      <c r="J526" s="3" t="s">
        <v>15</v>
      </c>
    </row>
    <row r="527">
      <c r="A527" s="3"/>
      <c r="B527" s="3"/>
      <c r="C527" s="3" t="s">
        <v>10</v>
      </c>
      <c r="D527" s="4" t="s">
        <v>565</v>
      </c>
      <c r="E527" s="3" t="s">
        <v>566</v>
      </c>
      <c r="F527" s="5">
        <v>46114.741435185184</v>
      </c>
      <c r="G527" s="5">
        <v>46114.61476851852</v>
      </c>
      <c r="H527" s="3" t="s">
        <v>14</v>
      </c>
      <c r="I527" s="3">
        <v>0.0</v>
      </c>
      <c r="J527" s="3" t="s">
        <v>48</v>
      </c>
    </row>
    <row r="528">
      <c r="A528" s="3"/>
      <c r="B528" s="3"/>
      <c r="C528" s="3" t="s">
        <v>17</v>
      </c>
      <c r="D528" s="4" t="s">
        <v>565</v>
      </c>
      <c r="E528" s="3" t="s">
        <v>566</v>
      </c>
      <c r="F528" s="5">
        <v>46114.74837962963</v>
      </c>
      <c r="G528" s="5">
        <v>46114.614849537036</v>
      </c>
      <c r="H528" s="3" t="s">
        <v>14</v>
      </c>
      <c r="I528" s="7">
        <v>0.0</v>
      </c>
      <c r="J528" s="3" t="s">
        <v>48</v>
      </c>
    </row>
    <row r="529">
      <c r="A529" s="3"/>
      <c r="B529" s="3"/>
      <c r="C529" s="3" t="s">
        <v>21</v>
      </c>
      <c r="D529" s="4" t="s">
        <v>565</v>
      </c>
      <c r="E529" s="3" t="s">
        <v>566</v>
      </c>
      <c r="F529" s="5">
        <v>46115.45625</v>
      </c>
      <c r="G529" s="5">
        <v>46114.614895833336</v>
      </c>
      <c r="H529" s="3" t="s">
        <v>14</v>
      </c>
      <c r="I529" s="7">
        <v>0.0</v>
      </c>
      <c r="J529" s="3" t="s">
        <v>48</v>
      </c>
    </row>
    <row r="530">
      <c r="A530" s="3"/>
      <c r="B530" s="3"/>
      <c r="C530" s="3" t="s">
        <v>24</v>
      </c>
      <c r="D530" s="4" t="s">
        <v>565</v>
      </c>
      <c r="E530" s="3" t="s">
        <v>566</v>
      </c>
      <c r="F530" s="5">
        <v>46116.45625</v>
      </c>
      <c r="G530" s="5">
        <v>46115.43877314815</v>
      </c>
      <c r="H530" s="3" t="s">
        <v>14</v>
      </c>
      <c r="I530" s="7">
        <v>0.0</v>
      </c>
      <c r="J530" s="3" t="s">
        <v>48</v>
      </c>
    </row>
    <row r="531">
      <c r="A531" s="3"/>
      <c r="B531" s="3"/>
      <c r="C531" s="3" t="s">
        <v>26</v>
      </c>
      <c r="D531" s="4" t="s">
        <v>565</v>
      </c>
      <c r="E531" s="3" t="s">
        <v>566</v>
      </c>
      <c r="F531" s="5">
        <v>46116.49791666667</v>
      </c>
      <c r="G531" s="5">
        <v>46115.43886574074</v>
      </c>
      <c r="H531" s="3" t="s">
        <v>14</v>
      </c>
      <c r="I531" s="7">
        <v>0.0</v>
      </c>
      <c r="J531" s="3" t="s">
        <v>48</v>
      </c>
    </row>
    <row r="532">
      <c r="A532" s="3"/>
      <c r="B532" s="3"/>
      <c r="C532" s="3" t="s">
        <v>10</v>
      </c>
      <c r="D532" s="4" t="s">
        <v>568</v>
      </c>
      <c r="E532" s="3" t="s">
        <v>566</v>
      </c>
      <c r="F532" s="5">
        <v>46114.80386574074</v>
      </c>
      <c r="G532" s="5">
        <v>46114.61476851852</v>
      </c>
      <c r="H532" s="3" t="s">
        <v>14</v>
      </c>
      <c r="I532" s="3">
        <v>0.0</v>
      </c>
      <c r="J532" s="3" t="s">
        <v>48</v>
      </c>
    </row>
    <row r="533">
      <c r="A533" s="3"/>
      <c r="B533" s="3"/>
      <c r="C533" s="3" t="s">
        <v>17</v>
      </c>
      <c r="D533" s="4" t="s">
        <v>568</v>
      </c>
      <c r="E533" s="3" t="s">
        <v>566</v>
      </c>
      <c r="F533" s="5">
        <v>46114.81081018518</v>
      </c>
      <c r="G533" s="5">
        <v>46114.680300925924</v>
      </c>
      <c r="H533" s="3" t="s">
        <v>14</v>
      </c>
      <c r="I533" s="7">
        <v>0.0</v>
      </c>
      <c r="J533" s="3" t="s">
        <v>48</v>
      </c>
    </row>
    <row r="534">
      <c r="A534" s="3"/>
      <c r="B534" s="3"/>
      <c r="C534" s="3" t="s">
        <v>21</v>
      </c>
      <c r="D534" s="4" t="s">
        <v>568</v>
      </c>
      <c r="E534" s="3" t="s">
        <v>566</v>
      </c>
      <c r="F534" s="5">
        <v>46115.47708333333</v>
      </c>
      <c r="G534" s="5">
        <v>46114.78766203704</v>
      </c>
      <c r="H534" s="3" t="s">
        <v>14</v>
      </c>
      <c r="I534" s="7">
        <v>0.0</v>
      </c>
      <c r="J534" s="3" t="s">
        <v>48</v>
      </c>
    </row>
    <row r="535">
      <c r="A535" s="3"/>
      <c r="B535" s="3"/>
      <c r="C535" s="3" t="s">
        <v>24</v>
      </c>
      <c r="D535" s="4" t="s">
        <v>568</v>
      </c>
      <c r="E535" s="3" t="s">
        <v>566</v>
      </c>
      <c r="F535" s="5">
        <v>46116.47708333333</v>
      </c>
      <c r="G535" s="5">
        <v>46115.438796296294</v>
      </c>
      <c r="H535" s="3" t="s">
        <v>14</v>
      </c>
      <c r="I535" s="7">
        <v>0.0</v>
      </c>
      <c r="J535" s="3" t="s">
        <v>48</v>
      </c>
    </row>
    <row r="536">
      <c r="A536" s="3"/>
      <c r="B536" s="3"/>
      <c r="C536" s="3" t="s">
        <v>26</v>
      </c>
      <c r="D536" s="4" t="s">
        <v>568</v>
      </c>
      <c r="E536" s="3" t="s">
        <v>566</v>
      </c>
      <c r="F536" s="5">
        <v>46116.51875</v>
      </c>
      <c r="G536" s="5">
        <v>46115.438888888886</v>
      </c>
      <c r="H536" s="3" t="s">
        <v>14</v>
      </c>
      <c r="I536" s="7">
        <v>0.0</v>
      </c>
      <c r="J536" s="3" t="s">
        <v>48</v>
      </c>
    </row>
    <row r="537">
      <c r="A537" s="3"/>
      <c r="B537" s="3"/>
      <c r="C537" s="3" t="s">
        <v>10</v>
      </c>
      <c r="D537" s="4" t="s">
        <v>572</v>
      </c>
      <c r="E537" s="3" t="s">
        <v>573</v>
      </c>
      <c r="F537" s="5">
        <v>46115.42638888889</v>
      </c>
      <c r="G537" s="5">
        <v>46114.68001157408</v>
      </c>
      <c r="H537" s="3" t="s">
        <v>14</v>
      </c>
      <c r="I537" s="3">
        <v>0.0</v>
      </c>
      <c r="J537" s="3" t="s">
        <v>15</v>
      </c>
    </row>
    <row r="538">
      <c r="A538" s="3"/>
      <c r="B538" s="3"/>
      <c r="C538" s="3" t="s">
        <v>17</v>
      </c>
      <c r="D538" s="4" t="s">
        <v>572</v>
      </c>
      <c r="E538" s="3" t="s">
        <v>573</v>
      </c>
      <c r="F538" s="5">
        <v>46115.433333333334</v>
      </c>
      <c r="G538" s="5">
        <v>46114.68025462963</v>
      </c>
      <c r="H538" s="3" t="s">
        <v>14</v>
      </c>
      <c r="I538" s="7">
        <v>0.0</v>
      </c>
      <c r="J538" s="3" t="s">
        <v>15</v>
      </c>
    </row>
    <row r="539">
      <c r="A539" s="3"/>
      <c r="B539" s="3"/>
      <c r="C539" s="3" t="s">
        <v>21</v>
      </c>
      <c r="D539" s="4" t="s">
        <v>572</v>
      </c>
      <c r="E539" s="3" t="s">
        <v>573</v>
      </c>
      <c r="F539" s="5">
        <v>46115.5375</v>
      </c>
      <c r="G539" s="5">
        <v>46114.71440972222</v>
      </c>
      <c r="H539" s="3" t="s">
        <v>14</v>
      </c>
      <c r="I539" s="7">
        <v>0.0</v>
      </c>
      <c r="J539" s="3" t="s">
        <v>15</v>
      </c>
    </row>
    <row r="540">
      <c r="A540" s="3"/>
      <c r="B540" s="3"/>
      <c r="C540" s="3" t="s">
        <v>24</v>
      </c>
      <c r="D540" s="4" t="s">
        <v>572</v>
      </c>
      <c r="E540" s="3" t="s">
        <v>573</v>
      </c>
      <c r="F540" s="5">
        <v>46116.5375</v>
      </c>
      <c r="G540" s="5">
        <v>46114.78769675926</v>
      </c>
      <c r="H540" s="3" t="s">
        <v>14</v>
      </c>
      <c r="I540" s="7">
        <v>0.0</v>
      </c>
      <c r="J540" s="3" t="s">
        <v>15</v>
      </c>
    </row>
    <row r="541">
      <c r="A541" s="3"/>
      <c r="B541" s="3"/>
      <c r="C541" s="3" t="s">
        <v>26</v>
      </c>
      <c r="D541" s="4" t="s">
        <v>572</v>
      </c>
      <c r="E541" s="3" t="s">
        <v>573</v>
      </c>
      <c r="F541" s="5">
        <v>46116.57916666667</v>
      </c>
      <c r="G541" s="5">
        <v>46114.787939814814</v>
      </c>
      <c r="H541" s="3" t="s">
        <v>14</v>
      </c>
      <c r="I541" s="7">
        <v>0.0</v>
      </c>
      <c r="J541" s="3" t="s">
        <v>15</v>
      </c>
    </row>
    <row r="542">
      <c r="A542" s="3"/>
      <c r="B542" s="3"/>
      <c r="C542" s="3" t="s">
        <v>10</v>
      </c>
      <c r="D542" s="4" t="s">
        <v>575</v>
      </c>
      <c r="E542" s="3" t="s">
        <v>275</v>
      </c>
      <c r="F542" s="5">
        <v>46115.427777777775</v>
      </c>
      <c r="G542" s="5">
        <v>46114.68017361111</v>
      </c>
      <c r="H542" s="3" t="s">
        <v>14</v>
      </c>
      <c r="I542" s="3">
        <v>0.0</v>
      </c>
      <c r="J542" s="3" t="s">
        <v>15</v>
      </c>
    </row>
    <row r="543">
      <c r="A543" s="3"/>
      <c r="B543" s="3"/>
      <c r="C543" s="3" t="s">
        <v>17</v>
      </c>
      <c r="D543" s="4" t="s">
        <v>575</v>
      </c>
      <c r="E543" s="3" t="s">
        <v>275</v>
      </c>
      <c r="F543" s="5">
        <v>46115.43472222222</v>
      </c>
      <c r="G543" s="5">
        <v>46114.68032407408</v>
      </c>
      <c r="H543" s="3" t="s">
        <v>14</v>
      </c>
      <c r="I543" s="7">
        <v>0.0</v>
      </c>
      <c r="J543" s="3" t="s">
        <v>15</v>
      </c>
    </row>
    <row r="544">
      <c r="A544" s="3"/>
      <c r="B544" s="3"/>
      <c r="C544" s="3" t="s">
        <v>21</v>
      </c>
      <c r="D544" s="4" t="s">
        <v>575</v>
      </c>
      <c r="E544" s="3" t="s">
        <v>275</v>
      </c>
      <c r="F544" s="5">
        <v>46115.53888888889</v>
      </c>
      <c r="G544" s="5">
        <v>46114.71440972222</v>
      </c>
      <c r="H544" s="3" t="s">
        <v>14</v>
      </c>
      <c r="I544" s="7">
        <v>0.0</v>
      </c>
      <c r="J544" s="3" t="s">
        <v>15</v>
      </c>
    </row>
    <row r="545">
      <c r="A545" s="3"/>
      <c r="B545" s="3"/>
      <c r="C545" s="3" t="s">
        <v>24</v>
      </c>
      <c r="D545" s="4" t="s">
        <v>575</v>
      </c>
      <c r="E545" s="3" t="s">
        <v>275</v>
      </c>
      <c r="F545" s="5">
        <v>46116.53888888889</v>
      </c>
      <c r="G545" s="5">
        <v>46114.78773148148</v>
      </c>
      <c r="H545" s="3" t="s">
        <v>14</v>
      </c>
      <c r="I545" s="7">
        <v>0.0</v>
      </c>
      <c r="J545" s="3" t="s">
        <v>15</v>
      </c>
    </row>
    <row r="546">
      <c r="A546" s="3"/>
      <c r="B546" s="3"/>
      <c r="C546" s="3" t="s">
        <v>26</v>
      </c>
      <c r="D546" s="4" t="s">
        <v>575</v>
      </c>
      <c r="E546" s="3" t="s">
        <v>275</v>
      </c>
      <c r="F546" s="5">
        <v>46116.580555555556</v>
      </c>
      <c r="G546" s="5">
        <v>46114.78795138889</v>
      </c>
      <c r="H546" s="3" t="s">
        <v>14</v>
      </c>
      <c r="I546" s="7">
        <v>0.0</v>
      </c>
      <c r="J546" s="3" t="s">
        <v>15</v>
      </c>
    </row>
    <row r="547">
      <c r="A547" s="3"/>
      <c r="B547" s="3"/>
      <c r="C547" s="3" t="s">
        <v>10</v>
      </c>
      <c r="D547" s="4" t="s">
        <v>579</v>
      </c>
      <c r="E547" s="3" t="s">
        <v>580</v>
      </c>
      <c r="F547" s="5">
        <v>46115.63945601852</v>
      </c>
      <c r="G547" s="5">
        <v>46115.51587962963</v>
      </c>
      <c r="H547" s="3" t="s">
        <v>14</v>
      </c>
      <c r="I547" s="3">
        <v>0.0</v>
      </c>
      <c r="J547" s="3" t="s">
        <v>72</v>
      </c>
    </row>
    <row r="548">
      <c r="A548" s="3"/>
      <c r="B548" s="3"/>
      <c r="C548" s="3" t="s">
        <v>17</v>
      </c>
      <c r="D548" s="4" t="s">
        <v>579</v>
      </c>
      <c r="E548" s="3" t="s">
        <v>580</v>
      </c>
      <c r="F548" s="5">
        <v>46115.64640046296</v>
      </c>
      <c r="G548" s="5">
        <v>46115.516168981485</v>
      </c>
      <c r="H548" s="3" t="s">
        <v>14</v>
      </c>
      <c r="I548" s="7">
        <v>0.0</v>
      </c>
      <c r="J548" s="3" t="s">
        <v>72</v>
      </c>
    </row>
    <row r="549">
      <c r="A549" s="3"/>
      <c r="B549" s="3"/>
      <c r="C549" s="3" t="s">
        <v>21</v>
      </c>
      <c r="D549" s="4" t="s">
        <v>579</v>
      </c>
      <c r="E549" s="3" t="s">
        <v>580</v>
      </c>
      <c r="F549" s="5">
        <v>46115.75056712963</v>
      </c>
      <c r="G549" s="5">
        <v>46115.51621527778</v>
      </c>
      <c r="H549" s="3" t="s">
        <v>14</v>
      </c>
      <c r="I549" s="7">
        <v>0.0</v>
      </c>
      <c r="J549" s="3" t="s">
        <v>72</v>
      </c>
    </row>
    <row r="550">
      <c r="A550" s="3"/>
      <c r="B550" s="3"/>
      <c r="C550" s="3" t="s">
        <v>24</v>
      </c>
      <c r="D550" s="4" t="s">
        <v>579</v>
      </c>
      <c r="E550" s="3" t="s">
        <v>580</v>
      </c>
      <c r="F550" s="5">
        <v>46116.75</v>
      </c>
      <c r="G550" s="5">
        <v>46115.51672453704</v>
      </c>
      <c r="H550" s="3" t="s">
        <v>14</v>
      </c>
      <c r="I550" s="7">
        <v>0.0</v>
      </c>
      <c r="J550" s="3" t="s">
        <v>72</v>
      </c>
    </row>
    <row r="551">
      <c r="A551" s="3"/>
      <c r="B551" s="3"/>
      <c r="C551" s="3" t="s">
        <v>26</v>
      </c>
      <c r="D551" s="4" t="s">
        <v>579</v>
      </c>
      <c r="E551" s="3" t="s">
        <v>580</v>
      </c>
      <c r="F551" s="5">
        <v>46116.791666666664</v>
      </c>
      <c r="G551" s="5">
        <v>46115.69564814815</v>
      </c>
      <c r="H551" s="3" t="s">
        <v>14</v>
      </c>
      <c r="I551" s="7">
        <v>0.0</v>
      </c>
      <c r="J551" s="3" t="s">
        <v>72</v>
      </c>
    </row>
    <row r="552">
      <c r="A552" s="3"/>
      <c r="B552" s="3"/>
      <c r="C552" s="3" t="s">
        <v>10</v>
      </c>
      <c r="D552" s="4" t="s">
        <v>582</v>
      </c>
      <c r="E552" s="3" t="s">
        <v>583</v>
      </c>
      <c r="F552" s="5">
        <v>46115.6456712963</v>
      </c>
      <c r="G552" s="5">
        <v>46115.515868055554</v>
      </c>
      <c r="H552" s="3" t="s">
        <v>14</v>
      </c>
      <c r="I552" s="3">
        <v>0.0</v>
      </c>
      <c r="J552" s="3" t="s">
        <v>72</v>
      </c>
    </row>
    <row r="553">
      <c r="A553" s="3"/>
      <c r="B553" s="3"/>
      <c r="C553" s="3" t="s">
        <v>17</v>
      </c>
      <c r="D553" s="4" t="s">
        <v>582</v>
      </c>
      <c r="E553" s="3" t="s">
        <v>583</v>
      </c>
      <c r="F553" s="5">
        <v>46115.65261574074</v>
      </c>
      <c r="G553" s="5">
        <v>46115.516168981485</v>
      </c>
      <c r="H553" s="3" t="s">
        <v>14</v>
      </c>
      <c r="I553" s="7">
        <v>0.0</v>
      </c>
      <c r="J553" s="3" t="s">
        <v>72</v>
      </c>
    </row>
    <row r="554">
      <c r="A554" s="3"/>
      <c r="B554" s="3"/>
      <c r="C554" s="3" t="s">
        <v>21</v>
      </c>
      <c r="D554" s="4" t="s">
        <v>582</v>
      </c>
      <c r="E554" s="3" t="s">
        <v>583</v>
      </c>
      <c r="F554" s="5">
        <v>46115.75678240741</v>
      </c>
      <c r="G554" s="5">
        <v>46115.516226851854</v>
      </c>
      <c r="H554" s="3" t="s">
        <v>14</v>
      </c>
      <c r="I554" s="7">
        <v>0.0</v>
      </c>
      <c r="J554" s="3" t="s">
        <v>72</v>
      </c>
    </row>
    <row r="555">
      <c r="A555" s="3"/>
      <c r="B555" s="3"/>
      <c r="C555" s="3" t="s">
        <v>24</v>
      </c>
      <c r="D555" s="4" t="s">
        <v>582</v>
      </c>
      <c r="E555" s="3" t="s">
        <v>583</v>
      </c>
      <c r="F555" s="5">
        <v>46116.75625</v>
      </c>
      <c r="G555" s="5">
        <v>46115.51672453704</v>
      </c>
      <c r="H555" s="3" t="s">
        <v>14</v>
      </c>
      <c r="I555" s="7">
        <v>0.0</v>
      </c>
      <c r="J555" s="3" t="s">
        <v>72</v>
      </c>
    </row>
    <row r="556">
      <c r="A556" s="3"/>
      <c r="B556" s="3"/>
      <c r="C556" s="3" t="s">
        <v>26</v>
      </c>
      <c r="D556" s="4" t="s">
        <v>582</v>
      </c>
      <c r="E556" s="3" t="s">
        <v>583</v>
      </c>
      <c r="F556" s="5">
        <v>46116.79791666667</v>
      </c>
      <c r="G556" s="5">
        <v>46115.690983796296</v>
      </c>
      <c r="H556" s="3" t="s">
        <v>14</v>
      </c>
      <c r="I556" s="7">
        <v>0.0</v>
      </c>
      <c r="J556" s="3" t="s">
        <v>72</v>
      </c>
    </row>
    <row r="557">
      <c r="A557" s="3"/>
      <c r="B557" s="3"/>
      <c r="C557" s="3" t="s">
        <v>10</v>
      </c>
      <c r="D557" s="4" t="s">
        <v>587</v>
      </c>
      <c r="E557" s="3" t="s">
        <v>407</v>
      </c>
      <c r="F557" s="5">
        <v>46115.64949074074</v>
      </c>
      <c r="G557" s="5">
        <v>46115.51587962963</v>
      </c>
      <c r="H557" s="3" t="s">
        <v>14</v>
      </c>
      <c r="I557" s="3">
        <v>0.0</v>
      </c>
      <c r="J557" s="3" t="s">
        <v>15</v>
      </c>
    </row>
    <row r="558">
      <c r="A558" s="3"/>
      <c r="B558" s="3"/>
      <c r="C558" s="3" t="s">
        <v>17</v>
      </c>
      <c r="D558" s="4" t="s">
        <v>587</v>
      </c>
      <c r="E558" s="3" t="s">
        <v>407</v>
      </c>
      <c r="F558" s="5">
        <v>46115.656435185185</v>
      </c>
      <c r="G558" s="5">
        <v>46115.516180555554</v>
      </c>
      <c r="H558" s="3" t="s">
        <v>14</v>
      </c>
      <c r="I558" s="7">
        <v>0.0</v>
      </c>
      <c r="J558" s="3" t="s">
        <v>15</v>
      </c>
    </row>
    <row r="559">
      <c r="A559" s="3"/>
      <c r="B559" s="3"/>
      <c r="C559" s="3" t="s">
        <v>21</v>
      </c>
      <c r="D559" s="4" t="s">
        <v>587</v>
      </c>
      <c r="E559" s="3" t="s">
        <v>407</v>
      </c>
      <c r="F559" s="5">
        <v>46115.76060185185</v>
      </c>
      <c r="G559" s="5">
        <v>46115.652962962966</v>
      </c>
      <c r="H559" s="3" t="s">
        <v>14</v>
      </c>
      <c r="I559" s="7">
        <v>0.0</v>
      </c>
      <c r="J559" s="3" t="s">
        <v>15</v>
      </c>
    </row>
    <row r="560">
      <c r="A560" s="3"/>
      <c r="B560" s="3"/>
      <c r="C560" s="3" t="s">
        <v>24</v>
      </c>
      <c r="D560" s="4" t="s">
        <v>587</v>
      </c>
      <c r="E560" s="3" t="s">
        <v>407</v>
      </c>
      <c r="F560" s="5">
        <v>46116.760416666664</v>
      </c>
      <c r="G560" s="5">
        <v>46115.51672453704</v>
      </c>
      <c r="H560" s="3" t="s">
        <v>14</v>
      </c>
      <c r="I560" s="7">
        <v>0.0</v>
      </c>
      <c r="J560" s="3" t="s">
        <v>15</v>
      </c>
    </row>
    <row r="561">
      <c r="A561" s="3"/>
      <c r="B561" s="3"/>
      <c r="C561" s="3" t="s">
        <v>26</v>
      </c>
      <c r="D561" s="4" t="s">
        <v>587</v>
      </c>
      <c r="E561" s="3" t="s">
        <v>407</v>
      </c>
      <c r="F561" s="5">
        <v>46116.802083333336</v>
      </c>
      <c r="G561" s="5">
        <v>46115.69100694444</v>
      </c>
      <c r="H561" s="3" t="s">
        <v>14</v>
      </c>
      <c r="I561" s="7">
        <v>0.0</v>
      </c>
      <c r="J561" s="3" t="s">
        <v>15</v>
      </c>
    </row>
    <row r="562">
      <c r="A562" s="3"/>
      <c r="B562" s="3"/>
      <c r="C562" s="3" t="s">
        <v>10</v>
      </c>
      <c r="D562" s="4" t="s">
        <v>592</v>
      </c>
      <c r="E562" s="3" t="s">
        <v>593</v>
      </c>
      <c r="F562" s="5">
        <v>46115.71160879629</v>
      </c>
      <c r="G562" s="5">
        <v>46115.54547453704</v>
      </c>
      <c r="H562" s="3" t="s">
        <v>14</v>
      </c>
      <c r="I562" s="3">
        <v>0.0</v>
      </c>
      <c r="J562" s="3" t="s">
        <v>15</v>
      </c>
    </row>
    <row r="563">
      <c r="A563" s="3"/>
      <c r="B563" s="3"/>
      <c r="C563" s="3" t="s">
        <v>17</v>
      </c>
      <c r="D563" s="4" t="s">
        <v>592</v>
      </c>
      <c r="E563" s="3" t="s">
        <v>593</v>
      </c>
      <c r="F563" s="5">
        <v>46115.71855324074</v>
      </c>
      <c r="G563" s="5">
        <v>46115.54601851852</v>
      </c>
      <c r="H563" s="3" t="s">
        <v>14</v>
      </c>
      <c r="I563" s="7">
        <v>0.0</v>
      </c>
      <c r="J563" s="3" t="s">
        <v>15</v>
      </c>
    </row>
    <row r="564">
      <c r="A564" s="3"/>
      <c r="B564" s="3"/>
      <c r="C564" s="3" t="s">
        <v>21</v>
      </c>
      <c r="D564" s="4" t="s">
        <v>592</v>
      </c>
      <c r="E564" s="3" t="s">
        <v>593</v>
      </c>
      <c r="F564" s="5">
        <v>46115.82271990741</v>
      </c>
      <c r="G564" s="5">
        <v>46115.653333333335</v>
      </c>
      <c r="H564" s="3" t="s">
        <v>14</v>
      </c>
      <c r="I564" s="7">
        <v>0.0</v>
      </c>
      <c r="J564" s="3" t="s">
        <v>15</v>
      </c>
    </row>
    <row r="565">
      <c r="A565" s="3"/>
      <c r="B565" s="3"/>
      <c r="C565" s="3" t="s">
        <v>24</v>
      </c>
      <c r="D565" s="4" t="s">
        <v>592</v>
      </c>
      <c r="E565" s="3" t="s">
        <v>593</v>
      </c>
      <c r="F565" s="5">
        <v>46116.822222222225</v>
      </c>
      <c r="G565" s="5">
        <v>46115.690833333334</v>
      </c>
      <c r="H565" s="3" t="s">
        <v>14</v>
      </c>
      <c r="I565" s="7">
        <v>0.0</v>
      </c>
      <c r="J565" s="3" t="s">
        <v>15</v>
      </c>
    </row>
    <row r="566">
      <c r="A566" s="3"/>
      <c r="B566" s="3"/>
      <c r="C566" s="3" t="s">
        <v>26</v>
      </c>
      <c r="D566" s="4" t="s">
        <v>592</v>
      </c>
      <c r="E566" s="3" t="s">
        <v>593</v>
      </c>
      <c r="F566" s="5">
        <v>46118.447222222225</v>
      </c>
      <c r="G566" s="5">
        <v>46115.69087962963</v>
      </c>
      <c r="H566" s="3" t="s">
        <v>14</v>
      </c>
      <c r="I566" s="7">
        <v>0.0</v>
      </c>
      <c r="J566" s="3" t="s">
        <v>15</v>
      </c>
    </row>
    <row r="567">
      <c r="A567" s="3"/>
      <c r="B567" s="3"/>
      <c r="C567" s="3" t="s">
        <v>10</v>
      </c>
      <c r="D567" s="4" t="s">
        <v>595</v>
      </c>
      <c r="E567" s="3" t="s">
        <v>166</v>
      </c>
      <c r="F567" s="5">
        <v>46115.72409722222</v>
      </c>
      <c r="G567" s="5">
        <v>46115.65248842593</v>
      </c>
      <c r="H567" s="3" t="s">
        <v>14</v>
      </c>
      <c r="I567" s="3">
        <v>0.0</v>
      </c>
      <c r="J567" s="3" t="s">
        <v>15</v>
      </c>
    </row>
    <row r="568">
      <c r="A568" s="3"/>
      <c r="B568" s="3"/>
      <c r="C568" s="3" t="s">
        <v>17</v>
      </c>
      <c r="D568" s="4" t="s">
        <v>595</v>
      </c>
      <c r="E568" s="3" t="s">
        <v>166</v>
      </c>
      <c r="F568" s="5">
        <v>46115.731041666666</v>
      </c>
      <c r="G568" s="5">
        <v>46115.65274305556</v>
      </c>
      <c r="H568" s="3" t="s">
        <v>14</v>
      </c>
      <c r="I568" s="7">
        <v>0.0</v>
      </c>
      <c r="J568" s="3" t="s">
        <v>15</v>
      </c>
    </row>
    <row r="569">
      <c r="A569" s="3"/>
      <c r="B569" s="3"/>
      <c r="C569" s="3" t="s">
        <v>21</v>
      </c>
      <c r="D569" s="4" t="s">
        <v>595</v>
      </c>
      <c r="E569" s="3" t="s">
        <v>166</v>
      </c>
      <c r="F569" s="5">
        <v>46116.438888888886</v>
      </c>
      <c r="G569" s="5">
        <v>46115.652766203704</v>
      </c>
      <c r="H569" s="3" t="s">
        <v>14</v>
      </c>
      <c r="I569" s="7">
        <v>0.0</v>
      </c>
      <c r="J569" s="3" t="s">
        <v>15</v>
      </c>
    </row>
    <row r="570">
      <c r="A570" s="3"/>
      <c r="B570" s="3"/>
      <c r="C570" s="3" t="s">
        <v>24</v>
      </c>
      <c r="D570" s="4" t="s">
        <v>595</v>
      </c>
      <c r="E570" s="3" t="s">
        <v>166</v>
      </c>
      <c r="F570" s="5">
        <v>46118.438888888886</v>
      </c>
      <c r="G570" s="5">
        <v>46115.69091435185</v>
      </c>
      <c r="H570" s="3" t="s">
        <v>14</v>
      </c>
      <c r="I570" s="7">
        <v>0.0</v>
      </c>
      <c r="J570" s="3" t="s">
        <v>15</v>
      </c>
    </row>
    <row r="571">
      <c r="A571" s="3"/>
      <c r="B571" s="3"/>
      <c r="C571" s="3" t="s">
        <v>26</v>
      </c>
      <c r="D571" s="4" t="s">
        <v>595</v>
      </c>
      <c r="E571" s="3" t="s">
        <v>166</v>
      </c>
      <c r="F571" s="5">
        <v>46118.48055555556</v>
      </c>
      <c r="G571" s="5">
        <v>46115.6909375</v>
      </c>
      <c r="H571" s="3" t="s">
        <v>14</v>
      </c>
      <c r="I571" s="7">
        <v>0.0</v>
      </c>
      <c r="J571" s="3" t="s">
        <v>15</v>
      </c>
    </row>
    <row r="572">
      <c r="A572" s="3"/>
      <c r="B572" s="3"/>
      <c r="C572" s="3" t="s">
        <v>10</v>
      </c>
      <c r="D572" s="4" t="s">
        <v>598</v>
      </c>
      <c r="E572" s="3" t="s">
        <v>74</v>
      </c>
      <c r="F572" s="5">
        <v>46115.783530092594</v>
      </c>
      <c r="G572" s="5">
        <v>46115.65282407407</v>
      </c>
      <c r="H572" s="3" t="s">
        <v>14</v>
      </c>
      <c r="I572" s="3">
        <v>0.0</v>
      </c>
      <c r="J572" s="3" t="s">
        <v>72</v>
      </c>
    </row>
    <row r="573">
      <c r="A573" s="3"/>
      <c r="B573" s="3"/>
      <c r="C573" s="3" t="s">
        <v>17</v>
      </c>
      <c r="D573" s="4" t="s">
        <v>598</v>
      </c>
      <c r="E573" s="3" t="s">
        <v>74</v>
      </c>
      <c r="F573" s="5">
        <v>46115.79047453704</v>
      </c>
      <c r="G573" s="5">
        <v>46115.65287037037</v>
      </c>
      <c r="H573" s="3" t="s">
        <v>14</v>
      </c>
      <c r="I573" s="7">
        <v>0.0</v>
      </c>
      <c r="J573" s="3" t="s">
        <v>72</v>
      </c>
    </row>
    <row r="574">
      <c r="A574" s="3"/>
      <c r="B574" s="3"/>
      <c r="C574" s="3" t="s">
        <v>21</v>
      </c>
      <c r="D574" s="4" t="s">
        <v>598</v>
      </c>
      <c r="E574" s="3" t="s">
        <v>74</v>
      </c>
      <c r="F574" s="5">
        <v>46116.498611111114</v>
      </c>
      <c r="G574" s="5">
        <v>46115.695752314816</v>
      </c>
      <c r="H574" s="3" t="s">
        <v>14</v>
      </c>
      <c r="I574" s="7">
        <v>0.0</v>
      </c>
      <c r="J574" s="3" t="s">
        <v>72</v>
      </c>
    </row>
    <row r="575">
      <c r="A575" s="3"/>
      <c r="B575" s="3"/>
      <c r="C575" s="3" t="s">
        <v>24</v>
      </c>
      <c r="D575" s="4" t="s">
        <v>598</v>
      </c>
      <c r="E575" s="3" t="s">
        <v>74</v>
      </c>
      <c r="F575" s="5">
        <v>46118.498611111114</v>
      </c>
      <c r="G575" s="5">
        <v>46115.69598379629</v>
      </c>
      <c r="H575" s="3" t="s">
        <v>14</v>
      </c>
      <c r="I575" s="7">
        <v>0.0</v>
      </c>
      <c r="J575" s="3" t="s">
        <v>72</v>
      </c>
    </row>
    <row r="576">
      <c r="A576" s="3"/>
      <c r="B576" s="3"/>
      <c r="C576" s="3" t="s">
        <v>26</v>
      </c>
      <c r="D576" s="4" t="s">
        <v>598</v>
      </c>
      <c r="E576" s="3" t="s">
        <v>74</v>
      </c>
      <c r="F576" s="5">
        <v>46118.54027777778</v>
      </c>
      <c r="G576" s="5">
        <v>46115.69603009259</v>
      </c>
      <c r="H576" s="3" t="s">
        <v>14</v>
      </c>
      <c r="I576" s="7">
        <v>0.0</v>
      </c>
      <c r="J576" s="3" t="s">
        <v>72</v>
      </c>
    </row>
    <row r="577">
      <c r="A577" s="3"/>
      <c r="B577" s="3"/>
      <c r="C577" s="3" t="s">
        <v>10</v>
      </c>
      <c r="D577" s="4" t="s">
        <v>600</v>
      </c>
      <c r="E577" s="3" t="s">
        <v>601</v>
      </c>
      <c r="F577" s="5">
        <v>46118.48677083333</v>
      </c>
      <c r="G577" s="5">
        <v>46116.67931712963</v>
      </c>
      <c r="H577" s="3" t="s">
        <v>14</v>
      </c>
      <c r="I577" s="3">
        <v>0.0</v>
      </c>
      <c r="J577" s="3" t="s">
        <v>15</v>
      </c>
    </row>
    <row r="578">
      <c r="A578" s="3"/>
      <c r="B578" s="3"/>
      <c r="C578" s="3" t="s">
        <v>17</v>
      </c>
      <c r="D578" s="4" t="s">
        <v>600</v>
      </c>
      <c r="E578" s="3" t="s">
        <v>601</v>
      </c>
      <c r="F578" s="5">
        <v>46118.49371527778</v>
      </c>
      <c r="G578" s="5">
        <v>46116.67952546296</v>
      </c>
      <c r="H578" s="3" t="s">
        <v>14</v>
      </c>
      <c r="I578" s="7">
        <v>0.0</v>
      </c>
      <c r="J578" s="3" t="s">
        <v>15</v>
      </c>
    </row>
    <row r="579">
      <c r="A579" s="3"/>
      <c r="B579" s="3"/>
      <c r="C579" s="3" t="s">
        <v>21</v>
      </c>
      <c r="D579" s="4" t="s">
        <v>600</v>
      </c>
      <c r="E579" s="3" t="s">
        <v>601</v>
      </c>
      <c r="F579" s="5">
        <v>46118.59788194444</v>
      </c>
      <c r="G579" s="5">
        <v>46116.71575231481</v>
      </c>
      <c r="H579" s="3" t="s">
        <v>14</v>
      </c>
      <c r="I579" s="7">
        <v>0.0</v>
      </c>
      <c r="J579" s="3" t="s">
        <v>15</v>
      </c>
    </row>
    <row r="580">
      <c r="A580" s="3"/>
      <c r="B580" s="3"/>
      <c r="C580" s="3" t="s">
        <v>24</v>
      </c>
      <c r="D580" s="4" t="s">
        <v>600</v>
      </c>
      <c r="E580" s="3" t="s">
        <v>601</v>
      </c>
      <c r="F580" s="5">
        <v>46119.59722222222</v>
      </c>
      <c r="G580" s="5">
        <v>46118.438055555554</v>
      </c>
      <c r="H580" s="3" t="s">
        <v>14</v>
      </c>
      <c r="I580" s="7">
        <v>0.0</v>
      </c>
      <c r="J580" s="3" t="s">
        <v>15</v>
      </c>
    </row>
    <row r="581">
      <c r="A581" s="3"/>
      <c r="B581" s="3"/>
      <c r="C581" s="3" t="s">
        <v>26</v>
      </c>
      <c r="D581" s="4" t="s">
        <v>600</v>
      </c>
      <c r="E581" s="3" t="s">
        <v>601</v>
      </c>
      <c r="F581" s="5">
        <v>46119.63888888889</v>
      </c>
      <c r="G581" s="5">
        <v>46118.43809027778</v>
      </c>
      <c r="H581" s="3" t="s">
        <v>14</v>
      </c>
      <c r="I581" s="7">
        <v>0.0</v>
      </c>
      <c r="J581" s="3" t="s">
        <v>15</v>
      </c>
    </row>
    <row r="582">
      <c r="A582" s="3"/>
      <c r="B582" s="3"/>
      <c r="C582" s="3" t="s">
        <v>10</v>
      </c>
      <c r="D582" s="4" t="s">
        <v>604</v>
      </c>
      <c r="E582" s="3" t="s">
        <v>436</v>
      </c>
      <c r="F582" s="5">
        <v>46118.647523148145</v>
      </c>
      <c r="G582" s="5">
        <v>46118.48840277778</v>
      </c>
      <c r="H582" s="3" t="s">
        <v>14</v>
      </c>
      <c r="I582" s="3">
        <v>0.0</v>
      </c>
      <c r="J582" s="3" t="s">
        <v>48</v>
      </c>
    </row>
    <row r="583">
      <c r="A583" s="3"/>
      <c r="B583" s="3"/>
      <c r="C583" s="3" t="s">
        <v>17</v>
      </c>
      <c r="D583" s="4" t="s">
        <v>604</v>
      </c>
      <c r="E583" s="3" t="s">
        <v>436</v>
      </c>
      <c r="F583" s="5">
        <v>46118.65446759259</v>
      </c>
      <c r="G583" s="5">
        <v>46118.4884375</v>
      </c>
      <c r="H583" s="3" t="s">
        <v>14</v>
      </c>
      <c r="I583" s="7">
        <v>0.0</v>
      </c>
      <c r="J583" s="3" t="s">
        <v>48</v>
      </c>
    </row>
    <row r="584">
      <c r="A584" s="3"/>
      <c r="B584" s="3"/>
      <c r="C584" s="3" t="s">
        <v>21</v>
      </c>
      <c r="D584" s="4" t="s">
        <v>604</v>
      </c>
      <c r="E584" s="3" t="s">
        <v>436</v>
      </c>
      <c r="F584" s="5">
        <v>46118.75863425926</v>
      </c>
      <c r="G584" s="5">
        <v>46118.48851851852</v>
      </c>
      <c r="H584" s="3" t="s">
        <v>14</v>
      </c>
      <c r="I584" s="7">
        <v>0.0</v>
      </c>
      <c r="J584" s="3" t="s">
        <v>48</v>
      </c>
    </row>
    <row r="585">
      <c r="A585" s="3"/>
      <c r="B585" s="3"/>
      <c r="C585" s="3" t="s">
        <v>24</v>
      </c>
      <c r="D585" s="4" t="s">
        <v>604</v>
      </c>
      <c r="E585" s="3" t="s">
        <v>436</v>
      </c>
      <c r="F585" s="5">
        <v>46119.75833333333</v>
      </c>
      <c r="G585" s="5">
        <v>46118.76230324074</v>
      </c>
      <c r="H585" s="3" t="s">
        <v>14</v>
      </c>
      <c r="I585" s="7">
        <v>0.0</v>
      </c>
      <c r="J585" s="3" t="s">
        <v>48</v>
      </c>
    </row>
    <row r="586">
      <c r="A586" s="3"/>
      <c r="B586" s="3"/>
      <c r="C586" s="3" t="s">
        <v>26</v>
      </c>
      <c r="D586" s="4" t="s">
        <v>604</v>
      </c>
      <c r="E586" s="3" t="s">
        <v>436</v>
      </c>
      <c r="F586" s="5">
        <v>46119.8</v>
      </c>
      <c r="G586" s="5">
        <v>46118.762337962966</v>
      </c>
      <c r="H586" s="3" t="s">
        <v>14</v>
      </c>
      <c r="I586" s="7">
        <v>0.0</v>
      </c>
      <c r="J586" s="3" t="s">
        <v>48</v>
      </c>
    </row>
    <row r="587">
      <c r="A587" s="3"/>
      <c r="B587" s="3"/>
      <c r="C587" s="3" t="s">
        <v>10</v>
      </c>
      <c r="D587" s="4" t="s">
        <v>606</v>
      </c>
      <c r="E587" s="3" t="s">
        <v>607</v>
      </c>
      <c r="F587" s="5">
        <v>46118.82678240741</v>
      </c>
      <c r="G587" s="5">
        <v>46118.67244212963</v>
      </c>
      <c r="H587" s="3" t="s">
        <v>14</v>
      </c>
      <c r="I587" s="3">
        <v>0.0</v>
      </c>
      <c r="J587" s="3" t="s">
        <v>72</v>
      </c>
    </row>
    <row r="588">
      <c r="A588" s="3"/>
      <c r="B588" s="3"/>
      <c r="C588" s="3" t="s">
        <v>17</v>
      </c>
      <c r="D588" s="4" t="s">
        <v>606</v>
      </c>
      <c r="E588" s="3" t="s">
        <v>607</v>
      </c>
      <c r="F588" s="5">
        <v>46119.45138888889</v>
      </c>
      <c r="G588" s="5">
        <v>46118.67252314815</v>
      </c>
      <c r="H588" s="3" t="s">
        <v>14</v>
      </c>
      <c r="I588" s="7">
        <v>0.0</v>
      </c>
      <c r="J588" s="3" t="s">
        <v>72</v>
      </c>
    </row>
    <row r="589">
      <c r="A589" s="3"/>
      <c r="B589" s="3"/>
      <c r="C589" s="3" t="s">
        <v>21</v>
      </c>
      <c r="D589" s="4" t="s">
        <v>606</v>
      </c>
      <c r="E589" s="3" t="s">
        <v>607</v>
      </c>
      <c r="F589" s="5">
        <v>46119.555555555555</v>
      </c>
      <c r="G589" s="5">
        <v>46118.762094907404</v>
      </c>
      <c r="H589" s="3" t="s">
        <v>14</v>
      </c>
      <c r="I589" s="7">
        <v>0.0</v>
      </c>
      <c r="J589" s="3" t="s">
        <v>72</v>
      </c>
    </row>
    <row r="590">
      <c r="A590" s="3"/>
      <c r="B590" s="3"/>
      <c r="C590" s="3" t="s">
        <v>24</v>
      </c>
      <c r="D590" s="4" t="s">
        <v>606</v>
      </c>
      <c r="E590" s="3" t="s">
        <v>607</v>
      </c>
      <c r="F590" s="5">
        <v>46120.555555555555</v>
      </c>
      <c r="G590" s="5">
        <v>46119.484988425924</v>
      </c>
      <c r="H590" s="3" t="s">
        <v>14</v>
      </c>
      <c r="I590" s="7">
        <v>0.0</v>
      </c>
      <c r="J590" s="3" t="s">
        <v>72</v>
      </c>
    </row>
    <row r="591">
      <c r="A591" s="3"/>
      <c r="B591" s="3"/>
      <c r="C591" s="3" t="s">
        <v>26</v>
      </c>
      <c r="D591" s="4" t="s">
        <v>606</v>
      </c>
      <c r="E591" s="3" t="s">
        <v>607</v>
      </c>
      <c r="F591" s="5">
        <v>46120.59722222222</v>
      </c>
      <c r="G591" s="5">
        <v>46119.48501157408</v>
      </c>
      <c r="H591" s="3" t="s">
        <v>14</v>
      </c>
      <c r="I591" s="7">
        <v>0.0</v>
      </c>
      <c r="J591" s="3" t="s">
        <v>72</v>
      </c>
    </row>
    <row r="592">
      <c r="A592" s="3"/>
      <c r="B592" s="3"/>
      <c r="C592" s="3" t="s">
        <v>10</v>
      </c>
      <c r="D592" s="4" t="s">
        <v>612</v>
      </c>
      <c r="E592" s="3" t="s">
        <v>613</v>
      </c>
      <c r="F592" s="5">
        <v>46119.486805555556</v>
      </c>
      <c r="G592" s="5">
        <v>46118.76158564815</v>
      </c>
      <c r="H592" s="3" t="s">
        <v>14</v>
      </c>
      <c r="I592" s="3">
        <v>0.0</v>
      </c>
      <c r="J592" s="3" t="s">
        <v>15</v>
      </c>
    </row>
    <row r="593">
      <c r="A593" s="3"/>
      <c r="B593" s="3"/>
      <c r="C593" s="3" t="s">
        <v>17</v>
      </c>
      <c r="D593" s="4" t="s">
        <v>612</v>
      </c>
      <c r="E593" s="3" t="s">
        <v>613</v>
      </c>
      <c r="F593" s="5">
        <v>46119.49375</v>
      </c>
      <c r="G593" s="5">
        <v>46118.76195601852</v>
      </c>
      <c r="H593" s="3" t="s">
        <v>14</v>
      </c>
      <c r="I593" s="7">
        <v>0.0</v>
      </c>
      <c r="J593" s="3" t="s">
        <v>15</v>
      </c>
    </row>
    <row r="594">
      <c r="A594" s="3"/>
      <c r="B594" s="3"/>
      <c r="C594" s="3" t="s">
        <v>21</v>
      </c>
      <c r="D594" s="4" t="s">
        <v>612</v>
      </c>
      <c r="E594" s="3" t="s">
        <v>613</v>
      </c>
      <c r="F594" s="5">
        <v>46119.597916666666</v>
      </c>
      <c r="G594" s="5">
        <v>46118.76212962963</v>
      </c>
      <c r="H594" s="3" t="s">
        <v>14</v>
      </c>
      <c r="I594" s="7">
        <v>0.0</v>
      </c>
      <c r="J594" s="3" t="s">
        <v>15</v>
      </c>
    </row>
    <row r="595">
      <c r="A595" s="3"/>
      <c r="B595" s="3"/>
      <c r="C595" s="3" t="s">
        <v>24</v>
      </c>
      <c r="D595" s="4" t="s">
        <v>612</v>
      </c>
      <c r="E595" s="3" t="s">
        <v>613</v>
      </c>
      <c r="F595" s="5">
        <v>46120.597916666666</v>
      </c>
      <c r="G595" s="5">
        <v>46119.55931712963</v>
      </c>
      <c r="H595" s="3" t="s">
        <v>14</v>
      </c>
      <c r="I595" s="7">
        <v>0.0</v>
      </c>
      <c r="J595" s="3" t="s">
        <v>15</v>
      </c>
    </row>
    <row r="596">
      <c r="A596" s="3"/>
      <c r="B596" s="3"/>
      <c r="C596" s="3" t="s">
        <v>26</v>
      </c>
      <c r="D596" s="4" t="s">
        <v>612</v>
      </c>
      <c r="E596" s="3" t="s">
        <v>613</v>
      </c>
      <c r="F596" s="5">
        <v>46120.63958333333</v>
      </c>
      <c r="G596" s="5">
        <v>46119.559583333335</v>
      </c>
      <c r="H596" s="3" t="s">
        <v>14</v>
      </c>
      <c r="I596" s="7">
        <v>0.0</v>
      </c>
      <c r="J596" s="3" t="s">
        <v>15</v>
      </c>
    </row>
    <row r="597">
      <c r="A597" s="3"/>
      <c r="B597" s="3"/>
      <c r="C597" s="3" t="s">
        <v>10</v>
      </c>
      <c r="D597" s="4" t="s">
        <v>617</v>
      </c>
      <c r="E597" s="3" t="s">
        <v>618</v>
      </c>
      <c r="F597" s="5">
        <v>46119.4875</v>
      </c>
      <c r="G597" s="5">
        <v>46118.761666666665</v>
      </c>
      <c r="H597" s="3" t="s">
        <v>14</v>
      </c>
      <c r="I597" s="3">
        <v>0.0</v>
      </c>
      <c r="J597" s="3" t="s">
        <v>72</v>
      </c>
    </row>
    <row r="598">
      <c r="A598" s="3"/>
      <c r="B598" s="3"/>
      <c r="C598" s="3" t="s">
        <v>17</v>
      </c>
      <c r="D598" s="4" t="s">
        <v>617</v>
      </c>
      <c r="E598" s="3" t="s">
        <v>618</v>
      </c>
      <c r="F598" s="5">
        <v>46119.49444444444</v>
      </c>
      <c r="G598" s="5">
        <v>46118.76199074074</v>
      </c>
      <c r="H598" s="3" t="s">
        <v>14</v>
      </c>
      <c r="I598" s="7">
        <v>0.0</v>
      </c>
      <c r="J598" s="3" t="s">
        <v>72</v>
      </c>
    </row>
    <row r="599">
      <c r="A599" s="3"/>
      <c r="B599" s="3"/>
      <c r="C599" s="3" t="s">
        <v>21</v>
      </c>
      <c r="D599" s="4" t="s">
        <v>617</v>
      </c>
      <c r="E599" s="3" t="s">
        <v>618</v>
      </c>
      <c r="F599" s="5">
        <v>46119.59861111111</v>
      </c>
      <c r="G599" s="5">
        <v>46118.762141203704</v>
      </c>
      <c r="H599" s="3" t="s">
        <v>14</v>
      </c>
      <c r="I599" s="7">
        <v>0.0</v>
      </c>
      <c r="J599" s="3" t="s">
        <v>72</v>
      </c>
    </row>
    <row r="600">
      <c r="A600" s="3"/>
      <c r="B600" s="3"/>
      <c r="C600" s="3" t="s">
        <v>24</v>
      </c>
      <c r="D600" s="4" t="s">
        <v>617</v>
      </c>
      <c r="E600" s="3" t="s">
        <v>618</v>
      </c>
      <c r="F600" s="5">
        <v>46120.59861111111</v>
      </c>
      <c r="G600" s="5">
        <v>46119.485300925924</v>
      </c>
      <c r="H600" s="3" t="s">
        <v>14</v>
      </c>
      <c r="I600" s="7">
        <v>0.0</v>
      </c>
      <c r="J600" s="3" t="s">
        <v>72</v>
      </c>
    </row>
    <row r="601">
      <c r="A601" s="3"/>
      <c r="B601" s="3"/>
      <c r="C601" s="3" t="s">
        <v>26</v>
      </c>
      <c r="D601" s="4" t="s">
        <v>617</v>
      </c>
      <c r="E601" s="3" t="s">
        <v>618</v>
      </c>
      <c r="F601" s="5">
        <v>46120.64027777778</v>
      </c>
      <c r="G601" s="5">
        <v>46119.48535879629</v>
      </c>
      <c r="H601" s="3" t="s">
        <v>14</v>
      </c>
      <c r="I601" s="7">
        <v>0.0</v>
      </c>
      <c r="J601" s="3" t="s">
        <v>72</v>
      </c>
    </row>
    <row r="602">
      <c r="A602" s="3"/>
      <c r="B602" s="3"/>
      <c r="C602" s="3" t="s">
        <v>10</v>
      </c>
      <c r="D602" s="4" t="s">
        <v>622</v>
      </c>
      <c r="E602" s="3" t="s">
        <v>623</v>
      </c>
      <c r="F602" s="5">
        <v>46119.48888888889</v>
      </c>
      <c r="G602" s="5">
        <v>46118.76168981481</v>
      </c>
      <c r="H602" s="3" t="s">
        <v>14</v>
      </c>
      <c r="I602" s="3">
        <v>0.0</v>
      </c>
      <c r="J602" s="3" t="s">
        <v>48</v>
      </c>
    </row>
    <row r="603">
      <c r="A603" s="3"/>
      <c r="B603" s="3"/>
      <c r="C603" s="3" t="s">
        <v>17</v>
      </c>
      <c r="D603" s="4" t="s">
        <v>622</v>
      </c>
      <c r="E603" s="3" t="s">
        <v>623</v>
      </c>
      <c r="F603" s="5">
        <v>46119.495833333334</v>
      </c>
      <c r="G603" s="5">
        <v>46118.76201388889</v>
      </c>
      <c r="H603" s="3" t="s">
        <v>14</v>
      </c>
      <c r="I603" s="7">
        <v>0.0</v>
      </c>
      <c r="J603" s="3" t="s">
        <v>48</v>
      </c>
    </row>
    <row r="604">
      <c r="A604" s="3"/>
      <c r="B604" s="3"/>
      <c r="C604" s="3" t="s">
        <v>21</v>
      </c>
      <c r="D604" s="4" t="s">
        <v>622</v>
      </c>
      <c r="E604" s="3" t="s">
        <v>623</v>
      </c>
      <c r="F604" s="5">
        <v>46119.6</v>
      </c>
      <c r="G604" s="5">
        <v>46118.76217592593</v>
      </c>
      <c r="H604" s="3" t="s">
        <v>14</v>
      </c>
      <c r="I604" s="7">
        <v>0.0</v>
      </c>
      <c r="J604" s="3" t="s">
        <v>48</v>
      </c>
    </row>
    <row r="605">
      <c r="A605" s="3"/>
      <c r="B605" s="3"/>
      <c r="C605" s="3" t="s">
        <v>24</v>
      </c>
      <c r="D605" s="4" t="s">
        <v>622</v>
      </c>
      <c r="E605" s="3" t="s">
        <v>623</v>
      </c>
      <c r="F605" s="5">
        <v>46120.6</v>
      </c>
      <c r="G605" s="5">
        <v>46119.48532407408</v>
      </c>
      <c r="H605" s="3" t="s">
        <v>14</v>
      </c>
      <c r="I605" s="7">
        <v>0.0</v>
      </c>
      <c r="J605" s="3" t="s">
        <v>48</v>
      </c>
    </row>
    <row r="606">
      <c r="A606" s="3"/>
      <c r="B606" s="3"/>
      <c r="C606" s="3" t="s">
        <v>26</v>
      </c>
      <c r="D606" s="4" t="s">
        <v>622</v>
      </c>
      <c r="E606" s="3" t="s">
        <v>623</v>
      </c>
      <c r="F606" s="5">
        <v>46120.64166666667</v>
      </c>
      <c r="G606" s="5">
        <v>46119.48537037037</v>
      </c>
      <c r="H606" s="3" t="s">
        <v>14</v>
      </c>
      <c r="I606" s="7">
        <v>0.0</v>
      </c>
      <c r="J606" s="3" t="s">
        <v>48</v>
      </c>
    </row>
    <row r="607">
      <c r="A607" s="3"/>
      <c r="B607" s="3"/>
      <c r="C607" s="3" t="s">
        <v>10</v>
      </c>
      <c r="D607" s="4" t="s">
        <v>627</v>
      </c>
      <c r="E607" s="3" t="s">
        <v>628</v>
      </c>
      <c r="F607" s="5">
        <v>46119.639340277776</v>
      </c>
      <c r="G607" s="5">
        <v>46119.4846875</v>
      </c>
      <c r="H607" s="3" t="s">
        <v>14</v>
      </c>
      <c r="I607" s="3">
        <v>0.0</v>
      </c>
      <c r="J607" s="3" t="s">
        <v>15</v>
      </c>
    </row>
    <row r="608">
      <c r="A608" s="3"/>
      <c r="B608" s="3"/>
      <c r="C608" s="3" t="s">
        <v>17</v>
      </c>
      <c r="D608" s="4" t="s">
        <v>627</v>
      </c>
      <c r="E608" s="3" t="s">
        <v>628</v>
      </c>
      <c r="F608" s="5">
        <v>46119.64628472222</v>
      </c>
      <c r="G608" s="5">
        <v>46119.484768518516</v>
      </c>
      <c r="H608" s="3" t="s">
        <v>14</v>
      </c>
      <c r="I608" s="7">
        <v>0.0</v>
      </c>
      <c r="J608" s="3" t="s">
        <v>15</v>
      </c>
    </row>
    <row r="609">
      <c r="A609" s="3"/>
      <c r="B609" s="3"/>
      <c r="C609" s="3" t="s">
        <v>21</v>
      </c>
      <c r="D609" s="4" t="s">
        <v>627</v>
      </c>
      <c r="E609" s="3" t="s">
        <v>628</v>
      </c>
      <c r="F609" s="5">
        <v>46119.750451388885</v>
      </c>
      <c r="G609" s="5">
        <v>46119.48480324074</v>
      </c>
      <c r="H609" s="3" t="s">
        <v>14</v>
      </c>
      <c r="I609" s="7">
        <v>0.0</v>
      </c>
      <c r="J609" s="3" t="s">
        <v>15</v>
      </c>
    </row>
    <row r="610">
      <c r="A610" s="3"/>
      <c r="B610" s="3"/>
      <c r="C610" s="3" t="s">
        <v>24</v>
      </c>
      <c r="D610" s="4" t="s">
        <v>627</v>
      </c>
      <c r="E610" s="3" t="s">
        <v>628</v>
      </c>
      <c r="F610" s="5">
        <v>46120.75</v>
      </c>
      <c r="G610" s="5">
        <v>46119.61195601852</v>
      </c>
      <c r="H610" s="3" t="s">
        <v>14</v>
      </c>
      <c r="I610" s="7">
        <v>0.0</v>
      </c>
      <c r="J610" s="3" t="s">
        <v>15</v>
      </c>
    </row>
    <row r="611">
      <c r="A611" s="3"/>
      <c r="B611" s="3"/>
      <c r="C611" s="3" t="s">
        <v>26</v>
      </c>
      <c r="D611" s="4" t="s">
        <v>627</v>
      </c>
      <c r="E611" s="3" t="s">
        <v>628</v>
      </c>
      <c r="F611" s="5">
        <v>46120.791666666664</v>
      </c>
      <c r="G611" s="5">
        <v>46119.67438657407</v>
      </c>
      <c r="H611" s="3" t="s">
        <v>14</v>
      </c>
      <c r="I611" s="7">
        <v>0.0</v>
      </c>
      <c r="J611" s="3" t="s">
        <v>15</v>
      </c>
    </row>
    <row r="612">
      <c r="A612" s="3"/>
      <c r="B612" s="3"/>
      <c r="C612" s="3" t="s">
        <v>10</v>
      </c>
      <c r="D612" s="4" t="s">
        <v>630</v>
      </c>
      <c r="E612" s="3" t="s">
        <v>631</v>
      </c>
      <c r="F612" s="5">
        <v>46119.641377314816</v>
      </c>
      <c r="G612" s="5">
        <v>46119.48467592592</v>
      </c>
      <c r="H612" s="3" t="s">
        <v>14</v>
      </c>
      <c r="I612" s="3">
        <v>0.0</v>
      </c>
      <c r="J612" s="3" t="s">
        <v>15</v>
      </c>
    </row>
    <row r="613">
      <c r="A613" s="3"/>
      <c r="B613" s="3"/>
      <c r="C613" s="3" t="s">
        <v>17</v>
      </c>
      <c r="D613" s="4" t="s">
        <v>630</v>
      </c>
      <c r="E613" s="3" t="s">
        <v>631</v>
      </c>
      <c r="F613" s="5">
        <v>46119.64832175926</v>
      </c>
      <c r="G613" s="5">
        <v>46119.61168981482</v>
      </c>
      <c r="H613" s="3" t="s">
        <v>14</v>
      </c>
      <c r="I613" s="7">
        <v>0.0</v>
      </c>
      <c r="J613" s="3" t="s">
        <v>15</v>
      </c>
    </row>
    <row r="614">
      <c r="A614" s="3"/>
      <c r="B614" s="3"/>
      <c r="C614" s="3" t="s">
        <v>21</v>
      </c>
      <c r="D614" s="4" t="s">
        <v>630</v>
      </c>
      <c r="E614" s="3" t="s">
        <v>631</v>
      </c>
      <c r="F614" s="5">
        <v>46119.752488425926</v>
      </c>
      <c r="G614" s="5">
        <v>46119.61177083333</v>
      </c>
      <c r="H614" s="3" t="s">
        <v>14</v>
      </c>
      <c r="I614" s="7">
        <v>0.0</v>
      </c>
      <c r="J614" s="3" t="s">
        <v>15</v>
      </c>
    </row>
    <row r="615">
      <c r="A615" s="3"/>
      <c r="B615" s="3"/>
      <c r="C615" s="3" t="s">
        <v>24</v>
      </c>
      <c r="D615" s="4" t="s">
        <v>630</v>
      </c>
      <c r="E615" s="3" t="s">
        <v>631</v>
      </c>
      <c r="F615" s="5">
        <v>46120.75208333333</v>
      </c>
      <c r="G615" s="5">
        <v>46119.610972222225</v>
      </c>
      <c r="H615" s="3" t="s">
        <v>14</v>
      </c>
      <c r="I615" s="7">
        <v>0.0</v>
      </c>
      <c r="J615" s="3" t="s">
        <v>15</v>
      </c>
    </row>
    <row r="616">
      <c r="A616" s="3"/>
      <c r="B616" s="3"/>
      <c r="C616" s="3" t="s">
        <v>26</v>
      </c>
      <c r="D616" s="4" t="s">
        <v>630</v>
      </c>
      <c r="E616" s="3" t="s">
        <v>631</v>
      </c>
      <c r="F616" s="5">
        <v>46120.79375</v>
      </c>
      <c r="G616" s="5">
        <v>46120.622465277775</v>
      </c>
      <c r="H616" s="3" t="s">
        <v>14</v>
      </c>
      <c r="I616" s="7">
        <v>0.0</v>
      </c>
      <c r="J616" s="3" t="s">
        <v>15</v>
      </c>
    </row>
    <row r="617">
      <c r="A617" s="3"/>
      <c r="B617" s="3"/>
      <c r="C617" s="3" t="s">
        <v>10</v>
      </c>
      <c r="D617" s="4" t="s">
        <v>635</v>
      </c>
      <c r="E617" s="3" t="s">
        <v>636</v>
      </c>
      <c r="F617" s="5">
        <v>46119.6728125</v>
      </c>
      <c r="G617" s="5">
        <v>46119.55412037037</v>
      </c>
      <c r="H617" s="3" t="s">
        <v>14</v>
      </c>
      <c r="I617" s="3">
        <v>0.0</v>
      </c>
      <c r="J617" s="3" t="s">
        <v>61</v>
      </c>
    </row>
    <row r="618">
      <c r="A618" s="3"/>
      <c r="B618" s="3"/>
      <c r="C618" s="3" t="s">
        <v>17</v>
      </c>
      <c r="D618" s="4" t="s">
        <v>635</v>
      </c>
      <c r="E618" s="3" t="s">
        <v>636</v>
      </c>
      <c r="F618" s="5">
        <v>46119.679756944446</v>
      </c>
      <c r="G618" s="5">
        <v>46119.55420138889</v>
      </c>
      <c r="H618" s="3" t="s">
        <v>14</v>
      </c>
      <c r="I618" s="7">
        <v>0.0</v>
      </c>
      <c r="J618" s="3" t="s">
        <v>61</v>
      </c>
    </row>
    <row r="619">
      <c r="A619" s="3"/>
      <c r="B619" s="3"/>
      <c r="C619" s="3" t="s">
        <v>21</v>
      </c>
      <c r="D619" s="4" t="s">
        <v>635</v>
      </c>
      <c r="E619" s="3" t="s">
        <v>636</v>
      </c>
      <c r="F619" s="5">
        <v>46119.78392361111</v>
      </c>
      <c r="G619" s="5">
        <v>46119.55425925926</v>
      </c>
      <c r="H619" s="3" t="s">
        <v>14</v>
      </c>
      <c r="I619" s="7">
        <v>0.0</v>
      </c>
      <c r="J619" s="3" t="s">
        <v>61</v>
      </c>
    </row>
    <row r="620">
      <c r="A620" s="3"/>
      <c r="B620" s="3"/>
      <c r="C620" s="3" t="s">
        <v>24</v>
      </c>
      <c r="D620" s="4" t="s">
        <v>635</v>
      </c>
      <c r="E620" s="3" t="s">
        <v>636</v>
      </c>
      <c r="F620" s="5">
        <v>46120.78333333333</v>
      </c>
      <c r="G620" s="5">
        <v>46119.61099537037</v>
      </c>
      <c r="H620" s="3" t="s">
        <v>14</v>
      </c>
      <c r="I620" s="7">
        <v>0.0</v>
      </c>
      <c r="J620" s="3" t="s">
        <v>61</v>
      </c>
    </row>
    <row r="621">
      <c r="A621" s="3"/>
      <c r="B621" s="3"/>
      <c r="C621" s="3" t="s">
        <v>26</v>
      </c>
      <c r="D621" s="4" t="s">
        <v>635</v>
      </c>
      <c r="E621" s="3" t="s">
        <v>636</v>
      </c>
      <c r="F621" s="5">
        <v>46120.825</v>
      </c>
      <c r="G621" s="5">
        <v>46119.68728009259</v>
      </c>
      <c r="H621" s="3" t="s">
        <v>14</v>
      </c>
      <c r="I621" s="7">
        <v>0.0</v>
      </c>
      <c r="J621" s="3" t="s">
        <v>61</v>
      </c>
    </row>
    <row r="622">
      <c r="A622" s="3"/>
      <c r="B622" s="3"/>
      <c r="C622" s="3" t="s">
        <v>10</v>
      </c>
      <c r="D622" s="4" t="s">
        <v>639</v>
      </c>
      <c r="E622" s="3" t="s">
        <v>640</v>
      </c>
      <c r="F622" s="5">
        <v>46119.67699074074</v>
      </c>
      <c r="G622" s="5">
        <v>46119.61142361111</v>
      </c>
      <c r="H622" s="3" t="s">
        <v>14</v>
      </c>
      <c r="I622" s="3">
        <v>0.0</v>
      </c>
      <c r="J622" s="3" t="s">
        <v>72</v>
      </c>
    </row>
    <row r="623">
      <c r="A623" s="3"/>
      <c r="B623" s="3"/>
      <c r="C623" s="3" t="s">
        <v>17</v>
      </c>
      <c r="D623" s="4" t="s">
        <v>639</v>
      </c>
      <c r="E623" s="3" t="s">
        <v>640</v>
      </c>
      <c r="F623" s="5">
        <v>46119.68393518519</v>
      </c>
      <c r="G623" s="5">
        <v>46119.61119212963</v>
      </c>
      <c r="H623" s="3" t="s">
        <v>14</v>
      </c>
      <c r="I623" s="7">
        <v>0.0</v>
      </c>
      <c r="J623" s="3" t="s">
        <v>72</v>
      </c>
    </row>
    <row r="624">
      <c r="A624" s="3"/>
      <c r="B624" s="3"/>
      <c r="C624" s="3" t="s">
        <v>21</v>
      </c>
      <c r="D624" s="4" t="s">
        <v>639</v>
      </c>
      <c r="E624" s="3" t="s">
        <v>640</v>
      </c>
      <c r="F624" s="5">
        <v>46119.78810185185</v>
      </c>
      <c r="G624" s="5">
        <v>46119.61152777778</v>
      </c>
      <c r="H624" s="3" t="s">
        <v>14</v>
      </c>
      <c r="I624" s="7">
        <v>0.0</v>
      </c>
      <c r="J624" s="3" t="s">
        <v>72</v>
      </c>
    </row>
    <row r="625">
      <c r="A625" s="3"/>
      <c r="B625" s="3"/>
      <c r="C625" s="3" t="s">
        <v>24</v>
      </c>
      <c r="D625" s="4" t="s">
        <v>639</v>
      </c>
      <c r="E625" s="3" t="s">
        <v>640</v>
      </c>
      <c r="F625" s="5">
        <v>46120.7875</v>
      </c>
      <c r="G625" s="5">
        <v>46119.61101851852</v>
      </c>
      <c r="H625" s="3" t="s">
        <v>14</v>
      </c>
      <c r="I625" s="7">
        <v>0.0</v>
      </c>
      <c r="J625" s="3" t="s">
        <v>72</v>
      </c>
    </row>
    <row r="626">
      <c r="A626" s="3"/>
      <c r="B626" s="3"/>
      <c r="C626" s="3" t="s">
        <v>26</v>
      </c>
      <c r="D626" s="4" t="s">
        <v>639</v>
      </c>
      <c r="E626" s="3" t="s">
        <v>640</v>
      </c>
      <c r="F626" s="5">
        <v>46120.82916666667</v>
      </c>
      <c r="G626" s="5">
        <v>46119.68730324074</v>
      </c>
      <c r="H626" s="3" t="s">
        <v>14</v>
      </c>
      <c r="I626" s="7">
        <v>0.0</v>
      </c>
      <c r="J626" s="3" t="s">
        <v>72</v>
      </c>
    </row>
    <row r="627">
      <c r="A627" s="3"/>
      <c r="B627" s="3"/>
      <c r="C627" s="3" t="s">
        <v>10</v>
      </c>
      <c r="D627" s="4" t="s">
        <v>643</v>
      </c>
      <c r="E627" s="3" t="s">
        <v>410</v>
      </c>
      <c r="F627" s="5">
        <v>46119.69744212963</v>
      </c>
      <c r="G627" s="5">
        <v>46119.55409722222</v>
      </c>
      <c r="H627" s="3" t="s">
        <v>14</v>
      </c>
      <c r="I627" s="3">
        <v>0.0</v>
      </c>
      <c r="J627" s="3" t="s">
        <v>72</v>
      </c>
    </row>
    <row r="628">
      <c r="A628" s="3"/>
      <c r="B628" s="3"/>
      <c r="C628" s="3" t="s">
        <v>17</v>
      </c>
      <c r="D628" s="4" t="s">
        <v>643</v>
      </c>
      <c r="E628" s="3" t="s">
        <v>410</v>
      </c>
      <c r="F628" s="5">
        <v>46119.70438657407</v>
      </c>
      <c r="G628" s="5">
        <v>46119.55420138889</v>
      </c>
      <c r="H628" s="3" t="s">
        <v>14</v>
      </c>
      <c r="I628" s="7">
        <v>0.0</v>
      </c>
      <c r="J628" s="3" t="s">
        <v>72</v>
      </c>
    </row>
    <row r="629">
      <c r="A629" s="3"/>
      <c r="B629" s="3"/>
      <c r="C629" s="3" t="s">
        <v>21</v>
      </c>
      <c r="D629" s="4" t="s">
        <v>643</v>
      </c>
      <c r="E629" s="3" t="s">
        <v>410</v>
      </c>
      <c r="F629" s="5">
        <v>46119.80855324074</v>
      </c>
      <c r="G629" s="5">
        <v>46119.55427083333</v>
      </c>
      <c r="H629" s="3" t="s">
        <v>14</v>
      </c>
      <c r="I629" s="7">
        <v>0.0</v>
      </c>
      <c r="J629" s="3" t="s">
        <v>72</v>
      </c>
    </row>
    <row r="630">
      <c r="A630" s="3"/>
      <c r="B630" s="3"/>
      <c r="C630" s="3" t="s">
        <v>24</v>
      </c>
      <c r="D630" s="4" t="s">
        <v>643</v>
      </c>
      <c r="E630" s="3" t="s">
        <v>410</v>
      </c>
      <c r="F630" s="5">
        <v>46120.808333333334</v>
      </c>
      <c r="G630" s="5">
        <v>46119.611030092594</v>
      </c>
      <c r="H630" s="3" t="s">
        <v>14</v>
      </c>
      <c r="I630" s="7">
        <v>0.0</v>
      </c>
      <c r="J630" s="3" t="s">
        <v>72</v>
      </c>
    </row>
    <row r="631">
      <c r="A631" s="3"/>
      <c r="B631" s="3"/>
      <c r="C631" s="3" t="s">
        <v>26</v>
      </c>
      <c r="D631" s="4" t="s">
        <v>643</v>
      </c>
      <c r="E631" s="3" t="s">
        <v>410</v>
      </c>
      <c r="F631" s="5">
        <v>46121.433333333334</v>
      </c>
      <c r="G631" s="5">
        <v>46119.68732638889</v>
      </c>
      <c r="H631" s="3" t="s">
        <v>14</v>
      </c>
      <c r="I631" s="7">
        <v>0.0</v>
      </c>
      <c r="J631" s="3" t="s">
        <v>72</v>
      </c>
    </row>
    <row r="632">
      <c r="A632" s="3"/>
      <c r="B632" s="3"/>
      <c r="C632" s="3" t="s">
        <v>10</v>
      </c>
      <c r="D632" s="4" t="s">
        <v>649</v>
      </c>
      <c r="E632" s="3" t="s">
        <v>403</v>
      </c>
      <c r="F632" s="5">
        <v>46120.45138888889</v>
      </c>
      <c r="G632" s="5">
        <v>46119.708761574075</v>
      </c>
      <c r="H632" s="3" t="s">
        <v>14</v>
      </c>
      <c r="I632" s="3">
        <v>0.0</v>
      </c>
      <c r="J632" s="3" t="s">
        <v>15</v>
      </c>
    </row>
    <row r="633">
      <c r="A633" s="3"/>
      <c r="B633" s="3"/>
      <c r="C633" s="3" t="s">
        <v>17</v>
      </c>
      <c r="D633" s="4" t="s">
        <v>649</v>
      </c>
      <c r="E633" s="3" t="s">
        <v>403</v>
      </c>
      <c r="F633" s="5">
        <v>46120.458333333336</v>
      </c>
      <c r="G633" s="5">
        <v>46119.70869212963</v>
      </c>
      <c r="H633" s="3" t="s">
        <v>14</v>
      </c>
      <c r="I633" s="7">
        <v>0.0</v>
      </c>
      <c r="J633" s="3" t="s">
        <v>15</v>
      </c>
    </row>
    <row r="634">
      <c r="A634" s="3"/>
      <c r="B634" s="3"/>
      <c r="C634" s="3" t="s">
        <v>21</v>
      </c>
      <c r="D634" s="4" t="s">
        <v>649</v>
      </c>
      <c r="E634" s="3" t="s">
        <v>403</v>
      </c>
      <c r="F634" s="5">
        <v>46120.5625</v>
      </c>
      <c r="G634" s="5">
        <v>46119.70885416667</v>
      </c>
      <c r="H634" s="3" t="s">
        <v>14</v>
      </c>
      <c r="I634" s="7">
        <v>0.0</v>
      </c>
      <c r="J634" s="3" t="s">
        <v>15</v>
      </c>
    </row>
    <row r="635">
      <c r="A635" s="3"/>
      <c r="B635" s="3"/>
      <c r="C635" s="3" t="s">
        <v>24</v>
      </c>
      <c r="D635" s="4" t="s">
        <v>649</v>
      </c>
      <c r="E635" s="3" t="s">
        <v>403</v>
      </c>
      <c r="F635" s="5">
        <v>46121.5625</v>
      </c>
      <c r="G635" s="5">
        <v>46119.76525462963</v>
      </c>
      <c r="H635" s="3" t="s">
        <v>14</v>
      </c>
      <c r="I635" s="7">
        <v>0.0</v>
      </c>
      <c r="J635" s="3" t="s">
        <v>15</v>
      </c>
    </row>
    <row r="636">
      <c r="A636" s="3"/>
      <c r="B636" s="3"/>
      <c r="C636" s="3" t="s">
        <v>26</v>
      </c>
      <c r="D636" s="4" t="s">
        <v>649</v>
      </c>
      <c r="E636" s="3" t="s">
        <v>403</v>
      </c>
      <c r="F636" s="5">
        <v>46121.604166666664</v>
      </c>
      <c r="G636" s="5">
        <v>46119.7653125</v>
      </c>
      <c r="H636" s="3" t="s">
        <v>14</v>
      </c>
      <c r="I636" s="7">
        <v>0.0</v>
      </c>
      <c r="J636" s="3" t="s">
        <v>15</v>
      </c>
    </row>
    <row r="637">
      <c r="A637" s="3"/>
      <c r="B637" s="3"/>
      <c r="C637" s="3" t="s">
        <v>10</v>
      </c>
      <c r="D637" s="4" t="s">
        <v>652</v>
      </c>
      <c r="E637" s="3" t="s">
        <v>403</v>
      </c>
      <c r="F637" s="5">
        <v>46120.46597222222</v>
      </c>
      <c r="G637" s="5">
        <v>46119.71910879629</v>
      </c>
      <c r="H637" s="3" t="s">
        <v>14</v>
      </c>
      <c r="I637" s="3">
        <v>0.0</v>
      </c>
      <c r="J637" s="3" t="s">
        <v>61</v>
      </c>
    </row>
    <row r="638">
      <c r="A638" s="3"/>
      <c r="B638" s="3"/>
      <c r="C638" s="3" t="s">
        <v>17</v>
      </c>
      <c r="D638" s="4" t="s">
        <v>652</v>
      </c>
      <c r="E638" s="3" t="s">
        <v>403</v>
      </c>
      <c r="F638" s="5">
        <v>46120.472916666666</v>
      </c>
      <c r="G638" s="5">
        <v>46119.71915509259</v>
      </c>
      <c r="H638" s="3" t="s">
        <v>14</v>
      </c>
      <c r="I638" s="7">
        <v>0.0</v>
      </c>
      <c r="J638" s="3" t="s">
        <v>61</v>
      </c>
    </row>
    <row r="639">
      <c r="A639" s="3"/>
      <c r="B639" s="3"/>
      <c r="C639" s="3" t="s">
        <v>21</v>
      </c>
      <c r="D639" s="4" t="s">
        <v>652</v>
      </c>
      <c r="E639" s="3" t="s">
        <v>403</v>
      </c>
      <c r="F639" s="5">
        <v>46120.57708333333</v>
      </c>
      <c r="G639" s="5">
        <v>46119.71921296296</v>
      </c>
      <c r="H639" s="3" t="s">
        <v>14</v>
      </c>
      <c r="I639" s="7">
        <v>0.0</v>
      </c>
      <c r="J639" s="3" t="s">
        <v>61</v>
      </c>
    </row>
    <row r="640">
      <c r="A640" s="3"/>
      <c r="B640" s="3"/>
      <c r="C640" s="3" t="s">
        <v>24</v>
      </c>
      <c r="D640" s="4" t="s">
        <v>652</v>
      </c>
      <c r="E640" s="3" t="s">
        <v>403</v>
      </c>
      <c r="F640" s="5">
        <v>46121.57708333333</v>
      </c>
      <c r="G640" s="5">
        <v>46119.76526620371</v>
      </c>
      <c r="H640" s="3" t="s">
        <v>14</v>
      </c>
      <c r="I640" s="7">
        <v>0.0</v>
      </c>
      <c r="J640" s="3" t="s">
        <v>61</v>
      </c>
    </row>
    <row r="641">
      <c r="A641" s="3"/>
      <c r="B641" s="3"/>
      <c r="C641" s="3" t="s">
        <v>26</v>
      </c>
      <c r="D641" s="4" t="s">
        <v>652</v>
      </c>
      <c r="E641" s="3" t="s">
        <v>403</v>
      </c>
      <c r="F641" s="5">
        <v>46121.61875</v>
      </c>
      <c r="G641" s="5">
        <v>46119.7653587963</v>
      </c>
      <c r="H641" s="3" t="s">
        <v>14</v>
      </c>
      <c r="I641" s="7">
        <v>0.0</v>
      </c>
      <c r="J641" s="3" t="s">
        <v>61</v>
      </c>
    </row>
    <row r="642">
      <c r="A642" s="3"/>
      <c r="B642" s="3"/>
      <c r="C642" s="3" t="s">
        <v>10</v>
      </c>
      <c r="D642" s="4" t="s">
        <v>655</v>
      </c>
      <c r="E642" s="3" t="s">
        <v>656</v>
      </c>
      <c r="F642" s="5">
        <v>46120.67768518518</v>
      </c>
      <c r="G642" s="5">
        <v>46120.621886574074</v>
      </c>
      <c r="H642" s="3" t="s">
        <v>14</v>
      </c>
      <c r="I642" s="3">
        <v>0.0</v>
      </c>
      <c r="J642" s="3" t="s">
        <v>48</v>
      </c>
    </row>
    <row r="643">
      <c r="A643" s="3"/>
      <c r="B643" s="3"/>
      <c r="C643" s="3" t="s">
        <v>17</v>
      </c>
      <c r="D643" s="4" t="s">
        <v>655</v>
      </c>
      <c r="E643" s="3" t="s">
        <v>656</v>
      </c>
      <c r="F643" s="5">
        <v>46120.68462962963</v>
      </c>
      <c r="G643" s="5">
        <v>46120.62210648148</v>
      </c>
      <c r="H643" s="3" t="s">
        <v>14</v>
      </c>
      <c r="I643" s="7">
        <v>0.0</v>
      </c>
      <c r="J643" s="3" t="s">
        <v>48</v>
      </c>
    </row>
    <row r="644">
      <c r="A644" s="3"/>
      <c r="B644" s="3"/>
      <c r="C644" s="3" t="s">
        <v>21</v>
      </c>
      <c r="D644" s="4" t="s">
        <v>655</v>
      </c>
      <c r="E644" s="3" t="s">
        <v>656</v>
      </c>
      <c r="F644" s="5">
        <v>46120.7887962963</v>
      </c>
      <c r="G644" s="5">
        <v>46120.64271990741</v>
      </c>
      <c r="H644" s="3" t="s">
        <v>14</v>
      </c>
      <c r="I644" s="7">
        <v>0.0</v>
      </c>
      <c r="J644" s="3" t="s">
        <v>48</v>
      </c>
    </row>
    <row r="645">
      <c r="A645" s="3"/>
      <c r="B645" s="3"/>
      <c r="C645" s="3" t="s">
        <v>24</v>
      </c>
      <c r="D645" s="4" t="s">
        <v>655</v>
      </c>
      <c r="E645" s="3" t="s">
        <v>656</v>
      </c>
      <c r="F645" s="5">
        <v>46121.788194444445</v>
      </c>
      <c r="G645" s="5">
        <v>46120.73063657407</v>
      </c>
      <c r="H645" s="3" t="s">
        <v>14</v>
      </c>
      <c r="I645" s="7">
        <v>0.0</v>
      </c>
      <c r="J645" s="3" t="s">
        <v>48</v>
      </c>
    </row>
    <row r="646">
      <c r="A646" s="3"/>
      <c r="B646" s="3"/>
      <c r="C646" s="3" t="s">
        <v>26</v>
      </c>
      <c r="D646" s="4" t="s">
        <v>655</v>
      </c>
      <c r="E646" s="3" t="s">
        <v>656</v>
      </c>
      <c r="F646" s="5">
        <v>46121.82986111111</v>
      </c>
      <c r="G646" s="5">
        <v>46120.731574074074</v>
      </c>
      <c r="H646" s="3" t="s">
        <v>14</v>
      </c>
      <c r="I646" s="7">
        <v>0.0</v>
      </c>
      <c r="J646" s="3" t="s">
        <v>48</v>
      </c>
    </row>
    <row r="647">
      <c r="A647" s="3"/>
      <c r="B647" s="3"/>
      <c r="C647" s="3" t="s">
        <v>10</v>
      </c>
      <c r="D647" s="4" t="s">
        <v>659</v>
      </c>
      <c r="E647" s="3" t="s">
        <v>660</v>
      </c>
      <c r="F647" s="5">
        <v>46120.70164351852</v>
      </c>
      <c r="G647" s="5">
        <v>46120.62189814815</v>
      </c>
      <c r="H647" s="3" t="s">
        <v>14</v>
      </c>
      <c r="I647" s="3">
        <v>0.0</v>
      </c>
      <c r="J647" s="3" t="s">
        <v>15</v>
      </c>
    </row>
    <row r="648">
      <c r="A648" s="3"/>
      <c r="B648" s="3"/>
      <c r="C648" s="3" t="s">
        <v>17</v>
      </c>
      <c r="D648" s="4" t="s">
        <v>659</v>
      </c>
      <c r="E648" s="3" t="s">
        <v>660</v>
      </c>
      <c r="F648" s="5">
        <v>46120.70858796296</v>
      </c>
      <c r="G648" s="5">
        <v>46120.622152777774</v>
      </c>
      <c r="H648" s="3" t="s">
        <v>14</v>
      </c>
      <c r="I648" s="7">
        <v>0.0</v>
      </c>
      <c r="J648" s="3" t="s">
        <v>15</v>
      </c>
    </row>
    <row r="649">
      <c r="A649" s="3"/>
      <c r="B649" s="3"/>
      <c r="C649" s="3" t="s">
        <v>21</v>
      </c>
      <c r="D649" s="4" t="s">
        <v>659</v>
      </c>
      <c r="E649" s="3" t="s">
        <v>660</v>
      </c>
      <c r="F649" s="5">
        <v>46120.81275462963</v>
      </c>
      <c r="G649" s="5">
        <v>46120.64273148148</v>
      </c>
      <c r="H649" s="3" t="s">
        <v>14</v>
      </c>
      <c r="I649" s="7">
        <v>0.0</v>
      </c>
      <c r="J649" s="3" t="s">
        <v>15</v>
      </c>
    </row>
    <row r="650">
      <c r="A650" s="3"/>
      <c r="B650" s="3"/>
      <c r="C650" s="3" t="s">
        <v>24</v>
      </c>
      <c r="D650" s="4" t="s">
        <v>659</v>
      </c>
      <c r="E650" s="3" t="s">
        <v>660</v>
      </c>
      <c r="F650" s="5">
        <v>46121.8125</v>
      </c>
      <c r="G650" s="5">
        <v>46120.73065972222</v>
      </c>
      <c r="H650" s="3" t="s">
        <v>14</v>
      </c>
      <c r="I650" s="7">
        <v>0.0</v>
      </c>
      <c r="J650" s="3" t="s">
        <v>15</v>
      </c>
    </row>
    <row r="651">
      <c r="A651" s="3"/>
      <c r="B651" s="3"/>
      <c r="C651" s="3" t="s">
        <v>26</v>
      </c>
      <c r="D651" s="4" t="s">
        <v>659</v>
      </c>
      <c r="E651" s="3" t="s">
        <v>660</v>
      </c>
      <c r="F651" s="5">
        <v>46122.4375</v>
      </c>
      <c r="G651" s="5">
        <v>46120.73159722222</v>
      </c>
      <c r="H651" s="3" t="s">
        <v>14</v>
      </c>
      <c r="I651" s="7">
        <v>0.0</v>
      </c>
      <c r="J651" s="3" t="s">
        <v>15</v>
      </c>
    </row>
    <row r="652">
      <c r="A652" s="3"/>
      <c r="B652" s="3"/>
      <c r="C652" s="3" t="s">
        <v>10</v>
      </c>
      <c r="D652" s="4" t="s">
        <v>665</v>
      </c>
      <c r="E652" s="3" t="s">
        <v>667</v>
      </c>
      <c r="F652" s="5">
        <v>46121.467361111114</v>
      </c>
      <c r="G652" s="5">
        <v>46120.73091435185</v>
      </c>
      <c r="H652" s="3" t="s">
        <v>14</v>
      </c>
      <c r="I652" s="3">
        <v>0.0</v>
      </c>
      <c r="J652" s="3" t="s">
        <v>15</v>
      </c>
    </row>
    <row r="653">
      <c r="A653" s="3"/>
      <c r="B653" s="3"/>
      <c r="C653" s="3" t="s">
        <v>17</v>
      </c>
      <c r="D653" s="4" t="s">
        <v>665</v>
      </c>
      <c r="E653" s="3" t="s">
        <v>667</v>
      </c>
      <c r="F653" s="5">
        <v>46121.47430555556</v>
      </c>
      <c r="G653" s="5">
        <v>46120.73081018519</v>
      </c>
      <c r="H653" s="3" t="s">
        <v>14</v>
      </c>
      <c r="I653" s="7">
        <v>0.0</v>
      </c>
      <c r="J653" s="3" t="s">
        <v>15</v>
      </c>
    </row>
    <row r="654">
      <c r="A654" s="3"/>
      <c r="B654" s="3"/>
      <c r="C654" s="3" t="s">
        <v>21</v>
      </c>
      <c r="D654" s="4" t="s">
        <v>665</v>
      </c>
      <c r="E654" s="3" t="s">
        <v>667</v>
      </c>
      <c r="F654" s="5">
        <v>46121.57847222222</v>
      </c>
      <c r="G654" s="5">
        <v>46120.731354166666</v>
      </c>
      <c r="H654" s="3" t="s">
        <v>14</v>
      </c>
      <c r="I654" s="7">
        <v>0.0</v>
      </c>
      <c r="J654" s="3" t="s">
        <v>15</v>
      </c>
    </row>
    <row r="655">
      <c r="A655" s="3"/>
      <c r="B655" s="3"/>
      <c r="C655" s="3" t="s">
        <v>24</v>
      </c>
      <c r="D655" s="4" t="s">
        <v>665</v>
      </c>
      <c r="E655" s="3" t="s">
        <v>667</v>
      </c>
      <c r="F655" s="5">
        <v>46122.57847222222</v>
      </c>
      <c r="G655" s="5">
        <v>46121.419386574074</v>
      </c>
      <c r="H655" s="3" t="s">
        <v>14</v>
      </c>
      <c r="I655" s="7">
        <v>0.0</v>
      </c>
      <c r="J655" s="3" t="s">
        <v>15</v>
      </c>
    </row>
    <row r="656">
      <c r="A656" s="3"/>
      <c r="B656" s="3"/>
      <c r="C656" s="3" t="s">
        <v>26</v>
      </c>
      <c r="D656" s="4" t="s">
        <v>665</v>
      </c>
      <c r="E656" s="3" t="s">
        <v>667</v>
      </c>
      <c r="F656" s="5">
        <v>46122.62013888889</v>
      </c>
      <c r="G656" s="5">
        <v>46121.419490740744</v>
      </c>
      <c r="H656" s="3" t="s">
        <v>14</v>
      </c>
      <c r="I656" s="7">
        <v>0.0</v>
      </c>
      <c r="J656" s="3" t="s">
        <v>15</v>
      </c>
    </row>
    <row r="657">
      <c r="A657" s="3"/>
      <c r="B657" s="3"/>
      <c r="C657" s="3" t="s">
        <v>10</v>
      </c>
      <c r="D657" s="4" t="s">
        <v>673</v>
      </c>
      <c r="E657" s="3" t="s">
        <v>166</v>
      </c>
      <c r="F657" s="5">
        <v>46121.47638888889</v>
      </c>
      <c r="G657" s="5">
        <v>46120.73103009259</v>
      </c>
      <c r="H657" s="3" t="s">
        <v>14</v>
      </c>
      <c r="I657" s="3">
        <v>0.0</v>
      </c>
      <c r="J657" s="3" t="s">
        <v>61</v>
      </c>
    </row>
    <row r="658">
      <c r="A658" s="3"/>
      <c r="B658" s="3"/>
      <c r="C658" s="3" t="s">
        <v>17</v>
      </c>
      <c r="D658" s="4" t="s">
        <v>673</v>
      </c>
      <c r="E658" s="3" t="s">
        <v>166</v>
      </c>
      <c r="F658" s="5">
        <v>46121.48333333333</v>
      </c>
      <c r="G658" s="5">
        <v>46120.731099537035</v>
      </c>
      <c r="H658" s="3" t="s">
        <v>14</v>
      </c>
      <c r="I658" s="7">
        <v>0.0</v>
      </c>
      <c r="J658" s="3" t="s">
        <v>61</v>
      </c>
    </row>
    <row r="659">
      <c r="A659" s="3"/>
      <c r="B659" s="3"/>
      <c r="C659" s="3" t="s">
        <v>21</v>
      </c>
      <c r="D659" s="4" t="s">
        <v>673</v>
      </c>
      <c r="E659" s="3" t="s">
        <v>166</v>
      </c>
      <c r="F659" s="5">
        <v>46121.5875</v>
      </c>
      <c r="G659" s="5">
        <v>46120.73137731481</v>
      </c>
      <c r="H659" s="3" t="s">
        <v>14</v>
      </c>
      <c r="I659" s="7">
        <v>0.0</v>
      </c>
      <c r="J659" s="3" t="s">
        <v>61</v>
      </c>
    </row>
    <row r="660">
      <c r="A660" s="3"/>
      <c r="B660" s="3"/>
      <c r="C660" s="3" t="s">
        <v>24</v>
      </c>
      <c r="D660" s="4" t="s">
        <v>673</v>
      </c>
      <c r="E660" s="3" t="s">
        <v>166</v>
      </c>
      <c r="F660" s="5">
        <v>46122.5875</v>
      </c>
      <c r="G660" s="5">
        <v>46120.754016203704</v>
      </c>
      <c r="H660" s="3" t="s">
        <v>14</v>
      </c>
      <c r="I660" s="7">
        <v>0.0</v>
      </c>
      <c r="J660" s="3" t="s">
        <v>61</v>
      </c>
    </row>
    <row r="661">
      <c r="A661" s="3"/>
      <c r="B661" s="3"/>
      <c r="C661" s="3" t="s">
        <v>26</v>
      </c>
      <c r="D661" s="4" t="s">
        <v>673</v>
      </c>
      <c r="E661" s="3" t="s">
        <v>166</v>
      </c>
      <c r="F661" s="5">
        <v>46122.629166666666</v>
      </c>
      <c r="G661" s="5">
        <v>46120.77266203704</v>
      </c>
      <c r="H661" s="3" t="s">
        <v>14</v>
      </c>
      <c r="I661" s="7">
        <v>0.0</v>
      </c>
      <c r="J661" s="3" t="s">
        <v>61</v>
      </c>
    </row>
    <row r="662">
      <c r="A662" s="3"/>
      <c r="B662" s="3"/>
      <c r="C662" s="3" t="s">
        <v>10</v>
      </c>
      <c r="D662" s="4" t="s">
        <v>677</v>
      </c>
      <c r="E662" s="3" t="s">
        <v>166</v>
      </c>
      <c r="F662" s="5">
        <v>46121.47708333333</v>
      </c>
      <c r="G662" s="5">
        <v>46120.731157407405</v>
      </c>
      <c r="H662" s="3" t="s">
        <v>14</v>
      </c>
      <c r="I662" s="3">
        <v>0.0</v>
      </c>
      <c r="J662" s="3" t="s">
        <v>15</v>
      </c>
    </row>
    <row r="663">
      <c r="A663" s="3"/>
      <c r="B663" s="3"/>
      <c r="C663" s="3" t="s">
        <v>17</v>
      </c>
      <c r="D663" s="4" t="s">
        <v>677</v>
      </c>
      <c r="E663" s="3" t="s">
        <v>166</v>
      </c>
      <c r="F663" s="5">
        <v>46121.48402777778</v>
      </c>
      <c r="G663" s="5">
        <v>46120.73122685185</v>
      </c>
      <c r="H663" s="3" t="s">
        <v>14</v>
      </c>
      <c r="I663" s="7">
        <v>0.0</v>
      </c>
      <c r="J663" s="3" t="s">
        <v>15</v>
      </c>
    </row>
    <row r="664">
      <c r="A664" s="3"/>
      <c r="B664" s="3"/>
      <c r="C664" s="3" t="s">
        <v>21</v>
      </c>
      <c r="D664" s="4" t="s">
        <v>677</v>
      </c>
      <c r="E664" s="3" t="s">
        <v>166</v>
      </c>
      <c r="F664" s="5">
        <v>46121.58819444444</v>
      </c>
      <c r="G664" s="5">
        <v>46120.731400462966</v>
      </c>
      <c r="H664" s="3" t="s">
        <v>14</v>
      </c>
      <c r="I664" s="7">
        <v>0.0</v>
      </c>
      <c r="J664" s="3" t="s">
        <v>15</v>
      </c>
    </row>
    <row r="665">
      <c r="A665" s="3"/>
      <c r="B665" s="3"/>
      <c r="C665" s="3" t="s">
        <v>24</v>
      </c>
      <c r="D665" s="4" t="s">
        <v>677</v>
      </c>
      <c r="E665" s="3" t="s">
        <v>166</v>
      </c>
      <c r="F665" s="5">
        <v>46122.58819444444</v>
      </c>
      <c r="G665" s="5">
        <v>46120.772569444445</v>
      </c>
      <c r="H665" s="3" t="s">
        <v>14</v>
      </c>
      <c r="I665" s="7">
        <v>0.0</v>
      </c>
      <c r="J665" s="3" t="s">
        <v>15</v>
      </c>
    </row>
    <row r="666">
      <c r="A666" s="3"/>
      <c r="B666" s="3"/>
      <c r="C666" s="3" t="s">
        <v>26</v>
      </c>
      <c r="D666" s="4" t="s">
        <v>677</v>
      </c>
      <c r="E666" s="3" t="s">
        <v>166</v>
      </c>
      <c r="F666" s="5">
        <v>46122.62986111111</v>
      </c>
      <c r="G666" s="5">
        <v>46120.772627314815</v>
      </c>
      <c r="H666" s="3" t="s">
        <v>14</v>
      </c>
      <c r="I666" s="7">
        <v>0.0</v>
      </c>
      <c r="J666" s="3" t="s">
        <v>15</v>
      </c>
    </row>
    <row r="667">
      <c r="A667" s="3"/>
      <c r="B667" s="3"/>
      <c r="C667" s="3" t="s">
        <v>10</v>
      </c>
      <c r="D667" s="4" t="s">
        <v>681</v>
      </c>
      <c r="E667" s="3" t="s">
        <v>166</v>
      </c>
      <c r="F667" s="5">
        <v>46121.702685185184</v>
      </c>
      <c r="G667" s="5">
        <v>46121.644375</v>
      </c>
      <c r="H667" s="3" t="s">
        <v>14</v>
      </c>
      <c r="I667" s="3">
        <v>0.0</v>
      </c>
      <c r="J667" s="3" t="s">
        <v>72</v>
      </c>
    </row>
    <row r="668">
      <c r="A668" s="3"/>
      <c r="B668" s="3"/>
      <c r="C668" s="3" t="s">
        <v>17</v>
      </c>
      <c r="D668" s="4" t="s">
        <v>681</v>
      </c>
      <c r="E668" s="3" t="s">
        <v>166</v>
      </c>
      <c r="F668" s="5">
        <v>46121.70962962963</v>
      </c>
      <c r="G668" s="5">
        <v>46121.644953703704</v>
      </c>
      <c r="H668" s="3" t="s">
        <v>14</v>
      </c>
      <c r="I668" s="7">
        <v>0.0</v>
      </c>
      <c r="J668" s="3" t="s">
        <v>72</v>
      </c>
    </row>
    <row r="669">
      <c r="A669" s="3"/>
      <c r="B669" s="3"/>
      <c r="C669" s="3" t="s">
        <v>21</v>
      </c>
      <c r="D669" s="4" t="s">
        <v>681</v>
      </c>
      <c r="E669" s="3" t="s">
        <v>166</v>
      </c>
      <c r="F669" s="5">
        <v>46121.813796296294</v>
      </c>
      <c r="G669" s="5">
        <v>46121.64502314815</v>
      </c>
      <c r="H669" s="3" t="s">
        <v>14</v>
      </c>
      <c r="I669" s="7">
        <v>0.0</v>
      </c>
      <c r="J669" s="3" t="s">
        <v>72</v>
      </c>
    </row>
    <row r="670">
      <c r="A670" s="3"/>
      <c r="B670" s="3"/>
      <c r="C670" s="3" t="s">
        <v>24</v>
      </c>
      <c r="D670" s="4" t="s">
        <v>681</v>
      </c>
      <c r="E670" s="3" t="s">
        <v>166</v>
      </c>
      <c r="F670" s="5">
        <v>46122.81319444445</v>
      </c>
      <c r="G670" s="5">
        <v>46121.750231481485</v>
      </c>
      <c r="H670" s="3" t="s">
        <v>14</v>
      </c>
      <c r="I670" s="7">
        <v>0.0</v>
      </c>
      <c r="J670" s="3" t="s">
        <v>72</v>
      </c>
    </row>
    <row r="671">
      <c r="A671" s="3"/>
      <c r="B671" s="3"/>
      <c r="C671" s="3" t="s">
        <v>26</v>
      </c>
      <c r="D671" s="4" t="s">
        <v>681</v>
      </c>
      <c r="E671" s="3" t="s">
        <v>166</v>
      </c>
      <c r="F671" s="5">
        <v>46123.43819444445</v>
      </c>
      <c r="G671" s="5">
        <v>46121.75032407408</v>
      </c>
      <c r="H671" s="3" t="s">
        <v>14</v>
      </c>
      <c r="I671" s="7">
        <v>0.0</v>
      </c>
      <c r="J671" s="3" t="s">
        <v>72</v>
      </c>
    </row>
    <row r="672">
      <c r="A672" s="3"/>
      <c r="B672" s="3"/>
      <c r="C672" s="3" t="s">
        <v>10</v>
      </c>
      <c r="D672" s="4" t="s">
        <v>685</v>
      </c>
      <c r="E672" s="3" t="s">
        <v>686</v>
      </c>
      <c r="F672" s="5">
        <v>46121.73726851852</v>
      </c>
      <c r="G672" s="5">
        <v>46121.64440972222</v>
      </c>
      <c r="H672" s="3" t="s">
        <v>14</v>
      </c>
      <c r="I672" s="3">
        <v>0.0</v>
      </c>
      <c r="J672" s="3" t="s">
        <v>48</v>
      </c>
    </row>
    <row r="673">
      <c r="A673" s="3"/>
      <c r="B673" s="3"/>
      <c r="C673" s="3" t="s">
        <v>17</v>
      </c>
      <c r="D673" s="4" t="s">
        <v>685</v>
      </c>
      <c r="E673" s="3" t="s">
        <v>686</v>
      </c>
      <c r="F673" s="5">
        <v>46121.74421296296</v>
      </c>
      <c r="G673" s="5">
        <v>46121.64496527778</v>
      </c>
      <c r="H673" s="3" t="s">
        <v>14</v>
      </c>
      <c r="I673" s="7">
        <v>0.0</v>
      </c>
      <c r="J673" s="3" t="s">
        <v>48</v>
      </c>
    </row>
    <row r="674">
      <c r="A674" s="3"/>
      <c r="B674" s="3"/>
      <c r="C674" s="3" t="s">
        <v>21</v>
      </c>
      <c r="D674" s="4" t="s">
        <v>685</v>
      </c>
      <c r="E674" s="3" t="s">
        <v>686</v>
      </c>
      <c r="F674" s="5">
        <v>46122.45208333333</v>
      </c>
      <c r="G674" s="5">
        <v>46121.64502314815</v>
      </c>
      <c r="H674" s="3" t="s">
        <v>14</v>
      </c>
      <c r="I674" s="7">
        <v>0.0</v>
      </c>
      <c r="J674" s="3" t="s">
        <v>48</v>
      </c>
    </row>
    <row r="675">
      <c r="A675" s="3"/>
      <c r="B675" s="3"/>
      <c r="C675" s="3" t="s">
        <v>24</v>
      </c>
      <c r="D675" s="4" t="s">
        <v>685</v>
      </c>
      <c r="E675" s="3" t="s">
        <v>686</v>
      </c>
      <c r="F675" s="5">
        <v>46123.45208333333</v>
      </c>
      <c r="G675" s="5">
        <v>46122.45930555555</v>
      </c>
      <c r="H675" s="3" t="s">
        <v>14</v>
      </c>
      <c r="I675" s="7">
        <v>0.0</v>
      </c>
      <c r="J675" s="3" t="s">
        <v>48</v>
      </c>
    </row>
    <row r="676">
      <c r="A676" s="3"/>
      <c r="B676" s="3"/>
      <c r="C676" s="3" t="s">
        <v>26</v>
      </c>
      <c r="D676" s="4" t="s">
        <v>685</v>
      </c>
      <c r="E676" s="3" t="s">
        <v>686</v>
      </c>
      <c r="F676" s="5">
        <v>46123.49375</v>
      </c>
      <c r="G676" s="5">
        <v>46122.459328703706</v>
      </c>
      <c r="H676" s="3" t="s">
        <v>14</v>
      </c>
      <c r="I676" s="7">
        <v>0.0</v>
      </c>
      <c r="J676" s="3" t="s">
        <v>48</v>
      </c>
    </row>
    <row r="677">
      <c r="A677" s="3"/>
      <c r="B677" s="3"/>
      <c r="C677" s="3" t="s">
        <v>10</v>
      </c>
      <c r="D677" s="4" t="s">
        <v>688</v>
      </c>
      <c r="E677" s="3" t="s">
        <v>689</v>
      </c>
      <c r="F677" s="5">
        <v>46121.81162037037</v>
      </c>
      <c r="G677" s="5">
        <v>46121.64512731481</v>
      </c>
      <c r="H677" s="3" t="s">
        <v>14</v>
      </c>
      <c r="I677" s="3">
        <v>0.0</v>
      </c>
      <c r="J677" s="3" t="s">
        <v>72</v>
      </c>
    </row>
    <row r="678">
      <c r="A678" s="3"/>
      <c r="B678" s="3"/>
      <c r="C678" s="3" t="s">
        <v>17</v>
      </c>
      <c r="D678" s="4" t="s">
        <v>688</v>
      </c>
      <c r="E678" s="3" t="s">
        <v>689</v>
      </c>
      <c r="F678" s="5">
        <v>46121.818564814814</v>
      </c>
      <c r="G678" s="5">
        <v>46121.64517361111</v>
      </c>
      <c r="H678" s="3" t="s">
        <v>14</v>
      </c>
      <c r="I678" s="7">
        <v>0.0</v>
      </c>
      <c r="J678" s="3" t="s">
        <v>72</v>
      </c>
    </row>
    <row r="679">
      <c r="A679" s="3"/>
      <c r="B679" s="3"/>
      <c r="C679" s="3" t="s">
        <v>21</v>
      </c>
      <c r="D679" s="4" t="s">
        <v>688</v>
      </c>
      <c r="E679" s="3" t="s">
        <v>689</v>
      </c>
      <c r="F679" s="5">
        <v>46122.52638888889</v>
      </c>
      <c r="G679" s="5">
        <v>46121.64519675926</v>
      </c>
      <c r="H679" s="3" t="s">
        <v>14</v>
      </c>
      <c r="I679" s="7">
        <v>0.0</v>
      </c>
      <c r="J679" s="3" t="s">
        <v>72</v>
      </c>
    </row>
    <row r="680">
      <c r="A680" s="3"/>
      <c r="B680" s="3"/>
      <c r="C680" s="3" t="s">
        <v>24</v>
      </c>
      <c r="D680" s="4" t="s">
        <v>688</v>
      </c>
      <c r="E680" s="3" t="s">
        <v>689</v>
      </c>
      <c r="F680" s="5">
        <v>46123.52638888889</v>
      </c>
      <c r="G680" s="5">
        <v>46121.75025462963</v>
      </c>
      <c r="H680" s="3" t="s">
        <v>14</v>
      </c>
      <c r="I680" s="7">
        <v>0.0</v>
      </c>
      <c r="J680" s="3" t="s">
        <v>72</v>
      </c>
    </row>
    <row r="681">
      <c r="A681" s="3"/>
      <c r="B681" s="3"/>
      <c r="C681" s="3" t="s">
        <v>26</v>
      </c>
      <c r="D681" s="4" t="s">
        <v>688</v>
      </c>
      <c r="E681" s="3" t="s">
        <v>689</v>
      </c>
      <c r="F681" s="5">
        <v>46123.56805555556</v>
      </c>
      <c r="G681" s="5">
        <v>46122.799421296295</v>
      </c>
      <c r="H681" s="3" t="s">
        <v>14</v>
      </c>
      <c r="I681" s="7">
        <v>0.0</v>
      </c>
      <c r="J681" s="3" t="s">
        <v>72</v>
      </c>
    </row>
    <row r="682">
      <c r="A682" s="3"/>
      <c r="B682" s="3"/>
      <c r="C682" s="3" t="s">
        <v>10</v>
      </c>
      <c r="D682" s="4" t="s">
        <v>693</v>
      </c>
      <c r="E682" s="3" t="s">
        <v>694</v>
      </c>
      <c r="F682" s="5">
        <v>46121.81607638889</v>
      </c>
      <c r="G682" s="5">
        <v>46121.69097222222</v>
      </c>
      <c r="H682" s="3" t="s">
        <v>14</v>
      </c>
      <c r="I682" s="3">
        <v>0.0</v>
      </c>
      <c r="J682" s="3" t="s">
        <v>15</v>
      </c>
    </row>
    <row r="683">
      <c r="A683" s="3"/>
      <c r="B683" s="3"/>
      <c r="C683" s="3" t="s">
        <v>17</v>
      </c>
      <c r="D683" s="4" t="s">
        <v>693</v>
      </c>
      <c r="E683" s="3" t="s">
        <v>694</v>
      </c>
      <c r="F683" s="5">
        <v>46121.82302083333</v>
      </c>
      <c r="G683" s="5">
        <v>46121.69119212963</v>
      </c>
      <c r="H683" s="3" t="s">
        <v>14</v>
      </c>
      <c r="I683" s="7">
        <v>0.0</v>
      </c>
      <c r="J683" s="3" t="s">
        <v>15</v>
      </c>
    </row>
    <row r="684">
      <c r="A684" s="3"/>
      <c r="B684" s="3"/>
      <c r="C684" s="3" t="s">
        <v>21</v>
      </c>
      <c r="D684" s="4" t="s">
        <v>693</v>
      </c>
      <c r="E684" s="3" t="s">
        <v>694</v>
      </c>
      <c r="F684" s="5">
        <v>46122.53125</v>
      </c>
      <c r="G684" s="5">
        <v>46121.693090277775</v>
      </c>
      <c r="H684" s="3" t="s">
        <v>14</v>
      </c>
      <c r="I684" s="7">
        <v>0.0</v>
      </c>
      <c r="J684" s="3" t="s">
        <v>15</v>
      </c>
    </row>
    <row r="685">
      <c r="A685" s="3"/>
      <c r="B685" s="3"/>
      <c r="C685" s="3" t="s">
        <v>24</v>
      </c>
      <c r="D685" s="4" t="s">
        <v>693</v>
      </c>
      <c r="E685" s="3" t="s">
        <v>694</v>
      </c>
      <c r="F685" s="5">
        <v>46123.53125</v>
      </c>
      <c r="G685" s="5">
        <v>46121.760625</v>
      </c>
      <c r="H685" s="3" t="s">
        <v>14</v>
      </c>
      <c r="I685" s="7">
        <v>0.0</v>
      </c>
      <c r="J685" s="3" t="s">
        <v>15</v>
      </c>
    </row>
    <row r="686">
      <c r="A686" s="3"/>
      <c r="B686" s="3"/>
      <c r="C686" s="3" t="s">
        <v>26</v>
      </c>
      <c r="D686" s="4" t="s">
        <v>693</v>
      </c>
      <c r="E686" s="3" t="s">
        <v>694</v>
      </c>
      <c r="F686" s="5">
        <v>46123.572916666664</v>
      </c>
      <c r="G686" s="5">
        <v>46121.760729166665</v>
      </c>
      <c r="H686" s="3" t="s">
        <v>14</v>
      </c>
      <c r="I686" s="7">
        <v>0.0</v>
      </c>
      <c r="J686" s="3" t="s">
        <v>15</v>
      </c>
    </row>
    <row r="687">
      <c r="A687" s="3"/>
      <c r="B687" s="3"/>
      <c r="C687" s="3" t="s">
        <v>10</v>
      </c>
      <c r="D687" s="4" t="s">
        <v>698</v>
      </c>
      <c r="E687" s="3" t="s">
        <v>699</v>
      </c>
      <c r="F687" s="5">
        <v>46122.74356481482</v>
      </c>
      <c r="G687" s="5">
        <v>46122.60765046296</v>
      </c>
      <c r="H687" s="3" t="s">
        <v>14</v>
      </c>
      <c r="I687" s="3">
        <v>0.0</v>
      </c>
      <c r="J687" s="3" t="s">
        <v>61</v>
      </c>
    </row>
    <row r="688">
      <c r="A688" s="3"/>
      <c r="B688" s="3"/>
      <c r="C688" s="3" t="s">
        <v>17</v>
      </c>
      <c r="D688" s="4" t="s">
        <v>698</v>
      </c>
      <c r="E688" s="3" t="s">
        <v>699</v>
      </c>
      <c r="F688" s="5">
        <v>46122.75050925926</v>
      </c>
      <c r="G688" s="5">
        <v>46122.607939814814</v>
      </c>
      <c r="H688" s="3" t="s">
        <v>14</v>
      </c>
      <c r="I688" s="7">
        <v>0.0</v>
      </c>
      <c r="J688" s="3" t="s">
        <v>61</v>
      </c>
    </row>
    <row r="689">
      <c r="A689" s="3"/>
      <c r="B689" s="3"/>
      <c r="C689" s="3" t="s">
        <v>21</v>
      </c>
      <c r="D689" s="4" t="s">
        <v>698</v>
      </c>
      <c r="E689" s="3" t="s">
        <v>699</v>
      </c>
      <c r="F689" s="5">
        <v>46123.416666666664</v>
      </c>
      <c r="G689" s="5">
        <v>46122.63407407407</v>
      </c>
      <c r="H689" s="3" t="s">
        <v>14</v>
      </c>
      <c r="I689" s="7">
        <v>0.0</v>
      </c>
      <c r="J689" s="3" t="s">
        <v>61</v>
      </c>
    </row>
    <row r="690">
      <c r="A690" s="3"/>
      <c r="B690" s="3"/>
      <c r="C690" s="3" t="s">
        <v>24</v>
      </c>
      <c r="D690" s="4" t="s">
        <v>698</v>
      </c>
      <c r="E690" s="3" t="s">
        <v>699</v>
      </c>
      <c r="F690" s="5">
        <v>46125.416666666664</v>
      </c>
      <c r="G690" s="5">
        <v>46122.634351851855</v>
      </c>
      <c r="H690" s="3" t="s">
        <v>14</v>
      </c>
      <c r="I690" s="7">
        <v>0.0</v>
      </c>
      <c r="J690" s="3" t="s">
        <v>61</v>
      </c>
    </row>
    <row r="691">
      <c r="A691" s="3"/>
      <c r="B691" s="3"/>
      <c r="C691" s="3" t="s">
        <v>26</v>
      </c>
      <c r="D691" s="4" t="s">
        <v>698</v>
      </c>
      <c r="E691" s="3" t="s">
        <v>699</v>
      </c>
      <c r="F691" s="5">
        <v>46125.458333333336</v>
      </c>
      <c r="G691" s="5">
        <v>46122.63443287037</v>
      </c>
      <c r="H691" s="3" t="s">
        <v>14</v>
      </c>
      <c r="I691" s="7">
        <v>0.0</v>
      </c>
      <c r="J691" s="3" t="s">
        <v>61</v>
      </c>
    </row>
    <row r="692">
      <c r="A692" s="3"/>
      <c r="B692" s="3"/>
      <c r="C692" s="3" t="s">
        <v>10</v>
      </c>
      <c r="D692" s="4" t="s">
        <v>704</v>
      </c>
      <c r="E692" s="3" t="s">
        <v>705</v>
      </c>
      <c r="F692" s="5">
        <v>46126.44375</v>
      </c>
      <c r="G692" s="5">
        <v>46125.718773148146</v>
      </c>
      <c r="H692" s="3" t="s">
        <v>14</v>
      </c>
      <c r="I692" s="3">
        <v>0.0</v>
      </c>
      <c r="J692" s="3" t="s">
        <v>15</v>
      </c>
    </row>
    <row r="693">
      <c r="A693" s="3"/>
      <c r="B693" s="3"/>
      <c r="C693" s="3" t="s">
        <v>17</v>
      </c>
      <c r="D693" s="4" t="s">
        <v>704</v>
      </c>
      <c r="E693" s="3" t="s">
        <v>705</v>
      </c>
      <c r="F693" s="5">
        <v>46126.450694444444</v>
      </c>
      <c r="G693" s="5">
        <v>46125.71896990741</v>
      </c>
      <c r="H693" s="3" t="s">
        <v>14</v>
      </c>
      <c r="I693" s="7">
        <v>0.0</v>
      </c>
      <c r="J693" s="3" t="s">
        <v>15</v>
      </c>
    </row>
    <row r="694">
      <c r="A694" s="3"/>
      <c r="B694" s="3"/>
      <c r="C694" s="3" t="s">
        <v>21</v>
      </c>
      <c r="D694" s="4" t="s">
        <v>704</v>
      </c>
      <c r="E694" s="3" t="s">
        <v>705</v>
      </c>
      <c r="F694" s="5">
        <v>46126.55486111111</v>
      </c>
      <c r="G694" s="5">
        <v>46125.7190625</v>
      </c>
      <c r="H694" s="3" t="s">
        <v>14</v>
      </c>
      <c r="I694" s="7">
        <v>0.0</v>
      </c>
      <c r="J694" s="3" t="s">
        <v>15</v>
      </c>
    </row>
    <row r="695">
      <c r="A695" s="3"/>
      <c r="B695" s="3"/>
      <c r="C695" s="3" t="s">
        <v>24</v>
      </c>
      <c r="D695" s="4" t="s">
        <v>704</v>
      </c>
      <c r="E695" s="3" t="s">
        <v>705</v>
      </c>
      <c r="F695" s="5">
        <v>46127.55486111111</v>
      </c>
      <c r="G695" s="5">
        <v>46125.71915509259</v>
      </c>
      <c r="H695" s="3" t="s">
        <v>14</v>
      </c>
      <c r="I695" s="7">
        <v>0.0</v>
      </c>
      <c r="J695" s="3" t="s">
        <v>15</v>
      </c>
    </row>
    <row r="696">
      <c r="A696" s="3"/>
      <c r="B696" s="3"/>
      <c r="C696" s="3" t="s">
        <v>26</v>
      </c>
      <c r="D696" s="4" t="s">
        <v>704</v>
      </c>
      <c r="E696" s="3" t="s">
        <v>705</v>
      </c>
      <c r="F696" s="5">
        <v>46127.59652777778</v>
      </c>
      <c r="G696" s="5">
        <v>46125.73241898148</v>
      </c>
      <c r="H696" s="3" t="s">
        <v>14</v>
      </c>
      <c r="I696" s="7">
        <v>0.0</v>
      </c>
      <c r="J696" s="3" t="s">
        <v>15</v>
      </c>
    </row>
    <row r="697">
      <c r="A697" s="3"/>
      <c r="B697" s="3"/>
      <c r="C697" s="3" t="s">
        <v>10</v>
      </c>
      <c r="D697" s="4" t="s">
        <v>708</v>
      </c>
      <c r="E697" s="3" t="s">
        <v>523</v>
      </c>
      <c r="F697" s="5">
        <v>46126.444444444445</v>
      </c>
      <c r="G697" s="5">
        <v>46125.7187962963</v>
      </c>
      <c r="H697" s="3" t="s">
        <v>14</v>
      </c>
      <c r="I697" s="3">
        <v>0.0</v>
      </c>
      <c r="J697" s="3" t="s">
        <v>15</v>
      </c>
    </row>
    <row r="698">
      <c r="A698" s="3"/>
      <c r="B698" s="3"/>
      <c r="C698" s="3" t="s">
        <v>17</v>
      </c>
      <c r="D698" s="4" t="s">
        <v>708</v>
      </c>
      <c r="E698" s="3" t="s">
        <v>523</v>
      </c>
      <c r="F698" s="5">
        <v>46126.45138888889</v>
      </c>
      <c r="G698" s="5">
        <v>46125.71900462963</v>
      </c>
      <c r="H698" s="3" t="s">
        <v>14</v>
      </c>
      <c r="I698" s="7">
        <v>0.0</v>
      </c>
      <c r="J698" s="3" t="s">
        <v>15</v>
      </c>
    </row>
    <row r="699">
      <c r="A699" s="3"/>
      <c r="B699" s="3"/>
      <c r="C699" s="3" t="s">
        <v>21</v>
      </c>
      <c r="D699" s="4" t="s">
        <v>708</v>
      </c>
      <c r="E699" s="3" t="s">
        <v>523</v>
      </c>
      <c r="F699" s="5">
        <v>46126.555555555555</v>
      </c>
      <c r="G699" s="5">
        <v>46125.71908564815</v>
      </c>
      <c r="H699" s="3" t="s">
        <v>14</v>
      </c>
      <c r="I699" s="7">
        <v>0.0</v>
      </c>
      <c r="J699" s="3" t="s">
        <v>15</v>
      </c>
    </row>
    <row r="700">
      <c r="A700" s="3"/>
      <c r="B700" s="3"/>
      <c r="C700" s="3" t="s">
        <v>24</v>
      </c>
      <c r="D700" s="4" t="s">
        <v>708</v>
      </c>
      <c r="E700" s="3" t="s">
        <v>523</v>
      </c>
      <c r="F700" s="5">
        <v>46127.555555555555</v>
      </c>
      <c r="G700" s="5">
        <v>46125.71916666667</v>
      </c>
      <c r="H700" s="3" t="s">
        <v>14</v>
      </c>
      <c r="I700" s="7">
        <v>0.0</v>
      </c>
      <c r="J700" s="3" t="s">
        <v>15</v>
      </c>
    </row>
    <row r="701">
      <c r="A701" s="3"/>
      <c r="B701" s="3"/>
      <c r="C701" s="3" t="s">
        <v>26</v>
      </c>
      <c r="D701" s="4" t="s">
        <v>708</v>
      </c>
      <c r="E701" s="3" t="s">
        <v>523</v>
      </c>
      <c r="F701" s="5">
        <v>46127.59722222222</v>
      </c>
      <c r="G701" s="5">
        <v>46125.73243055555</v>
      </c>
      <c r="H701" s="3" t="s">
        <v>14</v>
      </c>
      <c r="I701" s="7">
        <v>0.0</v>
      </c>
      <c r="J701" s="3" t="s">
        <v>15</v>
      </c>
    </row>
    <row r="702">
      <c r="A702" s="3"/>
      <c r="B702" s="3"/>
      <c r="C702" s="3" t="s">
        <v>10</v>
      </c>
      <c r="D702" s="4" t="s">
        <v>712</v>
      </c>
      <c r="E702" s="3" t="s">
        <v>713</v>
      </c>
      <c r="F702" s="5">
        <v>46127.43472222222</v>
      </c>
      <c r="G702" s="5">
        <v>46126.780856481484</v>
      </c>
      <c r="H702" s="3" t="s">
        <v>14</v>
      </c>
      <c r="I702" s="3">
        <v>0.0</v>
      </c>
      <c r="J702" s="3" t="s">
        <v>15</v>
      </c>
    </row>
    <row r="703">
      <c r="A703" s="3"/>
      <c r="B703" s="3"/>
      <c r="C703" s="3" t="s">
        <v>17</v>
      </c>
      <c r="D703" s="4" t="s">
        <v>712</v>
      </c>
      <c r="E703" s="3" t="s">
        <v>713</v>
      </c>
      <c r="F703" s="5">
        <v>46127.441666666666</v>
      </c>
      <c r="G703" s="5">
        <v>46126.78159722222</v>
      </c>
      <c r="H703" s="3" t="s">
        <v>14</v>
      </c>
      <c r="I703" s="7">
        <v>0.0</v>
      </c>
      <c r="J703" s="3" t="s">
        <v>15</v>
      </c>
    </row>
    <row r="704">
      <c r="A704" s="3"/>
      <c r="B704" s="3"/>
      <c r="C704" s="3" t="s">
        <v>21</v>
      </c>
      <c r="D704" s="4" t="s">
        <v>712</v>
      </c>
      <c r="E704" s="3" t="s">
        <v>713</v>
      </c>
      <c r="F704" s="5">
        <v>46127.54583333333</v>
      </c>
      <c r="G704" s="5">
        <v>46126.78162037037</v>
      </c>
      <c r="H704" s="3" t="s">
        <v>14</v>
      </c>
      <c r="I704" s="7">
        <v>0.0</v>
      </c>
      <c r="J704" s="3" t="s">
        <v>15</v>
      </c>
    </row>
    <row r="705">
      <c r="A705" s="3"/>
      <c r="B705" s="3"/>
      <c r="C705" s="3" t="s">
        <v>24</v>
      </c>
      <c r="D705" s="4" t="s">
        <v>712</v>
      </c>
      <c r="E705" s="3" t="s">
        <v>713</v>
      </c>
      <c r="F705" s="5">
        <v>46128.54583333333</v>
      </c>
      <c r="G705" s="5">
        <v>46126.78282407407</v>
      </c>
      <c r="H705" s="3" t="s">
        <v>14</v>
      </c>
      <c r="I705" s="7">
        <v>0.0</v>
      </c>
      <c r="J705" s="3" t="s">
        <v>15</v>
      </c>
    </row>
    <row r="706">
      <c r="A706" s="3"/>
      <c r="B706" s="3"/>
      <c r="C706" s="3" t="s">
        <v>26</v>
      </c>
      <c r="D706" s="4" t="s">
        <v>712</v>
      </c>
      <c r="E706" s="3" t="s">
        <v>713</v>
      </c>
      <c r="F706" s="5">
        <v>46128.5875</v>
      </c>
      <c r="G706" s="5">
        <v>46127.42806712963</v>
      </c>
      <c r="H706" s="3" t="s">
        <v>14</v>
      </c>
      <c r="I706" s="7">
        <v>0.0</v>
      </c>
      <c r="J706" s="3" t="s">
        <v>15</v>
      </c>
    </row>
    <row r="707">
      <c r="A707" s="3"/>
      <c r="B707" s="3"/>
      <c r="C707" s="3" t="s">
        <v>10</v>
      </c>
      <c r="D707" s="4" t="s">
        <v>717</v>
      </c>
      <c r="E707" s="3" t="s">
        <v>718</v>
      </c>
      <c r="F707" s="5">
        <v>46127.72888888889</v>
      </c>
      <c r="G707" s="5">
        <v>46127.61640046296</v>
      </c>
      <c r="H707" s="3" t="s">
        <v>14</v>
      </c>
      <c r="I707" s="3">
        <v>0.0</v>
      </c>
      <c r="J707" s="3" t="s">
        <v>61</v>
      </c>
    </row>
    <row r="708">
      <c r="A708" s="3"/>
      <c r="B708" s="3"/>
      <c r="C708" s="3" t="s">
        <v>17</v>
      </c>
      <c r="D708" s="4" t="s">
        <v>717</v>
      </c>
      <c r="E708" s="3" t="s">
        <v>718</v>
      </c>
      <c r="F708" s="5">
        <v>46127.73583333333</v>
      </c>
      <c r="G708" s="5">
        <v>46127.61650462963</v>
      </c>
      <c r="H708" s="3" t="s">
        <v>14</v>
      </c>
      <c r="I708" s="7">
        <v>0.0</v>
      </c>
      <c r="J708" s="3" t="s">
        <v>61</v>
      </c>
    </row>
    <row r="709">
      <c r="A709" s="3"/>
      <c r="B709" s="3"/>
      <c r="C709" s="3" t="s">
        <v>21</v>
      </c>
      <c r="D709" s="4" t="s">
        <v>717</v>
      </c>
      <c r="E709" s="3" t="s">
        <v>718</v>
      </c>
      <c r="F709" s="5">
        <v>46128.44375</v>
      </c>
      <c r="G709" s="5">
        <v>46127.61659722222</v>
      </c>
      <c r="H709" s="3" t="s">
        <v>14</v>
      </c>
      <c r="I709" s="7">
        <v>0.0</v>
      </c>
      <c r="J709" s="3" t="s">
        <v>61</v>
      </c>
    </row>
    <row r="710">
      <c r="A710" s="3"/>
      <c r="B710" s="3"/>
      <c r="C710" s="3" t="s">
        <v>24</v>
      </c>
      <c r="D710" s="4" t="s">
        <v>717</v>
      </c>
      <c r="E710" s="3" t="s">
        <v>718</v>
      </c>
      <c r="F710" s="5">
        <v>46129.44375</v>
      </c>
      <c r="G710" s="5">
        <v>46128.51648148148</v>
      </c>
      <c r="H710" s="3" t="s">
        <v>14</v>
      </c>
      <c r="I710" s="7">
        <v>0.0</v>
      </c>
      <c r="J710" s="3" t="s">
        <v>61</v>
      </c>
    </row>
    <row r="711">
      <c r="A711" s="3"/>
      <c r="B711" s="3"/>
      <c r="C711" s="3" t="s">
        <v>26</v>
      </c>
      <c r="D711" s="4" t="s">
        <v>717</v>
      </c>
      <c r="E711" s="3" t="s">
        <v>718</v>
      </c>
      <c r="F711" s="5">
        <v>46129.48541666667</v>
      </c>
      <c r="G711" s="5">
        <v>46128.5165162037</v>
      </c>
      <c r="H711" s="3" t="s">
        <v>14</v>
      </c>
      <c r="I711" s="7">
        <v>0.0</v>
      </c>
      <c r="J711" s="3" t="s">
        <v>61</v>
      </c>
    </row>
    <row r="712">
      <c r="A712" s="3"/>
      <c r="B712" s="3"/>
      <c r="C712" s="3" t="s">
        <v>10</v>
      </c>
      <c r="D712" s="4" t="s">
        <v>721</v>
      </c>
      <c r="E712" s="3" t="s">
        <v>723</v>
      </c>
      <c r="F712" s="5">
        <v>46128.650868055556</v>
      </c>
      <c r="G712" s="5">
        <v>46128.49355324074</v>
      </c>
      <c r="H712" s="3" t="s">
        <v>14</v>
      </c>
      <c r="I712" s="3">
        <v>0.0</v>
      </c>
      <c r="J712" s="3" t="s">
        <v>15</v>
      </c>
    </row>
    <row r="713">
      <c r="A713" s="3"/>
      <c r="B713" s="3"/>
      <c r="C713" s="3" t="s">
        <v>17</v>
      </c>
      <c r="D713" s="4" t="s">
        <v>721</v>
      </c>
      <c r="E713" s="3" t="s">
        <v>723</v>
      </c>
      <c r="F713" s="5">
        <v>46128.6578125</v>
      </c>
      <c r="G713" s="5">
        <v>46128.49606481481</v>
      </c>
      <c r="H713" s="3" t="s">
        <v>14</v>
      </c>
      <c r="I713" s="7">
        <v>0.0</v>
      </c>
      <c r="J713" s="3" t="s">
        <v>15</v>
      </c>
    </row>
    <row r="714">
      <c r="A714" s="3"/>
      <c r="B714" s="3"/>
      <c r="C714" s="3" t="s">
        <v>21</v>
      </c>
      <c r="D714" s="4" t="s">
        <v>721</v>
      </c>
      <c r="E714" s="3" t="s">
        <v>723</v>
      </c>
      <c r="F714" s="5">
        <v>46128.761979166666</v>
      </c>
      <c r="G714" s="5">
        <v>46128.51636574074</v>
      </c>
      <c r="H714" s="3" t="s">
        <v>14</v>
      </c>
      <c r="I714" s="7">
        <v>0.0</v>
      </c>
      <c r="J714" s="3" t="s">
        <v>15</v>
      </c>
    </row>
    <row r="715">
      <c r="A715" s="3"/>
      <c r="B715" s="3"/>
      <c r="C715" s="3" t="s">
        <v>24</v>
      </c>
      <c r="D715" s="4" t="s">
        <v>721</v>
      </c>
      <c r="E715" s="3" t="s">
        <v>723</v>
      </c>
      <c r="F715" s="5">
        <v>46129.76180555556</v>
      </c>
      <c r="G715" s="5">
        <v>46129.438425925924</v>
      </c>
      <c r="H715" s="3" t="s">
        <v>14</v>
      </c>
      <c r="I715" s="7">
        <v>0.0</v>
      </c>
      <c r="J715" s="3" t="s">
        <v>15</v>
      </c>
    </row>
    <row r="716">
      <c r="A716" s="3"/>
      <c r="B716" s="3"/>
      <c r="C716" s="3" t="s">
        <v>26</v>
      </c>
      <c r="D716" s="4" t="s">
        <v>721</v>
      </c>
      <c r="E716" s="3" t="s">
        <v>723</v>
      </c>
      <c r="F716" s="5">
        <v>46129.80347222222</v>
      </c>
      <c r="G716" s="5">
        <v>46129.438472222224</v>
      </c>
      <c r="H716" s="3" t="s">
        <v>14</v>
      </c>
      <c r="I716" s="7">
        <v>0.0</v>
      </c>
      <c r="J716" s="3" t="s">
        <v>15</v>
      </c>
    </row>
    <row r="717">
      <c r="A717" s="3"/>
      <c r="B717" s="3"/>
      <c r="C717" s="3" t="s">
        <v>10</v>
      </c>
      <c r="D717" s="4" t="s">
        <v>725</v>
      </c>
      <c r="E717" s="3" t="s">
        <v>727</v>
      </c>
      <c r="F717" s="5">
        <v>46128.66913194444</v>
      </c>
      <c r="G717" s="5">
        <v>46128.51625</v>
      </c>
      <c r="H717" s="3" t="s">
        <v>14</v>
      </c>
      <c r="I717" s="3">
        <v>0.0</v>
      </c>
      <c r="J717" s="3" t="s">
        <v>15</v>
      </c>
    </row>
    <row r="718">
      <c r="A718" s="3"/>
      <c r="B718" s="3"/>
      <c r="C718" s="3" t="s">
        <v>17</v>
      </c>
      <c r="D718" s="4" t="s">
        <v>725</v>
      </c>
      <c r="E718" s="3" t="s">
        <v>727</v>
      </c>
      <c r="F718" s="5">
        <v>46128.67607638889</v>
      </c>
      <c r="G718" s="5">
        <v>46128.51629629629</v>
      </c>
      <c r="H718" s="3" t="s">
        <v>14</v>
      </c>
      <c r="I718" s="7">
        <v>0.0</v>
      </c>
      <c r="J718" s="3" t="s">
        <v>15</v>
      </c>
    </row>
    <row r="719">
      <c r="A719" s="3"/>
      <c r="B719" s="3"/>
      <c r="C719" s="3" t="s">
        <v>21</v>
      </c>
      <c r="D719" s="4" t="s">
        <v>725</v>
      </c>
      <c r="E719" s="3" t="s">
        <v>727</v>
      </c>
      <c r="F719" s="5">
        <v>46128.78024305555</v>
      </c>
      <c r="G719" s="5">
        <v>46128.51634259259</v>
      </c>
      <c r="H719" s="3" t="s">
        <v>14</v>
      </c>
      <c r="I719" s="7">
        <v>0.0</v>
      </c>
      <c r="J719" s="3" t="s">
        <v>15</v>
      </c>
    </row>
    <row r="720">
      <c r="A720" s="3"/>
      <c r="B720" s="3"/>
      <c r="C720" s="3" t="s">
        <v>24</v>
      </c>
      <c r="D720" s="4" t="s">
        <v>725</v>
      </c>
      <c r="E720" s="3" t="s">
        <v>727</v>
      </c>
      <c r="F720" s="5">
        <v>46129.779861111114</v>
      </c>
      <c r="G720" s="5">
        <v>46128.600590277776</v>
      </c>
      <c r="H720" s="3" t="s">
        <v>14</v>
      </c>
      <c r="I720" s="7">
        <v>0.0</v>
      </c>
      <c r="J720" s="3" t="s">
        <v>15</v>
      </c>
    </row>
    <row r="721">
      <c r="A721" s="3"/>
      <c r="B721" s="3"/>
      <c r="C721" s="3" t="s">
        <v>26</v>
      </c>
      <c r="D721" s="4" t="s">
        <v>725</v>
      </c>
      <c r="E721" s="3" t="s">
        <v>727</v>
      </c>
      <c r="F721" s="5">
        <v>46129.82152777778</v>
      </c>
      <c r="G721" s="5">
        <v>46128.60071759259</v>
      </c>
      <c r="H721" s="3" t="s">
        <v>14</v>
      </c>
      <c r="I721" s="7">
        <v>0.0</v>
      </c>
      <c r="J721" s="3" t="s">
        <v>15</v>
      </c>
    </row>
    <row r="722">
      <c r="A722" s="3"/>
      <c r="B722" s="3"/>
      <c r="C722" s="3" t="s">
        <v>10</v>
      </c>
      <c r="D722" s="4" t="s">
        <v>728</v>
      </c>
      <c r="E722" s="3" t="s">
        <v>166</v>
      </c>
      <c r="F722" s="5">
        <v>46128.82233796296</v>
      </c>
      <c r="G722" s="5">
        <v>46128.69164351852</v>
      </c>
      <c r="H722" s="3" t="s">
        <v>14</v>
      </c>
      <c r="I722" s="3">
        <v>0.0</v>
      </c>
      <c r="J722" s="3" t="s">
        <v>15</v>
      </c>
    </row>
    <row r="723">
      <c r="A723" s="3"/>
      <c r="B723" s="3"/>
      <c r="C723" s="3" t="s">
        <v>17</v>
      </c>
      <c r="D723" s="4" t="s">
        <v>728</v>
      </c>
      <c r="E723" s="3" t="s">
        <v>166</v>
      </c>
      <c r="F723" s="5">
        <v>46128.82928240741</v>
      </c>
      <c r="G723" s="5">
        <v>46128.691979166666</v>
      </c>
      <c r="H723" s="3" t="s">
        <v>14</v>
      </c>
      <c r="I723" s="7">
        <v>0.0</v>
      </c>
      <c r="J723" s="3" t="s">
        <v>15</v>
      </c>
    </row>
    <row r="724">
      <c r="A724" s="3"/>
      <c r="B724" s="3"/>
      <c r="C724" s="3" t="s">
        <v>21</v>
      </c>
      <c r="D724" s="4" t="s">
        <v>728</v>
      </c>
      <c r="E724" s="3" t="s">
        <v>166</v>
      </c>
      <c r="F724" s="5">
        <v>46129.5375</v>
      </c>
      <c r="G724" s="5">
        <v>46129.43884259259</v>
      </c>
      <c r="H724" s="3" t="s">
        <v>14</v>
      </c>
      <c r="I724" s="7">
        <v>0.0</v>
      </c>
      <c r="J724" s="3" t="s">
        <v>15</v>
      </c>
    </row>
    <row r="725">
      <c r="A725" s="3"/>
      <c r="B725" s="3"/>
      <c r="C725" s="3" t="s">
        <v>24</v>
      </c>
      <c r="D725" s="4" t="s">
        <v>728</v>
      </c>
      <c r="E725" s="3" t="s">
        <v>166</v>
      </c>
      <c r="F725" s="5">
        <v>46130.5375</v>
      </c>
      <c r="G725" s="5">
        <v>46129.600590277776</v>
      </c>
      <c r="H725" s="3" t="s">
        <v>14</v>
      </c>
      <c r="I725" s="7">
        <v>0.0</v>
      </c>
      <c r="J725" s="3" t="s">
        <v>15</v>
      </c>
    </row>
    <row r="726">
      <c r="A726" s="3"/>
      <c r="B726" s="3"/>
      <c r="C726" s="3" t="s">
        <v>26</v>
      </c>
      <c r="D726" s="4" t="s">
        <v>728</v>
      </c>
      <c r="E726" s="3" t="s">
        <v>166</v>
      </c>
      <c r="F726" s="5">
        <v>46130.57916666667</v>
      </c>
      <c r="G726" s="5">
        <v>46129.526400462964</v>
      </c>
      <c r="H726" s="3" t="s">
        <v>14</v>
      </c>
      <c r="I726" s="7">
        <v>0.0</v>
      </c>
      <c r="J726" s="3" t="s">
        <v>15</v>
      </c>
    </row>
    <row r="727">
      <c r="A727" s="3"/>
      <c r="B727" s="3"/>
      <c r="C727" s="3" t="s">
        <v>10</v>
      </c>
      <c r="D727" s="4" t="s">
        <v>730</v>
      </c>
      <c r="E727" s="3" t="s">
        <v>694</v>
      </c>
      <c r="F727" s="5">
        <v>46129.63959490741</v>
      </c>
      <c r="G727" s="5">
        <v>46129.51047453703</v>
      </c>
      <c r="H727" s="3" t="s">
        <v>14</v>
      </c>
      <c r="I727" s="3">
        <v>0.0</v>
      </c>
      <c r="J727" s="3" t="s">
        <v>72</v>
      </c>
    </row>
    <row r="728">
      <c r="A728" s="3"/>
      <c r="B728" s="3"/>
      <c r="C728" s="3" t="s">
        <v>17</v>
      </c>
      <c r="D728" s="4" t="s">
        <v>730</v>
      </c>
      <c r="E728" s="3" t="s">
        <v>694</v>
      </c>
      <c r="F728" s="5">
        <v>46129.64653935185</v>
      </c>
      <c r="G728" s="5">
        <v>46129.51064814815</v>
      </c>
      <c r="H728" s="3" t="s">
        <v>14</v>
      </c>
      <c r="I728" s="7">
        <v>0.0</v>
      </c>
      <c r="J728" s="3" t="s">
        <v>72</v>
      </c>
    </row>
    <row r="729">
      <c r="A729" s="3"/>
      <c r="B729" s="3"/>
      <c r="C729" s="3" t="s">
        <v>21</v>
      </c>
      <c r="D729" s="4" t="s">
        <v>730</v>
      </c>
      <c r="E729" s="3" t="s">
        <v>694</v>
      </c>
      <c r="F729" s="5">
        <v>46129.750706018516</v>
      </c>
      <c r="G729" s="5">
        <v>46129.51068287037</v>
      </c>
      <c r="H729" s="3" t="s">
        <v>14</v>
      </c>
      <c r="I729" s="7">
        <v>0.0</v>
      </c>
      <c r="J729" s="3" t="s">
        <v>72</v>
      </c>
    </row>
    <row r="730">
      <c r="A730" s="3"/>
      <c r="B730" s="3"/>
      <c r="C730" s="3" t="s">
        <v>24</v>
      </c>
      <c r="D730" s="4" t="s">
        <v>730</v>
      </c>
      <c r="E730" s="3" t="s">
        <v>694</v>
      </c>
      <c r="F730" s="5">
        <v>46130.75069444445</v>
      </c>
      <c r="G730" s="5">
        <v>46129.678090277775</v>
      </c>
      <c r="H730" s="3" t="s">
        <v>14</v>
      </c>
      <c r="I730" s="7">
        <v>0.0</v>
      </c>
      <c r="J730" s="3" t="s">
        <v>72</v>
      </c>
    </row>
    <row r="731">
      <c r="A731" s="3"/>
      <c r="B731" s="3"/>
      <c r="C731" s="3" t="s">
        <v>26</v>
      </c>
      <c r="D731" s="4" t="s">
        <v>730</v>
      </c>
      <c r="E731" s="3" t="s">
        <v>694</v>
      </c>
      <c r="F731" s="5">
        <v>46130.79236111111</v>
      </c>
      <c r="G731" s="5">
        <v>46129.678460648145</v>
      </c>
      <c r="H731" s="3" t="s">
        <v>14</v>
      </c>
      <c r="I731" s="7">
        <v>0.0</v>
      </c>
      <c r="J731" s="3" t="s">
        <v>72</v>
      </c>
    </row>
    <row r="732">
      <c r="A732" s="3"/>
      <c r="B732" s="3"/>
      <c r="C732" s="3" t="s">
        <v>10</v>
      </c>
      <c r="D732" s="4" t="s">
        <v>733</v>
      </c>
      <c r="E732" s="3" t="s">
        <v>734</v>
      </c>
      <c r="F732" s="5">
        <v>46129.739224537036</v>
      </c>
      <c r="G732" s="5">
        <v>46129.6062962963</v>
      </c>
      <c r="H732" s="3" t="s">
        <v>14</v>
      </c>
      <c r="I732" s="3">
        <v>0.0</v>
      </c>
      <c r="J732" s="3" t="s">
        <v>72</v>
      </c>
    </row>
    <row r="733">
      <c r="A733" s="3"/>
      <c r="B733" s="3"/>
      <c r="C733" s="3" t="s">
        <v>17</v>
      </c>
      <c r="D733" s="4" t="s">
        <v>733</v>
      </c>
      <c r="E733" s="3" t="s">
        <v>734</v>
      </c>
      <c r="F733" s="5">
        <v>46129.74616898148</v>
      </c>
      <c r="G733" s="5">
        <v>46129.606400462966</v>
      </c>
      <c r="H733" s="3" t="s">
        <v>14</v>
      </c>
      <c r="I733" s="7">
        <v>0.0</v>
      </c>
      <c r="J733" s="3" t="s">
        <v>72</v>
      </c>
    </row>
    <row r="734">
      <c r="A734" s="3"/>
      <c r="B734" s="3"/>
      <c r="C734" s="3" t="s">
        <v>21</v>
      </c>
      <c r="D734" s="4" t="s">
        <v>733</v>
      </c>
      <c r="E734" s="3" t="s">
        <v>734</v>
      </c>
      <c r="F734" s="5">
        <v>46130.45416666667</v>
      </c>
      <c r="G734" s="5">
        <v>46129.60649305556</v>
      </c>
      <c r="H734" s="3" t="s">
        <v>14</v>
      </c>
      <c r="I734" s="7">
        <v>0.0</v>
      </c>
      <c r="J734" s="3" t="s">
        <v>72</v>
      </c>
    </row>
    <row r="735">
      <c r="A735" s="3"/>
      <c r="B735" s="3"/>
      <c r="C735" s="3" t="s">
        <v>24</v>
      </c>
      <c r="D735" s="4" t="s">
        <v>733</v>
      </c>
      <c r="E735" s="3" t="s">
        <v>734</v>
      </c>
      <c r="F735" s="5">
        <v>46132.45416666667</v>
      </c>
      <c r="G735" s="5">
        <v>46132.42704861111</v>
      </c>
      <c r="H735" s="3" t="s">
        <v>14</v>
      </c>
      <c r="I735" s="7">
        <v>0.0</v>
      </c>
      <c r="J735" s="3" t="s">
        <v>72</v>
      </c>
    </row>
    <row r="736">
      <c r="A736" s="3"/>
      <c r="B736" s="3"/>
      <c r="C736" s="3" t="s">
        <v>26</v>
      </c>
      <c r="D736" s="4" t="s">
        <v>733</v>
      </c>
      <c r="E736" s="3" t="s">
        <v>734</v>
      </c>
      <c r="F736" s="5">
        <v>46132.495833333334</v>
      </c>
      <c r="G736" s="5">
        <v>46132.48034722222</v>
      </c>
      <c r="H736" s="3" t="s">
        <v>14</v>
      </c>
      <c r="I736" s="7">
        <v>0.0</v>
      </c>
      <c r="J736" s="3" t="s">
        <v>72</v>
      </c>
    </row>
    <row r="737">
      <c r="A737" s="3"/>
      <c r="B737" s="3"/>
      <c r="C737" s="3" t="s">
        <v>10</v>
      </c>
      <c r="D737" s="4" t="s">
        <v>735</v>
      </c>
      <c r="E737" s="3" t="s">
        <v>736</v>
      </c>
      <c r="F737" s="5">
        <v>46129.74135416667</v>
      </c>
      <c r="G737" s="5">
        <v>46129.606307870374</v>
      </c>
      <c r="H737" s="3" t="s">
        <v>14</v>
      </c>
      <c r="I737" s="3">
        <v>0.0</v>
      </c>
      <c r="J737" s="3" t="s">
        <v>72</v>
      </c>
    </row>
    <row r="738">
      <c r="A738" s="3"/>
      <c r="B738" s="3"/>
      <c r="C738" s="3" t="s">
        <v>17</v>
      </c>
      <c r="D738" s="4" t="s">
        <v>735</v>
      </c>
      <c r="E738" s="3" t="s">
        <v>736</v>
      </c>
      <c r="F738" s="5">
        <v>46129.74829861111</v>
      </c>
      <c r="G738" s="5">
        <v>46129.60637731481</v>
      </c>
      <c r="H738" s="3" t="s">
        <v>14</v>
      </c>
      <c r="I738" s="7">
        <v>0.0</v>
      </c>
      <c r="J738" s="3" t="s">
        <v>72</v>
      </c>
    </row>
    <row r="739">
      <c r="A739" s="3"/>
      <c r="B739" s="3"/>
      <c r="C739" s="3" t="s">
        <v>21</v>
      </c>
      <c r="D739" s="4" t="s">
        <v>735</v>
      </c>
      <c r="E739" s="3" t="s">
        <v>736</v>
      </c>
      <c r="F739" s="5">
        <v>46130.45625</v>
      </c>
      <c r="G739" s="5">
        <v>46129.60650462963</v>
      </c>
      <c r="H739" s="3" t="s">
        <v>14</v>
      </c>
      <c r="I739" s="7">
        <v>0.0</v>
      </c>
      <c r="J739" s="3" t="s">
        <v>72</v>
      </c>
    </row>
    <row r="740">
      <c r="A740" s="3"/>
      <c r="B740" s="3"/>
      <c r="C740" s="3" t="s">
        <v>24</v>
      </c>
      <c r="D740" s="4" t="s">
        <v>735</v>
      </c>
      <c r="E740" s="3" t="s">
        <v>736</v>
      </c>
      <c r="F740" s="5">
        <v>46132.45625</v>
      </c>
      <c r="G740" s="5">
        <v>46132.427083333336</v>
      </c>
      <c r="H740" s="3" t="s">
        <v>14</v>
      </c>
      <c r="I740" s="7">
        <v>0.0</v>
      </c>
      <c r="J740" s="3" t="s">
        <v>72</v>
      </c>
    </row>
    <row r="741">
      <c r="A741" s="3"/>
      <c r="B741" s="3"/>
      <c r="C741" s="3" t="s">
        <v>26</v>
      </c>
      <c r="D741" s="4" t="s">
        <v>735</v>
      </c>
      <c r="E741" s="3" t="s">
        <v>736</v>
      </c>
      <c r="F741" s="5">
        <v>46132.49791666667</v>
      </c>
      <c r="G741" s="5">
        <v>46132.480358796296</v>
      </c>
      <c r="H741" s="3" t="s">
        <v>14</v>
      </c>
      <c r="I741" s="7">
        <v>0.0</v>
      </c>
      <c r="J741" s="3" t="s">
        <v>72</v>
      </c>
    </row>
    <row r="742">
      <c r="A742" s="3"/>
      <c r="B742" s="3"/>
      <c r="C742" s="3" t="s">
        <v>10</v>
      </c>
      <c r="D742" s="4" t="s">
        <v>739</v>
      </c>
      <c r="E742" s="3" t="s">
        <v>740</v>
      </c>
      <c r="F742" s="5">
        <v>46132.69259259259</v>
      </c>
      <c r="G742" s="5">
        <v>46132.627962962964</v>
      </c>
      <c r="H742" s="3" t="s">
        <v>14</v>
      </c>
      <c r="I742" s="3">
        <v>0.0</v>
      </c>
      <c r="J742" s="3" t="s">
        <v>48</v>
      </c>
    </row>
    <row r="743">
      <c r="A743" s="3"/>
      <c r="B743" s="3"/>
      <c r="C743" s="3" t="s">
        <v>17</v>
      </c>
      <c r="D743" s="4" t="s">
        <v>739</v>
      </c>
      <c r="E743" s="3" t="s">
        <v>740</v>
      </c>
      <c r="F743" s="5">
        <v>46132.699537037035</v>
      </c>
      <c r="G743" s="5">
        <v>46132.6280787037</v>
      </c>
      <c r="H743" s="3" t="s">
        <v>14</v>
      </c>
      <c r="I743" s="7">
        <v>0.0</v>
      </c>
      <c r="J743" s="3" t="s">
        <v>48</v>
      </c>
    </row>
    <row r="744">
      <c r="A744" s="3"/>
      <c r="B744" s="3"/>
      <c r="C744" s="3" t="s">
        <v>21</v>
      </c>
      <c r="D744" s="4" t="s">
        <v>739</v>
      </c>
      <c r="E744" s="3" t="s">
        <v>740</v>
      </c>
      <c r="F744" s="5">
        <v>46132.80370370371</v>
      </c>
      <c r="G744" s="5">
        <v>46132.62813657407</v>
      </c>
      <c r="H744" s="3" t="s">
        <v>14</v>
      </c>
      <c r="I744" s="7">
        <v>0.0</v>
      </c>
      <c r="J744" s="3" t="s">
        <v>48</v>
      </c>
    </row>
    <row r="745">
      <c r="A745" s="3"/>
      <c r="B745" s="3"/>
      <c r="C745" s="3" t="s">
        <v>24</v>
      </c>
      <c r="D745" s="4" t="s">
        <v>739</v>
      </c>
      <c r="E745" s="3" t="s">
        <v>740</v>
      </c>
      <c r="F745" s="5">
        <v>46133.80347222222</v>
      </c>
      <c r="G745" s="5">
        <v>46132.83259259259</v>
      </c>
      <c r="H745" s="3" t="s">
        <v>14</v>
      </c>
      <c r="I745" s="7">
        <v>0.0</v>
      </c>
      <c r="J745" s="3" t="s">
        <v>48</v>
      </c>
    </row>
    <row r="746">
      <c r="A746" s="3"/>
      <c r="B746" s="3"/>
      <c r="C746" s="3" t="s">
        <v>26</v>
      </c>
      <c r="D746" s="4" t="s">
        <v>739</v>
      </c>
      <c r="E746" s="3" t="s">
        <v>740</v>
      </c>
      <c r="F746" s="5">
        <v>46134.42847222222</v>
      </c>
      <c r="G746" s="5">
        <v>46133.4621412037</v>
      </c>
      <c r="H746" s="3" t="s">
        <v>14</v>
      </c>
      <c r="I746" s="7">
        <v>0.0</v>
      </c>
      <c r="J746" s="3" t="s">
        <v>48</v>
      </c>
    </row>
    <row r="747">
      <c r="A747" s="3"/>
      <c r="B747" s="3"/>
      <c r="C747" s="3" t="s">
        <v>10</v>
      </c>
      <c r="D747" s="4" t="s">
        <v>743</v>
      </c>
      <c r="E747" s="3" t="s">
        <v>740</v>
      </c>
      <c r="F747" s="5">
        <v>46132.69422453704</v>
      </c>
      <c r="G747" s="5">
        <v>46132.62820601852</v>
      </c>
      <c r="H747" s="3" t="s">
        <v>14</v>
      </c>
      <c r="I747" s="3">
        <v>0.0</v>
      </c>
      <c r="J747" s="3" t="s">
        <v>72</v>
      </c>
    </row>
    <row r="748">
      <c r="A748" s="3"/>
      <c r="B748" s="3"/>
      <c r="C748" s="3" t="s">
        <v>17</v>
      </c>
      <c r="D748" s="4" t="s">
        <v>743</v>
      </c>
      <c r="E748" s="3" t="s">
        <v>740</v>
      </c>
      <c r="F748" s="5">
        <v>46132.70116898148</v>
      </c>
      <c r="G748" s="5">
        <v>46132.62826388889</v>
      </c>
      <c r="H748" s="3" t="s">
        <v>14</v>
      </c>
      <c r="I748" s="7">
        <v>0.0</v>
      </c>
      <c r="J748" s="3" t="s">
        <v>72</v>
      </c>
    </row>
    <row r="749">
      <c r="A749" s="3"/>
      <c r="B749" s="3"/>
      <c r="C749" s="3" t="s">
        <v>21</v>
      </c>
      <c r="D749" s="4" t="s">
        <v>743</v>
      </c>
      <c r="E749" s="3" t="s">
        <v>740</v>
      </c>
      <c r="F749" s="5">
        <v>46132.80533564815</v>
      </c>
      <c r="G749" s="5">
        <v>46132.62835648148</v>
      </c>
      <c r="H749" s="3" t="s">
        <v>14</v>
      </c>
      <c r="I749" s="7">
        <v>0.0</v>
      </c>
      <c r="J749" s="3" t="s">
        <v>72</v>
      </c>
    </row>
    <row r="750">
      <c r="A750" s="3"/>
      <c r="B750" s="3"/>
      <c r="C750" s="3" t="s">
        <v>24</v>
      </c>
      <c r="D750" s="4" t="s">
        <v>743</v>
      </c>
      <c r="E750" s="3" t="s">
        <v>740</v>
      </c>
      <c r="F750" s="5">
        <v>46133.80486111111</v>
      </c>
      <c r="G750" s="5">
        <v>46132.83256944444</v>
      </c>
      <c r="H750" s="3" t="s">
        <v>14</v>
      </c>
      <c r="I750" s="7">
        <v>0.0</v>
      </c>
      <c r="J750" s="3" t="s">
        <v>72</v>
      </c>
    </row>
    <row r="751">
      <c r="A751" s="3"/>
      <c r="B751" s="3"/>
      <c r="C751" s="3" t="s">
        <v>26</v>
      </c>
      <c r="D751" s="4" t="s">
        <v>743</v>
      </c>
      <c r="E751" s="3" t="s">
        <v>740</v>
      </c>
      <c r="F751" s="5">
        <v>46134.42986111111</v>
      </c>
      <c r="G751" s="5">
        <v>46133.46221064815</v>
      </c>
      <c r="H751" s="3" t="s">
        <v>14</v>
      </c>
      <c r="I751" s="7">
        <v>0.0</v>
      </c>
      <c r="J751" s="3" t="s">
        <v>72</v>
      </c>
    </row>
    <row r="752">
      <c r="A752" s="3"/>
      <c r="B752" s="3"/>
      <c r="C752" s="3" t="s">
        <v>10</v>
      </c>
      <c r="D752" s="4" t="s">
        <v>746</v>
      </c>
      <c r="E752" s="3" t="s">
        <v>747</v>
      </c>
      <c r="F752" s="5">
        <v>46133.47222222222</v>
      </c>
      <c r="G752" s="5">
        <v>46132.72809027778</v>
      </c>
      <c r="H752" s="3" t="s">
        <v>14</v>
      </c>
      <c r="I752" s="3">
        <v>0.0</v>
      </c>
      <c r="J752" s="3" t="s">
        <v>15</v>
      </c>
    </row>
    <row r="753">
      <c r="A753" s="3"/>
      <c r="B753" s="3"/>
      <c r="C753" s="3" t="s">
        <v>17</v>
      </c>
      <c r="D753" s="4" t="s">
        <v>746</v>
      </c>
      <c r="E753" s="3" t="s">
        <v>747</v>
      </c>
      <c r="F753" s="5">
        <v>46133.479166666664</v>
      </c>
      <c r="G753" s="5">
        <v>46132.72824074074</v>
      </c>
      <c r="H753" s="3" t="s">
        <v>14</v>
      </c>
      <c r="I753" s="7">
        <v>0.0</v>
      </c>
      <c r="J753" s="3" t="s">
        <v>15</v>
      </c>
    </row>
    <row r="754">
      <c r="A754" s="3"/>
      <c r="B754" s="3"/>
      <c r="C754" s="3" t="s">
        <v>21</v>
      </c>
      <c r="D754" s="4" t="s">
        <v>746</v>
      </c>
      <c r="E754" s="3" t="s">
        <v>747</v>
      </c>
      <c r="F754" s="5">
        <v>46133.583333333336</v>
      </c>
      <c r="G754" s="5">
        <v>46132.8325</v>
      </c>
      <c r="H754" s="3" t="s">
        <v>14</v>
      </c>
      <c r="I754" s="7">
        <v>0.0</v>
      </c>
      <c r="J754" s="3" t="s">
        <v>15</v>
      </c>
    </row>
    <row r="755">
      <c r="A755" s="3"/>
      <c r="B755" s="3"/>
      <c r="C755" s="3" t="s">
        <v>24</v>
      </c>
      <c r="D755" s="4" t="s">
        <v>746</v>
      </c>
      <c r="E755" s="3" t="s">
        <v>747</v>
      </c>
      <c r="F755" s="5">
        <v>46134.583333333336</v>
      </c>
      <c r="G755" s="5">
        <v>46133.46197916667</v>
      </c>
      <c r="H755" s="3" t="s">
        <v>14</v>
      </c>
      <c r="I755" s="7">
        <v>0.0</v>
      </c>
      <c r="J755" s="3" t="s">
        <v>15</v>
      </c>
    </row>
    <row r="756">
      <c r="A756" s="3"/>
      <c r="B756" s="3"/>
      <c r="C756" s="3" t="s">
        <v>26</v>
      </c>
      <c r="D756" s="4" t="s">
        <v>746</v>
      </c>
      <c r="E756" s="3" t="s">
        <v>747</v>
      </c>
      <c r="F756" s="5">
        <v>46134.625</v>
      </c>
      <c r="G756" s="5">
        <v>46133.462372685186</v>
      </c>
      <c r="H756" s="3" t="s">
        <v>14</v>
      </c>
      <c r="I756" s="7">
        <v>0.0</v>
      </c>
      <c r="J756" s="3" t="s">
        <v>15</v>
      </c>
    </row>
    <row r="757">
      <c r="A757" s="3"/>
      <c r="B757" s="3"/>
      <c r="C757" s="3" t="s">
        <v>10</v>
      </c>
      <c r="D757" s="4" t="s">
        <v>749</v>
      </c>
      <c r="E757" s="3">
        <v>3386.0</v>
      </c>
      <c r="F757" s="5">
        <v>46133.56458333333</v>
      </c>
      <c r="G757" s="5">
        <v>46132.832407407404</v>
      </c>
      <c r="H757" s="3" t="s">
        <v>14</v>
      </c>
      <c r="I757" s="3">
        <v>0.0</v>
      </c>
      <c r="J757" s="3" t="s">
        <v>61</v>
      </c>
    </row>
    <row r="758">
      <c r="A758" s="3"/>
      <c r="B758" s="3"/>
      <c r="C758" s="3" t="s">
        <v>17</v>
      </c>
      <c r="D758" s="4" t="s">
        <v>749</v>
      </c>
      <c r="E758" s="3">
        <v>3386.0</v>
      </c>
      <c r="F758" s="5">
        <v>46133.57152777778</v>
      </c>
      <c r="G758" s="5">
        <v>46132.83244212963</v>
      </c>
      <c r="H758" s="3" t="s">
        <v>14</v>
      </c>
      <c r="I758" s="7">
        <v>0.0</v>
      </c>
      <c r="J758" s="3" t="s">
        <v>61</v>
      </c>
    </row>
    <row r="759">
      <c r="A759" s="3"/>
      <c r="B759" s="3"/>
      <c r="C759" s="3" t="s">
        <v>21</v>
      </c>
      <c r="D759" s="4" t="s">
        <v>749</v>
      </c>
      <c r="E759" s="3">
        <v>3386.0</v>
      </c>
      <c r="F759" s="5">
        <v>46133.67569444444</v>
      </c>
      <c r="G759" s="5">
        <v>46132.83247685185</v>
      </c>
      <c r="H759" s="3" t="s">
        <v>14</v>
      </c>
      <c r="I759" s="7">
        <v>0.0</v>
      </c>
      <c r="J759" s="3" t="s">
        <v>61</v>
      </c>
    </row>
    <row r="760">
      <c r="A760" s="3"/>
      <c r="B760" s="3"/>
      <c r="C760" s="3" t="s">
        <v>24</v>
      </c>
      <c r="D760" s="4" t="s">
        <v>749</v>
      </c>
      <c r="E760" s="3">
        <v>3386.0</v>
      </c>
      <c r="F760" s="5">
        <v>46134.67569444444</v>
      </c>
      <c r="G760" s="5">
        <v>46133.46225694445</v>
      </c>
      <c r="H760" s="3" t="s">
        <v>14</v>
      </c>
      <c r="I760" s="7">
        <v>0.0</v>
      </c>
      <c r="J760" s="3" t="s">
        <v>61</v>
      </c>
    </row>
    <row r="761">
      <c r="A761" s="3"/>
      <c r="B761" s="3"/>
      <c r="C761" s="3" t="s">
        <v>26</v>
      </c>
      <c r="D761" s="4" t="s">
        <v>749</v>
      </c>
      <c r="E761" s="3">
        <v>3386.0</v>
      </c>
      <c r="F761" s="5">
        <v>46134.717361111114</v>
      </c>
      <c r="G761" s="5">
        <v>46134.46952546296</v>
      </c>
      <c r="H761" s="3" t="s">
        <v>14</v>
      </c>
      <c r="I761" s="7">
        <v>0.0</v>
      </c>
      <c r="J761" s="3" t="s">
        <v>61</v>
      </c>
    </row>
    <row r="762">
      <c r="A762" s="3"/>
      <c r="B762" s="3"/>
      <c r="C762" s="3" t="s">
        <v>10</v>
      </c>
      <c r="D762" s="4" t="s">
        <v>753</v>
      </c>
      <c r="E762" s="3" t="s">
        <v>754</v>
      </c>
      <c r="F762" s="5">
        <v>46134.478472222225</v>
      </c>
      <c r="G762" s="5">
        <v>46133.77962962963</v>
      </c>
      <c r="H762" s="3" t="s">
        <v>14</v>
      </c>
      <c r="I762" s="3">
        <v>0.0</v>
      </c>
      <c r="J762" s="3" t="s">
        <v>72</v>
      </c>
    </row>
    <row r="763">
      <c r="A763" s="3"/>
      <c r="B763" s="3"/>
      <c r="C763" s="3" t="s">
        <v>17</v>
      </c>
      <c r="D763" s="4" t="s">
        <v>753</v>
      </c>
      <c r="E763" s="3" t="s">
        <v>754</v>
      </c>
      <c r="F763" s="5">
        <v>46134.48541666667</v>
      </c>
      <c r="G763" s="5">
        <v>46133.779699074075</v>
      </c>
      <c r="H763" s="3" t="s">
        <v>14</v>
      </c>
      <c r="I763" s="7">
        <v>0.0</v>
      </c>
      <c r="J763" s="3" t="s">
        <v>72</v>
      </c>
    </row>
    <row r="764">
      <c r="A764" s="3"/>
      <c r="B764" s="3"/>
      <c r="C764" s="3" t="s">
        <v>21</v>
      </c>
      <c r="D764" s="4" t="s">
        <v>753</v>
      </c>
      <c r="E764" s="3" t="s">
        <v>754</v>
      </c>
      <c r="F764" s="5">
        <v>46134.589583333334</v>
      </c>
      <c r="G764" s="5">
        <v>46133.7797337963</v>
      </c>
      <c r="H764" s="3" t="s">
        <v>14</v>
      </c>
      <c r="I764" s="7">
        <v>0.0</v>
      </c>
      <c r="J764" s="3" t="s">
        <v>72</v>
      </c>
    </row>
    <row r="765">
      <c r="A765" s="3"/>
      <c r="B765" s="3"/>
      <c r="C765" s="3" t="s">
        <v>24</v>
      </c>
      <c r="D765" s="4" t="s">
        <v>753</v>
      </c>
      <c r="E765" s="3" t="s">
        <v>754</v>
      </c>
      <c r="F765" s="5">
        <v>46135.589583333334</v>
      </c>
      <c r="G765" s="5">
        <v>46134.629641203705</v>
      </c>
      <c r="H765" s="3" t="s">
        <v>14</v>
      </c>
      <c r="I765" s="7">
        <v>0.0</v>
      </c>
      <c r="J765" s="3" t="s">
        <v>72</v>
      </c>
    </row>
    <row r="766">
      <c r="A766" s="3"/>
      <c r="B766" s="3"/>
      <c r="C766" s="3" t="s">
        <v>26</v>
      </c>
      <c r="D766" s="4" t="s">
        <v>753</v>
      </c>
      <c r="E766" s="3" t="s">
        <v>754</v>
      </c>
      <c r="F766" s="5">
        <v>46135.63125</v>
      </c>
      <c r="G766" s="5">
        <v>46135.453877314816</v>
      </c>
      <c r="H766" s="3" t="s">
        <v>14</v>
      </c>
      <c r="I766" s="7">
        <v>0.0</v>
      </c>
      <c r="J766" s="3" t="s">
        <v>72</v>
      </c>
    </row>
    <row r="767">
      <c r="A767" s="3"/>
      <c r="B767" s="3"/>
      <c r="C767" s="3" t="s">
        <v>10</v>
      </c>
      <c r="D767" s="4" t="s">
        <v>757</v>
      </c>
      <c r="E767" s="3" t="s">
        <v>109</v>
      </c>
      <c r="F767" s="5">
        <v>46135.61817129629</v>
      </c>
      <c r="G767" s="5">
        <v>46135.544340277775</v>
      </c>
      <c r="H767" s="3" t="s">
        <v>14</v>
      </c>
      <c r="I767" s="3">
        <v>0.0</v>
      </c>
      <c r="J767" s="3" t="s">
        <v>15</v>
      </c>
    </row>
    <row r="768">
      <c r="A768" s="3"/>
      <c r="B768" s="3"/>
      <c r="C768" s="3" t="s">
        <v>17</v>
      </c>
      <c r="D768" s="4" t="s">
        <v>757</v>
      </c>
      <c r="E768" s="3" t="s">
        <v>109</v>
      </c>
      <c r="F768" s="5">
        <v>46135.62511574074</v>
      </c>
      <c r="G768" s="5">
        <v>46135.54443287037</v>
      </c>
      <c r="H768" s="3" t="s">
        <v>14</v>
      </c>
      <c r="I768" s="7">
        <v>0.0</v>
      </c>
      <c r="J768" s="3" t="s">
        <v>15</v>
      </c>
    </row>
    <row r="769">
      <c r="A769" s="3"/>
      <c r="B769" s="3"/>
      <c r="C769" s="3" t="s">
        <v>21</v>
      </c>
      <c r="D769" s="4" t="s">
        <v>757</v>
      </c>
      <c r="E769" s="3" t="s">
        <v>109</v>
      </c>
      <c r="F769" s="5">
        <v>46135.72928240741</v>
      </c>
      <c r="G769" s="5">
        <v>46135.544490740744</v>
      </c>
      <c r="H769" s="3" t="s">
        <v>14</v>
      </c>
      <c r="I769" s="7">
        <v>0.0</v>
      </c>
      <c r="J769" s="3" t="s">
        <v>15</v>
      </c>
    </row>
    <row r="770">
      <c r="A770" s="3"/>
      <c r="B770" s="3"/>
      <c r="C770" s="3" t="s">
        <v>24</v>
      </c>
      <c r="D770" s="4" t="s">
        <v>757</v>
      </c>
      <c r="E770" s="3" t="s">
        <v>109</v>
      </c>
      <c r="F770" s="5">
        <v>46136.729166666664</v>
      </c>
      <c r="G770" s="5">
        <v>46135.597858796296</v>
      </c>
      <c r="H770" s="3" t="s">
        <v>14</v>
      </c>
      <c r="I770" s="7">
        <v>0.0</v>
      </c>
      <c r="J770" s="3" t="s">
        <v>15</v>
      </c>
    </row>
    <row r="771">
      <c r="A771" s="3"/>
      <c r="B771" s="3"/>
      <c r="C771" s="3" t="s">
        <v>26</v>
      </c>
      <c r="D771" s="4" t="s">
        <v>757</v>
      </c>
      <c r="E771" s="3" t="s">
        <v>109</v>
      </c>
      <c r="F771" s="5">
        <v>46136.770833333336</v>
      </c>
      <c r="G771" s="5">
        <v>46135.59787037037</v>
      </c>
      <c r="H771" s="3" t="s">
        <v>14</v>
      </c>
      <c r="I771" s="7">
        <v>0.0</v>
      </c>
      <c r="J771" s="3" t="s">
        <v>15</v>
      </c>
    </row>
    <row r="772">
      <c r="A772" s="3"/>
      <c r="B772" s="3"/>
      <c r="C772" s="3" t="s">
        <v>10</v>
      </c>
      <c r="D772" s="4" t="s">
        <v>759</v>
      </c>
      <c r="E772" s="3" t="s">
        <v>761</v>
      </c>
      <c r="F772" s="5">
        <v>46135.61875</v>
      </c>
      <c r="G772" s="5">
        <v>46135.553090277775</v>
      </c>
      <c r="H772" s="3" t="s">
        <v>14</v>
      </c>
      <c r="I772" s="3">
        <v>0.0</v>
      </c>
      <c r="J772" s="3" t="s">
        <v>15</v>
      </c>
    </row>
    <row r="773">
      <c r="A773" s="3"/>
      <c r="B773" s="3"/>
      <c r="C773" s="3" t="s">
        <v>17</v>
      </c>
      <c r="D773" s="4" t="s">
        <v>759</v>
      </c>
      <c r="E773" s="3" t="s">
        <v>761</v>
      </c>
      <c r="F773" s="5">
        <v>46135.62569444445</v>
      </c>
      <c r="G773" s="5">
        <v>46135.55289351852</v>
      </c>
      <c r="H773" s="3" t="s">
        <v>14</v>
      </c>
      <c r="I773" s="7">
        <v>0.0</v>
      </c>
      <c r="J773" s="3" t="s">
        <v>15</v>
      </c>
    </row>
    <row r="774">
      <c r="A774" s="3"/>
      <c r="B774" s="3"/>
      <c r="C774" s="3" t="s">
        <v>21</v>
      </c>
      <c r="D774" s="4" t="s">
        <v>759</v>
      </c>
      <c r="E774" s="3" t="s">
        <v>761</v>
      </c>
      <c r="F774" s="5">
        <v>46135.72986111111</v>
      </c>
      <c r="G774" s="5">
        <v>46135.55299768518</v>
      </c>
      <c r="H774" s="3" t="s">
        <v>14</v>
      </c>
      <c r="I774" s="7">
        <v>0.0</v>
      </c>
      <c r="J774" s="3" t="s">
        <v>15</v>
      </c>
    </row>
    <row r="775">
      <c r="A775" s="3"/>
      <c r="B775" s="3"/>
      <c r="C775" s="3" t="s">
        <v>24</v>
      </c>
      <c r="D775" s="4" t="s">
        <v>759</v>
      </c>
      <c r="E775" s="3" t="s">
        <v>761</v>
      </c>
      <c r="F775" s="5">
        <v>46136.72986111111</v>
      </c>
      <c r="G775" s="5">
        <v>46135.78028935185</v>
      </c>
      <c r="H775" s="3" t="s">
        <v>14</v>
      </c>
      <c r="I775" s="7">
        <v>0.0</v>
      </c>
      <c r="J775" s="3" t="s">
        <v>15</v>
      </c>
    </row>
    <row r="776">
      <c r="A776" s="3"/>
      <c r="B776" s="3"/>
      <c r="C776" s="3" t="s">
        <v>26</v>
      </c>
      <c r="D776" s="4" t="s">
        <v>759</v>
      </c>
      <c r="E776" s="3" t="s">
        <v>761</v>
      </c>
      <c r="F776" s="5">
        <v>46136.771527777775</v>
      </c>
      <c r="G776" s="5">
        <v>46136.52768518519</v>
      </c>
      <c r="H776" s="3" t="s">
        <v>14</v>
      </c>
      <c r="I776" s="7">
        <v>0.0</v>
      </c>
      <c r="J776" s="3" t="s">
        <v>15</v>
      </c>
    </row>
    <row r="777">
      <c r="A777" s="3"/>
      <c r="B777" s="3"/>
      <c r="C777" s="3" t="s">
        <v>10</v>
      </c>
      <c r="D777" s="4" t="s">
        <v>765</v>
      </c>
      <c r="E777" s="3" t="s">
        <v>766</v>
      </c>
      <c r="F777" s="5">
        <v>46135.68555555555</v>
      </c>
      <c r="G777" s="5">
        <v>46135.553125</v>
      </c>
      <c r="H777" s="3" t="s">
        <v>14</v>
      </c>
      <c r="I777" s="3">
        <v>0.0</v>
      </c>
      <c r="J777" s="3" t="s">
        <v>72</v>
      </c>
    </row>
    <row r="778">
      <c r="A778" s="3"/>
      <c r="B778" s="3"/>
      <c r="C778" s="3" t="s">
        <v>17</v>
      </c>
      <c r="D778" s="4" t="s">
        <v>765</v>
      </c>
      <c r="E778" s="3" t="s">
        <v>766</v>
      </c>
      <c r="F778" s="5">
        <v>46135.6925</v>
      </c>
      <c r="G778" s="5">
        <v>46135.54443287037</v>
      </c>
      <c r="H778" s="3" t="s">
        <v>14</v>
      </c>
      <c r="I778" s="7">
        <v>0.0</v>
      </c>
      <c r="J778" s="3" t="s">
        <v>72</v>
      </c>
    </row>
    <row r="779">
      <c r="A779" s="3"/>
      <c r="B779" s="3"/>
      <c r="C779" s="3" t="s">
        <v>21</v>
      </c>
      <c r="D779" s="4" t="s">
        <v>765</v>
      </c>
      <c r="E779" s="3" t="s">
        <v>766</v>
      </c>
      <c r="F779" s="5">
        <v>46135.79666666667</v>
      </c>
      <c r="G779" s="5">
        <v>46135.54450231481</v>
      </c>
      <c r="H779" s="3" t="s">
        <v>14</v>
      </c>
      <c r="I779" s="7">
        <v>0.0</v>
      </c>
      <c r="J779" s="3" t="s">
        <v>72</v>
      </c>
    </row>
    <row r="780">
      <c r="A780" s="3"/>
      <c r="B780" s="3"/>
      <c r="C780" s="3" t="s">
        <v>24</v>
      </c>
      <c r="D780" s="4" t="s">
        <v>765</v>
      </c>
      <c r="E780" s="3" t="s">
        <v>766</v>
      </c>
      <c r="F780" s="5">
        <v>46136.79652777778</v>
      </c>
      <c r="G780" s="5">
        <v>46135.78023148148</v>
      </c>
      <c r="H780" s="3" t="s">
        <v>14</v>
      </c>
      <c r="I780" s="7">
        <v>0.0</v>
      </c>
      <c r="J780" s="3" t="s">
        <v>72</v>
      </c>
    </row>
    <row r="781">
      <c r="A781" s="3"/>
      <c r="B781" s="3"/>
      <c r="C781" s="3" t="s">
        <v>26</v>
      </c>
      <c r="D781" s="4" t="s">
        <v>765</v>
      </c>
      <c r="E781" s="3" t="s">
        <v>766</v>
      </c>
      <c r="F781" s="5">
        <v>46137.42152777778</v>
      </c>
      <c r="G781" s="5">
        <v>46135.78041666667</v>
      </c>
      <c r="H781" s="3" t="s">
        <v>14</v>
      </c>
      <c r="I781" s="7">
        <v>0.0</v>
      </c>
      <c r="J781" s="3" t="s">
        <v>72</v>
      </c>
    </row>
    <row r="782">
      <c r="A782" s="3"/>
      <c r="B782" s="3"/>
      <c r="C782" s="3" t="s">
        <v>10</v>
      </c>
      <c r="D782" s="4" t="s">
        <v>771</v>
      </c>
      <c r="E782" s="3" t="s">
        <v>772</v>
      </c>
      <c r="F782" s="5">
        <v>46135.68902777778</v>
      </c>
      <c r="G782" s="5">
        <v>46135.55326388889</v>
      </c>
      <c r="H782" s="3" t="s">
        <v>14</v>
      </c>
      <c r="I782" s="3">
        <v>0.0</v>
      </c>
      <c r="J782" s="3" t="s">
        <v>61</v>
      </c>
    </row>
    <row r="783">
      <c r="A783" s="3"/>
      <c r="B783" s="3"/>
      <c r="C783" s="3" t="s">
        <v>17</v>
      </c>
      <c r="D783" s="4" t="s">
        <v>771</v>
      </c>
      <c r="E783" s="3" t="s">
        <v>772</v>
      </c>
      <c r="F783" s="5">
        <v>46135.695972222224</v>
      </c>
      <c r="G783" s="5">
        <v>46135.544444444444</v>
      </c>
      <c r="H783" s="3" t="s">
        <v>14</v>
      </c>
      <c r="I783" s="7">
        <v>0.0</v>
      </c>
      <c r="J783" s="3" t="s">
        <v>61</v>
      </c>
    </row>
    <row r="784">
      <c r="A784" s="3"/>
      <c r="B784" s="3"/>
      <c r="C784" s="3" t="s">
        <v>21</v>
      </c>
      <c r="D784" s="4" t="s">
        <v>771</v>
      </c>
      <c r="E784" s="3" t="s">
        <v>772</v>
      </c>
      <c r="F784" s="5">
        <v>46135.80013888889</v>
      </c>
      <c r="G784" s="5">
        <v>46135.54450231481</v>
      </c>
      <c r="H784" s="3" t="s">
        <v>14</v>
      </c>
      <c r="I784" s="7">
        <v>0.0</v>
      </c>
      <c r="J784" s="3" t="s">
        <v>61</v>
      </c>
    </row>
    <row r="785">
      <c r="A785" s="3"/>
      <c r="B785" s="3"/>
      <c r="C785" s="3" t="s">
        <v>24</v>
      </c>
      <c r="D785" s="4" t="s">
        <v>771</v>
      </c>
      <c r="E785" s="3" t="s">
        <v>772</v>
      </c>
      <c r="F785" s="5">
        <v>46136.8</v>
      </c>
      <c r="G785" s="5">
        <v>46135.78023148148</v>
      </c>
      <c r="H785" s="3" t="s">
        <v>14</v>
      </c>
      <c r="I785" s="7">
        <v>0.0</v>
      </c>
      <c r="J785" s="3" t="s">
        <v>61</v>
      </c>
    </row>
    <row r="786">
      <c r="A786" s="3"/>
      <c r="B786" s="3"/>
      <c r="C786" s="3" t="s">
        <v>26</v>
      </c>
      <c r="D786" s="4" t="s">
        <v>771</v>
      </c>
      <c r="E786" s="3" t="s">
        <v>772</v>
      </c>
      <c r="F786" s="5">
        <v>46137.425</v>
      </c>
      <c r="G786" s="5">
        <v>46135.780335648145</v>
      </c>
      <c r="H786" s="3" t="s">
        <v>14</v>
      </c>
      <c r="I786" s="7">
        <v>0.0</v>
      </c>
      <c r="J786" s="3" t="s">
        <v>61</v>
      </c>
    </row>
    <row r="787">
      <c r="A787" s="3"/>
      <c r="B787" s="3"/>
      <c r="C787" s="3" t="s">
        <v>10</v>
      </c>
      <c r="D787" s="4" t="s">
        <v>775</v>
      </c>
      <c r="E787" s="3" t="s">
        <v>776</v>
      </c>
      <c r="F787" s="5">
        <v>46135.78082175926</v>
      </c>
      <c r="G787" s="5">
        <v>46135.633263888885</v>
      </c>
      <c r="H787" s="3" t="s">
        <v>14</v>
      </c>
      <c r="I787" s="3">
        <v>0.0</v>
      </c>
      <c r="J787" s="3" t="s">
        <v>48</v>
      </c>
    </row>
    <row r="788">
      <c r="A788" s="3"/>
      <c r="B788" s="3"/>
      <c r="C788" s="3" t="s">
        <v>17</v>
      </c>
      <c r="D788" s="4" t="s">
        <v>775</v>
      </c>
      <c r="E788" s="3" t="s">
        <v>776</v>
      </c>
      <c r="F788" s="5">
        <v>46135.787766203706</v>
      </c>
      <c r="G788" s="5">
        <v>46135.63333333333</v>
      </c>
      <c r="H788" s="3" t="s">
        <v>14</v>
      </c>
      <c r="I788" s="7">
        <v>0.0</v>
      </c>
      <c r="J788" s="3" t="s">
        <v>48</v>
      </c>
    </row>
    <row r="789">
      <c r="A789" s="3"/>
      <c r="B789" s="3"/>
      <c r="C789" s="3" t="s">
        <v>21</v>
      </c>
      <c r="D789" s="4" t="s">
        <v>775</v>
      </c>
      <c r="E789" s="3" t="s">
        <v>776</v>
      </c>
      <c r="F789" s="5">
        <v>46136.495833333334</v>
      </c>
      <c r="G789" s="5">
        <v>46135.633368055554</v>
      </c>
      <c r="H789" s="3" t="s">
        <v>14</v>
      </c>
      <c r="I789" s="7">
        <v>0.0</v>
      </c>
      <c r="J789" s="3" t="s">
        <v>48</v>
      </c>
    </row>
    <row r="790">
      <c r="A790" s="3"/>
      <c r="B790" s="3"/>
      <c r="C790" s="3" t="s">
        <v>24</v>
      </c>
      <c r="D790" s="4" t="s">
        <v>775</v>
      </c>
      <c r="E790" s="3" t="s">
        <v>776</v>
      </c>
      <c r="F790" s="5">
        <v>46137.495833333334</v>
      </c>
      <c r="G790" s="5">
        <v>46135.78025462963</v>
      </c>
      <c r="H790" s="3" t="s">
        <v>14</v>
      </c>
      <c r="I790" s="7">
        <v>0.0</v>
      </c>
      <c r="J790" s="3" t="s">
        <v>48</v>
      </c>
    </row>
    <row r="791">
      <c r="A791" s="3"/>
      <c r="B791" s="3"/>
      <c r="C791" s="3" t="s">
        <v>26</v>
      </c>
      <c r="D791" s="4" t="s">
        <v>775</v>
      </c>
      <c r="E791" s="3" t="s">
        <v>776</v>
      </c>
      <c r="F791" s="5">
        <v>46137.5375</v>
      </c>
      <c r="G791" s="5">
        <v>46135.780335648145</v>
      </c>
      <c r="H791" s="3" t="s">
        <v>14</v>
      </c>
      <c r="I791" s="7">
        <v>0.0</v>
      </c>
      <c r="J791" s="3" t="s">
        <v>48</v>
      </c>
    </row>
    <row r="792">
      <c r="A792" s="3"/>
      <c r="B792" s="3"/>
      <c r="C792" s="3" t="s">
        <v>10</v>
      </c>
      <c r="D792" s="4" t="s">
        <v>777</v>
      </c>
      <c r="E792" s="3" t="s">
        <v>689</v>
      </c>
      <c r="F792" s="5">
        <v>46135.80855324074</v>
      </c>
      <c r="G792" s="5">
        <v>46135.6559837963</v>
      </c>
      <c r="H792" s="3" t="s">
        <v>14</v>
      </c>
      <c r="I792" s="3">
        <v>0.0</v>
      </c>
      <c r="J792" s="3" t="s">
        <v>72</v>
      </c>
    </row>
    <row r="793">
      <c r="A793" s="3"/>
      <c r="B793" s="3"/>
      <c r="C793" s="3" t="s">
        <v>17</v>
      </c>
      <c r="D793" s="4" t="s">
        <v>777</v>
      </c>
      <c r="E793" s="3" t="s">
        <v>689</v>
      </c>
      <c r="F793" s="5">
        <v>46135.81549768519</v>
      </c>
      <c r="G793" s="5">
        <v>46135.65609953704</v>
      </c>
      <c r="H793" s="3" t="s">
        <v>14</v>
      </c>
      <c r="I793" s="7">
        <v>0.0</v>
      </c>
      <c r="J793" s="3" t="s">
        <v>72</v>
      </c>
    </row>
    <row r="794">
      <c r="A794" s="3"/>
      <c r="B794" s="3"/>
      <c r="C794" s="3" t="s">
        <v>21</v>
      </c>
      <c r="D794" s="4" t="s">
        <v>777</v>
      </c>
      <c r="E794" s="3" t="s">
        <v>689</v>
      </c>
      <c r="F794" s="5">
        <v>46136.52361111111</v>
      </c>
      <c r="G794" s="5">
        <v>46135.65621527778</v>
      </c>
      <c r="H794" s="3" t="s">
        <v>14</v>
      </c>
      <c r="I794" s="7">
        <v>0.0</v>
      </c>
      <c r="J794" s="3" t="s">
        <v>72</v>
      </c>
    </row>
    <row r="795">
      <c r="A795" s="3"/>
      <c r="B795" s="3"/>
      <c r="C795" s="3" t="s">
        <v>24</v>
      </c>
      <c r="D795" s="4" t="s">
        <v>777</v>
      </c>
      <c r="E795" s="3" t="s">
        <v>689</v>
      </c>
      <c r="F795" s="5">
        <v>46137.52361111111</v>
      </c>
      <c r="G795" s="5">
        <v>46135.78013888889</v>
      </c>
      <c r="H795" s="3" t="s">
        <v>14</v>
      </c>
      <c r="I795" s="7">
        <v>0.0</v>
      </c>
      <c r="J795" s="3" t="s">
        <v>72</v>
      </c>
    </row>
    <row r="796">
      <c r="A796" s="3"/>
      <c r="B796" s="3"/>
      <c r="C796" s="3" t="s">
        <v>26</v>
      </c>
      <c r="D796" s="4" t="s">
        <v>777</v>
      </c>
      <c r="E796" s="3" t="s">
        <v>689</v>
      </c>
      <c r="F796" s="5">
        <v>46137.56527777778</v>
      </c>
      <c r="G796" s="5">
        <v>46135.78016203704</v>
      </c>
      <c r="H796" s="3" t="s">
        <v>14</v>
      </c>
      <c r="I796" s="7">
        <v>0.0</v>
      </c>
      <c r="J796" s="3" t="s">
        <v>72</v>
      </c>
    </row>
    <row r="797">
      <c r="A797" s="3"/>
      <c r="B797" s="3"/>
      <c r="C797" s="3" t="s">
        <v>10</v>
      </c>
      <c r="D797" s="4" t="s">
        <v>780</v>
      </c>
      <c r="E797" s="3" t="s">
        <v>781</v>
      </c>
      <c r="F797" s="5">
        <v>46136.68682870371</v>
      </c>
      <c r="G797" s="5">
        <v>46136.52716435185</v>
      </c>
      <c r="H797" s="3" t="s">
        <v>14</v>
      </c>
      <c r="I797" s="3">
        <v>0.0</v>
      </c>
      <c r="J797" s="3" t="s">
        <v>48</v>
      </c>
    </row>
    <row r="798">
      <c r="A798" s="3"/>
      <c r="B798" s="3"/>
      <c r="C798" s="3" t="s">
        <v>17</v>
      </c>
      <c r="D798" s="4" t="s">
        <v>780</v>
      </c>
      <c r="E798" s="3" t="s">
        <v>781</v>
      </c>
      <c r="F798" s="5">
        <v>46136.693773148145</v>
      </c>
      <c r="G798" s="5">
        <v>46136.527349537035</v>
      </c>
      <c r="H798" s="3" t="s">
        <v>14</v>
      </c>
      <c r="I798" s="7">
        <v>0.0</v>
      </c>
      <c r="J798" s="3" t="s">
        <v>48</v>
      </c>
    </row>
    <row r="799">
      <c r="A799" s="3"/>
      <c r="B799" s="3"/>
      <c r="C799" s="3" t="s">
        <v>21</v>
      </c>
      <c r="D799" s="4" t="s">
        <v>780</v>
      </c>
      <c r="E799" s="3" t="s">
        <v>781</v>
      </c>
      <c r="F799" s="5">
        <v>46136.797939814816</v>
      </c>
      <c r="G799" s="5">
        <v>46136.52738425926</v>
      </c>
      <c r="H799" s="3" t="s">
        <v>14</v>
      </c>
      <c r="I799" s="7">
        <v>0.0</v>
      </c>
      <c r="J799" s="3" t="s">
        <v>48</v>
      </c>
    </row>
    <row r="800">
      <c r="A800" s="3"/>
      <c r="B800" s="3"/>
      <c r="C800" s="3" t="s">
        <v>24</v>
      </c>
      <c r="D800" s="4" t="s">
        <v>780</v>
      </c>
      <c r="E800" s="3" t="s">
        <v>781</v>
      </c>
      <c r="F800" s="5">
        <v>46137.79791666667</v>
      </c>
      <c r="G800" s="5">
        <v>46137.41777777778</v>
      </c>
      <c r="H800" s="3" t="s">
        <v>14</v>
      </c>
      <c r="I800" s="7">
        <v>0.0</v>
      </c>
      <c r="J800" s="3" t="s">
        <v>48</v>
      </c>
    </row>
    <row r="801">
      <c r="A801" s="3"/>
      <c r="B801" s="3"/>
      <c r="C801" s="3" t="s">
        <v>26</v>
      </c>
      <c r="D801" s="4" t="s">
        <v>780</v>
      </c>
      <c r="E801" s="3" t="s">
        <v>781</v>
      </c>
      <c r="F801" s="5">
        <v>46139.42291666667</v>
      </c>
      <c r="G801" s="5">
        <v>46137.41780092593</v>
      </c>
      <c r="H801" s="3" t="s">
        <v>14</v>
      </c>
      <c r="I801" s="7">
        <v>0.0</v>
      </c>
      <c r="J801" s="3" t="s">
        <v>48</v>
      </c>
    </row>
    <row r="802">
      <c r="A802" s="3"/>
      <c r="B802" s="3"/>
      <c r="C802" s="3" t="s">
        <v>10</v>
      </c>
      <c r="D802" s="4" t="s">
        <v>785</v>
      </c>
      <c r="E802" s="3" t="s">
        <v>460</v>
      </c>
      <c r="F802" s="5">
        <v>46136.688113425924</v>
      </c>
      <c r="G802" s="5">
        <v>46136.526921296296</v>
      </c>
      <c r="H802" s="3" t="s">
        <v>14</v>
      </c>
      <c r="I802" s="3">
        <v>0.0</v>
      </c>
      <c r="J802" s="3" t="s">
        <v>72</v>
      </c>
    </row>
    <row r="803">
      <c r="A803" s="3"/>
      <c r="B803" s="3"/>
      <c r="C803" s="3" t="s">
        <v>17</v>
      </c>
      <c r="D803" s="4" t="s">
        <v>785</v>
      </c>
      <c r="E803" s="3" t="s">
        <v>460</v>
      </c>
      <c r="F803" s="5">
        <v>46136.69505787037</v>
      </c>
      <c r="G803" s="5">
        <v>46136.527037037034</v>
      </c>
      <c r="H803" s="3" t="s">
        <v>14</v>
      </c>
      <c r="I803" s="7">
        <v>0.0</v>
      </c>
      <c r="J803" s="3" t="s">
        <v>72</v>
      </c>
    </row>
    <row r="804">
      <c r="A804" s="3"/>
      <c r="B804" s="3"/>
      <c r="C804" s="3" t="s">
        <v>21</v>
      </c>
      <c r="D804" s="4" t="s">
        <v>785</v>
      </c>
      <c r="E804" s="3" t="s">
        <v>460</v>
      </c>
      <c r="F804" s="5">
        <v>46136.79922453704</v>
      </c>
      <c r="G804" s="5">
        <v>46136.52706018519</v>
      </c>
      <c r="H804" s="3" t="s">
        <v>14</v>
      </c>
      <c r="I804" s="7">
        <v>0.0</v>
      </c>
      <c r="J804" s="3" t="s">
        <v>72</v>
      </c>
    </row>
    <row r="805">
      <c r="A805" s="3"/>
      <c r="B805" s="3"/>
      <c r="C805" s="3" t="s">
        <v>24</v>
      </c>
      <c r="D805" s="4" t="s">
        <v>785</v>
      </c>
      <c r="E805" s="3" t="s">
        <v>460</v>
      </c>
      <c r="F805" s="5">
        <v>46137.79861111111</v>
      </c>
      <c r="G805" s="5">
        <v>46137.40949074074</v>
      </c>
      <c r="H805" s="3" t="s">
        <v>14</v>
      </c>
      <c r="I805" s="7">
        <v>0.0</v>
      </c>
      <c r="J805" s="3" t="s">
        <v>72</v>
      </c>
    </row>
    <row r="806">
      <c r="A806" s="3"/>
      <c r="B806" s="3"/>
      <c r="C806" s="3" t="s">
        <v>26</v>
      </c>
      <c r="D806" s="4" t="s">
        <v>785</v>
      </c>
      <c r="E806" s="3" t="s">
        <v>460</v>
      </c>
      <c r="F806" s="5">
        <v>46139.42361111111</v>
      </c>
      <c r="G806" s="5">
        <v>46137.409525462965</v>
      </c>
      <c r="H806" s="3" t="s">
        <v>14</v>
      </c>
      <c r="I806" s="7">
        <v>0.0</v>
      </c>
      <c r="J806" s="3" t="s">
        <v>72</v>
      </c>
    </row>
    <row r="807">
      <c r="A807" s="3"/>
      <c r="B807" s="3"/>
      <c r="C807" s="3" t="s">
        <v>10</v>
      </c>
      <c r="D807" s="4" t="s">
        <v>788</v>
      </c>
      <c r="E807" s="3" t="s">
        <v>790</v>
      </c>
      <c r="F807" s="5">
        <v>46136.6903125</v>
      </c>
      <c r="G807" s="5">
        <v>46136.52693287037</v>
      </c>
      <c r="H807" s="3" t="s">
        <v>14</v>
      </c>
      <c r="I807" s="3">
        <v>0.0</v>
      </c>
      <c r="J807" s="3" t="s">
        <v>72</v>
      </c>
    </row>
    <row r="808">
      <c r="A808" s="3"/>
      <c r="B808" s="3"/>
      <c r="C808" s="3" t="s">
        <v>17</v>
      </c>
      <c r="D808" s="4" t="s">
        <v>788</v>
      </c>
      <c r="E808" s="3" t="s">
        <v>790</v>
      </c>
      <c r="F808" s="5">
        <v>46136.69725694445</v>
      </c>
      <c r="G808" s="5">
        <v>46136.54546296296</v>
      </c>
      <c r="H808" s="3" t="s">
        <v>14</v>
      </c>
      <c r="I808" s="7">
        <v>0.0</v>
      </c>
      <c r="J808" s="3" t="s">
        <v>72</v>
      </c>
    </row>
    <row r="809">
      <c r="A809" s="3"/>
      <c r="B809" s="3"/>
      <c r="C809" s="3" t="s">
        <v>21</v>
      </c>
      <c r="D809" s="4" t="s">
        <v>788</v>
      </c>
      <c r="E809" s="3" t="s">
        <v>790</v>
      </c>
      <c r="F809" s="5">
        <v>46136.80142361111</v>
      </c>
      <c r="G809" s="5">
        <v>46136.54554398148</v>
      </c>
      <c r="H809" s="3" t="s">
        <v>14</v>
      </c>
      <c r="I809" s="7">
        <v>0.0</v>
      </c>
      <c r="J809" s="3" t="s">
        <v>72</v>
      </c>
    </row>
    <row r="810">
      <c r="A810" s="3"/>
      <c r="B810" s="3"/>
      <c r="C810" s="3" t="s">
        <v>24</v>
      </c>
      <c r="D810" s="4" t="s">
        <v>788</v>
      </c>
      <c r="E810" s="3" t="s">
        <v>790</v>
      </c>
      <c r="F810" s="5">
        <v>46137.80138888889</v>
      </c>
      <c r="G810" s="5">
        <v>46137.40918981482</v>
      </c>
      <c r="H810" s="3" t="s">
        <v>14</v>
      </c>
      <c r="I810" s="7">
        <v>0.0</v>
      </c>
      <c r="J810" s="3" t="s">
        <v>72</v>
      </c>
    </row>
    <row r="811">
      <c r="A811" s="3"/>
      <c r="B811" s="3"/>
      <c r="C811" s="3" t="s">
        <v>26</v>
      </c>
      <c r="D811" s="4" t="s">
        <v>788</v>
      </c>
      <c r="E811" s="3" t="s">
        <v>790</v>
      </c>
      <c r="F811" s="5">
        <v>46139.42638888889</v>
      </c>
      <c r="G811" s="5">
        <v>46137.72048611111</v>
      </c>
      <c r="H811" s="3" t="s">
        <v>14</v>
      </c>
      <c r="I811" s="7">
        <v>0.0</v>
      </c>
      <c r="J811" s="3" t="s">
        <v>72</v>
      </c>
    </row>
    <row r="812">
      <c r="A812" s="3"/>
      <c r="B812" s="3"/>
      <c r="C812" s="3" t="s">
        <v>10</v>
      </c>
      <c r="D812" s="4" t="s">
        <v>791</v>
      </c>
      <c r="E812" s="3" t="s">
        <v>792</v>
      </c>
      <c r="F812" s="5">
        <v>46136.706828703704</v>
      </c>
      <c r="G812" s="5">
        <v>46136.545127314814</v>
      </c>
      <c r="H812" s="3" t="s">
        <v>14</v>
      </c>
      <c r="I812" s="3">
        <v>0.0</v>
      </c>
      <c r="J812" s="3" t="s">
        <v>72</v>
      </c>
    </row>
    <row r="813">
      <c r="A813" s="3"/>
      <c r="B813" s="3"/>
      <c r="C813" s="3" t="s">
        <v>17</v>
      </c>
      <c r="D813" s="4" t="s">
        <v>791</v>
      </c>
      <c r="E813" s="3" t="s">
        <v>792</v>
      </c>
      <c r="F813" s="5">
        <v>46136.71377314815</v>
      </c>
      <c r="G813" s="5">
        <v>46136.545324074075</v>
      </c>
      <c r="H813" s="3" t="s">
        <v>14</v>
      </c>
      <c r="I813" s="7">
        <v>0.0</v>
      </c>
      <c r="J813" s="3" t="s">
        <v>72</v>
      </c>
    </row>
    <row r="814">
      <c r="A814" s="3"/>
      <c r="B814" s="3"/>
      <c r="C814" s="3" t="s">
        <v>21</v>
      </c>
      <c r="D814" s="4" t="s">
        <v>791</v>
      </c>
      <c r="E814" s="3" t="s">
        <v>792</v>
      </c>
      <c r="F814" s="5">
        <v>46136.81793981481</v>
      </c>
      <c r="G814" s="5">
        <v>46136.54555555555</v>
      </c>
      <c r="H814" s="3" t="s">
        <v>14</v>
      </c>
      <c r="I814" s="7">
        <v>0.0</v>
      </c>
      <c r="J814" s="3" t="s">
        <v>72</v>
      </c>
    </row>
    <row r="815">
      <c r="A815" s="3"/>
      <c r="B815" s="3"/>
      <c r="C815" s="3" t="s">
        <v>24</v>
      </c>
      <c r="D815" s="4" t="s">
        <v>791</v>
      </c>
      <c r="E815" s="3" t="s">
        <v>792</v>
      </c>
      <c r="F815" s="5">
        <v>46137.81736111111</v>
      </c>
      <c r="G815" s="5">
        <v>46137.409212962964</v>
      </c>
      <c r="H815" s="3" t="s">
        <v>14</v>
      </c>
      <c r="I815" s="7">
        <v>0.0</v>
      </c>
      <c r="J815" s="3" t="s">
        <v>72</v>
      </c>
    </row>
    <row r="816">
      <c r="A816" s="3"/>
      <c r="B816" s="3"/>
      <c r="C816" s="3" t="s">
        <v>26</v>
      </c>
      <c r="D816" s="4" t="s">
        <v>791</v>
      </c>
      <c r="E816" s="3" t="s">
        <v>792</v>
      </c>
      <c r="F816" s="5">
        <v>46139.44236111111</v>
      </c>
      <c r="G816" s="5">
        <v>46137.72046296296</v>
      </c>
      <c r="H816" s="3" t="s">
        <v>14</v>
      </c>
      <c r="I816" s="7">
        <v>0.0</v>
      </c>
      <c r="J816" s="3" t="s">
        <v>72</v>
      </c>
    </row>
    <row r="817">
      <c r="A817" s="3"/>
      <c r="B817" s="3"/>
      <c r="C817" s="3" t="s">
        <v>10</v>
      </c>
      <c r="D817" s="4" t="s">
        <v>795</v>
      </c>
      <c r="E817" s="3" t="s">
        <v>796</v>
      </c>
      <c r="F817" s="5">
        <v>46139.684016203704</v>
      </c>
      <c r="G817" s="5">
        <v>46139.54267361111</v>
      </c>
      <c r="H817" s="3" t="s">
        <v>14</v>
      </c>
      <c r="I817" s="3">
        <v>0.0</v>
      </c>
      <c r="J817" s="3" t="s">
        <v>61</v>
      </c>
    </row>
    <row r="818">
      <c r="A818" s="3"/>
      <c r="B818" s="3"/>
      <c r="C818" s="3" t="s">
        <v>17</v>
      </c>
      <c r="D818" s="4" t="s">
        <v>795</v>
      </c>
      <c r="E818" s="3" t="s">
        <v>796</v>
      </c>
      <c r="F818" s="5">
        <v>46139.69096064815</v>
      </c>
      <c r="G818" s="5">
        <v>46139.542719907404</v>
      </c>
      <c r="H818" s="3" t="s">
        <v>14</v>
      </c>
      <c r="I818" s="7">
        <v>0.0</v>
      </c>
      <c r="J818" s="3" t="s">
        <v>61</v>
      </c>
    </row>
    <row r="819">
      <c r="A819" s="3"/>
      <c r="B819" s="3"/>
      <c r="C819" s="3" t="s">
        <v>21</v>
      </c>
      <c r="D819" s="4" t="s">
        <v>795</v>
      </c>
      <c r="E819" s="3" t="s">
        <v>796</v>
      </c>
      <c r="F819" s="5">
        <v>46139.795127314814</v>
      </c>
      <c r="G819" s="5">
        <v>46139.542766203704</v>
      </c>
      <c r="H819" s="3" t="s">
        <v>14</v>
      </c>
      <c r="I819" s="7">
        <v>0.0</v>
      </c>
      <c r="J819" s="3" t="s">
        <v>61</v>
      </c>
    </row>
    <row r="820">
      <c r="A820" s="3"/>
      <c r="B820" s="3"/>
      <c r="C820" s="3" t="s">
        <v>24</v>
      </c>
      <c r="D820" s="4" t="s">
        <v>795</v>
      </c>
      <c r="E820" s="3" t="s">
        <v>796</v>
      </c>
      <c r="F820" s="5">
        <v>46140.794444444444</v>
      </c>
      <c r="G820" s="5">
        <v>46140.77613425926</v>
      </c>
      <c r="H820" s="3" t="s">
        <v>14</v>
      </c>
      <c r="I820" s="7">
        <v>0.0</v>
      </c>
      <c r="J820" s="3" t="s">
        <v>61</v>
      </c>
    </row>
    <row r="821">
      <c r="A821" s="3"/>
      <c r="B821" s="3"/>
      <c r="C821" s="3" t="s">
        <v>26</v>
      </c>
      <c r="D821" s="4" t="s">
        <v>795</v>
      </c>
      <c r="E821" s="3" t="s">
        <v>796</v>
      </c>
      <c r="F821" s="5">
        <v>46141.46111111111</v>
      </c>
      <c r="G821" s="5">
        <v>46141.43788194445</v>
      </c>
      <c r="H821" s="3" t="s">
        <v>14</v>
      </c>
      <c r="I821" s="7">
        <v>0.0</v>
      </c>
      <c r="J821" s="3" t="s">
        <v>61</v>
      </c>
    </row>
    <row r="822">
      <c r="A822" s="3"/>
      <c r="B822" s="3"/>
      <c r="C822" s="3" t="s">
        <v>10</v>
      </c>
      <c r="D822" s="4" t="s">
        <v>799</v>
      </c>
      <c r="E822" s="3" t="s">
        <v>800</v>
      </c>
      <c r="F822" s="5">
        <v>46139.70564814815</v>
      </c>
      <c r="G822" s="5">
        <v>46139.61748842592</v>
      </c>
      <c r="H822" s="3" t="s">
        <v>14</v>
      </c>
      <c r="I822" s="3">
        <v>0.0</v>
      </c>
      <c r="J822" s="3" t="s">
        <v>15</v>
      </c>
    </row>
    <row r="823">
      <c r="A823" s="3"/>
      <c r="B823" s="3"/>
      <c r="C823" s="3" t="s">
        <v>17</v>
      </c>
      <c r="D823" s="4" t="s">
        <v>799</v>
      </c>
      <c r="E823" s="3" t="s">
        <v>800</v>
      </c>
      <c r="F823" s="5">
        <v>46139.712592592594</v>
      </c>
      <c r="G823" s="5">
        <v>46139.617581018516</v>
      </c>
      <c r="H823" s="3" t="s">
        <v>14</v>
      </c>
      <c r="I823" s="7">
        <v>0.0</v>
      </c>
      <c r="J823" s="3" t="s">
        <v>15</v>
      </c>
    </row>
    <row r="824">
      <c r="A824" s="3"/>
      <c r="B824" s="3"/>
      <c r="C824" s="3" t="s">
        <v>21</v>
      </c>
      <c r="D824" s="4" t="s">
        <v>799</v>
      </c>
      <c r="E824" s="3" t="s">
        <v>800</v>
      </c>
      <c r="F824" s="5">
        <v>46139.81675925926</v>
      </c>
      <c r="G824" s="5">
        <v>46139.61771990741</v>
      </c>
      <c r="H824" s="3" t="s">
        <v>14</v>
      </c>
      <c r="I824" s="7">
        <v>0.0</v>
      </c>
      <c r="J824" s="3" t="s">
        <v>15</v>
      </c>
    </row>
    <row r="825">
      <c r="A825" s="3"/>
      <c r="B825" s="3"/>
      <c r="C825" s="3" t="s">
        <v>24</v>
      </c>
      <c r="D825" s="4" t="s">
        <v>799</v>
      </c>
      <c r="E825" s="3" t="s">
        <v>800</v>
      </c>
      <c r="F825" s="5">
        <v>46140.816666666666</v>
      </c>
      <c r="G825" s="5">
        <v>46139.76939814815</v>
      </c>
      <c r="H825" s="3" t="s">
        <v>14</v>
      </c>
      <c r="I825" s="7">
        <v>0.0</v>
      </c>
      <c r="J825" s="3" t="s">
        <v>15</v>
      </c>
    </row>
    <row r="826">
      <c r="A826" s="3"/>
      <c r="B826" s="3"/>
      <c r="C826" s="3" t="s">
        <v>26</v>
      </c>
      <c r="D826" s="4" t="s">
        <v>799</v>
      </c>
      <c r="E826" s="3" t="s">
        <v>800</v>
      </c>
      <c r="F826" s="5">
        <v>46141.441666666666</v>
      </c>
      <c r="G826" s="5">
        <v>46139.769421296296</v>
      </c>
      <c r="H826" s="3" t="s">
        <v>14</v>
      </c>
      <c r="I826" s="7">
        <v>0.0</v>
      </c>
      <c r="J826" s="3" t="s">
        <v>15</v>
      </c>
    </row>
    <row r="827">
      <c r="A827" s="3"/>
      <c r="B827" s="3"/>
      <c r="C827" s="3" t="s">
        <v>10</v>
      </c>
      <c r="D827" s="4" t="s">
        <v>802</v>
      </c>
      <c r="E827" s="3" t="s">
        <v>803</v>
      </c>
      <c r="F827" s="5">
        <v>46140.49722222222</v>
      </c>
      <c r="G827" s="5">
        <v>46139.768958333334</v>
      </c>
      <c r="H827" s="3" t="s">
        <v>14</v>
      </c>
      <c r="I827" s="3">
        <v>0.0</v>
      </c>
      <c r="J827" s="3" t="s">
        <v>72</v>
      </c>
    </row>
    <row r="828">
      <c r="A828" s="3"/>
      <c r="B828" s="3"/>
      <c r="C828" s="3" t="s">
        <v>17</v>
      </c>
      <c r="D828" s="4" t="s">
        <v>802</v>
      </c>
      <c r="E828" s="3" t="s">
        <v>803</v>
      </c>
      <c r="F828" s="5">
        <v>46140.504166666666</v>
      </c>
      <c r="G828" s="5">
        <v>46139.76918981481</v>
      </c>
      <c r="H828" s="3" t="s">
        <v>14</v>
      </c>
      <c r="I828" s="7">
        <v>0.0</v>
      </c>
      <c r="J828" s="3" t="s">
        <v>72</v>
      </c>
    </row>
    <row r="829">
      <c r="A829" s="3"/>
      <c r="B829" s="3"/>
      <c r="C829" s="3" t="s">
        <v>21</v>
      </c>
      <c r="D829" s="4" t="s">
        <v>802</v>
      </c>
      <c r="E829" s="3" t="s">
        <v>803</v>
      </c>
      <c r="F829" s="5">
        <v>46140.60833333333</v>
      </c>
      <c r="G829" s="5">
        <v>46139.76929398148</v>
      </c>
      <c r="H829" s="3" t="s">
        <v>14</v>
      </c>
      <c r="I829" s="7">
        <v>0.0</v>
      </c>
      <c r="J829" s="3" t="s">
        <v>72</v>
      </c>
    </row>
    <row r="830">
      <c r="A830" s="3"/>
      <c r="B830" s="3"/>
      <c r="C830" s="3" t="s">
        <v>24</v>
      </c>
      <c r="D830" s="4" t="s">
        <v>802</v>
      </c>
      <c r="E830" s="3" t="s">
        <v>803</v>
      </c>
      <c r="F830" s="5">
        <v>46141.60833333333</v>
      </c>
      <c r="G830" s="5">
        <v>46140.43072916667</v>
      </c>
      <c r="H830" s="3" t="s">
        <v>14</v>
      </c>
      <c r="I830" s="7">
        <v>0.0</v>
      </c>
      <c r="J830" s="3" t="s">
        <v>72</v>
      </c>
    </row>
    <row r="831">
      <c r="A831" s="3"/>
      <c r="B831" s="3"/>
      <c r="C831" s="3" t="s">
        <v>26</v>
      </c>
      <c r="D831" s="4" t="s">
        <v>802</v>
      </c>
      <c r="E831" s="3" t="s">
        <v>803</v>
      </c>
      <c r="F831" s="5">
        <v>46141.65</v>
      </c>
      <c r="G831" s="5">
        <v>46140.61366898148</v>
      </c>
      <c r="H831" s="3" t="s">
        <v>14</v>
      </c>
      <c r="I831" s="7">
        <v>0.0</v>
      </c>
      <c r="J831" s="3" t="s">
        <v>72</v>
      </c>
    </row>
    <row r="832">
      <c r="A832" s="3"/>
      <c r="B832" s="3"/>
      <c r="C832" s="3" t="s">
        <v>10</v>
      </c>
      <c r="D832" s="4" t="s">
        <v>806</v>
      </c>
      <c r="E832" s="3" t="s">
        <v>807</v>
      </c>
      <c r="F832" s="5">
        <v>46140.49791666667</v>
      </c>
      <c r="G832" s="5">
        <v>46139.76898148148</v>
      </c>
      <c r="H832" s="3" t="s">
        <v>14</v>
      </c>
      <c r="I832" s="3">
        <v>0.0</v>
      </c>
      <c r="J832" s="3" t="s">
        <v>72</v>
      </c>
    </row>
    <row r="833">
      <c r="A833" s="3"/>
      <c r="B833" s="3"/>
      <c r="C833" s="3" t="s">
        <v>17</v>
      </c>
      <c r="D833" s="4" t="s">
        <v>806</v>
      </c>
      <c r="E833" s="3" t="s">
        <v>807</v>
      </c>
      <c r="F833" s="5">
        <v>46140.50486111111</v>
      </c>
      <c r="G833" s="5">
        <v>46139.769212962965</v>
      </c>
      <c r="H833" s="3" t="s">
        <v>14</v>
      </c>
      <c r="I833" s="7">
        <v>0.0</v>
      </c>
      <c r="J833" s="3" t="s">
        <v>72</v>
      </c>
    </row>
    <row r="834">
      <c r="A834" s="3"/>
      <c r="B834" s="3"/>
      <c r="C834" s="3" t="s">
        <v>21</v>
      </c>
      <c r="D834" s="4" t="s">
        <v>806</v>
      </c>
      <c r="E834" s="3" t="s">
        <v>807</v>
      </c>
      <c r="F834" s="5">
        <v>46140.60902777778</v>
      </c>
      <c r="G834" s="5">
        <v>46139.76931712963</v>
      </c>
      <c r="H834" s="3" t="s">
        <v>14</v>
      </c>
      <c r="I834" s="7">
        <v>0.0</v>
      </c>
      <c r="J834" s="3" t="s">
        <v>72</v>
      </c>
    </row>
    <row r="835">
      <c r="A835" s="3"/>
      <c r="B835" s="3"/>
      <c r="C835" s="3" t="s">
        <v>24</v>
      </c>
      <c r="D835" s="4" t="s">
        <v>806</v>
      </c>
      <c r="E835" s="3" t="s">
        <v>807</v>
      </c>
      <c r="F835" s="5">
        <v>46141.60902777778</v>
      </c>
      <c r="G835" s="5">
        <v>46140.430752314816</v>
      </c>
      <c r="H835" s="3" t="s">
        <v>14</v>
      </c>
      <c r="I835" s="7">
        <v>0.0</v>
      </c>
      <c r="J835" s="3" t="s">
        <v>72</v>
      </c>
    </row>
    <row r="836">
      <c r="A836" s="3"/>
      <c r="B836" s="3"/>
      <c r="C836" s="3" t="s">
        <v>26</v>
      </c>
      <c r="D836" s="4" t="s">
        <v>806</v>
      </c>
      <c r="E836" s="3" t="s">
        <v>807</v>
      </c>
      <c r="F836" s="5">
        <v>46141.65069444444</v>
      </c>
      <c r="G836" s="5">
        <v>46140.61371527778</v>
      </c>
      <c r="H836" s="3" t="s">
        <v>14</v>
      </c>
      <c r="I836" s="7">
        <v>0.0</v>
      </c>
      <c r="J836" s="3" t="s">
        <v>72</v>
      </c>
    </row>
    <row r="837">
      <c r="A837" s="3"/>
      <c r="B837" s="3"/>
      <c r="C837" s="3" t="s">
        <v>10</v>
      </c>
      <c r="D837" s="4" t="s">
        <v>810</v>
      </c>
      <c r="E837" s="3" t="s">
        <v>811</v>
      </c>
      <c r="F837" s="5">
        <v>46142.6990625</v>
      </c>
      <c r="G837" s="5">
        <v>46142.53944444445</v>
      </c>
      <c r="H837" s="3" t="s">
        <v>14</v>
      </c>
      <c r="I837" s="3">
        <v>0.0</v>
      </c>
      <c r="J837" s="3" t="s">
        <v>48</v>
      </c>
    </row>
    <row r="838">
      <c r="A838" s="3"/>
      <c r="B838" s="3"/>
      <c r="C838" s="3" t="s">
        <v>17</v>
      </c>
      <c r="D838" s="4" t="s">
        <v>810</v>
      </c>
      <c r="E838" s="3" t="s">
        <v>811</v>
      </c>
      <c r="F838" s="5">
        <v>46142.70600694444</v>
      </c>
      <c r="G838" s="5">
        <v>46142.539560185185</v>
      </c>
      <c r="H838" s="3" t="s">
        <v>14</v>
      </c>
      <c r="I838" s="7">
        <v>0.0</v>
      </c>
      <c r="J838" s="3" t="s">
        <v>48</v>
      </c>
    </row>
    <row r="839">
      <c r="A839" s="3"/>
      <c r="B839" s="3"/>
      <c r="C839" s="3" t="s">
        <v>21</v>
      </c>
      <c r="D839" s="4" t="s">
        <v>810</v>
      </c>
      <c r="E839" s="3" t="s">
        <v>811</v>
      </c>
      <c r="F839" s="5">
        <v>46142.81017361111</v>
      </c>
      <c r="G839" s="5">
        <v>46142.53962962963</v>
      </c>
      <c r="H839" s="3" t="s">
        <v>14</v>
      </c>
      <c r="I839" s="7">
        <v>0.0</v>
      </c>
      <c r="J839" s="3" t="s">
        <v>48</v>
      </c>
    </row>
    <row r="840">
      <c r="A840" s="3"/>
      <c r="B840" s="3"/>
      <c r="C840" s="3" t="s">
        <v>24</v>
      </c>
      <c r="D840" s="4" t="s">
        <v>810</v>
      </c>
      <c r="E840" s="3" t="s">
        <v>811</v>
      </c>
      <c r="F840" s="5">
        <v>46143.80972222222</v>
      </c>
      <c r="G840" s="5">
        <v>46143.446284722224</v>
      </c>
      <c r="H840" s="3" t="s">
        <v>14</v>
      </c>
      <c r="I840" s="7">
        <v>0.0</v>
      </c>
      <c r="J840" s="3" t="s">
        <v>48</v>
      </c>
    </row>
    <row r="841">
      <c r="A841" s="3"/>
      <c r="B841" s="3"/>
      <c r="C841" s="3" t="s">
        <v>26</v>
      </c>
      <c r="D841" s="4" t="s">
        <v>810</v>
      </c>
      <c r="E841" s="3" t="s">
        <v>811</v>
      </c>
      <c r="F841" s="5">
        <v>46144.43472222222</v>
      </c>
      <c r="G841" s="5">
        <v>46143.446377314816</v>
      </c>
      <c r="H841" s="3" t="s">
        <v>14</v>
      </c>
      <c r="I841" s="7">
        <v>0.0</v>
      </c>
      <c r="J841" s="3" t="s">
        <v>48</v>
      </c>
    </row>
    <row r="842">
      <c r="A842" s="3"/>
      <c r="B842" s="3"/>
      <c r="C842" s="3" t="s">
        <v>10</v>
      </c>
      <c r="D842" s="4" t="s">
        <v>813</v>
      </c>
      <c r="E842" s="3" t="s">
        <v>109</v>
      </c>
      <c r="F842" s="5">
        <v>46143.70893518518</v>
      </c>
      <c r="G842" s="5">
        <v>46143.61503472222</v>
      </c>
      <c r="H842" s="3" t="s">
        <v>14</v>
      </c>
      <c r="I842" s="3">
        <v>0.0</v>
      </c>
      <c r="J842" s="3" t="s">
        <v>15</v>
      </c>
    </row>
    <row r="843">
      <c r="A843" s="3"/>
      <c r="B843" s="3"/>
      <c r="C843" s="3" t="s">
        <v>17</v>
      </c>
      <c r="D843" s="4" t="s">
        <v>813</v>
      </c>
      <c r="E843" s="3" t="s">
        <v>109</v>
      </c>
      <c r="F843" s="5">
        <v>46143.71587962963</v>
      </c>
      <c r="G843" s="5">
        <v>46143.61509259259</v>
      </c>
      <c r="H843" s="3" t="s">
        <v>14</v>
      </c>
      <c r="I843" s="7">
        <v>0.0</v>
      </c>
      <c r="J843" s="3" t="s">
        <v>15</v>
      </c>
    </row>
    <row r="844">
      <c r="A844" s="3"/>
      <c r="B844" s="3"/>
      <c r="C844" s="3" t="s">
        <v>21</v>
      </c>
      <c r="D844" s="4" t="s">
        <v>813</v>
      </c>
      <c r="E844" s="3" t="s">
        <v>109</v>
      </c>
      <c r="F844" s="5">
        <v>46143.8200462963</v>
      </c>
      <c r="G844" s="5">
        <v>46143.61519675926</v>
      </c>
      <c r="H844" s="3" t="s">
        <v>14</v>
      </c>
      <c r="I844" s="7">
        <v>0.0</v>
      </c>
      <c r="J844" s="3" t="s">
        <v>15</v>
      </c>
    </row>
    <row r="845">
      <c r="A845" s="3"/>
      <c r="B845" s="3"/>
      <c r="C845" s="3" t="s">
        <v>24</v>
      </c>
      <c r="D845" s="4" t="s">
        <v>813</v>
      </c>
      <c r="E845" s="3" t="s">
        <v>109</v>
      </c>
      <c r="F845" s="5">
        <v>46144.819444444445</v>
      </c>
      <c r="G845" s="5">
        <v>46143.6153587963</v>
      </c>
      <c r="H845" s="3" t="s">
        <v>14</v>
      </c>
      <c r="I845" s="7">
        <v>0.0</v>
      </c>
      <c r="J845" s="3" t="s">
        <v>15</v>
      </c>
    </row>
    <row r="846">
      <c r="A846" s="3"/>
      <c r="B846" s="3"/>
      <c r="C846" s="3" t="s">
        <v>26</v>
      </c>
      <c r="D846" s="4" t="s">
        <v>813</v>
      </c>
      <c r="E846" s="3" t="s">
        <v>109</v>
      </c>
      <c r="F846" s="5">
        <v>46146.444444444445</v>
      </c>
      <c r="G846" s="5">
        <v>46143.63475694445</v>
      </c>
      <c r="H846" s="3" t="s">
        <v>14</v>
      </c>
      <c r="I846" s="7">
        <v>0.0</v>
      </c>
      <c r="J846" s="3" t="s">
        <v>15</v>
      </c>
    </row>
    <row r="847">
      <c r="A847" s="3"/>
      <c r="B847" s="3"/>
      <c r="C847" s="3" t="s">
        <v>10</v>
      </c>
      <c r="D847" s="4" t="s">
        <v>817</v>
      </c>
      <c r="E847" s="3" t="s">
        <v>818</v>
      </c>
      <c r="F847" s="5">
        <v>46143.7812962963</v>
      </c>
      <c r="G847" s="5">
        <v>46143.6150462963</v>
      </c>
      <c r="H847" s="3" t="s">
        <v>14</v>
      </c>
      <c r="I847" s="3">
        <v>0.0</v>
      </c>
      <c r="J847" s="3" t="s">
        <v>61</v>
      </c>
    </row>
    <row r="848">
      <c r="A848" s="3"/>
      <c r="B848" s="3"/>
      <c r="C848" s="3" t="s">
        <v>17</v>
      </c>
      <c r="D848" s="4" t="s">
        <v>817</v>
      </c>
      <c r="E848" s="3" t="s">
        <v>818</v>
      </c>
      <c r="F848" s="5">
        <v>46143.78824074074</v>
      </c>
      <c r="G848" s="5">
        <v>46143.615115740744</v>
      </c>
      <c r="H848" s="3" t="s">
        <v>14</v>
      </c>
      <c r="I848" s="7">
        <v>0.0</v>
      </c>
      <c r="J848" s="3" t="s">
        <v>61</v>
      </c>
    </row>
    <row r="849">
      <c r="A849" s="3"/>
      <c r="B849" s="3"/>
      <c r="C849" s="3" t="s">
        <v>21</v>
      </c>
      <c r="D849" s="4" t="s">
        <v>817</v>
      </c>
      <c r="E849" s="3" t="s">
        <v>818</v>
      </c>
      <c r="F849" s="5">
        <v>46144.49652777778</v>
      </c>
      <c r="G849" s="5">
        <v>46143.61525462963</v>
      </c>
      <c r="H849" s="3" t="s">
        <v>14</v>
      </c>
      <c r="I849" s="7">
        <v>0.0</v>
      </c>
      <c r="J849" s="3" t="s">
        <v>61</v>
      </c>
    </row>
    <row r="850">
      <c r="A850" s="3"/>
      <c r="B850" s="3"/>
      <c r="C850" s="3" t="s">
        <v>24</v>
      </c>
      <c r="D850" s="4" t="s">
        <v>817</v>
      </c>
      <c r="E850" s="3" t="s">
        <v>818</v>
      </c>
      <c r="F850" s="5">
        <v>46146.49652777778</v>
      </c>
      <c r="G850" s="5">
        <v>46143.61541666667</v>
      </c>
      <c r="H850" s="3" t="s">
        <v>14</v>
      </c>
      <c r="I850" s="7">
        <v>0.0</v>
      </c>
      <c r="J850" s="3" t="s">
        <v>61</v>
      </c>
    </row>
    <row r="851">
      <c r="A851" s="3"/>
      <c r="B851" s="3"/>
      <c r="C851" s="3" t="s">
        <v>26</v>
      </c>
      <c r="D851" s="4" t="s">
        <v>817</v>
      </c>
      <c r="E851" s="3" t="s">
        <v>818</v>
      </c>
      <c r="F851" s="5">
        <v>46146.538194444445</v>
      </c>
      <c r="G851" s="5">
        <v>46143.80259259259</v>
      </c>
      <c r="H851" s="3" t="s">
        <v>14</v>
      </c>
      <c r="I851" s="7">
        <v>0.0</v>
      </c>
      <c r="J851" s="3" t="s">
        <v>61</v>
      </c>
    </row>
    <row r="852">
      <c r="A852" s="3"/>
      <c r="B852" s="3"/>
      <c r="C852" s="3" t="s">
        <v>10</v>
      </c>
      <c r="D852" s="4" t="s">
        <v>823</v>
      </c>
      <c r="E852" s="3" t="s">
        <v>761</v>
      </c>
      <c r="F852" s="5">
        <v>46143.81113425926</v>
      </c>
      <c r="G852" s="5">
        <v>46143.666342592594</v>
      </c>
      <c r="H852" s="3" t="s">
        <v>14</v>
      </c>
      <c r="I852" s="3">
        <v>0.0</v>
      </c>
      <c r="J852" s="3" t="s">
        <v>15</v>
      </c>
    </row>
    <row r="853">
      <c r="A853" s="3"/>
      <c r="B853" s="3"/>
      <c r="C853" s="3" t="s">
        <v>17</v>
      </c>
      <c r="D853" s="4" t="s">
        <v>823</v>
      </c>
      <c r="E853" s="3" t="s">
        <v>761</v>
      </c>
      <c r="F853" s="5">
        <v>46143.818078703705</v>
      </c>
      <c r="G853" s="5">
        <v>46143.66646990741</v>
      </c>
      <c r="H853" s="3" t="s">
        <v>14</v>
      </c>
      <c r="I853" s="7">
        <v>0.0</v>
      </c>
      <c r="J853" s="3" t="s">
        <v>15</v>
      </c>
    </row>
    <row r="854">
      <c r="A854" s="3"/>
      <c r="B854" s="3"/>
      <c r="C854" s="3" t="s">
        <v>21</v>
      </c>
      <c r="D854" s="4" t="s">
        <v>823</v>
      </c>
      <c r="E854" s="3" t="s">
        <v>761</v>
      </c>
      <c r="F854" s="5">
        <v>46144.52638888889</v>
      </c>
      <c r="G854" s="5">
        <v>46143.66653935185</v>
      </c>
      <c r="H854" s="3" t="s">
        <v>14</v>
      </c>
      <c r="I854" s="7">
        <v>0.0</v>
      </c>
      <c r="J854" s="3" t="s">
        <v>15</v>
      </c>
    </row>
    <row r="855">
      <c r="A855" s="3"/>
      <c r="B855" s="3"/>
      <c r="C855" s="3" t="s">
        <v>24</v>
      </c>
      <c r="D855" s="4" t="s">
        <v>823</v>
      </c>
      <c r="E855" s="3" t="s">
        <v>761</v>
      </c>
      <c r="F855" s="5">
        <v>46146.52638888889</v>
      </c>
      <c r="G855" s="5">
        <v>46143.80253472222</v>
      </c>
      <c r="H855" s="3" t="s">
        <v>14</v>
      </c>
      <c r="I855" s="7">
        <v>0.0</v>
      </c>
      <c r="J855" s="3" t="s">
        <v>15</v>
      </c>
    </row>
    <row r="856">
      <c r="A856" s="3"/>
      <c r="B856" s="3"/>
      <c r="C856" s="3" t="s">
        <v>26</v>
      </c>
      <c r="D856" s="4" t="s">
        <v>823</v>
      </c>
      <c r="E856" s="3" t="s">
        <v>761</v>
      </c>
      <c r="F856" s="5">
        <v>46146.56805555556</v>
      </c>
      <c r="G856" s="5">
        <v>46146.425046296295</v>
      </c>
      <c r="H856" s="3" t="s">
        <v>14</v>
      </c>
      <c r="I856" s="7">
        <v>0.0</v>
      </c>
      <c r="J856" s="3" t="s">
        <v>15</v>
      </c>
    </row>
    <row r="857">
      <c r="A857" s="3"/>
      <c r="B857" s="3"/>
      <c r="C857" s="3" t="s">
        <v>10</v>
      </c>
      <c r="D857" s="4" t="s">
        <v>824</v>
      </c>
      <c r="E857" s="3" t="s">
        <v>825</v>
      </c>
      <c r="F857" s="5">
        <v>46144.455555555556</v>
      </c>
      <c r="G857" s="5">
        <v>46143.778402777774</v>
      </c>
      <c r="H857" s="3" t="s">
        <v>14</v>
      </c>
      <c r="I857" s="3">
        <v>0.0</v>
      </c>
      <c r="J857" s="3" t="s">
        <v>48</v>
      </c>
    </row>
    <row r="858">
      <c r="A858" s="3"/>
      <c r="B858" s="3"/>
      <c r="C858" s="3" t="s">
        <v>17</v>
      </c>
      <c r="D858" s="4" t="s">
        <v>824</v>
      </c>
      <c r="E858" s="3" t="s">
        <v>825</v>
      </c>
      <c r="F858" s="5">
        <v>46144.4625</v>
      </c>
      <c r="G858" s="5">
        <v>46143.77851851852</v>
      </c>
      <c r="H858" s="3" t="s">
        <v>14</v>
      </c>
      <c r="I858" s="7">
        <v>0.0</v>
      </c>
      <c r="J858" s="3" t="s">
        <v>48</v>
      </c>
    </row>
    <row r="859">
      <c r="A859" s="3"/>
      <c r="B859" s="3"/>
      <c r="C859" s="3" t="s">
        <v>21</v>
      </c>
      <c r="D859" s="4" t="s">
        <v>824</v>
      </c>
      <c r="E859" s="3" t="s">
        <v>825</v>
      </c>
      <c r="F859" s="5">
        <v>46144.566666666666</v>
      </c>
      <c r="G859" s="5">
        <v>46143.778715277775</v>
      </c>
      <c r="H859" s="3" t="s">
        <v>14</v>
      </c>
      <c r="I859" s="7">
        <v>0.0</v>
      </c>
      <c r="J859" s="3" t="s">
        <v>48</v>
      </c>
    </row>
    <row r="860">
      <c r="A860" s="3"/>
      <c r="B860" s="3"/>
      <c r="C860" s="3" t="s">
        <v>24</v>
      </c>
      <c r="D860" s="4" t="s">
        <v>824</v>
      </c>
      <c r="E860" s="3" t="s">
        <v>825</v>
      </c>
      <c r="F860" s="5">
        <v>46146.566666666666</v>
      </c>
      <c r="G860" s="5">
        <v>46144.61231481482</v>
      </c>
      <c r="H860" s="3" t="s">
        <v>14</v>
      </c>
      <c r="I860" s="7">
        <v>0.0</v>
      </c>
      <c r="J860" s="3" t="s">
        <v>48</v>
      </c>
    </row>
    <row r="861">
      <c r="A861" s="3"/>
      <c r="B861" s="3"/>
      <c r="C861" s="3" t="s">
        <v>26</v>
      </c>
      <c r="D861" s="4" t="s">
        <v>824</v>
      </c>
      <c r="E861" s="3" t="s">
        <v>825</v>
      </c>
      <c r="F861" s="5">
        <v>46146.60833333333</v>
      </c>
      <c r="G861" s="5">
        <v>46146.42511574074</v>
      </c>
      <c r="H861" s="3" t="s">
        <v>14</v>
      </c>
      <c r="I861" s="7">
        <v>0.0</v>
      </c>
      <c r="J861" s="3" t="s">
        <v>48</v>
      </c>
    </row>
    <row r="862">
      <c r="A862" s="3"/>
      <c r="B862" s="3"/>
      <c r="C862" s="3" t="s">
        <v>10</v>
      </c>
      <c r="D862" s="4" t="s">
        <v>829</v>
      </c>
      <c r="E862" s="3" t="s">
        <v>830</v>
      </c>
      <c r="F862" s="5">
        <v>46144.65640046296</v>
      </c>
      <c r="G862" s="5">
        <v>46144.576516203706</v>
      </c>
      <c r="H862" s="3" t="s">
        <v>14</v>
      </c>
      <c r="I862" s="3">
        <v>0.0</v>
      </c>
      <c r="J862" s="3" t="s">
        <v>15</v>
      </c>
    </row>
    <row r="863">
      <c r="A863" s="3"/>
      <c r="B863" s="3"/>
      <c r="C863" s="3" t="s">
        <v>17</v>
      </c>
      <c r="D863" s="4" t="s">
        <v>829</v>
      </c>
      <c r="E863" s="3" t="s">
        <v>830</v>
      </c>
      <c r="F863" s="5">
        <v>46144.66334490741</v>
      </c>
      <c r="G863" s="5">
        <v>46144.576736111114</v>
      </c>
      <c r="H863" s="3" t="s">
        <v>14</v>
      </c>
      <c r="I863" s="7">
        <v>0.0</v>
      </c>
      <c r="J863" s="3" t="s">
        <v>15</v>
      </c>
    </row>
    <row r="864">
      <c r="A864" s="3"/>
      <c r="B864" s="3"/>
      <c r="C864" s="3" t="s">
        <v>21</v>
      </c>
      <c r="D864" s="4" t="s">
        <v>829</v>
      </c>
      <c r="E864" s="3" t="s">
        <v>830</v>
      </c>
      <c r="F864" s="5">
        <v>46144.76751157407</v>
      </c>
      <c r="G864" s="5">
        <v>46144.57678240741</v>
      </c>
      <c r="H864" s="3" t="s">
        <v>14</v>
      </c>
      <c r="I864" s="7">
        <v>0.0</v>
      </c>
      <c r="J864" s="3" t="s">
        <v>15</v>
      </c>
    </row>
    <row r="865">
      <c r="A865" s="3"/>
      <c r="B865" s="3"/>
      <c r="C865" s="3" t="s">
        <v>24</v>
      </c>
      <c r="D865" s="4" t="s">
        <v>829</v>
      </c>
      <c r="E865" s="3" t="s">
        <v>830</v>
      </c>
      <c r="F865" s="5">
        <v>46146.76736111111</v>
      </c>
      <c r="G865" s="5">
        <v>46144.61238425926</v>
      </c>
      <c r="H865" s="3" t="s">
        <v>14</v>
      </c>
      <c r="I865" s="7">
        <v>0.0</v>
      </c>
      <c r="J865" s="3" t="s">
        <v>15</v>
      </c>
    </row>
    <row r="866">
      <c r="A866" s="3"/>
      <c r="B866" s="3"/>
      <c r="C866" s="3" t="s">
        <v>26</v>
      </c>
      <c r="D866" s="4" t="s">
        <v>829</v>
      </c>
      <c r="E866" s="3" t="s">
        <v>830</v>
      </c>
      <c r="F866" s="5">
        <v>46146.80902777778</v>
      </c>
      <c r="G866" s="5">
        <v>46146.46832175926</v>
      </c>
      <c r="H866" s="3" t="s">
        <v>14</v>
      </c>
      <c r="I866" s="7">
        <v>0.0</v>
      </c>
      <c r="J866" s="3" t="s">
        <v>15</v>
      </c>
    </row>
    <row r="867">
      <c r="A867" s="3"/>
      <c r="B867" s="3"/>
      <c r="C867" s="3" t="s">
        <v>10</v>
      </c>
      <c r="D867" s="4" t="s">
        <v>832</v>
      </c>
      <c r="E867" s="3" t="s">
        <v>833</v>
      </c>
      <c r="F867" s="5">
        <v>46144.688935185186</v>
      </c>
      <c r="G867" s="5">
        <v>46144.57635416667</v>
      </c>
      <c r="H867" s="3" t="s">
        <v>14</v>
      </c>
      <c r="I867" s="3">
        <v>0.0</v>
      </c>
      <c r="J867" s="3" t="s">
        <v>48</v>
      </c>
    </row>
    <row r="868">
      <c r="A868" s="3"/>
      <c r="B868" s="3"/>
      <c r="C868" s="3" t="s">
        <v>17</v>
      </c>
      <c r="D868" s="4" t="s">
        <v>832</v>
      </c>
      <c r="E868" s="3" t="s">
        <v>833</v>
      </c>
      <c r="F868" s="5">
        <v>46144.69587962963</v>
      </c>
      <c r="G868" s="5">
        <v>46144.57659722222</v>
      </c>
      <c r="H868" s="3" t="s">
        <v>14</v>
      </c>
      <c r="I868" s="7">
        <v>0.0</v>
      </c>
      <c r="J868" s="3" t="s">
        <v>48</v>
      </c>
    </row>
    <row r="869">
      <c r="A869" s="3"/>
      <c r="B869" s="3"/>
      <c r="C869" s="3" t="s">
        <v>21</v>
      </c>
      <c r="D869" s="4" t="s">
        <v>832</v>
      </c>
      <c r="E869" s="3" t="s">
        <v>833</v>
      </c>
      <c r="F869" s="5">
        <v>46144.800046296295</v>
      </c>
      <c r="G869" s="5">
        <v>46144.57667824074</v>
      </c>
      <c r="H869" s="3" t="s">
        <v>14</v>
      </c>
      <c r="I869" s="7">
        <v>0.0</v>
      </c>
      <c r="J869" s="3" t="s">
        <v>48</v>
      </c>
    </row>
    <row r="870">
      <c r="A870" s="3"/>
      <c r="B870" s="3"/>
      <c r="C870" s="3" t="s">
        <v>24</v>
      </c>
      <c r="D870" s="4" t="s">
        <v>832</v>
      </c>
      <c r="E870" s="3" t="s">
        <v>833</v>
      </c>
      <c r="F870" s="5">
        <v>46146.8</v>
      </c>
      <c r="G870" s="5">
        <v>46144.61241898148</v>
      </c>
      <c r="H870" s="3" t="s">
        <v>14</v>
      </c>
      <c r="I870" s="7">
        <v>0.0</v>
      </c>
      <c r="J870" s="3" t="s">
        <v>48</v>
      </c>
    </row>
    <row r="871">
      <c r="A871" s="3"/>
      <c r="B871" s="3"/>
      <c r="C871" s="3" t="s">
        <v>26</v>
      </c>
      <c r="D871" s="4" t="s">
        <v>832</v>
      </c>
      <c r="E871" s="3" t="s">
        <v>833</v>
      </c>
      <c r="F871" s="5">
        <v>46147.425</v>
      </c>
      <c r="G871" s="5">
        <v>46144.71013888889</v>
      </c>
      <c r="H871" s="3" t="s">
        <v>14</v>
      </c>
      <c r="I871" s="7">
        <v>0.0</v>
      </c>
      <c r="J871" s="3" t="s">
        <v>48</v>
      </c>
    </row>
    <row r="872">
      <c r="A872" s="3"/>
      <c r="B872" s="3"/>
      <c r="C872" s="3" t="s">
        <v>10</v>
      </c>
      <c r="D872" s="4" t="s">
        <v>836</v>
      </c>
      <c r="E872" s="3" t="s">
        <v>838</v>
      </c>
      <c r="F872" s="5">
        <v>46144.73148148148</v>
      </c>
      <c r="G872" s="5">
        <v>46144.57693287037</v>
      </c>
      <c r="H872" s="3" t="s">
        <v>14</v>
      </c>
      <c r="I872" s="3">
        <v>0.0</v>
      </c>
      <c r="J872" s="3" t="s">
        <v>61</v>
      </c>
    </row>
    <row r="873">
      <c r="A873" s="3"/>
      <c r="B873" s="3"/>
      <c r="C873" s="3" t="s">
        <v>17</v>
      </c>
      <c r="D873" s="4" t="s">
        <v>836</v>
      </c>
      <c r="E873" s="3" t="s">
        <v>838</v>
      </c>
      <c r="F873" s="5">
        <v>46144.73842592593</v>
      </c>
      <c r="G873" s="5">
        <v>46144.57696759259</v>
      </c>
      <c r="H873" s="3" t="s">
        <v>14</v>
      </c>
      <c r="I873" s="7">
        <v>0.0</v>
      </c>
      <c r="J873" s="3" t="s">
        <v>61</v>
      </c>
    </row>
    <row r="874">
      <c r="A874" s="3"/>
      <c r="B874" s="3"/>
      <c r="C874" s="3" t="s">
        <v>21</v>
      </c>
      <c r="D874" s="4" t="s">
        <v>836</v>
      </c>
      <c r="E874" s="3" t="s">
        <v>838</v>
      </c>
      <c r="F874" s="5">
        <v>46146.44652777778</v>
      </c>
      <c r="G874" s="5">
        <v>46144.57707175926</v>
      </c>
      <c r="H874" s="3" t="s">
        <v>14</v>
      </c>
      <c r="I874" s="7">
        <v>0.0</v>
      </c>
      <c r="J874" s="3" t="s">
        <v>61</v>
      </c>
    </row>
    <row r="875">
      <c r="A875" s="3"/>
      <c r="B875" s="3"/>
      <c r="C875" s="3" t="s">
        <v>24</v>
      </c>
      <c r="D875" s="4" t="s">
        <v>836</v>
      </c>
      <c r="E875" s="3" t="s">
        <v>838</v>
      </c>
      <c r="F875" s="5">
        <v>46147.44652777778</v>
      </c>
      <c r="G875" s="5">
        <v>46144.6124537037</v>
      </c>
      <c r="H875" s="3" t="s">
        <v>14</v>
      </c>
      <c r="I875" s="7">
        <v>0.0</v>
      </c>
      <c r="J875" s="3" t="s">
        <v>61</v>
      </c>
    </row>
    <row r="876">
      <c r="A876" s="3"/>
      <c r="B876" s="3"/>
      <c r="C876" s="3" t="s">
        <v>26</v>
      </c>
      <c r="D876" s="4" t="s">
        <v>836</v>
      </c>
      <c r="E876" s="3" t="s">
        <v>838</v>
      </c>
      <c r="F876" s="5">
        <v>46147.48819444444</v>
      </c>
      <c r="G876" s="5">
        <v>46144.71497685185</v>
      </c>
      <c r="H876" s="3" t="s">
        <v>14</v>
      </c>
      <c r="I876" s="7">
        <v>0.0</v>
      </c>
      <c r="J876" s="3" t="s">
        <v>61</v>
      </c>
    </row>
    <row r="877">
      <c r="A877" s="3"/>
      <c r="B877" s="3"/>
      <c r="C877" s="3" t="s">
        <v>10</v>
      </c>
      <c r="D877" s="4" t="s">
        <v>839</v>
      </c>
      <c r="E877" s="3" t="s">
        <v>840</v>
      </c>
      <c r="F877" s="5">
        <v>46146.805185185185</v>
      </c>
      <c r="G877" s="5">
        <v>46146.646678240744</v>
      </c>
      <c r="H877" s="3" t="s">
        <v>14</v>
      </c>
      <c r="I877" s="3">
        <v>0.0</v>
      </c>
      <c r="J877" s="3" t="s">
        <v>15</v>
      </c>
    </row>
    <row r="878">
      <c r="A878" s="3"/>
      <c r="B878" s="3"/>
      <c r="C878" s="3" t="s">
        <v>17</v>
      </c>
      <c r="D878" s="4" t="s">
        <v>839</v>
      </c>
      <c r="E878" s="3" t="s">
        <v>840</v>
      </c>
      <c r="F878" s="5">
        <v>46146.81212962963</v>
      </c>
      <c r="G878" s="5">
        <v>46146.64671296296</v>
      </c>
      <c r="H878" s="3" t="s">
        <v>14</v>
      </c>
      <c r="I878" s="7">
        <v>0.0</v>
      </c>
      <c r="J878" s="3" t="s">
        <v>15</v>
      </c>
    </row>
    <row r="879">
      <c r="A879" s="3"/>
      <c r="B879" s="3"/>
      <c r="C879" s="3" t="s">
        <v>21</v>
      </c>
      <c r="D879" s="4" t="s">
        <v>839</v>
      </c>
      <c r="E879" s="3" t="s">
        <v>840</v>
      </c>
      <c r="F879" s="5">
        <v>46147.478472222225</v>
      </c>
      <c r="G879" s="5">
        <v>46146.654965277776</v>
      </c>
      <c r="H879" s="3" t="s">
        <v>14</v>
      </c>
      <c r="I879" s="7">
        <v>0.0</v>
      </c>
      <c r="J879" s="3" t="s">
        <v>15</v>
      </c>
    </row>
    <row r="880">
      <c r="A880" s="3"/>
      <c r="B880" s="3"/>
      <c r="C880" s="3" t="s">
        <v>24</v>
      </c>
      <c r="D880" s="4" t="s">
        <v>839</v>
      </c>
      <c r="E880" s="3" t="s">
        <v>840</v>
      </c>
      <c r="F880" s="5">
        <v>46148.478472222225</v>
      </c>
      <c r="G880" s="5">
        <v>46146.66444444445</v>
      </c>
      <c r="H880" s="3" t="s">
        <v>14</v>
      </c>
      <c r="I880" s="7">
        <v>0.0</v>
      </c>
      <c r="J880" s="3" t="s">
        <v>15</v>
      </c>
    </row>
    <row r="881">
      <c r="A881" s="3"/>
      <c r="B881" s="3"/>
      <c r="C881" s="3" t="s">
        <v>26</v>
      </c>
      <c r="D881" s="4" t="s">
        <v>839</v>
      </c>
      <c r="E881" s="3" t="s">
        <v>840</v>
      </c>
      <c r="F881" s="5">
        <v>46148.52013888889</v>
      </c>
      <c r="G881" s="5">
        <v>46146.66447916667</v>
      </c>
      <c r="H881" s="3" t="s">
        <v>14</v>
      </c>
      <c r="I881" s="7">
        <v>0.0</v>
      </c>
      <c r="J881" s="3" t="s">
        <v>15</v>
      </c>
    </row>
    <row r="882">
      <c r="A882" s="3"/>
      <c r="B882" s="3"/>
      <c r="C882" s="3" t="s">
        <v>10</v>
      </c>
      <c r="D882" s="4" t="s">
        <v>844</v>
      </c>
      <c r="E882" s="3" t="s">
        <v>845</v>
      </c>
      <c r="F882" s="5">
        <v>46147.43819444445</v>
      </c>
      <c r="G882" s="5">
        <v>46146.71611111111</v>
      </c>
      <c r="H882" s="3" t="s">
        <v>14</v>
      </c>
      <c r="I882" s="3">
        <v>0.0</v>
      </c>
      <c r="J882" s="3" t="s">
        <v>61</v>
      </c>
    </row>
    <row r="883">
      <c r="A883" s="3"/>
      <c r="B883" s="3"/>
      <c r="C883" s="3" t="s">
        <v>17</v>
      </c>
      <c r="D883" s="4" t="s">
        <v>844</v>
      </c>
      <c r="E883" s="3" t="s">
        <v>845</v>
      </c>
      <c r="F883" s="5">
        <v>46147.44513888889</v>
      </c>
      <c r="G883" s="5">
        <v>46146.716157407405</v>
      </c>
      <c r="H883" s="3" t="s">
        <v>14</v>
      </c>
      <c r="I883" s="7">
        <v>0.0</v>
      </c>
      <c r="J883" s="3" t="s">
        <v>61</v>
      </c>
    </row>
    <row r="884">
      <c r="A884" s="3"/>
      <c r="B884" s="3"/>
      <c r="C884" s="3" t="s">
        <v>21</v>
      </c>
      <c r="D884" s="4" t="s">
        <v>844</v>
      </c>
      <c r="E884" s="3" t="s">
        <v>845</v>
      </c>
      <c r="F884" s="5">
        <v>46147.549305555556</v>
      </c>
      <c r="G884" s="5">
        <v>46146.71603009259</v>
      </c>
      <c r="H884" s="3" t="s">
        <v>14</v>
      </c>
      <c r="I884" s="7">
        <v>0.0</v>
      </c>
      <c r="J884" s="3" t="s">
        <v>61</v>
      </c>
    </row>
    <row r="885">
      <c r="A885" s="3"/>
      <c r="B885" s="3"/>
      <c r="C885" s="3" t="s">
        <v>24</v>
      </c>
      <c r="D885" s="4" t="s">
        <v>844</v>
      </c>
      <c r="E885" s="3" t="s">
        <v>845</v>
      </c>
      <c r="F885" s="5">
        <v>46148.549305555556</v>
      </c>
      <c r="G885" s="5">
        <v>46146.750243055554</v>
      </c>
      <c r="H885" s="3" t="s">
        <v>14</v>
      </c>
      <c r="I885" s="7">
        <v>0.0</v>
      </c>
      <c r="J885" s="3" t="s">
        <v>61</v>
      </c>
    </row>
    <row r="886">
      <c r="A886" s="3"/>
      <c r="B886" s="3"/>
      <c r="C886" s="3" t="s">
        <v>26</v>
      </c>
      <c r="D886" s="4" t="s">
        <v>844</v>
      </c>
      <c r="E886" s="3" t="s">
        <v>845</v>
      </c>
      <c r="F886" s="5">
        <v>46148.59097222222</v>
      </c>
      <c r="G886" s="5">
        <v>46146.750451388885</v>
      </c>
      <c r="H886" s="3" t="s">
        <v>14</v>
      </c>
      <c r="I886" s="7">
        <v>0.0</v>
      </c>
      <c r="J886" s="3" t="s">
        <v>61</v>
      </c>
    </row>
    <row r="887">
      <c r="A887" s="3"/>
      <c r="B887" s="3"/>
      <c r="C887" s="3" t="s">
        <v>10</v>
      </c>
      <c r="D887" s="4" t="s">
        <v>847</v>
      </c>
      <c r="E887" s="3" t="s">
        <v>800</v>
      </c>
      <c r="F887" s="5">
        <v>46147.46805555555</v>
      </c>
      <c r="G887" s="5">
        <v>46146.75003472222</v>
      </c>
      <c r="H887" s="3" t="s">
        <v>14</v>
      </c>
      <c r="I887" s="3">
        <v>0.0</v>
      </c>
      <c r="J887" s="3" t="s">
        <v>15</v>
      </c>
    </row>
    <row r="888">
      <c r="A888" s="3"/>
      <c r="B888" s="3"/>
      <c r="C888" s="3" t="s">
        <v>17</v>
      </c>
      <c r="D888" s="4" t="s">
        <v>847</v>
      </c>
      <c r="E888" s="3" t="s">
        <v>800</v>
      </c>
      <c r="F888" s="5">
        <v>46147.475</v>
      </c>
      <c r="G888" s="5">
        <v>46146.75010416667</v>
      </c>
      <c r="H888" s="3" t="s">
        <v>14</v>
      </c>
      <c r="I888" s="7">
        <v>0.0</v>
      </c>
      <c r="J888" s="3" t="s">
        <v>15</v>
      </c>
    </row>
    <row r="889">
      <c r="A889" s="3"/>
      <c r="B889" s="3"/>
      <c r="C889" s="3" t="s">
        <v>21</v>
      </c>
      <c r="D889" s="4" t="s">
        <v>847</v>
      </c>
      <c r="E889" s="3" t="s">
        <v>800</v>
      </c>
      <c r="F889" s="5">
        <v>46147.57916666667</v>
      </c>
      <c r="G889" s="5">
        <v>46146.75016203704</v>
      </c>
      <c r="H889" s="3" t="s">
        <v>14</v>
      </c>
      <c r="I889" s="7">
        <v>0.0</v>
      </c>
      <c r="J889" s="3" t="s">
        <v>15</v>
      </c>
    </row>
    <row r="890">
      <c r="A890" s="3"/>
      <c r="B890" s="3"/>
      <c r="C890" s="3" t="s">
        <v>24</v>
      </c>
      <c r="D890" s="4" t="s">
        <v>847</v>
      </c>
      <c r="E890" s="3" t="s">
        <v>800</v>
      </c>
      <c r="F890" s="5">
        <v>46148.57916666667</v>
      </c>
      <c r="G890" s="5">
        <v>46146.75032407408</v>
      </c>
      <c r="H890" s="3" t="s">
        <v>14</v>
      </c>
      <c r="I890" s="7">
        <v>0.0</v>
      </c>
      <c r="J890" s="3" t="s">
        <v>15</v>
      </c>
    </row>
    <row r="891">
      <c r="A891" s="3"/>
      <c r="B891" s="3"/>
      <c r="C891" s="3" t="s">
        <v>26</v>
      </c>
      <c r="D891" s="4" t="s">
        <v>847</v>
      </c>
      <c r="E891" s="3" t="s">
        <v>800</v>
      </c>
      <c r="F891" s="5">
        <v>46148.620833333334</v>
      </c>
      <c r="G891" s="5">
        <v>46146.758680555555</v>
      </c>
      <c r="H891" s="3" t="s">
        <v>14</v>
      </c>
      <c r="I891" s="7">
        <v>0.0</v>
      </c>
      <c r="J891" s="3" t="s">
        <v>15</v>
      </c>
    </row>
    <row r="892">
      <c r="A892" s="3"/>
      <c r="B892" s="3"/>
      <c r="C892" s="3" t="s">
        <v>10</v>
      </c>
      <c r="D892" s="4" t="s">
        <v>851</v>
      </c>
      <c r="E892" s="3" t="s">
        <v>852</v>
      </c>
      <c r="F892" s="5">
        <v>46147.648668981485</v>
      </c>
      <c r="G892" s="5">
        <v>46147.49459490741</v>
      </c>
      <c r="H892" s="3" t="s">
        <v>14</v>
      </c>
      <c r="I892" s="3">
        <v>0.0</v>
      </c>
      <c r="J892" s="3" t="s">
        <v>61</v>
      </c>
    </row>
    <row r="893">
      <c r="A893" s="3"/>
      <c r="B893" s="3"/>
      <c r="C893" s="3" t="s">
        <v>17</v>
      </c>
      <c r="D893" s="4" t="s">
        <v>851</v>
      </c>
      <c r="E893" s="3" t="s">
        <v>852</v>
      </c>
      <c r="F893" s="5">
        <v>46147.65561342592</v>
      </c>
      <c r="G893" s="5">
        <v>46147.49465277778</v>
      </c>
      <c r="H893" s="3" t="s">
        <v>14</v>
      </c>
      <c r="I893" s="7">
        <v>0.0</v>
      </c>
      <c r="J893" s="3" t="s">
        <v>61</v>
      </c>
    </row>
    <row r="894">
      <c r="A894" s="3"/>
      <c r="B894" s="3"/>
      <c r="C894" s="3" t="s">
        <v>21</v>
      </c>
      <c r="D894" s="4" t="s">
        <v>851</v>
      </c>
      <c r="E894" s="3" t="s">
        <v>852</v>
      </c>
      <c r="F894" s="5">
        <v>46147.759780092594</v>
      </c>
      <c r="G894" s="5">
        <v>46147.50832175926</v>
      </c>
      <c r="H894" s="3" t="s">
        <v>14</v>
      </c>
      <c r="I894" s="7">
        <v>0.0</v>
      </c>
      <c r="J894" s="3" t="s">
        <v>61</v>
      </c>
    </row>
    <row r="895">
      <c r="A895" s="3"/>
      <c r="B895" s="3"/>
      <c r="C895" s="3" t="s">
        <v>24</v>
      </c>
      <c r="D895" s="4" t="s">
        <v>851</v>
      </c>
      <c r="E895" s="3" t="s">
        <v>852</v>
      </c>
      <c r="F895" s="5">
        <v>46148.759722222225</v>
      </c>
      <c r="G895" s="5">
        <v>46147.56033564815</v>
      </c>
      <c r="H895" s="3" t="s">
        <v>14</v>
      </c>
      <c r="I895" s="7">
        <v>0.0</v>
      </c>
      <c r="J895" s="3" t="s">
        <v>61</v>
      </c>
    </row>
    <row r="896">
      <c r="A896" s="3"/>
      <c r="B896" s="3"/>
      <c r="C896" s="3" t="s">
        <v>26</v>
      </c>
      <c r="D896" s="4" t="s">
        <v>851</v>
      </c>
      <c r="E896" s="3" t="s">
        <v>852</v>
      </c>
      <c r="F896" s="5">
        <v>46148.80138888889</v>
      </c>
      <c r="G896" s="5">
        <v>46147.56039351852</v>
      </c>
      <c r="H896" s="3" t="s">
        <v>14</v>
      </c>
      <c r="I896" s="7">
        <v>0.0</v>
      </c>
      <c r="J896" s="3" t="s">
        <v>61</v>
      </c>
    </row>
    <row r="897">
      <c r="A897" s="3"/>
      <c r="B897" s="3"/>
      <c r="C897" s="3" t="s">
        <v>10</v>
      </c>
      <c r="D897" s="4" t="s">
        <v>855</v>
      </c>
      <c r="E897" s="3" t="s">
        <v>856</v>
      </c>
      <c r="F897" s="5">
        <v>46148.7221875</v>
      </c>
      <c r="G897" s="5">
        <v>46148.63930555555</v>
      </c>
      <c r="H897" s="3" t="s">
        <v>14</v>
      </c>
      <c r="I897" s="3">
        <v>0.0</v>
      </c>
      <c r="J897" s="3" t="s">
        <v>72</v>
      </c>
    </row>
    <row r="898">
      <c r="A898" s="3"/>
      <c r="B898" s="3"/>
      <c r="C898" s="3" t="s">
        <v>17</v>
      </c>
      <c r="D898" s="4" t="s">
        <v>855</v>
      </c>
      <c r="E898" s="3" t="s">
        <v>856</v>
      </c>
      <c r="F898" s="5">
        <v>46148.72913194444</v>
      </c>
      <c r="G898" s="5">
        <v>46148.6394212963</v>
      </c>
      <c r="H898" s="3" t="s">
        <v>14</v>
      </c>
      <c r="I898" s="7">
        <v>0.0</v>
      </c>
      <c r="J898" s="3" t="s">
        <v>72</v>
      </c>
    </row>
    <row r="899">
      <c r="A899" s="3"/>
      <c r="B899" s="3"/>
      <c r="C899" s="3" t="s">
        <v>21</v>
      </c>
      <c r="D899" s="4" t="s">
        <v>855</v>
      </c>
      <c r="E899" s="3" t="s">
        <v>856</v>
      </c>
      <c r="F899" s="5">
        <v>46148.83329861111</v>
      </c>
      <c r="G899" s="5">
        <v>46148.63947916667</v>
      </c>
      <c r="H899" s="3" t="s">
        <v>14</v>
      </c>
      <c r="I899" s="7">
        <v>0.0</v>
      </c>
      <c r="J899" s="3" t="s">
        <v>72</v>
      </c>
    </row>
    <row r="900">
      <c r="A900" s="3"/>
      <c r="B900" s="3"/>
      <c r="C900" s="3" t="s">
        <v>24</v>
      </c>
      <c r="D900" s="4" t="s">
        <v>855</v>
      </c>
      <c r="E900" s="3" t="s">
        <v>856</v>
      </c>
      <c r="F900" s="5">
        <v>46149.83263888889</v>
      </c>
      <c r="G900" s="5">
        <v>46148.768171296295</v>
      </c>
      <c r="H900" s="3" t="s">
        <v>14</v>
      </c>
      <c r="I900" s="7">
        <v>0.0</v>
      </c>
      <c r="J900" s="3" t="s">
        <v>72</v>
      </c>
    </row>
    <row r="901">
      <c r="A901" s="3"/>
      <c r="B901" s="3"/>
      <c r="C901" s="3" t="s">
        <v>26</v>
      </c>
      <c r="D901" s="4" t="s">
        <v>855</v>
      </c>
      <c r="E901" s="3" t="s">
        <v>856</v>
      </c>
      <c r="F901" s="5">
        <v>46150.45763888889</v>
      </c>
      <c r="G901" s="5">
        <v>46150.414375</v>
      </c>
      <c r="H901" s="3" t="s">
        <v>14</v>
      </c>
      <c r="I901" s="7">
        <v>0.0</v>
      </c>
      <c r="J901" s="3" t="s">
        <v>72</v>
      </c>
    </row>
    <row r="902">
      <c r="A902" s="3"/>
      <c r="B902" s="3"/>
      <c r="C902" s="3" t="s">
        <v>10</v>
      </c>
      <c r="D902" s="4" t="s">
        <v>858</v>
      </c>
      <c r="E902" s="3" t="s">
        <v>859</v>
      </c>
      <c r="F902" s="5">
        <v>46149.450694444444</v>
      </c>
      <c r="G902" s="5">
        <v>46148.72006944445</v>
      </c>
      <c r="H902" s="3" t="s">
        <v>14</v>
      </c>
      <c r="I902" s="3">
        <v>0.0</v>
      </c>
      <c r="J902" s="3" t="s">
        <v>15</v>
      </c>
    </row>
    <row r="903">
      <c r="A903" s="3"/>
      <c r="B903" s="3"/>
      <c r="C903" s="3" t="s">
        <v>17</v>
      </c>
      <c r="D903" s="4" t="s">
        <v>858</v>
      </c>
      <c r="E903" s="3" t="s">
        <v>859</v>
      </c>
      <c r="F903" s="5">
        <v>46149.45763888889</v>
      </c>
      <c r="G903" s="5">
        <v>46148.72016203704</v>
      </c>
      <c r="H903" s="3" t="s">
        <v>14</v>
      </c>
      <c r="I903" s="7">
        <v>0.0</v>
      </c>
      <c r="J903" s="3" t="s">
        <v>15</v>
      </c>
    </row>
    <row r="904">
      <c r="A904" s="3"/>
      <c r="B904" s="3"/>
      <c r="C904" s="3" t="s">
        <v>21</v>
      </c>
      <c r="D904" s="4" t="s">
        <v>858</v>
      </c>
      <c r="E904" s="3" t="s">
        <v>859</v>
      </c>
      <c r="F904" s="5">
        <v>46149.56180555555</v>
      </c>
      <c r="G904" s="5">
        <v>46148.768125</v>
      </c>
      <c r="H904" s="3" t="s">
        <v>14</v>
      </c>
      <c r="I904" s="7">
        <v>0.0</v>
      </c>
      <c r="J904" s="3" t="s">
        <v>15</v>
      </c>
    </row>
    <row r="905">
      <c r="A905" s="3"/>
      <c r="B905" s="3"/>
      <c r="C905" s="3" t="s">
        <v>24</v>
      </c>
      <c r="D905" s="4" t="s">
        <v>858</v>
      </c>
      <c r="E905" s="3" t="s">
        <v>859</v>
      </c>
      <c r="F905" s="5">
        <v>46150.56180555555</v>
      </c>
      <c r="G905" s="5">
        <v>46148.76813657407</v>
      </c>
      <c r="H905" s="3" t="s">
        <v>14</v>
      </c>
      <c r="I905" s="7">
        <v>0.0</v>
      </c>
      <c r="J905" s="3" t="s">
        <v>15</v>
      </c>
    </row>
    <row r="906">
      <c r="A906" s="3"/>
      <c r="B906" s="3"/>
      <c r="C906" s="3" t="s">
        <v>26</v>
      </c>
      <c r="D906" s="4" t="s">
        <v>858</v>
      </c>
      <c r="E906" s="3" t="s">
        <v>859</v>
      </c>
      <c r="F906" s="5">
        <v>46150.603472222225</v>
      </c>
      <c r="G906" s="5">
        <v>46148.78011574074</v>
      </c>
      <c r="H906" s="3" t="s">
        <v>14</v>
      </c>
      <c r="I906" s="7">
        <v>0.0</v>
      </c>
      <c r="J906" s="3" t="s">
        <v>15</v>
      </c>
    </row>
    <row r="907">
      <c r="A907" s="3"/>
      <c r="B907" s="3"/>
      <c r="C907" s="3" t="s">
        <v>10</v>
      </c>
      <c r="D907" s="4" t="s">
        <v>863</v>
      </c>
      <c r="E907" s="3" t="s">
        <v>864</v>
      </c>
      <c r="F907" s="5">
        <v>46150.42222222222</v>
      </c>
      <c r="G907" s="5">
        <v>46149.94422453704</v>
      </c>
      <c r="H907" s="3" t="s">
        <v>14</v>
      </c>
      <c r="I907" s="3">
        <v>0.0</v>
      </c>
      <c r="J907" s="3" t="s">
        <v>61</v>
      </c>
    </row>
    <row r="908">
      <c r="A908" s="3"/>
      <c r="B908" s="3"/>
      <c r="C908" s="3" t="s">
        <v>17</v>
      </c>
      <c r="D908" s="4" t="s">
        <v>863</v>
      </c>
      <c r="E908" s="3" t="s">
        <v>864</v>
      </c>
      <c r="F908" s="5">
        <v>46150.42916666667</v>
      </c>
      <c r="G908" s="5">
        <v>46149.94461805555</v>
      </c>
      <c r="H908" s="3" t="s">
        <v>14</v>
      </c>
      <c r="I908" s="7">
        <v>0.0</v>
      </c>
      <c r="J908" s="3" t="s">
        <v>61</v>
      </c>
    </row>
    <row r="909">
      <c r="A909" s="3"/>
      <c r="B909" s="3"/>
      <c r="C909" s="3" t="s">
        <v>21</v>
      </c>
      <c r="D909" s="4" t="s">
        <v>863</v>
      </c>
      <c r="E909" s="3" t="s">
        <v>864</v>
      </c>
      <c r="F909" s="5">
        <v>46150.53333333333</v>
      </c>
      <c r="G909" s="5">
        <v>46150.47943287037</v>
      </c>
      <c r="H909" s="3" t="s">
        <v>14</v>
      </c>
      <c r="I909" s="7">
        <v>0.0</v>
      </c>
      <c r="J909" s="3" t="s">
        <v>61</v>
      </c>
    </row>
    <row r="910">
      <c r="A910" s="3"/>
      <c r="B910" s="3"/>
      <c r="C910" s="3" t="s">
        <v>24</v>
      </c>
      <c r="D910" s="4" t="s">
        <v>863</v>
      </c>
      <c r="E910" s="3" t="s">
        <v>864</v>
      </c>
      <c r="F910" s="5">
        <v>46151.53333333333</v>
      </c>
      <c r="G910" s="5">
        <v>46150.479479166665</v>
      </c>
      <c r="H910" s="3" t="s">
        <v>14</v>
      </c>
      <c r="I910" s="7">
        <v>0.0</v>
      </c>
      <c r="J910" s="3" t="s">
        <v>61</v>
      </c>
    </row>
    <row r="911">
      <c r="A911" s="3"/>
      <c r="B911" s="3"/>
      <c r="C911" s="3" t="s">
        <v>26</v>
      </c>
      <c r="D911" s="4" t="s">
        <v>863</v>
      </c>
      <c r="E911" s="3" t="s">
        <v>864</v>
      </c>
      <c r="F911" s="5">
        <v>46151.575</v>
      </c>
      <c r="G911" s="5">
        <v>46150.47956018519</v>
      </c>
      <c r="H911" s="3" t="s">
        <v>14</v>
      </c>
      <c r="I911" s="7">
        <v>0.0</v>
      </c>
      <c r="J911" s="3" t="s">
        <v>61</v>
      </c>
    </row>
    <row r="912">
      <c r="A912" s="3"/>
      <c r="B912" s="3"/>
      <c r="C912" s="3" t="s">
        <v>10</v>
      </c>
      <c r="D912" s="4" t="s">
        <v>866</v>
      </c>
      <c r="E912" s="3" t="s">
        <v>705</v>
      </c>
      <c r="F912" s="5">
        <v>46150.45277777778</v>
      </c>
      <c r="G912" s="5">
        <v>46149.94425925926</v>
      </c>
      <c r="H912" s="3" t="s">
        <v>14</v>
      </c>
      <c r="I912" s="3">
        <v>0.0</v>
      </c>
      <c r="J912" s="3" t="s">
        <v>15</v>
      </c>
    </row>
    <row r="913">
      <c r="A913" s="3"/>
      <c r="B913" s="3"/>
      <c r="C913" s="3" t="s">
        <v>17</v>
      </c>
      <c r="D913" s="4" t="s">
        <v>866</v>
      </c>
      <c r="E913" s="3" t="s">
        <v>705</v>
      </c>
      <c r="F913" s="5">
        <v>46150.45972222222</v>
      </c>
      <c r="G913" s="5">
        <v>46149.94466435185</v>
      </c>
      <c r="H913" s="3" t="s">
        <v>14</v>
      </c>
      <c r="I913" s="7">
        <v>0.0</v>
      </c>
      <c r="J913" s="3" t="s">
        <v>15</v>
      </c>
    </row>
    <row r="914">
      <c r="A914" s="3"/>
      <c r="B914" s="3"/>
      <c r="C914" s="3" t="s">
        <v>21</v>
      </c>
      <c r="D914" s="4" t="s">
        <v>866</v>
      </c>
      <c r="E914" s="3" t="s">
        <v>705</v>
      </c>
      <c r="F914" s="5">
        <v>46150.563888888886</v>
      </c>
      <c r="G914" s="5">
        <v>46150.47945601852</v>
      </c>
      <c r="H914" s="3" t="s">
        <v>14</v>
      </c>
      <c r="I914" s="7">
        <v>0.0</v>
      </c>
      <c r="J914" s="3" t="s">
        <v>15</v>
      </c>
    </row>
    <row r="915">
      <c r="A915" s="3"/>
      <c r="B915" s="3"/>
      <c r="C915" s="3" t="s">
        <v>24</v>
      </c>
      <c r="D915" s="4" t="s">
        <v>866</v>
      </c>
      <c r="E915" s="3" t="s">
        <v>705</v>
      </c>
      <c r="F915" s="5">
        <v>46151.563888888886</v>
      </c>
      <c r="G915" s="5">
        <v>46150.47950231482</v>
      </c>
      <c r="H915" s="3" t="s">
        <v>14</v>
      </c>
      <c r="I915" s="7">
        <v>0.0</v>
      </c>
      <c r="J915" s="3" t="s">
        <v>15</v>
      </c>
    </row>
    <row r="916">
      <c r="A916" s="3"/>
      <c r="B916" s="3"/>
      <c r="C916" s="3" t="s">
        <v>26</v>
      </c>
      <c r="D916" s="4" t="s">
        <v>866</v>
      </c>
      <c r="E916" s="3" t="s">
        <v>705</v>
      </c>
      <c r="F916" s="5">
        <v>46151.60555555556</v>
      </c>
      <c r="G916" s="5">
        <v>46150.479583333334</v>
      </c>
      <c r="H916" s="3" t="s">
        <v>14</v>
      </c>
      <c r="I916" s="7">
        <v>0.0</v>
      </c>
      <c r="J916" s="3" t="s">
        <v>15</v>
      </c>
    </row>
    <row r="917">
      <c r="A917" s="3"/>
      <c r="B917" s="3"/>
      <c r="C917" s="3" t="s">
        <v>10</v>
      </c>
      <c r="D917" s="4" t="s">
        <v>868</v>
      </c>
      <c r="E917" s="3" t="s">
        <v>869</v>
      </c>
      <c r="F917" s="5">
        <v>46151.48611111111</v>
      </c>
      <c r="G917" s="5">
        <v>46151.45458333333</v>
      </c>
      <c r="H917" s="3" t="s">
        <v>14</v>
      </c>
      <c r="I917" s="3">
        <v>0.0</v>
      </c>
      <c r="J917" s="3" t="s">
        <v>15</v>
      </c>
    </row>
    <row r="918">
      <c r="A918" s="3"/>
      <c r="B918" s="3"/>
      <c r="C918" s="3" t="s">
        <v>17</v>
      </c>
      <c r="D918" s="4" t="s">
        <v>868</v>
      </c>
      <c r="E918" s="3" t="s">
        <v>869</v>
      </c>
      <c r="F918" s="5">
        <v>46151.493055555555</v>
      </c>
      <c r="G918" s="5">
        <v>46151.45465277778</v>
      </c>
      <c r="H918" s="3" t="s">
        <v>14</v>
      </c>
      <c r="I918" s="7">
        <v>0.0</v>
      </c>
      <c r="J918" s="3" t="s">
        <v>15</v>
      </c>
    </row>
    <row r="919">
      <c r="A919" s="3"/>
      <c r="B919" s="3"/>
      <c r="C919" s="3" t="s">
        <v>21</v>
      </c>
      <c r="D919" s="4" t="s">
        <v>868</v>
      </c>
      <c r="E919" s="3" t="s">
        <v>869</v>
      </c>
      <c r="F919" s="5">
        <v>46151.59722222222</v>
      </c>
      <c r="G919" s="5">
        <v>46151.4546875</v>
      </c>
      <c r="H919" s="3" t="s">
        <v>14</v>
      </c>
      <c r="I919" s="7">
        <v>0.0</v>
      </c>
      <c r="J919" s="3" t="s">
        <v>15</v>
      </c>
    </row>
    <row r="920">
      <c r="A920" s="3"/>
      <c r="B920" s="3"/>
      <c r="C920" s="3" t="s">
        <v>24</v>
      </c>
      <c r="D920" s="4" t="s">
        <v>868</v>
      </c>
      <c r="E920" s="3" t="s">
        <v>869</v>
      </c>
      <c r="F920" s="5">
        <v>46153.59722222222</v>
      </c>
      <c r="G920" s="5">
        <v>46151.52271990741</v>
      </c>
      <c r="H920" s="3" t="s">
        <v>14</v>
      </c>
      <c r="I920" s="7">
        <v>0.0</v>
      </c>
      <c r="J920" s="3" t="s">
        <v>15</v>
      </c>
    </row>
    <row r="921">
      <c r="A921" s="3"/>
      <c r="B921" s="3"/>
      <c r="C921" s="3" t="s">
        <v>26</v>
      </c>
      <c r="D921" s="4" t="s">
        <v>868</v>
      </c>
      <c r="E921" s="3" t="s">
        <v>869</v>
      </c>
      <c r="F921" s="5">
        <v>46153.63888888889</v>
      </c>
      <c r="G921" s="5">
        <v>46151.52275462963</v>
      </c>
      <c r="H921" s="3" t="s">
        <v>14</v>
      </c>
      <c r="I921" s="7">
        <v>0.0</v>
      </c>
      <c r="J921" s="3" t="s">
        <v>15</v>
      </c>
    </row>
    <row r="922">
      <c r="A922" s="3"/>
      <c r="B922" s="3"/>
      <c r="C922" s="3" t="s">
        <v>10</v>
      </c>
      <c r="D922" s="4" t="s">
        <v>871</v>
      </c>
      <c r="E922" s="3" t="s">
        <v>869</v>
      </c>
      <c r="F922" s="5">
        <v>46151.486805555556</v>
      </c>
      <c r="G922" s="5">
        <v>46151.45458333333</v>
      </c>
      <c r="H922" s="3" t="s">
        <v>14</v>
      </c>
      <c r="I922" s="3">
        <v>0.0</v>
      </c>
      <c r="J922" s="3" t="s">
        <v>15</v>
      </c>
    </row>
    <row r="923">
      <c r="A923" s="3"/>
      <c r="B923" s="3"/>
      <c r="C923" s="3" t="s">
        <v>17</v>
      </c>
      <c r="D923" s="4" t="s">
        <v>871</v>
      </c>
      <c r="E923" s="3" t="s">
        <v>869</v>
      </c>
      <c r="F923" s="5">
        <v>46151.49375</v>
      </c>
      <c r="G923" s="5">
        <v>46151.49932870371</v>
      </c>
      <c r="H923" s="3" t="s">
        <v>14</v>
      </c>
      <c r="I923" s="7">
        <v>0.005578703703703704</v>
      </c>
      <c r="J923" s="3" t="s">
        <v>15</v>
      </c>
    </row>
    <row r="924">
      <c r="A924" s="3"/>
      <c r="B924" s="3"/>
      <c r="C924" s="3" t="s">
        <v>21</v>
      </c>
      <c r="D924" s="4" t="s">
        <v>871</v>
      </c>
      <c r="E924" s="3" t="s">
        <v>869</v>
      </c>
      <c r="F924" s="5">
        <v>46151.597916666666</v>
      </c>
      <c r="G924" s="5">
        <v>46151.49932870371</v>
      </c>
      <c r="H924" s="3" t="s">
        <v>14</v>
      </c>
      <c r="I924" s="7">
        <v>0.0</v>
      </c>
      <c r="J924" s="3" t="s">
        <v>15</v>
      </c>
    </row>
    <row r="925">
      <c r="A925" s="3"/>
      <c r="B925" s="3"/>
      <c r="C925" s="3" t="s">
        <v>24</v>
      </c>
      <c r="D925" s="4" t="s">
        <v>871</v>
      </c>
      <c r="E925" s="3" t="s">
        <v>869</v>
      </c>
      <c r="F925" s="5">
        <v>46153.597916666666</v>
      </c>
      <c r="G925" s="5">
        <v>46151.52271990741</v>
      </c>
      <c r="H925" s="3" t="s">
        <v>14</v>
      </c>
      <c r="I925" s="7">
        <v>0.0</v>
      </c>
      <c r="J925" s="3" t="s">
        <v>15</v>
      </c>
    </row>
    <row r="926">
      <c r="A926" s="3"/>
      <c r="B926" s="3"/>
      <c r="C926" s="3" t="s">
        <v>26</v>
      </c>
      <c r="D926" s="4" t="s">
        <v>871</v>
      </c>
      <c r="E926" s="3" t="s">
        <v>869</v>
      </c>
      <c r="F926" s="5">
        <v>46153.63958333333</v>
      </c>
      <c r="G926" s="5">
        <v>46151.522777777776</v>
      </c>
      <c r="H926" s="3" t="s">
        <v>14</v>
      </c>
      <c r="I926" s="7">
        <v>0.0</v>
      </c>
      <c r="J926" s="3" t="s">
        <v>15</v>
      </c>
    </row>
    <row r="927">
      <c r="A927" s="3"/>
      <c r="B927" s="3"/>
      <c r="C927" s="3" t="s">
        <v>10</v>
      </c>
      <c r="D927" s="4" t="s">
        <v>874</v>
      </c>
      <c r="E927" s="3" t="s">
        <v>875</v>
      </c>
      <c r="F927" s="5">
        <v>46151.782476851855</v>
      </c>
      <c r="G927" s="5">
        <v>46151.62563657408</v>
      </c>
      <c r="H927" s="3" t="s">
        <v>14</v>
      </c>
      <c r="I927" s="3">
        <v>0.0</v>
      </c>
      <c r="J927" s="3" t="s">
        <v>72</v>
      </c>
    </row>
    <row r="928">
      <c r="A928" s="3"/>
      <c r="B928" s="3"/>
      <c r="C928" s="3" t="s">
        <v>17</v>
      </c>
      <c r="D928" s="4" t="s">
        <v>874</v>
      </c>
      <c r="E928" s="3" t="s">
        <v>875</v>
      </c>
      <c r="F928" s="5">
        <v>46151.78942129629</v>
      </c>
      <c r="G928" s="5">
        <v>46151.62569444445</v>
      </c>
      <c r="H928" s="3" t="s">
        <v>14</v>
      </c>
      <c r="I928" s="7">
        <v>0.0</v>
      </c>
      <c r="J928" s="3" t="s">
        <v>72</v>
      </c>
    </row>
    <row r="929">
      <c r="A929" s="3"/>
      <c r="B929" s="3"/>
      <c r="C929" s="3" t="s">
        <v>21</v>
      </c>
      <c r="D929" s="4" t="s">
        <v>874</v>
      </c>
      <c r="E929" s="3" t="s">
        <v>875</v>
      </c>
      <c r="F929" s="5">
        <v>46153.49722222222</v>
      </c>
      <c r="G929" s="5">
        <v>46151.62574074074</v>
      </c>
      <c r="H929" s="3" t="s">
        <v>14</v>
      </c>
      <c r="I929" s="7">
        <v>0.0</v>
      </c>
      <c r="J929" s="3" t="s">
        <v>72</v>
      </c>
    </row>
    <row r="930">
      <c r="A930" s="3"/>
      <c r="B930" s="3"/>
      <c r="C930" s="3" t="s">
        <v>24</v>
      </c>
      <c r="D930" s="4" t="s">
        <v>874</v>
      </c>
      <c r="E930" s="3" t="s">
        <v>875</v>
      </c>
      <c r="F930" s="5">
        <v>46154.49722222222</v>
      </c>
      <c r="G930" s="5">
        <v>46151.62577546296</v>
      </c>
      <c r="H930" s="3" t="s">
        <v>14</v>
      </c>
      <c r="I930" s="7">
        <v>0.0</v>
      </c>
      <c r="J930" s="3" t="s">
        <v>72</v>
      </c>
    </row>
    <row r="931">
      <c r="A931" s="3"/>
      <c r="B931" s="3"/>
      <c r="C931" s="3" t="s">
        <v>26</v>
      </c>
      <c r="D931" s="4" t="s">
        <v>874</v>
      </c>
      <c r="E931" s="3" t="s">
        <v>875</v>
      </c>
      <c r="F931" s="5">
        <v>46154.53888888889</v>
      </c>
      <c r="G931" s="5">
        <v>46153.44393518518</v>
      </c>
      <c r="H931" s="3" t="s">
        <v>14</v>
      </c>
      <c r="I931" s="7">
        <v>0.0</v>
      </c>
      <c r="J931" s="3" t="s">
        <v>72</v>
      </c>
    </row>
    <row r="932">
      <c r="A932" s="3"/>
      <c r="B932" s="3"/>
      <c r="C932" s="3" t="s">
        <v>10</v>
      </c>
      <c r="D932" s="4" t="s">
        <v>878</v>
      </c>
      <c r="E932" s="3" t="s">
        <v>875</v>
      </c>
      <c r="F932" s="5">
        <v>46151.783900462964</v>
      </c>
      <c r="G932" s="5">
        <v>46151.62563657408</v>
      </c>
      <c r="H932" s="3" t="s">
        <v>14</v>
      </c>
      <c r="I932" s="3">
        <v>0.0</v>
      </c>
      <c r="J932" s="3" t="s">
        <v>72</v>
      </c>
    </row>
    <row r="933">
      <c r="A933" s="3"/>
      <c r="B933" s="3"/>
      <c r="C933" s="3" t="s">
        <v>17</v>
      </c>
      <c r="D933" s="4" t="s">
        <v>878</v>
      </c>
      <c r="E933" s="3" t="s">
        <v>875</v>
      </c>
      <c r="F933" s="5">
        <v>46151.79084490741</v>
      </c>
      <c r="G933" s="5">
        <v>46151.62569444445</v>
      </c>
      <c r="H933" s="3" t="s">
        <v>14</v>
      </c>
      <c r="I933" s="7">
        <v>0.0</v>
      </c>
      <c r="J933" s="3" t="s">
        <v>72</v>
      </c>
    </row>
    <row r="934">
      <c r="A934" s="3"/>
      <c r="B934" s="3"/>
      <c r="C934" s="3" t="s">
        <v>21</v>
      </c>
      <c r="D934" s="4" t="s">
        <v>878</v>
      </c>
      <c r="E934" s="3" t="s">
        <v>875</v>
      </c>
      <c r="F934" s="5">
        <v>46153.498611111114</v>
      </c>
      <c r="G934" s="5">
        <v>46151.62574074074</v>
      </c>
      <c r="H934" s="3" t="s">
        <v>14</v>
      </c>
      <c r="I934" s="7">
        <v>0.0</v>
      </c>
      <c r="J934" s="3" t="s">
        <v>72</v>
      </c>
    </row>
    <row r="935">
      <c r="A935" s="3"/>
      <c r="B935" s="3"/>
      <c r="C935" s="3" t="s">
        <v>24</v>
      </c>
      <c r="D935" s="4" t="s">
        <v>878</v>
      </c>
      <c r="E935" s="3" t="s">
        <v>875</v>
      </c>
      <c r="F935" s="5">
        <v>46154.498611111114</v>
      </c>
      <c r="G935" s="5">
        <v>46151.62578703704</v>
      </c>
      <c r="H935" s="3" t="s">
        <v>14</v>
      </c>
      <c r="I935" s="7">
        <v>0.0</v>
      </c>
      <c r="J935" s="3" t="s">
        <v>72</v>
      </c>
    </row>
    <row r="936">
      <c r="A936" s="3"/>
      <c r="B936" s="3"/>
      <c r="C936" s="3" t="s">
        <v>26</v>
      </c>
      <c r="D936" s="4" t="s">
        <v>878</v>
      </c>
      <c r="E936" s="3" t="s">
        <v>875</v>
      </c>
      <c r="F936" s="5">
        <v>46154.54027777778</v>
      </c>
      <c r="G936" s="5">
        <v>46153.44394675926</v>
      </c>
      <c r="H936" s="3" t="s">
        <v>14</v>
      </c>
      <c r="I936" s="7">
        <v>0.0</v>
      </c>
      <c r="J936" s="3" t="s">
        <v>72</v>
      </c>
    </row>
    <row r="937">
      <c r="A937" s="3"/>
      <c r="B937" s="3"/>
      <c r="C937" s="3" t="s">
        <v>10</v>
      </c>
      <c r="D937" s="4" t="s">
        <v>881</v>
      </c>
      <c r="E937" s="3" t="s">
        <v>882</v>
      </c>
      <c r="F937" s="5">
        <v>46153.45694444444</v>
      </c>
      <c r="G937" s="5">
        <v>46153.444016203706</v>
      </c>
      <c r="H937" s="3" t="s">
        <v>14</v>
      </c>
      <c r="I937" s="3">
        <v>0.0</v>
      </c>
      <c r="J937" s="3" t="s">
        <v>15</v>
      </c>
    </row>
    <row r="938">
      <c r="A938" s="3"/>
      <c r="B938" s="3"/>
      <c r="C938" s="3" t="s">
        <v>17</v>
      </c>
      <c r="D938" s="4" t="s">
        <v>881</v>
      </c>
      <c r="E938" s="3" t="s">
        <v>882</v>
      </c>
      <c r="F938" s="5">
        <v>46153.46388888889</v>
      </c>
      <c r="G938" s="5">
        <v>46153.4441087963</v>
      </c>
      <c r="H938" s="3" t="s">
        <v>14</v>
      </c>
      <c r="I938" s="7">
        <v>0.0</v>
      </c>
      <c r="J938" s="3" t="s">
        <v>15</v>
      </c>
    </row>
    <row r="939">
      <c r="A939" s="3"/>
      <c r="B939" s="3"/>
      <c r="C939" s="3" t="s">
        <v>21</v>
      </c>
      <c r="D939" s="4" t="s">
        <v>881</v>
      </c>
      <c r="E939" s="3" t="s">
        <v>882</v>
      </c>
      <c r="F939" s="5">
        <v>46153.56805555556</v>
      </c>
      <c r="G939" s="5">
        <v>46153.46864583333</v>
      </c>
      <c r="H939" s="3" t="s">
        <v>14</v>
      </c>
      <c r="I939" s="7">
        <v>0.0</v>
      </c>
      <c r="J939" s="3" t="s">
        <v>15</v>
      </c>
    </row>
    <row r="940">
      <c r="A940" s="3"/>
      <c r="B940" s="3"/>
      <c r="C940" s="3" t="s">
        <v>24</v>
      </c>
      <c r="D940" s="4" t="s">
        <v>881</v>
      </c>
      <c r="E940" s="3" t="s">
        <v>882</v>
      </c>
      <c r="F940" s="5">
        <v>46154.56805555556</v>
      </c>
      <c r="G940" s="5">
        <v>46153.468726851854</v>
      </c>
      <c r="H940" s="3" t="s">
        <v>14</v>
      </c>
      <c r="I940" s="7">
        <v>0.0</v>
      </c>
      <c r="J940" s="3" t="s">
        <v>15</v>
      </c>
    </row>
    <row r="941">
      <c r="A941" s="3"/>
      <c r="B941" s="3"/>
      <c r="C941" s="3" t="s">
        <v>26</v>
      </c>
      <c r="D941" s="4" t="s">
        <v>881</v>
      </c>
      <c r="E941" s="3" t="s">
        <v>882</v>
      </c>
      <c r="F941" s="5">
        <v>46154.60972222222</v>
      </c>
      <c r="G941" s="5">
        <v>46153.46876157408</v>
      </c>
      <c r="H941" s="3" t="s">
        <v>14</v>
      </c>
      <c r="I941" s="7">
        <v>0.0</v>
      </c>
      <c r="J941" s="3" t="s">
        <v>15</v>
      </c>
    </row>
    <row r="942">
      <c r="A942" s="3"/>
      <c r="B942" s="3"/>
      <c r="C942" s="3" t="s">
        <v>10</v>
      </c>
      <c r="D942" s="4" t="s">
        <v>885</v>
      </c>
      <c r="E942" s="3" t="s">
        <v>886</v>
      </c>
      <c r="F942" s="5">
        <v>46153.66074074074</v>
      </c>
      <c r="G942" s="5">
        <v>46153.65225694444</v>
      </c>
      <c r="H942" s="3" t="s">
        <v>14</v>
      </c>
      <c r="I942" s="3">
        <v>0.0</v>
      </c>
      <c r="J942" s="3" t="s">
        <v>48</v>
      </c>
    </row>
    <row r="943">
      <c r="A943" s="3"/>
      <c r="B943" s="3"/>
      <c r="C943" s="3" t="s">
        <v>17</v>
      </c>
      <c r="D943" s="4" t="s">
        <v>885</v>
      </c>
      <c r="E943" s="3" t="s">
        <v>886</v>
      </c>
      <c r="F943" s="5">
        <v>46153.66768518519</v>
      </c>
      <c r="G943" s="5">
        <v>46153.652280092596</v>
      </c>
      <c r="H943" s="3" t="s">
        <v>14</v>
      </c>
      <c r="I943" s="7">
        <v>0.0</v>
      </c>
      <c r="J943" s="3" t="s">
        <v>48</v>
      </c>
    </row>
    <row r="944">
      <c r="A944" s="3"/>
      <c r="B944" s="3"/>
      <c r="C944" s="3" t="s">
        <v>21</v>
      </c>
      <c r="D944" s="4" t="s">
        <v>885</v>
      </c>
      <c r="E944" s="3" t="s">
        <v>886</v>
      </c>
      <c r="F944" s="5">
        <v>46153.77185185185</v>
      </c>
      <c r="G944" s="5">
        <v>46153.69405092593</v>
      </c>
      <c r="H944" s="3" t="s">
        <v>14</v>
      </c>
      <c r="I944" s="7">
        <v>0.0</v>
      </c>
      <c r="J944" s="3" t="s">
        <v>48</v>
      </c>
    </row>
    <row r="945">
      <c r="A945" s="3"/>
      <c r="B945" s="3"/>
      <c r="C945" s="3" t="s">
        <v>24</v>
      </c>
      <c r="D945" s="4" t="s">
        <v>885</v>
      </c>
      <c r="E945" s="3" t="s">
        <v>886</v>
      </c>
      <c r="F945" s="5">
        <v>46154.771527777775</v>
      </c>
      <c r="G945" s="5">
        <v>46153.694074074076</v>
      </c>
      <c r="H945" s="3" t="s">
        <v>14</v>
      </c>
      <c r="I945" s="7">
        <v>0.0</v>
      </c>
      <c r="J945" s="3" t="s">
        <v>48</v>
      </c>
    </row>
    <row r="946">
      <c r="A946" s="3"/>
      <c r="B946" s="3"/>
      <c r="C946" s="3" t="s">
        <v>26</v>
      </c>
      <c r="D946" s="4" t="s">
        <v>885</v>
      </c>
      <c r="E946" s="3" t="s">
        <v>886</v>
      </c>
      <c r="F946" s="5">
        <v>46154.81319444445</v>
      </c>
      <c r="G946" s="5">
        <v>46154.64097222222</v>
      </c>
      <c r="H946" s="3" t="s">
        <v>14</v>
      </c>
      <c r="I946" s="7">
        <v>0.0</v>
      </c>
      <c r="J946" s="3" t="s">
        <v>48</v>
      </c>
    </row>
    <row r="947">
      <c r="A947" s="3"/>
      <c r="B947" s="3"/>
      <c r="C947" s="3" t="s">
        <v>10</v>
      </c>
      <c r="D947" s="4" t="s">
        <v>889</v>
      </c>
      <c r="E947" s="3" t="s">
        <v>538</v>
      </c>
      <c r="F947" s="5">
        <v>46154.81439814815</v>
      </c>
      <c r="G947" s="5">
        <v>46154.667291666665</v>
      </c>
      <c r="H947" s="3" t="s">
        <v>14</v>
      </c>
      <c r="I947" s="3">
        <v>0.0</v>
      </c>
      <c r="J947" s="3" t="s">
        <v>15</v>
      </c>
    </row>
    <row r="948">
      <c r="A948" s="3"/>
      <c r="B948" s="3"/>
      <c r="C948" s="3" t="s">
        <v>17</v>
      </c>
      <c r="D948" s="4" t="s">
        <v>889</v>
      </c>
      <c r="E948" s="3" t="s">
        <v>538</v>
      </c>
      <c r="F948" s="5">
        <v>46154.82134259259</v>
      </c>
      <c r="G948" s="5">
        <v>46154.66738425926</v>
      </c>
      <c r="H948" s="3" t="s">
        <v>14</v>
      </c>
      <c r="I948" s="7">
        <v>0.0</v>
      </c>
      <c r="J948" s="3" t="s">
        <v>15</v>
      </c>
    </row>
    <row r="949">
      <c r="A949" s="3"/>
      <c r="B949" s="3"/>
      <c r="C949" s="3" t="s">
        <v>21</v>
      </c>
      <c r="D949" s="4" t="s">
        <v>889</v>
      </c>
      <c r="E949" s="3" t="s">
        <v>538</v>
      </c>
      <c r="F949" s="5">
        <v>46155.52916666667</v>
      </c>
      <c r="G949" s="5">
        <v>46154.66743055556</v>
      </c>
      <c r="H949" s="3" t="s">
        <v>14</v>
      </c>
      <c r="I949" s="7">
        <v>0.0</v>
      </c>
      <c r="J949" s="3" t="s">
        <v>15</v>
      </c>
    </row>
    <row r="950">
      <c r="A950" s="3"/>
      <c r="B950" s="3"/>
      <c r="C950" s="3" t="s">
        <v>24</v>
      </c>
      <c r="D950" s="4" t="s">
        <v>889</v>
      </c>
      <c r="E950" s="3" t="s">
        <v>538</v>
      </c>
      <c r="F950" s="5">
        <v>46156.52916666667</v>
      </c>
      <c r="G950" s="5">
        <v>46154.67519675926</v>
      </c>
      <c r="H950" s="3" t="s">
        <v>14</v>
      </c>
      <c r="I950" s="7">
        <v>0.0</v>
      </c>
      <c r="J950" s="3" t="s">
        <v>15</v>
      </c>
    </row>
    <row r="951">
      <c r="A951" s="3"/>
      <c r="B951" s="3"/>
      <c r="C951" s="3" t="s">
        <v>26</v>
      </c>
      <c r="D951" s="4" t="s">
        <v>889</v>
      </c>
      <c r="E951" s="3" t="s">
        <v>538</v>
      </c>
      <c r="F951" s="5">
        <v>46156.57083333333</v>
      </c>
      <c r="G951" s="5">
        <v>46154.67524305556</v>
      </c>
      <c r="H951" s="3" t="s">
        <v>14</v>
      </c>
      <c r="I951" s="7">
        <v>0.0</v>
      </c>
      <c r="J951" s="3" t="s">
        <v>15</v>
      </c>
    </row>
    <row r="952">
      <c r="A952" s="3"/>
      <c r="B952" s="3"/>
      <c r="C952" s="3" t="s">
        <v>10</v>
      </c>
      <c r="D952" s="4" t="s">
        <v>892</v>
      </c>
      <c r="E952" s="3" t="s">
        <v>894</v>
      </c>
      <c r="F952" s="5">
        <v>46154.817407407405</v>
      </c>
      <c r="G952" s="5">
        <v>46154.667291666665</v>
      </c>
      <c r="H952" s="3" t="s">
        <v>14</v>
      </c>
      <c r="I952" s="3">
        <v>0.0</v>
      </c>
      <c r="J952" s="3" t="s">
        <v>15</v>
      </c>
    </row>
    <row r="953">
      <c r="A953" s="3"/>
      <c r="B953" s="3"/>
      <c r="C953" s="3" t="s">
        <v>17</v>
      </c>
      <c r="D953" s="4" t="s">
        <v>892</v>
      </c>
      <c r="E953" s="3" t="s">
        <v>894</v>
      </c>
      <c r="F953" s="5">
        <v>46154.82435185185</v>
      </c>
      <c r="G953" s="5">
        <v>46154.66744212963</v>
      </c>
      <c r="H953" s="3" t="s">
        <v>14</v>
      </c>
      <c r="I953" s="7">
        <v>0.0</v>
      </c>
      <c r="J953" s="3" t="s">
        <v>15</v>
      </c>
    </row>
    <row r="954">
      <c r="A954" s="3"/>
      <c r="B954" s="3"/>
      <c r="C954" s="3" t="s">
        <v>21</v>
      </c>
      <c r="D954" s="4" t="s">
        <v>892</v>
      </c>
      <c r="E954" s="3" t="s">
        <v>894</v>
      </c>
      <c r="F954" s="5">
        <v>46155.532638888886</v>
      </c>
      <c r="G954" s="5">
        <v>46154.66744212963</v>
      </c>
      <c r="H954" s="3" t="s">
        <v>14</v>
      </c>
      <c r="I954" s="7">
        <v>0.0</v>
      </c>
      <c r="J954" s="3" t="s">
        <v>15</v>
      </c>
    </row>
    <row r="955">
      <c r="A955" s="3"/>
      <c r="B955" s="3"/>
      <c r="C955" s="3" t="s">
        <v>24</v>
      </c>
      <c r="D955" s="4" t="s">
        <v>892</v>
      </c>
      <c r="E955" s="3" t="s">
        <v>894</v>
      </c>
      <c r="F955" s="5">
        <v>46156.532638888886</v>
      </c>
      <c r="G955" s="5">
        <v>46155.52170138889</v>
      </c>
      <c r="H955" s="3" t="s">
        <v>14</v>
      </c>
      <c r="I955" s="7">
        <v>0.0</v>
      </c>
      <c r="J955" s="3" t="s">
        <v>15</v>
      </c>
    </row>
    <row r="956">
      <c r="A956" s="3"/>
      <c r="B956" s="3"/>
      <c r="C956" s="3" t="s">
        <v>26</v>
      </c>
      <c r="D956" s="4" t="s">
        <v>892</v>
      </c>
      <c r="E956" s="3" t="s">
        <v>894</v>
      </c>
      <c r="F956" s="5">
        <v>46156.57430555556</v>
      </c>
      <c r="G956" s="5">
        <v>46156.49759259259</v>
      </c>
      <c r="H956" s="3" t="s">
        <v>14</v>
      </c>
      <c r="I956" s="7">
        <v>0.0</v>
      </c>
      <c r="J956" s="3" t="s">
        <v>15</v>
      </c>
    </row>
    <row r="957">
      <c r="A957" s="3"/>
      <c r="B957" s="3"/>
      <c r="C957" s="3" t="s">
        <v>10</v>
      </c>
      <c r="D957" s="4" t="s">
        <v>897</v>
      </c>
      <c r="E957" s="3" t="s">
        <v>898</v>
      </c>
      <c r="F957" s="5">
        <v>46155.45277777778</v>
      </c>
      <c r="G957" s="5">
        <v>46155.43822916667</v>
      </c>
      <c r="H957" s="3" t="s">
        <v>14</v>
      </c>
      <c r="I957" s="3">
        <v>0.0</v>
      </c>
      <c r="J957" s="3" t="s">
        <v>15</v>
      </c>
    </row>
    <row r="958">
      <c r="A958" s="3"/>
      <c r="B958" s="3"/>
      <c r="C958" s="3" t="s">
        <v>17</v>
      </c>
      <c r="D958" s="4" t="s">
        <v>897</v>
      </c>
      <c r="E958" s="3" t="s">
        <v>898</v>
      </c>
      <c r="F958" s="5">
        <v>46155.45972222222</v>
      </c>
      <c r="G958" s="5">
        <v>46155.43832175926</v>
      </c>
      <c r="H958" s="3" t="s">
        <v>14</v>
      </c>
      <c r="I958" s="7">
        <v>0.0</v>
      </c>
      <c r="J958" s="3" t="s">
        <v>15</v>
      </c>
    </row>
    <row r="959">
      <c r="A959" s="3"/>
      <c r="B959" s="3"/>
      <c r="C959" s="3" t="s">
        <v>21</v>
      </c>
      <c r="D959" s="4" t="s">
        <v>897</v>
      </c>
      <c r="E959" s="3" t="s">
        <v>898</v>
      </c>
      <c r="F959" s="5">
        <v>46155.563888888886</v>
      </c>
      <c r="G959" s="5">
        <v>46155.52166666667</v>
      </c>
      <c r="H959" s="3" t="s">
        <v>14</v>
      </c>
      <c r="I959" s="7">
        <v>0.0</v>
      </c>
      <c r="J959" s="3" t="s">
        <v>15</v>
      </c>
    </row>
    <row r="960">
      <c r="A960" s="3"/>
      <c r="B960" s="3"/>
      <c r="C960" s="3" t="s">
        <v>24</v>
      </c>
      <c r="D960" s="4" t="s">
        <v>897</v>
      </c>
      <c r="E960" s="3" t="s">
        <v>898</v>
      </c>
      <c r="F960" s="5">
        <v>46156.563888888886</v>
      </c>
      <c r="G960" s="5">
        <v>46155.52271990741</v>
      </c>
      <c r="H960" s="3" t="s">
        <v>14</v>
      </c>
      <c r="I960" s="7">
        <v>0.0</v>
      </c>
      <c r="J960" s="3" t="s">
        <v>15</v>
      </c>
    </row>
    <row r="961">
      <c r="A961" s="3"/>
      <c r="B961" s="3"/>
      <c r="C961" s="3" t="s">
        <v>26</v>
      </c>
      <c r="D961" s="4" t="s">
        <v>897</v>
      </c>
      <c r="E961" s="3" t="s">
        <v>898</v>
      </c>
      <c r="F961" s="5">
        <v>46156.60555555556</v>
      </c>
      <c r="G961" s="5">
        <v>46155.52287037037</v>
      </c>
      <c r="H961" s="3" t="s">
        <v>14</v>
      </c>
      <c r="I961" s="7">
        <v>0.0</v>
      </c>
      <c r="J961" s="3" t="s">
        <v>15</v>
      </c>
    </row>
    <row r="962">
      <c r="A962" s="3"/>
      <c r="B962" s="3"/>
      <c r="C962" s="3" t="s">
        <v>10</v>
      </c>
      <c r="D962" s="4" t="s">
        <v>904</v>
      </c>
      <c r="E962" s="3" t="s">
        <v>905</v>
      </c>
      <c r="F962" s="5">
        <v>46157.42638888889</v>
      </c>
      <c r="G962" s="5">
        <v>46156.68101851852</v>
      </c>
      <c r="H962" s="3" t="s">
        <v>14</v>
      </c>
      <c r="I962" s="3">
        <v>0.0</v>
      </c>
      <c r="J962" s="3" t="s">
        <v>15</v>
      </c>
    </row>
    <row r="963">
      <c r="A963" s="3"/>
      <c r="B963" s="3"/>
      <c r="C963" s="3" t="s">
        <v>17</v>
      </c>
      <c r="D963" s="4" t="s">
        <v>904</v>
      </c>
      <c r="E963" s="3" t="s">
        <v>905</v>
      </c>
      <c r="F963" s="5">
        <v>46157.433333333334</v>
      </c>
      <c r="G963" s="5">
        <v>46156.68116898148</v>
      </c>
      <c r="H963" s="3" t="s">
        <v>14</v>
      </c>
      <c r="I963" s="7">
        <v>0.0</v>
      </c>
      <c r="J963" s="3" t="s">
        <v>15</v>
      </c>
    </row>
    <row r="964">
      <c r="A964" s="3"/>
      <c r="B964" s="3"/>
      <c r="C964" s="3" t="s">
        <v>21</v>
      </c>
      <c r="D964" s="4" t="s">
        <v>904</v>
      </c>
      <c r="E964" s="3" t="s">
        <v>905</v>
      </c>
      <c r="F964" s="5">
        <v>46157.5375</v>
      </c>
      <c r="G964" s="5">
        <v>46156.68261574074</v>
      </c>
      <c r="H964" s="3" t="s">
        <v>14</v>
      </c>
      <c r="I964" s="7">
        <v>0.0</v>
      </c>
      <c r="J964" s="3" t="s">
        <v>15</v>
      </c>
    </row>
    <row r="965">
      <c r="A965" s="3"/>
      <c r="B965" s="3"/>
      <c r="C965" s="3" t="s">
        <v>24</v>
      </c>
      <c r="D965" s="4" t="s">
        <v>904</v>
      </c>
      <c r="E965" s="3" t="s">
        <v>905</v>
      </c>
      <c r="F965" s="5">
        <v>46158.5375</v>
      </c>
      <c r="G965" s="5">
        <v>46156.76127314815</v>
      </c>
      <c r="H965" s="3" t="s">
        <v>14</v>
      </c>
      <c r="I965" s="7">
        <v>0.0</v>
      </c>
      <c r="J965" s="3" t="s">
        <v>15</v>
      </c>
    </row>
    <row r="966">
      <c r="A966" s="3"/>
      <c r="B966" s="3"/>
      <c r="C966" s="3" t="s">
        <v>26</v>
      </c>
      <c r="D966" s="4" t="s">
        <v>904</v>
      </c>
      <c r="E966" s="3" t="s">
        <v>905</v>
      </c>
      <c r="F966" s="5">
        <v>46158.57916666667</v>
      </c>
      <c r="G966" s="5">
        <v>46156.76137731481</v>
      </c>
      <c r="H966" s="3" t="s">
        <v>14</v>
      </c>
      <c r="I966" s="7">
        <v>0.0</v>
      </c>
      <c r="J966" s="3" t="s">
        <v>15</v>
      </c>
    </row>
    <row r="967">
      <c r="A967" s="3"/>
      <c r="B967" s="3"/>
      <c r="C967" s="3" t="s">
        <v>10</v>
      </c>
      <c r="D967" s="4" t="s">
        <v>909</v>
      </c>
      <c r="E967" s="3" t="s">
        <v>910</v>
      </c>
      <c r="F967" s="5">
        <v>46157.42847222222</v>
      </c>
      <c r="G967" s="5">
        <v>46156.68105324074</v>
      </c>
      <c r="H967" s="3" t="s">
        <v>14</v>
      </c>
      <c r="I967" s="3">
        <v>0.0</v>
      </c>
      <c r="J967" s="3" t="s">
        <v>61</v>
      </c>
    </row>
    <row r="968">
      <c r="A968" s="3"/>
      <c r="B968" s="3"/>
      <c r="C968" s="3" t="s">
        <v>17</v>
      </c>
      <c r="D968" s="4" t="s">
        <v>909</v>
      </c>
      <c r="E968" s="3" t="s">
        <v>910</v>
      </c>
      <c r="F968" s="5">
        <v>46157.43541666667</v>
      </c>
      <c r="G968" s="5">
        <v>46156.68116898148</v>
      </c>
      <c r="H968" s="3" t="s">
        <v>14</v>
      </c>
      <c r="I968" s="7">
        <v>0.0</v>
      </c>
      <c r="J968" s="3" t="s">
        <v>61</v>
      </c>
    </row>
    <row r="969">
      <c r="A969" s="3"/>
      <c r="B969" s="3"/>
      <c r="C969" s="3" t="s">
        <v>21</v>
      </c>
      <c r="D969" s="4" t="s">
        <v>909</v>
      </c>
      <c r="E969" s="3" t="s">
        <v>910</v>
      </c>
      <c r="F969" s="5">
        <v>46157.53958333333</v>
      </c>
      <c r="G969" s="5">
        <v>46156.6825</v>
      </c>
      <c r="H969" s="3" t="s">
        <v>14</v>
      </c>
      <c r="I969" s="7">
        <v>0.0</v>
      </c>
      <c r="J969" s="3" t="s">
        <v>61</v>
      </c>
    </row>
    <row r="970">
      <c r="A970" s="3"/>
      <c r="B970" s="3"/>
      <c r="C970" s="3" t="s">
        <v>24</v>
      </c>
      <c r="D970" s="4" t="s">
        <v>909</v>
      </c>
      <c r="E970" s="3" t="s">
        <v>910</v>
      </c>
      <c r="F970" s="5">
        <v>46158.53958333333</v>
      </c>
      <c r="G970" s="5">
        <v>46156.76127314815</v>
      </c>
      <c r="H970" s="3" t="s">
        <v>14</v>
      </c>
      <c r="I970" s="7">
        <v>0.0</v>
      </c>
      <c r="J970" s="3" t="s">
        <v>61</v>
      </c>
    </row>
    <row r="971">
      <c r="A971" s="3"/>
      <c r="B971" s="3"/>
      <c r="C971" s="3" t="s">
        <v>26</v>
      </c>
      <c r="D971" s="4" t="s">
        <v>909</v>
      </c>
      <c r="E971" s="3" t="s">
        <v>910</v>
      </c>
      <c r="F971" s="5">
        <v>46158.58125</v>
      </c>
      <c r="G971" s="5">
        <v>46156.76136574074</v>
      </c>
      <c r="H971" s="3" t="s">
        <v>14</v>
      </c>
      <c r="I971" s="7">
        <v>0.0</v>
      </c>
      <c r="J971" s="3" t="s">
        <v>61</v>
      </c>
    </row>
    <row r="972">
      <c r="A972" s="3"/>
      <c r="B972" s="3"/>
      <c r="C972" s="3" t="s">
        <v>10</v>
      </c>
      <c r="D972" s="4" t="s">
        <v>912</v>
      </c>
      <c r="E972" s="3" t="s">
        <v>913</v>
      </c>
      <c r="F972" s="5">
        <v>46157.45138888889</v>
      </c>
      <c r="G972" s="5">
        <v>46156.71737268518</v>
      </c>
      <c r="H972" s="3" t="s">
        <v>14</v>
      </c>
      <c r="I972" s="3">
        <v>0.0</v>
      </c>
      <c r="J972" s="3" t="s">
        <v>61</v>
      </c>
    </row>
    <row r="973">
      <c r="A973" s="3"/>
      <c r="B973" s="3"/>
      <c r="C973" s="3" t="s">
        <v>17</v>
      </c>
      <c r="D973" s="4" t="s">
        <v>912</v>
      </c>
      <c r="E973" s="3" t="s">
        <v>913</v>
      </c>
      <c r="F973" s="5">
        <v>46157.458333333336</v>
      </c>
      <c r="G973" s="5">
        <v>46156.7175</v>
      </c>
      <c r="H973" s="3" t="s">
        <v>14</v>
      </c>
      <c r="I973" s="7">
        <v>0.0</v>
      </c>
      <c r="J973" s="3" t="s">
        <v>61</v>
      </c>
    </row>
    <row r="974">
      <c r="A974" s="3"/>
      <c r="B974" s="3"/>
      <c r="C974" s="3" t="s">
        <v>21</v>
      </c>
      <c r="D974" s="4" t="s">
        <v>912</v>
      </c>
      <c r="E974" s="3" t="s">
        <v>913</v>
      </c>
      <c r="F974" s="5">
        <v>46157.5625</v>
      </c>
      <c r="G974" s="5">
        <v>46157.46469907407</v>
      </c>
      <c r="H974" s="3" t="s">
        <v>14</v>
      </c>
      <c r="I974" s="7">
        <v>0.0</v>
      </c>
      <c r="J974" s="3" t="s">
        <v>61</v>
      </c>
    </row>
    <row r="975">
      <c r="A975" s="3"/>
      <c r="B975" s="3"/>
      <c r="C975" s="3" t="s">
        <v>24</v>
      </c>
      <c r="D975" s="4" t="s">
        <v>912</v>
      </c>
      <c r="E975" s="3" t="s">
        <v>913</v>
      </c>
      <c r="F975" s="5">
        <v>46158.5625</v>
      </c>
      <c r="G975" s="5">
        <v>46157.6772337963</v>
      </c>
      <c r="H975" s="3" t="s">
        <v>14</v>
      </c>
      <c r="I975" s="7">
        <v>0.0</v>
      </c>
      <c r="J975" s="3" t="s">
        <v>61</v>
      </c>
    </row>
    <row r="976">
      <c r="A976" s="3"/>
      <c r="B976" s="3"/>
      <c r="C976" s="3" t="s">
        <v>26</v>
      </c>
      <c r="D976" s="4" t="s">
        <v>912</v>
      </c>
      <c r="E976" s="3" t="s">
        <v>913</v>
      </c>
      <c r="F976" s="5">
        <v>46158.604166666664</v>
      </c>
      <c r="G976" s="5">
        <v>46157.677395833336</v>
      </c>
      <c r="H976" s="3" t="s">
        <v>14</v>
      </c>
      <c r="I976" s="7">
        <v>0.0</v>
      </c>
      <c r="J976" s="3" t="s">
        <v>61</v>
      </c>
    </row>
    <row r="977">
      <c r="A977" s="3"/>
      <c r="B977" s="3"/>
      <c r="C977" s="3" t="s">
        <v>10</v>
      </c>
      <c r="D977" s="4" t="s">
        <v>917</v>
      </c>
      <c r="E977" s="3" t="s">
        <v>918</v>
      </c>
      <c r="F977" s="5">
        <v>46157.45277777778</v>
      </c>
      <c r="G977" s="5">
        <v>46156.71702546296</v>
      </c>
      <c r="H977" s="3" t="s">
        <v>14</v>
      </c>
      <c r="I977" s="3">
        <v>0.0</v>
      </c>
      <c r="J977" s="3" t="s">
        <v>15</v>
      </c>
    </row>
    <row r="978">
      <c r="A978" s="3"/>
      <c r="B978" s="3"/>
      <c r="C978" s="3" t="s">
        <v>17</v>
      </c>
      <c r="D978" s="4" t="s">
        <v>917</v>
      </c>
      <c r="E978" s="3" t="s">
        <v>918</v>
      </c>
      <c r="F978" s="5">
        <v>46157.45972222222</v>
      </c>
      <c r="G978" s="5">
        <v>46156.717152777775</v>
      </c>
      <c r="H978" s="3" t="s">
        <v>14</v>
      </c>
      <c r="I978" s="7">
        <v>0.0</v>
      </c>
      <c r="J978" s="3" t="s">
        <v>15</v>
      </c>
    </row>
    <row r="979">
      <c r="A979" s="3"/>
      <c r="B979" s="3"/>
      <c r="C979" s="3" t="s">
        <v>21</v>
      </c>
      <c r="D979" s="4" t="s">
        <v>917</v>
      </c>
      <c r="E979" s="3" t="s">
        <v>918</v>
      </c>
      <c r="F979" s="5">
        <v>46157.563888888886</v>
      </c>
      <c r="G979" s="5">
        <v>46157.46472222222</v>
      </c>
      <c r="H979" s="3" t="s">
        <v>14</v>
      </c>
      <c r="I979" s="7">
        <v>0.0</v>
      </c>
      <c r="J979" s="3" t="s">
        <v>15</v>
      </c>
    </row>
    <row r="980">
      <c r="A980" s="3"/>
      <c r="B980" s="3"/>
      <c r="C980" s="3" t="s">
        <v>24</v>
      </c>
      <c r="D980" s="4" t="s">
        <v>917</v>
      </c>
      <c r="E980" s="3" t="s">
        <v>918</v>
      </c>
      <c r="F980" s="5">
        <v>46158.563888888886</v>
      </c>
      <c r="G980" s="5">
        <v>46157.46704861111</v>
      </c>
      <c r="H980" s="3" t="s">
        <v>14</v>
      </c>
      <c r="I980" s="7">
        <v>0.0</v>
      </c>
      <c r="J980" s="3" t="s">
        <v>15</v>
      </c>
    </row>
    <row r="981">
      <c r="A981" s="3"/>
      <c r="B981" s="3"/>
      <c r="C981" s="3" t="s">
        <v>26</v>
      </c>
      <c r="D981" s="4" t="s">
        <v>917</v>
      </c>
      <c r="E981" s="3" t="s">
        <v>918</v>
      </c>
      <c r="F981" s="5">
        <v>46158.60555555556</v>
      </c>
      <c r="G981" s="5">
        <v>46157.803090277775</v>
      </c>
      <c r="H981" s="3" t="s">
        <v>14</v>
      </c>
      <c r="I981" s="7">
        <v>0.0</v>
      </c>
      <c r="J981" s="3" t="s">
        <v>15</v>
      </c>
    </row>
    <row r="982">
      <c r="A982" s="3"/>
      <c r="B982" s="3"/>
      <c r="C982" s="3" t="s">
        <v>10</v>
      </c>
      <c r="D982" s="4" t="s">
        <v>919</v>
      </c>
      <c r="E982" s="3" t="s">
        <v>920</v>
      </c>
      <c r="F982" s="5">
        <v>46158.67328703704</v>
      </c>
      <c r="G982" s="5">
        <v>46158.51604166667</v>
      </c>
      <c r="H982" s="3" t="s">
        <v>14</v>
      </c>
      <c r="I982" s="3">
        <v>0.0</v>
      </c>
      <c r="J982" s="3" t="s">
        <v>48</v>
      </c>
    </row>
    <row r="983">
      <c r="A983" s="3"/>
      <c r="B983" s="3"/>
      <c r="C983" s="3" t="s">
        <v>17</v>
      </c>
      <c r="D983" s="4" t="s">
        <v>919</v>
      </c>
      <c r="E983" s="3" t="s">
        <v>920</v>
      </c>
      <c r="F983" s="5">
        <v>46158.680231481485</v>
      </c>
      <c r="G983" s="5">
        <v>46158.51611111111</v>
      </c>
      <c r="H983" s="3" t="s">
        <v>14</v>
      </c>
      <c r="I983" s="7">
        <v>0.0</v>
      </c>
      <c r="J983" s="3" t="s">
        <v>48</v>
      </c>
    </row>
    <row r="984">
      <c r="A984" s="3"/>
      <c r="B984" s="3"/>
      <c r="C984" s="3" t="s">
        <v>21</v>
      </c>
      <c r="D984" s="4" t="s">
        <v>919</v>
      </c>
      <c r="E984" s="3" t="s">
        <v>920</v>
      </c>
      <c r="F984" s="5">
        <v>46158.78439814815</v>
      </c>
      <c r="G984" s="5">
        <v>46158.516435185185</v>
      </c>
      <c r="H984" s="3" t="s">
        <v>14</v>
      </c>
      <c r="I984" s="7">
        <v>0.0</v>
      </c>
      <c r="J984" s="3" t="s">
        <v>48</v>
      </c>
    </row>
    <row r="985">
      <c r="A985" s="3"/>
      <c r="B985" s="3"/>
      <c r="C985" s="3" t="s">
        <v>24</v>
      </c>
      <c r="D985" s="4" t="s">
        <v>919</v>
      </c>
      <c r="E985" s="3" t="s">
        <v>920</v>
      </c>
      <c r="F985" s="5">
        <v>46160.78402777778</v>
      </c>
      <c r="G985" s="5">
        <v>46160.45695601852</v>
      </c>
      <c r="H985" s="3" t="s">
        <v>14</v>
      </c>
      <c r="I985" s="7">
        <v>0.0</v>
      </c>
      <c r="J985" s="3" t="s">
        <v>48</v>
      </c>
    </row>
    <row r="986">
      <c r="A986" s="3"/>
      <c r="B986" s="3"/>
      <c r="C986" s="3" t="s">
        <v>26</v>
      </c>
      <c r="D986" s="4" t="s">
        <v>919</v>
      </c>
      <c r="E986" s="3" t="s">
        <v>920</v>
      </c>
      <c r="F986" s="5">
        <v>46160.825694444444</v>
      </c>
      <c r="G986" s="5">
        <v>46160.45700231481</v>
      </c>
      <c r="H986" s="3" t="s">
        <v>14</v>
      </c>
      <c r="I986" s="7">
        <v>0.0</v>
      </c>
      <c r="J986" s="3" t="s">
        <v>48</v>
      </c>
    </row>
    <row r="987">
      <c r="A987" s="3"/>
      <c r="B987" s="3"/>
      <c r="C987" s="3" t="s">
        <v>10</v>
      </c>
      <c r="D987" s="4" t="s">
        <v>923</v>
      </c>
      <c r="E987" s="3" t="s">
        <v>924</v>
      </c>
      <c r="F987" s="5">
        <v>46158.76576388889</v>
      </c>
      <c r="G987" s="5">
        <v>46158.61087962963</v>
      </c>
      <c r="H987" s="3" t="s">
        <v>14</v>
      </c>
      <c r="I987" s="3">
        <v>0.0</v>
      </c>
      <c r="J987" s="3" t="s">
        <v>72</v>
      </c>
    </row>
    <row r="988">
      <c r="A988" s="3"/>
      <c r="B988" s="3"/>
      <c r="C988" s="3" t="s">
        <v>17</v>
      </c>
      <c r="D988" s="4" t="s">
        <v>923</v>
      </c>
      <c r="E988" s="3" t="s">
        <v>924</v>
      </c>
      <c r="F988" s="5">
        <v>46158.77270833333</v>
      </c>
      <c r="G988" s="5">
        <v>46158.61146990741</v>
      </c>
      <c r="H988" s="3" t="s">
        <v>14</v>
      </c>
      <c r="I988" s="7">
        <v>0.0</v>
      </c>
      <c r="J988" s="3" t="s">
        <v>72</v>
      </c>
    </row>
    <row r="989">
      <c r="A989" s="3"/>
      <c r="B989" s="3"/>
      <c r="C989" s="3" t="s">
        <v>21</v>
      </c>
      <c r="D989" s="4" t="s">
        <v>923</v>
      </c>
      <c r="E989" s="3" t="s">
        <v>924</v>
      </c>
      <c r="F989" s="5">
        <v>46160.48055555556</v>
      </c>
      <c r="G989" s="5">
        <v>46158.671944444446</v>
      </c>
      <c r="H989" s="3" t="s">
        <v>14</v>
      </c>
      <c r="I989" s="7">
        <v>0.0</v>
      </c>
      <c r="J989" s="3" t="s">
        <v>72</v>
      </c>
    </row>
    <row r="990">
      <c r="A990" s="3"/>
      <c r="B990" s="3"/>
      <c r="C990" s="3" t="s">
        <v>24</v>
      </c>
      <c r="D990" s="4" t="s">
        <v>923</v>
      </c>
      <c r="E990" s="3" t="s">
        <v>924</v>
      </c>
      <c r="F990" s="5">
        <v>46161.48055555556</v>
      </c>
      <c r="G990" s="5">
        <v>46160.45287037037</v>
      </c>
      <c r="H990" s="3" t="s">
        <v>14</v>
      </c>
      <c r="I990" s="7">
        <v>0.0</v>
      </c>
      <c r="J990" s="3" t="s">
        <v>72</v>
      </c>
    </row>
    <row r="991">
      <c r="A991" s="3"/>
      <c r="B991" s="3"/>
      <c r="C991" s="3" t="s">
        <v>26</v>
      </c>
      <c r="D991" s="4" t="s">
        <v>923</v>
      </c>
      <c r="E991" s="3" t="s">
        <v>924</v>
      </c>
      <c r="F991" s="5">
        <v>46161.52222222222</v>
      </c>
      <c r="G991" s="5">
        <v>46161.4640625</v>
      </c>
      <c r="H991" s="3" t="s">
        <v>14</v>
      </c>
      <c r="I991" s="7">
        <v>0.0</v>
      </c>
      <c r="J991" s="3" t="s">
        <v>72</v>
      </c>
    </row>
    <row r="992">
      <c r="A992" s="3"/>
      <c r="B992" s="3"/>
      <c r="C992" s="3" t="s">
        <v>10</v>
      </c>
      <c r="D992" s="4" t="s">
        <v>927</v>
      </c>
      <c r="E992" s="3" t="s">
        <v>96</v>
      </c>
      <c r="F992" s="5">
        <v>46158.768645833334</v>
      </c>
      <c r="G992" s="5">
        <v>46158.61087962963</v>
      </c>
      <c r="H992" s="3" t="s">
        <v>14</v>
      </c>
      <c r="I992" s="3">
        <v>0.0</v>
      </c>
      <c r="J992" s="3" t="s">
        <v>72</v>
      </c>
    </row>
    <row r="993">
      <c r="A993" s="3"/>
      <c r="B993" s="3"/>
      <c r="C993" s="3" t="s">
        <v>17</v>
      </c>
      <c r="D993" s="4" t="s">
        <v>927</v>
      </c>
      <c r="E993" s="3" t="s">
        <v>96</v>
      </c>
      <c r="F993" s="5">
        <v>46158.77559027778</v>
      </c>
      <c r="G993" s="5">
        <v>46158.61146990741</v>
      </c>
      <c r="H993" s="3" t="s">
        <v>14</v>
      </c>
      <c r="I993" s="7">
        <v>0.0</v>
      </c>
      <c r="J993" s="3" t="s">
        <v>72</v>
      </c>
    </row>
    <row r="994">
      <c r="A994" s="3"/>
      <c r="B994" s="3"/>
      <c r="C994" s="3" t="s">
        <v>21</v>
      </c>
      <c r="D994" s="4" t="s">
        <v>927</v>
      </c>
      <c r="E994" s="3" t="s">
        <v>96</v>
      </c>
      <c r="F994" s="5">
        <v>46160.48333333333</v>
      </c>
      <c r="G994" s="5">
        <v>46158.671944444446</v>
      </c>
      <c r="H994" s="3" t="s">
        <v>14</v>
      </c>
      <c r="I994" s="7">
        <v>0.0</v>
      </c>
      <c r="J994" s="3" t="s">
        <v>72</v>
      </c>
    </row>
    <row r="995">
      <c r="A995" s="3"/>
      <c r="B995" s="3"/>
      <c r="C995" s="3" t="s">
        <v>24</v>
      </c>
      <c r="D995" s="4" t="s">
        <v>927</v>
      </c>
      <c r="E995" s="3" t="s">
        <v>96</v>
      </c>
      <c r="F995" s="5">
        <v>46161.48333333333</v>
      </c>
      <c r="G995" s="5">
        <v>46160.452881944446</v>
      </c>
      <c r="H995" s="3" t="s">
        <v>14</v>
      </c>
      <c r="I995" s="7">
        <v>0.0</v>
      </c>
      <c r="J995" s="3" t="s">
        <v>72</v>
      </c>
    </row>
    <row r="996">
      <c r="A996" s="3"/>
      <c r="B996" s="3"/>
      <c r="C996" s="3" t="s">
        <v>26</v>
      </c>
      <c r="D996" s="4" t="s">
        <v>927</v>
      </c>
      <c r="E996" s="3" t="s">
        <v>96</v>
      </c>
      <c r="F996" s="5">
        <v>46161.525</v>
      </c>
      <c r="G996" s="5">
        <v>46161.49422453704</v>
      </c>
      <c r="H996" s="3" t="s">
        <v>14</v>
      </c>
      <c r="I996" s="7">
        <v>0.0</v>
      </c>
      <c r="J996" s="3" t="s">
        <v>72</v>
      </c>
    </row>
    <row r="997">
      <c r="A997" s="3"/>
      <c r="B997" s="3"/>
      <c r="C997" s="3" t="s">
        <v>10</v>
      </c>
      <c r="D997" s="4" t="s">
        <v>930</v>
      </c>
      <c r="E997" s="3" t="s">
        <v>931</v>
      </c>
      <c r="F997" s="5">
        <v>46158.76965277778</v>
      </c>
      <c r="G997" s="5">
        <v>46158.6108912037</v>
      </c>
      <c r="H997" s="3" t="s">
        <v>14</v>
      </c>
      <c r="I997" s="3">
        <v>0.0</v>
      </c>
      <c r="J997" s="3" t="s">
        <v>72</v>
      </c>
    </row>
    <row r="998">
      <c r="A998" s="3"/>
      <c r="B998" s="3"/>
      <c r="C998" s="3" t="s">
        <v>17</v>
      </c>
      <c r="D998" s="4" t="s">
        <v>930</v>
      </c>
      <c r="E998" s="3" t="s">
        <v>931</v>
      </c>
      <c r="F998" s="5">
        <v>46158.77659722222</v>
      </c>
      <c r="G998" s="5">
        <v>46158.61146990741</v>
      </c>
      <c r="H998" s="3" t="s">
        <v>14</v>
      </c>
      <c r="I998" s="7">
        <v>0.0</v>
      </c>
      <c r="J998" s="3" t="s">
        <v>72</v>
      </c>
    </row>
    <row r="999">
      <c r="A999" s="3"/>
      <c r="B999" s="3"/>
      <c r="C999" s="3" t="s">
        <v>21</v>
      </c>
      <c r="D999" s="4" t="s">
        <v>930</v>
      </c>
      <c r="E999" s="3" t="s">
        <v>931</v>
      </c>
      <c r="F999" s="5">
        <v>46160.48472222222</v>
      </c>
      <c r="G999" s="5">
        <v>46158.671956018516</v>
      </c>
      <c r="H999" s="3" t="s">
        <v>14</v>
      </c>
      <c r="I999" s="7">
        <v>0.0</v>
      </c>
      <c r="J999" s="3" t="s">
        <v>72</v>
      </c>
    </row>
    <row r="1000">
      <c r="A1000" s="3"/>
      <c r="B1000" s="3"/>
      <c r="C1000" s="3" t="s">
        <v>24</v>
      </c>
      <c r="D1000" s="4" t="s">
        <v>930</v>
      </c>
      <c r="E1000" s="3" t="s">
        <v>931</v>
      </c>
      <c r="F1000" s="5">
        <v>46161.48472222222</v>
      </c>
      <c r="G1000" s="5">
        <v>46160.452835648146</v>
      </c>
      <c r="H1000" s="3" t="s">
        <v>14</v>
      </c>
      <c r="I1000" s="7">
        <v>0.0</v>
      </c>
      <c r="J1000" s="3" t="s">
        <v>72</v>
      </c>
    </row>
    <row r="1001">
      <c r="A1001" s="3"/>
      <c r="B1001" s="3"/>
      <c r="C1001" s="3" t="s">
        <v>26</v>
      </c>
      <c r="D1001" s="4" t="s">
        <v>930</v>
      </c>
      <c r="E1001" s="3" t="s">
        <v>931</v>
      </c>
      <c r="F1001" s="5">
        <v>46161.52638888889</v>
      </c>
      <c r="G1001" s="5">
        <v>46161.46409722222</v>
      </c>
      <c r="H1001" s="3" t="s">
        <v>14</v>
      </c>
      <c r="I1001" s="7">
        <v>0.0</v>
      </c>
      <c r="J1001" s="3" t="s">
        <v>72</v>
      </c>
    </row>
    <row r="1002">
      <c r="A1002" s="3"/>
      <c r="B1002" s="3"/>
      <c r="C1002" s="3" t="s">
        <v>10</v>
      </c>
      <c r="D1002" s="4" t="s">
        <v>935</v>
      </c>
      <c r="E1002" s="3" t="s">
        <v>936</v>
      </c>
      <c r="F1002" s="5">
        <v>46158.77125</v>
      </c>
      <c r="G1002" s="5">
        <v>46158.61090277778</v>
      </c>
      <c r="H1002" s="3" t="s">
        <v>14</v>
      </c>
      <c r="I1002" s="3">
        <v>0.0</v>
      </c>
      <c r="J1002" s="3" t="s">
        <v>72</v>
      </c>
    </row>
    <row r="1003">
      <c r="A1003" s="3"/>
      <c r="B1003" s="3"/>
      <c r="C1003" s="3" t="s">
        <v>17</v>
      </c>
      <c r="D1003" s="4" t="s">
        <v>935</v>
      </c>
      <c r="E1003" s="3" t="s">
        <v>936</v>
      </c>
      <c r="F1003" s="5">
        <v>46158.77819444444</v>
      </c>
      <c r="G1003" s="5">
        <v>46158.61146990741</v>
      </c>
      <c r="H1003" s="3" t="s">
        <v>14</v>
      </c>
      <c r="I1003" s="7">
        <v>0.0</v>
      </c>
      <c r="J1003" s="3" t="s">
        <v>72</v>
      </c>
    </row>
    <row r="1004">
      <c r="A1004" s="3"/>
      <c r="B1004" s="3"/>
      <c r="C1004" s="3" t="s">
        <v>21</v>
      </c>
      <c r="D1004" s="4" t="s">
        <v>935</v>
      </c>
      <c r="E1004" s="3" t="s">
        <v>936</v>
      </c>
      <c r="F1004" s="5">
        <v>46160.48611111111</v>
      </c>
      <c r="G1004" s="5">
        <v>46158.671956018516</v>
      </c>
      <c r="H1004" s="3" t="s">
        <v>14</v>
      </c>
      <c r="I1004" s="7">
        <v>0.0</v>
      </c>
      <c r="J1004" s="3" t="s">
        <v>72</v>
      </c>
    </row>
    <row r="1005">
      <c r="A1005" s="3"/>
      <c r="B1005" s="3"/>
      <c r="C1005" s="3" t="s">
        <v>24</v>
      </c>
      <c r="D1005" s="4" t="s">
        <v>935</v>
      </c>
      <c r="E1005" s="3" t="s">
        <v>936</v>
      </c>
      <c r="F1005" s="5">
        <v>46161.48611111111</v>
      </c>
      <c r="G1005" s="5">
        <v>46160.452939814815</v>
      </c>
      <c r="H1005" s="3" t="s">
        <v>14</v>
      </c>
      <c r="I1005" s="7">
        <v>0.0</v>
      </c>
      <c r="J1005" s="3" t="s">
        <v>72</v>
      </c>
    </row>
    <row r="1006">
      <c r="A1006" s="3"/>
      <c r="B1006" s="3"/>
      <c r="C1006" s="3" t="s">
        <v>26</v>
      </c>
      <c r="D1006" s="4" t="s">
        <v>935</v>
      </c>
      <c r="E1006" s="3" t="s">
        <v>936</v>
      </c>
      <c r="F1006" s="5">
        <v>46161.52777777778</v>
      </c>
      <c r="G1006" s="5">
        <v>46161.4943287037</v>
      </c>
      <c r="H1006" s="3" t="s">
        <v>14</v>
      </c>
      <c r="I1006" s="7">
        <v>0.0</v>
      </c>
      <c r="J1006" s="3" t="s">
        <v>72</v>
      </c>
    </row>
    <row r="1007">
      <c r="A1007" s="3"/>
      <c r="B1007" s="3"/>
      <c r="C1007" s="3" t="s">
        <v>10</v>
      </c>
      <c r="D1007" s="4" t="s">
        <v>940</v>
      </c>
      <c r="E1007" s="3" t="s">
        <v>941</v>
      </c>
      <c r="F1007" s="5">
        <v>46158.772210648145</v>
      </c>
      <c r="G1007" s="5">
        <v>46158.61090277778</v>
      </c>
      <c r="H1007" s="3" t="s">
        <v>14</v>
      </c>
      <c r="I1007" s="3">
        <v>0.0</v>
      </c>
      <c r="J1007" s="3" t="s">
        <v>72</v>
      </c>
    </row>
    <row r="1008">
      <c r="A1008" s="3"/>
      <c r="B1008" s="3"/>
      <c r="C1008" s="3" t="s">
        <v>17</v>
      </c>
      <c r="D1008" s="4" t="s">
        <v>940</v>
      </c>
      <c r="E1008" s="3" t="s">
        <v>941</v>
      </c>
      <c r="F1008" s="5">
        <v>46158.77915509259</v>
      </c>
      <c r="G1008" s="5">
        <v>46158.61148148148</v>
      </c>
      <c r="H1008" s="3" t="s">
        <v>14</v>
      </c>
      <c r="I1008" s="7">
        <v>0.0</v>
      </c>
      <c r="J1008" s="3" t="s">
        <v>72</v>
      </c>
    </row>
    <row r="1009">
      <c r="A1009" s="3"/>
      <c r="B1009" s="3"/>
      <c r="C1009" s="3" t="s">
        <v>21</v>
      </c>
      <c r="D1009" s="4" t="s">
        <v>940</v>
      </c>
      <c r="E1009" s="3" t="s">
        <v>941</v>
      </c>
      <c r="F1009" s="5">
        <v>46160.486805555556</v>
      </c>
      <c r="G1009" s="5">
        <v>46158.67196759259</v>
      </c>
      <c r="H1009" s="3" t="s">
        <v>14</v>
      </c>
      <c r="I1009" s="7">
        <v>0.0</v>
      </c>
      <c r="J1009" s="3" t="s">
        <v>72</v>
      </c>
    </row>
    <row r="1010">
      <c r="A1010" s="3"/>
      <c r="B1010" s="3"/>
      <c r="C1010" s="3" t="s">
        <v>24</v>
      </c>
      <c r="D1010" s="4" t="s">
        <v>940</v>
      </c>
      <c r="E1010" s="3" t="s">
        <v>941</v>
      </c>
      <c r="F1010" s="5">
        <v>46161.486805555556</v>
      </c>
      <c r="G1010" s="5">
        <v>46160.45297453704</v>
      </c>
      <c r="H1010" s="3" t="s">
        <v>14</v>
      </c>
      <c r="I1010" s="7">
        <v>0.0</v>
      </c>
      <c r="J1010" s="3" t="s">
        <v>72</v>
      </c>
    </row>
    <row r="1011">
      <c r="A1011" s="3"/>
      <c r="B1011" s="3"/>
      <c r="C1011" s="3" t="s">
        <v>26</v>
      </c>
      <c r="D1011" s="4" t="s">
        <v>940</v>
      </c>
      <c r="E1011" s="3" t="s">
        <v>941</v>
      </c>
      <c r="F1011" s="5">
        <v>46161.52847222222</v>
      </c>
      <c r="G1011" s="5">
        <v>46161.464108796295</v>
      </c>
      <c r="H1011" s="3" t="s">
        <v>14</v>
      </c>
      <c r="I1011" s="7">
        <v>0.0</v>
      </c>
      <c r="J1011" s="3" t="s">
        <v>72</v>
      </c>
    </row>
    <row r="1012">
      <c r="A1012" s="3"/>
      <c r="B1012" s="3"/>
      <c r="C1012" s="3" t="s">
        <v>10</v>
      </c>
      <c r="D1012" s="4" t="s">
        <v>944</v>
      </c>
      <c r="E1012" s="3" t="s">
        <v>90</v>
      </c>
      <c r="F1012" s="5">
        <v>46160.71619212963</v>
      </c>
      <c r="G1012" s="5">
        <v>46160.622453703705</v>
      </c>
      <c r="H1012" s="3" t="s">
        <v>14</v>
      </c>
      <c r="I1012" s="3">
        <v>0.0</v>
      </c>
      <c r="J1012" s="3" t="s">
        <v>15</v>
      </c>
    </row>
    <row r="1013">
      <c r="A1013" s="3"/>
      <c r="B1013" s="3"/>
      <c r="C1013" s="3" t="s">
        <v>17</v>
      </c>
      <c r="D1013" s="4" t="s">
        <v>944</v>
      </c>
      <c r="E1013" s="3" t="s">
        <v>90</v>
      </c>
      <c r="F1013" s="5">
        <v>46160.72313657407</v>
      </c>
      <c r="G1013" s="5">
        <v>46160.622569444444</v>
      </c>
      <c r="H1013" s="3" t="s">
        <v>14</v>
      </c>
      <c r="I1013" s="7">
        <v>0.0</v>
      </c>
      <c r="J1013" s="3" t="s">
        <v>15</v>
      </c>
    </row>
    <row r="1014">
      <c r="A1014" s="3"/>
      <c r="B1014" s="3"/>
      <c r="C1014" s="3" t="s">
        <v>21</v>
      </c>
      <c r="D1014" s="4" t="s">
        <v>944</v>
      </c>
      <c r="E1014" s="3" t="s">
        <v>90</v>
      </c>
      <c r="F1014" s="5">
        <v>46160.82730324074</v>
      </c>
      <c r="G1014" s="5">
        <v>46160.62263888889</v>
      </c>
      <c r="H1014" s="3" t="s">
        <v>14</v>
      </c>
      <c r="I1014" s="7">
        <v>0.0</v>
      </c>
      <c r="J1014" s="3" t="s">
        <v>15</v>
      </c>
    </row>
    <row r="1015">
      <c r="A1015" s="3"/>
      <c r="B1015" s="3"/>
      <c r="C1015" s="3" t="s">
        <v>24</v>
      </c>
      <c r="D1015" s="4" t="s">
        <v>944</v>
      </c>
      <c r="E1015" s="3" t="s">
        <v>90</v>
      </c>
      <c r="F1015" s="5">
        <v>46161.82708333333</v>
      </c>
      <c r="G1015" s="5">
        <v>46160.62268518518</v>
      </c>
      <c r="H1015" s="3" t="s">
        <v>14</v>
      </c>
      <c r="I1015" s="7">
        <v>0.0</v>
      </c>
      <c r="J1015" s="3" t="s">
        <v>15</v>
      </c>
    </row>
    <row r="1016">
      <c r="A1016" s="3"/>
      <c r="B1016" s="3"/>
      <c r="C1016" s="3" t="s">
        <v>26</v>
      </c>
      <c r="D1016" s="4" t="s">
        <v>944</v>
      </c>
      <c r="E1016" s="3" t="s">
        <v>90</v>
      </c>
      <c r="F1016" s="5">
        <v>46162.45208333333</v>
      </c>
      <c r="G1016" s="5">
        <v>46160.62274305556</v>
      </c>
      <c r="H1016" s="3" t="s">
        <v>14</v>
      </c>
      <c r="I1016" s="7">
        <v>0.0</v>
      </c>
      <c r="J1016" s="3" t="s">
        <v>15</v>
      </c>
    </row>
    <row r="1017">
      <c r="A1017" s="3"/>
      <c r="B1017" s="3"/>
      <c r="C1017" s="3" t="s">
        <v>10</v>
      </c>
      <c r="D1017" s="4" t="s">
        <v>947</v>
      </c>
      <c r="E1017" s="3" t="s">
        <v>948</v>
      </c>
      <c r="F1017" s="5">
        <v>46161.48333333333</v>
      </c>
      <c r="G1017" s="5">
        <v>46160.736122685186</v>
      </c>
      <c r="H1017" s="3" t="s">
        <v>14</v>
      </c>
      <c r="I1017" s="3">
        <v>0.0</v>
      </c>
      <c r="J1017" s="3" t="s">
        <v>15</v>
      </c>
    </row>
    <row r="1018">
      <c r="A1018" s="3"/>
      <c r="B1018" s="3"/>
      <c r="C1018" s="3" t="s">
        <v>17</v>
      </c>
      <c r="D1018" s="4" t="s">
        <v>947</v>
      </c>
      <c r="E1018" s="3" t="s">
        <v>948</v>
      </c>
      <c r="F1018" s="5">
        <v>46161.490277777775</v>
      </c>
      <c r="G1018" s="5">
        <v>46160.736226851855</v>
      </c>
      <c r="H1018" s="3" t="s">
        <v>14</v>
      </c>
      <c r="I1018" s="7">
        <v>0.0</v>
      </c>
      <c r="J1018" s="3" t="s">
        <v>15</v>
      </c>
    </row>
    <row r="1019">
      <c r="A1019" s="3"/>
      <c r="B1019" s="3"/>
      <c r="C1019" s="3" t="s">
        <v>21</v>
      </c>
      <c r="D1019" s="4" t="s">
        <v>947</v>
      </c>
      <c r="E1019" s="3" t="s">
        <v>948</v>
      </c>
      <c r="F1019" s="5">
        <v>46161.59444444445</v>
      </c>
      <c r="G1019" s="5">
        <v>46160.737222222226</v>
      </c>
      <c r="H1019" s="3" t="s">
        <v>14</v>
      </c>
      <c r="I1019" s="7">
        <v>0.0</v>
      </c>
      <c r="J1019" s="3" t="s">
        <v>15</v>
      </c>
    </row>
    <row r="1020">
      <c r="A1020" s="3"/>
      <c r="B1020" s="3"/>
      <c r="C1020" s="3" t="s">
        <v>24</v>
      </c>
      <c r="D1020" s="4" t="s">
        <v>947</v>
      </c>
      <c r="E1020" s="3" t="s">
        <v>948</v>
      </c>
      <c r="F1020" s="5">
        <v>46162.59444444445</v>
      </c>
      <c r="G1020" s="5">
        <v>46160.816412037035</v>
      </c>
      <c r="H1020" s="3" t="s">
        <v>14</v>
      </c>
      <c r="I1020" s="7">
        <v>0.0</v>
      </c>
      <c r="J1020" s="3" t="s">
        <v>15</v>
      </c>
    </row>
    <row r="1021">
      <c r="A1021" s="3"/>
      <c r="B1021" s="3"/>
      <c r="C1021" s="3" t="s">
        <v>26</v>
      </c>
      <c r="D1021" s="4" t="s">
        <v>947</v>
      </c>
      <c r="E1021" s="3" t="s">
        <v>948</v>
      </c>
      <c r="F1021" s="5">
        <v>46162.63611111111</v>
      </c>
      <c r="G1021" s="5">
        <v>46161.49402777778</v>
      </c>
      <c r="H1021" s="3" t="s">
        <v>14</v>
      </c>
      <c r="I1021" s="7">
        <v>0.0</v>
      </c>
      <c r="J1021" s="3" t="s">
        <v>15</v>
      </c>
    </row>
    <row r="1022">
      <c r="A1022" s="3"/>
      <c r="B1022" s="3"/>
      <c r="C1022" s="3" t="s">
        <v>10</v>
      </c>
      <c r="D1022" s="4" t="s">
        <v>950</v>
      </c>
      <c r="E1022" s="3" t="s">
        <v>951</v>
      </c>
      <c r="F1022" s="5">
        <v>46161.48402777778</v>
      </c>
      <c r="G1022" s="5">
        <v>46160.73701388889</v>
      </c>
      <c r="H1022" s="3" t="s">
        <v>14</v>
      </c>
      <c r="I1022" s="3">
        <v>0.0</v>
      </c>
      <c r="J1022" s="3" t="s">
        <v>15</v>
      </c>
    </row>
    <row r="1023">
      <c r="A1023" s="3"/>
      <c r="B1023" s="3"/>
      <c r="C1023" s="3" t="s">
        <v>17</v>
      </c>
      <c r="D1023" s="4" t="s">
        <v>950</v>
      </c>
      <c r="E1023" s="3" t="s">
        <v>951</v>
      </c>
      <c r="F1023" s="5">
        <v>46161.49097222222</v>
      </c>
      <c r="G1023" s="5">
        <v>46160.73709490741</v>
      </c>
      <c r="H1023" s="3" t="s">
        <v>14</v>
      </c>
      <c r="I1023" s="7">
        <v>0.0</v>
      </c>
      <c r="J1023" s="3" t="s">
        <v>15</v>
      </c>
    </row>
    <row r="1024">
      <c r="A1024" s="3"/>
      <c r="B1024" s="3"/>
      <c r="C1024" s="3" t="s">
        <v>21</v>
      </c>
      <c r="D1024" s="4" t="s">
        <v>950</v>
      </c>
      <c r="E1024" s="3" t="s">
        <v>951</v>
      </c>
      <c r="F1024" s="5">
        <v>46161.595138888886</v>
      </c>
      <c r="G1024" s="5">
        <v>46160.73724537037</v>
      </c>
      <c r="H1024" s="3" t="s">
        <v>14</v>
      </c>
      <c r="I1024" s="7">
        <v>0.0</v>
      </c>
      <c r="J1024" s="3" t="s">
        <v>15</v>
      </c>
    </row>
    <row r="1025">
      <c r="A1025" s="3"/>
      <c r="B1025" s="3"/>
      <c r="C1025" s="3" t="s">
        <v>24</v>
      </c>
      <c r="D1025" s="4" t="s">
        <v>950</v>
      </c>
      <c r="E1025" s="3" t="s">
        <v>951</v>
      </c>
      <c r="F1025" s="5">
        <v>46162.595138888886</v>
      </c>
      <c r="G1025" s="5">
        <v>46160.75261574074</v>
      </c>
      <c r="H1025" s="3" t="s">
        <v>14</v>
      </c>
      <c r="I1025" s="7">
        <v>0.0</v>
      </c>
      <c r="J1025" s="3" t="s">
        <v>15</v>
      </c>
    </row>
    <row r="1026">
      <c r="A1026" s="3"/>
      <c r="B1026" s="3"/>
      <c r="C1026" s="3" t="s">
        <v>26</v>
      </c>
      <c r="D1026" s="4" t="s">
        <v>950</v>
      </c>
      <c r="E1026" s="3" t="s">
        <v>951</v>
      </c>
      <c r="F1026" s="5">
        <v>46162.63680555556</v>
      </c>
      <c r="G1026" s="5">
        <v>46160.81655092593</v>
      </c>
      <c r="H1026" s="3" t="s">
        <v>14</v>
      </c>
      <c r="I1026" s="7">
        <v>0.0</v>
      </c>
      <c r="J1026" s="3" t="s">
        <v>15</v>
      </c>
    </row>
    <row r="1027">
      <c r="A1027" s="3"/>
      <c r="B1027" s="3"/>
      <c r="C1027" s="3" t="s">
        <v>10</v>
      </c>
      <c r="D1027" s="4" t="s">
        <v>954</v>
      </c>
      <c r="E1027" s="3" t="s">
        <v>955</v>
      </c>
      <c r="F1027" s="5">
        <v>46161.50069444445</v>
      </c>
      <c r="G1027" s="5">
        <v>46160.752488425926</v>
      </c>
      <c r="H1027" s="3" t="s">
        <v>14</v>
      </c>
      <c r="I1027" s="3">
        <v>0.0</v>
      </c>
      <c r="J1027" s="3" t="s">
        <v>15</v>
      </c>
    </row>
    <row r="1028">
      <c r="A1028" s="3"/>
      <c r="B1028" s="3"/>
      <c r="C1028" s="3" t="s">
        <v>17</v>
      </c>
      <c r="D1028" s="4" t="s">
        <v>954</v>
      </c>
      <c r="E1028" s="3" t="s">
        <v>955</v>
      </c>
      <c r="F1028" s="5">
        <v>46161.50763888889</v>
      </c>
      <c r="G1028" s="5">
        <v>46160.75224537037</v>
      </c>
      <c r="H1028" s="3" t="s">
        <v>14</v>
      </c>
      <c r="I1028" s="7">
        <v>0.0</v>
      </c>
      <c r="J1028" s="3" t="s">
        <v>15</v>
      </c>
    </row>
    <row r="1029">
      <c r="A1029" s="3"/>
      <c r="B1029" s="3"/>
      <c r="C1029" s="3" t="s">
        <v>21</v>
      </c>
      <c r="D1029" s="4" t="s">
        <v>954</v>
      </c>
      <c r="E1029" s="3" t="s">
        <v>955</v>
      </c>
      <c r="F1029" s="5">
        <v>46161.611805555556</v>
      </c>
      <c r="G1029" s="5">
        <v>46160.75221064815</v>
      </c>
      <c r="H1029" s="3" t="s">
        <v>14</v>
      </c>
      <c r="I1029" s="7">
        <v>0.0</v>
      </c>
      <c r="J1029" s="3" t="s">
        <v>15</v>
      </c>
    </row>
    <row r="1030">
      <c r="A1030" s="3"/>
      <c r="B1030" s="3"/>
      <c r="C1030" s="3" t="s">
        <v>24</v>
      </c>
      <c r="D1030" s="4" t="s">
        <v>954</v>
      </c>
      <c r="E1030" s="3" t="s">
        <v>955</v>
      </c>
      <c r="F1030" s="5">
        <v>46162.611805555556</v>
      </c>
      <c r="G1030" s="5">
        <v>46160.81649305556</v>
      </c>
      <c r="H1030" s="3" t="s">
        <v>14</v>
      </c>
      <c r="I1030" s="7">
        <v>0.0</v>
      </c>
      <c r="J1030" s="3" t="s">
        <v>15</v>
      </c>
    </row>
    <row r="1031">
      <c r="A1031" s="3"/>
      <c r="B1031" s="3"/>
      <c r="C1031" s="3" t="s">
        <v>26</v>
      </c>
      <c r="D1031" s="4" t="s">
        <v>954</v>
      </c>
      <c r="E1031" s="3" t="s">
        <v>955</v>
      </c>
      <c r="F1031" s="5">
        <v>46162.65347222222</v>
      </c>
      <c r="G1031" s="5">
        <v>46161.49443287037</v>
      </c>
      <c r="H1031" s="3" t="s">
        <v>14</v>
      </c>
      <c r="I1031" s="7">
        <v>0.0</v>
      </c>
      <c r="J1031" s="3" t="s">
        <v>15</v>
      </c>
    </row>
    <row r="1032">
      <c r="A1032" s="3"/>
      <c r="B1032" s="3"/>
      <c r="C1032" s="3" t="s">
        <v>10</v>
      </c>
      <c r="D1032" s="4" t="s">
        <v>957</v>
      </c>
      <c r="E1032" s="3" t="s">
        <v>913</v>
      </c>
      <c r="F1032" s="5">
        <v>46161.630960648145</v>
      </c>
      <c r="G1032" s="5">
        <v>46161.49453703704</v>
      </c>
      <c r="H1032" s="3" t="s">
        <v>14</v>
      </c>
      <c r="I1032" s="3">
        <v>0.0</v>
      </c>
      <c r="J1032" s="3" t="s">
        <v>48</v>
      </c>
    </row>
    <row r="1033">
      <c r="A1033" s="3"/>
      <c r="B1033" s="3"/>
      <c r="C1033" s="3" t="s">
        <v>17</v>
      </c>
      <c r="D1033" s="4" t="s">
        <v>957</v>
      </c>
      <c r="E1033" s="3" t="s">
        <v>913</v>
      </c>
      <c r="F1033" s="5">
        <v>46161.63790509259</v>
      </c>
      <c r="G1033" s="5">
        <v>46161.494618055556</v>
      </c>
      <c r="H1033" s="3" t="s">
        <v>14</v>
      </c>
      <c r="I1033" s="7">
        <v>0.0</v>
      </c>
      <c r="J1033" s="3" t="s">
        <v>48</v>
      </c>
    </row>
    <row r="1034">
      <c r="A1034" s="3"/>
      <c r="B1034" s="3"/>
      <c r="C1034" s="3" t="s">
        <v>21</v>
      </c>
      <c r="D1034" s="4" t="s">
        <v>957</v>
      </c>
      <c r="E1034" s="3" t="s">
        <v>913</v>
      </c>
      <c r="F1034" s="5">
        <v>46161.74207175926</v>
      </c>
      <c r="G1034" s="5">
        <v>46161.52135416667</v>
      </c>
      <c r="H1034" s="3" t="s">
        <v>14</v>
      </c>
      <c r="I1034" s="7">
        <v>0.0</v>
      </c>
      <c r="J1034" s="3" t="s">
        <v>48</v>
      </c>
    </row>
    <row r="1035">
      <c r="A1035" s="3"/>
      <c r="B1035" s="3"/>
      <c r="C1035" s="3" t="s">
        <v>24</v>
      </c>
      <c r="D1035" s="4" t="s">
        <v>957</v>
      </c>
      <c r="E1035" s="3" t="s">
        <v>913</v>
      </c>
      <c r="F1035" s="5">
        <v>46162.74166666667</v>
      </c>
      <c r="G1035" s="5">
        <v>46162.6534837963</v>
      </c>
      <c r="H1035" s="3" t="s">
        <v>14</v>
      </c>
      <c r="I1035" s="7">
        <v>0.0</v>
      </c>
      <c r="J1035" s="3" t="s">
        <v>48</v>
      </c>
    </row>
    <row r="1036">
      <c r="A1036" s="3"/>
      <c r="B1036" s="3"/>
      <c r="C1036" s="3" t="s">
        <v>26</v>
      </c>
      <c r="D1036" s="4" t="s">
        <v>957</v>
      </c>
      <c r="E1036" s="3" t="s">
        <v>913</v>
      </c>
      <c r="F1036" s="5">
        <v>46162.78333333333</v>
      </c>
      <c r="G1036" s="5">
        <v>46162.65350694444</v>
      </c>
      <c r="H1036" s="3" t="s">
        <v>14</v>
      </c>
      <c r="I1036" s="7">
        <v>0.0</v>
      </c>
      <c r="J1036" s="3" t="s">
        <v>48</v>
      </c>
    </row>
    <row r="1037">
      <c r="A1037" s="3"/>
      <c r="B1037" s="3"/>
      <c r="C1037" s="3" t="s">
        <v>10</v>
      </c>
      <c r="D1037" s="4" t="s">
        <v>958</v>
      </c>
      <c r="E1037" s="3" t="s">
        <v>166</v>
      </c>
      <c r="F1037" s="5">
        <v>46161.685277777775</v>
      </c>
      <c r="G1037" s="5">
        <v>46161.51909722222</v>
      </c>
      <c r="H1037" s="3" t="s">
        <v>14</v>
      </c>
      <c r="I1037" s="3">
        <v>0.0</v>
      </c>
      <c r="J1037" s="3" t="s">
        <v>15</v>
      </c>
    </row>
    <row r="1038">
      <c r="A1038" s="3"/>
      <c r="B1038" s="3"/>
      <c r="C1038" s="3" t="s">
        <v>17</v>
      </c>
      <c r="D1038" s="4" t="s">
        <v>958</v>
      </c>
      <c r="E1038" s="3" t="s">
        <v>166</v>
      </c>
      <c r="F1038" s="5">
        <v>46161.69222222222</v>
      </c>
      <c r="G1038" s="5">
        <v>46161.519155092596</v>
      </c>
      <c r="H1038" s="3" t="s">
        <v>14</v>
      </c>
      <c r="I1038" s="7">
        <v>0.0</v>
      </c>
      <c r="J1038" s="3" t="s">
        <v>15</v>
      </c>
    </row>
    <row r="1039">
      <c r="A1039" s="3"/>
      <c r="B1039" s="3"/>
      <c r="C1039" s="3" t="s">
        <v>21</v>
      </c>
      <c r="D1039" s="4" t="s">
        <v>958</v>
      </c>
      <c r="E1039" s="3" t="s">
        <v>166</v>
      </c>
      <c r="F1039" s="5">
        <v>46161.79638888889</v>
      </c>
      <c r="G1039" s="5">
        <v>46161.51924768519</v>
      </c>
      <c r="H1039" s="3" t="s">
        <v>14</v>
      </c>
      <c r="I1039" s="7">
        <v>0.0</v>
      </c>
      <c r="J1039" s="3" t="s">
        <v>15</v>
      </c>
    </row>
    <row r="1040">
      <c r="A1040" s="3"/>
      <c r="B1040" s="3"/>
      <c r="C1040" s="3" t="s">
        <v>24</v>
      </c>
      <c r="D1040" s="4" t="s">
        <v>958</v>
      </c>
      <c r="E1040" s="3" t="s">
        <v>166</v>
      </c>
      <c r="F1040" s="5">
        <v>46162.79583333333</v>
      </c>
      <c r="G1040" s="5">
        <v>46161.703738425924</v>
      </c>
      <c r="H1040" s="3" t="s">
        <v>14</v>
      </c>
      <c r="I1040" s="7">
        <v>0.0</v>
      </c>
      <c r="J1040" s="3" t="s">
        <v>15</v>
      </c>
    </row>
    <row r="1041">
      <c r="A1041" s="3"/>
      <c r="B1041" s="3"/>
      <c r="C1041" s="3" t="s">
        <v>26</v>
      </c>
      <c r="D1041" s="4" t="s">
        <v>958</v>
      </c>
      <c r="E1041" s="3" t="s">
        <v>166</v>
      </c>
      <c r="F1041" s="5">
        <v>46163.42083333333</v>
      </c>
      <c r="G1041" s="5">
        <v>46161.704664351855</v>
      </c>
      <c r="H1041" s="3" t="s">
        <v>14</v>
      </c>
      <c r="I1041" s="7">
        <v>0.0</v>
      </c>
      <c r="J1041" s="3" t="s">
        <v>15</v>
      </c>
    </row>
    <row r="1042">
      <c r="A1042" s="3"/>
      <c r="B1042" s="3"/>
      <c r="C1042" s="3" t="s">
        <v>10</v>
      </c>
      <c r="D1042" s="4" t="s">
        <v>962</v>
      </c>
      <c r="E1042" s="3" t="s">
        <v>963</v>
      </c>
      <c r="F1042" s="5">
        <v>46161.700787037036</v>
      </c>
      <c r="G1042" s="5">
        <v>46161.61565972222</v>
      </c>
      <c r="H1042" s="3" t="s">
        <v>14</v>
      </c>
      <c r="I1042" s="3">
        <v>0.0</v>
      </c>
      <c r="J1042" s="3" t="s">
        <v>15</v>
      </c>
    </row>
    <row r="1043">
      <c r="A1043" s="3"/>
      <c r="B1043" s="3"/>
      <c r="C1043" s="3" t="s">
        <v>17</v>
      </c>
      <c r="D1043" s="4" t="s">
        <v>962</v>
      </c>
      <c r="E1043" s="3" t="s">
        <v>963</v>
      </c>
      <c r="F1043" s="5">
        <v>46161.70773148148</v>
      </c>
      <c r="G1043" s="5">
        <v>46161.61574074074</v>
      </c>
      <c r="H1043" s="3" t="s">
        <v>14</v>
      </c>
      <c r="I1043" s="7">
        <v>0.0</v>
      </c>
      <c r="J1043" s="3" t="s">
        <v>15</v>
      </c>
    </row>
    <row r="1044">
      <c r="A1044" s="3"/>
      <c r="B1044" s="3"/>
      <c r="C1044" s="3" t="s">
        <v>21</v>
      </c>
      <c r="D1044" s="4" t="s">
        <v>962</v>
      </c>
      <c r="E1044" s="3" t="s">
        <v>963</v>
      </c>
      <c r="F1044" s="5">
        <v>46161.811898148146</v>
      </c>
      <c r="G1044" s="5">
        <v>46161.61581018518</v>
      </c>
      <c r="H1044" s="3" t="s">
        <v>14</v>
      </c>
      <c r="I1044" s="7">
        <v>0.0</v>
      </c>
      <c r="J1044" s="3" t="s">
        <v>15</v>
      </c>
    </row>
    <row r="1045">
      <c r="A1045" s="3"/>
      <c r="B1045" s="3"/>
      <c r="C1045" s="3" t="s">
        <v>24</v>
      </c>
      <c r="D1045" s="4" t="s">
        <v>962</v>
      </c>
      <c r="E1045" s="3" t="s">
        <v>963</v>
      </c>
      <c r="F1045" s="5">
        <v>46162.81180555555</v>
      </c>
      <c r="G1045" s="5">
        <v>46162.65353009259</v>
      </c>
      <c r="H1045" s="3" t="s">
        <v>14</v>
      </c>
      <c r="I1045" s="7">
        <v>0.0</v>
      </c>
      <c r="J1045" s="3" t="s">
        <v>15</v>
      </c>
    </row>
    <row r="1046">
      <c r="A1046" s="3"/>
      <c r="B1046" s="3"/>
      <c r="C1046" s="3" t="s">
        <v>26</v>
      </c>
      <c r="D1046" s="4" t="s">
        <v>962</v>
      </c>
      <c r="E1046" s="3" t="s">
        <v>963</v>
      </c>
      <c r="F1046" s="5">
        <v>46163.43680555555</v>
      </c>
      <c r="G1046" s="5">
        <v>46163.43162037037</v>
      </c>
      <c r="H1046" s="3" t="s">
        <v>14</v>
      </c>
      <c r="I1046" s="7">
        <v>0.0</v>
      </c>
      <c r="J1046" s="3" t="s">
        <v>15</v>
      </c>
    </row>
    <row r="1047">
      <c r="A1047" s="3"/>
      <c r="B1047" s="3"/>
      <c r="C1047" s="3" t="s">
        <v>10</v>
      </c>
      <c r="D1047" s="4" t="s">
        <v>966</v>
      </c>
      <c r="E1047" s="3" t="s">
        <v>761</v>
      </c>
      <c r="F1047" s="5">
        <v>46161.81045138889</v>
      </c>
      <c r="G1047" s="5">
        <v>46161.70340277778</v>
      </c>
      <c r="H1047" s="3" t="s">
        <v>14</v>
      </c>
      <c r="I1047" s="3">
        <v>0.0</v>
      </c>
      <c r="J1047" s="3" t="s">
        <v>15</v>
      </c>
    </row>
    <row r="1048">
      <c r="A1048" s="3"/>
      <c r="B1048" s="3"/>
      <c r="C1048" s="3" t="s">
        <v>17</v>
      </c>
      <c r="D1048" s="4" t="s">
        <v>966</v>
      </c>
      <c r="E1048" s="3" t="s">
        <v>761</v>
      </c>
      <c r="F1048" s="5">
        <v>46161.817395833335</v>
      </c>
      <c r="G1048" s="5">
        <v>46161.70348379629</v>
      </c>
      <c r="H1048" s="3" t="s">
        <v>14</v>
      </c>
      <c r="I1048" s="7">
        <v>0.0</v>
      </c>
      <c r="J1048" s="3" t="s">
        <v>15</v>
      </c>
    </row>
    <row r="1049">
      <c r="A1049" s="3"/>
      <c r="B1049" s="3"/>
      <c r="C1049" s="3" t="s">
        <v>21</v>
      </c>
      <c r="D1049" s="4" t="s">
        <v>966</v>
      </c>
      <c r="E1049" s="3" t="s">
        <v>761</v>
      </c>
      <c r="F1049" s="5">
        <v>46162.52569444444</v>
      </c>
      <c r="G1049" s="5">
        <v>46161.70355324074</v>
      </c>
      <c r="H1049" s="3" t="s">
        <v>14</v>
      </c>
      <c r="I1049" s="7">
        <v>0.0</v>
      </c>
      <c r="J1049" s="3" t="s">
        <v>15</v>
      </c>
    </row>
    <row r="1050">
      <c r="A1050" s="3"/>
      <c r="B1050" s="3"/>
      <c r="C1050" s="3" t="s">
        <v>24</v>
      </c>
      <c r="D1050" s="4" t="s">
        <v>966</v>
      </c>
      <c r="E1050" s="3" t="s">
        <v>761</v>
      </c>
      <c r="F1050" s="5">
        <v>46163.52569444444</v>
      </c>
      <c r="G1050" s="5">
        <v>46161.703784722224</v>
      </c>
      <c r="H1050" s="3" t="s">
        <v>14</v>
      </c>
      <c r="I1050" s="7">
        <v>0.0</v>
      </c>
      <c r="J1050" s="3" t="s">
        <v>15</v>
      </c>
    </row>
    <row r="1051">
      <c r="A1051" s="3"/>
      <c r="B1051" s="3"/>
      <c r="C1051" s="3" t="s">
        <v>26</v>
      </c>
      <c r="D1051" s="4" t="s">
        <v>966</v>
      </c>
      <c r="E1051" s="3" t="s">
        <v>761</v>
      </c>
      <c r="F1051" s="5">
        <v>46163.56736111111</v>
      </c>
      <c r="G1051" s="5">
        <v>46161.7046875</v>
      </c>
      <c r="H1051" s="3" t="s">
        <v>14</v>
      </c>
      <c r="I1051" s="7">
        <v>0.0</v>
      </c>
      <c r="J1051" s="3" t="s">
        <v>15</v>
      </c>
    </row>
    <row r="1052">
      <c r="A1052" s="3"/>
      <c r="B1052" s="3"/>
      <c r="C1052" s="3" t="s">
        <v>10</v>
      </c>
      <c r="D1052" s="4" t="s">
        <v>969</v>
      </c>
      <c r="E1052" s="3" t="s">
        <v>970</v>
      </c>
      <c r="F1052" s="5">
        <v>46162.493055555555</v>
      </c>
      <c r="G1052" s="5">
        <v>46162.478171296294</v>
      </c>
      <c r="H1052" s="3" t="s">
        <v>14</v>
      </c>
      <c r="I1052" s="3">
        <v>0.0</v>
      </c>
      <c r="J1052" s="3" t="s">
        <v>15</v>
      </c>
    </row>
    <row r="1053">
      <c r="A1053" s="3"/>
      <c r="B1053" s="3"/>
      <c r="C1053" s="3" t="s">
        <v>17</v>
      </c>
      <c r="D1053" s="4" t="s">
        <v>969</v>
      </c>
      <c r="E1053" s="3" t="s">
        <v>970</v>
      </c>
      <c r="F1053" s="5">
        <v>46162.5</v>
      </c>
      <c r="G1053" s="5">
        <v>46162.478217592594</v>
      </c>
      <c r="H1053" s="3" t="s">
        <v>14</v>
      </c>
      <c r="I1053" s="7">
        <v>0.0</v>
      </c>
      <c r="J1053" s="3" t="s">
        <v>15</v>
      </c>
    </row>
    <row r="1054">
      <c r="A1054" s="3"/>
      <c r="B1054" s="3"/>
      <c r="C1054" s="3" t="s">
        <v>21</v>
      </c>
      <c r="D1054" s="4" t="s">
        <v>969</v>
      </c>
      <c r="E1054" s="3" t="s">
        <v>970</v>
      </c>
      <c r="F1054" s="5">
        <v>46162.604166666664</v>
      </c>
      <c r="G1054" s="5">
        <v>46162.47828703704</v>
      </c>
      <c r="H1054" s="3" t="s">
        <v>14</v>
      </c>
      <c r="I1054" s="7">
        <v>0.0</v>
      </c>
      <c r="J1054" s="3" t="s">
        <v>15</v>
      </c>
    </row>
    <row r="1055">
      <c r="A1055" s="3"/>
      <c r="B1055" s="3"/>
      <c r="C1055" s="3" t="s">
        <v>24</v>
      </c>
      <c r="D1055" s="4" t="s">
        <v>969</v>
      </c>
      <c r="E1055" s="3" t="s">
        <v>970</v>
      </c>
      <c r="F1055" s="5">
        <v>46163.604166666664</v>
      </c>
      <c r="G1055" s="5">
        <v>46162.66981481481</v>
      </c>
      <c r="H1055" s="3" t="s">
        <v>14</v>
      </c>
      <c r="I1055" s="7">
        <v>0.0</v>
      </c>
      <c r="J1055" s="3" t="s">
        <v>15</v>
      </c>
    </row>
    <row r="1056">
      <c r="A1056" s="3"/>
      <c r="B1056" s="3"/>
      <c r="C1056" s="3" t="s">
        <v>26</v>
      </c>
      <c r="D1056" s="4" t="s">
        <v>969</v>
      </c>
      <c r="E1056" s="3" t="s">
        <v>970</v>
      </c>
      <c r="F1056" s="5">
        <v>46163.645833333336</v>
      </c>
      <c r="G1056" s="5">
        <v>46162.66983796296</v>
      </c>
      <c r="H1056" s="3" t="s">
        <v>14</v>
      </c>
      <c r="I1056" s="7">
        <v>0.0</v>
      </c>
      <c r="J1056" s="3" t="s">
        <v>15</v>
      </c>
    </row>
    <row r="1057">
      <c r="A1057" s="3"/>
      <c r="B1057" s="3"/>
      <c r="C1057" s="3" t="s">
        <v>10</v>
      </c>
      <c r="D1057" s="4" t="s">
        <v>972</v>
      </c>
      <c r="E1057" s="3" t="s">
        <v>727</v>
      </c>
      <c r="F1057" s="5">
        <v>46163.46319444444</v>
      </c>
      <c r="G1057" s="5">
        <v>46163.43177083333</v>
      </c>
      <c r="H1057" s="3" t="s">
        <v>14</v>
      </c>
      <c r="I1057" s="3">
        <v>0.0</v>
      </c>
      <c r="J1057" s="3" t="s">
        <v>72</v>
      </c>
    </row>
    <row r="1058">
      <c r="A1058" s="3"/>
      <c r="B1058" s="3"/>
      <c r="C1058" s="3" t="s">
        <v>17</v>
      </c>
      <c r="D1058" s="4" t="s">
        <v>972</v>
      </c>
      <c r="E1058" s="3" t="s">
        <v>727</v>
      </c>
      <c r="F1058" s="5">
        <v>46163.470138888886</v>
      </c>
      <c r="G1058" s="5">
        <v>46163.43193287037</v>
      </c>
      <c r="H1058" s="3" t="s">
        <v>14</v>
      </c>
      <c r="I1058" s="7">
        <v>0.0</v>
      </c>
      <c r="J1058" s="3" t="s">
        <v>72</v>
      </c>
    </row>
    <row r="1059">
      <c r="A1059" s="3"/>
      <c r="B1059" s="3"/>
      <c r="C1059" s="3" t="s">
        <v>21</v>
      </c>
      <c r="D1059" s="4" t="s">
        <v>972</v>
      </c>
      <c r="E1059" s="3" t="s">
        <v>727</v>
      </c>
      <c r="F1059" s="5">
        <v>46163.57430555556</v>
      </c>
      <c r="G1059" s="5">
        <v>46163.431979166664</v>
      </c>
      <c r="H1059" s="3" t="s">
        <v>14</v>
      </c>
      <c r="I1059" s="7">
        <v>0.0</v>
      </c>
      <c r="J1059" s="3" t="s">
        <v>72</v>
      </c>
    </row>
    <row r="1060">
      <c r="A1060" s="3"/>
      <c r="B1060" s="3"/>
      <c r="C1060" s="3" t="s">
        <v>24</v>
      </c>
      <c r="D1060" s="4" t="s">
        <v>972</v>
      </c>
      <c r="E1060" s="3" t="s">
        <v>727</v>
      </c>
      <c r="F1060" s="5">
        <v>46164.57430555556</v>
      </c>
      <c r="G1060" s="5">
        <v>46163.701840277776</v>
      </c>
      <c r="H1060" s="3" t="s">
        <v>14</v>
      </c>
      <c r="I1060" s="7">
        <v>0.0</v>
      </c>
      <c r="J1060" s="3" t="s">
        <v>72</v>
      </c>
    </row>
    <row r="1061">
      <c r="A1061" s="3"/>
      <c r="B1061" s="3"/>
      <c r="C1061" s="3" t="s">
        <v>26</v>
      </c>
      <c r="D1061" s="4" t="s">
        <v>972</v>
      </c>
      <c r="E1061" s="3" t="s">
        <v>727</v>
      </c>
      <c r="F1061" s="5">
        <v>46164.61597222222</v>
      </c>
      <c r="G1061" s="5">
        <v>46163.701886574076</v>
      </c>
      <c r="H1061" s="3" t="s">
        <v>14</v>
      </c>
      <c r="I1061" s="7">
        <v>0.0</v>
      </c>
      <c r="J1061" s="3" t="s">
        <v>72</v>
      </c>
    </row>
    <row r="1062">
      <c r="A1062" s="3"/>
      <c r="B1062" s="3"/>
      <c r="C1062" s="3" t="s">
        <v>10</v>
      </c>
      <c r="D1062" s="4" t="s">
        <v>976</v>
      </c>
      <c r="E1062" s="3" t="s">
        <v>977</v>
      </c>
      <c r="F1062" s="5">
        <v>46163.62847222222</v>
      </c>
      <c r="G1062" s="5">
        <v>46163.52292824074</v>
      </c>
      <c r="H1062" s="3" t="s">
        <v>14</v>
      </c>
      <c r="I1062" s="3">
        <v>0.0</v>
      </c>
      <c r="J1062" s="3" t="s">
        <v>48</v>
      </c>
    </row>
    <row r="1063">
      <c r="A1063" s="3"/>
      <c r="B1063" s="3"/>
      <c r="C1063" s="3" t="s">
        <v>17</v>
      </c>
      <c r="D1063" s="4" t="s">
        <v>976</v>
      </c>
      <c r="E1063" s="3" t="s">
        <v>977</v>
      </c>
      <c r="F1063" s="5">
        <v>46163.635416666664</v>
      </c>
      <c r="G1063" s="5">
        <v>46163.523148148146</v>
      </c>
      <c r="H1063" s="3" t="s">
        <v>14</v>
      </c>
      <c r="I1063" s="7">
        <v>0.0</v>
      </c>
      <c r="J1063" s="3" t="s">
        <v>48</v>
      </c>
    </row>
    <row r="1064">
      <c r="A1064" s="3"/>
      <c r="B1064" s="3"/>
      <c r="C1064" s="3" t="s">
        <v>21</v>
      </c>
      <c r="D1064" s="4" t="s">
        <v>976</v>
      </c>
      <c r="E1064" s="3" t="s">
        <v>977</v>
      </c>
      <c r="F1064" s="5">
        <v>46163.739583333336</v>
      </c>
      <c r="G1064" s="5">
        <v>46163.52333333333</v>
      </c>
      <c r="H1064" s="3" t="s">
        <v>14</v>
      </c>
      <c r="I1064" s="7">
        <v>0.0</v>
      </c>
      <c r="J1064" s="3" t="s">
        <v>48</v>
      </c>
    </row>
    <row r="1065">
      <c r="A1065" s="3"/>
      <c r="B1065" s="3"/>
      <c r="C1065" s="3" t="s">
        <v>24</v>
      </c>
      <c r="D1065" s="4" t="s">
        <v>976</v>
      </c>
      <c r="E1065" s="3" t="s">
        <v>977</v>
      </c>
      <c r="F1065" s="5">
        <v>46164.739583333336</v>
      </c>
      <c r="G1065" s="5">
        <v>46164.48861111111</v>
      </c>
      <c r="H1065" s="3" t="s">
        <v>14</v>
      </c>
      <c r="I1065" s="7">
        <v>0.0</v>
      </c>
      <c r="J1065" s="3" t="s">
        <v>48</v>
      </c>
    </row>
    <row r="1066">
      <c r="A1066" s="3"/>
      <c r="B1066" s="3"/>
      <c r="C1066" s="3" t="s">
        <v>26</v>
      </c>
      <c r="D1066" s="4" t="s">
        <v>976</v>
      </c>
      <c r="E1066" s="3" t="s">
        <v>977</v>
      </c>
      <c r="F1066" s="5">
        <v>46164.78125</v>
      </c>
      <c r="G1066" s="5">
        <v>46164.488657407404</v>
      </c>
      <c r="H1066" s="3" t="s">
        <v>14</v>
      </c>
      <c r="I1066" s="7">
        <v>0.0</v>
      </c>
      <c r="J1066" s="3" t="s">
        <v>48</v>
      </c>
    </row>
    <row r="1067">
      <c r="A1067" s="3"/>
      <c r="B1067" s="3"/>
      <c r="C1067" s="3" t="s">
        <v>10</v>
      </c>
      <c r="D1067" s="4" t="s">
        <v>980</v>
      </c>
      <c r="E1067" s="3" t="s">
        <v>142</v>
      </c>
      <c r="F1067" s="5">
        <v>46163.693773148145</v>
      </c>
      <c r="G1067" s="5">
        <v>46163.55700231482</v>
      </c>
      <c r="H1067" s="3" t="s">
        <v>14</v>
      </c>
      <c r="I1067" s="3">
        <v>0.0</v>
      </c>
      <c r="J1067" s="3" t="s">
        <v>15</v>
      </c>
    </row>
    <row r="1068">
      <c r="A1068" s="3"/>
      <c r="B1068" s="3"/>
      <c r="C1068" s="3" t="s">
        <v>17</v>
      </c>
      <c r="D1068" s="4" t="s">
        <v>980</v>
      </c>
      <c r="E1068" s="3" t="s">
        <v>142</v>
      </c>
      <c r="F1068" s="5">
        <v>46163.70071759259</v>
      </c>
      <c r="G1068" s="5">
        <v>46163.5571412037</v>
      </c>
      <c r="H1068" s="3" t="s">
        <v>14</v>
      </c>
      <c r="I1068" s="7">
        <v>0.0</v>
      </c>
      <c r="J1068" s="3" t="s">
        <v>15</v>
      </c>
    </row>
    <row r="1069">
      <c r="A1069" s="3"/>
      <c r="B1069" s="3"/>
      <c r="C1069" s="3" t="s">
        <v>21</v>
      </c>
      <c r="D1069" s="4" t="s">
        <v>980</v>
      </c>
      <c r="E1069" s="3" t="s">
        <v>142</v>
      </c>
      <c r="F1069" s="5">
        <v>46163.80488425926</v>
      </c>
      <c r="G1069" s="5">
        <v>46163.557546296295</v>
      </c>
      <c r="H1069" s="3" t="s">
        <v>14</v>
      </c>
      <c r="I1069" s="7">
        <v>0.0</v>
      </c>
      <c r="J1069" s="3" t="s">
        <v>15</v>
      </c>
    </row>
    <row r="1070">
      <c r="A1070" s="3"/>
      <c r="B1070" s="3"/>
      <c r="C1070" s="3" t="s">
        <v>24</v>
      </c>
      <c r="D1070" s="4" t="s">
        <v>980</v>
      </c>
      <c r="E1070" s="3" t="s">
        <v>142</v>
      </c>
      <c r="F1070" s="5">
        <v>46164.80486111111</v>
      </c>
      <c r="G1070" s="5">
        <v>46163.65130787037</v>
      </c>
      <c r="H1070" s="3" t="s">
        <v>14</v>
      </c>
      <c r="I1070" s="7">
        <v>0.0</v>
      </c>
      <c r="J1070" s="3" t="s">
        <v>15</v>
      </c>
    </row>
    <row r="1071">
      <c r="A1071" s="3"/>
      <c r="B1071" s="3"/>
      <c r="C1071" s="3" t="s">
        <v>26</v>
      </c>
      <c r="D1071" s="4" t="s">
        <v>980</v>
      </c>
      <c r="E1071" s="3" t="s">
        <v>142</v>
      </c>
      <c r="F1071" s="5">
        <v>46165.42986111111</v>
      </c>
      <c r="G1071" s="5">
        <v>46163.651400462964</v>
      </c>
      <c r="H1071" s="3" t="s">
        <v>14</v>
      </c>
      <c r="I1071" s="7">
        <v>0.0</v>
      </c>
      <c r="J1071" s="3" t="s">
        <v>15</v>
      </c>
    </row>
    <row r="1072">
      <c r="A1072" s="3"/>
      <c r="B1072" s="3"/>
      <c r="C1072" s="3" t="s">
        <v>10</v>
      </c>
      <c r="D1072" s="4" t="s">
        <v>984</v>
      </c>
      <c r="E1072" s="3" t="s">
        <v>109</v>
      </c>
      <c r="F1072" s="5">
        <v>46163.70753472222</v>
      </c>
      <c r="G1072" s="5">
        <v>46163.55703703704</v>
      </c>
      <c r="H1072" s="3" t="s">
        <v>14</v>
      </c>
      <c r="I1072" s="3">
        <v>0.0</v>
      </c>
      <c r="J1072" s="3" t="s">
        <v>15</v>
      </c>
    </row>
    <row r="1073">
      <c r="A1073" s="3"/>
      <c r="B1073" s="3"/>
      <c r="C1073" s="3" t="s">
        <v>17</v>
      </c>
      <c r="D1073" s="4" t="s">
        <v>984</v>
      </c>
      <c r="E1073" s="3" t="s">
        <v>109</v>
      </c>
      <c r="F1073" s="5">
        <v>46163.714479166665</v>
      </c>
      <c r="G1073" s="5">
        <v>46163.55715277778</v>
      </c>
      <c r="H1073" s="3" t="s">
        <v>14</v>
      </c>
      <c r="I1073" s="7">
        <v>0.0</v>
      </c>
      <c r="J1073" s="3" t="s">
        <v>15</v>
      </c>
    </row>
    <row r="1074">
      <c r="A1074" s="3"/>
      <c r="B1074" s="3"/>
      <c r="C1074" s="3" t="s">
        <v>21</v>
      </c>
      <c r="D1074" s="4" t="s">
        <v>984</v>
      </c>
      <c r="E1074" s="3" t="s">
        <v>109</v>
      </c>
      <c r="F1074" s="5">
        <v>46163.81864583334</v>
      </c>
      <c r="G1074" s="5">
        <v>46163.557534722226</v>
      </c>
      <c r="H1074" s="3" t="s">
        <v>14</v>
      </c>
      <c r="I1074" s="7">
        <v>0.0</v>
      </c>
      <c r="J1074" s="3" t="s">
        <v>15</v>
      </c>
    </row>
    <row r="1075">
      <c r="A1075" s="3"/>
      <c r="B1075" s="3"/>
      <c r="C1075" s="3" t="s">
        <v>24</v>
      </c>
      <c r="D1075" s="4" t="s">
        <v>984</v>
      </c>
      <c r="E1075" s="3" t="s">
        <v>109</v>
      </c>
      <c r="F1075" s="5">
        <v>46164.81805555556</v>
      </c>
      <c r="G1075" s="5">
        <v>46163.65131944444</v>
      </c>
      <c r="H1075" s="3" t="s">
        <v>14</v>
      </c>
      <c r="I1075" s="7">
        <v>0.0</v>
      </c>
      <c r="J1075" s="3" t="s">
        <v>15</v>
      </c>
    </row>
    <row r="1076">
      <c r="A1076" s="3"/>
      <c r="B1076" s="3"/>
      <c r="C1076" s="3" t="s">
        <v>26</v>
      </c>
      <c r="D1076" s="4" t="s">
        <v>984</v>
      </c>
      <c r="E1076" s="3" t="s">
        <v>109</v>
      </c>
      <c r="F1076" s="5">
        <v>46165.44305555556</v>
      </c>
      <c r="G1076" s="5">
        <v>46164.44664351852</v>
      </c>
      <c r="H1076" s="3" t="s">
        <v>14</v>
      </c>
      <c r="I1076" s="7">
        <v>0.0</v>
      </c>
      <c r="J1076" s="3" t="s">
        <v>15</v>
      </c>
    </row>
    <row r="1077">
      <c r="A1077" s="3"/>
      <c r="B1077" s="3"/>
      <c r="C1077" s="3" t="s">
        <v>10</v>
      </c>
      <c r="D1077" s="4" t="s">
        <v>988</v>
      </c>
      <c r="E1077" s="3" t="s">
        <v>52</v>
      </c>
      <c r="F1077" s="5">
        <v>46163.716828703706</v>
      </c>
      <c r="G1077" s="5">
        <v>46163.55721064815</v>
      </c>
      <c r="H1077" s="3" t="s">
        <v>14</v>
      </c>
      <c r="I1077" s="3">
        <v>0.0</v>
      </c>
      <c r="J1077" s="3" t="s">
        <v>48</v>
      </c>
    </row>
    <row r="1078">
      <c r="A1078" s="3"/>
      <c r="B1078" s="3"/>
      <c r="C1078" s="3" t="s">
        <v>17</v>
      </c>
      <c r="D1078" s="4" t="s">
        <v>988</v>
      </c>
      <c r="E1078" s="3" t="s">
        <v>52</v>
      </c>
      <c r="F1078" s="5">
        <v>46163.72377314815</v>
      </c>
      <c r="G1078" s="5">
        <v>46163.557280092595</v>
      </c>
      <c r="H1078" s="3" t="s">
        <v>14</v>
      </c>
      <c r="I1078" s="7">
        <v>0.0</v>
      </c>
      <c r="J1078" s="3" t="s">
        <v>48</v>
      </c>
    </row>
    <row r="1079">
      <c r="A1079" s="3"/>
      <c r="B1079" s="3"/>
      <c r="C1079" s="3" t="s">
        <v>21</v>
      </c>
      <c r="D1079" s="4" t="s">
        <v>988</v>
      </c>
      <c r="E1079" s="3" t="s">
        <v>52</v>
      </c>
      <c r="F1079" s="5">
        <v>46163.827939814815</v>
      </c>
      <c r="G1079" s="5">
        <v>46163.55751157407</v>
      </c>
      <c r="H1079" s="3" t="s">
        <v>14</v>
      </c>
      <c r="I1079" s="7">
        <v>0.0</v>
      </c>
      <c r="J1079" s="3" t="s">
        <v>48</v>
      </c>
    </row>
    <row r="1080">
      <c r="A1080" s="3"/>
      <c r="B1080" s="3"/>
      <c r="C1080" s="3" t="s">
        <v>24</v>
      </c>
      <c r="D1080" s="4" t="s">
        <v>988</v>
      </c>
      <c r="E1080" s="3" t="s">
        <v>52</v>
      </c>
      <c r="F1080" s="5">
        <v>46164.82777777778</v>
      </c>
      <c r="G1080" s="5">
        <v>46164.488703703704</v>
      </c>
      <c r="H1080" s="3" t="s">
        <v>14</v>
      </c>
      <c r="I1080" s="7">
        <v>0.0</v>
      </c>
      <c r="J1080" s="3" t="s">
        <v>48</v>
      </c>
    </row>
    <row r="1081">
      <c r="A1081" s="3"/>
      <c r="B1081" s="3"/>
      <c r="C1081" s="3" t="s">
        <v>26</v>
      </c>
      <c r="D1081" s="4" t="s">
        <v>988</v>
      </c>
      <c r="E1081" s="3" t="s">
        <v>52</v>
      </c>
      <c r="F1081" s="5">
        <v>46165.45277777778</v>
      </c>
      <c r="G1081" s="5">
        <v>46164.48873842593</v>
      </c>
      <c r="H1081" s="3" t="s">
        <v>14</v>
      </c>
      <c r="I1081" s="7">
        <v>0.0</v>
      </c>
      <c r="J1081" s="3" t="s">
        <v>48</v>
      </c>
    </row>
    <row r="1082">
      <c r="A1082" s="3"/>
      <c r="B1082" s="3"/>
      <c r="C1082" s="3" t="s">
        <v>10</v>
      </c>
      <c r="D1082" s="4" t="s">
        <v>990</v>
      </c>
      <c r="E1082" s="3" t="s">
        <v>991</v>
      </c>
      <c r="F1082" s="5">
        <v>46163.71703703704</v>
      </c>
      <c r="G1082" s="5">
        <v>46163.55734953703</v>
      </c>
      <c r="H1082" s="3" t="s">
        <v>14</v>
      </c>
      <c r="I1082" s="3">
        <v>0.0</v>
      </c>
      <c r="J1082" s="3" t="s">
        <v>15</v>
      </c>
    </row>
    <row r="1083">
      <c r="A1083" s="3"/>
      <c r="B1083" s="3"/>
      <c r="C1083" s="3" t="s">
        <v>17</v>
      </c>
      <c r="D1083" s="4" t="s">
        <v>990</v>
      </c>
      <c r="E1083" s="3" t="s">
        <v>991</v>
      </c>
      <c r="F1083" s="5">
        <v>46163.72398148148</v>
      </c>
      <c r="G1083" s="5">
        <v>46163.557442129626</v>
      </c>
      <c r="H1083" s="3" t="s">
        <v>14</v>
      </c>
      <c r="I1083" s="7">
        <v>0.0</v>
      </c>
      <c r="J1083" s="3" t="s">
        <v>15</v>
      </c>
    </row>
    <row r="1084">
      <c r="A1084" s="3"/>
      <c r="B1084" s="3"/>
      <c r="C1084" s="3" t="s">
        <v>21</v>
      </c>
      <c r="D1084" s="4" t="s">
        <v>990</v>
      </c>
      <c r="E1084" s="3" t="s">
        <v>991</v>
      </c>
      <c r="F1084" s="5">
        <v>46163.828148148146</v>
      </c>
      <c r="G1084" s="5">
        <v>46163.557488425926</v>
      </c>
      <c r="H1084" s="3" t="s">
        <v>14</v>
      </c>
      <c r="I1084" s="7">
        <v>0.0</v>
      </c>
      <c r="J1084" s="3" t="s">
        <v>15</v>
      </c>
    </row>
    <row r="1085">
      <c r="A1085" s="3"/>
      <c r="B1085" s="3"/>
      <c r="C1085" s="3" t="s">
        <v>24</v>
      </c>
      <c r="D1085" s="4" t="s">
        <v>990</v>
      </c>
      <c r="E1085" s="3" t="s">
        <v>991</v>
      </c>
      <c r="F1085" s="5">
        <v>46164.82777777778</v>
      </c>
      <c r="G1085" s="5">
        <v>46163.65127314815</v>
      </c>
      <c r="H1085" s="3" t="s">
        <v>14</v>
      </c>
      <c r="I1085" s="7">
        <v>0.0</v>
      </c>
      <c r="J1085" s="3" t="s">
        <v>15</v>
      </c>
    </row>
    <row r="1086">
      <c r="A1086" s="3"/>
      <c r="B1086" s="3"/>
      <c r="C1086" s="3" t="s">
        <v>26</v>
      </c>
      <c r="D1086" s="4" t="s">
        <v>990</v>
      </c>
      <c r="E1086" s="3" t="s">
        <v>991</v>
      </c>
      <c r="F1086" s="5">
        <v>46165.45277777778</v>
      </c>
      <c r="G1086" s="5">
        <v>46163.651412037034</v>
      </c>
      <c r="H1086" s="3" t="s">
        <v>14</v>
      </c>
      <c r="I1086" s="7">
        <v>0.0</v>
      </c>
      <c r="J1086" s="3" t="s">
        <v>15</v>
      </c>
    </row>
    <row r="1087">
      <c r="A1087" s="3"/>
      <c r="B1087" s="3"/>
      <c r="C1087" s="3" t="s">
        <v>10</v>
      </c>
      <c r="D1087" s="4" t="s">
        <v>992</v>
      </c>
      <c r="E1087" s="3" t="s">
        <v>125</v>
      </c>
      <c r="F1087" s="5">
        <v>46164.43402777778</v>
      </c>
      <c r="G1087" s="5">
        <v>46163.70153935185</v>
      </c>
      <c r="H1087" s="3" t="s">
        <v>14</v>
      </c>
      <c r="I1087" s="3">
        <v>0.0</v>
      </c>
      <c r="J1087" s="3" t="s">
        <v>72</v>
      </c>
    </row>
    <row r="1088">
      <c r="A1088" s="3"/>
      <c r="B1088" s="3"/>
      <c r="C1088" s="3" t="s">
        <v>17</v>
      </c>
      <c r="D1088" s="4" t="s">
        <v>992</v>
      </c>
      <c r="E1088" s="3" t="s">
        <v>125</v>
      </c>
      <c r="F1088" s="5">
        <v>46164.44097222222</v>
      </c>
      <c r="G1088" s="5">
        <v>46163.70167824074</v>
      </c>
      <c r="H1088" s="3" t="s">
        <v>14</v>
      </c>
      <c r="I1088" s="7">
        <v>0.0</v>
      </c>
      <c r="J1088" s="3" t="s">
        <v>72</v>
      </c>
    </row>
    <row r="1089">
      <c r="A1089" s="3"/>
      <c r="B1089" s="3"/>
      <c r="C1089" s="3" t="s">
        <v>21</v>
      </c>
      <c r="D1089" s="4" t="s">
        <v>992</v>
      </c>
      <c r="E1089" s="3" t="s">
        <v>125</v>
      </c>
      <c r="F1089" s="5">
        <v>46164.54513888889</v>
      </c>
      <c r="G1089" s="5">
        <v>46163.70171296296</v>
      </c>
      <c r="H1089" s="3" t="s">
        <v>14</v>
      </c>
      <c r="I1089" s="7">
        <v>0.0</v>
      </c>
      <c r="J1089" s="3" t="s">
        <v>72</v>
      </c>
    </row>
    <row r="1090">
      <c r="A1090" s="3"/>
      <c r="B1090" s="3"/>
      <c r="C1090" s="3" t="s">
        <v>24</v>
      </c>
      <c r="D1090" s="4" t="s">
        <v>992</v>
      </c>
      <c r="E1090" s="3" t="s">
        <v>125</v>
      </c>
      <c r="F1090" s="5">
        <v>46165.54513888889</v>
      </c>
      <c r="G1090" s="5">
        <v>46163.79959490741</v>
      </c>
      <c r="H1090" s="3" t="s">
        <v>14</v>
      </c>
      <c r="I1090" s="7">
        <v>0.0</v>
      </c>
      <c r="J1090" s="3" t="s">
        <v>72</v>
      </c>
    </row>
    <row r="1091">
      <c r="A1091" s="3"/>
      <c r="B1091" s="3"/>
      <c r="C1091" s="3" t="s">
        <v>26</v>
      </c>
      <c r="D1091" s="4" t="s">
        <v>992</v>
      </c>
      <c r="E1091" s="3" t="s">
        <v>125</v>
      </c>
      <c r="F1091" s="5">
        <v>46165.586805555555</v>
      </c>
      <c r="G1091" s="5">
        <v>46164.42407407407</v>
      </c>
      <c r="H1091" s="3" t="s">
        <v>14</v>
      </c>
      <c r="I1091" s="7">
        <v>0.0</v>
      </c>
      <c r="J1091" s="3" t="s">
        <v>72</v>
      </c>
    </row>
    <row r="1092">
      <c r="A1092" s="3"/>
      <c r="B1092" s="3"/>
      <c r="C1092" s="3" t="s">
        <v>10</v>
      </c>
      <c r="D1092" s="4" t="s">
        <v>995</v>
      </c>
      <c r="E1092" s="3" t="s">
        <v>996</v>
      </c>
      <c r="F1092" s="5">
        <v>46164.43541666667</v>
      </c>
      <c r="G1092" s="5">
        <v>46163.70155092593</v>
      </c>
      <c r="H1092" s="3" t="s">
        <v>14</v>
      </c>
      <c r="I1092" s="3">
        <v>0.0</v>
      </c>
      <c r="J1092" s="3" t="s">
        <v>72</v>
      </c>
    </row>
    <row r="1093">
      <c r="A1093" s="3"/>
      <c r="B1093" s="3"/>
      <c r="C1093" s="3" t="s">
        <v>17</v>
      </c>
      <c r="D1093" s="4" t="s">
        <v>995</v>
      </c>
      <c r="E1093" s="3" t="s">
        <v>996</v>
      </c>
      <c r="F1093" s="5">
        <v>46164.44236111111</v>
      </c>
      <c r="G1093" s="5">
        <v>46163.701689814814</v>
      </c>
      <c r="H1093" s="3" t="s">
        <v>14</v>
      </c>
      <c r="I1093" s="7">
        <v>0.0</v>
      </c>
      <c r="J1093" s="3" t="s">
        <v>72</v>
      </c>
    </row>
    <row r="1094">
      <c r="A1094" s="3"/>
      <c r="B1094" s="3"/>
      <c r="C1094" s="3" t="s">
        <v>21</v>
      </c>
      <c r="D1094" s="4" t="s">
        <v>995</v>
      </c>
      <c r="E1094" s="3" t="s">
        <v>996</v>
      </c>
      <c r="F1094" s="5">
        <v>46164.54652777778</v>
      </c>
      <c r="G1094" s="5">
        <v>46164.44635416667</v>
      </c>
      <c r="H1094" s="3" t="s">
        <v>14</v>
      </c>
      <c r="I1094" s="7">
        <v>0.0</v>
      </c>
      <c r="J1094" s="3" t="s">
        <v>72</v>
      </c>
    </row>
    <row r="1095">
      <c r="A1095" s="3"/>
      <c r="B1095" s="3"/>
      <c r="C1095" s="3" t="s">
        <v>24</v>
      </c>
      <c r="D1095" s="4" t="s">
        <v>995</v>
      </c>
      <c r="E1095" s="3" t="s">
        <v>996</v>
      </c>
      <c r="F1095" s="5">
        <v>46165.54652777778</v>
      </c>
      <c r="G1095" s="5">
        <v>46163.79956018519</v>
      </c>
      <c r="H1095" s="3" t="s">
        <v>14</v>
      </c>
      <c r="I1095" s="7">
        <v>0.0</v>
      </c>
      <c r="J1095" s="3" t="s">
        <v>72</v>
      </c>
    </row>
    <row r="1096">
      <c r="A1096" s="3"/>
      <c r="B1096" s="3"/>
      <c r="C1096" s="3" t="s">
        <v>26</v>
      </c>
      <c r="D1096" s="4" t="s">
        <v>995</v>
      </c>
      <c r="E1096" s="3" t="s">
        <v>996</v>
      </c>
      <c r="F1096" s="5">
        <v>46165.58819444444</v>
      </c>
      <c r="G1096" s="5">
        <v>46164.42408564815</v>
      </c>
      <c r="H1096" s="3" t="s">
        <v>14</v>
      </c>
      <c r="I1096" s="7">
        <v>0.0</v>
      </c>
      <c r="J1096" s="3" t="s">
        <v>72</v>
      </c>
    </row>
    <row r="1097">
      <c r="A1097" s="3"/>
      <c r="B1097" s="3"/>
      <c r="C1097" s="3" t="s">
        <v>10</v>
      </c>
      <c r="D1097" s="4" t="s">
        <v>999</v>
      </c>
      <c r="E1097" s="3" t="s">
        <v>1000</v>
      </c>
      <c r="F1097" s="5">
        <v>46164.455555555556</v>
      </c>
      <c r="G1097" s="5">
        <v>46163.746770833335</v>
      </c>
      <c r="H1097" s="3" t="s">
        <v>14</v>
      </c>
      <c r="I1097" s="3">
        <v>0.0</v>
      </c>
      <c r="J1097" s="3" t="s">
        <v>15</v>
      </c>
    </row>
    <row r="1098">
      <c r="A1098" s="3"/>
      <c r="B1098" s="3"/>
      <c r="C1098" s="3" t="s">
        <v>17</v>
      </c>
      <c r="D1098" s="4" t="s">
        <v>999</v>
      </c>
      <c r="E1098" s="3" t="s">
        <v>1000</v>
      </c>
      <c r="F1098" s="5">
        <v>46164.4625</v>
      </c>
      <c r="G1098" s="5">
        <v>46163.74684027778</v>
      </c>
      <c r="H1098" s="3" t="s">
        <v>14</v>
      </c>
      <c r="I1098" s="7">
        <v>0.0</v>
      </c>
      <c r="J1098" s="3" t="s">
        <v>15</v>
      </c>
    </row>
    <row r="1099">
      <c r="A1099" s="3"/>
      <c r="B1099" s="3"/>
      <c r="C1099" s="3" t="s">
        <v>21</v>
      </c>
      <c r="D1099" s="4" t="s">
        <v>999</v>
      </c>
      <c r="E1099" s="3" t="s">
        <v>1000</v>
      </c>
      <c r="F1099" s="5">
        <v>46164.566666666666</v>
      </c>
      <c r="G1099" s="5">
        <v>46163.74686342593</v>
      </c>
      <c r="H1099" s="3" t="s">
        <v>14</v>
      </c>
      <c r="I1099" s="7">
        <v>0.0</v>
      </c>
      <c r="J1099" s="3" t="s">
        <v>15</v>
      </c>
    </row>
    <row r="1100">
      <c r="A1100" s="3"/>
      <c r="B1100" s="3"/>
      <c r="C1100" s="3" t="s">
        <v>24</v>
      </c>
      <c r="D1100" s="4" t="s">
        <v>999</v>
      </c>
      <c r="E1100" s="3" t="s">
        <v>1000</v>
      </c>
      <c r="F1100" s="5">
        <v>46165.566666666666</v>
      </c>
      <c r="G1100" s="5">
        <v>46163.80844907407</v>
      </c>
      <c r="H1100" s="3" t="s">
        <v>14</v>
      </c>
      <c r="I1100" s="7">
        <v>0.0</v>
      </c>
      <c r="J1100" s="3" t="s">
        <v>15</v>
      </c>
    </row>
    <row r="1101">
      <c r="A1101" s="3"/>
      <c r="B1101" s="3"/>
      <c r="C1101" s="3" t="s">
        <v>26</v>
      </c>
      <c r="D1101" s="4" t="s">
        <v>999</v>
      </c>
      <c r="E1101" s="3" t="s">
        <v>1000</v>
      </c>
      <c r="F1101" s="5">
        <v>46165.60833333333</v>
      </c>
      <c r="G1101" s="5">
        <v>46163.80847222222</v>
      </c>
      <c r="H1101" s="3" t="s">
        <v>14</v>
      </c>
      <c r="I1101" s="7">
        <v>0.0</v>
      </c>
      <c r="J1101" s="3" t="s">
        <v>15</v>
      </c>
    </row>
    <row r="1102">
      <c r="A1102" s="3"/>
      <c r="B1102" s="3"/>
      <c r="C1102" s="3" t="s">
        <v>10</v>
      </c>
      <c r="D1102" s="4" t="s">
        <v>1002</v>
      </c>
      <c r="E1102" s="3" t="s">
        <v>1003</v>
      </c>
      <c r="F1102" s="5">
        <v>46164.506944444445</v>
      </c>
      <c r="G1102" s="5">
        <v>46163.79924768519</v>
      </c>
      <c r="H1102" s="3" t="s">
        <v>14</v>
      </c>
      <c r="I1102" s="3">
        <v>0.0</v>
      </c>
      <c r="J1102" s="3" t="s">
        <v>72</v>
      </c>
    </row>
    <row r="1103">
      <c r="A1103" s="3"/>
      <c r="B1103" s="3"/>
      <c r="C1103" s="3" t="s">
        <v>17</v>
      </c>
      <c r="D1103" s="4" t="s">
        <v>1002</v>
      </c>
      <c r="E1103" s="3" t="s">
        <v>1003</v>
      </c>
      <c r="F1103" s="5">
        <v>46164.51388888889</v>
      </c>
      <c r="G1103" s="5">
        <v>46163.799375</v>
      </c>
      <c r="H1103" s="3" t="s">
        <v>14</v>
      </c>
      <c r="I1103" s="7">
        <v>0.0</v>
      </c>
      <c r="J1103" s="3" t="s">
        <v>72</v>
      </c>
    </row>
    <row r="1104">
      <c r="A1104" s="3"/>
      <c r="B1104" s="3"/>
      <c r="C1104" s="3" t="s">
        <v>21</v>
      </c>
      <c r="D1104" s="4" t="s">
        <v>1002</v>
      </c>
      <c r="E1104" s="3" t="s">
        <v>1003</v>
      </c>
      <c r="F1104" s="5">
        <v>46164.618055555555</v>
      </c>
      <c r="G1104" s="5">
        <v>46163.79945601852</v>
      </c>
      <c r="H1104" s="3" t="s">
        <v>14</v>
      </c>
      <c r="I1104" s="7">
        <v>0.0</v>
      </c>
      <c r="J1104" s="3" t="s">
        <v>72</v>
      </c>
    </row>
    <row r="1105">
      <c r="A1105" s="3"/>
      <c r="B1105" s="3"/>
      <c r="C1105" s="3" t="s">
        <v>24</v>
      </c>
      <c r="D1105" s="4" t="s">
        <v>1002</v>
      </c>
      <c r="E1105" s="3" t="s">
        <v>1003</v>
      </c>
      <c r="F1105" s="5">
        <v>46165.618055555555</v>
      </c>
      <c r="G1105" s="5">
        <v>46163.79949074074</v>
      </c>
      <c r="H1105" s="3" t="s">
        <v>14</v>
      </c>
      <c r="I1105" s="7">
        <v>0.0</v>
      </c>
      <c r="J1105" s="3" t="s">
        <v>72</v>
      </c>
    </row>
    <row r="1106">
      <c r="A1106" s="3"/>
      <c r="B1106" s="3"/>
      <c r="C1106" s="3" t="s">
        <v>26</v>
      </c>
      <c r="D1106" s="4" t="s">
        <v>1002</v>
      </c>
      <c r="E1106" s="3" t="s">
        <v>1003</v>
      </c>
      <c r="F1106" s="5">
        <v>46165.65972222222</v>
      </c>
      <c r="G1106" s="5">
        <v>46164.42414351852</v>
      </c>
      <c r="H1106" s="3" t="s">
        <v>14</v>
      </c>
      <c r="I1106" s="7">
        <v>0.0</v>
      </c>
      <c r="J1106" s="3" t="s">
        <v>72</v>
      </c>
    </row>
    <row r="1107">
      <c r="A1107" s="3"/>
      <c r="B1107" s="3"/>
      <c r="C1107" s="3" t="s">
        <v>10</v>
      </c>
      <c r="D1107" s="4" t="s">
        <v>1007</v>
      </c>
      <c r="E1107" s="3" t="s">
        <v>1008</v>
      </c>
      <c r="F1107" s="5">
        <v>46164.544444444444</v>
      </c>
      <c r="G1107" s="5">
        <v>46163.80795138889</v>
      </c>
      <c r="H1107" s="3" t="s">
        <v>14</v>
      </c>
      <c r="I1107" s="3">
        <v>0.0</v>
      </c>
      <c r="J1107" s="3" t="s">
        <v>15</v>
      </c>
    </row>
    <row r="1108">
      <c r="A1108" s="3"/>
      <c r="B1108" s="3"/>
      <c r="C1108" s="3" t="s">
        <v>17</v>
      </c>
      <c r="D1108" s="4" t="s">
        <v>1007</v>
      </c>
      <c r="E1108" s="3" t="s">
        <v>1008</v>
      </c>
      <c r="F1108" s="5">
        <v>46164.55138888889</v>
      </c>
      <c r="G1108" s="5">
        <v>46163.80800925926</v>
      </c>
      <c r="H1108" s="3" t="s">
        <v>14</v>
      </c>
      <c r="I1108" s="7">
        <v>0.0</v>
      </c>
      <c r="J1108" s="3" t="s">
        <v>15</v>
      </c>
    </row>
    <row r="1109">
      <c r="A1109" s="3"/>
      <c r="B1109" s="3"/>
      <c r="C1109" s="3" t="s">
        <v>21</v>
      </c>
      <c r="D1109" s="4" t="s">
        <v>1007</v>
      </c>
      <c r="E1109" s="3" t="s">
        <v>1008</v>
      </c>
      <c r="F1109" s="5">
        <v>46164.65555555555</v>
      </c>
      <c r="G1109" s="5">
        <v>46163.8080787037</v>
      </c>
      <c r="H1109" s="3" t="s">
        <v>14</v>
      </c>
      <c r="I1109" s="7">
        <v>0.0</v>
      </c>
      <c r="J1109" s="3" t="s">
        <v>15</v>
      </c>
    </row>
    <row r="1110">
      <c r="A1110" s="3"/>
      <c r="B1110" s="3"/>
      <c r="C1110" s="3" t="s">
        <v>24</v>
      </c>
      <c r="D1110" s="4" t="s">
        <v>1007</v>
      </c>
      <c r="E1110" s="3" t="s">
        <v>1008</v>
      </c>
      <c r="F1110" s="5">
        <v>46165.65555555555</v>
      </c>
      <c r="G1110" s="5">
        <v>46163.808171296296</v>
      </c>
      <c r="H1110" s="3" t="s">
        <v>14</v>
      </c>
      <c r="I1110" s="7">
        <v>0.0</v>
      </c>
      <c r="J1110" s="3" t="s">
        <v>15</v>
      </c>
    </row>
    <row r="1111">
      <c r="A1111" s="3"/>
      <c r="B1111" s="3"/>
      <c r="C1111" s="3" t="s">
        <v>26</v>
      </c>
      <c r="D1111" s="4" t="s">
        <v>1007</v>
      </c>
      <c r="E1111" s="3" t="s">
        <v>1008</v>
      </c>
      <c r="F1111" s="5">
        <v>46165.697222222225</v>
      </c>
      <c r="G1111" s="5">
        <v>46163.80849537037</v>
      </c>
      <c r="H1111" s="3" t="s">
        <v>14</v>
      </c>
      <c r="I1111" s="7">
        <v>0.0</v>
      </c>
      <c r="J1111" s="3" t="s">
        <v>15</v>
      </c>
    </row>
    <row r="1112">
      <c r="A1112" s="3"/>
      <c r="B1112" s="3"/>
      <c r="C1112" s="3" t="s">
        <v>10</v>
      </c>
      <c r="D1112" s="4" t="s">
        <v>1011</v>
      </c>
      <c r="E1112" s="3" t="s">
        <v>52</v>
      </c>
      <c r="F1112" s="5">
        <v>46164.6665625</v>
      </c>
      <c r="G1112" s="5">
        <v>46164.60375</v>
      </c>
      <c r="H1112" s="3" t="s">
        <v>14</v>
      </c>
      <c r="I1112" s="3">
        <v>0.0</v>
      </c>
      <c r="J1112" s="3" t="s">
        <v>48</v>
      </c>
    </row>
    <row r="1113">
      <c r="A1113" s="3"/>
      <c r="B1113" s="3"/>
      <c r="C1113" s="3" t="s">
        <v>17</v>
      </c>
      <c r="D1113" s="4" t="s">
        <v>1011</v>
      </c>
      <c r="E1113" s="3" t="s">
        <v>52</v>
      </c>
      <c r="F1113" s="5">
        <v>46164.67350694445</v>
      </c>
      <c r="G1113" s="5">
        <v>46164.60383101852</v>
      </c>
      <c r="H1113" s="3" t="s">
        <v>14</v>
      </c>
      <c r="I1113" s="7">
        <v>0.0</v>
      </c>
      <c r="J1113" s="3" t="s">
        <v>48</v>
      </c>
    </row>
    <row r="1114">
      <c r="A1114" s="3"/>
      <c r="B1114" s="3"/>
      <c r="C1114" s="3" t="s">
        <v>21</v>
      </c>
      <c r="D1114" s="4" t="s">
        <v>1011</v>
      </c>
      <c r="E1114" s="3" t="s">
        <v>52</v>
      </c>
      <c r="F1114" s="5">
        <v>46164.77767361111</v>
      </c>
      <c r="G1114" s="5">
        <v>46164.60392361111</v>
      </c>
      <c r="H1114" s="3" t="s">
        <v>14</v>
      </c>
      <c r="I1114" s="7">
        <v>0.0</v>
      </c>
      <c r="J1114" s="3" t="s">
        <v>48</v>
      </c>
    </row>
    <row r="1115">
      <c r="A1115" s="3"/>
      <c r="B1115" s="3"/>
      <c r="C1115" s="3" t="s">
        <v>24</v>
      </c>
      <c r="D1115" s="4" t="s">
        <v>1011</v>
      </c>
      <c r="E1115" s="3" t="s">
        <v>52</v>
      </c>
      <c r="F1115" s="5">
        <v>46167.48541666667</v>
      </c>
      <c r="G1115" s="5">
        <v>46167.44358796296</v>
      </c>
      <c r="H1115" s="3" t="s">
        <v>14</v>
      </c>
      <c r="I1115" s="7">
        <v>0.0</v>
      </c>
      <c r="J1115" s="3" t="s">
        <v>48</v>
      </c>
    </row>
    <row r="1116">
      <c r="A1116" s="3"/>
      <c r="B1116" s="3"/>
      <c r="C1116" s="3" t="s">
        <v>26</v>
      </c>
      <c r="D1116" s="4" t="s">
        <v>1011</v>
      </c>
      <c r="E1116" s="3" t="s">
        <v>52</v>
      </c>
      <c r="F1116" s="5">
        <v>46167.527083333334</v>
      </c>
      <c r="G1116" s="5">
        <v>46167.44362268518</v>
      </c>
      <c r="H1116" s="3" t="s">
        <v>14</v>
      </c>
      <c r="I1116" s="7">
        <v>0.0</v>
      </c>
      <c r="J1116" s="3" t="s">
        <v>48</v>
      </c>
    </row>
    <row r="1117">
      <c r="A1117" s="3"/>
      <c r="B1117" s="3"/>
      <c r="C1117" s="3" t="s">
        <v>10</v>
      </c>
      <c r="D1117" s="4" t="s">
        <v>1013</v>
      </c>
      <c r="E1117" s="3" t="s">
        <v>1014</v>
      </c>
      <c r="F1117" s="5">
        <v>46164.81773148148</v>
      </c>
      <c r="G1117" s="5">
        <v>46164.75570601852</v>
      </c>
      <c r="H1117" s="3" t="s">
        <v>14</v>
      </c>
      <c r="I1117" s="3">
        <v>0.0</v>
      </c>
      <c r="J1117" s="3" t="s">
        <v>15</v>
      </c>
    </row>
    <row r="1118">
      <c r="A1118" s="3"/>
      <c r="B1118" s="3"/>
      <c r="C1118" s="3" t="s">
        <v>17</v>
      </c>
      <c r="D1118" s="4" t="s">
        <v>1013</v>
      </c>
      <c r="E1118" s="3" t="s">
        <v>1014</v>
      </c>
      <c r="F1118" s="5">
        <v>46164.82467592593</v>
      </c>
      <c r="G1118" s="5">
        <v>46164.75579861111</v>
      </c>
      <c r="H1118" s="3" t="s">
        <v>14</v>
      </c>
      <c r="I1118" s="7">
        <v>0.0</v>
      </c>
      <c r="J1118" s="3" t="s">
        <v>15</v>
      </c>
    </row>
    <row r="1119">
      <c r="A1119" s="3"/>
      <c r="B1119" s="3"/>
      <c r="C1119" s="3" t="s">
        <v>21</v>
      </c>
      <c r="D1119" s="4" t="s">
        <v>1013</v>
      </c>
      <c r="E1119" s="3" t="s">
        <v>1014</v>
      </c>
      <c r="F1119" s="5">
        <v>46165.532638888886</v>
      </c>
      <c r="G1119" s="5">
        <v>46164.75586805555</v>
      </c>
      <c r="H1119" s="3" t="s">
        <v>14</v>
      </c>
      <c r="I1119" s="7">
        <v>0.0</v>
      </c>
      <c r="J1119" s="3" t="s">
        <v>15</v>
      </c>
    </row>
    <row r="1120">
      <c r="A1120" s="3"/>
      <c r="B1120" s="3"/>
      <c r="C1120" s="3" t="s">
        <v>24</v>
      </c>
      <c r="D1120" s="4" t="s">
        <v>1013</v>
      </c>
      <c r="E1120" s="3" t="s">
        <v>1014</v>
      </c>
      <c r="F1120" s="5">
        <v>46167.532638888886</v>
      </c>
      <c r="G1120" s="5">
        <v>46164.75604166667</v>
      </c>
      <c r="H1120" s="3" t="s">
        <v>14</v>
      </c>
      <c r="I1120" s="7">
        <v>0.0</v>
      </c>
      <c r="J1120" s="3" t="s">
        <v>15</v>
      </c>
    </row>
    <row r="1121">
      <c r="A1121" s="3"/>
      <c r="B1121" s="3"/>
      <c r="C1121" s="3" t="s">
        <v>26</v>
      </c>
      <c r="D1121" s="4" t="s">
        <v>1013</v>
      </c>
      <c r="E1121" s="3" t="s">
        <v>1014</v>
      </c>
      <c r="F1121" s="5">
        <v>46167.57430555556</v>
      </c>
      <c r="G1121" s="5">
        <v>46164.75611111111</v>
      </c>
      <c r="H1121" s="3" t="s">
        <v>14</v>
      </c>
      <c r="I1121" s="7">
        <v>0.0</v>
      </c>
      <c r="J1121" s="3" t="s">
        <v>15</v>
      </c>
    </row>
    <row r="1122">
      <c r="A1122" s="3"/>
      <c r="B1122" s="3"/>
      <c r="C1122" s="3" t="s">
        <v>10</v>
      </c>
      <c r="D1122" s="4" t="s">
        <v>1017</v>
      </c>
      <c r="E1122" s="3" t="s">
        <v>1018</v>
      </c>
      <c r="F1122" s="5">
        <v>46164.830243055556</v>
      </c>
      <c r="G1122" s="5">
        <v>46164.69084490741</v>
      </c>
      <c r="H1122" s="3" t="s">
        <v>14</v>
      </c>
      <c r="I1122" s="3">
        <v>0.0</v>
      </c>
      <c r="J1122" s="3" t="s">
        <v>72</v>
      </c>
    </row>
    <row r="1123">
      <c r="A1123" s="3"/>
      <c r="B1123" s="3"/>
      <c r="C1123" s="3" t="s">
        <v>17</v>
      </c>
      <c r="D1123" s="4" t="s">
        <v>1017</v>
      </c>
      <c r="E1123" s="3" t="s">
        <v>1018</v>
      </c>
      <c r="F1123" s="5">
        <v>46165.45486111111</v>
      </c>
      <c r="G1123" s="5">
        <v>46164.691145833334</v>
      </c>
      <c r="H1123" s="3" t="s">
        <v>14</v>
      </c>
      <c r="I1123" s="7">
        <v>0.0</v>
      </c>
      <c r="J1123" s="3" t="s">
        <v>72</v>
      </c>
    </row>
    <row r="1124">
      <c r="A1124" s="3"/>
      <c r="B1124" s="3"/>
      <c r="C1124" s="3" t="s">
        <v>21</v>
      </c>
      <c r="D1124" s="4" t="s">
        <v>1017</v>
      </c>
      <c r="E1124" s="3" t="s">
        <v>1018</v>
      </c>
      <c r="F1124" s="5">
        <v>46165.55902777778</v>
      </c>
      <c r="G1124" s="5">
        <v>46164.69130787037</v>
      </c>
      <c r="H1124" s="3" t="s">
        <v>14</v>
      </c>
      <c r="I1124" s="7">
        <v>0.0</v>
      </c>
      <c r="J1124" s="3" t="s">
        <v>72</v>
      </c>
    </row>
    <row r="1125">
      <c r="A1125" s="3"/>
      <c r="B1125" s="3"/>
      <c r="C1125" s="3" t="s">
        <v>24</v>
      </c>
      <c r="D1125" s="4" t="s">
        <v>1017</v>
      </c>
      <c r="E1125" s="3" t="s">
        <v>1018</v>
      </c>
      <c r="F1125" s="5">
        <v>46167.55902777778</v>
      </c>
      <c r="G1125" s="5">
        <v>46165.46166666667</v>
      </c>
      <c r="H1125" s="3" t="s">
        <v>14</v>
      </c>
      <c r="I1125" s="7">
        <v>0.0</v>
      </c>
      <c r="J1125" s="3" t="s">
        <v>72</v>
      </c>
    </row>
    <row r="1126">
      <c r="A1126" s="3"/>
      <c r="B1126" s="3"/>
      <c r="C1126" s="3" t="s">
        <v>26</v>
      </c>
      <c r="D1126" s="4" t="s">
        <v>1017</v>
      </c>
      <c r="E1126" s="3" t="s">
        <v>1018</v>
      </c>
      <c r="F1126" s="5">
        <v>46167.600694444445</v>
      </c>
      <c r="G1126" s="5">
        <v>46165.46175925926</v>
      </c>
      <c r="H1126" s="3" t="s">
        <v>14</v>
      </c>
      <c r="I1126" s="7">
        <v>0.0</v>
      </c>
      <c r="J1126" s="3" t="s">
        <v>72</v>
      </c>
    </row>
    <row r="1127">
      <c r="A1127" s="3"/>
      <c r="B1127" s="3"/>
      <c r="C1127" s="3" t="s">
        <v>10</v>
      </c>
      <c r="D1127" s="4" t="s">
        <v>1019</v>
      </c>
      <c r="E1127" s="3" t="s">
        <v>1021</v>
      </c>
      <c r="F1127" s="5">
        <v>46164.83193287037</v>
      </c>
      <c r="G1127" s="5">
        <v>46164.69085648148</v>
      </c>
      <c r="H1127" s="3" t="s">
        <v>14</v>
      </c>
      <c r="I1127" s="3">
        <v>0.0</v>
      </c>
      <c r="J1127" s="3" t="s">
        <v>72</v>
      </c>
    </row>
    <row r="1128">
      <c r="A1128" s="3"/>
      <c r="B1128" s="3"/>
      <c r="C1128" s="3" t="s">
        <v>17</v>
      </c>
      <c r="D1128" s="4" t="s">
        <v>1019</v>
      </c>
      <c r="E1128" s="3" t="s">
        <v>1021</v>
      </c>
      <c r="F1128" s="5">
        <v>46165.45625</v>
      </c>
      <c r="G1128" s="5">
        <v>46164.691145833334</v>
      </c>
      <c r="H1128" s="3" t="s">
        <v>14</v>
      </c>
      <c r="I1128" s="7">
        <v>0.0</v>
      </c>
      <c r="J1128" s="3" t="s">
        <v>72</v>
      </c>
    </row>
    <row r="1129">
      <c r="A1129" s="3"/>
      <c r="B1129" s="3"/>
      <c r="C1129" s="3" t="s">
        <v>21</v>
      </c>
      <c r="D1129" s="4" t="s">
        <v>1019</v>
      </c>
      <c r="E1129" s="3" t="s">
        <v>1021</v>
      </c>
      <c r="F1129" s="5">
        <v>46165.56041666667</v>
      </c>
      <c r="G1129" s="5">
        <v>46164.69130787037</v>
      </c>
      <c r="H1129" s="3" t="s">
        <v>14</v>
      </c>
      <c r="I1129" s="7">
        <v>0.0</v>
      </c>
      <c r="J1129" s="3" t="s">
        <v>72</v>
      </c>
    </row>
    <row r="1130">
      <c r="A1130" s="3"/>
      <c r="B1130" s="3"/>
      <c r="C1130" s="3" t="s">
        <v>24</v>
      </c>
      <c r="D1130" s="4" t="s">
        <v>1019</v>
      </c>
      <c r="E1130" s="3" t="s">
        <v>1021</v>
      </c>
      <c r="F1130" s="5">
        <v>46167.56041666667</v>
      </c>
      <c r="G1130" s="5">
        <v>46165.461689814816</v>
      </c>
      <c r="H1130" s="3" t="s">
        <v>14</v>
      </c>
      <c r="I1130" s="7">
        <v>0.0</v>
      </c>
      <c r="J1130" s="3" t="s">
        <v>72</v>
      </c>
    </row>
    <row r="1131">
      <c r="A1131" s="3"/>
      <c r="B1131" s="3"/>
      <c r="C1131" s="3" t="s">
        <v>26</v>
      </c>
      <c r="D1131" s="4" t="s">
        <v>1019</v>
      </c>
      <c r="E1131" s="3" t="s">
        <v>1021</v>
      </c>
      <c r="F1131" s="5">
        <v>46167.60208333333</v>
      </c>
      <c r="G1131" s="5">
        <v>46165.46175925926</v>
      </c>
      <c r="H1131" s="3" t="s">
        <v>14</v>
      </c>
      <c r="I1131" s="7">
        <v>0.0</v>
      </c>
      <c r="J1131" s="3" t="s">
        <v>72</v>
      </c>
    </row>
    <row r="1132">
      <c r="A1132" s="3"/>
      <c r="B1132" s="3"/>
      <c r="C1132" s="3" t="s">
        <v>10</v>
      </c>
      <c r="D1132" s="4" t="s">
        <v>1022</v>
      </c>
      <c r="E1132" s="3" t="s">
        <v>1023</v>
      </c>
      <c r="F1132" s="5">
        <v>46164.8325</v>
      </c>
      <c r="G1132" s="5">
        <v>46164.69086805556</v>
      </c>
      <c r="H1132" s="3" t="s">
        <v>14</v>
      </c>
      <c r="I1132" s="3">
        <v>0.0</v>
      </c>
      <c r="J1132" s="3" t="s">
        <v>72</v>
      </c>
    </row>
    <row r="1133">
      <c r="A1133" s="3"/>
      <c r="B1133" s="3"/>
      <c r="C1133" s="3" t="s">
        <v>17</v>
      </c>
      <c r="D1133" s="4" t="s">
        <v>1022</v>
      </c>
      <c r="E1133" s="3" t="s">
        <v>1023</v>
      </c>
      <c r="F1133" s="5">
        <v>46165.45694444444</v>
      </c>
      <c r="G1133" s="5">
        <v>46164.691145833334</v>
      </c>
      <c r="H1133" s="3" t="s">
        <v>14</v>
      </c>
      <c r="I1133" s="7">
        <v>0.0</v>
      </c>
      <c r="J1133" s="3" t="s">
        <v>72</v>
      </c>
    </row>
    <row r="1134">
      <c r="A1134" s="3"/>
      <c r="B1134" s="3"/>
      <c r="C1134" s="3" t="s">
        <v>21</v>
      </c>
      <c r="D1134" s="4" t="s">
        <v>1022</v>
      </c>
      <c r="E1134" s="3" t="s">
        <v>1023</v>
      </c>
      <c r="F1134" s="5">
        <v>46165.561111111114</v>
      </c>
      <c r="G1134" s="5">
        <v>46164.69130787037</v>
      </c>
      <c r="H1134" s="3" t="s">
        <v>14</v>
      </c>
      <c r="I1134" s="7">
        <v>0.0</v>
      </c>
      <c r="J1134" s="3" t="s">
        <v>72</v>
      </c>
    </row>
    <row r="1135">
      <c r="A1135" s="3"/>
      <c r="B1135" s="3"/>
      <c r="C1135" s="3" t="s">
        <v>24</v>
      </c>
      <c r="D1135" s="4" t="s">
        <v>1022</v>
      </c>
      <c r="E1135" s="3" t="s">
        <v>1023</v>
      </c>
      <c r="F1135" s="5">
        <v>46167.561111111114</v>
      </c>
      <c r="G1135" s="5">
        <v>46165.49508101852</v>
      </c>
      <c r="H1135" s="3" t="s">
        <v>14</v>
      </c>
      <c r="I1135" s="7">
        <v>0.0</v>
      </c>
      <c r="J1135" s="3" t="s">
        <v>72</v>
      </c>
    </row>
    <row r="1136">
      <c r="A1136" s="3"/>
      <c r="B1136" s="3"/>
      <c r="C1136" s="3" t="s">
        <v>26</v>
      </c>
      <c r="D1136" s="4" t="s">
        <v>1022</v>
      </c>
      <c r="E1136" s="3" t="s">
        <v>1023</v>
      </c>
      <c r="F1136" s="5">
        <v>46167.60277777778</v>
      </c>
      <c r="G1136" s="5">
        <v>46165.46175925926</v>
      </c>
      <c r="H1136" s="3" t="s">
        <v>14</v>
      </c>
      <c r="I1136" s="7">
        <v>0.0</v>
      </c>
      <c r="J1136" s="3" t="s">
        <v>72</v>
      </c>
    </row>
    <row r="1137">
      <c r="A1137" s="3"/>
      <c r="B1137" s="3"/>
      <c r="C1137" s="3" t="s">
        <v>10</v>
      </c>
      <c r="D1137" s="4" t="s">
        <v>1026</v>
      </c>
      <c r="E1137" s="3" t="s">
        <v>1027</v>
      </c>
      <c r="F1137" s="5">
        <v>46165.419444444444</v>
      </c>
      <c r="G1137" s="5">
        <v>46164.69086805556</v>
      </c>
      <c r="H1137" s="3" t="s">
        <v>14</v>
      </c>
      <c r="I1137" s="3">
        <v>0.0</v>
      </c>
      <c r="J1137" s="3" t="s">
        <v>72</v>
      </c>
    </row>
    <row r="1138">
      <c r="A1138" s="3"/>
      <c r="B1138" s="3"/>
      <c r="C1138" s="3" t="s">
        <v>17</v>
      </c>
      <c r="D1138" s="4" t="s">
        <v>1026</v>
      </c>
      <c r="E1138" s="3" t="s">
        <v>1027</v>
      </c>
      <c r="F1138" s="5">
        <v>46165.42638888889</v>
      </c>
      <c r="G1138" s="5">
        <v>46164.691145833334</v>
      </c>
      <c r="H1138" s="3" t="s">
        <v>14</v>
      </c>
      <c r="I1138" s="7">
        <v>0.0</v>
      </c>
      <c r="J1138" s="3" t="s">
        <v>72</v>
      </c>
    </row>
    <row r="1139">
      <c r="A1139" s="3"/>
      <c r="B1139" s="3"/>
      <c r="C1139" s="3" t="s">
        <v>21</v>
      </c>
      <c r="D1139" s="4" t="s">
        <v>1026</v>
      </c>
      <c r="E1139" s="3" t="s">
        <v>1027</v>
      </c>
      <c r="F1139" s="5">
        <v>46165.53055555555</v>
      </c>
      <c r="G1139" s="5">
        <v>46164.69130787037</v>
      </c>
      <c r="H1139" s="3" t="s">
        <v>14</v>
      </c>
      <c r="I1139" s="7">
        <v>0.0</v>
      </c>
      <c r="J1139" s="3" t="s">
        <v>72</v>
      </c>
    </row>
    <row r="1140">
      <c r="A1140" s="3"/>
      <c r="B1140" s="3"/>
      <c r="C1140" s="3" t="s">
        <v>24</v>
      </c>
      <c r="D1140" s="4" t="s">
        <v>1026</v>
      </c>
      <c r="E1140" s="3" t="s">
        <v>1027</v>
      </c>
      <c r="F1140" s="5">
        <v>46167.53055555555</v>
      </c>
      <c r="G1140" s="5">
        <v>46165.49508101852</v>
      </c>
      <c r="H1140" s="3" t="s">
        <v>14</v>
      </c>
      <c r="I1140" s="7">
        <v>0.0</v>
      </c>
      <c r="J1140" s="3" t="s">
        <v>72</v>
      </c>
    </row>
    <row r="1141">
      <c r="A1141" s="3"/>
      <c r="B1141" s="3"/>
      <c r="C1141" s="3" t="s">
        <v>26</v>
      </c>
      <c r="D1141" s="4" t="s">
        <v>1026</v>
      </c>
      <c r="E1141" s="3" t="s">
        <v>1027</v>
      </c>
      <c r="F1141" s="5">
        <v>46167.572222222225</v>
      </c>
      <c r="G1141" s="5">
        <v>46165.46177083333</v>
      </c>
      <c r="H1141" s="3" t="s">
        <v>14</v>
      </c>
      <c r="I1141" s="7">
        <v>0.0</v>
      </c>
      <c r="J1141" s="3" t="s">
        <v>72</v>
      </c>
    </row>
    <row r="1142">
      <c r="A1142" s="3"/>
      <c r="B1142" s="3"/>
      <c r="C1142" s="3" t="s">
        <v>10</v>
      </c>
      <c r="D1142" s="4" t="s">
        <v>1029</v>
      </c>
      <c r="E1142" s="3" t="s">
        <v>1027</v>
      </c>
      <c r="F1142" s="5">
        <v>46165.42152777778</v>
      </c>
      <c r="G1142" s="5">
        <v>46164.69086805556</v>
      </c>
      <c r="H1142" s="3" t="s">
        <v>14</v>
      </c>
      <c r="I1142" s="3">
        <v>0.0</v>
      </c>
      <c r="J1142" s="3" t="s">
        <v>72</v>
      </c>
    </row>
    <row r="1143">
      <c r="A1143" s="3"/>
      <c r="B1143" s="3"/>
      <c r="C1143" s="3" t="s">
        <v>17</v>
      </c>
      <c r="D1143" s="4" t="s">
        <v>1029</v>
      </c>
      <c r="E1143" s="3" t="s">
        <v>1027</v>
      </c>
      <c r="F1143" s="5">
        <v>46165.42847222222</v>
      </c>
      <c r="G1143" s="5">
        <v>46164.691157407404</v>
      </c>
      <c r="H1143" s="3" t="s">
        <v>14</v>
      </c>
      <c r="I1143" s="7">
        <v>0.0</v>
      </c>
      <c r="J1143" s="3" t="s">
        <v>72</v>
      </c>
    </row>
    <row r="1144">
      <c r="A1144" s="3"/>
      <c r="B1144" s="3"/>
      <c r="C1144" s="3" t="s">
        <v>21</v>
      </c>
      <c r="D1144" s="4" t="s">
        <v>1029</v>
      </c>
      <c r="E1144" s="3" t="s">
        <v>1027</v>
      </c>
      <c r="F1144" s="5">
        <v>46165.532638888886</v>
      </c>
      <c r="G1144" s="5">
        <v>46164.69130787037</v>
      </c>
      <c r="H1144" s="3" t="s">
        <v>14</v>
      </c>
      <c r="I1144" s="7">
        <v>0.0</v>
      </c>
      <c r="J1144" s="3" t="s">
        <v>72</v>
      </c>
    </row>
    <row r="1145">
      <c r="A1145" s="3"/>
      <c r="B1145" s="3"/>
      <c r="C1145" s="3" t="s">
        <v>24</v>
      </c>
      <c r="D1145" s="4" t="s">
        <v>1029</v>
      </c>
      <c r="E1145" s="3" t="s">
        <v>1027</v>
      </c>
      <c r="F1145" s="5">
        <v>46167.532638888886</v>
      </c>
      <c r="G1145" s="5">
        <v>46165.461701388886</v>
      </c>
      <c r="H1145" s="3" t="s">
        <v>14</v>
      </c>
      <c r="I1145" s="7">
        <v>0.0</v>
      </c>
      <c r="J1145" s="3" t="s">
        <v>72</v>
      </c>
    </row>
    <row r="1146">
      <c r="A1146" s="3"/>
      <c r="B1146" s="3"/>
      <c r="C1146" s="3" t="s">
        <v>26</v>
      </c>
      <c r="D1146" s="4" t="s">
        <v>1029</v>
      </c>
      <c r="E1146" s="3" t="s">
        <v>1027</v>
      </c>
      <c r="F1146" s="5">
        <v>46167.57430555556</v>
      </c>
      <c r="G1146" s="5">
        <v>46165.46177083333</v>
      </c>
      <c r="H1146" s="3" t="s">
        <v>14</v>
      </c>
      <c r="I1146" s="7">
        <v>0.0</v>
      </c>
      <c r="J1146" s="3" t="s">
        <v>72</v>
      </c>
    </row>
    <row r="1147">
      <c r="A1147" s="3"/>
      <c r="B1147" s="3"/>
      <c r="C1147" s="3" t="s">
        <v>10</v>
      </c>
      <c r="D1147" s="4" t="s">
        <v>1032</v>
      </c>
      <c r="E1147" s="3" t="s">
        <v>96</v>
      </c>
      <c r="F1147" s="5">
        <v>46165.42361111111</v>
      </c>
      <c r="G1147" s="5">
        <v>46164.69086805556</v>
      </c>
      <c r="H1147" s="3" t="s">
        <v>14</v>
      </c>
      <c r="I1147" s="3">
        <v>0.0</v>
      </c>
      <c r="J1147" s="3" t="s">
        <v>72</v>
      </c>
    </row>
    <row r="1148">
      <c r="A1148" s="3"/>
      <c r="B1148" s="3"/>
      <c r="C1148" s="3" t="s">
        <v>17</v>
      </c>
      <c r="D1148" s="4" t="s">
        <v>1032</v>
      </c>
      <c r="E1148" s="3" t="s">
        <v>96</v>
      </c>
      <c r="F1148" s="5">
        <v>46165.430555555555</v>
      </c>
      <c r="G1148" s="5">
        <v>46164.69119212963</v>
      </c>
      <c r="H1148" s="3" t="s">
        <v>14</v>
      </c>
      <c r="I1148" s="7">
        <v>0.0</v>
      </c>
      <c r="J1148" s="3" t="s">
        <v>72</v>
      </c>
    </row>
    <row r="1149">
      <c r="A1149" s="3"/>
      <c r="B1149" s="3"/>
      <c r="C1149" s="3" t="s">
        <v>21</v>
      </c>
      <c r="D1149" s="4" t="s">
        <v>1032</v>
      </c>
      <c r="E1149" s="3" t="s">
        <v>96</v>
      </c>
      <c r="F1149" s="5">
        <v>46165.53472222222</v>
      </c>
      <c r="G1149" s="5">
        <v>46164.69130787037</v>
      </c>
      <c r="H1149" s="3" t="s">
        <v>14</v>
      </c>
      <c r="I1149" s="7">
        <v>0.0</v>
      </c>
      <c r="J1149" s="3" t="s">
        <v>72</v>
      </c>
    </row>
    <row r="1150">
      <c r="A1150" s="3"/>
      <c r="B1150" s="3"/>
      <c r="C1150" s="3" t="s">
        <v>24</v>
      </c>
      <c r="D1150" s="4" t="s">
        <v>1032</v>
      </c>
      <c r="E1150" s="3" t="s">
        <v>96</v>
      </c>
      <c r="F1150" s="5">
        <v>46167.53472222222</v>
      </c>
      <c r="G1150" s="5">
        <v>46165.495104166665</v>
      </c>
      <c r="H1150" s="3" t="s">
        <v>14</v>
      </c>
      <c r="I1150" s="7">
        <v>0.0</v>
      </c>
      <c r="J1150" s="3" t="s">
        <v>72</v>
      </c>
    </row>
    <row r="1151">
      <c r="A1151" s="3"/>
      <c r="B1151" s="3"/>
      <c r="C1151" s="3" t="s">
        <v>26</v>
      </c>
      <c r="D1151" s="4" t="s">
        <v>1032</v>
      </c>
      <c r="E1151" s="3" t="s">
        <v>96</v>
      </c>
      <c r="F1151" s="5">
        <v>46167.57638888889</v>
      </c>
      <c r="G1151" s="5">
        <v>46165.46177083333</v>
      </c>
      <c r="H1151" s="3" t="s">
        <v>14</v>
      </c>
      <c r="I1151" s="7">
        <v>0.0</v>
      </c>
      <c r="J1151" s="3" t="s">
        <v>72</v>
      </c>
    </row>
    <row r="1152">
      <c r="A1152" s="3"/>
      <c r="B1152" s="3"/>
      <c r="C1152" s="3" t="s">
        <v>10</v>
      </c>
      <c r="D1152" s="4" t="s">
        <v>1035</v>
      </c>
      <c r="E1152" s="3" t="s">
        <v>1036</v>
      </c>
      <c r="F1152" s="5">
        <v>46165.430555555555</v>
      </c>
      <c r="G1152" s="5">
        <v>46164.6908912037</v>
      </c>
      <c r="H1152" s="3" t="s">
        <v>14</v>
      </c>
      <c r="I1152" s="3">
        <v>0.0</v>
      </c>
      <c r="J1152" s="3" t="s">
        <v>72</v>
      </c>
    </row>
    <row r="1153">
      <c r="A1153" s="3"/>
      <c r="B1153" s="3"/>
      <c r="C1153" s="3" t="s">
        <v>17</v>
      </c>
      <c r="D1153" s="4" t="s">
        <v>1035</v>
      </c>
      <c r="E1153" s="3" t="s">
        <v>1036</v>
      </c>
      <c r="F1153" s="5">
        <v>46165.4375</v>
      </c>
      <c r="G1153" s="5">
        <v>46164.691203703704</v>
      </c>
      <c r="H1153" s="3" t="s">
        <v>14</v>
      </c>
      <c r="I1153" s="7">
        <v>0.0</v>
      </c>
      <c r="J1153" s="3" t="s">
        <v>72</v>
      </c>
    </row>
    <row r="1154">
      <c r="A1154" s="3"/>
      <c r="B1154" s="3"/>
      <c r="C1154" s="3" t="s">
        <v>21</v>
      </c>
      <c r="D1154" s="4" t="s">
        <v>1035</v>
      </c>
      <c r="E1154" s="3" t="s">
        <v>1036</v>
      </c>
      <c r="F1154" s="5">
        <v>46165.541666666664</v>
      </c>
      <c r="G1154" s="5">
        <v>46164.69130787037</v>
      </c>
      <c r="H1154" s="3" t="s">
        <v>14</v>
      </c>
      <c r="I1154" s="7">
        <v>0.0</v>
      </c>
      <c r="J1154" s="3" t="s">
        <v>72</v>
      </c>
    </row>
    <row r="1155">
      <c r="A1155" s="3"/>
      <c r="B1155" s="3"/>
      <c r="C1155" s="3" t="s">
        <v>24</v>
      </c>
      <c r="D1155" s="4" t="s">
        <v>1035</v>
      </c>
      <c r="E1155" s="3" t="s">
        <v>1036</v>
      </c>
      <c r="F1155" s="5">
        <v>46167.541666666664</v>
      </c>
      <c r="G1155" s="5">
        <v>46165.49511574074</v>
      </c>
      <c r="H1155" s="3" t="s">
        <v>14</v>
      </c>
      <c r="I1155" s="7">
        <v>0.0</v>
      </c>
      <c r="J1155" s="3" t="s">
        <v>72</v>
      </c>
    </row>
    <row r="1156">
      <c r="A1156" s="3"/>
      <c r="B1156" s="3"/>
      <c r="C1156" s="3" t="s">
        <v>26</v>
      </c>
      <c r="D1156" s="4" t="s">
        <v>1035</v>
      </c>
      <c r="E1156" s="3" t="s">
        <v>1036</v>
      </c>
      <c r="F1156" s="5">
        <v>46167.583333333336</v>
      </c>
      <c r="G1156" s="5">
        <v>46165.46177083333</v>
      </c>
      <c r="H1156" s="3" t="s">
        <v>14</v>
      </c>
      <c r="I1156" s="7">
        <v>0.0</v>
      </c>
      <c r="J1156" s="3" t="s">
        <v>72</v>
      </c>
    </row>
    <row r="1157">
      <c r="A1157" s="3"/>
      <c r="B1157" s="3"/>
      <c r="C1157" s="3" t="s">
        <v>10</v>
      </c>
      <c r="D1157" s="4" t="s">
        <v>1040</v>
      </c>
      <c r="E1157" s="3" t="s">
        <v>1041</v>
      </c>
      <c r="F1157" s="5">
        <v>46165.43194444444</v>
      </c>
      <c r="G1157" s="5">
        <v>46164.6908912037</v>
      </c>
      <c r="H1157" s="3" t="s">
        <v>14</v>
      </c>
      <c r="I1157" s="3">
        <v>0.0</v>
      </c>
      <c r="J1157" s="3" t="s">
        <v>72</v>
      </c>
    </row>
    <row r="1158">
      <c r="A1158" s="3"/>
      <c r="B1158" s="3"/>
      <c r="C1158" s="3" t="s">
        <v>17</v>
      </c>
      <c r="D1158" s="4" t="s">
        <v>1040</v>
      </c>
      <c r="E1158" s="3" t="s">
        <v>1041</v>
      </c>
      <c r="F1158" s="5">
        <v>46165.438888888886</v>
      </c>
      <c r="G1158" s="5">
        <v>46164.69118055556</v>
      </c>
      <c r="H1158" s="3" t="s">
        <v>14</v>
      </c>
      <c r="I1158" s="7">
        <v>0.0</v>
      </c>
      <c r="J1158" s="3" t="s">
        <v>72</v>
      </c>
    </row>
    <row r="1159">
      <c r="A1159" s="3"/>
      <c r="B1159" s="3"/>
      <c r="C1159" s="3" t="s">
        <v>21</v>
      </c>
      <c r="D1159" s="4" t="s">
        <v>1040</v>
      </c>
      <c r="E1159" s="3" t="s">
        <v>1041</v>
      </c>
      <c r="F1159" s="5">
        <v>46165.54305555556</v>
      </c>
      <c r="G1159" s="5">
        <v>46164.69130787037</v>
      </c>
      <c r="H1159" s="3" t="s">
        <v>14</v>
      </c>
      <c r="I1159" s="7">
        <v>0.0</v>
      </c>
      <c r="J1159" s="3" t="s">
        <v>72</v>
      </c>
    </row>
    <row r="1160">
      <c r="A1160" s="3"/>
      <c r="B1160" s="3"/>
      <c r="C1160" s="3" t="s">
        <v>24</v>
      </c>
      <c r="D1160" s="4" t="s">
        <v>1040</v>
      </c>
      <c r="E1160" s="3" t="s">
        <v>1041</v>
      </c>
      <c r="F1160" s="5">
        <v>46167.54305555556</v>
      </c>
      <c r="G1160" s="5">
        <v>46165.49512731482</v>
      </c>
      <c r="H1160" s="3" t="s">
        <v>14</v>
      </c>
      <c r="I1160" s="7">
        <v>0.0</v>
      </c>
      <c r="J1160" s="3" t="s">
        <v>72</v>
      </c>
    </row>
    <row r="1161">
      <c r="A1161" s="3"/>
      <c r="B1161" s="3"/>
      <c r="C1161" s="3" t="s">
        <v>26</v>
      </c>
      <c r="D1161" s="4" t="s">
        <v>1040</v>
      </c>
      <c r="E1161" s="3" t="s">
        <v>1041</v>
      </c>
      <c r="F1161" s="5">
        <v>46167.58472222222</v>
      </c>
      <c r="G1161" s="5">
        <v>46165.46177083333</v>
      </c>
      <c r="H1161" s="3" t="s">
        <v>14</v>
      </c>
      <c r="I1161" s="7">
        <v>0.0</v>
      </c>
      <c r="J1161" s="3" t="s">
        <v>72</v>
      </c>
    </row>
    <row r="1162">
      <c r="A1162" s="3"/>
      <c r="B1162" s="3"/>
      <c r="C1162" s="3" t="s">
        <v>10</v>
      </c>
      <c r="D1162" s="4" t="s">
        <v>1042</v>
      </c>
      <c r="E1162" s="3" t="s">
        <v>1043</v>
      </c>
      <c r="F1162" s="5">
        <v>46165.433333333334</v>
      </c>
      <c r="G1162" s="5">
        <v>46164.69090277778</v>
      </c>
      <c r="H1162" s="3" t="s">
        <v>14</v>
      </c>
      <c r="I1162" s="3">
        <v>0.0</v>
      </c>
      <c r="J1162" s="3" t="s">
        <v>72</v>
      </c>
    </row>
    <row r="1163">
      <c r="A1163" s="3"/>
      <c r="B1163" s="3"/>
      <c r="C1163" s="3" t="s">
        <v>17</v>
      </c>
      <c r="D1163" s="4" t="s">
        <v>1042</v>
      </c>
      <c r="E1163" s="3" t="s">
        <v>1043</v>
      </c>
      <c r="F1163" s="5">
        <v>46165.44027777778</v>
      </c>
      <c r="G1163" s="5">
        <v>46164.69123842593</v>
      </c>
      <c r="H1163" s="3" t="s">
        <v>14</v>
      </c>
      <c r="I1163" s="7">
        <v>0.0</v>
      </c>
      <c r="J1163" s="3" t="s">
        <v>72</v>
      </c>
    </row>
    <row r="1164">
      <c r="A1164" s="3"/>
      <c r="B1164" s="3"/>
      <c r="C1164" s="3" t="s">
        <v>21</v>
      </c>
      <c r="D1164" s="4" t="s">
        <v>1042</v>
      </c>
      <c r="E1164" s="3" t="s">
        <v>1043</v>
      </c>
      <c r="F1164" s="5">
        <v>46165.544444444444</v>
      </c>
      <c r="G1164" s="5">
        <v>46164.69133101852</v>
      </c>
      <c r="H1164" s="3" t="s">
        <v>14</v>
      </c>
      <c r="I1164" s="7">
        <v>0.0</v>
      </c>
      <c r="J1164" s="3" t="s">
        <v>72</v>
      </c>
    </row>
    <row r="1165">
      <c r="A1165" s="3"/>
      <c r="B1165" s="3"/>
      <c r="C1165" s="3" t="s">
        <v>24</v>
      </c>
      <c r="D1165" s="4" t="s">
        <v>1042</v>
      </c>
      <c r="E1165" s="3" t="s">
        <v>1043</v>
      </c>
      <c r="F1165" s="5">
        <v>46167.544444444444</v>
      </c>
      <c r="G1165" s="5">
        <v>46165.49518518519</v>
      </c>
      <c r="H1165" s="3" t="s">
        <v>14</v>
      </c>
      <c r="I1165" s="7">
        <v>0.0</v>
      </c>
      <c r="J1165" s="3" t="s">
        <v>72</v>
      </c>
    </row>
    <row r="1166">
      <c r="A1166" s="3"/>
      <c r="B1166" s="3"/>
      <c r="C1166" s="3" t="s">
        <v>26</v>
      </c>
      <c r="D1166" s="4" t="s">
        <v>1042</v>
      </c>
      <c r="E1166" s="3" t="s">
        <v>1043</v>
      </c>
      <c r="F1166" s="5">
        <v>46167.58611111111</v>
      </c>
      <c r="G1166" s="5">
        <v>46165.46178240741</v>
      </c>
      <c r="H1166" s="3" t="s">
        <v>14</v>
      </c>
      <c r="I1166" s="7">
        <v>0.0</v>
      </c>
      <c r="J1166" s="3" t="s">
        <v>72</v>
      </c>
    </row>
    <row r="1167">
      <c r="A1167" s="3"/>
      <c r="B1167" s="3"/>
      <c r="C1167" s="3" t="s">
        <v>10</v>
      </c>
      <c r="D1167" s="4" t="s">
        <v>1046</v>
      </c>
      <c r="E1167" s="3" t="s">
        <v>1047</v>
      </c>
      <c r="F1167" s="5">
        <v>46165.45763888889</v>
      </c>
      <c r="G1167" s="5">
        <v>46164.74266203704</v>
      </c>
      <c r="H1167" s="3" t="s">
        <v>14</v>
      </c>
      <c r="I1167" s="3">
        <v>0.0</v>
      </c>
      <c r="J1167" s="3" t="s">
        <v>15</v>
      </c>
    </row>
    <row r="1168">
      <c r="A1168" s="3"/>
      <c r="B1168" s="3"/>
      <c r="C1168" s="3" t="s">
        <v>17</v>
      </c>
      <c r="D1168" s="4" t="s">
        <v>1046</v>
      </c>
      <c r="E1168" s="3" t="s">
        <v>1047</v>
      </c>
      <c r="F1168" s="5">
        <v>46165.464583333334</v>
      </c>
      <c r="G1168" s="5">
        <v>46164.74303240741</v>
      </c>
      <c r="H1168" s="3" t="s">
        <v>14</v>
      </c>
      <c r="I1168" s="7">
        <v>0.0</v>
      </c>
      <c r="J1168" s="3" t="s">
        <v>15</v>
      </c>
    </row>
    <row r="1169">
      <c r="A1169" s="3"/>
      <c r="B1169" s="3"/>
      <c r="C1169" s="3" t="s">
        <v>21</v>
      </c>
      <c r="D1169" s="4" t="s">
        <v>1046</v>
      </c>
      <c r="E1169" s="3" t="s">
        <v>1047</v>
      </c>
      <c r="F1169" s="5">
        <v>46165.56875</v>
      </c>
      <c r="G1169" s="5">
        <v>46164.75546296296</v>
      </c>
      <c r="H1169" s="3" t="s">
        <v>14</v>
      </c>
      <c r="I1169" s="7">
        <v>0.0</v>
      </c>
      <c r="J1169" s="3" t="s">
        <v>15</v>
      </c>
    </row>
    <row r="1170">
      <c r="A1170" s="3"/>
      <c r="B1170" s="3"/>
      <c r="C1170" s="3" t="s">
        <v>24</v>
      </c>
      <c r="D1170" s="4" t="s">
        <v>1046</v>
      </c>
      <c r="E1170" s="3" t="s">
        <v>1047</v>
      </c>
      <c r="F1170" s="5">
        <v>46167.56875</v>
      </c>
      <c r="G1170" s="5">
        <v>46164.755520833336</v>
      </c>
      <c r="H1170" s="3" t="s">
        <v>14</v>
      </c>
      <c r="I1170" s="7">
        <v>0.0</v>
      </c>
      <c r="J1170" s="3" t="s">
        <v>15</v>
      </c>
    </row>
    <row r="1171">
      <c r="A1171" s="3"/>
      <c r="B1171" s="3"/>
      <c r="C1171" s="3" t="s">
        <v>26</v>
      </c>
      <c r="D1171" s="4" t="s">
        <v>1046</v>
      </c>
      <c r="E1171" s="3" t="s">
        <v>1047</v>
      </c>
      <c r="F1171" s="5">
        <v>46167.61041666667</v>
      </c>
      <c r="G1171" s="5">
        <v>46164.75555555556</v>
      </c>
      <c r="H1171" s="3" t="s">
        <v>14</v>
      </c>
      <c r="I1171" s="7">
        <v>0.0</v>
      </c>
      <c r="J1171" s="3" t="s">
        <v>15</v>
      </c>
    </row>
    <row r="1172">
      <c r="A1172" s="3"/>
      <c r="B1172" s="3"/>
      <c r="C1172" s="3" t="s">
        <v>10</v>
      </c>
      <c r="D1172" s="4" t="s">
        <v>1049</v>
      </c>
      <c r="E1172" s="3" t="s">
        <v>1050</v>
      </c>
      <c r="F1172" s="5">
        <v>46165.46597222222</v>
      </c>
      <c r="G1172" s="5">
        <v>46164.74267361111</v>
      </c>
      <c r="H1172" s="3" t="s">
        <v>14</v>
      </c>
      <c r="I1172" s="3">
        <v>0.0</v>
      </c>
      <c r="J1172" s="3" t="s">
        <v>72</v>
      </c>
    </row>
    <row r="1173">
      <c r="A1173" s="3"/>
      <c r="B1173" s="3"/>
      <c r="C1173" s="3" t="s">
        <v>17</v>
      </c>
      <c r="D1173" s="4" t="s">
        <v>1049</v>
      </c>
      <c r="E1173" s="3" t="s">
        <v>1050</v>
      </c>
      <c r="F1173" s="5">
        <v>46165.472916666666</v>
      </c>
      <c r="G1173" s="5">
        <v>46164.7430787037</v>
      </c>
      <c r="H1173" s="3" t="s">
        <v>14</v>
      </c>
      <c r="I1173" s="7">
        <v>0.0</v>
      </c>
      <c r="J1173" s="3" t="s">
        <v>72</v>
      </c>
    </row>
    <row r="1174">
      <c r="A1174" s="3"/>
      <c r="B1174" s="3"/>
      <c r="C1174" s="3" t="s">
        <v>21</v>
      </c>
      <c r="D1174" s="4" t="s">
        <v>1049</v>
      </c>
      <c r="E1174" s="3" t="s">
        <v>1050</v>
      </c>
      <c r="F1174" s="5">
        <v>46165.57708333333</v>
      </c>
      <c r="G1174" s="5">
        <v>46164.756319444445</v>
      </c>
      <c r="H1174" s="3" t="s">
        <v>14</v>
      </c>
      <c r="I1174" s="7">
        <v>0.0</v>
      </c>
      <c r="J1174" s="3" t="s">
        <v>72</v>
      </c>
    </row>
    <row r="1175">
      <c r="A1175" s="3"/>
      <c r="B1175" s="3"/>
      <c r="C1175" s="3" t="s">
        <v>24</v>
      </c>
      <c r="D1175" s="4" t="s">
        <v>1049</v>
      </c>
      <c r="E1175" s="3" t="s">
        <v>1050</v>
      </c>
      <c r="F1175" s="5">
        <v>46167.57708333333</v>
      </c>
      <c r="G1175" s="5">
        <v>46165.49521990741</v>
      </c>
      <c r="H1175" s="3" t="s">
        <v>14</v>
      </c>
      <c r="I1175" s="7">
        <v>0.0</v>
      </c>
      <c r="J1175" s="3" t="s">
        <v>72</v>
      </c>
    </row>
    <row r="1176">
      <c r="A1176" s="3"/>
      <c r="B1176" s="3"/>
      <c r="C1176" s="3" t="s">
        <v>26</v>
      </c>
      <c r="D1176" s="4" t="s">
        <v>1049</v>
      </c>
      <c r="E1176" s="3" t="s">
        <v>1050</v>
      </c>
      <c r="F1176" s="5">
        <v>46167.61875</v>
      </c>
      <c r="G1176" s="5">
        <v>46167.42967592592</v>
      </c>
      <c r="H1176" s="3" t="s">
        <v>14</v>
      </c>
      <c r="I1176" s="7">
        <v>0.0</v>
      </c>
      <c r="J1176" s="3" t="s">
        <v>72</v>
      </c>
    </row>
    <row r="1177">
      <c r="A1177" s="3"/>
      <c r="B1177" s="3"/>
      <c r="C1177" s="3" t="s">
        <v>10</v>
      </c>
      <c r="D1177" s="4" t="s">
        <v>1052</v>
      </c>
      <c r="E1177" s="3" t="s">
        <v>1053</v>
      </c>
      <c r="F1177" s="5">
        <v>46165.47430555556</v>
      </c>
      <c r="G1177" s="5">
        <v>46164.74270833333</v>
      </c>
      <c r="H1177" s="3" t="s">
        <v>14</v>
      </c>
      <c r="I1177" s="3">
        <v>0.0</v>
      </c>
      <c r="J1177" s="3" t="s">
        <v>72</v>
      </c>
    </row>
    <row r="1178">
      <c r="A1178" s="3"/>
      <c r="B1178" s="3"/>
      <c r="C1178" s="3" t="s">
        <v>17</v>
      </c>
      <c r="D1178" s="4" t="s">
        <v>1052</v>
      </c>
      <c r="E1178" s="3" t="s">
        <v>1053</v>
      </c>
      <c r="F1178" s="5">
        <v>46165.48125</v>
      </c>
      <c r="G1178" s="5">
        <v>46164.74306712963</v>
      </c>
      <c r="H1178" s="3" t="s">
        <v>14</v>
      </c>
      <c r="I1178" s="7">
        <v>0.0</v>
      </c>
      <c r="J1178" s="3" t="s">
        <v>72</v>
      </c>
    </row>
    <row r="1179">
      <c r="A1179" s="3"/>
      <c r="B1179" s="3"/>
      <c r="C1179" s="3" t="s">
        <v>21</v>
      </c>
      <c r="D1179" s="4" t="s">
        <v>1052</v>
      </c>
      <c r="E1179" s="3" t="s">
        <v>1053</v>
      </c>
      <c r="F1179" s="5">
        <v>46165.58541666667</v>
      </c>
      <c r="G1179" s="5">
        <v>46164.75633101852</v>
      </c>
      <c r="H1179" s="3" t="s">
        <v>14</v>
      </c>
      <c r="I1179" s="7">
        <v>0.0</v>
      </c>
      <c r="J1179" s="3" t="s">
        <v>72</v>
      </c>
    </row>
    <row r="1180">
      <c r="A1180" s="3"/>
      <c r="B1180" s="3"/>
      <c r="C1180" s="3" t="s">
        <v>24</v>
      </c>
      <c r="D1180" s="4" t="s">
        <v>1052</v>
      </c>
      <c r="E1180" s="3" t="s">
        <v>1053</v>
      </c>
      <c r="F1180" s="5">
        <v>46167.58541666667</v>
      </c>
      <c r="G1180" s="5">
        <v>46165.49528935185</v>
      </c>
      <c r="H1180" s="3" t="s">
        <v>14</v>
      </c>
      <c r="I1180" s="7">
        <v>0.0</v>
      </c>
      <c r="J1180" s="3" t="s">
        <v>72</v>
      </c>
    </row>
    <row r="1181">
      <c r="A1181" s="3"/>
      <c r="B1181" s="3"/>
      <c r="C1181" s="3" t="s">
        <v>26</v>
      </c>
      <c r="D1181" s="4" t="s">
        <v>1052</v>
      </c>
      <c r="E1181" s="3" t="s">
        <v>1053</v>
      </c>
      <c r="F1181" s="5">
        <v>46167.62708333333</v>
      </c>
      <c r="G1181" s="5">
        <v>46167.42969907408</v>
      </c>
      <c r="H1181" s="3" t="s">
        <v>14</v>
      </c>
      <c r="I1181" s="7">
        <v>0.0</v>
      </c>
      <c r="J1181" s="3" t="s">
        <v>72</v>
      </c>
    </row>
    <row r="1182">
      <c r="A1182" s="3"/>
      <c r="B1182" s="3"/>
      <c r="C1182" s="3" t="s">
        <v>10</v>
      </c>
      <c r="D1182" s="4" t="s">
        <v>1055</v>
      </c>
      <c r="E1182" s="3" t="s">
        <v>1056</v>
      </c>
      <c r="F1182" s="5">
        <v>46165.554236111115</v>
      </c>
      <c r="G1182" s="5">
        <v>46165.462175925924</v>
      </c>
      <c r="H1182" s="3" t="s">
        <v>14</v>
      </c>
      <c r="I1182" s="3">
        <v>0.0</v>
      </c>
      <c r="J1182" s="3" t="s">
        <v>15</v>
      </c>
    </row>
    <row r="1183">
      <c r="A1183" s="3"/>
      <c r="B1183" s="3"/>
      <c r="C1183" s="3" t="s">
        <v>17</v>
      </c>
      <c r="D1183" s="4" t="s">
        <v>1055</v>
      </c>
      <c r="E1183" s="3" t="s">
        <v>1056</v>
      </c>
      <c r="F1183" s="5">
        <v>46165.56118055555</v>
      </c>
      <c r="G1183" s="5">
        <v>46165.462233796294</v>
      </c>
      <c r="H1183" s="3" t="s">
        <v>14</v>
      </c>
      <c r="I1183" s="7">
        <v>0.0</v>
      </c>
      <c r="J1183" s="3" t="s">
        <v>15</v>
      </c>
    </row>
    <row r="1184">
      <c r="A1184" s="3"/>
      <c r="B1184" s="3"/>
      <c r="C1184" s="3" t="s">
        <v>21</v>
      </c>
      <c r="D1184" s="4" t="s">
        <v>1055</v>
      </c>
      <c r="E1184" s="3" t="s">
        <v>1056</v>
      </c>
      <c r="F1184" s="5">
        <v>46165.665347222224</v>
      </c>
      <c r="G1184" s="5">
        <v>46165.46225694445</v>
      </c>
      <c r="H1184" s="3" t="s">
        <v>14</v>
      </c>
      <c r="I1184" s="7">
        <v>0.0</v>
      </c>
      <c r="J1184" s="3" t="s">
        <v>15</v>
      </c>
    </row>
    <row r="1185">
      <c r="A1185" s="3"/>
      <c r="B1185" s="3"/>
      <c r="C1185" s="3" t="s">
        <v>24</v>
      </c>
      <c r="D1185" s="4" t="s">
        <v>1055</v>
      </c>
      <c r="E1185" s="3" t="s">
        <v>1056</v>
      </c>
      <c r="F1185" s="5">
        <v>46167.66527777778</v>
      </c>
      <c r="G1185" s="5">
        <v>46165.46229166666</v>
      </c>
      <c r="H1185" s="3" t="s">
        <v>14</v>
      </c>
      <c r="I1185" s="7">
        <v>0.0</v>
      </c>
      <c r="J1185" s="3" t="s">
        <v>15</v>
      </c>
    </row>
    <row r="1186">
      <c r="A1186" s="3"/>
      <c r="B1186" s="3"/>
      <c r="C1186" s="3" t="s">
        <v>26</v>
      </c>
      <c r="D1186" s="4" t="s">
        <v>1055</v>
      </c>
      <c r="E1186" s="3" t="s">
        <v>1056</v>
      </c>
      <c r="F1186" s="5">
        <v>46167.70694444444</v>
      </c>
      <c r="G1186" s="5">
        <v>46165.46233796296</v>
      </c>
      <c r="H1186" s="3" t="s">
        <v>14</v>
      </c>
      <c r="I1186" s="7">
        <v>0.0</v>
      </c>
      <c r="J1186" s="3" t="s">
        <v>15</v>
      </c>
    </row>
    <row r="1187">
      <c r="A1187" s="3"/>
      <c r="B1187" s="3"/>
      <c r="C1187" s="3" t="s">
        <v>10</v>
      </c>
      <c r="D1187" s="4" t="s">
        <v>1058</v>
      </c>
      <c r="E1187" s="3" t="s">
        <v>727</v>
      </c>
      <c r="F1187" s="5">
        <v>46167.4712037037</v>
      </c>
      <c r="G1187" s="5">
        <v>46165.67224537037</v>
      </c>
      <c r="H1187" s="3" t="s">
        <v>14</v>
      </c>
      <c r="I1187" s="3">
        <v>0.0</v>
      </c>
      <c r="J1187" s="3" t="s">
        <v>15</v>
      </c>
    </row>
    <row r="1188">
      <c r="A1188" s="3"/>
      <c r="B1188" s="3"/>
      <c r="C1188" s="3" t="s">
        <v>17</v>
      </c>
      <c r="D1188" s="4" t="s">
        <v>1058</v>
      </c>
      <c r="E1188" s="3" t="s">
        <v>727</v>
      </c>
      <c r="F1188" s="5">
        <v>46167.47814814815</v>
      </c>
      <c r="G1188" s="5">
        <v>46165.672326388885</v>
      </c>
      <c r="H1188" s="3" t="s">
        <v>14</v>
      </c>
      <c r="I1188" s="7">
        <v>0.0</v>
      </c>
      <c r="J1188" s="3" t="s">
        <v>15</v>
      </c>
    </row>
    <row r="1189">
      <c r="A1189" s="3"/>
      <c r="B1189" s="3"/>
      <c r="C1189" s="3" t="s">
        <v>21</v>
      </c>
      <c r="D1189" s="4" t="s">
        <v>1058</v>
      </c>
      <c r="E1189" s="3" t="s">
        <v>727</v>
      </c>
      <c r="F1189" s="5">
        <v>46167.58231481481</v>
      </c>
      <c r="G1189" s="5">
        <v>46165.672418981485</v>
      </c>
      <c r="H1189" s="3" t="s">
        <v>14</v>
      </c>
      <c r="I1189" s="7">
        <v>0.0</v>
      </c>
      <c r="J1189" s="3" t="s">
        <v>15</v>
      </c>
    </row>
    <row r="1190">
      <c r="A1190" s="3"/>
      <c r="B1190" s="3"/>
      <c r="C1190" s="3" t="s">
        <v>24</v>
      </c>
      <c r="D1190" s="4" t="s">
        <v>1058</v>
      </c>
      <c r="E1190" s="3" t="s">
        <v>727</v>
      </c>
      <c r="F1190" s="5">
        <v>46168.58194444444</v>
      </c>
      <c r="G1190" s="5">
        <v>46165.68420138889</v>
      </c>
      <c r="H1190" s="3" t="s">
        <v>14</v>
      </c>
      <c r="I1190" s="7">
        <v>0.0</v>
      </c>
      <c r="J1190" s="3" t="s">
        <v>15</v>
      </c>
    </row>
    <row r="1191">
      <c r="A1191" s="3"/>
      <c r="B1191" s="3"/>
      <c r="C1191" s="3" t="s">
        <v>26</v>
      </c>
      <c r="D1191" s="4" t="s">
        <v>1058</v>
      </c>
      <c r="E1191" s="3" t="s">
        <v>727</v>
      </c>
      <c r="F1191" s="5">
        <v>46168.623611111114</v>
      </c>
      <c r="G1191" s="5">
        <v>46165.684224537035</v>
      </c>
      <c r="H1191" s="3" t="s">
        <v>14</v>
      </c>
      <c r="I1191" s="7">
        <v>0.0</v>
      </c>
      <c r="J1191" s="3" t="s">
        <v>15</v>
      </c>
    </row>
    <row r="1192">
      <c r="A1192" s="3"/>
      <c r="B1192" s="3"/>
      <c r="C1192" s="3" t="s">
        <v>10</v>
      </c>
      <c r="D1192" s="4" t="s">
        <v>1061</v>
      </c>
      <c r="E1192" s="3" t="s">
        <v>1062</v>
      </c>
      <c r="F1192" s="5">
        <v>46167.67369212963</v>
      </c>
      <c r="G1192" s="5">
        <v>46167.55479166667</v>
      </c>
      <c r="H1192" s="3" t="s">
        <v>14</v>
      </c>
      <c r="I1192" s="3">
        <v>0.0</v>
      </c>
      <c r="J1192" s="3" t="s">
        <v>15</v>
      </c>
    </row>
    <row r="1193">
      <c r="A1193" s="3"/>
      <c r="B1193" s="3"/>
      <c r="C1193" s="3" t="s">
        <v>17</v>
      </c>
      <c r="D1193" s="4" t="s">
        <v>1061</v>
      </c>
      <c r="E1193" s="3" t="s">
        <v>1062</v>
      </c>
      <c r="F1193" s="5">
        <v>46167.68063657408</v>
      </c>
      <c r="G1193" s="5">
        <v>46167.55486111111</v>
      </c>
      <c r="H1193" s="3" t="s">
        <v>14</v>
      </c>
      <c r="I1193" s="7">
        <v>0.0</v>
      </c>
      <c r="J1193" s="3" t="s">
        <v>15</v>
      </c>
    </row>
    <row r="1194">
      <c r="A1194" s="3"/>
      <c r="B1194" s="3"/>
      <c r="C1194" s="3" t="s">
        <v>21</v>
      </c>
      <c r="D1194" s="4" t="s">
        <v>1061</v>
      </c>
      <c r="E1194" s="3" t="s">
        <v>1062</v>
      </c>
      <c r="F1194" s="5">
        <v>46167.78480324074</v>
      </c>
      <c r="G1194" s="5">
        <v>46167.55488425926</v>
      </c>
      <c r="H1194" s="3" t="s">
        <v>14</v>
      </c>
      <c r="I1194" s="7">
        <v>0.0</v>
      </c>
      <c r="J1194" s="3" t="s">
        <v>15</v>
      </c>
    </row>
    <row r="1195">
      <c r="A1195" s="3"/>
      <c r="B1195" s="3"/>
      <c r="C1195" s="3" t="s">
        <v>24</v>
      </c>
      <c r="D1195" s="4" t="s">
        <v>1061</v>
      </c>
      <c r="E1195" s="3" t="s">
        <v>1062</v>
      </c>
      <c r="F1195" s="5">
        <v>46168.78472222222</v>
      </c>
      <c r="G1195" s="5">
        <v>46167.5549537037</v>
      </c>
      <c r="H1195" s="3" t="s">
        <v>14</v>
      </c>
      <c r="I1195" s="7">
        <v>0.0</v>
      </c>
      <c r="J1195" s="3" t="s">
        <v>15</v>
      </c>
    </row>
    <row r="1196">
      <c r="A1196" s="3"/>
      <c r="B1196" s="3"/>
      <c r="C1196" s="3" t="s">
        <v>26</v>
      </c>
      <c r="D1196" s="4" t="s">
        <v>1061</v>
      </c>
      <c r="E1196" s="3" t="s">
        <v>1062</v>
      </c>
      <c r="F1196" s="5">
        <v>46168.82638888889</v>
      </c>
      <c r="G1196" s="5">
        <v>46168.008888888886</v>
      </c>
      <c r="H1196" s="3" t="s">
        <v>14</v>
      </c>
      <c r="I1196" s="7">
        <v>0.0</v>
      </c>
      <c r="J1196" s="3" t="s">
        <v>15</v>
      </c>
    </row>
    <row r="1197">
      <c r="A1197" s="3"/>
      <c r="B1197" s="3"/>
      <c r="C1197" s="3" t="s">
        <v>10</v>
      </c>
      <c r="D1197" s="4" t="s">
        <v>1064</v>
      </c>
      <c r="E1197" s="3" t="s">
        <v>894</v>
      </c>
      <c r="F1197" s="5">
        <v>46168.45486111111</v>
      </c>
      <c r="G1197" s="5">
        <v>46167.72818287037</v>
      </c>
      <c r="H1197" s="3" t="s">
        <v>14</v>
      </c>
      <c r="I1197" s="3">
        <v>0.0</v>
      </c>
      <c r="J1197" s="3" t="s">
        <v>15</v>
      </c>
    </row>
    <row r="1198">
      <c r="A1198" s="3"/>
      <c r="B1198" s="3"/>
      <c r="C1198" s="3" t="s">
        <v>17</v>
      </c>
      <c r="D1198" s="4" t="s">
        <v>1064</v>
      </c>
      <c r="E1198" s="3" t="s">
        <v>894</v>
      </c>
      <c r="F1198" s="5">
        <v>46168.461805555555</v>
      </c>
      <c r="G1198" s="5">
        <v>46167.72943287037</v>
      </c>
      <c r="H1198" s="3" t="s">
        <v>14</v>
      </c>
      <c r="I1198" s="7">
        <v>0.0</v>
      </c>
      <c r="J1198" s="3" t="s">
        <v>15</v>
      </c>
    </row>
    <row r="1199">
      <c r="A1199" s="3"/>
      <c r="B1199" s="3"/>
      <c r="C1199" s="3" t="s">
        <v>21</v>
      </c>
      <c r="D1199" s="4" t="s">
        <v>1064</v>
      </c>
      <c r="E1199" s="3" t="s">
        <v>894</v>
      </c>
      <c r="F1199" s="5">
        <v>46168.56597222222</v>
      </c>
      <c r="G1199" s="5">
        <v>46168.00877314815</v>
      </c>
      <c r="H1199" s="3" t="s">
        <v>14</v>
      </c>
      <c r="I1199" s="7">
        <v>0.0</v>
      </c>
      <c r="J1199" s="3" t="s">
        <v>15</v>
      </c>
    </row>
    <row r="1200">
      <c r="A1200" s="3"/>
      <c r="B1200" s="3"/>
      <c r="C1200" s="3" t="s">
        <v>24</v>
      </c>
      <c r="D1200" s="4" t="s">
        <v>1064</v>
      </c>
      <c r="E1200" s="3" t="s">
        <v>894</v>
      </c>
      <c r="F1200" s="5">
        <v>46169.56597222222</v>
      </c>
      <c r="G1200" s="5">
        <v>46169.510196759256</v>
      </c>
      <c r="H1200" s="3" t="s">
        <v>14</v>
      </c>
      <c r="I1200" s="7">
        <v>0.0</v>
      </c>
      <c r="J1200" s="3" t="s">
        <v>15</v>
      </c>
    </row>
    <row r="1201">
      <c r="A1201" s="3"/>
      <c r="B1201" s="3"/>
      <c r="C1201" s="3" t="s">
        <v>26</v>
      </c>
      <c r="D1201" s="4" t="s">
        <v>1064</v>
      </c>
      <c r="E1201" s="3" t="s">
        <v>894</v>
      </c>
      <c r="F1201" s="5">
        <v>46169.60763888889</v>
      </c>
      <c r="G1201" s="5">
        <v>46169.560011574074</v>
      </c>
      <c r="H1201" s="3" t="s">
        <v>14</v>
      </c>
      <c r="I1201" s="7">
        <v>0.0</v>
      </c>
      <c r="J1201" s="3" t="s">
        <v>15</v>
      </c>
    </row>
    <row r="1202">
      <c r="A1202" s="3"/>
      <c r="B1202" s="3"/>
      <c r="C1202" s="3" t="s">
        <v>10</v>
      </c>
      <c r="D1202" s="4" t="s">
        <v>1067</v>
      </c>
      <c r="E1202" s="3" t="s">
        <v>1068</v>
      </c>
      <c r="F1202" s="5">
        <v>46168.46388888889</v>
      </c>
      <c r="G1202" s="5">
        <v>46167.72820601852</v>
      </c>
      <c r="H1202" s="3" t="s">
        <v>14</v>
      </c>
      <c r="I1202" s="3">
        <v>0.0</v>
      </c>
      <c r="J1202" s="3" t="s">
        <v>72</v>
      </c>
    </row>
    <row r="1203">
      <c r="A1203" s="3"/>
      <c r="B1203" s="3"/>
      <c r="C1203" s="3" t="s">
        <v>17</v>
      </c>
      <c r="D1203" s="4" t="s">
        <v>1067</v>
      </c>
      <c r="E1203" s="3" t="s">
        <v>1068</v>
      </c>
      <c r="F1203" s="5">
        <v>46168.47083333333</v>
      </c>
      <c r="G1203" s="5">
        <v>46167.729375</v>
      </c>
      <c r="H1203" s="3" t="s">
        <v>14</v>
      </c>
      <c r="I1203" s="7">
        <v>0.0</v>
      </c>
      <c r="J1203" s="3" t="s">
        <v>72</v>
      </c>
    </row>
    <row r="1204">
      <c r="A1204" s="3"/>
      <c r="B1204" s="3"/>
      <c r="C1204" s="3" t="s">
        <v>21</v>
      </c>
      <c r="D1204" s="4" t="s">
        <v>1067</v>
      </c>
      <c r="E1204" s="3" t="s">
        <v>1068</v>
      </c>
      <c r="F1204" s="5">
        <v>46168.575</v>
      </c>
      <c r="G1204" s="5">
        <v>46167.72945601852</v>
      </c>
      <c r="H1204" s="3" t="s">
        <v>14</v>
      </c>
      <c r="I1204" s="7">
        <v>0.0</v>
      </c>
      <c r="J1204" s="3" t="s">
        <v>72</v>
      </c>
    </row>
    <row r="1205">
      <c r="A1205" s="3"/>
      <c r="B1205" s="3"/>
      <c r="C1205" s="3" t="s">
        <v>24</v>
      </c>
      <c r="D1205" s="4" t="s">
        <v>1067</v>
      </c>
      <c r="E1205" s="3" t="s">
        <v>1068</v>
      </c>
      <c r="F1205" s="5">
        <v>46169.575</v>
      </c>
      <c r="G1205" s="5">
        <v>46168.44572916667</v>
      </c>
      <c r="H1205" s="3" t="s">
        <v>14</v>
      </c>
      <c r="I1205" s="7">
        <v>0.0</v>
      </c>
      <c r="J1205" s="3" t="s">
        <v>72</v>
      </c>
    </row>
    <row r="1206">
      <c r="A1206" s="3"/>
      <c r="B1206" s="3"/>
      <c r="C1206" s="3" t="s">
        <v>26</v>
      </c>
      <c r="D1206" s="4" t="s">
        <v>1067</v>
      </c>
      <c r="E1206" s="3" t="s">
        <v>1068</v>
      </c>
      <c r="F1206" s="5">
        <v>46169.61666666667</v>
      </c>
      <c r="G1206" s="5">
        <v>46168.4458912037</v>
      </c>
      <c r="H1206" s="3" t="s">
        <v>14</v>
      </c>
      <c r="I1206" s="7">
        <v>0.0</v>
      </c>
      <c r="J1206" s="3" t="s">
        <v>72</v>
      </c>
    </row>
    <row r="1207">
      <c r="A1207" s="3"/>
      <c r="B1207" s="3"/>
      <c r="C1207" s="3" t="s">
        <v>10</v>
      </c>
      <c r="D1207" s="4" t="s">
        <v>1069</v>
      </c>
      <c r="E1207" s="3" t="s">
        <v>1070</v>
      </c>
      <c r="F1207" s="5">
        <v>46168.47430555556</v>
      </c>
      <c r="G1207" s="5">
        <v>46167.728171296294</v>
      </c>
      <c r="H1207" s="3" t="s">
        <v>14</v>
      </c>
      <c r="I1207" s="3">
        <v>0.0</v>
      </c>
      <c r="J1207" s="3" t="s">
        <v>72</v>
      </c>
    </row>
    <row r="1208">
      <c r="A1208" s="3"/>
      <c r="B1208" s="3"/>
      <c r="C1208" s="3" t="s">
        <v>17</v>
      </c>
      <c r="D1208" s="4" t="s">
        <v>1069</v>
      </c>
      <c r="E1208" s="3" t="s">
        <v>1070</v>
      </c>
      <c r="F1208" s="5">
        <v>46168.48125</v>
      </c>
      <c r="G1208" s="5">
        <v>46167.729375</v>
      </c>
      <c r="H1208" s="3" t="s">
        <v>14</v>
      </c>
      <c r="I1208" s="7">
        <v>0.0</v>
      </c>
      <c r="J1208" s="3" t="s">
        <v>72</v>
      </c>
    </row>
    <row r="1209">
      <c r="A1209" s="3"/>
      <c r="B1209" s="3"/>
      <c r="C1209" s="3" t="s">
        <v>21</v>
      </c>
      <c r="D1209" s="4" t="s">
        <v>1069</v>
      </c>
      <c r="E1209" s="3" t="s">
        <v>1070</v>
      </c>
      <c r="F1209" s="5">
        <v>46168.58541666667</v>
      </c>
      <c r="G1209" s="5">
        <v>46167.72945601852</v>
      </c>
      <c r="H1209" s="3" t="s">
        <v>14</v>
      </c>
      <c r="I1209" s="7">
        <v>0.0</v>
      </c>
      <c r="J1209" s="3" t="s">
        <v>72</v>
      </c>
    </row>
    <row r="1210">
      <c r="A1210" s="3"/>
      <c r="B1210" s="3"/>
      <c r="C1210" s="3" t="s">
        <v>24</v>
      </c>
      <c r="D1210" s="4" t="s">
        <v>1069</v>
      </c>
      <c r="E1210" s="3" t="s">
        <v>1070</v>
      </c>
      <c r="F1210" s="5">
        <v>46169.58541666667</v>
      </c>
      <c r="G1210" s="5">
        <v>46168.44572916667</v>
      </c>
      <c r="H1210" s="3" t="s">
        <v>14</v>
      </c>
      <c r="I1210" s="7">
        <v>0.0</v>
      </c>
      <c r="J1210" s="3" t="s">
        <v>72</v>
      </c>
    </row>
    <row r="1211">
      <c r="A1211" s="3"/>
      <c r="B1211" s="3"/>
      <c r="C1211" s="3" t="s">
        <v>26</v>
      </c>
      <c r="D1211" s="4" t="s">
        <v>1069</v>
      </c>
      <c r="E1211" s="3" t="s">
        <v>1070</v>
      </c>
      <c r="F1211" s="5">
        <v>46169.62708333333</v>
      </c>
      <c r="G1211" s="5">
        <v>46168.44590277778</v>
      </c>
      <c r="H1211" s="3" t="s">
        <v>14</v>
      </c>
      <c r="I1211" s="7">
        <v>0.0</v>
      </c>
      <c r="J1211" s="3" t="s">
        <v>72</v>
      </c>
    </row>
    <row r="1212">
      <c r="A1212" s="3"/>
      <c r="B1212" s="3"/>
      <c r="C1212" s="3" t="s">
        <v>10</v>
      </c>
      <c r="D1212" s="4" t="s">
        <v>1072</v>
      </c>
      <c r="E1212" s="3" t="s">
        <v>1070</v>
      </c>
      <c r="F1212" s="5">
        <v>46168.47638888889</v>
      </c>
      <c r="G1212" s="5">
        <v>46167.728171296294</v>
      </c>
      <c r="H1212" s="3" t="s">
        <v>14</v>
      </c>
      <c r="I1212" s="3">
        <v>0.0</v>
      </c>
      <c r="J1212" s="3" t="s">
        <v>72</v>
      </c>
    </row>
    <row r="1213">
      <c r="A1213" s="3"/>
      <c r="B1213" s="3"/>
      <c r="C1213" s="3" t="s">
        <v>17</v>
      </c>
      <c r="D1213" s="4" t="s">
        <v>1072</v>
      </c>
      <c r="E1213" s="3" t="s">
        <v>1070</v>
      </c>
      <c r="F1213" s="5">
        <v>46168.48333333333</v>
      </c>
      <c r="G1213" s="5">
        <v>46167.72938657407</v>
      </c>
      <c r="H1213" s="3" t="s">
        <v>14</v>
      </c>
      <c r="I1213" s="7">
        <v>0.0</v>
      </c>
      <c r="J1213" s="3" t="s">
        <v>72</v>
      </c>
    </row>
    <row r="1214">
      <c r="A1214" s="3"/>
      <c r="B1214" s="3"/>
      <c r="C1214" s="3" t="s">
        <v>21</v>
      </c>
      <c r="D1214" s="4" t="s">
        <v>1072</v>
      </c>
      <c r="E1214" s="3" t="s">
        <v>1070</v>
      </c>
      <c r="F1214" s="5">
        <v>46168.5875</v>
      </c>
      <c r="G1214" s="5">
        <v>46167.729467592595</v>
      </c>
      <c r="H1214" s="3" t="s">
        <v>14</v>
      </c>
      <c r="I1214" s="7">
        <v>0.0</v>
      </c>
      <c r="J1214" s="3" t="s">
        <v>72</v>
      </c>
    </row>
    <row r="1215">
      <c r="A1215" s="3"/>
      <c r="B1215" s="3"/>
      <c r="C1215" s="3" t="s">
        <v>24</v>
      </c>
      <c r="D1215" s="4" t="s">
        <v>1072</v>
      </c>
      <c r="E1215" s="3" t="s">
        <v>1070</v>
      </c>
      <c r="F1215" s="5">
        <v>46169.5875</v>
      </c>
      <c r="G1215" s="5">
        <v>46168.44572916667</v>
      </c>
      <c r="H1215" s="3" t="s">
        <v>14</v>
      </c>
      <c r="I1215" s="7">
        <v>0.0</v>
      </c>
      <c r="J1215" s="3" t="s">
        <v>72</v>
      </c>
    </row>
    <row r="1216">
      <c r="A1216" s="3"/>
      <c r="B1216" s="3"/>
      <c r="C1216" s="3" t="s">
        <v>26</v>
      </c>
      <c r="D1216" s="4" t="s">
        <v>1072</v>
      </c>
      <c r="E1216" s="3" t="s">
        <v>1070</v>
      </c>
      <c r="F1216" s="5">
        <v>46169.629166666666</v>
      </c>
      <c r="G1216" s="5">
        <v>46168.44590277778</v>
      </c>
      <c r="H1216" s="3" t="s">
        <v>14</v>
      </c>
      <c r="I1216" s="7">
        <v>0.0</v>
      </c>
      <c r="J1216" s="3" t="s">
        <v>72</v>
      </c>
    </row>
    <row r="1217">
      <c r="A1217" s="3"/>
      <c r="B1217" s="3"/>
      <c r="C1217" s="3" t="s">
        <v>10</v>
      </c>
      <c r="D1217" s="4" t="s">
        <v>1075</v>
      </c>
      <c r="E1217" s="3" t="s">
        <v>1076</v>
      </c>
      <c r="F1217" s="5">
        <v>46168.48611111111</v>
      </c>
      <c r="G1217" s="5">
        <v>46167.7409375</v>
      </c>
      <c r="H1217" s="3" t="s">
        <v>14</v>
      </c>
      <c r="I1217" s="3">
        <v>0.0</v>
      </c>
      <c r="J1217" s="3" t="s">
        <v>72</v>
      </c>
    </row>
    <row r="1218">
      <c r="A1218" s="3"/>
      <c r="B1218" s="3"/>
      <c r="C1218" s="3" t="s">
        <v>17</v>
      </c>
      <c r="D1218" s="4" t="s">
        <v>1075</v>
      </c>
      <c r="E1218" s="3" t="s">
        <v>1076</v>
      </c>
      <c r="F1218" s="5">
        <v>46168.493055555555</v>
      </c>
      <c r="G1218" s="5">
        <v>46167.7409837963</v>
      </c>
      <c r="H1218" s="3" t="s">
        <v>14</v>
      </c>
      <c r="I1218" s="7">
        <v>0.0</v>
      </c>
      <c r="J1218" s="3" t="s">
        <v>72</v>
      </c>
    </row>
    <row r="1219">
      <c r="A1219" s="3"/>
      <c r="B1219" s="3"/>
      <c r="C1219" s="3" t="s">
        <v>21</v>
      </c>
      <c r="D1219" s="4" t="s">
        <v>1075</v>
      </c>
      <c r="E1219" s="3" t="s">
        <v>1076</v>
      </c>
      <c r="F1219" s="5">
        <v>46168.59722222222</v>
      </c>
      <c r="G1219" s="5">
        <v>46167.74103009259</v>
      </c>
      <c r="H1219" s="3" t="s">
        <v>14</v>
      </c>
      <c r="I1219" s="7">
        <v>0.0</v>
      </c>
      <c r="J1219" s="3" t="s">
        <v>72</v>
      </c>
    </row>
    <row r="1220">
      <c r="A1220" s="3"/>
      <c r="B1220" s="3"/>
      <c r="C1220" s="3" t="s">
        <v>24</v>
      </c>
      <c r="D1220" s="4" t="s">
        <v>1075</v>
      </c>
      <c r="E1220" s="3" t="s">
        <v>1076</v>
      </c>
      <c r="F1220" s="5">
        <v>46169.59722222222</v>
      </c>
      <c r="G1220" s="5">
        <v>46168.44572916667</v>
      </c>
      <c r="H1220" s="3" t="s">
        <v>14</v>
      </c>
      <c r="I1220" s="7">
        <v>0.0</v>
      </c>
      <c r="J1220" s="3" t="s">
        <v>72</v>
      </c>
    </row>
    <row r="1221">
      <c r="A1221" s="3"/>
      <c r="B1221" s="3"/>
      <c r="C1221" s="3" t="s">
        <v>26</v>
      </c>
      <c r="D1221" s="4" t="s">
        <v>1075</v>
      </c>
      <c r="E1221" s="3" t="s">
        <v>1076</v>
      </c>
      <c r="F1221" s="5">
        <v>46169.63888888889</v>
      </c>
      <c r="G1221" s="5">
        <v>46168.445914351854</v>
      </c>
      <c r="H1221" s="3" t="s">
        <v>14</v>
      </c>
      <c r="I1221" s="7">
        <v>0.0</v>
      </c>
      <c r="J1221" s="3" t="s">
        <v>72</v>
      </c>
    </row>
    <row r="1222">
      <c r="A1222" s="3"/>
      <c r="B1222" s="3"/>
      <c r="C1222" s="3" t="s">
        <v>10</v>
      </c>
      <c r="D1222" s="4" t="s">
        <v>1077</v>
      </c>
      <c r="E1222" s="3">
        <v>5231.0</v>
      </c>
      <c r="F1222" s="5">
        <v>46168.53055555555</v>
      </c>
      <c r="G1222" s="5">
        <v>46168.44553240741</v>
      </c>
      <c r="H1222" s="3" t="s">
        <v>14</v>
      </c>
      <c r="I1222" s="3">
        <v>0.0</v>
      </c>
      <c r="J1222" s="3" t="s">
        <v>72</v>
      </c>
    </row>
    <row r="1223">
      <c r="A1223" s="3"/>
      <c r="B1223" s="3"/>
      <c r="C1223" s="3" t="s">
        <v>17</v>
      </c>
      <c r="D1223" s="4" t="s">
        <v>1077</v>
      </c>
      <c r="E1223" s="3">
        <v>5231.0</v>
      </c>
      <c r="F1223" s="5">
        <v>46168.5375</v>
      </c>
      <c r="G1223" s="5">
        <v>46168.44561342592</v>
      </c>
      <c r="H1223" s="3" t="s">
        <v>14</v>
      </c>
      <c r="I1223" s="7">
        <v>0.0</v>
      </c>
      <c r="J1223" s="3" t="s">
        <v>72</v>
      </c>
    </row>
    <row r="1224">
      <c r="A1224" s="3"/>
      <c r="B1224" s="3"/>
      <c r="C1224" s="3" t="s">
        <v>21</v>
      </c>
      <c r="D1224" s="4" t="s">
        <v>1077</v>
      </c>
      <c r="E1224" s="3">
        <v>5231.0</v>
      </c>
      <c r="F1224" s="5">
        <v>46168.64166666667</v>
      </c>
      <c r="G1224" s="5">
        <v>46168.445763888885</v>
      </c>
      <c r="H1224" s="3" t="s">
        <v>14</v>
      </c>
      <c r="I1224" s="7">
        <v>0.0</v>
      </c>
      <c r="J1224" s="3" t="s">
        <v>72</v>
      </c>
    </row>
    <row r="1225">
      <c r="A1225" s="3"/>
      <c r="B1225" s="3"/>
      <c r="C1225" s="3" t="s">
        <v>24</v>
      </c>
      <c r="D1225" s="4" t="s">
        <v>1077</v>
      </c>
      <c r="E1225" s="3">
        <v>5231.0</v>
      </c>
      <c r="F1225" s="5">
        <v>46169.64166666667</v>
      </c>
      <c r="G1225" s="5">
        <v>46168.44584490741</v>
      </c>
      <c r="H1225" s="3" t="s">
        <v>14</v>
      </c>
      <c r="I1225" s="7">
        <v>0.0</v>
      </c>
      <c r="J1225" s="3" t="s">
        <v>72</v>
      </c>
    </row>
    <row r="1226">
      <c r="A1226" s="3"/>
      <c r="B1226" s="3"/>
      <c r="C1226" s="3" t="s">
        <v>26</v>
      </c>
      <c r="D1226" s="4" t="s">
        <v>1077</v>
      </c>
      <c r="E1226" s="3">
        <v>5231.0</v>
      </c>
      <c r="F1226" s="5">
        <v>46169.683333333334</v>
      </c>
      <c r="G1226" s="5">
        <v>46168.77994212963</v>
      </c>
      <c r="H1226" s="3" t="s">
        <v>14</v>
      </c>
      <c r="I1226" s="7">
        <v>0.0</v>
      </c>
      <c r="J1226" s="3" t="s">
        <v>72</v>
      </c>
    </row>
    <row r="1227">
      <c r="A1227" s="3"/>
      <c r="B1227" s="3"/>
      <c r="C1227" s="3" t="s">
        <v>10</v>
      </c>
      <c r="D1227" s="4" t="s">
        <v>1079</v>
      </c>
      <c r="E1227" s="3">
        <v>5190.0</v>
      </c>
      <c r="F1227" s="5">
        <v>46168.53125</v>
      </c>
      <c r="G1227" s="5">
        <v>46168.44553240741</v>
      </c>
      <c r="H1227" s="3" t="s">
        <v>14</v>
      </c>
      <c r="I1227" s="3">
        <v>0.0</v>
      </c>
      <c r="J1227" s="3" t="s">
        <v>72</v>
      </c>
    </row>
    <row r="1228">
      <c r="A1228" s="3"/>
      <c r="B1228" s="3"/>
      <c r="C1228" s="3" t="s">
        <v>17</v>
      </c>
      <c r="D1228" s="4" t="s">
        <v>1079</v>
      </c>
      <c r="E1228" s="3">
        <v>5190.0</v>
      </c>
      <c r="F1228" s="5">
        <v>46168.538194444445</v>
      </c>
      <c r="G1228" s="5">
        <v>46168.445625</v>
      </c>
      <c r="H1228" s="3" t="s">
        <v>14</v>
      </c>
      <c r="I1228" s="7">
        <v>0.0</v>
      </c>
      <c r="J1228" s="3" t="s">
        <v>72</v>
      </c>
    </row>
    <row r="1229">
      <c r="A1229" s="3"/>
      <c r="B1229" s="3"/>
      <c r="C1229" s="3" t="s">
        <v>21</v>
      </c>
      <c r="D1229" s="4" t="s">
        <v>1079</v>
      </c>
      <c r="E1229" s="3">
        <v>5190.0</v>
      </c>
      <c r="F1229" s="5">
        <v>46168.64236111111</v>
      </c>
      <c r="G1229" s="5">
        <v>46168.445763888885</v>
      </c>
      <c r="H1229" s="3" t="s">
        <v>14</v>
      </c>
      <c r="I1229" s="7">
        <v>0.0</v>
      </c>
      <c r="J1229" s="3" t="s">
        <v>72</v>
      </c>
    </row>
    <row r="1230">
      <c r="A1230" s="3"/>
      <c r="B1230" s="3"/>
      <c r="C1230" s="3" t="s">
        <v>24</v>
      </c>
      <c r="D1230" s="4" t="s">
        <v>1079</v>
      </c>
      <c r="E1230" s="3">
        <v>5190.0</v>
      </c>
      <c r="F1230" s="5">
        <v>46169.64236111111</v>
      </c>
      <c r="G1230" s="5">
        <v>46168.44584490741</v>
      </c>
      <c r="H1230" s="3" t="s">
        <v>14</v>
      </c>
      <c r="I1230" s="7">
        <v>0.0</v>
      </c>
      <c r="J1230" s="3" t="s">
        <v>72</v>
      </c>
    </row>
    <row r="1231">
      <c r="A1231" s="3"/>
      <c r="B1231" s="3"/>
      <c r="C1231" s="3" t="s">
        <v>26</v>
      </c>
      <c r="D1231" s="4" t="s">
        <v>1079</v>
      </c>
      <c r="E1231" s="3">
        <v>5190.0</v>
      </c>
      <c r="F1231" s="5">
        <v>46169.68402777778</v>
      </c>
      <c r="G1231" s="5">
        <v>46169.44505787037</v>
      </c>
      <c r="H1231" s="3" t="s">
        <v>14</v>
      </c>
      <c r="I1231" s="7">
        <v>0.0</v>
      </c>
      <c r="J1231" s="3" t="s">
        <v>72</v>
      </c>
    </row>
    <row r="1232">
      <c r="A1232" s="3"/>
      <c r="B1232" s="3"/>
      <c r="C1232" s="3" t="s">
        <v>10</v>
      </c>
      <c r="D1232" s="4" t="s">
        <v>1084</v>
      </c>
      <c r="E1232" s="3">
        <v>5189.0</v>
      </c>
      <c r="F1232" s="5">
        <v>46168.532638888886</v>
      </c>
      <c r="G1232" s="5">
        <v>46168.445543981485</v>
      </c>
      <c r="H1232" s="3" t="s">
        <v>14</v>
      </c>
      <c r="I1232" s="3">
        <v>0.0</v>
      </c>
      <c r="J1232" s="3" t="s">
        <v>72</v>
      </c>
    </row>
    <row r="1233">
      <c r="A1233" s="3"/>
      <c r="B1233" s="3"/>
      <c r="C1233" s="3" t="s">
        <v>17</v>
      </c>
      <c r="D1233" s="4" t="s">
        <v>1084</v>
      </c>
      <c r="E1233" s="3">
        <v>5189.0</v>
      </c>
      <c r="F1233" s="5">
        <v>46168.53958333333</v>
      </c>
      <c r="G1233" s="5">
        <v>46168.445625</v>
      </c>
      <c r="H1233" s="3" t="s">
        <v>14</v>
      </c>
      <c r="I1233" s="7">
        <v>0.0</v>
      </c>
      <c r="J1233" s="3" t="s">
        <v>72</v>
      </c>
    </row>
    <row r="1234">
      <c r="A1234" s="3"/>
      <c r="B1234" s="3"/>
      <c r="C1234" s="3" t="s">
        <v>21</v>
      </c>
      <c r="D1234" s="4" t="s">
        <v>1084</v>
      </c>
      <c r="E1234" s="3">
        <v>5189.0</v>
      </c>
      <c r="F1234" s="5">
        <v>46168.64375</v>
      </c>
      <c r="G1234" s="5">
        <v>46168.44577546296</v>
      </c>
      <c r="H1234" s="3" t="s">
        <v>14</v>
      </c>
      <c r="I1234" s="7">
        <v>0.0</v>
      </c>
      <c r="J1234" s="3" t="s">
        <v>72</v>
      </c>
    </row>
    <row r="1235">
      <c r="A1235" s="3"/>
      <c r="B1235" s="3"/>
      <c r="C1235" s="3" t="s">
        <v>24</v>
      </c>
      <c r="D1235" s="4" t="s">
        <v>1084</v>
      </c>
      <c r="E1235" s="3">
        <v>5189.0</v>
      </c>
      <c r="F1235" s="5">
        <v>46169.64375</v>
      </c>
      <c r="G1235" s="5">
        <v>46168.44584490741</v>
      </c>
      <c r="H1235" s="3" t="s">
        <v>14</v>
      </c>
      <c r="I1235" s="7">
        <v>0.0</v>
      </c>
      <c r="J1235" s="3" t="s">
        <v>72</v>
      </c>
    </row>
    <row r="1236">
      <c r="A1236" s="3"/>
      <c r="B1236" s="3"/>
      <c r="C1236" s="3" t="s">
        <v>26</v>
      </c>
      <c r="D1236" s="4" t="s">
        <v>1084</v>
      </c>
      <c r="E1236" s="3">
        <v>5189.0</v>
      </c>
      <c r="F1236" s="5">
        <v>46169.68541666667</v>
      </c>
      <c r="G1236" s="5">
        <v>46168.779953703706</v>
      </c>
      <c r="H1236" s="3" t="s">
        <v>14</v>
      </c>
      <c r="I1236" s="7">
        <v>0.0</v>
      </c>
      <c r="J1236" s="3" t="s">
        <v>72</v>
      </c>
    </row>
    <row r="1237">
      <c r="A1237" s="3"/>
      <c r="B1237" s="3"/>
      <c r="C1237" s="3" t="s">
        <v>10</v>
      </c>
      <c r="D1237" s="4" t="s">
        <v>1087</v>
      </c>
      <c r="E1237" s="3" t="s">
        <v>1088</v>
      </c>
      <c r="F1237" s="5">
        <v>46169.42986111111</v>
      </c>
      <c r="G1237" s="5">
        <v>46168.68581018518</v>
      </c>
      <c r="H1237" s="3" t="s">
        <v>14</v>
      </c>
      <c r="I1237" s="3">
        <v>0.0</v>
      </c>
      <c r="J1237" s="3" t="s">
        <v>72</v>
      </c>
    </row>
    <row r="1238">
      <c r="A1238" s="3"/>
      <c r="B1238" s="3"/>
      <c r="C1238" s="3" t="s">
        <v>17</v>
      </c>
      <c r="D1238" s="4" t="s">
        <v>1087</v>
      </c>
      <c r="E1238" s="3" t="s">
        <v>1088</v>
      </c>
      <c r="F1238" s="5">
        <v>46169.43680555555</v>
      </c>
      <c r="G1238" s="5">
        <v>46168.685949074075</v>
      </c>
      <c r="H1238" s="3" t="s">
        <v>14</v>
      </c>
      <c r="I1238" s="7">
        <v>0.0</v>
      </c>
      <c r="J1238" s="3" t="s">
        <v>72</v>
      </c>
    </row>
    <row r="1239">
      <c r="A1239" s="3"/>
      <c r="B1239" s="3"/>
      <c r="C1239" s="3" t="s">
        <v>21</v>
      </c>
      <c r="D1239" s="4" t="s">
        <v>1087</v>
      </c>
      <c r="E1239" s="3" t="s">
        <v>1088</v>
      </c>
      <c r="F1239" s="5">
        <v>46169.540972222225</v>
      </c>
      <c r="G1239" s="5">
        <v>46168.68597222222</v>
      </c>
      <c r="H1239" s="3" t="s">
        <v>14</v>
      </c>
      <c r="I1239" s="7">
        <v>0.0</v>
      </c>
      <c r="J1239" s="3" t="s">
        <v>72</v>
      </c>
    </row>
    <row r="1240">
      <c r="A1240" s="3"/>
      <c r="B1240" s="3"/>
      <c r="C1240" s="3" t="s">
        <v>24</v>
      </c>
      <c r="D1240" s="4" t="s">
        <v>1087</v>
      </c>
      <c r="E1240" s="3" t="s">
        <v>1088</v>
      </c>
      <c r="F1240" s="5">
        <v>46170.540972222225</v>
      </c>
      <c r="G1240" s="5">
        <v>46168.77991898148</v>
      </c>
      <c r="H1240" s="3" t="s">
        <v>14</v>
      </c>
      <c r="I1240" s="7">
        <v>0.0</v>
      </c>
      <c r="J1240" s="3" t="s">
        <v>72</v>
      </c>
    </row>
    <row r="1241">
      <c r="A1241" s="3"/>
      <c r="B1241" s="3"/>
      <c r="C1241" s="3" t="s">
        <v>26</v>
      </c>
      <c r="D1241" s="4" t="s">
        <v>1087</v>
      </c>
      <c r="E1241" s="3" t="s">
        <v>1088</v>
      </c>
      <c r="F1241" s="5">
        <v>46170.58263888889</v>
      </c>
      <c r="G1241" s="5">
        <v>46169.44505787037</v>
      </c>
      <c r="H1241" s="3" t="s">
        <v>14</v>
      </c>
      <c r="I1241" s="7">
        <v>0.0</v>
      </c>
      <c r="J1241" s="3" t="s">
        <v>72</v>
      </c>
    </row>
    <row r="1242">
      <c r="A1242" s="3"/>
      <c r="B1242" s="3"/>
      <c r="C1242" s="3" t="s">
        <v>10</v>
      </c>
      <c r="D1242" s="4" t="s">
        <v>1090</v>
      </c>
      <c r="E1242" s="3" t="s">
        <v>1091</v>
      </c>
      <c r="F1242" s="5">
        <v>46169.676782407405</v>
      </c>
      <c r="G1242" s="5">
        <v>46169.537210648145</v>
      </c>
      <c r="H1242" s="3" t="s">
        <v>14</v>
      </c>
      <c r="I1242" s="3">
        <v>0.0</v>
      </c>
      <c r="J1242" s="3" t="s">
        <v>15</v>
      </c>
    </row>
    <row r="1243">
      <c r="A1243" s="3"/>
      <c r="B1243" s="3"/>
      <c r="C1243" s="3" t="s">
        <v>17</v>
      </c>
      <c r="D1243" s="4" t="s">
        <v>1090</v>
      </c>
      <c r="E1243" s="3" t="s">
        <v>1091</v>
      </c>
      <c r="F1243" s="5">
        <v>46169.68372685185</v>
      </c>
      <c r="G1243" s="5">
        <v>46169.53729166667</v>
      </c>
      <c r="H1243" s="3" t="s">
        <v>14</v>
      </c>
      <c r="I1243" s="7">
        <v>0.0</v>
      </c>
      <c r="J1243" s="3" t="s">
        <v>15</v>
      </c>
    </row>
    <row r="1244">
      <c r="A1244" s="3"/>
      <c r="B1244" s="3"/>
      <c r="C1244" s="3" t="s">
        <v>21</v>
      </c>
      <c r="D1244" s="4" t="s">
        <v>1090</v>
      </c>
      <c r="E1244" s="3" t="s">
        <v>1091</v>
      </c>
      <c r="F1244" s="5">
        <v>46169.78789351852</v>
      </c>
      <c r="G1244" s="5">
        <v>46169.53741898148</v>
      </c>
      <c r="H1244" s="3" t="s">
        <v>14</v>
      </c>
      <c r="I1244" s="7">
        <v>0.0</v>
      </c>
      <c r="J1244" s="3" t="s">
        <v>15</v>
      </c>
    </row>
    <row r="1245">
      <c r="A1245" s="3"/>
      <c r="B1245" s="3"/>
      <c r="C1245" s="3" t="s">
        <v>24</v>
      </c>
      <c r="D1245" s="4" t="s">
        <v>1090</v>
      </c>
      <c r="E1245" s="3" t="s">
        <v>1091</v>
      </c>
      <c r="F1245" s="5">
        <v>46170.7875</v>
      </c>
      <c r="G1245" s="5">
        <v>46169.795324074075</v>
      </c>
      <c r="H1245" s="3" t="s">
        <v>14</v>
      </c>
      <c r="I1245" s="7">
        <v>0.0</v>
      </c>
      <c r="J1245" s="3" t="s">
        <v>15</v>
      </c>
    </row>
    <row r="1246">
      <c r="A1246" s="3"/>
      <c r="B1246" s="3"/>
      <c r="C1246" s="3" t="s">
        <v>26</v>
      </c>
      <c r="D1246" s="4" t="s">
        <v>1090</v>
      </c>
      <c r="E1246" s="3" t="s">
        <v>1091</v>
      </c>
      <c r="F1246" s="5">
        <v>46170.82916666667</v>
      </c>
      <c r="G1246" s="5">
        <v>46170.67020833334</v>
      </c>
      <c r="H1246" s="3" t="s">
        <v>14</v>
      </c>
      <c r="I1246" s="7">
        <v>0.0</v>
      </c>
      <c r="J1246" s="3" t="s">
        <v>15</v>
      </c>
    </row>
    <row r="1247">
      <c r="A1247" s="3"/>
      <c r="B1247" s="3"/>
      <c r="C1247" s="3" t="s">
        <v>10</v>
      </c>
      <c r="D1247" s="4" t="s">
        <v>1093</v>
      </c>
      <c r="E1247" s="3" t="s">
        <v>318</v>
      </c>
      <c r="F1247" s="5">
        <v>46169.81905092593</v>
      </c>
      <c r="G1247" s="5">
        <v>46169.73813657407</v>
      </c>
      <c r="H1247" s="3" t="s">
        <v>14</v>
      </c>
      <c r="I1247" s="3">
        <v>0.0</v>
      </c>
      <c r="J1247" s="3" t="s">
        <v>72</v>
      </c>
    </row>
    <row r="1248">
      <c r="A1248" s="3"/>
      <c r="B1248" s="3"/>
      <c r="C1248" s="3" t="s">
        <v>17</v>
      </c>
      <c r="D1248" s="4" t="s">
        <v>1093</v>
      </c>
      <c r="E1248" s="3" t="s">
        <v>318</v>
      </c>
      <c r="F1248" s="5">
        <v>46169.82599537037</v>
      </c>
      <c r="G1248" s="5">
        <v>46169.738275462965</v>
      </c>
      <c r="H1248" s="3" t="s">
        <v>14</v>
      </c>
      <c r="I1248" s="7">
        <v>0.0</v>
      </c>
      <c r="J1248" s="3" t="s">
        <v>72</v>
      </c>
    </row>
    <row r="1249">
      <c r="A1249" s="3"/>
      <c r="B1249" s="3"/>
      <c r="C1249" s="3" t="s">
        <v>21</v>
      </c>
      <c r="D1249" s="4" t="s">
        <v>1093</v>
      </c>
      <c r="E1249" s="3" t="s">
        <v>318</v>
      </c>
      <c r="F1249" s="5">
        <v>46170.53402777778</v>
      </c>
      <c r="G1249" s="5">
        <v>46169.760925925926</v>
      </c>
      <c r="H1249" s="3" t="s">
        <v>14</v>
      </c>
      <c r="I1249" s="7">
        <v>0.0</v>
      </c>
      <c r="J1249" s="3" t="s">
        <v>72</v>
      </c>
    </row>
    <row r="1250">
      <c r="A1250" s="3"/>
      <c r="B1250" s="3"/>
      <c r="C1250" s="3" t="s">
        <v>24</v>
      </c>
      <c r="D1250" s="4" t="s">
        <v>1093</v>
      </c>
      <c r="E1250" s="3" t="s">
        <v>318</v>
      </c>
      <c r="F1250" s="5">
        <v>46171.53402777778</v>
      </c>
      <c r="G1250" s="5">
        <v>46170.57608796296</v>
      </c>
      <c r="H1250" s="3" t="s">
        <v>14</v>
      </c>
      <c r="I1250" s="7">
        <v>0.0</v>
      </c>
      <c r="J1250" s="3" t="s">
        <v>72</v>
      </c>
    </row>
    <row r="1251">
      <c r="A1251" s="3"/>
      <c r="B1251" s="3"/>
      <c r="C1251" s="3" t="s">
        <v>26</v>
      </c>
      <c r="D1251" s="4" t="s">
        <v>1093</v>
      </c>
      <c r="E1251" s="3" t="s">
        <v>318</v>
      </c>
      <c r="F1251" s="5">
        <v>46171.575694444444</v>
      </c>
      <c r="G1251" s="5">
        <v>46170.576157407406</v>
      </c>
      <c r="H1251" s="3" t="s">
        <v>14</v>
      </c>
      <c r="I1251" s="7">
        <v>0.0</v>
      </c>
      <c r="J1251" s="3" t="s">
        <v>72</v>
      </c>
    </row>
    <row r="1252">
      <c r="A1252" s="3"/>
      <c r="B1252" s="3"/>
      <c r="C1252" s="3" t="s">
        <v>10</v>
      </c>
      <c r="D1252" s="4" t="s">
        <v>1095</v>
      </c>
      <c r="E1252" s="3" t="s">
        <v>1096</v>
      </c>
      <c r="F1252" s="5">
        <v>46170.479166666664</v>
      </c>
      <c r="G1252" s="5">
        <v>46169.73811342593</v>
      </c>
      <c r="H1252" s="3" t="s">
        <v>14</v>
      </c>
      <c r="I1252" s="3">
        <v>0.0</v>
      </c>
      <c r="J1252" s="3" t="s">
        <v>61</v>
      </c>
    </row>
    <row r="1253">
      <c r="A1253" s="3"/>
      <c r="B1253" s="3"/>
      <c r="C1253" s="3" t="s">
        <v>17</v>
      </c>
      <c r="D1253" s="4" t="s">
        <v>1095</v>
      </c>
      <c r="E1253" s="3" t="s">
        <v>1096</v>
      </c>
      <c r="F1253" s="5">
        <v>46170.48611111111</v>
      </c>
      <c r="G1253" s="5">
        <v>46169.73844907407</v>
      </c>
      <c r="H1253" s="3" t="s">
        <v>14</v>
      </c>
      <c r="I1253" s="7">
        <v>0.0</v>
      </c>
      <c r="J1253" s="3" t="s">
        <v>61</v>
      </c>
    </row>
    <row r="1254">
      <c r="A1254" s="3"/>
      <c r="B1254" s="3"/>
      <c r="C1254" s="3" t="s">
        <v>21</v>
      </c>
      <c r="D1254" s="4" t="s">
        <v>1095</v>
      </c>
      <c r="E1254" s="3" t="s">
        <v>1096</v>
      </c>
      <c r="F1254" s="5">
        <v>46170.59027777778</v>
      </c>
      <c r="G1254" s="5">
        <v>46169.76094907407</v>
      </c>
      <c r="H1254" s="3" t="s">
        <v>14</v>
      </c>
      <c r="I1254" s="7">
        <v>0.0</v>
      </c>
      <c r="J1254" s="3" t="s">
        <v>61</v>
      </c>
    </row>
    <row r="1255">
      <c r="A1255" s="3"/>
      <c r="B1255" s="3"/>
      <c r="C1255" s="3" t="s">
        <v>24</v>
      </c>
      <c r="D1255" s="4" t="s">
        <v>1095</v>
      </c>
      <c r="E1255" s="3" t="s">
        <v>1096</v>
      </c>
      <c r="F1255" s="5">
        <v>46171.59027777778</v>
      </c>
      <c r="G1255" s="5">
        <v>46169.761041666665</v>
      </c>
      <c r="H1255" s="3" t="s">
        <v>14</v>
      </c>
      <c r="I1255" s="7">
        <v>0.0</v>
      </c>
      <c r="J1255" s="3" t="s">
        <v>61</v>
      </c>
    </row>
    <row r="1256">
      <c r="A1256" s="3"/>
      <c r="B1256" s="3"/>
      <c r="C1256" s="3" t="s">
        <v>26</v>
      </c>
      <c r="D1256" s="4" t="s">
        <v>1095</v>
      </c>
      <c r="E1256" s="3" t="s">
        <v>1096</v>
      </c>
      <c r="F1256" s="5">
        <v>46171.631944444445</v>
      </c>
      <c r="G1256" s="5">
        <v>46169.76112268519</v>
      </c>
      <c r="H1256" s="3" t="s">
        <v>14</v>
      </c>
      <c r="I1256" s="7">
        <v>0.0</v>
      </c>
      <c r="J1256" s="3" t="s">
        <v>61</v>
      </c>
    </row>
    <row r="1257">
      <c r="A1257" s="3"/>
      <c r="B1257" s="3"/>
      <c r="C1257" s="3" t="s">
        <v>10</v>
      </c>
      <c r="D1257" s="4" t="s">
        <v>1098</v>
      </c>
      <c r="E1257" s="3" t="s">
        <v>166</v>
      </c>
      <c r="F1257" s="5">
        <v>46170.48055555556</v>
      </c>
      <c r="G1257" s="5">
        <v>46169.73810185185</v>
      </c>
      <c r="H1257" s="3" t="s">
        <v>14</v>
      </c>
      <c r="I1257" s="3">
        <v>0.0</v>
      </c>
      <c r="J1257" s="3" t="s">
        <v>15</v>
      </c>
    </row>
    <row r="1258">
      <c r="A1258" s="3"/>
      <c r="B1258" s="3"/>
      <c r="C1258" s="3" t="s">
        <v>17</v>
      </c>
      <c r="D1258" s="4" t="s">
        <v>1098</v>
      </c>
      <c r="E1258" s="3" t="s">
        <v>166</v>
      </c>
      <c r="F1258" s="5">
        <v>46170.4875</v>
      </c>
      <c r="G1258" s="5">
        <v>46169.738275462965</v>
      </c>
      <c r="H1258" s="3" t="s">
        <v>14</v>
      </c>
      <c r="I1258" s="7">
        <v>0.0</v>
      </c>
      <c r="J1258" s="3" t="s">
        <v>15</v>
      </c>
    </row>
    <row r="1259">
      <c r="A1259" s="3"/>
      <c r="B1259" s="3"/>
      <c r="C1259" s="3" t="s">
        <v>21</v>
      </c>
      <c r="D1259" s="4" t="s">
        <v>1098</v>
      </c>
      <c r="E1259" s="3" t="s">
        <v>166</v>
      </c>
      <c r="F1259" s="5">
        <v>46170.59166666667</v>
      </c>
      <c r="G1259" s="5">
        <v>46169.76096064815</v>
      </c>
      <c r="H1259" s="3" t="s">
        <v>14</v>
      </c>
      <c r="I1259" s="7">
        <v>0.0</v>
      </c>
      <c r="J1259" s="3" t="s">
        <v>15</v>
      </c>
    </row>
    <row r="1260">
      <c r="A1260" s="3"/>
      <c r="B1260" s="3"/>
      <c r="C1260" s="3" t="s">
        <v>24</v>
      </c>
      <c r="D1260" s="4" t="s">
        <v>1098</v>
      </c>
      <c r="E1260" s="3" t="s">
        <v>166</v>
      </c>
      <c r="F1260" s="5">
        <v>46171.59166666667</v>
      </c>
      <c r="G1260" s="5">
        <v>46169.795219907406</v>
      </c>
      <c r="H1260" s="3" t="s">
        <v>14</v>
      </c>
      <c r="I1260" s="7">
        <v>0.0</v>
      </c>
      <c r="J1260" s="3" t="s">
        <v>15</v>
      </c>
    </row>
    <row r="1261">
      <c r="A1261" s="3"/>
      <c r="B1261" s="3"/>
      <c r="C1261" s="3" t="s">
        <v>26</v>
      </c>
      <c r="D1261" s="4" t="s">
        <v>1098</v>
      </c>
      <c r="E1261" s="3" t="s">
        <v>166</v>
      </c>
      <c r="F1261" s="5">
        <v>46171.63333333333</v>
      </c>
      <c r="G1261" s="5">
        <v>46169.79525462963</v>
      </c>
      <c r="H1261" s="3" t="s">
        <v>14</v>
      </c>
      <c r="I1261" s="7">
        <v>0.0</v>
      </c>
      <c r="J1261" s="3" t="s">
        <v>15</v>
      </c>
    </row>
    <row r="1262">
      <c r="A1262" s="3"/>
      <c r="B1262" s="3"/>
      <c r="C1262" s="3" t="s">
        <v>10</v>
      </c>
      <c r="D1262" s="4" t="s">
        <v>1101</v>
      </c>
      <c r="E1262" s="3" t="s">
        <v>1102</v>
      </c>
      <c r="F1262" s="5">
        <v>46170.70333333333</v>
      </c>
      <c r="G1262" s="5">
        <v>46170.5887037037</v>
      </c>
      <c r="H1262" s="3" t="s">
        <v>14</v>
      </c>
      <c r="I1262" s="3">
        <v>0.0</v>
      </c>
      <c r="J1262" s="3" t="s">
        <v>15</v>
      </c>
    </row>
    <row r="1263">
      <c r="A1263" s="3"/>
      <c r="B1263" s="3"/>
      <c r="C1263" s="3" t="s">
        <v>17</v>
      </c>
      <c r="D1263" s="4" t="s">
        <v>1101</v>
      </c>
      <c r="E1263" s="3" t="s">
        <v>1102</v>
      </c>
      <c r="F1263" s="5">
        <v>46170.710277777776</v>
      </c>
      <c r="G1263" s="5">
        <v>46170.58880787037</v>
      </c>
      <c r="H1263" s="3" t="s">
        <v>14</v>
      </c>
      <c r="I1263" s="7">
        <v>0.0</v>
      </c>
      <c r="J1263" s="3" t="s">
        <v>15</v>
      </c>
    </row>
    <row r="1264">
      <c r="A1264" s="3"/>
      <c r="B1264" s="3"/>
      <c r="C1264" s="3" t="s">
        <v>21</v>
      </c>
      <c r="D1264" s="4" t="s">
        <v>1101</v>
      </c>
      <c r="E1264" s="3" t="s">
        <v>1102</v>
      </c>
      <c r="F1264" s="5">
        <v>46170.81444444445</v>
      </c>
      <c r="G1264" s="5">
        <v>46170.588842592595</v>
      </c>
      <c r="H1264" s="3" t="s">
        <v>14</v>
      </c>
      <c r="I1264" s="7">
        <v>0.0</v>
      </c>
      <c r="J1264" s="3" t="s">
        <v>15</v>
      </c>
    </row>
    <row r="1265">
      <c r="A1265" s="3"/>
      <c r="B1265" s="3"/>
      <c r="C1265" s="3" t="s">
        <v>24</v>
      </c>
      <c r="D1265" s="4" t="s">
        <v>1101</v>
      </c>
      <c r="E1265" s="3" t="s">
        <v>1102</v>
      </c>
      <c r="F1265" s="5">
        <v>46171.813888888886</v>
      </c>
      <c r="G1265" s="5">
        <v>46170.67010416667</v>
      </c>
      <c r="H1265" s="3" t="s">
        <v>14</v>
      </c>
      <c r="I1265" s="7">
        <v>0.0</v>
      </c>
      <c r="J1265" s="3" t="s">
        <v>15</v>
      </c>
    </row>
    <row r="1266">
      <c r="A1266" s="3"/>
      <c r="B1266" s="3"/>
      <c r="C1266" s="3" t="s">
        <v>26</v>
      </c>
      <c r="D1266" s="4" t="s">
        <v>1101</v>
      </c>
      <c r="E1266" s="3" t="s">
        <v>1102</v>
      </c>
      <c r="F1266" s="5">
        <v>46172.438888888886</v>
      </c>
      <c r="G1266" s="5">
        <v>46170.67013888889</v>
      </c>
      <c r="H1266" s="3" t="s">
        <v>14</v>
      </c>
      <c r="I1266" s="7">
        <v>0.0</v>
      </c>
      <c r="J1266" s="3" t="s">
        <v>15</v>
      </c>
    </row>
    <row r="1267">
      <c r="A1267" s="3"/>
      <c r="B1267" s="3"/>
      <c r="C1267" s="3" t="s">
        <v>10</v>
      </c>
      <c r="D1267" s="4" t="s">
        <v>1103</v>
      </c>
      <c r="E1267" s="3" t="s">
        <v>1104</v>
      </c>
      <c r="F1267" s="5">
        <v>46170.7869212963</v>
      </c>
      <c r="G1267" s="5">
        <v>46170.66954861111</v>
      </c>
      <c r="H1267" s="3" t="s">
        <v>14</v>
      </c>
      <c r="I1267" s="3">
        <v>0.0</v>
      </c>
      <c r="J1267" s="3" t="s">
        <v>72</v>
      </c>
    </row>
    <row r="1268">
      <c r="A1268" s="3"/>
      <c r="B1268" s="3"/>
      <c r="C1268" s="3" t="s">
        <v>17</v>
      </c>
      <c r="D1268" s="4" t="s">
        <v>1103</v>
      </c>
      <c r="E1268" s="3" t="s">
        <v>1104</v>
      </c>
      <c r="F1268" s="5">
        <v>46170.79386574074</v>
      </c>
      <c r="G1268" s="5">
        <v>46170.66991898148</v>
      </c>
      <c r="H1268" s="3" t="s">
        <v>14</v>
      </c>
      <c r="I1268" s="7">
        <v>0.0</v>
      </c>
      <c r="J1268" s="3" t="s">
        <v>72</v>
      </c>
    </row>
    <row r="1269">
      <c r="A1269" s="3"/>
      <c r="B1269" s="3"/>
      <c r="C1269" s="3" t="s">
        <v>21</v>
      </c>
      <c r="D1269" s="4" t="s">
        <v>1103</v>
      </c>
      <c r="E1269" s="3" t="s">
        <v>1104</v>
      </c>
      <c r="F1269" s="5">
        <v>46171.46041666667</v>
      </c>
      <c r="G1269" s="5">
        <v>46170.724375</v>
      </c>
      <c r="H1269" s="3" t="s">
        <v>14</v>
      </c>
      <c r="I1269" s="7">
        <v>0.0</v>
      </c>
      <c r="J1269" s="3" t="s">
        <v>72</v>
      </c>
    </row>
    <row r="1270">
      <c r="A1270" s="3"/>
      <c r="B1270" s="3"/>
      <c r="C1270" s="3" t="s">
        <v>24</v>
      </c>
      <c r="D1270" s="4" t="s">
        <v>1103</v>
      </c>
      <c r="E1270" s="3" t="s">
        <v>1104</v>
      </c>
      <c r="F1270" s="5">
        <v>46172.46041666667</v>
      </c>
      <c r="G1270" s="5">
        <v>46170.72451388889</v>
      </c>
      <c r="H1270" s="3" t="s">
        <v>14</v>
      </c>
      <c r="I1270" s="7">
        <v>0.0</v>
      </c>
      <c r="J1270" s="3" t="s">
        <v>72</v>
      </c>
    </row>
    <row r="1271">
      <c r="A1271" s="3"/>
      <c r="B1271" s="3"/>
      <c r="C1271" s="3" t="s">
        <v>26</v>
      </c>
      <c r="D1271" s="4" t="s">
        <v>1103</v>
      </c>
      <c r="E1271" s="3" t="s">
        <v>1104</v>
      </c>
      <c r="F1271" s="5">
        <v>46172.50208333333</v>
      </c>
      <c r="G1271" s="5">
        <v>46170.67013888889</v>
      </c>
      <c r="H1271" s="3" t="s">
        <v>14</v>
      </c>
      <c r="I1271" s="7">
        <v>0.0</v>
      </c>
      <c r="J1271" s="3" t="s">
        <v>72</v>
      </c>
    </row>
    <row r="1272">
      <c r="A1272" s="3"/>
      <c r="B1272" s="3"/>
      <c r="C1272" s="3" t="s">
        <v>10</v>
      </c>
      <c r="D1272" s="4" t="s">
        <v>1106</v>
      </c>
      <c r="E1272" s="3" t="s">
        <v>1107</v>
      </c>
      <c r="F1272" s="5">
        <v>46170.787939814814</v>
      </c>
      <c r="G1272" s="5">
        <v>46170.669594907406</v>
      </c>
      <c r="H1272" s="3" t="s">
        <v>14</v>
      </c>
      <c r="I1272" s="3">
        <v>0.0</v>
      </c>
      <c r="J1272" s="3" t="s">
        <v>72</v>
      </c>
    </row>
    <row r="1273">
      <c r="A1273" s="3"/>
      <c r="B1273" s="3"/>
      <c r="C1273" s="3" t="s">
        <v>17</v>
      </c>
      <c r="D1273" s="4" t="s">
        <v>1106</v>
      </c>
      <c r="E1273" s="3" t="s">
        <v>1107</v>
      </c>
      <c r="F1273" s="5">
        <v>46170.79488425926</v>
      </c>
      <c r="G1273" s="5">
        <v>46170.66994212963</v>
      </c>
      <c r="H1273" s="3" t="s">
        <v>14</v>
      </c>
      <c r="I1273" s="7">
        <v>0.0</v>
      </c>
      <c r="J1273" s="3" t="s">
        <v>72</v>
      </c>
    </row>
    <row r="1274">
      <c r="A1274" s="3"/>
      <c r="B1274" s="3"/>
      <c r="C1274" s="3" t="s">
        <v>21</v>
      </c>
      <c r="D1274" s="4" t="s">
        <v>1106</v>
      </c>
      <c r="E1274" s="3" t="s">
        <v>1107</v>
      </c>
      <c r="F1274" s="5">
        <v>46171.46111111111</v>
      </c>
      <c r="G1274" s="5">
        <v>46170.724375</v>
      </c>
      <c r="H1274" s="3" t="s">
        <v>14</v>
      </c>
      <c r="I1274" s="7">
        <v>0.0</v>
      </c>
      <c r="J1274" s="3" t="s">
        <v>72</v>
      </c>
    </row>
    <row r="1275">
      <c r="A1275" s="3"/>
      <c r="B1275" s="3"/>
      <c r="C1275" s="3" t="s">
        <v>24</v>
      </c>
      <c r="D1275" s="4" t="s">
        <v>1106</v>
      </c>
      <c r="E1275" s="3" t="s">
        <v>1107</v>
      </c>
      <c r="F1275" s="5">
        <v>46172.46111111111</v>
      </c>
      <c r="G1275" s="5">
        <v>46170.72452546296</v>
      </c>
      <c r="H1275" s="3" t="s">
        <v>14</v>
      </c>
      <c r="I1275" s="7">
        <v>0.0</v>
      </c>
      <c r="J1275" s="3" t="s">
        <v>72</v>
      </c>
    </row>
    <row r="1276">
      <c r="A1276" s="3"/>
      <c r="B1276" s="3"/>
      <c r="C1276" s="3" t="s">
        <v>26</v>
      </c>
      <c r="D1276" s="4" t="s">
        <v>1106</v>
      </c>
      <c r="E1276" s="3" t="s">
        <v>1107</v>
      </c>
      <c r="F1276" s="5">
        <v>46172.50277777778</v>
      </c>
      <c r="G1276" s="5">
        <v>46172.46915509259</v>
      </c>
      <c r="H1276" s="3" t="s">
        <v>14</v>
      </c>
      <c r="I1276" s="7">
        <v>0.0</v>
      </c>
      <c r="J1276" s="3" t="s">
        <v>72</v>
      </c>
    </row>
    <row r="1277">
      <c r="A1277" s="3"/>
      <c r="B1277" s="3"/>
      <c r="C1277" s="3" t="s">
        <v>10</v>
      </c>
      <c r="D1277" s="4" t="s">
        <v>1109</v>
      </c>
      <c r="E1277" s="3" t="s">
        <v>1110</v>
      </c>
      <c r="F1277" s="5">
        <v>46170.78871527778</v>
      </c>
      <c r="G1277" s="5">
        <v>46170.67049768518</v>
      </c>
      <c r="H1277" s="3" t="s">
        <v>14</v>
      </c>
      <c r="I1277" s="3">
        <v>0.0</v>
      </c>
      <c r="J1277" s="3" t="s">
        <v>61</v>
      </c>
    </row>
    <row r="1278">
      <c r="A1278" s="3"/>
      <c r="B1278" s="3"/>
      <c r="C1278" s="3" t="s">
        <v>17</v>
      </c>
      <c r="D1278" s="4" t="s">
        <v>1109</v>
      </c>
      <c r="E1278" s="3" t="s">
        <v>1110</v>
      </c>
      <c r="F1278" s="5">
        <v>46170.79565972222</v>
      </c>
      <c r="G1278" s="5">
        <v>46170.669965277775</v>
      </c>
      <c r="H1278" s="3" t="s">
        <v>14</v>
      </c>
      <c r="I1278" s="7">
        <v>0.0</v>
      </c>
      <c r="J1278" s="3" t="s">
        <v>61</v>
      </c>
    </row>
    <row r="1279">
      <c r="A1279" s="3"/>
      <c r="B1279" s="3"/>
      <c r="C1279" s="3" t="s">
        <v>21</v>
      </c>
      <c r="D1279" s="4" t="s">
        <v>1109</v>
      </c>
      <c r="E1279" s="3" t="s">
        <v>1110</v>
      </c>
      <c r="F1279" s="5">
        <v>46171.461805555555</v>
      </c>
      <c r="G1279" s="5">
        <v>46170.724375</v>
      </c>
      <c r="H1279" s="3" t="s">
        <v>14</v>
      </c>
      <c r="I1279" s="7">
        <v>0.0</v>
      </c>
      <c r="J1279" s="3" t="s">
        <v>61</v>
      </c>
    </row>
    <row r="1280">
      <c r="A1280" s="3"/>
      <c r="B1280" s="3"/>
      <c r="C1280" s="3" t="s">
        <v>24</v>
      </c>
      <c r="D1280" s="4" t="s">
        <v>1109</v>
      </c>
      <c r="E1280" s="3" t="s">
        <v>1110</v>
      </c>
      <c r="F1280" s="5">
        <v>46172.461805555555</v>
      </c>
      <c r="G1280" s="5">
        <v>46171.66247685185</v>
      </c>
      <c r="H1280" s="3" t="s">
        <v>14</v>
      </c>
      <c r="I1280" s="7">
        <v>0.0</v>
      </c>
      <c r="J1280" s="3" t="s">
        <v>61</v>
      </c>
    </row>
    <row r="1281">
      <c r="A1281" s="3"/>
      <c r="B1281" s="3"/>
      <c r="C1281" s="3" t="s">
        <v>26</v>
      </c>
      <c r="D1281" s="4" t="s">
        <v>1109</v>
      </c>
      <c r="E1281" s="3" t="s">
        <v>1110</v>
      </c>
      <c r="F1281" s="5">
        <v>46172.50347222222</v>
      </c>
      <c r="G1281" s="5">
        <v>46172.46917824074</v>
      </c>
      <c r="H1281" s="3" t="s">
        <v>14</v>
      </c>
      <c r="I1281" s="7">
        <v>0.0</v>
      </c>
      <c r="J1281" s="3" t="s">
        <v>61</v>
      </c>
    </row>
    <row r="1282">
      <c r="A1282" s="3"/>
      <c r="B1282" s="3"/>
      <c r="C1282" s="3" t="s">
        <v>10</v>
      </c>
      <c r="D1282" s="4" t="s">
        <v>1114</v>
      </c>
      <c r="E1282" s="3" t="s">
        <v>1115</v>
      </c>
      <c r="F1282" s="5">
        <v>46170.81943287037</v>
      </c>
      <c r="G1282" s="5">
        <v>46170.66961805556</v>
      </c>
      <c r="H1282" s="3" t="s">
        <v>14</v>
      </c>
      <c r="I1282" s="3">
        <v>0.0</v>
      </c>
      <c r="J1282" s="3" t="s">
        <v>15</v>
      </c>
    </row>
    <row r="1283">
      <c r="A1283" s="3"/>
      <c r="B1283" s="3"/>
      <c r="C1283" s="3" t="s">
        <v>17</v>
      </c>
      <c r="D1283" s="4" t="s">
        <v>1114</v>
      </c>
      <c r="E1283" s="3" t="s">
        <v>1115</v>
      </c>
      <c r="F1283" s="5">
        <v>46170.826377314814</v>
      </c>
      <c r="G1283" s="5">
        <v>46170.66998842593</v>
      </c>
      <c r="H1283" s="3" t="s">
        <v>14</v>
      </c>
      <c r="I1283" s="7">
        <v>0.0</v>
      </c>
      <c r="J1283" s="3" t="s">
        <v>15</v>
      </c>
    </row>
    <row r="1284">
      <c r="A1284" s="3"/>
      <c r="B1284" s="3"/>
      <c r="C1284" s="3" t="s">
        <v>21</v>
      </c>
      <c r="D1284" s="4" t="s">
        <v>1114</v>
      </c>
      <c r="E1284" s="3" t="s">
        <v>1115</v>
      </c>
      <c r="F1284" s="5">
        <v>46171.53402777778</v>
      </c>
      <c r="G1284" s="5">
        <v>46170.724375</v>
      </c>
      <c r="H1284" s="3" t="s">
        <v>14</v>
      </c>
      <c r="I1284" s="7">
        <v>0.0</v>
      </c>
      <c r="J1284" s="3" t="s">
        <v>15</v>
      </c>
    </row>
    <row r="1285">
      <c r="A1285" s="3"/>
      <c r="B1285" s="3"/>
      <c r="C1285" s="3" t="s">
        <v>24</v>
      </c>
      <c r="D1285" s="4" t="s">
        <v>1114</v>
      </c>
      <c r="E1285" s="3" t="s">
        <v>1115</v>
      </c>
      <c r="F1285" s="5">
        <v>46172.53402777778</v>
      </c>
      <c r="G1285" s="5">
        <v>46171.66232638889</v>
      </c>
      <c r="H1285" s="3" t="s">
        <v>14</v>
      </c>
      <c r="I1285" s="7">
        <v>0.0</v>
      </c>
      <c r="J1285" s="3" t="s">
        <v>15</v>
      </c>
    </row>
    <row r="1286">
      <c r="A1286" s="3"/>
      <c r="B1286" s="3"/>
      <c r="C1286" s="3" t="s">
        <v>26</v>
      </c>
      <c r="D1286" s="4" t="s">
        <v>1114</v>
      </c>
      <c r="E1286" s="3" t="s">
        <v>1115</v>
      </c>
      <c r="F1286" s="5">
        <v>46172.575694444444</v>
      </c>
      <c r="G1286" s="5">
        <v>46171.66237268518</v>
      </c>
      <c r="H1286" s="3" t="s">
        <v>14</v>
      </c>
      <c r="I1286" s="7">
        <v>0.0</v>
      </c>
      <c r="J1286" s="3" t="s">
        <v>15</v>
      </c>
    </row>
    <row r="1287">
      <c r="A1287" s="3"/>
      <c r="B1287" s="3"/>
      <c r="C1287" s="3" t="s">
        <v>10</v>
      </c>
      <c r="D1287" s="4" t="s">
        <v>1117</v>
      </c>
      <c r="E1287" s="3" t="s">
        <v>1118</v>
      </c>
      <c r="F1287" s="5">
        <v>46171.45486111111</v>
      </c>
      <c r="G1287" s="5">
        <v>46170.72412037037</v>
      </c>
      <c r="H1287" s="3" t="s">
        <v>14</v>
      </c>
      <c r="I1287" s="3">
        <v>0.0</v>
      </c>
      <c r="J1287" s="3" t="s">
        <v>72</v>
      </c>
    </row>
    <row r="1288">
      <c r="A1288" s="3"/>
      <c r="B1288" s="3"/>
      <c r="C1288" s="3" t="s">
        <v>17</v>
      </c>
      <c r="D1288" s="4" t="s">
        <v>1117</v>
      </c>
      <c r="E1288" s="3" t="s">
        <v>1118</v>
      </c>
      <c r="F1288" s="5">
        <v>46171.461805555555</v>
      </c>
      <c r="G1288" s="5">
        <v>46170.72430555556</v>
      </c>
      <c r="H1288" s="3" t="s">
        <v>14</v>
      </c>
      <c r="I1288" s="7">
        <v>0.0</v>
      </c>
      <c r="J1288" s="3" t="s">
        <v>72</v>
      </c>
    </row>
    <row r="1289">
      <c r="A1289" s="3"/>
      <c r="B1289" s="3"/>
      <c r="C1289" s="3" t="s">
        <v>21</v>
      </c>
      <c r="D1289" s="4" t="s">
        <v>1117</v>
      </c>
      <c r="E1289" s="3" t="s">
        <v>1118</v>
      </c>
      <c r="F1289" s="5">
        <v>46171.56597222222</v>
      </c>
      <c r="G1289" s="5">
        <v>46170.724375</v>
      </c>
      <c r="H1289" s="3" t="s">
        <v>14</v>
      </c>
      <c r="I1289" s="7">
        <v>0.0</v>
      </c>
      <c r="J1289" s="3" t="s">
        <v>72</v>
      </c>
    </row>
    <row r="1290">
      <c r="A1290" s="3"/>
      <c r="B1290" s="3"/>
      <c r="C1290" s="3" t="s">
        <v>24</v>
      </c>
      <c r="D1290" s="4" t="s">
        <v>1117</v>
      </c>
      <c r="E1290" s="3" t="s">
        <v>1118</v>
      </c>
      <c r="F1290" s="5">
        <v>46172.56597222222</v>
      </c>
      <c r="G1290" s="5">
        <v>46170.72454861111</v>
      </c>
      <c r="H1290" s="3" t="s">
        <v>14</v>
      </c>
      <c r="I1290" s="7">
        <v>0.0</v>
      </c>
      <c r="J1290" s="3" t="s">
        <v>72</v>
      </c>
    </row>
    <row r="1291">
      <c r="A1291" s="3"/>
      <c r="B1291" s="3"/>
      <c r="C1291" s="3" t="s">
        <v>26</v>
      </c>
      <c r="D1291" s="4" t="s">
        <v>1117</v>
      </c>
      <c r="E1291" s="3" t="s">
        <v>1118</v>
      </c>
      <c r="F1291" s="5">
        <v>46172.60763888889</v>
      </c>
      <c r="G1291" s="5">
        <v>46172.469189814816</v>
      </c>
      <c r="H1291" s="3" t="s">
        <v>14</v>
      </c>
      <c r="I1291" s="7">
        <v>0.0</v>
      </c>
      <c r="J1291" s="3" t="s">
        <v>72</v>
      </c>
    </row>
    <row r="1292">
      <c r="A1292" s="3"/>
      <c r="B1292" s="3"/>
      <c r="C1292" s="3" t="s">
        <v>10</v>
      </c>
      <c r="D1292" s="4" t="s">
        <v>1119</v>
      </c>
      <c r="E1292" s="3" t="s">
        <v>1120</v>
      </c>
      <c r="F1292" s="5">
        <v>46171.45763888889</v>
      </c>
      <c r="G1292" s="5">
        <v>46170.72412037037</v>
      </c>
      <c r="H1292" s="3" t="s">
        <v>14</v>
      </c>
      <c r="I1292" s="3">
        <v>0.0</v>
      </c>
      <c r="J1292" s="3" t="s">
        <v>72</v>
      </c>
    </row>
    <row r="1293">
      <c r="A1293" s="3"/>
      <c r="B1293" s="3"/>
      <c r="C1293" s="3" t="s">
        <v>17</v>
      </c>
      <c r="D1293" s="4" t="s">
        <v>1119</v>
      </c>
      <c r="E1293" s="3" t="s">
        <v>1120</v>
      </c>
      <c r="F1293" s="5">
        <v>46171.464583333334</v>
      </c>
      <c r="G1293" s="5">
        <v>46170.72430555556</v>
      </c>
      <c r="H1293" s="3" t="s">
        <v>14</v>
      </c>
      <c r="I1293" s="7">
        <v>0.0</v>
      </c>
      <c r="J1293" s="3" t="s">
        <v>72</v>
      </c>
    </row>
    <row r="1294">
      <c r="A1294" s="3"/>
      <c r="B1294" s="3"/>
      <c r="C1294" s="3" t="s">
        <v>21</v>
      </c>
      <c r="D1294" s="4" t="s">
        <v>1119</v>
      </c>
      <c r="E1294" s="3" t="s">
        <v>1120</v>
      </c>
      <c r="F1294" s="5">
        <v>46171.56875</v>
      </c>
      <c r="G1294" s="5">
        <v>46170.724375</v>
      </c>
      <c r="H1294" s="3" t="s">
        <v>14</v>
      </c>
      <c r="I1294" s="7">
        <v>0.0</v>
      </c>
      <c r="J1294" s="3" t="s">
        <v>72</v>
      </c>
    </row>
    <row r="1295">
      <c r="A1295" s="3"/>
      <c r="B1295" s="3"/>
      <c r="C1295" s="3" t="s">
        <v>24</v>
      </c>
      <c r="D1295" s="4" t="s">
        <v>1119</v>
      </c>
      <c r="E1295" s="3" t="s">
        <v>1120</v>
      </c>
      <c r="F1295" s="5">
        <v>46172.56875</v>
      </c>
      <c r="G1295" s="5">
        <v>46170.72454861111</v>
      </c>
      <c r="H1295" s="3" t="s">
        <v>14</v>
      </c>
      <c r="I1295" s="7">
        <v>0.0</v>
      </c>
      <c r="J1295" s="3" t="s">
        <v>72</v>
      </c>
    </row>
    <row r="1296">
      <c r="A1296" s="3"/>
      <c r="B1296" s="3"/>
      <c r="C1296" s="3" t="s">
        <v>26</v>
      </c>
      <c r="D1296" s="4" t="s">
        <v>1119</v>
      </c>
      <c r="E1296" s="3" t="s">
        <v>1120</v>
      </c>
      <c r="F1296" s="5">
        <v>46172.61041666667</v>
      </c>
      <c r="G1296" s="5">
        <v>46172.46921296296</v>
      </c>
      <c r="H1296" s="3" t="s">
        <v>14</v>
      </c>
      <c r="I1296" s="7">
        <v>0.0</v>
      </c>
      <c r="J1296" s="3" t="s">
        <v>72</v>
      </c>
    </row>
    <row r="1297">
      <c r="A1297" s="3"/>
      <c r="B1297" s="3"/>
      <c r="C1297" s="3" t="s">
        <v>10</v>
      </c>
      <c r="D1297" s="4" t="s">
        <v>1123</v>
      </c>
      <c r="E1297" s="3" t="s">
        <v>1124</v>
      </c>
      <c r="F1297" s="5">
        <v>46171.45972222222</v>
      </c>
      <c r="G1297" s="5">
        <v>46170.72414351852</v>
      </c>
      <c r="H1297" s="3" t="s">
        <v>14</v>
      </c>
      <c r="I1297" s="3">
        <v>0.0</v>
      </c>
      <c r="J1297" s="3" t="s">
        <v>72</v>
      </c>
    </row>
    <row r="1298">
      <c r="A1298" s="3"/>
      <c r="B1298" s="3"/>
      <c r="C1298" s="3" t="s">
        <v>17</v>
      </c>
      <c r="D1298" s="4" t="s">
        <v>1123</v>
      </c>
      <c r="E1298" s="3" t="s">
        <v>1124</v>
      </c>
      <c r="F1298" s="5">
        <v>46171.46666666667</v>
      </c>
      <c r="G1298" s="5">
        <v>46170.72430555556</v>
      </c>
      <c r="H1298" s="3" t="s">
        <v>14</v>
      </c>
      <c r="I1298" s="7">
        <v>0.0</v>
      </c>
      <c r="J1298" s="3" t="s">
        <v>72</v>
      </c>
    </row>
    <row r="1299">
      <c r="A1299" s="3"/>
      <c r="B1299" s="3"/>
      <c r="C1299" s="3" t="s">
        <v>21</v>
      </c>
      <c r="D1299" s="4" t="s">
        <v>1123</v>
      </c>
      <c r="E1299" s="3" t="s">
        <v>1124</v>
      </c>
      <c r="F1299" s="5">
        <v>46171.57083333333</v>
      </c>
      <c r="G1299" s="5">
        <v>46170.724386574075</v>
      </c>
      <c r="H1299" s="3" t="s">
        <v>14</v>
      </c>
      <c r="I1299" s="7">
        <v>0.0</v>
      </c>
      <c r="J1299" s="3" t="s">
        <v>72</v>
      </c>
    </row>
    <row r="1300">
      <c r="A1300" s="3"/>
      <c r="B1300" s="3"/>
      <c r="C1300" s="3" t="s">
        <v>24</v>
      </c>
      <c r="D1300" s="4" t="s">
        <v>1123</v>
      </c>
      <c r="E1300" s="3" t="s">
        <v>1124</v>
      </c>
      <c r="F1300" s="5">
        <v>46172.57083333333</v>
      </c>
      <c r="G1300" s="5">
        <v>46170.72456018518</v>
      </c>
      <c r="H1300" s="3" t="s">
        <v>14</v>
      </c>
      <c r="I1300" s="7">
        <v>0.0</v>
      </c>
      <c r="J1300" s="3" t="s">
        <v>72</v>
      </c>
    </row>
    <row r="1301">
      <c r="A1301" s="3"/>
      <c r="B1301" s="3"/>
      <c r="C1301" s="3" t="s">
        <v>26</v>
      </c>
      <c r="D1301" s="4" t="s">
        <v>1123</v>
      </c>
      <c r="E1301" s="3" t="s">
        <v>1124</v>
      </c>
      <c r="F1301" s="5">
        <v>46172.6125</v>
      </c>
      <c r="G1301" s="5">
        <v>46172.46921296296</v>
      </c>
      <c r="H1301" s="3" t="s">
        <v>14</v>
      </c>
      <c r="I1301" s="7">
        <v>0.0</v>
      </c>
      <c r="J1301" s="3" t="s">
        <v>72</v>
      </c>
    </row>
    <row r="1302">
      <c r="A1302" s="3"/>
      <c r="B1302" s="3"/>
      <c r="C1302" s="3" t="s">
        <v>10</v>
      </c>
      <c r="D1302" s="4" t="s">
        <v>1127</v>
      </c>
      <c r="E1302" s="3" t="s">
        <v>1128</v>
      </c>
      <c r="F1302" s="5">
        <v>46171.53888888889</v>
      </c>
      <c r="G1302" s="5">
        <v>46171.458449074074</v>
      </c>
      <c r="H1302" s="3" t="s">
        <v>14</v>
      </c>
      <c r="I1302" s="3">
        <v>0.0</v>
      </c>
      <c r="J1302" s="3" t="s">
        <v>61</v>
      </c>
    </row>
    <row r="1303">
      <c r="A1303" s="3"/>
      <c r="B1303" s="3"/>
      <c r="C1303" s="3" t="s">
        <v>17</v>
      </c>
      <c r="D1303" s="4" t="s">
        <v>1127</v>
      </c>
      <c r="E1303" s="3" t="s">
        <v>1128</v>
      </c>
      <c r="F1303" s="5">
        <v>46171.54583333333</v>
      </c>
      <c r="G1303" s="5">
        <v>46171.45849537037</v>
      </c>
      <c r="H1303" s="3" t="s">
        <v>14</v>
      </c>
      <c r="I1303" s="7">
        <v>0.0</v>
      </c>
      <c r="J1303" s="3" t="s">
        <v>61</v>
      </c>
    </row>
    <row r="1304">
      <c r="A1304" s="3"/>
      <c r="B1304" s="3"/>
      <c r="C1304" s="3" t="s">
        <v>21</v>
      </c>
      <c r="D1304" s="4" t="s">
        <v>1127</v>
      </c>
      <c r="E1304" s="3" t="s">
        <v>1128</v>
      </c>
      <c r="F1304" s="5">
        <v>46171.65</v>
      </c>
      <c r="G1304" s="5">
        <v>46171.45851851852</v>
      </c>
      <c r="H1304" s="3" t="s">
        <v>14</v>
      </c>
      <c r="I1304" s="7">
        <v>0.0</v>
      </c>
      <c r="J1304" s="3" t="s">
        <v>61</v>
      </c>
    </row>
    <row r="1305">
      <c r="A1305" s="3"/>
      <c r="B1305" s="3"/>
      <c r="C1305" s="3" t="s">
        <v>24</v>
      </c>
      <c r="D1305" s="4" t="s">
        <v>1127</v>
      </c>
      <c r="E1305" s="3" t="s">
        <v>1128</v>
      </c>
      <c r="F1305" s="5">
        <v>46172.65</v>
      </c>
      <c r="G1305" s="5">
        <v>46172.46927083333</v>
      </c>
      <c r="H1305" s="3" t="s">
        <v>14</v>
      </c>
      <c r="I1305" s="7">
        <v>0.0</v>
      </c>
      <c r="J1305" s="3" t="s">
        <v>61</v>
      </c>
    </row>
    <row r="1306">
      <c r="A1306" s="3"/>
      <c r="B1306" s="3"/>
      <c r="C1306" s="3" t="s">
        <v>26</v>
      </c>
      <c r="D1306" s="4" t="s">
        <v>1127</v>
      </c>
      <c r="E1306" s="3" t="s">
        <v>1128</v>
      </c>
      <c r="F1306" s="5">
        <v>46172.691666666666</v>
      </c>
      <c r="G1306" s="5">
        <v>46172.469305555554</v>
      </c>
      <c r="H1306" s="3" t="s">
        <v>14</v>
      </c>
      <c r="I1306" s="7">
        <v>0.0</v>
      </c>
      <c r="J1306" s="3" t="s">
        <v>61</v>
      </c>
    </row>
    <row r="1307">
      <c r="A1307" s="3"/>
      <c r="B1307" s="3"/>
      <c r="C1307" s="3" t="s">
        <v>10</v>
      </c>
      <c r="D1307" s="4" t="s">
        <v>1132</v>
      </c>
      <c r="E1307" s="3" t="s">
        <v>790</v>
      </c>
      <c r="F1307" s="5">
        <v>46171.633414351854</v>
      </c>
      <c r="G1307" s="5">
        <v>46171.47692129629</v>
      </c>
      <c r="H1307" s="3" t="s">
        <v>14</v>
      </c>
      <c r="I1307" s="3">
        <v>0.0</v>
      </c>
      <c r="J1307" s="3" t="s">
        <v>72</v>
      </c>
    </row>
    <row r="1308">
      <c r="A1308" s="3"/>
      <c r="B1308" s="3"/>
      <c r="C1308" s="3" t="s">
        <v>17</v>
      </c>
      <c r="D1308" s="4" t="s">
        <v>1132</v>
      </c>
      <c r="E1308" s="3" t="s">
        <v>790</v>
      </c>
      <c r="F1308" s="5">
        <v>46171.6403587963</v>
      </c>
      <c r="G1308" s="5">
        <v>46171.477013888885</v>
      </c>
      <c r="H1308" s="3" t="s">
        <v>14</v>
      </c>
      <c r="I1308" s="7">
        <v>0.0</v>
      </c>
      <c r="J1308" s="3" t="s">
        <v>72</v>
      </c>
    </row>
    <row r="1309">
      <c r="A1309" s="3"/>
      <c r="B1309" s="3"/>
      <c r="C1309" s="3" t="s">
        <v>21</v>
      </c>
      <c r="D1309" s="4" t="s">
        <v>1132</v>
      </c>
      <c r="E1309" s="3" t="s">
        <v>790</v>
      </c>
      <c r="F1309" s="5">
        <v>46171.744525462964</v>
      </c>
      <c r="G1309" s="5">
        <v>46171.47708333333</v>
      </c>
      <c r="H1309" s="3" t="s">
        <v>14</v>
      </c>
      <c r="I1309" s="7">
        <v>0.0</v>
      </c>
      <c r="J1309" s="3" t="s">
        <v>72</v>
      </c>
    </row>
    <row r="1310">
      <c r="A1310" s="3"/>
      <c r="B1310" s="3"/>
      <c r="C1310" s="3" t="s">
        <v>24</v>
      </c>
      <c r="D1310" s="4" t="s">
        <v>1132</v>
      </c>
      <c r="E1310" s="3" t="s">
        <v>790</v>
      </c>
      <c r="F1310" s="5">
        <v>46172.74444444444</v>
      </c>
      <c r="G1310" s="5">
        <v>46172.4693287037</v>
      </c>
      <c r="H1310" s="3" t="s">
        <v>14</v>
      </c>
      <c r="I1310" s="7">
        <v>0.0</v>
      </c>
      <c r="J1310" s="3" t="s">
        <v>72</v>
      </c>
    </row>
    <row r="1311">
      <c r="A1311" s="3"/>
      <c r="B1311" s="3"/>
      <c r="C1311" s="3" t="s">
        <v>26</v>
      </c>
      <c r="D1311" s="4" t="s">
        <v>1132</v>
      </c>
      <c r="E1311" s="3" t="s">
        <v>790</v>
      </c>
      <c r="F1311" s="5">
        <v>46172.78611111111</v>
      </c>
      <c r="G1311" s="5">
        <v>46172.469502314816</v>
      </c>
      <c r="H1311" s="3" t="s">
        <v>14</v>
      </c>
      <c r="I1311" s="7">
        <v>0.0</v>
      </c>
      <c r="J1311" s="3" t="s">
        <v>72</v>
      </c>
    </row>
    <row r="1312">
      <c r="A1312" s="3"/>
      <c r="B1312" s="3"/>
      <c r="C1312" s="3" t="s">
        <v>10</v>
      </c>
      <c r="D1312" s="4" t="s">
        <v>1135</v>
      </c>
      <c r="E1312" s="3" t="s">
        <v>1136</v>
      </c>
      <c r="F1312" s="5">
        <v>46171.6603125</v>
      </c>
      <c r="G1312" s="5">
        <v>46171.52664351852</v>
      </c>
      <c r="H1312" s="3" t="s">
        <v>14</v>
      </c>
      <c r="I1312" s="3">
        <v>0.0</v>
      </c>
      <c r="J1312" s="3" t="s">
        <v>72</v>
      </c>
    </row>
    <row r="1313">
      <c r="A1313" s="3"/>
      <c r="B1313" s="3"/>
      <c r="C1313" s="3" t="s">
        <v>17</v>
      </c>
      <c r="D1313" s="4" t="s">
        <v>1135</v>
      </c>
      <c r="E1313" s="3" t="s">
        <v>1136</v>
      </c>
      <c r="F1313" s="5">
        <v>46171.66725694444</v>
      </c>
      <c r="G1313" s="5">
        <v>46171.526724537034</v>
      </c>
      <c r="H1313" s="3" t="s">
        <v>14</v>
      </c>
      <c r="I1313" s="7">
        <v>0.0</v>
      </c>
      <c r="J1313" s="3" t="s">
        <v>72</v>
      </c>
    </row>
    <row r="1314">
      <c r="A1314" s="3"/>
      <c r="B1314" s="3"/>
      <c r="C1314" s="3" t="s">
        <v>21</v>
      </c>
      <c r="D1314" s="4" t="s">
        <v>1135</v>
      </c>
      <c r="E1314" s="3" t="s">
        <v>1136</v>
      </c>
      <c r="F1314" s="5">
        <v>46171.77142361111</v>
      </c>
      <c r="G1314" s="5">
        <v>46171.52675925926</v>
      </c>
      <c r="H1314" s="3" t="s">
        <v>14</v>
      </c>
      <c r="I1314" s="7">
        <v>0.0</v>
      </c>
      <c r="J1314" s="3" t="s">
        <v>72</v>
      </c>
    </row>
    <row r="1315">
      <c r="A1315" s="3"/>
      <c r="B1315" s="3"/>
      <c r="C1315" s="3" t="s">
        <v>24</v>
      </c>
      <c r="D1315" s="4" t="s">
        <v>1135</v>
      </c>
      <c r="E1315" s="3" t="s">
        <v>1136</v>
      </c>
      <c r="F1315" s="5">
        <v>46172.770833333336</v>
      </c>
      <c r="G1315" s="5">
        <v>46172.48049768519</v>
      </c>
      <c r="H1315" s="3" t="s">
        <v>14</v>
      </c>
      <c r="I1315" s="7">
        <v>0.0</v>
      </c>
      <c r="J1315" s="3" t="s">
        <v>72</v>
      </c>
    </row>
    <row r="1316">
      <c r="A1316" s="3"/>
      <c r="B1316" s="3"/>
      <c r="C1316" s="3" t="s">
        <v>26</v>
      </c>
      <c r="D1316" s="4" t="s">
        <v>1135</v>
      </c>
      <c r="E1316" s="3" t="s">
        <v>1136</v>
      </c>
      <c r="F1316" s="5">
        <v>46172.8125</v>
      </c>
      <c r="G1316" s="5">
        <v>46172.469502314816</v>
      </c>
      <c r="H1316" s="3" t="s">
        <v>14</v>
      </c>
      <c r="I1316" s="7">
        <v>0.0</v>
      </c>
      <c r="J1316" s="3" t="s">
        <v>72</v>
      </c>
    </row>
    <row r="1317">
      <c r="A1317" s="3"/>
      <c r="B1317" s="3"/>
      <c r="C1317" s="3" t="s">
        <v>10</v>
      </c>
      <c r="D1317" s="4" t="s">
        <v>1137</v>
      </c>
      <c r="E1317" s="3" t="s">
        <v>1138</v>
      </c>
      <c r="F1317" s="5">
        <v>46171.810844907406</v>
      </c>
      <c r="G1317" s="5">
        <v>46171.66206018518</v>
      </c>
      <c r="H1317" s="3" t="s">
        <v>14</v>
      </c>
      <c r="I1317" s="3">
        <v>0.0</v>
      </c>
      <c r="J1317" s="3" t="s">
        <v>15</v>
      </c>
    </row>
    <row r="1318">
      <c r="A1318" s="3"/>
      <c r="B1318" s="3"/>
      <c r="C1318" s="3" t="s">
        <v>17</v>
      </c>
      <c r="D1318" s="4" t="s">
        <v>1137</v>
      </c>
      <c r="E1318" s="3" t="s">
        <v>1138</v>
      </c>
      <c r="F1318" s="5">
        <v>46171.81778935185</v>
      </c>
      <c r="G1318" s="5">
        <v>46171.662152777775</v>
      </c>
      <c r="H1318" s="3" t="s">
        <v>14</v>
      </c>
      <c r="I1318" s="7">
        <v>0.0</v>
      </c>
      <c r="J1318" s="3" t="s">
        <v>15</v>
      </c>
    </row>
    <row r="1319">
      <c r="A1319" s="3"/>
      <c r="B1319" s="3"/>
      <c r="C1319" s="3" t="s">
        <v>21</v>
      </c>
      <c r="D1319" s="4" t="s">
        <v>1137</v>
      </c>
      <c r="E1319" s="3" t="s">
        <v>1138</v>
      </c>
      <c r="F1319" s="5">
        <v>46172.52569444444</v>
      </c>
      <c r="G1319" s="5">
        <v>46171.6621875</v>
      </c>
      <c r="H1319" s="3" t="s">
        <v>14</v>
      </c>
      <c r="I1319" s="7">
        <v>0.0</v>
      </c>
      <c r="J1319" s="3" t="s">
        <v>15</v>
      </c>
    </row>
    <row r="1320">
      <c r="A1320" s="3"/>
      <c r="B1320" s="3"/>
      <c r="C1320" s="3" t="s">
        <v>24</v>
      </c>
      <c r="D1320" s="4" t="s">
        <v>1137</v>
      </c>
      <c r="E1320" s="3" t="s">
        <v>1138</v>
      </c>
      <c r="F1320" s="5">
        <v>46174.52569444444</v>
      </c>
      <c r="G1320" s="5">
        <v>46171.737129629626</v>
      </c>
      <c r="H1320" s="3" t="s">
        <v>14</v>
      </c>
      <c r="I1320" s="7">
        <v>0.0</v>
      </c>
      <c r="J1320" s="3" t="s">
        <v>15</v>
      </c>
    </row>
    <row r="1321">
      <c r="A1321" s="3"/>
      <c r="B1321" s="3"/>
      <c r="C1321" s="3" t="s">
        <v>26</v>
      </c>
      <c r="D1321" s="4" t="s">
        <v>1137</v>
      </c>
      <c r="E1321" s="3" t="s">
        <v>1138</v>
      </c>
      <c r="F1321" s="5">
        <v>46174.56736111111</v>
      </c>
      <c r="G1321" s="5">
        <v>46171.73716435185</v>
      </c>
      <c r="H1321" s="3" t="s">
        <v>14</v>
      </c>
      <c r="I1321" s="7">
        <v>0.0</v>
      </c>
      <c r="J1321" s="3" t="s">
        <v>15</v>
      </c>
    </row>
    <row r="1322">
      <c r="A1322" s="3"/>
      <c r="B1322" s="3"/>
      <c r="C1322" s="3" t="s">
        <v>10</v>
      </c>
      <c r="D1322" s="4" t="s">
        <v>1142</v>
      </c>
      <c r="E1322" s="3" t="s">
        <v>1143</v>
      </c>
      <c r="F1322" s="5">
        <v>46172.43472222222</v>
      </c>
      <c r="G1322" s="5">
        <v>46171.736909722225</v>
      </c>
      <c r="H1322" s="3" t="s">
        <v>14</v>
      </c>
      <c r="I1322" s="3">
        <v>0.0</v>
      </c>
      <c r="J1322" s="3" t="s">
        <v>72</v>
      </c>
    </row>
    <row r="1323">
      <c r="A1323" s="3"/>
      <c r="B1323" s="3"/>
      <c r="C1323" s="3" t="s">
        <v>17</v>
      </c>
      <c r="D1323" s="4" t="s">
        <v>1142</v>
      </c>
      <c r="E1323" s="3" t="s">
        <v>1143</v>
      </c>
      <c r="F1323" s="5">
        <v>46172.441666666666</v>
      </c>
      <c r="G1323" s="5">
        <v>46171.73699074074</v>
      </c>
      <c r="H1323" s="3" t="s">
        <v>14</v>
      </c>
      <c r="I1323" s="7">
        <v>0.0</v>
      </c>
      <c r="J1323" s="3" t="s">
        <v>72</v>
      </c>
    </row>
    <row r="1324">
      <c r="A1324" s="3"/>
      <c r="B1324" s="3"/>
      <c r="C1324" s="3" t="s">
        <v>21</v>
      </c>
      <c r="D1324" s="4" t="s">
        <v>1142</v>
      </c>
      <c r="E1324" s="3" t="s">
        <v>1143</v>
      </c>
      <c r="F1324" s="5">
        <v>46172.54583333333</v>
      </c>
      <c r="G1324" s="5">
        <v>46171.73704861111</v>
      </c>
      <c r="H1324" s="3" t="s">
        <v>14</v>
      </c>
      <c r="I1324" s="7">
        <v>0.0</v>
      </c>
      <c r="J1324" s="3" t="s">
        <v>72</v>
      </c>
    </row>
    <row r="1325">
      <c r="A1325" s="3"/>
      <c r="B1325" s="3"/>
      <c r="C1325" s="3" t="s">
        <v>24</v>
      </c>
      <c r="D1325" s="4" t="s">
        <v>1142</v>
      </c>
      <c r="E1325" s="3" t="s">
        <v>1143</v>
      </c>
      <c r="F1325" s="5">
        <v>46174.54583333333</v>
      </c>
      <c r="G1325" s="5">
        <v>46174.534212962964</v>
      </c>
      <c r="H1325" s="3" t="s">
        <v>14</v>
      </c>
      <c r="I1325" s="7">
        <v>0.0</v>
      </c>
      <c r="J1325" s="3" t="s">
        <v>72</v>
      </c>
    </row>
    <row r="1326">
      <c r="A1326" s="3"/>
      <c r="B1326" s="3"/>
      <c r="C1326" s="3" t="s">
        <v>26</v>
      </c>
      <c r="D1326" s="4" t="s">
        <v>1142</v>
      </c>
      <c r="E1326" s="3" t="s">
        <v>1143</v>
      </c>
      <c r="F1326" s="5">
        <v>46174.5875</v>
      </c>
      <c r="G1326" s="5">
        <v>46174.534467592595</v>
      </c>
      <c r="H1326" s="3" t="s">
        <v>14</v>
      </c>
      <c r="I1326" s="7">
        <v>0.0</v>
      </c>
      <c r="J1326" s="3" t="s">
        <v>72</v>
      </c>
    </row>
    <row r="1327">
      <c r="A1327" s="3"/>
      <c r="B1327" s="3"/>
      <c r="C1327" s="3" t="s">
        <v>10</v>
      </c>
      <c r="D1327" s="4" t="s">
        <v>1146</v>
      </c>
      <c r="E1327" s="3" t="s">
        <v>1147</v>
      </c>
      <c r="F1327" s="5">
        <v>46174.65394675926</v>
      </c>
      <c r="G1327" s="5">
        <v>46174.62059027778</v>
      </c>
      <c r="H1327" s="3" t="s">
        <v>14</v>
      </c>
      <c r="I1327" s="3">
        <v>0.0</v>
      </c>
      <c r="J1327" s="3" t="s">
        <v>48</v>
      </c>
    </row>
    <row r="1328">
      <c r="A1328" s="3"/>
      <c r="B1328" s="3"/>
      <c r="C1328" s="3" t="s">
        <v>17</v>
      </c>
      <c r="D1328" s="4" t="s">
        <v>1146</v>
      </c>
      <c r="E1328" s="3" t="s">
        <v>1147</v>
      </c>
      <c r="F1328" s="5">
        <v>46174.660891203705</v>
      </c>
      <c r="G1328" s="5">
        <v>46174.74622685185</v>
      </c>
      <c r="H1328" s="3" t="s">
        <v>14</v>
      </c>
      <c r="I1328" s="7">
        <v>0.08533564814814815</v>
      </c>
      <c r="J1328" s="3" t="s">
        <v>48</v>
      </c>
    </row>
    <row r="1329">
      <c r="A1329" s="3"/>
      <c r="B1329" s="3"/>
      <c r="C1329" s="3" t="s">
        <v>21</v>
      </c>
      <c r="D1329" s="4" t="s">
        <v>1146</v>
      </c>
      <c r="E1329" s="3" t="s">
        <v>1147</v>
      </c>
      <c r="F1329" s="5">
        <v>46174.76505787037</v>
      </c>
      <c r="G1329" s="5">
        <v>46174.746354166666</v>
      </c>
      <c r="H1329" s="3" t="s">
        <v>14</v>
      </c>
      <c r="I1329" s="7">
        <v>0.0</v>
      </c>
      <c r="J1329" s="3" t="s">
        <v>48</v>
      </c>
    </row>
    <row r="1330">
      <c r="A1330" s="3"/>
      <c r="B1330" s="3"/>
      <c r="C1330" s="3" t="s">
        <v>24</v>
      </c>
      <c r="D1330" s="4" t="s">
        <v>1146</v>
      </c>
      <c r="E1330" s="3" t="s">
        <v>1147</v>
      </c>
      <c r="F1330" s="5">
        <v>46175.76458333333</v>
      </c>
      <c r="G1330" s="5">
        <v>46175.47078703704</v>
      </c>
      <c r="H1330" s="3" t="s">
        <v>14</v>
      </c>
      <c r="I1330" s="7">
        <v>0.0</v>
      </c>
      <c r="J1330" s="3" t="s">
        <v>48</v>
      </c>
    </row>
    <row r="1331">
      <c r="A1331" s="3"/>
      <c r="B1331" s="3"/>
      <c r="C1331" s="3" t="s">
        <v>26</v>
      </c>
      <c r="D1331" s="4" t="s">
        <v>1146</v>
      </c>
      <c r="E1331" s="3" t="s">
        <v>1147</v>
      </c>
      <c r="F1331" s="5">
        <v>46175.80625</v>
      </c>
      <c r="G1331" s="5">
        <v>46175.470821759256</v>
      </c>
      <c r="H1331" s="3" t="s">
        <v>14</v>
      </c>
      <c r="I1331" s="7">
        <v>0.0</v>
      </c>
      <c r="J1331" s="3" t="s">
        <v>48</v>
      </c>
    </row>
    <row r="1332">
      <c r="A1332" s="3"/>
      <c r="B1332" s="3"/>
      <c r="C1332" s="3" t="s">
        <v>10</v>
      </c>
      <c r="D1332" s="4" t="s">
        <v>1148</v>
      </c>
      <c r="E1332" s="3" t="s">
        <v>136</v>
      </c>
      <c r="F1332" s="5">
        <v>46174.677407407406</v>
      </c>
      <c r="G1332" s="5">
        <v>46174.62059027778</v>
      </c>
      <c r="H1332" s="3" t="s">
        <v>14</v>
      </c>
      <c r="I1332" s="3">
        <v>0.0</v>
      </c>
      <c r="J1332" s="3" t="s">
        <v>48</v>
      </c>
    </row>
    <row r="1333">
      <c r="A1333" s="3"/>
      <c r="B1333" s="3"/>
      <c r="C1333" s="3" t="s">
        <v>17</v>
      </c>
      <c r="D1333" s="4" t="s">
        <v>1148</v>
      </c>
      <c r="E1333" s="3" t="s">
        <v>136</v>
      </c>
      <c r="F1333" s="5">
        <v>46174.68435185185</v>
      </c>
      <c r="G1333" s="5">
        <v>46174.74625</v>
      </c>
      <c r="H1333" s="3" t="s">
        <v>14</v>
      </c>
      <c r="I1333" s="7">
        <v>0.06189814814814815</v>
      </c>
      <c r="J1333" s="3" t="s">
        <v>48</v>
      </c>
    </row>
    <row r="1334">
      <c r="A1334" s="3"/>
      <c r="B1334" s="3"/>
      <c r="C1334" s="3" t="s">
        <v>21</v>
      </c>
      <c r="D1334" s="4" t="s">
        <v>1148</v>
      </c>
      <c r="E1334" s="3" t="s">
        <v>136</v>
      </c>
      <c r="F1334" s="5">
        <v>46174.788518518515</v>
      </c>
      <c r="G1334" s="5">
        <v>46174.74637731481</v>
      </c>
      <c r="H1334" s="3" t="s">
        <v>14</v>
      </c>
      <c r="I1334" s="7">
        <v>0.0</v>
      </c>
      <c r="J1334" s="3" t="s">
        <v>48</v>
      </c>
    </row>
    <row r="1335">
      <c r="A1335" s="3"/>
      <c r="B1335" s="3"/>
      <c r="C1335" s="3" t="s">
        <v>24</v>
      </c>
      <c r="D1335" s="4" t="s">
        <v>1148</v>
      </c>
      <c r="E1335" s="3" t="s">
        <v>136</v>
      </c>
      <c r="F1335" s="5">
        <v>46175.788194444445</v>
      </c>
      <c r="G1335" s="5">
        <v>46175.66738425926</v>
      </c>
      <c r="H1335" s="3" t="s">
        <v>14</v>
      </c>
      <c r="I1335" s="7">
        <v>0.0</v>
      </c>
      <c r="J1335" s="3" t="s">
        <v>48</v>
      </c>
    </row>
    <row r="1336">
      <c r="A1336" s="3"/>
      <c r="B1336" s="3"/>
      <c r="C1336" s="3" t="s">
        <v>26</v>
      </c>
      <c r="D1336" s="4" t="s">
        <v>1148</v>
      </c>
      <c r="E1336" s="3" t="s">
        <v>136</v>
      </c>
      <c r="F1336" s="5">
        <v>46175.82986111111</v>
      </c>
      <c r="G1336" s="5">
        <v>46175.66741898148</v>
      </c>
      <c r="H1336" s="3" t="s">
        <v>14</v>
      </c>
      <c r="I1336" s="7">
        <v>0.0</v>
      </c>
      <c r="J1336" s="3" t="s">
        <v>48</v>
      </c>
    </row>
    <row r="1337">
      <c r="A1337" s="3"/>
      <c r="B1337" s="3"/>
      <c r="C1337" s="3" t="s">
        <v>10</v>
      </c>
      <c r="D1337" s="4" t="s">
        <v>1151</v>
      </c>
      <c r="E1337" s="3" t="s">
        <v>1152</v>
      </c>
      <c r="F1337" s="5">
        <v>46175.82341435185</v>
      </c>
      <c r="G1337" s="5">
        <v>46175.667025462964</v>
      </c>
      <c r="H1337" s="3" t="s">
        <v>14</v>
      </c>
      <c r="I1337" s="3">
        <v>0.0</v>
      </c>
      <c r="J1337" s="3" t="s">
        <v>72</v>
      </c>
    </row>
    <row r="1338">
      <c r="A1338" s="3"/>
      <c r="B1338" s="3"/>
      <c r="C1338" s="3" t="s">
        <v>17</v>
      </c>
      <c r="D1338" s="4" t="s">
        <v>1151</v>
      </c>
      <c r="E1338" s="3" t="s">
        <v>1152</v>
      </c>
      <c r="F1338" s="5">
        <v>46175.830358796295</v>
      </c>
      <c r="G1338" s="5">
        <v>46175.66715277778</v>
      </c>
      <c r="H1338" s="3" t="s">
        <v>14</v>
      </c>
      <c r="I1338" s="7">
        <v>0.0</v>
      </c>
      <c r="J1338" s="3" t="s">
        <v>72</v>
      </c>
    </row>
    <row r="1339">
      <c r="A1339" s="3"/>
      <c r="B1339" s="3"/>
      <c r="C1339" s="3" t="s">
        <v>21</v>
      </c>
      <c r="D1339" s="4" t="s">
        <v>1151</v>
      </c>
      <c r="E1339" s="3" t="s">
        <v>1152</v>
      </c>
      <c r="F1339" s="5">
        <v>46176.538194444445</v>
      </c>
      <c r="G1339" s="5">
        <v>46175.667233796295</v>
      </c>
      <c r="H1339" s="3" t="s">
        <v>14</v>
      </c>
      <c r="I1339" s="7">
        <v>0.0</v>
      </c>
      <c r="J1339" s="3" t="s">
        <v>72</v>
      </c>
    </row>
    <row r="1340">
      <c r="A1340" s="3"/>
      <c r="B1340" s="3"/>
      <c r="C1340" s="3" t="s">
        <v>24</v>
      </c>
      <c r="D1340" s="4" t="s">
        <v>1151</v>
      </c>
      <c r="E1340" s="3" t="s">
        <v>1152</v>
      </c>
      <c r="F1340" s="5">
        <v>46177.538194444445</v>
      </c>
      <c r="G1340" s="5">
        <v>46175.66726851852</v>
      </c>
      <c r="H1340" s="3" t="s">
        <v>14</v>
      </c>
      <c r="I1340" s="7">
        <v>0.0</v>
      </c>
      <c r="J1340" s="3" t="s">
        <v>72</v>
      </c>
    </row>
    <row r="1341">
      <c r="A1341" s="3"/>
      <c r="B1341" s="3"/>
      <c r="C1341" s="3" t="s">
        <v>26</v>
      </c>
      <c r="D1341" s="4" t="s">
        <v>1151</v>
      </c>
      <c r="E1341" s="3" t="s">
        <v>1152</v>
      </c>
      <c r="F1341" s="5">
        <v>46177.57986111111</v>
      </c>
      <c r="G1341" s="5">
        <v>46175.67697916667</v>
      </c>
      <c r="H1341" s="3" t="s">
        <v>14</v>
      </c>
      <c r="I1341" s="7">
        <v>0.0</v>
      </c>
      <c r="J1341" s="3" t="s">
        <v>72</v>
      </c>
    </row>
    <row r="1342">
      <c r="A1342" s="3"/>
      <c r="B1342" s="3"/>
      <c r="C1342" s="3" t="s">
        <v>10</v>
      </c>
      <c r="D1342" s="4" t="s">
        <v>1155</v>
      </c>
      <c r="E1342" s="3" t="s">
        <v>1156</v>
      </c>
      <c r="F1342" s="5">
        <v>46176.42013888889</v>
      </c>
      <c r="G1342" s="5">
        <v>46175.676724537036</v>
      </c>
      <c r="H1342" s="3" t="s">
        <v>14</v>
      </c>
      <c r="I1342" s="3">
        <v>0.0</v>
      </c>
      <c r="J1342" s="3" t="s">
        <v>72</v>
      </c>
    </row>
    <row r="1343">
      <c r="A1343" s="3"/>
      <c r="B1343" s="3"/>
      <c r="C1343" s="3" t="s">
        <v>17</v>
      </c>
      <c r="D1343" s="4" t="s">
        <v>1155</v>
      </c>
      <c r="E1343" s="3" t="s">
        <v>1156</v>
      </c>
      <c r="F1343" s="5">
        <v>46176.427083333336</v>
      </c>
      <c r="G1343" s="5">
        <v>46175.676875</v>
      </c>
      <c r="H1343" s="3" t="s">
        <v>14</v>
      </c>
      <c r="I1343" s="7">
        <v>0.0</v>
      </c>
      <c r="J1343" s="3" t="s">
        <v>72</v>
      </c>
    </row>
    <row r="1344">
      <c r="A1344" s="3"/>
      <c r="B1344" s="3"/>
      <c r="C1344" s="3" t="s">
        <v>21</v>
      </c>
      <c r="D1344" s="4" t="s">
        <v>1155</v>
      </c>
      <c r="E1344" s="3" t="s">
        <v>1156</v>
      </c>
      <c r="F1344" s="5">
        <v>46176.53125</v>
      </c>
      <c r="G1344" s="5">
        <v>46175.67690972222</v>
      </c>
      <c r="H1344" s="3" t="s">
        <v>14</v>
      </c>
      <c r="I1344" s="7">
        <v>0.0</v>
      </c>
      <c r="J1344" s="3" t="s">
        <v>72</v>
      </c>
    </row>
    <row r="1345">
      <c r="A1345" s="3"/>
      <c r="B1345" s="3"/>
      <c r="C1345" s="3" t="s">
        <v>24</v>
      </c>
      <c r="D1345" s="4" t="s">
        <v>1155</v>
      </c>
      <c r="E1345" s="3" t="s">
        <v>1156</v>
      </c>
      <c r="F1345" s="5">
        <v>46177.53125</v>
      </c>
      <c r="G1345" s="5">
        <v>46176.54623842592</v>
      </c>
      <c r="H1345" s="3" t="s">
        <v>14</v>
      </c>
      <c r="I1345" s="7">
        <v>0.0</v>
      </c>
      <c r="J1345" s="3" t="s">
        <v>72</v>
      </c>
    </row>
    <row r="1346">
      <c r="A1346" s="3"/>
      <c r="B1346" s="3"/>
      <c r="C1346" s="3" t="s">
        <v>26</v>
      </c>
      <c r="D1346" s="4" t="s">
        <v>1155</v>
      </c>
      <c r="E1346" s="3" t="s">
        <v>1156</v>
      </c>
      <c r="F1346" s="5">
        <v>46177.572916666664</v>
      </c>
      <c r="G1346" s="5">
        <v>46176.546261574076</v>
      </c>
      <c r="H1346" s="3" t="s">
        <v>14</v>
      </c>
      <c r="I1346" s="7">
        <v>0.0</v>
      </c>
      <c r="J1346" s="3" t="s">
        <v>72</v>
      </c>
    </row>
    <row r="1347">
      <c r="A1347" s="3"/>
      <c r="B1347" s="3"/>
      <c r="C1347" s="3" t="s">
        <v>10</v>
      </c>
      <c r="D1347" s="4" t="s">
        <v>1157</v>
      </c>
      <c r="E1347" s="3" t="s">
        <v>1158</v>
      </c>
      <c r="F1347" s="5">
        <v>46176.42291666667</v>
      </c>
      <c r="G1347" s="5">
        <v>46175.676724537036</v>
      </c>
      <c r="H1347" s="3" t="s">
        <v>14</v>
      </c>
      <c r="I1347" s="3">
        <v>0.0</v>
      </c>
      <c r="J1347" s="3" t="s">
        <v>48</v>
      </c>
    </row>
    <row r="1348">
      <c r="A1348" s="3"/>
      <c r="B1348" s="3"/>
      <c r="C1348" s="3" t="s">
        <v>17</v>
      </c>
      <c r="D1348" s="4" t="s">
        <v>1157</v>
      </c>
      <c r="E1348" s="3" t="s">
        <v>1158</v>
      </c>
      <c r="F1348" s="5">
        <v>46176.42986111111</v>
      </c>
      <c r="G1348" s="5">
        <v>46175.676886574074</v>
      </c>
      <c r="H1348" s="3" t="s">
        <v>14</v>
      </c>
      <c r="I1348" s="7">
        <v>0.0</v>
      </c>
      <c r="J1348" s="3" t="s">
        <v>48</v>
      </c>
    </row>
    <row r="1349">
      <c r="A1349" s="3"/>
      <c r="B1349" s="3"/>
      <c r="C1349" s="3" t="s">
        <v>21</v>
      </c>
      <c r="D1349" s="4" t="s">
        <v>1157</v>
      </c>
      <c r="E1349" s="3" t="s">
        <v>1158</v>
      </c>
      <c r="F1349" s="5">
        <v>46176.53402777778</v>
      </c>
      <c r="G1349" s="5">
        <v>46175.6769212963</v>
      </c>
      <c r="H1349" s="3" t="s">
        <v>14</v>
      </c>
      <c r="I1349" s="7">
        <v>0.0</v>
      </c>
      <c r="J1349" s="3" t="s">
        <v>48</v>
      </c>
    </row>
    <row r="1350">
      <c r="A1350" s="3"/>
      <c r="B1350" s="3"/>
      <c r="C1350" s="3" t="s">
        <v>24</v>
      </c>
      <c r="D1350" s="4" t="s">
        <v>1157</v>
      </c>
      <c r="E1350" s="3" t="s">
        <v>1158</v>
      </c>
      <c r="F1350" s="5">
        <v>46177.53402777778</v>
      </c>
      <c r="G1350" s="5">
        <v>46177.47145833333</v>
      </c>
      <c r="H1350" s="3" t="s">
        <v>14</v>
      </c>
      <c r="I1350" s="7">
        <v>0.0</v>
      </c>
      <c r="J1350" s="3" t="s">
        <v>48</v>
      </c>
    </row>
    <row r="1351">
      <c r="A1351" s="3"/>
      <c r="B1351" s="3"/>
      <c r="C1351" s="3" t="s">
        <v>26</v>
      </c>
      <c r="D1351" s="4" t="s">
        <v>1157</v>
      </c>
      <c r="E1351" s="3" t="s">
        <v>1158</v>
      </c>
      <c r="F1351" s="5">
        <v>46177.575694444444</v>
      </c>
      <c r="G1351" s="5">
        <v>46177.471504629626</v>
      </c>
      <c r="H1351" s="3" t="s">
        <v>14</v>
      </c>
      <c r="I1351" s="7">
        <v>0.0</v>
      </c>
      <c r="J1351" s="3" t="s">
        <v>48</v>
      </c>
    </row>
    <row r="1352">
      <c r="A1352" s="3"/>
      <c r="B1352" s="3"/>
      <c r="C1352" s="3" t="s">
        <v>10</v>
      </c>
      <c r="D1352" s="4" t="s">
        <v>1164</v>
      </c>
      <c r="E1352" s="3" t="s">
        <v>166</v>
      </c>
      <c r="F1352" s="5">
        <v>46176.66273148148</v>
      </c>
      <c r="G1352" s="5">
        <v>46176.508043981485</v>
      </c>
      <c r="H1352" s="3" t="s">
        <v>14</v>
      </c>
      <c r="I1352" s="3">
        <v>0.0</v>
      </c>
      <c r="J1352" s="3" t="s">
        <v>61</v>
      </c>
    </row>
    <row r="1353">
      <c r="A1353" s="3"/>
      <c r="B1353" s="3"/>
      <c r="C1353" s="3" t="s">
        <v>17</v>
      </c>
      <c r="D1353" s="4" t="s">
        <v>1164</v>
      </c>
      <c r="E1353" s="3" t="s">
        <v>166</v>
      </c>
      <c r="F1353" s="5">
        <v>46176.66967592593</v>
      </c>
      <c r="G1353" s="5">
        <v>46176.50809027778</v>
      </c>
      <c r="H1353" s="3" t="s">
        <v>14</v>
      </c>
      <c r="I1353" s="7">
        <v>0.0</v>
      </c>
      <c r="J1353" s="3" t="s">
        <v>61</v>
      </c>
    </row>
    <row r="1354">
      <c r="A1354" s="3"/>
      <c r="B1354" s="3"/>
      <c r="C1354" s="3" t="s">
        <v>21</v>
      </c>
      <c r="D1354" s="4" t="s">
        <v>1164</v>
      </c>
      <c r="E1354" s="3" t="s">
        <v>166</v>
      </c>
      <c r="F1354" s="5">
        <v>46176.77384259259</v>
      </c>
      <c r="G1354" s="5">
        <v>46176.50817129629</v>
      </c>
      <c r="H1354" s="3" t="s">
        <v>14</v>
      </c>
      <c r="I1354" s="7">
        <v>0.0</v>
      </c>
      <c r="J1354" s="3" t="s">
        <v>61</v>
      </c>
    </row>
    <row r="1355">
      <c r="A1355" s="3"/>
      <c r="B1355" s="3"/>
      <c r="C1355" s="3" t="s">
        <v>24</v>
      </c>
      <c r="D1355" s="4" t="s">
        <v>1164</v>
      </c>
      <c r="E1355" s="3" t="s">
        <v>166</v>
      </c>
      <c r="F1355" s="5">
        <v>46177.77361111111</v>
      </c>
      <c r="G1355" s="5">
        <v>46177.68686342592</v>
      </c>
      <c r="H1355" s="3" t="s">
        <v>14</v>
      </c>
      <c r="I1355" s="7">
        <v>0.0</v>
      </c>
      <c r="J1355" s="3" t="s">
        <v>61</v>
      </c>
    </row>
    <row r="1356">
      <c r="A1356" s="3"/>
      <c r="B1356" s="3"/>
      <c r="C1356" s="3" t="s">
        <v>26</v>
      </c>
      <c r="D1356" s="4" t="s">
        <v>1164</v>
      </c>
      <c r="E1356" s="3" t="s">
        <v>166</v>
      </c>
      <c r="F1356" s="5">
        <v>46177.81527777778</v>
      </c>
      <c r="G1356" s="5">
        <v>46177.686898148146</v>
      </c>
      <c r="H1356" s="3" t="s">
        <v>14</v>
      </c>
      <c r="I1356" s="7">
        <v>0.0</v>
      </c>
      <c r="J1356" s="3" t="s">
        <v>61</v>
      </c>
    </row>
    <row r="1357">
      <c r="A1357" s="3"/>
      <c r="B1357" s="3"/>
      <c r="C1357" s="3" t="s">
        <v>10</v>
      </c>
      <c r="D1357" s="4" t="s">
        <v>1165</v>
      </c>
      <c r="E1357" s="3" t="s">
        <v>125</v>
      </c>
      <c r="F1357" s="5">
        <v>46177.44375</v>
      </c>
      <c r="G1357" s="5">
        <v>46176.746296296296</v>
      </c>
      <c r="H1357" s="3" t="s">
        <v>14</v>
      </c>
      <c r="I1357" s="3">
        <v>0.0</v>
      </c>
      <c r="J1357" s="3" t="s">
        <v>15</v>
      </c>
    </row>
    <row r="1358">
      <c r="A1358" s="3"/>
      <c r="B1358" s="3"/>
      <c r="C1358" s="3" t="s">
        <v>17</v>
      </c>
      <c r="D1358" s="4" t="s">
        <v>1165</v>
      </c>
      <c r="E1358" s="3" t="s">
        <v>125</v>
      </c>
      <c r="F1358" s="5">
        <v>46177.450694444444</v>
      </c>
      <c r="G1358" s="5">
        <v>46176.74659722222</v>
      </c>
      <c r="H1358" s="3" t="s">
        <v>14</v>
      </c>
      <c r="I1358" s="7">
        <v>0.0</v>
      </c>
      <c r="J1358" s="3" t="s">
        <v>15</v>
      </c>
    </row>
    <row r="1359">
      <c r="A1359" s="3"/>
      <c r="B1359" s="3"/>
      <c r="C1359" s="3" t="s">
        <v>21</v>
      </c>
      <c r="D1359" s="4" t="s">
        <v>1165</v>
      </c>
      <c r="E1359" s="3" t="s">
        <v>125</v>
      </c>
      <c r="F1359" s="5">
        <v>46177.55486111111</v>
      </c>
      <c r="G1359" s="5">
        <v>46176.74667824074</v>
      </c>
      <c r="H1359" s="3" t="s">
        <v>14</v>
      </c>
      <c r="I1359" s="7">
        <v>0.0</v>
      </c>
      <c r="J1359" s="3" t="s">
        <v>15</v>
      </c>
    </row>
    <row r="1360">
      <c r="A1360" s="3"/>
      <c r="B1360" s="3"/>
      <c r="C1360" s="3" t="s">
        <v>24</v>
      </c>
      <c r="D1360" s="4" t="s">
        <v>1165</v>
      </c>
      <c r="E1360" s="3" t="s">
        <v>125</v>
      </c>
      <c r="F1360" s="5">
        <v>46178.55486111111</v>
      </c>
      <c r="G1360" s="5">
        <v>46176.79582175926</v>
      </c>
      <c r="H1360" s="3" t="s">
        <v>14</v>
      </c>
      <c r="I1360" s="7">
        <v>0.0</v>
      </c>
      <c r="J1360" s="3" t="s">
        <v>15</v>
      </c>
    </row>
    <row r="1361">
      <c r="A1361" s="3"/>
      <c r="B1361" s="3"/>
      <c r="C1361" s="3" t="s">
        <v>26</v>
      </c>
      <c r="D1361" s="4" t="s">
        <v>1165</v>
      </c>
      <c r="E1361" s="3" t="s">
        <v>125</v>
      </c>
      <c r="F1361" s="5">
        <v>46178.59652777778</v>
      </c>
      <c r="G1361" s="5">
        <v>46176.796006944445</v>
      </c>
      <c r="H1361" s="3" t="s">
        <v>14</v>
      </c>
      <c r="I1361" s="7">
        <v>0.0</v>
      </c>
      <c r="J1361" s="3" t="s">
        <v>15</v>
      </c>
    </row>
    <row r="1362">
      <c r="A1362" s="3"/>
      <c r="B1362" s="3"/>
      <c r="C1362" s="3" t="s">
        <v>10</v>
      </c>
      <c r="D1362" s="4" t="s">
        <v>1170</v>
      </c>
      <c r="E1362" s="3" t="s">
        <v>660</v>
      </c>
      <c r="F1362" s="5">
        <v>46177.44652777778</v>
      </c>
      <c r="G1362" s="5">
        <v>46176.74636574074</v>
      </c>
      <c r="H1362" s="3" t="s">
        <v>14</v>
      </c>
      <c r="I1362" s="3">
        <v>0.0</v>
      </c>
      <c r="J1362" s="3" t="s">
        <v>15</v>
      </c>
    </row>
    <row r="1363">
      <c r="A1363" s="3"/>
      <c r="B1363" s="3"/>
      <c r="C1363" s="3" t="s">
        <v>17</v>
      </c>
      <c r="D1363" s="4" t="s">
        <v>1170</v>
      </c>
      <c r="E1363" s="3" t="s">
        <v>660</v>
      </c>
      <c r="F1363" s="5">
        <v>46177.45347222222</v>
      </c>
      <c r="G1363" s="5">
        <v>46176.7466087963</v>
      </c>
      <c r="H1363" s="3" t="s">
        <v>14</v>
      </c>
      <c r="I1363" s="7">
        <v>0.0</v>
      </c>
      <c r="J1363" s="3" t="s">
        <v>15</v>
      </c>
    </row>
    <row r="1364">
      <c r="A1364" s="3"/>
      <c r="B1364" s="3"/>
      <c r="C1364" s="3" t="s">
        <v>21</v>
      </c>
      <c r="D1364" s="4" t="s">
        <v>1170</v>
      </c>
      <c r="E1364" s="3" t="s">
        <v>660</v>
      </c>
      <c r="F1364" s="5">
        <v>46177.55763888889</v>
      </c>
      <c r="G1364" s="5">
        <v>46176.74668981481</v>
      </c>
      <c r="H1364" s="3" t="s">
        <v>14</v>
      </c>
      <c r="I1364" s="7">
        <v>0.0</v>
      </c>
      <c r="J1364" s="3" t="s">
        <v>15</v>
      </c>
    </row>
    <row r="1365">
      <c r="A1365" s="3"/>
      <c r="B1365" s="3"/>
      <c r="C1365" s="3" t="s">
        <v>24</v>
      </c>
      <c r="D1365" s="4" t="s">
        <v>1170</v>
      </c>
      <c r="E1365" s="3" t="s">
        <v>660</v>
      </c>
      <c r="F1365" s="5">
        <v>46178.55763888889</v>
      </c>
      <c r="G1365" s="5">
        <v>46176.79591435185</v>
      </c>
      <c r="H1365" s="3" t="s">
        <v>14</v>
      </c>
      <c r="I1365" s="7">
        <v>0.0</v>
      </c>
      <c r="J1365" s="3" t="s">
        <v>15</v>
      </c>
    </row>
    <row r="1366">
      <c r="A1366" s="3"/>
      <c r="B1366" s="3"/>
      <c r="C1366" s="3" t="s">
        <v>26</v>
      </c>
      <c r="D1366" s="4" t="s">
        <v>1170</v>
      </c>
      <c r="E1366" s="3" t="s">
        <v>660</v>
      </c>
      <c r="F1366" s="5">
        <v>46178.59930555556</v>
      </c>
      <c r="G1366" s="5">
        <v>46176.79603009259</v>
      </c>
      <c r="H1366" s="3" t="s">
        <v>14</v>
      </c>
      <c r="I1366" s="7">
        <v>0.0</v>
      </c>
      <c r="J1366" s="3" t="s">
        <v>15</v>
      </c>
    </row>
    <row r="1367">
      <c r="A1367" s="3"/>
      <c r="B1367" s="3"/>
      <c r="C1367" s="3" t="s">
        <v>10</v>
      </c>
      <c r="D1367" s="4" t="s">
        <v>1172</v>
      </c>
      <c r="E1367" s="3" t="s">
        <v>705</v>
      </c>
      <c r="F1367" s="5">
        <v>46177.45416666667</v>
      </c>
      <c r="G1367" s="5">
        <v>46176.746469907404</v>
      </c>
      <c r="H1367" s="3" t="s">
        <v>14</v>
      </c>
      <c r="I1367" s="3">
        <v>0.0</v>
      </c>
      <c r="J1367" s="3" t="s">
        <v>48</v>
      </c>
    </row>
    <row r="1368">
      <c r="A1368" s="3"/>
      <c r="B1368" s="3"/>
      <c r="C1368" s="3" t="s">
        <v>17</v>
      </c>
      <c r="D1368" s="4" t="s">
        <v>1172</v>
      </c>
      <c r="E1368" s="3" t="s">
        <v>705</v>
      </c>
      <c r="F1368" s="5">
        <v>46177.46111111111</v>
      </c>
      <c r="G1368" s="5">
        <v>46176.74663194444</v>
      </c>
      <c r="H1368" s="3" t="s">
        <v>14</v>
      </c>
      <c r="I1368" s="7">
        <v>0.0</v>
      </c>
      <c r="J1368" s="3" t="s">
        <v>48</v>
      </c>
    </row>
    <row r="1369">
      <c r="A1369" s="3"/>
      <c r="B1369" s="3"/>
      <c r="C1369" s="3" t="s">
        <v>21</v>
      </c>
      <c r="D1369" s="4" t="s">
        <v>1172</v>
      </c>
      <c r="E1369" s="3" t="s">
        <v>705</v>
      </c>
      <c r="F1369" s="5">
        <v>46177.56527777778</v>
      </c>
      <c r="G1369" s="5">
        <v>46176.746712962966</v>
      </c>
      <c r="H1369" s="3" t="s">
        <v>14</v>
      </c>
      <c r="I1369" s="7">
        <v>0.0</v>
      </c>
      <c r="J1369" s="3" t="s">
        <v>48</v>
      </c>
    </row>
    <row r="1370">
      <c r="A1370" s="3"/>
      <c r="B1370" s="3"/>
      <c r="C1370" s="3" t="s">
        <v>24</v>
      </c>
      <c r="D1370" s="4" t="s">
        <v>1172</v>
      </c>
      <c r="E1370" s="3" t="s">
        <v>705</v>
      </c>
      <c r="F1370" s="5">
        <v>46178.56527777778</v>
      </c>
      <c r="G1370" s="5">
        <v>46177.471666666665</v>
      </c>
      <c r="H1370" s="3" t="s">
        <v>14</v>
      </c>
      <c r="I1370" s="7">
        <v>0.0</v>
      </c>
      <c r="J1370" s="3" t="s">
        <v>48</v>
      </c>
    </row>
    <row r="1371">
      <c r="A1371" s="3"/>
      <c r="B1371" s="3"/>
      <c r="C1371" s="3" t="s">
        <v>26</v>
      </c>
      <c r="D1371" s="4" t="s">
        <v>1172</v>
      </c>
      <c r="E1371" s="3" t="s">
        <v>705</v>
      </c>
      <c r="F1371" s="5">
        <v>46178.606944444444</v>
      </c>
      <c r="G1371" s="5">
        <v>46177.47168981482</v>
      </c>
      <c r="H1371" s="3" t="s">
        <v>14</v>
      </c>
      <c r="I1371" s="7">
        <v>0.0</v>
      </c>
      <c r="J1371" s="3" t="s">
        <v>48</v>
      </c>
    </row>
    <row r="1372">
      <c r="A1372" s="3"/>
      <c r="B1372" s="3"/>
      <c r="C1372" s="3" t="s">
        <v>10</v>
      </c>
      <c r="D1372" s="4" t="s">
        <v>1174</v>
      </c>
      <c r="E1372" s="3" t="s">
        <v>1175</v>
      </c>
      <c r="F1372" s="5">
        <v>46177.81364583333</v>
      </c>
      <c r="G1372" s="5">
        <v>46177.68716435185</v>
      </c>
      <c r="H1372" s="3" t="s">
        <v>14</v>
      </c>
      <c r="I1372" s="3">
        <v>0.0</v>
      </c>
      <c r="J1372" s="3" t="s">
        <v>61</v>
      </c>
    </row>
    <row r="1373">
      <c r="A1373" s="3"/>
      <c r="B1373" s="3"/>
      <c r="C1373" s="3" t="s">
        <v>17</v>
      </c>
      <c r="D1373" s="4" t="s">
        <v>1174</v>
      </c>
      <c r="E1373" s="3" t="s">
        <v>1175</v>
      </c>
      <c r="F1373" s="5">
        <v>46177.82059027778</v>
      </c>
      <c r="G1373" s="5">
        <v>46177.687256944446</v>
      </c>
      <c r="H1373" s="3" t="s">
        <v>14</v>
      </c>
      <c r="I1373" s="7">
        <v>0.0</v>
      </c>
      <c r="J1373" s="3" t="s">
        <v>61</v>
      </c>
    </row>
    <row r="1374">
      <c r="A1374" s="3"/>
      <c r="B1374" s="3"/>
      <c r="C1374" s="3" t="s">
        <v>21</v>
      </c>
      <c r="D1374" s="4" t="s">
        <v>1174</v>
      </c>
      <c r="E1374" s="3" t="s">
        <v>1175</v>
      </c>
      <c r="F1374" s="5">
        <v>46178.52847222222</v>
      </c>
      <c r="G1374" s="5">
        <v>46177.72063657407</v>
      </c>
      <c r="H1374" s="3" t="s">
        <v>14</v>
      </c>
      <c r="I1374" s="7">
        <v>0.0</v>
      </c>
      <c r="J1374" s="3" t="s">
        <v>61</v>
      </c>
    </row>
    <row r="1375">
      <c r="A1375" s="3"/>
      <c r="B1375" s="3"/>
      <c r="C1375" s="3" t="s">
        <v>24</v>
      </c>
      <c r="D1375" s="4" t="s">
        <v>1174</v>
      </c>
      <c r="E1375" s="3" t="s">
        <v>1175</v>
      </c>
      <c r="F1375" s="5">
        <v>46179.52847222222</v>
      </c>
      <c r="G1375" s="5">
        <v>46178.556759259256</v>
      </c>
      <c r="H1375" s="3" t="s">
        <v>14</v>
      </c>
      <c r="I1375" s="7">
        <v>0.0</v>
      </c>
      <c r="J1375" s="3" t="s">
        <v>61</v>
      </c>
    </row>
    <row r="1376">
      <c r="A1376" s="3"/>
      <c r="B1376" s="3"/>
      <c r="C1376" s="3" t="s">
        <v>26</v>
      </c>
      <c r="D1376" s="4" t="s">
        <v>1174</v>
      </c>
      <c r="E1376" s="3" t="s">
        <v>1175</v>
      </c>
      <c r="F1376" s="5">
        <v>46179.57013888889</v>
      </c>
      <c r="G1376" s="5">
        <v>46178.55677083333</v>
      </c>
      <c r="H1376" s="3" t="s">
        <v>14</v>
      </c>
      <c r="I1376" s="7">
        <v>0.0</v>
      </c>
      <c r="J1376" s="3" t="s">
        <v>61</v>
      </c>
    </row>
    <row r="1377">
      <c r="A1377" s="3"/>
      <c r="B1377" s="3"/>
      <c r="C1377" s="3" t="s">
        <v>10</v>
      </c>
      <c r="D1377" s="4" t="s">
        <v>1180</v>
      </c>
      <c r="E1377" s="3" t="s">
        <v>727</v>
      </c>
      <c r="F1377" s="5">
        <v>46178.641064814816</v>
      </c>
      <c r="G1377" s="5">
        <v>46178.507210648146</v>
      </c>
      <c r="H1377" s="3" t="s">
        <v>14</v>
      </c>
      <c r="I1377" s="3">
        <v>0.0</v>
      </c>
      <c r="J1377" s="3" t="s">
        <v>15</v>
      </c>
    </row>
    <row r="1378">
      <c r="A1378" s="3"/>
      <c r="B1378" s="3"/>
      <c r="C1378" s="3" t="s">
        <v>17</v>
      </c>
      <c r="D1378" s="4" t="s">
        <v>1180</v>
      </c>
      <c r="E1378" s="3" t="s">
        <v>727</v>
      </c>
      <c r="F1378" s="5">
        <v>46178.64800925926</v>
      </c>
      <c r="G1378" s="5">
        <v>46178.507256944446</v>
      </c>
      <c r="H1378" s="3" t="s">
        <v>14</v>
      </c>
      <c r="I1378" s="7">
        <v>0.0</v>
      </c>
      <c r="J1378" s="3" t="s">
        <v>15</v>
      </c>
    </row>
    <row r="1379">
      <c r="A1379" s="3"/>
      <c r="B1379" s="3"/>
      <c r="C1379" s="3" t="s">
        <v>21</v>
      </c>
      <c r="D1379" s="4" t="s">
        <v>1180</v>
      </c>
      <c r="E1379" s="3" t="s">
        <v>727</v>
      </c>
      <c r="F1379" s="5">
        <v>46178.752175925925</v>
      </c>
      <c r="G1379" s="5">
        <v>46178.60946759259</v>
      </c>
      <c r="H1379" s="3" t="s">
        <v>14</v>
      </c>
      <c r="I1379" s="7">
        <v>0.0</v>
      </c>
      <c r="J1379" s="3" t="s">
        <v>15</v>
      </c>
    </row>
    <row r="1380">
      <c r="A1380" s="3"/>
      <c r="B1380" s="3"/>
      <c r="C1380" s="3" t="s">
        <v>24</v>
      </c>
      <c r="D1380" s="4" t="s">
        <v>1180</v>
      </c>
      <c r="E1380" s="3" t="s">
        <v>727</v>
      </c>
      <c r="F1380" s="5">
        <v>46179.75208333333</v>
      </c>
      <c r="G1380" s="5">
        <v>46179.45394675926</v>
      </c>
      <c r="H1380" s="3" t="s">
        <v>14</v>
      </c>
      <c r="I1380" s="7">
        <v>0.0</v>
      </c>
      <c r="J1380" s="3" t="s">
        <v>15</v>
      </c>
    </row>
    <row r="1381">
      <c r="A1381" s="3"/>
      <c r="B1381" s="3"/>
      <c r="C1381" s="3" t="s">
        <v>26</v>
      </c>
      <c r="D1381" s="4" t="s">
        <v>1180</v>
      </c>
      <c r="E1381" s="3" t="s">
        <v>727</v>
      </c>
      <c r="F1381" s="5">
        <v>46179.79375</v>
      </c>
      <c r="G1381" s="5">
        <v>46179.673113425924</v>
      </c>
      <c r="H1381" s="3" t="s">
        <v>14</v>
      </c>
      <c r="I1381" s="7">
        <v>0.0</v>
      </c>
      <c r="J1381" s="3" t="s">
        <v>15</v>
      </c>
    </row>
    <row r="1382">
      <c r="A1382" s="3"/>
      <c r="B1382" s="3"/>
      <c r="C1382" s="3" t="s">
        <v>10</v>
      </c>
      <c r="D1382" s="4" t="s">
        <v>1184</v>
      </c>
      <c r="E1382" s="3" t="s">
        <v>1185</v>
      </c>
      <c r="F1382" s="5">
        <v>46179.424305555556</v>
      </c>
      <c r="G1382" s="5">
        <v>46178.72100694444</v>
      </c>
      <c r="H1382" s="3" t="s">
        <v>14</v>
      </c>
      <c r="I1382" s="3">
        <v>0.0</v>
      </c>
      <c r="J1382" s="3" t="s">
        <v>61</v>
      </c>
    </row>
    <row r="1383">
      <c r="A1383" s="3"/>
      <c r="B1383" s="3"/>
      <c r="C1383" s="3" t="s">
        <v>17</v>
      </c>
      <c r="D1383" s="4" t="s">
        <v>1184</v>
      </c>
      <c r="E1383" s="3" t="s">
        <v>1185</v>
      </c>
      <c r="F1383" s="5">
        <v>46179.43125</v>
      </c>
      <c r="G1383" s="5">
        <v>46178.72111111111</v>
      </c>
      <c r="H1383" s="3" t="s">
        <v>14</v>
      </c>
      <c r="I1383" s="7">
        <v>0.0</v>
      </c>
      <c r="J1383" s="3" t="s">
        <v>61</v>
      </c>
    </row>
    <row r="1384">
      <c r="A1384" s="3"/>
      <c r="B1384" s="3"/>
      <c r="C1384" s="3" t="s">
        <v>21</v>
      </c>
      <c r="D1384" s="4" t="s">
        <v>1184</v>
      </c>
      <c r="E1384" s="3" t="s">
        <v>1185</v>
      </c>
      <c r="F1384" s="5">
        <v>46179.535416666666</v>
      </c>
      <c r="G1384" s="5">
        <v>46178.721550925926</v>
      </c>
      <c r="H1384" s="3" t="s">
        <v>14</v>
      </c>
      <c r="I1384" s="7">
        <v>0.0</v>
      </c>
      <c r="J1384" s="3" t="s">
        <v>61</v>
      </c>
    </row>
    <row r="1385">
      <c r="A1385" s="3"/>
      <c r="B1385" s="3"/>
      <c r="C1385" s="3" t="s">
        <v>24</v>
      </c>
      <c r="D1385" s="4" t="s">
        <v>1184</v>
      </c>
      <c r="E1385" s="3" t="s">
        <v>1185</v>
      </c>
      <c r="F1385" s="5">
        <v>46181.535416666666</v>
      </c>
      <c r="G1385" s="5">
        <v>46179.4540162037</v>
      </c>
      <c r="H1385" s="3" t="s">
        <v>14</v>
      </c>
      <c r="I1385" s="7">
        <v>0.0</v>
      </c>
      <c r="J1385" s="3" t="s">
        <v>61</v>
      </c>
    </row>
    <row r="1386">
      <c r="A1386" s="3"/>
      <c r="B1386" s="3"/>
      <c r="C1386" s="3" t="s">
        <v>26</v>
      </c>
      <c r="D1386" s="4" t="s">
        <v>1184</v>
      </c>
      <c r="E1386" s="3" t="s">
        <v>1185</v>
      </c>
      <c r="F1386" s="5">
        <v>46181.57708333333</v>
      </c>
      <c r="G1386" s="5">
        <v>46181.45615740741</v>
      </c>
      <c r="H1386" s="3" t="s">
        <v>14</v>
      </c>
      <c r="I1386" s="7">
        <v>0.0</v>
      </c>
      <c r="J1386" s="3" t="s">
        <v>61</v>
      </c>
    </row>
    <row r="1387">
      <c r="A1387" s="3"/>
      <c r="B1387" s="3"/>
      <c r="C1387" s="3" t="s">
        <v>10</v>
      </c>
      <c r="D1387" s="4" t="s">
        <v>1186</v>
      </c>
      <c r="E1387" s="3" t="s">
        <v>1120</v>
      </c>
      <c r="F1387" s="5">
        <v>46179.427777777775</v>
      </c>
      <c r="G1387" s="5">
        <v>46178.721030092594</v>
      </c>
      <c r="H1387" s="3" t="s">
        <v>14</v>
      </c>
      <c r="I1387" s="3">
        <v>0.0</v>
      </c>
      <c r="J1387" s="3" t="s">
        <v>72</v>
      </c>
    </row>
    <row r="1388">
      <c r="A1388" s="3"/>
      <c r="B1388" s="3"/>
      <c r="C1388" s="3" t="s">
        <v>17</v>
      </c>
      <c r="D1388" s="4" t="s">
        <v>1186</v>
      </c>
      <c r="E1388" s="3" t="s">
        <v>1120</v>
      </c>
      <c r="F1388" s="5">
        <v>46179.43472222222</v>
      </c>
      <c r="G1388" s="5">
        <v>46178.72112268519</v>
      </c>
      <c r="H1388" s="3" t="s">
        <v>14</v>
      </c>
      <c r="I1388" s="7">
        <v>0.0</v>
      </c>
      <c r="J1388" s="3" t="s">
        <v>72</v>
      </c>
    </row>
    <row r="1389">
      <c r="A1389" s="3"/>
      <c r="B1389" s="3"/>
      <c r="C1389" s="3" t="s">
        <v>21</v>
      </c>
      <c r="D1389" s="4" t="s">
        <v>1186</v>
      </c>
      <c r="E1389" s="3" t="s">
        <v>1120</v>
      </c>
      <c r="F1389" s="5">
        <v>46179.53888888889</v>
      </c>
      <c r="G1389" s="5">
        <v>46178.72157407407</v>
      </c>
      <c r="H1389" s="3" t="s">
        <v>14</v>
      </c>
      <c r="I1389" s="7">
        <v>0.0</v>
      </c>
      <c r="J1389" s="3" t="s">
        <v>72</v>
      </c>
    </row>
    <row r="1390">
      <c r="A1390" s="3"/>
      <c r="B1390" s="3"/>
      <c r="C1390" s="3" t="s">
        <v>24</v>
      </c>
      <c r="D1390" s="4" t="s">
        <v>1186</v>
      </c>
      <c r="E1390" s="3" t="s">
        <v>1120</v>
      </c>
      <c r="F1390" s="5">
        <v>46181.53888888889</v>
      </c>
      <c r="G1390" s="5">
        <v>46179.6880787037</v>
      </c>
      <c r="H1390" s="3" t="s">
        <v>14</v>
      </c>
      <c r="I1390" s="7">
        <v>0.0</v>
      </c>
      <c r="J1390" s="3" t="s">
        <v>72</v>
      </c>
    </row>
    <row r="1391">
      <c r="A1391" s="3"/>
      <c r="B1391" s="3"/>
      <c r="C1391" s="3" t="s">
        <v>26</v>
      </c>
      <c r="D1391" s="4" t="s">
        <v>1186</v>
      </c>
      <c r="E1391" s="3" t="s">
        <v>1120</v>
      </c>
      <c r="F1391" s="5">
        <v>46181.580555555556</v>
      </c>
      <c r="G1391" s="5">
        <v>46181.45611111111</v>
      </c>
      <c r="H1391" s="3" t="s">
        <v>14</v>
      </c>
      <c r="I1391" s="7">
        <v>0.0</v>
      </c>
      <c r="J1391" s="3" t="s">
        <v>72</v>
      </c>
    </row>
    <row r="1392">
      <c r="A1392" s="3"/>
      <c r="B1392" s="3"/>
      <c r="C1392" s="3" t="s">
        <v>10</v>
      </c>
      <c r="D1392" s="4" t="s">
        <v>1188</v>
      </c>
      <c r="E1392" s="3" t="s">
        <v>166</v>
      </c>
      <c r="F1392" s="5">
        <v>46181.42638888889</v>
      </c>
      <c r="G1392" s="5">
        <v>46179.68797453704</v>
      </c>
      <c r="H1392" s="3" t="s">
        <v>14</v>
      </c>
      <c r="I1392" s="3">
        <v>0.0</v>
      </c>
      <c r="J1392" s="3" t="s">
        <v>72</v>
      </c>
    </row>
    <row r="1393">
      <c r="A1393" s="3"/>
      <c r="B1393" s="3"/>
      <c r="C1393" s="3" t="s">
        <v>17</v>
      </c>
      <c r="D1393" s="4" t="s">
        <v>1188</v>
      </c>
      <c r="E1393" s="3" t="s">
        <v>166</v>
      </c>
      <c r="F1393" s="5">
        <v>46181.433333333334</v>
      </c>
      <c r="G1393" s="5">
        <v>46179.68802083333</v>
      </c>
      <c r="H1393" s="3" t="s">
        <v>14</v>
      </c>
      <c r="I1393" s="7">
        <v>0.0</v>
      </c>
      <c r="J1393" s="3" t="s">
        <v>72</v>
      </c>
    </row>
    <row r="1394">
      <c r="A1394" s="3"/>
      <c r="B1394" s="3"/>
      <c r="C1394" s="3" t="s">
        <v>21</v>
      </c>
      <c r="D1394" s="4" t="s">
        <v>1188</v>
      </c>
      <c r="E1394" s="3" t="s">
        <v>166</v>
      </c>
      <c r="F1394" s="5">
        <v>46181.5375</v>
      </c>
      <c r="G1394" s="5">
        <v>46179.688043981485</v>
      </c>
      <c r="H1394" s="3" t="s">
        <v>14</v>
      </c>
      <c r="I1394" s="7">
        <v>0.0</v>
      </c>
      <c r="J1394" s="3" t="s">
        <v>72</v>
      </c>
    </row>
    <row r="1395">
      <c r="A1395" s="3"/>
      <c r="B1395" s="3"/>
      <c r="C1395" s="3" t="s">
        <v>24</v>
      </c>
      <c r="D1395" s="4" t="s">
        <v>1188</v>
      </c>
      <c r="E1395" s="3" t="s">
        <v>166</v>
      </c>
      <c r="F1395" s="5">
        <v>46182.5375</v>
      </c>
      <c r="G1395" s="5">
        <v>46179.6880787037</v>
      </c>
      <c r="H1395" s="3" t="s">
        <v>14</v>
      </c>
      <c r="I1395" s="7">
        <v>0.0</v>
      </c>
      <c r="J1395" s="3" t="s">
        <v>72</v>
      </c>
    </row>
    <row r="1396">
      <c r="A1396" s="3"/>
      <c r="B1396" s="3"/>
      <c r="C1396" s="3" t="s">
        <v>26</v>
      </c>
      <c r="D1396" s="4" t="s">
        <v>1188</v>
      </c>
      <c r="E1396" s="3" t="s">
        <v>166</v>
      </c>
      <c r="F1396" s="5">
        <v>46182.57916666667</v>
      </c>
      <c r="G1396" s="5">
        <v>46181.456145833334</v>
      </c>
      <c r="H1396" s="3" t="s">
        <v>14</v>
      </c>
      <c r="I1396" s="7">
        <v>0.0</v>
      </c>
      <c r="J1396" s="3" t="s">
        <v>72</v>
      </c>
    </row>
    <row r="1397">
      <c r="A1397" s="3"/>
      <c r="B1397" s="3"/>
      <c r="C1397" s="3" t="s">
        <v>10</v>
      </c>
      <c r="D1397" s="4" t="s">
        <v>1193</v>
      </c>
      <c r="E1397" s="3" t="s">
        <v>882</v>
      </c>
      <c r="F1397" s="5">
        <v>46182.42013888889</v>
      </c>
      <c r="G1397" s="5">
        <v>46181.679710648146</v>
      </c>
      <c r="H1397" s="3" t="s">
        <v>14</v>
      </c>
      <c r="I1397" s="3">
        <v>0.0</v>
      </c>
      <c r="J1397" s="3" t="s">
        <v>15</v>
      </c>
    </row>
    <row r="1398">
      <c r="A1398" s="3"/>
      <c r="B1398" s="3"/>
      <c r="C1398" s="3" t="s">
        <v>17</v>
      </c>
      <c r="D1398" s="4" t="s">
        <v>1193</v>
      </c>
      <c r="E1398" s="3" t="s">
        <v>882</v>
      </c>
      <c r="F1398" s="5">
        <v>46182.46875</v>
      </c>
      <c r="G1398" s="5">
        <v>46182.4525462963</v>
      </c>
      <c r="H1398" s="3" t="s">
        <v>14</v>
      </c>
      <c r="I1398" s="7">
        <v>0.0</v>
      </c>
      <c r="J1398" s="3" t="s">
        <v>15</v>
      </c>
    </row>
    <row r="1399">
      <c r="A1399" s="3"/>
      <c r="B1399" s="3"/>
      <c r="C1399" s="3" t="s">
        <v>21</v>
      </c>
      <c r="D1399" s="4" t="s">
        <v>1193</v>
      </c>
      <c r="E1399" s="3" t="s">
        <v>882</v>
      </c>
      <c r="F1399" s="5">
        <v>46182.614583333336</v>
      </c>
      <c r="G1399" s="5">
        <v>46182.452581018515</v>
      </c>
      <c r="H1399" s="3" t="s">
        <v>14</v>
      </c>
      <c r="I1399" s="7">
        <v>0.0</v>
      </c>
      <c r="J1399" s="3" t="s">
        <v>15</v>
      </c>
    </row>
    <row r="1400">
      <c r="A1400" s="3"/>
      <c r="B1400" s="3"/>
      <c r="C1400" s="3" t="s">
        <v>24</v>
      </c>
      <c r="D1400" s="4" t="s">
        <v>1193</v>
      </c>
      <c r="E1400" s="3" t="s">
        <v>882</v>
      </c>
      <c r="F1400" s="5">
        <v>46183.614583333336</v>
      </c>
      <c r="G1400" s="5">
        <v>46182.45270833333</v>
      </c>
      <c r="H1400" s="3" t="s">
        <v>14</v>
      </c>
      <c r="I1400" s="7">
        <v>0.0</v>
      </c>
      <c r="J1400" s="3" t="s">
        <v>15</v>
      </c>
    </row>
    <row r="1401">
      <c r="A1401" s="3"/>
      <c r="B1401" s="3"/>
      <c r="C1401" s="3" t="s">
        <v>26</v>
      </c>
      <c r="D1401" s="4" t="s">
        <v>1193</v>
      </c>
      <c r="E1401" s="3" t="s">
        <v>882</v>
      </c>
      <c r="F1401" s="5">
        <v>46183.65625</v>
      </c>
      <c r="G1401" s="5">
        <v>46182.72127314815</v>
      </c>
      <c r="H1401" s="3" t="s">
        <v>14</v>
      </c>
      <c r="I1401" s="7">
        <v>0.0</v>
      </c>
      <c r="J1401" s="3" t="s">
        <v>15</v>
      </c>
    </row>
    <row r="1402">
      <c r="A1402" s="3"/>
      <c r="B1402" s="3"/>
      <c r="C1402" s="3" t="s">
        <v>10</v>
      </c>
      <c r="D1402" s="4" t="s">
        <v>1196</v>
      </c>
      <c r="E1402" s="3" t="s">
        <v>74</v>
      </c>
      <c r="F1402" s="5">
        <v>46182.489583333336</v>
      </c>
      <c r="G1402" s="5">
        <v>46182.45239583333</v>
      </c>
      <c r="H1402" s="3" t="s">
        <v>14</v>
      </c>
      <c r="I1402" s="3">
        <v>0.0</v>
      </c>
      <c r="J1402" s="3" t="s">
        <v>15</v>
      </c>
    </row>
    <row r="1403">
      <c r="A1403" s="3"/>
      <c r="B1403" s="3"/>
      <c r="C1403" s="3" t="s">
        <v>17</v>
      </c>
      <c r="D1403" s="4" t="s">
        <v>1196</v>
      </c>
      <c r="E1403" s="3" t="s">
        <v>74</v>
      </c>
      <c r="F1403" s="5">
        <v>46182.49652777778</v>
      </c>
      <c r="G1403" s="5">
        <v>46182.45255787037</v>
      </c>
      <c r="H1403" s="3" t="s">
        <v>14</v>
      </c>
      <c r="I1403" s="7">
        <v>0.0</v>
      </c>
      <c r="J1403" s="3" t="s">
        <v>15</v>
      </c>
    </row>
    <row r="1404">
      <c r="A1404" s="3"/>
      <c r="B1404" s="3"/>
      <c r="C1404" s="3" t="s">
        <v>21</v>
      </c>
      <c r="D1404" s="4" t="s">
        <v>1196</v>
      </c>
      <c r="E1404" s="3" t="s">
        <v>74</v>
      </c>
      <c r="F1404" s="5">
        <v>46182.600694444445</v>
      </c>
      <c r="G1404" s="5">
        <v>46182.45259259259</v>
      </c>
      <c r="H1404" s="3" t="s">
        <v>14</v>
      </c>
      <c r="I1404" s="7">
        <v>0.0</v>
      </c>
      <c r="J1404" s="3" t="s">
        <v>15</v>
      </c>
    </row>
    <row r="1405">
      <c r="A1405" s="3"/>
      <c r="B1405" s="3"/>
      <c r="C1405" s="3" t="s">
        <v>24</v>
      </c>
      <c r="D1405" s="4" t="s">
        <v>1196</v>
      </c>
      <c r="E1405" s="3" t="s">
        <v>74</v>
      </c>
      <c r="F1405" s="5">
        <v>46183.600694444445</v>
      </c>
      <c r="G1405" s="5">
        <v>46182.45271990741</v>
      </c>
      <c r="H1405" s="3" t="s">
        <v>14</v>
      </c>
      <c r="I1405" s="7">
        <v>0.0</v>
      </c>
      <c r="J1405" s="3" t="s">
        <v>15</v>
      </c>
    </row>
    <row r="1406">
      <c r="A1406" s="3"/>
      <c r="B1406" s="3"/>
      <c r="C1406" s="3" t="s">
        <v>26</v>
      </c>
      <c r="D1406" s="4" t="s">
        <v>1196</v>
      </c>
      <c r="E1406" s="3" t="s">
        <v>74</v>
      </c>
      <c r="F1406" s="5">
        <v>46183.64236111111</v>
      </c>
      <c r="G1406" s="5">
        <v>46182.468460648146</v>
      </c>
      <c r="H1406" s="3" t="s">
        <v>14</v>
      </c>
      <c r="I1406" s="7">
        <v>0.0</v>
      </c>
      <c r="J1406" s="3" t="s">
        <v>15</v>
      </c>
    </row>
    <row r="1407">
      <c r="A1407" s="3"/>
      <c r="B1407" s="3"/>
      <c r="C1407" s="3" t="s">
        <v>10</v>
      </c>
      <c r="D1407" s="4" t="s">
        <v>1198</v>
      </c>
      <c r="E1407" s="3" t="s">
        <v>1199</v>
      </c>
      <c r="F1407" s="5">
        <v>46182.79560185185</v>
      </c>
      <c r="G1407" s="5">
        <v>46182.71803240741</v>
      </c>
      <c r="H1407" s="3" t="s">
        <v>14</v>
      </c>
      <c r="I1407" s="3">
        <v>0.0</v>
      </c>
      <c r="J1407" s="3" t="s">
        <v>61</v>
      </c>
    </row>
    <row r="1408">
      <c r="A1408" s="3"/>
      <c r="B1408" s="3"/>
      <c r="C1408" s="3" t="s">
        <v>17</v>
      </c>
      <c r="D1408" s="4" t="s">
        <v>1198</v>
      </c>
      <c r="E1408" s="3" t="s">
        <v>1199</v>
      </c>
      <c r="F1408" s="5">
        <v>46182.8025462963</v>
      </c>
      <c r="G1408" s="5">
        <v>46182.71818287037</v>
      </c>
      <c r="H1408" s="3" t="s">
        <v>14</v>
      </c>
      <c r="I1408" s="7">
        <v>0.0</v>
      </c>
      <c r="J1408" s="3" t="s">
        <v>61</v>
      </c>
    </row>
    <row r="1409">
      <c r="A1409" s="3"/>
      <c r="B1409" s="3"/>
      <c r="C1409" s="3" t="s">
        <v>21</v>
      </c>
      <c r="D1409" s="4" t="s">
        <v>1198</v>
      </c>
      <c r="E1409" s="3" t="s">
        <v>1199</v>
      </c>
      <c r="F1409" s="5">
        <v>46183.46875</v>
      </c>
      <c r="G1409" s="5">
        <v>46182.718252314815</v>
      </c>
      <c r="H1409" s="3" t="s">
        <v>14</v>
      </c>
      <c r="I1409" s="7">
        <v>0.0</v>
      </c>
      <c r="J1409" s="3" t="s">
        <v>61</v>
      </c>
    </row>
    <row r="1410">
      <c r="A1410" s="3"/>
      <c r="B1410" s="3"/>
      <c r="C1410" s="3" t="s">
        <v>24</v>
      </c>
      <c r="D1410" s="4" t="s">
        <v>1198</v>
      </c>
      <c r="E1410" s="3" t="s">
        <v>1199</v>
      </c>
      <c r="F1410" s="5">
        <v>46184.46875</v>
      </c>
      <c r="G1410" s="5">
        <v>46183.800520833334</v>
      </c>
      <c r="H1410" s="3" t="s">
        <v>14</v>
      </c>
      <c r="I1410" s="7">
        <v>0.0</v>
      </c>
      <c r="J1410" s="3" t="s">
        <v>61</v>
      </c>
    </row>
    <row r="1411">
      <c r="A1411" s="3"/>
      <c r="B1411" s="3"/>
      <c r="C1411" s="3" t="s">
        <v>26</v>
      </c>
      <c r="D1411" s="4" t="s">
        <v>1198</v>
      </c>
      <c r="E1411" s="3" t="s">
        <v>1199</v>
      </c>
      <c r="F1411" s="5">
        <v>46184.510416666664</v>
      </c>
      <c r="G1411" s="5">
        <v>46184.46471064815</v>
      </c>
      <c r="H1411" s="3" t="s">
        <v>14</v>
      </c>
      <c r="I1411" s="7">
        <v>0.0</v>
      </c>
      <c r="J1411" s="3" t="s">
        <v>61</v>
      </c>
    </row>
    <row r="1412">
      <c r="A1412" s="3"/>
      <c r="B1412" s="3"/>
      <c r="C1412" s="3" t="s">
        <v>10</v>
      </c>
      <c r="D1412" s="4" t="s">
        <v>1204</v>
      </c>
      <c r="E1412" s="3" t="s">
        <v>1205</v>
      </c>
      <c r="F1412" s="5">
        <v>46183.42152777778</v>
      </c>
      <c r="G1412" s="5">
        <v>46182.71811342592</v>
      </c>
      <c r="H1412" s="3" t="s">
        <v>14</v>
      </c>
      <c r="I1412" s="3">
        <v>0.0</v>
      </c>
      <c r="J1412" s="3" t="s">
        <v>61</v>
      </c>
    </row>
    <row r="1413">
      <c r="A1413" s="3"/>
      <c r="B1413" s="3"/>
      <c r="C1413" s="3" t="s">
        <v>17</v>
      </c>
      <c r="D1413" s="4" t="s">
        <v>1204</v>
      </c>
      <c r="E1413" s="3" t="s">
        <v>1205</v>
      </c>
      <c r="F1413" s="5">
        <v>46183.42847222222</v>
      </c>
      <c r="G1413" s="5">
        <v>46182.718206018515</v>
      </c>
      <c r="H1413" s="3" t="s">
        <v>14</v>
      </c>
      <c r="I1413" s="7">
        <v>0.0</v>
      </c>
      <c r="J1413" s="3" t="s">
        <v>61</v>
      </c>
    </row>
    <row r="1414">
      <c r="A1414" s="3"/>
      <c r="B1414" s="3"/>
      <c r="C1414" s="3" t="s">
        <v>21</v>
      </c>
      <c r="D1414" s="4" t="s">
        <v>1204</v>
      </c>
      <c r="E1414" s="3" t="s">
        <v>1205</v>
      </c>
      <c r="F1414" s="5">
        <v>46183.532638888886</v>
      </c>
      <c r="G1414" s="5">
        <v>46182.71827546296</v>
      </c>
      <c r="H1414" s="3" t="s">
        <v>14</v>
      </c>
      <c r="I1414" s="7">
        <v>0.0</v>
      </c>
      <c r="J1414" s="3" t="s">
        <v>61</v>
      </c>
    </row>
    <row r="1415">
      <c r="A1415" s="3"/>
      <c r="B1415" s="3"/>
      <c r="C1415" s="3" t="s">
        <v>24</v>
      </c>
      <c r="D1415" s="4" t="s">
        <v>1204</v>
      </c>
      <c r="E1415" s="3" t="s">
        <v>1205</v>
      </c>
      <c r="F1415" s="5">
        <v>46184.532638888886</v>
      </c>
      <c r="G1415" s="5">
        <v>46182.74150462963</v>
      </c>
      <c r="H1415" s="3" t="s">
        <v>14</v>
      </c>
      <c r="I1415" s="7">
        <v>0.0</v>
      </c>
      <c r="J1415" s="3" t="s">
        <v>61</v>
      </c>
    </row>
    <row r="1416">
      <c r="A1416" s="3"/>
      <c r="B1416" s="3"/>
      <c r="C1416" s="3" t="s">
        <v>26</v>
      </c>
      <c r="D1416" s="4" t="s">
        <v>1204</v>
      </c>
      <c r="E1416" s="3" t="s">
        <v>1205</v>
      </c>
      <c r="F1416" s="5">
        <v>46184.57430555556</v>
      </c>
      <c r="G1416" s="5">
        <v>46182.74149305555</v>
      </c>
      <c r="H1416" s="3" t="s">
        <v>14</v>
      </c>
      <c r="I1416" s="7">
        <v>0.0</v>
      </c>
      <c r="J1416" s="3" t="s">
        <v>61</v>
      </c>
    </row>
    <row r="1417">
      <c r="A1417" s="3"/>
      <c r="B1417" s="3"/>
      <c r="C1417" s="3" t="s">
        <v>10</v>
      </c>
      <c r="D1417" s="4" t="s">
        <v>1209</v>
      </c>
      <c r="E1417" s="3" t="s">
        <v>1210</v>
      </c>
      <c r="F1417" s="5">
        <v>46183.61766203704</v>
      </c>
      <c r="G1417" s="5">
        <v>46183.46534722222</v>
      </c>
      <c r="H1417" s="3" t="s">
        <v>14</v>
      </c>
      <c r="I1417" s="3">
        <v>0.0</v>
      </c>
      <c r="J1417" s="3" t="s">
        <v>61</v>
      </c>
    </row>
    <row r="1418">
      <c r="A1418" s="3"/>
      <c r="B1418" s="3"/>
      <c r="C1418" s="3" t="s">
        <v>17</v>
      </c>
      <c r="D1418" s="4" t="s">
        <v>1209</v>
      </c>
      <c r="E1418" s="3" t="s">
        <v>1210</v>
      </c>
      <c r="F1418" s="5">
        <v>46183.624606481484</v>
      </c>
      <c r="G1418" s="5">
        <v>46183.46538194444</v>
      </c>
      <c r="H1418" s="3" t="s">
        <v>14</v>
      </c>
      <c r="I1418" s="7">
        <v>0.0</v>
      </c>
      <c r="J1418" s="3" t="s">
        <v>61</v>
      </c>
    </row>
    <row r="1419">
      <c r="A1419" s="3"/>
      <c r="B1419" s="3"/>
      <c r="C1419" s="3" t="s">
        <v>21</v>
      </c>
      <c r="D1419" s="4" t="s">
        <v>1209</v>
      </c>
      <c r="E1419" s="3" t="s">
        <v>1210</v>
      </c>
      <c r="F1419" s="5">
        <v>46183.72877314815</v>
      </c>
      <c r="G1419" s="5">
        <v>46183.46542824074</v>
      </c>
      <c r="H1419" s="3" t="s">
        <v>14</v>
      </c>
      <c r="I1419" s="7">
        <v>0.0</v>
      </c>
      <c r="J1419" s="3" t="s">
        <v>61</v>
      </c>
    </row>
    <row r="1420">
      <c r="A1420" s="3"/>
      <c r="B1420" s="3"/>
      <c r="C1420" s="3" t="s">
        <v>24</v>
      </c>
      <c r="D1420" s="4" t="s">
        <v>1209</v>
      </c>
      <c r="E1420" s="3" t="s">
        <v>1210</v>
      </c>
      <c r="F1420" s="5">
        <v>46184.728472222225</v>
      </c>
      <c r="G1420" s="5">
        <v>46183.46549768518</v>
      </c>
      <c r="H1420" s="3" t="s">
        <v>14</v>
      </c>
      <c r="I1420" s="7">
        <v>0.0</v>
      </c>
      <c r="J1420" s="3" t="s">
        <v>61</v>
      </c>
    </row>
    <row r="1421">
      <c r="A1421" s="3"/>
      <c r="B1421" s="3"/>
      <c r="C1421" s="3" t="s">
        <v>26</v>
      </c>
      <c r="D1421" s="4" t="s">
        <v>1209</v>
      </c>
      <c r="E1421" s="3" t="s">
        <v>1210</v>
      </c>
      <c r="F1421" s="5">
        <v>46184.77013888889</v>
      </c>
      <c r="G1421" s="5">
        <v>46183.465532407405</v>
      </c>
      <c r="H1421" s="3" t="s">
        <v>14</v>
      </c>
      <c r="I1421" s="7">
        <v>0.0</v>
      </c>
      <c r="J1421" s="3" t="s">
        <v>61</v>
      </c>
    </row>
    <row r="1422">
      <c r="A1422" s="3"/>
      <c r="B1422" s="3"/>
      <c r="C1422" s="3" t="s">
        <v>10</v>
      </c>
      <c r="D1422" s="4" t="s">
        <v>1214</v>
      </c>
      <c r="E1422" s="3" t="s">
        <v>1215</v>
      </c>
      <c r="F1422" s="5">
        <v>46183.67327546296</v>
      </c>
      <c r="G1422" s="5">
        <v>46183.56471064815</v>
      </c>
      <c r="H1422" s="3" t="s">
        <v>14</v>
      </c>
      <c r="I1422" s="3">
        <v>0.0</v>
      </c>
      <c r="J1422" s="3" t="s">
        <v>15</v>
      </c>
    </row>
    <row r="1423">
      <c r="A1423" s="3"/>
      <c r="B1423" s="3"/>
      <c r="C1423" s="3" t="s">
        <v>17</v>
      </c>
      <c r="D1423" s="4" t="s">
        <v>1214</v>
      </c>
      <c r="E1423" s="3" t="s">
        <v>1215</v>
      </c>
      <c r="F1423" s="5">
        <v>46183.68021990741</v>
      </c>
      <c r="G1423" s="5">
        <v>46183.56496527778</v>
      </c>
      <c r="H1423" s="3" t="s">
        <v>14</v>
      </c>
      <c r="I1423" s="7">
        <v>0.0</v>
      </c>
      <c r="J1423" s="3" t="s">
        <v>15</v>
      </c>
    </row>
    <row r="1424">
      <c r="A1424" s="3"/>
      <c r="B1424" s="3"/>
      <c r="C1424" s="3" t="s">
        <v>21</v>
      </c>
      <c r="D1424" s="4" t="s">
        <v>1214</v>
      </c>
      <c r="E1424" s="3" t="s">
        <v>1215</v>
      </c>
      <c r="F1424" s="5">
        <v>46183.78438657407</v>
      </c>
      <c r="G1424" s="5">
        <v>46184.50612268518</v>
      </c>
      <c r="H1424" s="3" t="s">
        <v>14</v>
      </c>
      <c r="I1424" s="7">
        <v>0.7217361111111111</v>
      </c>
      <c r="J1424" s="3" t="s">
        <v>15</v>
      </c>
    </row>
    <row r="1425">
      <c r="A1425" s="3"/>
      <c r="B1425" s="3"/>
      <c r="C1425" s="3" t="s">
        <v>24</v>
      </c>
      <c r="D1425" s="4" t="s">
        <v>1214</v>
      </c>
      <c r="E1425" s="3" t="s">
        <v>1215</v>
      </c>
      <c r="F1425" s="5">
        <v>46184.78402777778</v>
      </c>
      <c r="G1425" s="5">
        <v>46184.506157407406</v>
      </c>
      <c r="H1425" s="3" t="s">
        <v>14</v>
      </c>
      <c r="I1425" s="7">
        <v>0.0</v>
      </c>
      <c r="J1425" s="3" t="s">
        <v>15</v>
      </c>
    </row>
    <row r="1426">
      <c r="A1426" s="3"/>
      <c r="B1426" s="3"/>
      <c r="C1426" s="3" t="s">
        <v>26</v>
      </c>
      <c r="D1426" s="4" t="s">
        <v>1214</v>
      </c>
      <c r="E1426" s="3" t="s">
        <v>1215</v>
      </c>
      <c r="F1426" s="5">
        <v>46184.825694444444</v>
      </c>
      <c r="G1426" s="5">
        <v>46184.50628472222</v>
      </c>
      <c r="H1426" s="3" t="s">
        <v>14</v>
      </c>
      <c r="I1426" s="7">
        <v>0.0</v>
      </c>
      <c r="J1426" s="3" t="s">
        <v>15</v>
      </c>
    </row>
    <row r="1427">
      <c r="A1427" s="3"/>
      <c r="B1427" s="3"/>
      <c r="C1427" s="3" t="s">
        <v>10</v>
      </c>
      <c r="D1427" s="4" t="s">
        <v>1219</v>
      </c>
      <c r="E1427" s="3" t="s">
        <v>1220</v>
      </c>
      <c r="F1427" s="5">
        <v>46183.6743287037</v>
      </c>
      <c r="G1427" s="5">
        <v>46183.564722222225</v>
      </c>
      <c r="H1427" s="3" t="s">
        <v>14</v>
      </c>
      <c r="I1427" s="3">
        <v>0.0</v>
      </c>
      <c r="J1427" s="3" t="s">
        <v>15</v>
      </c>
    </row>
    <row r="1428">
      <c r="A1428" s="3"/>
      <c r="B1428" s="3"/>
      <c r="C1428" s="3" t="s">
        <v>17</v>
      </c>
      <c r="D1428" s="4" t="s">
        <v>1219</v>
      </c>
      <c r="E1428" s="3" t="s">
        <v>1220</v>
      </c>
      <c r="F1428" s="5">
        <v>46183.68127314815</v>
      </c>
      <c r="G1428" s="5">
        <v>46183.564988425926</v>
      </c>
      <c r="H1428" s="3" t="s">
        <v>14</v>
      </c>
      <c r="I1428" s="7">
        <v>0.0</v>
      </c>
      <c r="J1428" s="3" t="s">
        <v>15</v>
      </c>
    </row>
    <row r="1429">
      <c r="A1429" s="3"/>
      <c r="B1429" s="3"/>
      <c r="C1429" s="3" t="s">
        <v>21</v>
      </c>
      <c r="D1429" s="4" t="s">
        <v>1219</v>
      </c>
      <c r="E1429" s="3" t="s">
        <v>1220</v>
      </c>
      <c r="F1429" s="5">
        <v>46183.78543981481</v>
      </c>
      <c r="G1429" s="5">
        <v>46183.761099537034</v>
      </c>
      <c r="H1429" s="3" t="s">
        <v>14</v>
      </c>
      <c r="I1429" s="7">
        <v>0.0</v>
      </c>
      <c r="J1429" s="3" t="s">
        <v>15</v>
      </c>
    </row>
    <row r="1430">
      <c r="A1430" s="3"/>
      <c r="B1430" s="3"/>
      <c r="C1430" s="3" t="s">
        <v>24</v>
      </c>
      <c r="D1430" s="4" t="s">
        <v>1219</v>
      </c>
      <c r="E1430" s="3" t="s">
        <v>1220</v>
      </c>
      <c r="F1430" s="5">
        <v>46184.785416666666</v>
      </c>
      <c r="G1430" s="5">
        <v>46183.76112268519</v>
      </c>
      <c r="H1430" s="3" t="s">
        <v>14</v>
      </c>
      <c r="I1430" s="7">
        <v>0.0</v>
      </c>
      <c r="J1430" s="3" t="s">
        <v>15</v>
      </c>
    </row>
    <row r="1431">
      <c r="A1431" s="3"/>
      <c r="B1431" s="3"/>
      <c r="C1431" s="3" t="s">
        <v>26</v>
      </c>
      <c r="D1431" s="4" t="s">
        <v>1219</v>
      </c>
      <c r="E1431" s="3" t="s">
        <v>1220</v>
      </c>
      <c r="F1431" s="5">
        <v>46184.82708333333</v>
      </c>
      <c r="G1431" s="5">
        <v>46183.76115740741</v>
      </c>
      <c r="H1431" s="3" t="s">
        <v>14</v>
      </c>
      <c r="I1431" s="7">
        <v>0.0</v>
      </c>
      <c r="J1431" s="3" t="s">
        <v>15</v>
      </c>
    </row>
    <row r="1432">
      <c r="A1432" s="3"/>
      <c r="B1432" s="3"/>
      <c r="C1432" s="3" t="s">
        <v>10</v>
      </c>
      <c r="D1432" s="4" t="s">
        <v>1225</v>
      </c>
      <c r="E1432" s="3" t="s">
        <v>694</v>
      </c>
      <c r="F1432" s="5">
        <v>46183.68628472222</v>
      </c>
      <c r="G1432" s="5">
        <v>46183.56475694444</v>
      </c>
      <c r="H1432" s="3" t="s">
        <v>14</v>
      </c>
      <c r="I1432" s="3">
        <v>0.0</v>
      </c>
      <c r="J1432" s="3" t="s">
        <v>15</v>
      </c>
    </row>
    <row r="1433">
      <c r="A1433" s="3"/>
      <c r="B1433" s="3"/>
      <c r="C1433" s="3" t="s">
        <v>17</v>
      </c>
      <c r="D1433" s="4" t="s">
        <v>1225</v>
      </c>
      <c r="E1433" s="3" t="s">
        <v>694</v>
      </c>
      <c r="F1433" s="5">
        <v>46183.69322916667</v>
      </c>
      <c r="G1433" s="5">
        <v>46183.56501157407</v>
      </c>
      <c r="H1433" s="3" t="s">
        <v>14</v>
      </c>
      <c r="I1433" s="7">
        <v>0.0</v>
      </c>
      <c r="J1433" s="3" t="s">
        <v>15</v>
      </c>
    </row>
    <row r="1434">
      <c r="A1434" s="3"/>
      <c r="B1434" s="3"/>
      <c r="C1434" s="3" t="s">
        <v>21</v>
      </c>
      <c r="D1434" s="4" t="s">
        <v>1225</v>
      </c>
      <c r="E1434" s="3" t="s">
        <v>694</v>
      </c>
      <c r="F1434" s="5">
        <v>46183.79739583333</v>
      </c>
      <c r="G1434" s="5">
        <v>46183.797847222224</v>
      </c>
      <c r="H1434" s="3" t="s">
        <v>14</v>
      </c>
      <c r="I1434" s="7">
        <v>4.5138888888888887E-4</v>
      </c>
      <c r="J1434" s="3" t="s">
        <v>15</v>
      </c>
    </row>
    <row r="1435">
      <c r="A1435" s="3"/>
      <c r="B1435" s="3"/>
      <c r="C1435" s="3" t="s">
        <v>24</v>
      </c>
      <c r="D1435" s="4" t="s">
        <v>1225</v>
      </c>
      <c r="E1435" s="3" t="s">
        <v>694</v>
      </c>
      <c r="F1435" s="5">
        <v>46184.79722222222</v>
      </c>
      <c r="G1435" s="5">
        <v>46183.79787037037</v>
      </c>
      <c r="H1435" s="3" t="s">
        <v>14</v>
      </c>
      <c r="I1435" s="7">
        <v>0.0</v>
      </c>
      <c r="J1435" s="3" t="s">
        <v>15</v>
      </c>
    </row>
    <row r="1436">
      <c r="A1436" s="3"/>
      <c r="B1436" s="3"/>
      <c r="C1436" s="3" t="s">
        <v>26</v>
      </c>
      <c r="D1436" s="4" t="s">
        <v>1225</v>
      </c>
      <c r="E1436" s="3" t="s">
        <v>694</v>
      </c>
      <c r="F1436" s="5">
        <v>46185.42222222222</v>
      </c>
      <c r="G1436" s="5">
        <v>46183.79790509259</v>
      </c>
      <c r="H1436" s="3" t="s">
        <v>14</v>
      </c>
      <c r="I1436" s="7">
        <v>0.0</v>
      </c>
      <c r="J1436" s="3" t="s">
        <v>15</v>
      </c>
    </row>
    <row r="1437">
      <c r="A1437" s="3"/>
      <c r="B1437" s="3"/>
      <c r="C1437" s="3" t="s">
        <v>10</v>
      </c>
      <c r="D1437" s="4" t="s">
        <v>1230</v>
      </c>
      <c r="E1437" s="3" t="s">
        <v>318</v>
      </c>
      <c r="F1437" s="5">
        <v>46183.73354166667</v>
      </c>
      <c r="G1437" s="5">
        <v>46183.76053240741</v>
      </c>
      <c r="H1437" s="3" t="s">
        <v>14</v>
      </c>
      <c r="I1437" s="3">
        <v>0.03</v>
      </c>
      <c r="J1437" s="3" t="s">
        <v>15</v>
      </c>
    </row>
    <row r="1438">
      <c r="A1438" s="3"/>
      <c r="B1438" s="3"/>
      <c r="C1438" s="3" t="s">
        <v>17</v>
      </c>
      <c r="D1438" s="4" t="s">
        <v>1230</v>
      </c>
      <c r="E1438" s="3" t="s">
        <v>318</v>
      </c>
      <c r="F1438" s="5">
        <v>46183.74048611111</v>
      </c>
      <c r="G1438" s="5">
        <v>46183.760671296295</v>
      </c>
      <c r="H1438" s="3" t="s">
        <v>14</v>
      </c>
      <c r="I1438" s="7">
        <v>0.02017361111111111</v>
      </c>
      <c r="J1438" s="3" t="s">
        <v>15</v>
      </c>
    </row>
    <row r="1439">
      <c r="A1439" s="3"/>
      <c r="B1439" s="3"/>
      <c r="C1439" s="3" t="s">
        <v>21</v>
      </c>
      <c r="D1439" s="4" t="s">
        <v>1230</v>
      </c>
      <c r="E1439" s="3" t="s">
        <v>318</v>
      </c>
      <c r="F1439" s="5">
        <v>46184.44861111111</v>
      </c>
      <c r="G1439" s="5">
        <v>46183.797951388886</v>
      </c>
      <c r="H1439" s="3" t="s">
        <v>14</v>
      </c>
      <c r="I1439" s="7">
        <v>0.0</v>
      </c>
      <c r="J1439" s="3" t="s">
        <v>15</v>
      </c>
    </row>
    <row r="1440">
      <c r="A1440" s="3"/>
      <c r="B1440" s="3"/>
      <c r="C1440" s="3" t="s">
        <v>24</v>
      </c>
      <c r="D1440" s="4" t="s">
        <v>1230</v>
      </c>
      <c r="E1440" s="3" t="s">
        <v>318</v>
      </c>
      <c r="F1440" s="5">
        <v>46185.44861111111</v>
      </c>
      <c r="G1440" s="5">
        <v>46183.79800925926</v>
      </c>
      <c r="H1440" s="3" t="s">
        <v>14</v>
      </c>
      <c r="I1440" s="7">
        <v>0.0</v>
      </c>
      <c r="J1440" s="3" t="s">
        <v>15</v>
      </c>
    </row>
    <row r="1441">
      <c r="A1441" s="3"/>
      <c r="B1441" s="3"/>
      <c r="C1441" s="3" t="s">
        <v>26</v>
      </c>
      <c r="D1441" s="4" t="s">
        <v>1230</v>
      </c>
      <c r="E1441" s="3" t="s">
        <v>318</v>
      </c>
      <c r="F1441" s="5">
        <v>46185.490277777775</v>
      </c>
      <c r="G1441" s="5">
        <v>46185.487650462965</v>
      </c>
      <c r="H1441" s="3" t="s">
        <v>14</v>
      </c>
      <c r="I1441" s="7">
        <v>0.0</v>
      </c>
      <c r="J1441" s="3" t="s">
        <v>15</v>
      </c>
    </row>
    <row r="1442">
      <c r="A1442" s="3"/>
      <c r="B1442" s="3"/>
      <c r="C1442" s="3" t="s">
        <v>10</v>
      </c>
      <c r="D1442" s="4" t="s">
        <v>1233</v>
      </c>
      <c r="E1442" s="3" t="s">
        <v>125</v>
      </c>
      <c r="F1442" s="5">
        <v>46183.770324074074</v>
      </c>
      <c r="G1442" s="5">
        <v>46183.760567129626</v>
      </c>
      <c r="H1442" s="3" t="s">
        <v>14</v>
      </c>
      <c r="I1442" s="3">
        <v>0.0</v>
      </c>
      <c r="J1442" s="3" t="s">
        <v>72</v>
      </c>
    </row>
    <row r="1443">
      <c r="A1443" s="3"/>
      <c r="B1443" s="3"/>
      <c r="C1443" s="3" t="s">
        <v>17</v>
      </c>
      <c r="D1443" s="4" t="s">
        <v>1233</v>
      </c>
      <c r="E1443" s="3" t="s">
        <v>125</v>
      </c>
      <c r="F1443" s="5">
        <v>46183.77726851852</v>
      </c>
      <c r="G1443" s="5">
        <v>46183.76068287037</v>
      </c>
      <c r="H1443" s="3" t="s">
        <v>14</v>
      </c>
      <c r="I1443" s="7">
        <v>0.0</v>
      </c>
      <c r="J1443" s="3" t="s">
        <v>72</v>
      </c>
    </row>
    <row r="1444">
      <c r="A1444" s="3"/>
      <c r="B1444" s="3"/>
      <c r="C1444" s="3" t="s">
        <v>21</v>
      </c>
      <c r="D1444" s="4" t="s">
        <v>1233</v>
      </c>
      <c r="E1444" s="3" t="s">
        <v>125</v>
      </c>
      <c r="F1444" s="5">
        <v>46184.48541666667</v>
      </c>
      <c r="G1444" s="5">
        <v>46183.79797453704</v>
      </c>
      <c r="H1444" s="3" t="s">
        <v>14</v>
      </c>
      <c r="I1444" s="7">
        <v>0.0</v>
      </c>
      <c r="J1444" s="3" t="s">
        <v>72</v>
      </c>
    </row>
    <row r="1445">
      <c r="A1445" s="3"/>
      <c r="B1445" s="3"/>
      <c r="C1445" s="3" t="s">
        <v>24</v>
      </c>
      <c r="D1445" s="4" t="s">
        <v>1233</v>
      </c>
      <c r="E1445" s="3" t="s">
        <v>125</v>
      </c>
      <c r="F1445" s="5">
        <v>46185.48541666667</v>
      </c>
      <c r="G1445" s="5">
        <v>46183.79802083333</v>
      </c>
      <c r="H1445" s="3" t="s">
        <v>14</v>
      </c>
      <c r="I1445" s="7">
        <v>0.0</v>
      </c>
      <c r="J1445" s="3" t="s">
        <v>72</v>
      </c>
    </row>
    <row r="1446">
      <c r="A1446" s="3"/>
      <c r="B1446" s="3"/>
      <c r="C1446" s="3" t="s">
        <v>26</v>
      </c>
      <c r="D1446" s="4" t="s">
        <v>1233</v>
      </c>
      <c r="E1446" s="3" t="s">
        <v>125</v>
      </c>
      <c r="F1446" s="5">
        <v>46185.527083333334</v>
      </c>
      <c r="G1446" s="5">
        <v>46185.48758101852</v>
      </c>
      <c r="H1446" s="3" t="s">
        <v>14</v>
      </c>
      <c r="I1446" s="7">
        <v>0.0</v>
      </c>
      <c r="J1446" s="3" t="s">
        <v>72</v>
      </c>
    </row>
    <row r="1447">
      <c r="A1447" s="3"/>
      <c r="B1447" s="3"/>
      <c r="C1447" s="3" t="s">
        <v>10</v>
      </c>
      <c r="D1447" s="4" t="s">
        <v>1236</v>
      </c>
      <c r="E1447" s="3" t="s">
        <v>1237</v>
      </c>
      <c r="F1447" s="5">
        <v>46185.79201388889</v>
      </c>
      <c r="G1447" s="5">
        <v>46185.722233796296</v>
      </c>
      <c r="H1447" s="3" t="s">
        <v>14</v>
      </c>
      <c r="I1447" s="3">
        <v>0.0</v>
      </c>
      <c r="J1447" s="3" t="s">
        <v>15</v>
      </c>
    </row>
    <row r="1448">
      <c r="A1448" s="3"/>
      <c r="B1448" s="3"/>
      <c r="C1448" s="3" t="s">
        <v>17</v>
      </c>
      <c r="D1448" s="4" t="s">
        <v>1236</v>
      </c>
      <c r="E1448" s="3" t="s">
        <v>1237</v>
      </c>
      <c r="F1448" s="5">
        <v>46185.79895833333</v>
      </c>
      <c r="G1448" s="5">
        <v>46185.722349537034</v>
      </c>
      <c r="H1448" s="3" t="s">
        <v>14</v>
      </c>
      <c r="I1448" s="7">
        <v>0.0</v>
      </c>
      <c r="J1448" s="3" t="s">
        <v>15</v>
      </c>
    </row>
    <row r="1449">
      <c r="A1449" s="3"/>
      <c r="B1449" s="3"/>
      <c r="C1449" s="3" t="s">
        <v>21</v>
      </c>
      <c r="D1449" s="4" t="s">
        <v>1236</v>
      </c>
      <c r="E1449" s="3" t="s">
        <v>1237</v>
      </c>
      <c r="F1449" s="5">
        <v>46186.46527777778</v>
      </c>
      <c r="G1449" s="5">
        <v>46185.722395833334</v>
      </c>
      <c r="H1449" s="3" t="s">
        <v>14</v>
      </c>
      <c r="I1449" s="7">
        <v>0.0</v>
      </c>
      <c r="J1449" s="3" t="s">
        <v>15</v>
      </c>
    </row>
    <row r="1450">
      <c r="A1450" s="3"/>
      <c r="B1450" s="3"/>
      <c r="C1450" s="3" t="s">
        <v>24</v>
      </c>
      <c r="D1450" s="4" t="s">
        <v>1236</v>
      </c>
      <c r="E1450" s="3" t="s">
        <v>1237</v>
      </c>
      <c r="F1450" s="5">
        <v>46188.46527777778</v>
      </c>
      <c r="G1450" s="5">
        <v>46187.7840162037</v>
      </c>
      <c r="H1450" s="3" t="s">
        <v>14</v>
      </c>
      <c r="I1450" s="7">
        <v>0.0</v>
      </c>
      <c r="J1450" s="3" t="s">
        <v>15</v>
      </c>
    </row>
    <row r="1451">
      <c r="A1451" s="3"/>
      <c r="B1451" s="3"/>
      <c r="C1451" s="3" t="s">
        <v>26</v>
      </c>
      <c r="D1451" s="4" t="s">
        <v>1236</v>
      </c>
      <c r="E1451" s="3" t="s">
        <v>1237</v>
      </c>
      <c r="F1451" s="5">
        <v>46188.506944444445</v>
      </c>
      <c r="G1451" s="5">
        <v>46188.34738425926</v>
      </c>
      <c r="H1451" s="3" t="s">
        <v>14</v>
      </c>
      <c r="I1451" s="7">
        <v>0.0</v>
      </c>
      <c r="J1451" s="3" t="s">
        <v>15</v>
      </c>
    </row>
    <row r="1452">
      <c r="A1452" s="3"/>
      <c r="B1452" s="3"/>
      <c r="C1452" s="3" t="s">
        <v>10</v>
      </c>
      <c r="D1452" s="4" t="s">
        <v>1239</v>
      </c>
      <c r="E1452" s="3" t="s">
        <v>1240</v>
      </c>
      <c r="F1452" s="5">
        <v>46185.79280092593</v>
      </c>
      <c r="G1452" s="5">
        <v>46185.75891203704</v>
      </c>
      <c r="H1452" s="3" t="s">
        <v>14</v>
      </c>
      <c r="I1452" s="3">
        <v>0.0</v>
      </c>
      <c r="J1452" s="3" t="s">
        <v>15</v>
      </c>
    </row>
    <row r="1453">
      <c r="A1453" s="3"/>
      <c r="B1453" s="3"/>
      <c r="C1453" s="3" t="s">
        <v>17</v>
      </c>
      <c r="D1453" s="4" t="s">
        <v>1239</v>
      </c>
      <c r="E1453" s="3" t="s">
        <v>1240</v>
      </c>
      <c r="F1453" s="5">
        <v>46185.79974537037</v>
      </c>
      <c r="G1453" s="5">
        <v>46185.759409722225</v>
      </c>
      <c r="H1453" s="3" t="s">
        <v>14</v>
      </c>
      <c r="I1453" s="7">
        <v>0.0</v>
      </c>
      <c r="J1453" s="3" t="s">
        <v>15</v>
      </c>
    </row>
    <row r="1454">
      <c r="A1454" s="3"/>
      <c r="B1454" s="3"/>
      <c r="C1454" s="3" t="s">
        <v>21</v>
      </c>
      <c r="D1454" s="4" t="s">
        <v>1239</v>
      </c>
      <c r="E1454" s="3" t="s">
        <v>1240</v>
      </c>
      <c r="F1454" s="5">
        <v>46186.46597222222</v>
      </c>
      <c r="G1454" s="5">
        <v>46185.842673611114</v>
      </c>
      <c r="H1454" s="3" t="s">
        <v>14</v>
      </c>
      <c r="I1454" s="7">
        <v>0.0</v>
      </c>
      <c r="J1454" s="3" t="s">
        <v>15</v>
      </c>
    </row>
    <row r="1455">
      <c r="A1455" s="3"/>
      <c r="B1455" s="3"/>
      <c r="C1455" s="3" t="s">
        <v>24</v>
      </c>
      <c r="D1455" s="4" t="s">
        <v>1239</v>
      </c>
      <c r="E1455" s="3" t="s">
        <v>1240</v>
      </c>
      <c r="F1455" s="5">
        <v>46188.46597222222</v>
      </c>
      <c r="G1455" s="5">
        <v>46187.78402777778</v>
      </c>
      <c r="H1455" s="3" t="s">
        <v>14</v>
      </c>
      <c r="I1455" s="7">
        <v>0.0</v>
      </c>
      <c r="J1455" s="3" t="s">
        <v>15</v>
      </c>
    </row>
    <row r="1456">
      <c r="A1456" s="3"/>
      <c r="B1456" s="3"/>
      <c r="C1456" s="3" t="s">
        <v>26</v>
      </c>
      <c r="D1456" s="4" t="s">
        <v>1239</v>
      </c>
      <c r="E1456" s="3" t="s">
        <v>1240</v>
      </c>
      <c r="F1456" s="5">
        <v>46188.50763888889</v>
      </c>
      <c r="G1456" s="5">
        <v>46188.50712962963</v>
      </c>
      <c r="H1456" s="3" t="s">
        <v>14</v>
      </c>
      <c r="I1456" s="7">
        <v>0.0</v>
      </c>
      <c r="J1456" s="3" t="s">
        <v>15</v>
      </c>
    </row>
    <row r="1457">
      <c r="A1457" s="3"/>
      <c r="B1457" s="3"/>
      <c r="C1457" s="3" t="s">
        <v>10</v>
      </c>
      <c r="D1457" s="4" t="s">
        <v>1244</v>
      </c>
      <c r="E1457" s="3" t="s">
        <v>1245</v>
      </c>
      <c r="F1457" s="5">
        <v>46186.455555555556</v>
      </c>
      <c r="G1457" s="5">
        <v>46185.72224537037</v>
      </c>
      <c r="H1457" s="3" t="s">
        <v>14</v>
      </c>
      <c r="I1457" s="3">
        <v>0.0</v>
      </c>
      <c r="J1457" s="3" t="s">
        <v>15</v>
      </c>
    </row>
    <row r="1458">
      <c r="A1458" s="3"/>
      <c r="B1458" s="3"/>
      <c r="C1458" s="3" t="s">
        <v>17</v>
      </c>
      <c r="D1458" s="4" t="s">
        <v>1244</v>
      </c>
      <c r="E1458" s="3" t="s">
        <v>1245</v>
      </c>
      <c r="F1458" s="5">
        <v>46186.4625</v>
      </c>
      <c r="G1458" s="5">
        <v>46185.72237268519</v>
      </c>
      <c r="H1458" s="3" t="s">
        <v>14</v>
      </c>
      <c r="I1458" s="7">
        <v>0.0</v>
      </c>
      <c r="J1458" s="3" t="s">
        <v>15</v>
      </c>
    </row>
    <row r="1459">
      <c r="A1459" s="3"/>
      <c r="B1459" s="3"/>
      <c r="C1459" s="3" t="s">
        <v>21</v>
      </c>
      <c r="D1459" s="4" t="s">
        <v>1244</v>
      </c>
      <c r="E1459" s="3" t="s">
        <v>1245</v>
      </c>
      <c r="F1459" s="5">
        <v>46186.566666666666</v>
      </c>
      <c r="G1459" s="5">
        <v>46185.722407407404</v>
      </c>
      <c r="H1459" s="3" t="s">
        <v>14</v>
      </c>
      <c r="I1459" s="7">
        <v>0.0</v>
      </c>
      <c r="J1459" s="3" t="s">
        <v>15</v>
      </c>
    </row>
    <row r="1460">
      <c r="A1460" s="3"/>
      <c r="B1460" s="3"/>
      <c r="C1460" s="3" t="s">
        <v>24</v>
      </c>
      <c r="D1460" s="4" t="s">
        <v>1244</v>
      </c>
      <c r="E1460" s="3" t="s">
        <v>1245</v>
      </c>
      <c r="F1460" s="5">
        <v>46188.566666666666</v>
      </c>
      <c r="G1460" s="5">
        <v>46188.51474537037</v>
      </c>
      <c r="H1460" s="3" t="s">
        <v>14</v>
      </c>
      <c r="I1460" s="7">
        <v>0.0</v>
      </c>
      <c r="J1460" s="3" t="s">
        <v>15</v>
      </c>
    </row>
    <row r="1461">
      <c r="A1461" s="3"/>
      <c r="B1461" s="3"/>
      <c r="C1461" s="3" t="s">
        <v>26</v>
      </c>
      <c r="D1461" s="4" t="s">
        <v>1244</v>
      </c>
      <c r="E1461" s="3" t="s">
        <v>1245</v>
      </c>
      <c r="F1461" s="5">
        <v>46188.60833333333</v>
      </c>
      <c r="G1461" s="5">
        <v>46188.59431712963</v>
      </c>
      <c r="H1461" s="3" t="s">
        <v>14</v>
      </c>
      <c r="I1461" s="7">
        <v>0.0</v>
      </c>
      <c r="J1461" s="3" t="s">
        <v>15</v>
      </c>
    </row>
    <row r="1462">
      <c r="A1462" s="3"/>
      <c r="B1462" s="3"/>
      <c r="C1462" s="3" t="s">
        <v>10</v>
      </c>
      <c r="D1462" s="4" t="s">
        <v>1251</v>
      </c>
      <c r="E1462" s="3" t="s">
        <v>1252</v>
      </c>
      <c r="F1462" s="5">
        <v>46186.66893518518</v>
      </c>
      <c r="G1462" s="5">
        <v>46186.51332175926</v>
      </c>
      <c r="H1462" s="3" t="s">
        <v>14</v>
      </c>
      <c r="I1462" s="3">
        <v>0.0</v>
      </c>
      <c r="J1462" s="3" t="s">
        <v>72</v>
      </c>
    </row>
    <row r="1463">
      <c r="A1463" s="3"/>
      <c r="B1463" s="3"/>
      <c r="C1463" s="3" t="s">
        <v>17</v>
      </c>
      <c r="D1463" s="4" t="s">
        <v>1251</v>
      </c>
      <c r="E1463" s="3" t="s">
        <v>1252</v>
      </c>
      <c r="F1463" s="5">
        <v>46186.67587962963</v>
      </c>
      <c r="G1463" s="5">
        <v>46186.513402777775</v>
      </c>
      <c r="H1463" s="3" t="s">
        <v>14</v>
      </c>
      <c r="I1463" s="7">
        <v>0.0</v>
      </c>
      <c r="J1463" s="3" t="s">
        <v>72</v>
      </c>
    </row>
    <row r="1464">
      <c r="A1464" s="3"/>
      <c r="B1464" s="3"/>
      <c r="C1464" s="3" t="s">
        <v>21</v>
      </c>
      <c r="D1464" s="4" t="s">
        <v>1251</v>
      </c>
      <c r="E1464" s="3" t="s">
        <v>1252</v>
      </c>
      <c r="F1464" s="5">
        <v>46186.7800462963</v>
      </c>
      <c r="G1464" s="5">
        <v>46186.51342592593</v>
      </c>
      <c r="H1464" s="3" t="s">
        <v>14</v>
      </c>
      <c r="I1464" s="7">
        <v>0.0</v>
      </c>
      <c r="J1464" s="3" t="s">
        <v>72</v>
      </c>
    </row>
    <row r="1465">
      <c r="A1465" s="3"/>
      <c r="B1465" s="3"/>
      <c r="C1465" s="3" t="s">
        <v>24</v>
      </c>
      <c r="D1465" s="4" t="s">
        <v>1251</v>
      </c>
      <c r="E1465" s="3" t="s">
        <v>1252</v>
      </c>
      <c r="F1465" s="5">
        <v>46188.779861111114</v>
      </c>
      <c r="G1465" s="5">
        <v>46188.51488425926</v>
      </c>
      <c r="H1465" s="3" t="s">
        <v>14</v>
      </c>
      <c r="I1465" s="7">
        <v>0.0</v>
      </c>
      <c r="J1465" s="3" t="s">
        <v>72</v>
      </c>
    </row>
    <row r="1466">
      <c r="A1466" s="3"/>
      <c r="B1466" s="3"/>
      <c r="C1466" s="3" t="s">
        <v>26</v>
      </c>
      <c r="D1466" s="4" t="s">
        <v>1251</v>
      </c>
      <c r="E1466" s="3" t="s">
        <v>1252</v>
      </c>
      <c r="F1466" s="5">
        <v>46188.82152777778</v>
      </c>
      <c r="G1466" s="5">
        <v>46188.514965277776</v>
      </c>
      <c r="H1466" s="3" t="s">
        <v>14</v>
      </c>
      <c r="I1466" s="7">
        <v>0.0</v>
      </c>
      <c r="J1466" s="3" t="s">
        <v>72</v>
      </c>
    </row>
    <row r="1467">
      <c r="A1467" s="3"/>
      <c r="B1467" s="3"/>
      <c r="C1467" s="3" t="s">
        <v>10</v>
      </c>
      <c r="D1467" s="4" t="s">
        <v>1255</v>
      </c>
      <c r="E1467" s="3" t="s">
        <v>727</v>
      </c>
      <c r="F1467" s="5">
        <v>46186.724270833336</v>
      </c>
      <c r="G1467" s="5">
        <v>46186.55878472222</v>
      </c>
      <c r="H1467" s="3" t="s">
        <v>14</v>
      </c>
      <c r="I1467" s="3">
        <v>0.0</v>
      </c>
      <c r="J1467" s="3" t="s">
        <v>48</v>
      </c>
    </row>
    <row r="1468">
      <c r="A1468" s="3"/>
      <c r="B1468" s="3"/>
      <c r="C1468" s="3" t="s">
        <v>17</v>
      </c>
      <c r="D1468" s="4" t="s">
        <v>1255</v>
      </c>
      <c r="E1468" s="3" t="s">
        <v>727</v>
      </c>
      <c r="F1468" s="5">
        <v>46186.73121527778</v>
      </c>
      <c r="G1468" s="5">
        <v>46186.60827546296</v>
      </c>
      <c r="H1468" s="3" t="s">
        <v>14</v>
      </c>
      <c r="I1468" s="7">
        <v>0.0</v>
      </c>
      <c r="J1468" s="3" t="s">
        <v>48</v>
      </c>
    </row>
    <row r="1469">
      <c r="A1469" s="3"/>
      <c r="B1469" s="3"/>
      <c r="C1469" s="3" t="s">
        <v>21</v>
      </c>
      <c r="D1469" s="4" t="s">
        <v>1255</v>
      </c>
      <c r="E1469" s="3" t="s">
        <v>727</v>
      </c>
      <c r="F1469" s="5">
        <v>46188.438888888886</v>
      </c>
      <c r="G1469" s="5">
        <v>46187.504895833335</v>
      </c>
      <c r="H1469" s="3" t="s">
        <v>14</v>
      </c>
      <c r="I1469" s="7">
        <v>0.0</v>
      </c>
      <c r="J1469" s="3" t="s">
        <v>48</v>
      </c>
    </row>
    <row r="1470">
      <c r="A1470" s="3"/>
      <c r="B1470" s="3"/>
      <c r="C1470" s="3" t="s">
        <v>24</v>
      </c>
      <c r="D1470" s="4" t="s">
        <v>1255</v>
      </c>
      <c r="E1470" s="3" t="s">
        <v>727</v>
      </c>
      <c r="F1470" s="5">
        <v>46189.438888888886</v>
      </c>
      <c r="G1470" s="5">
        <v>46188.515011574076</v>
      </c>
      <c r="H1470" s="3" t="s">
        <v>14</v>
      </c>
      <c r="I1470" s="7">
        <v>0.0</v>
      </c>
      <c r="J1470" s="3" t="s">
        <v>48</v>
      </c>
    </row>
    <row r="1471">
      <c r="A1471" s="3"/>
      <c r="B1471" s="3"/>
      <c r="C1471" s="3" t="s">
        <v>26</v>
      </c>
      <c r="D1471" s="4" t="s">
        <v>1255</v>
      </c>
      <c r="E1471" s="3" t="s">
        <v>727</v>
      </c>
      <c r="F1471" s="5">
        <v>46189.48055555556</v>
      </c>
      <c r="G1471" s="5">
        <v>46189.43304398148</v>
      </c>
      <c r="H1471" s="3" t="s">
        <v>14</v>
      </c>
      <c r="I1471" s="7">
        <v>0.0</v>
      </c>
      <c r="J1471" s="3" t="s">
        <v>48</v>
      </c>
    </row>
    <row r="1472">
      <c r="A1472" s="3"/>
      <c r="B1472" s="3"/>
      <c r="C1472" s="3" t="s">
        <v>10</v>
      </c>
      <c r="D1472" s="4" t="s">
        <v>1262</v>
      </c>
      <c r="E1472" s="3" t="s">
        <v>727</v>
      </c>
      <c r="F1472" s="5">
        <v>46186.72758101852</v>
      </c>
      <c r="G1472" s="5">
        <v>46186.60767361111</v>
      </c>
      <c r="H1472" s="3" t="s">
        <v>14</v>
      </c>
      <c r="I1472" s="3">
        <v>0.0</v>
      </c>
      <c r="J1472" s="3" t="s">
        <v>48</v>
      </c>
    </row>
    <row r="1473">
      <c r="A1473" s="3"/>
      <c r="B1473" s="3"/>
      <c r="C1473" s="3" t="s">
        <v>17</v>
      </c>
      <c r="D1473" s="4" t="s">
        <v>1262</v>
      </c>
      <c r="E1473" s="3" t="s">
        <v>727</v>
      </c>
      <c r="F1473" s="5">
        <v>46186.73452546296</v>
      </c>
      <c r="G1473" s="5">
        <v>46186.608298611114</v>
      </c>
      <c r="H1473" s="3" t="s">
        <v>14</v>
      </c>
      <c r="I1473" s="7">
        <v>0.0</v>
      </c>
      <c r="J1473" s="3" t="s">
        <v>48</v>
      </c>
    </row>
    <row r="1474">
      <c r="A1474" s="3"/>
      <c r="B1474" s="3"/>
      <c r="C1474" s="3" t="s">
        <v>21</v>
      </c>
      <c r="D1474" s="4" t="s">
        <v>1262</v>
      </c>
      <c r="E1474" s="3" t="s">
        <v>727</v>
      </c>
      <c r="F1474" s="5">
        <v>46188.44236111111</v>
      </c>
      <c r="G1474" s="5">
        <v>46187.50540509259</v>
      </c>
      <c r="H1474" s="3" t="s">
        <v>14</v>
      </c>
      <c r="I1474" s="7">
        <v>0.0</v>
      </c>
      <c r="J1474" s="3" t="s">
        <v>48</v>
      </c>
    </row>
    <row r="1475">
      <c r="A1475" s="3"/>
      <c r="B1475" s="3"/>
      <c r="C1475" s="3" t="s">
        <v>24</v>
      </c>
      <c r="D1475" s="4" t="s">
        <v>1262</v>
      </c>
      <c r="E1475" s="3" t="s">
        <v>727</v>
      </c>
      <c r="F1475" s="5">
        <v>46189.44236111111</v>
      </c>
      <c r="G1475" s="5">
        <v>46188.51503472222</v>
      </c>
      <c r="H1475" s="3" t="s">
        <v>14</v>
      </c>
      <c r="I1475" s="7">
        <v>0.0</v>
      </c>
      <c r="J1475" s="3" t="s">
        <v>48</v>
      </c>
    </row>
    <row r="1476">
      <c r="A1476" s="3"/>
      <c r="B1476" s="3"/>
      <c r="C1476" s="3" t="s">
        <v>26</v>
      </c>
      <c r="D1476" s="4" t="s">
        <v>1262</v>
      </c>
      <c r="E1476" s="3" t="s">
        <v>727</v>
      </c>
      <c r="F1476" s="5">
        <v>46189.48402777778</v>
      </c>
      <c r="G1476" s="5">
        <v>46189.43306712963</v>
      </c>
      <c r="H1476" s="3" t="s">
        <v>14</v>
      </c>
      <c r="I1476" s="7">
        <v>0.0</v>
      </c>
      <c r="J1476" s="3" t="s">
        <v>48</v>
      </c>
    </row>
    <row r="1477">
      <c r="A1477" s="3"/>
      <c r="B1477" s="3"/>
      <c r="C1477" s="3" t="s">
        <v>10</v>
      </c>
      <c r="D1477" s="4" t="s">
        <v>1264</v>
      </c>
      <c r="E1477" s="3" t="s">
        <v>727</v>
      </c>
      <c r="F1477" s="5">
        <v>46186.72988425926</v>
      </c>
      <c r="G1477" s="5">
        <v>46186.60770833334</v>
      </c>
      <c r="H1477" s="3" t="s">
        <v>14</v>
      </c>
      <c r="I1477" s="3">
        <v>0.0</v>
      </c>
      <c r="J1477" s="3" t="s">
        <v>72</v>
      </c>
    </row>
    <row r="1478">
      <c r="A1478" s="3"/>
      <c r="B1478" s="3"/>
      <c r="C1478" s="3" t="s">
        <v>17</v>
      </c>
      <c r="D1478" s="4" t="s">
        <v>1264</v>
      </c>
      <c r="E1478" s="3" t="s">
        <v>727</v>
      </c>
      <c r="F1478" s="5">
        <v>46186.7368287037</v>
      </c>
      <c r="G1478" s="5">
        <v>46186.608310185184</v>
      </c>
      <c r="H1478" s="3" t="s">
        <v>14</v>
      </c>
      <c r="I1478" s="7">
        <v>0.0</v>
      </c>
      <c r="J1478" s="3" t="s">
        <v>72</v>
      </c>
    </row>
    <row r="1479">
      <c r="A1479" s="3"/>
      <c r="B1479" s="3"/>
      <c r="C1479" s="3" t="s">
        <v>21</v>
      </c>
      <c r="D1479" s="4" t="s">
        <v>1264</v>
      </c>
      <c r="E1479" s="3" t="s">
        <v>727</v>
      </c>
      <c r="F1479" s="5">
        <v>46188.44513888889</v>
      </c>
      <c r="G1479" s="5">
        <v>46187.505266203705</v>
      </c>
      <c r="H1479" s="3" t="s">
        <v>14</v>
      </c>
      <c r="I1479" s="7">
        <v>0.0</v>
      </c>
      <c r="J1479" s="3" t="s">
        <v>72</v>
      </c>
    </row>
    <row r="1480">
      <c r="A1480" s="3"/>
      <c r="B1480" s="3"/>
      <c r="C1480" s="3" t="s">
        <v>24</v>
      </c>
      <c r="D1480" s="4" t="s">
        <v>1264</v>
      </c>
      <c r="E1480" s="3" t="s">
        <v>727</v>
      </c>
      <c r="F1480" s="5">
        <v>46189.44513888889</v>
      </c>
      <c r="G1480" s="5">
        <v>46188.517013888886</v>
      </c>
      <c r="H1480" s="3" t="s">
        <v>14</v>
      </c>
      <c r="I1480" s="7">
        <v>0.0</v>
      </c>
      <c r="J1480" s="3" t="s">
        <v>72</v>
      </c>
    </row>
    <row r="1481">
      <c r="A1481" s="3"/>
      <c r="B1481" s="3"/>
      <c r="C1481" s="3" t="s">
        <v>26</v>
      </c>
      <c r="D1481" s="4" t="s">
        <v>1264</v>
      </c>
      <c r="E1481" s="3" t="s">
        <v>727</v>
      </c>
      <c r="F1481" s="5">
        <v>46189.486805555556</v>
      </c>
      <c r="G1481" s="5">
        <v>46189.4330787037</v>
      </c>
      <c r="H1481" s="3" t="s">
        <v>14</v>
      </c>
      <c r="I1481" s="7">
        <v>0.0</v>
      </c>
      <c r="J1481" s="3" t="s">
        <v>72</v>
      </c>
    </row>
    <row r="1482">
      <c r="A1482" s="3"/>
      <c r="B1482" s="3"/>
      <c r="C1482" s="3" t="s">
        <v>10</v>
      </c>
      <c r="D1482" s="4" t="s">
        <v>1268</v>
      </c>
      <c r="E1482" s="3" t="s">
        <v>727</v>
      </c>
      <c r="F1482" s="5">
        <v>46186.73302083334</v>
      </c>
      <c r="G1482" s="5">
        <v>46186.60773148148</v>
      </c>
      <c r="H1482" s="3" t="s">
        <v>14</v>
      </c>
      <c r="I1482" s="3">
        <v>0.0</v>
      </c>
      <c r="J1482" s="3" t="s">
        <v>72</v>
      </c>
    </row>
    <row r="1483">
      <c r="A1483" s="3"/>
      <c r="B1483" s="3"/>
      <c r="C1483" s="3" t="s">
        <v>17</v>
      </c>
      <c r="D1483" s="4" t="s">
        <v>1268</v>
      </c>
      <c r="E1483" s="3" t="s">
        <v>727</v>
      </c>
      <c r="F1483" s="5">
        <v>46186.739965277775</v>
      </c>
      <c r="G1483" s="5">
        <v>46186.60833333333</v>
      </c>
      <c r="H1483" s="3" t="s">
        <v>14</v>
      </c>
      <c r="I1483" s="7">
        <v>0.0</v>
      </c>
      <c r="J1483" s="3" t="s">
        <v>72</v>
      </c>
    </row>
    <row r="1484">
      <c r="A1484" s="3"/>
      <c r="B1484" s="3"/>
      <c r="C1484" s="3" t="s">
        <v>21</v>
      </c>
      <c r="D1484" s="4" t="s">
        <v>1268</v>
      </c>
      <c r="E1484" s="3" t="s">
        <v>727</v>
      </c>
      <c r="F1484" s="5">
        <v>46188.447916666664</v>
      </c>
      <c r="G1484" s="5">
        <v>46187.50528935185</v>
      </c>
      <c r="H1484" s="3" t="s">
        <v>14</v>
      </c>
      <c r="I1484" s="7">
        <v>0.0</v>
      </c>
      <c r="J1484" s="3" t="s">
        <v>72</v>
      </c>
    </row>
    <row r="1485">
      <c r="A1485" s="3"/>
      <c r="B1485" s="3"/>
      <c r="C1485" s="3" t="s">
        <v>24</v>
      </c>
      <c r="D1485" s="4" t="s">
        <v>1268</v>
      </c>
      <c r="E1485" s="3" t="s">
        <v>727</v>
      </c>
      <c r="F1485" s="5">
        <v>46189.447916666664</v>
      </c>
      <c r="G1485" s="5">
        <v>46188.51703703704</v>
      </c>
      <c r="H1485" s="3" t="s">
        <v>14</v>
      </c>
      <c r="I1485" s="7">
        <v>0.0</v>
      </c>
      <c r="J1485" s="3" t="s">
        <v>72</v>
      </c>
    </row>
    <row r="1486">
      <c r="A1486" s="3"/>
      <c r="B1486" s="3"/>
      <c r="C1486" s="3" t="s">
        <v>26</v>
      </c>
      <c r="D1486" s="4" t="s">
        <v>1268</v>
      </c>
      <c r="E1486" s="3" t="s">
        <v>727</v>
      </c>
      <c r="F1486" s="5">
        <v>46189.489583333336</v>
      </c>
      <c r="G1486" s="5">
        <v>46189.43311342593</v>
      </c>
      <c r="H1486" s="3" t="s">
        <v>14</v>
      </c>
      <c r="I1486" s="7">
        <v>0.0</v>
      </c>
      <c r="J1486" s="3" t="s">
        <v>72</v>
      </c>
    </row>
    <row r="1487">
      <c r="A1487" s="3"/>
      <c r="B1487" s="3"/>
      <c r="C1487" s="3" t="s">
        <v>10</v>
      </c>
      <c r="D1487" s="4" t="s">
        <v>1272</v>
      </c>
      <c r="E1487" s="3" t="s">
        <v>727</v>
      </c>
      <c r="F1487" s="5">
        <v>46186.73701388889</v>
      </c>
      <c r="G1487" s="5">
        <v>46186.60775462963</v>
      </c>
      <c r="H1487" s="3" t="s">
        <v>14</v>
      </c>
      <c r="I1487" s="3">
        <v>0.0</v>
      </c>
      <c r="J1487" s="3" t="s">
        <v>48</v>
      </c>
    </row>
    <row r="1488">
      <c r="A1488" s="3"/>
      <c r="B1488" s="3"/>
      <c r="C1488" s="3" t="s">
        <v>17</v>
      </c>
      <c r="D1488" s="4" t="s">
        <v>1272</v>
      </c>
      <c r="E1488" s="3" t="s">
        <v>727</v>
      </c>
      <c r="F1488" s="5">
        <v>46186.74395833333</v>
      </c>
      <c r="G1488" s="5">
        <v>46186.60835648148</v>
      </c>
      <c r="H1488" s="3" t="s">
        <v>14</v>
      </c>
      <c r="I1488" s="7">
        <v>0.0</v>
      </c>
      <c r="J1488" s="3" t="s">
        <v>48</v>
      </c>
    </row>
    <row r="1489">
      <c r="A1489" s="3"/>
      <c r="B1489" s="3"/>
      <c r="C1489" s="3" t="s">
        <v>21</v>
      </c>
      <c r="D1489" s="4" t="s">
        <v>1272</v>
      </c>
      <c r="E1489" s="3" t="s">
        <v>727</v>
      </c>
      <c r="F1489" s="5">
        <v>46188.45208333333</v>
      </c>
      <c r="G1489" s="5">
        <v>46187.5053125</v>
      </c>
      <c r="H1489" s="3" t="s">
        <v>14</v>
      </c>
      <c r="I1489" s="7">
        <v>0.0</v>
      </c>
      <c r="J1489" s="3" t="s">
        <v>48</v>
      </c>
    </row>
    <row r="1490">
      <c r="A1490" s="3"/>
      <c r="B1490" s="3"/>
      <c r="C1490" s="3" t="s">
        <v>24</v>
      </c>
      <c r="D1490" s="4" t="s">
        <v>1272</v>
      </c>
      <c r="E1490" s="3" t="s">
        <v>727</v>
      </c>
      <c r="F1490" s="5">
        <v>46189.45208333333</v>
      </c>
      <c r="G1490" s="5">
        <v>46188.517175925925</v>
      </c>
      <c r="H1490" s="3" t="s">
        <v>14</v>
      </c>
      <c r="I1490" s="7">
        <v>0.0</v>
      </c>
      <c r="J1490" s="3" t="s">
        <v>48</v>
      </c>
    </row>
    <row r="1491">
      <c r="A1491" s="3"/>
      <c r="B1491" s="3"/>
      <c r="C1491" s="3" t="s">
        <v>26</v>
      </c>
      <c r="D1491" s="4" t="s">
        <v>1272</v>
      </c>
      <c r="E1491" s="3" t="s">
        <v>727</v>
      </c>
      <c r="F1491" s="5">
        <v>46189.49375</v>
      </c>
      <c r="G1491" s="5">
        <v>46189.433125</v>
      </c>
      <c r="H1491" s="3" t="s">
        <v>14</v>
      </c>
      <c r="I1491" s="7">
        <v>0.0</v>
      </c>
      <c r="J1491" s="3" t="s">
        <v>48</v>
      </c>
    </row>
    <row r="1492">
      <c r="A1492" s="3"/>
      <c r="B1492" s="3"/>
      <c r="C1492" s="3" t="s">
        <v>10</v>
      </c>
      <c r="D1492" s="4" t="s">
        <v>1274</v>
      </c>
      <c r="E1492" s="3" t="s">
        <v>727</v>
      </c>
      <c r="F1492" s="5">
        <v>46186.74030092593</v>
      </c>
      <c r="G1492" s="5">
        <v>46186.607777777775</v>
      </c>
      <c r="H1492" s="3" t="s">
        <v>14</v>
      </c>
      <c r="I1492" s="3">
        <v>0.0</v>
      </c>
      <c r="J1492" s="3" t="s">
        <v>15</v>
      </c>
    </row>
    <row r="1493">
      <c r="A1493" s="3"/>
      <c r="B1493" s="3"/>
      <c r="C1493" s="3" t="s">
        <v>17</v>
      </c>
      <c r="D1493" s="4" t="s">
        <v>1274</v>
      </c>
      <c r="E1493" s="3" t="s">
        <v>727</v>
      </c>
      <c r="F1493" s="5">
        <v>46186.747245370374</v>
      </c>
      <c r="G1493" s="5">
        <v>46186.60839120371</v>
      </c>
      <c r="H1493" s="3" t="s">
        <v>14</v>
      </c>
      <c r="I1493" s="7">
        <v>0.0</v>
      </c>
      <c r="J1493" s="3" t="s">
        <v>15</v>
      </c>
    </row>
    <row r="1494">
      <c r="A1494" s="3"/>
      <c r="B1494" s="3"/>
      <c r="C1494" s="3" t="s">
        <v>21</v>
      </c>
      <c r="D1494" s="4" t="s">
        <v>1274</v>
      </c>
      <c r="E1494" s="3" t="s">
        <v>727</v>
      </c>
      <c r="F1494" s="5">
        <v>46188.455555555556</v>
      </c>
      <c r="G1494" s="5">
        <v>46187.50533564815</v>
      </c>
      <c r="H1494" s="3" t="s">
        <v>14</v>
      </c>
      <c r="I1494" s="7">
        <v>0.0</v>
      </c>
      <c r="J1494" s="3" t="s">
        <v>15</v>
      </c>
    </row>
    <row r="1495">
      <c r="A1495" s="3"/>
      <c r="B1495" s="3"/>
      <c r="C1495" s="3" t="s">
        <v>24</v>
      </c>
      <c r="D1495" s="4" t="s">
        <v>1274</v>
      </c>
      <c r="E1495" s="3" t="s">
        <v>727</v>
      </c>
      <c r="F1495" s="5">
        <v>46189.455555555556</v>
      </c>
      <c r="G1495" s="5">
        <v>46188.517060185186</v>
      </c>
      <c r="H1495" s="3" t="s">
        <v>14</v>
      </c>
      <c r="I1495" s="7">
        <v>0.0</v>
      </c>
      <c r="J1495" s="3" t="s">
        <v>15</v>
      </c>
    </row>
    <row r="1496">
      <c r="A1496" s="3"/>
      <c r="B1496" s="3"/>
      <c r="C1496" s="3" t="s">
        <v>26</v>
      </c>
      <c r="D1496" s="4" t="s">
        <v>1274</v>
      </c>
      <c r="E1496" s="3" t="s">
        <v>727</v>
      </c>
      <c r="F1496" s="5">
        <v>46189.49722222222</v>
      </c>
      <c r="G1496" s="5">
        <v>46189.43314814815</v>
      </c>
      <c r="H1496" s="3" t="s">
        <v>14</v>
      </c>
      <c r="I1496" s="7">
        <v>0.0</v>
      </c>
      <c r="J1496" s="3" t="s">
        <v>15</v>
      </c>
    </row>
    <row r="1497">
      <c r="A1497" s="3"/>
      <c r="B1497" s="3"/>
      <c r="C1497" s="3" t="s">
        <v>10</v>
      </c>
      <c r="D1497" s="4" t="s">
        <v>1278</v>
      </c>
      <c r="E1497" s="3" t="s">
        <v>1279</v>
      </c>
      <c r="F1497" s="5">
        <v>46186.74329861111</v>
      </c>
      <c r="G1497" s="5">
        <v>46186.60780092593</v>
      </c>
      <c r="H1497" s="3" t="s">
        <v>14</v>
      </c>
      <c r="I1497" s="3">
        <v>0.0</v>
      </c>
      <c r="J1497" s="3" t="s">
        <v>15</v>
      </c>
    </row>
    <row r="1498">
      <c r="A1498" s="3"/>
      <c r="B1498" s="3"/>
      <c r="C1498" s="3" t="s">
        <v>17</v>
      </c>
      <c r="D1498" s="4" t="s">
        <v>1278</v>
      </c>
      <c r="E1498" s="3" t="s">
        <v>1279</v>
      </c>
      <c r="F1498" s="5">
        <v>46186.750243055554</v>
      </c>
      <c r="G1498" s="5">
        <v>46186.60841435185</v>
      </c>
      <c r="H1498" s="3" t="s">
        <v>14</v>
      </c>
      <c r="I1498" s="7">
        <v>0.0</v>
      </c>
      <c r="J1498" s="3" t="s">
        <v>15</v>
      </c>
    </row>
    <row r="1499">
      <c r="A1499" s="3"/>
      <c r="B1499" s="3"/>
      <c r="C1499" s="3" t="s">
        <v>21</v>
      </c>
      <c r="D1499" s="4" t="s">
        <v>1278</v>
      </c>
      <c r="E1499" s="3" t="s">
        <v>1279</v>
      </c>
      <c r="F1499" s="5">
        <v>46188.416666666664</v>
      </c>
      <c r="G1499" s="5">
        <v>46187.50537037037</v>
      </c>
      <c r="H1499" s="3" t="s">
        <v>14</v>
      </c>
      <c r="I1499" s="7">
        <v>0.0</v>
      </c>
      <c r="J1499" s="3" t="s">
        <v>15</v>
      </c>
    </row>
    <row r="1500">
      <c r="A1500" s="3"/>
      <c r="B1500" s="3"/>
      <c r="C1500" s="3" t="s">
        <v>24</v>
      </c>
      <c r="D1500" s="4" t="s">
        <v>1278</v>
      </c>
      <c r="E1500" s="3" t="s">
        <v>1279</v>
      </c>
      <c r="F1500" s="5">
        <v>46189.416666666664</v>
      </c>
      <c r="G1500" s="5">
        <v>46188.51708333333</v>
      </c>
      <c r="H1500" s="3" t="s">
        <v>14</v>
      </c>
      <c r="I1500" s="7">
        <v>0.0</v>
      </c>
      <c r="J1500" s="3" t="s">
        <v>15</v>
      </c>
    </row>
    <row r="1501">
      <c r="A1501" s="3"/>
      <c r="B1501" s="3"/>
      <c r="C1501" s="3" t="s">
        <v>26</v>
      </c>
      <c r="D1501" s="4" t="s">
        <v>1278</v>
      </c>
      <c r="E1501" s="3" t="s">
        <v>1279</v>
      </c>
      <c r="F1501" s="5">
        <v>46189.458333333336</v>
      </c>
      <c r="G1501" s="5">
        <v>46189.433171296296</v>
      </c>
      <c r="H1501" s="3" t="s">
        <v>14</v>
      </c>
      <c r="I1501" s="7">
        <v>0.0</v>
      </c>
      <c r="J1501" s="3" t="s">
        <v>15</v>
      </c>
    </row>
    <row r="1502">
      <c r="A1502" s="3"/>
      <c r="B1502" s="3"/>
      <c r="C1502" s="3" t="s">
        <v>10</v>
      </c>
      <c r="D1502" s="4" t="s">
        <v>1282</v>
      </c>
      <c r="E1502" s="3" t="s">
        <v>1283</v>
      </c>
      <c r="F1502" s="5">
        <v>46188.55962962963</v>
      </c>
      <c r="G1502" s="5">
        <v>46188.46219907407</v>
      </c>
      <c r="H1502" s="3" t="s">
        <v>14</v>
      </c>
      <c r="I1502" s="3">
        <v>0.0</v>
      </c>
      <c r="J1502" s="3" t="s">
        <v>15</v>
      </c>
    </row>
    <row r="1503">
      <c r="A1503" s="3"/>
      <c r="B1503" s="3"/>
      <c r="C1503" s="3" t="s">
        <v>17</v>
      </c>
      <c r="D1503" s="4" t="s">
        <v>1282</v>
      </c>
      <c r="E1503" s="3" t="s">
        <v>1283</v>
      </c>
      <c r="F1503" s="5">
        <v>46188.56657407407</v>
      </c>
      <c r="G1503" s="5">
        <v>46188.46239583333</v>
      </c>
      <c r="H1503" s="3" t="s">
        <v>14</v>
      </c>
      <c r="I1503" s="7">
        <v>0.0</v>
      </c>
      <c r="J1503" s="3" t="s">
        <v>15</v>
      </c>
    </row>
    <row r="1504">
      <c r="A1504" s="3"/>
      <c r="B1504" s="3"/>
      <c r="C1504" s="3" t="s">
        <v>21</v>
      </c>
      <c r="D1504" s="4" t="s">
        <v>1282</v>
      </c>
      <c r="E1504" s="3" t="s">
        <v>1283</v>
      </c>
      <c r="F1504" s="5">
        <v>46188.67074074074</v>
      </c>
      <c r="G1504" s="5">
        <v>46188.46252314815</v>
      </c>
      <c r="H1504" s="3" t="s">
        <v>14</v>
      </c>
      <c r="I1504" s="7">
        <v>0.0</v>
      </c>
      <c r="J1504" s="3" t="s">
        <v>15</v>
      </c>
    </row>
    <row r="1505">
      <c r="A1505" s="3"/>
      <c r="B1505" s="3"/>
      <c r="C1505" s="3" t="s">
        <v>24</v>
      </c>
      <c r="D1505" s="4" t="s">
        <v>1282</v>
      </c>
      <c r="E1505" s="3" t="s">
        <v>1283</v>
      </c>
      <c r="F1505" s="5">
        <v>46189.67013888889</v>
      </c>
      <c r="G1505" s="5">
        <v>46188.5168287037</v>
      </c>
      <c r="H1505" s="3" t="s">
        <v>14</v>
      </c>
      <c r="I1505" s="7">
        <v>0.0</v>
      </c>
      <c r="J1505" s="3" t="s">
        <v>15</v>
      </c>
    </row>
    <row r="1506">
      <c r="A1506" s="3"/>
      <c r="B1506" s="3"/>
      <c r="C1506" s="3" t="s">
        <v>26</v>
      </c>
      <c r="D1506" s="4" t="s">
        <v>1282</v>
      </c>
      <c r="E1506" s="3" t="s">
        <v>1283</v>
      </c>
      <c r="F1506" s="5">
        <v>46189.711805555555</v>
      </c>
      <c r="G1506" s="5">
        <v>46188.51688657407</v>
      </c>
      <c r="H1506" s="3" t="s">
        <v>14</v>
      </c>
      <c r="I1506" s="7">
        <v>0.0</v>
      </c>
      <c r="J1506" s="3" t="s">
        <v>15</v>
      </c>
    </row>
    <row r="1507">
      <c r="A1507" s="3"/>
      <c r="B1507" s="3"/>
      <c r="C1507" s="3" t="s">
        <v>10</v>
      </c>
      <c r="D1507" s="4" t="s">
        <v>1285</v>
      </c>
      <c r="E1507" s="3" t="s">
        <v>1287</v>
      </c>
      <c r="F1507" s="5">
        <v>46188.62541666667</v>
      </c>
      <c r="G1507" s="5">
        <v>46188.462222222224</v>
      </c>
      <c r="H1507" s="3" t="s">
        <v>14</v>
      </c>
      <c r="I1507" s="3">
        <v>0.0</v>
      </c>
      <c r="J1507" s="3" t="s">
        <v>15</v>
      </c>
    </row>
    <row r="1508">
      <c r="A1508" s="3"/>
      <c r="B1508" s="3"/>
      <c r="C1508" s="3" t="s">
        <v>17</v>
      </c>
      <c r="D1508" s="4" t="s">
        <v>1285</v>
      </c>
      <c r="E1508" s="3" t="s">
        <v>1287</v>
      </c>
      <c r="F1508" s="5">
        <v>46188.632361111115</v>
      </c>
      <c r="G1508" s="5">
        <v>46188.46239583333</v>
      </c>
      <c r="H1508" s="3" t="s">
        <v>14</v>
      </c>
      <c r="I1508" s="7">
        <v>0.0</v>
      </c>
      <c r="J1508" s="3" t="s">
        <v>15</v>
      </c>
    </row>
    <row r="1509">
      <c r="A1509" s="3"/>
      <c r="B1509" s="3"/>
      <c r="C1509" s="3" t="s">
        <v>21</v>
      </c>
      <c r="D1509" s="4" t="s">
        <v>1285</v>
      </c>
      <c r="E1509" s="3" t="s">
        <v>1287</v>
      </c>
      <c r="F1509" s="5">
        <v>46188.73652777778</v>
      </c>
      <c r="G1509" s="5">
        <v>46188.46252314815</v>
      </c>
      <c r="H1509" s="3" t="s">
        <v>14</v>
      </c>
      <c r="I1509" s="7">
        <v>0.0</v>
      </c>
      <c r="J1509" s="3" t="s">
        <v>15</v>
      </c>
    </row>
    <row r="1510">
      <c r="A1510" s="3"/>
      <c r="B1510" s="3"/>
      <c r="C1510" s="3" t="s">
        <v>24</v>
      </c>
      <c r="D1510" s="4" t="s">
        <v>1285</v>
      </c>
      <c r="E1510" s="3" t="s">
        <v>1287</v>
      </c>
      <c r="F1510" s="5">
        <v>46189.73611111111</v>
      </c>
      <c r="G1510" s="5">
        <v>46188.51684027778</v>
      </c>
      <c r="H1510" s="3" t="s">
        <v>14</v>
      </c>
      <c r="I1510" s="7">
        <v>0.0</v>
      </c>
      <c r="J1510" s="3" t="s">
        <v>15</v>
      </c>
    </row>
    <row r="1511">
      <c r="A1511" s="3"/>
      <c r="B1511" s="3"/>
      <c r="C1511" s="3" t="s">
        <v>26</v>
      </c>
      <c r="D1511" s="4" t="s">
        <v>1285</v>
      </c>
      <c r="E1511" s="3" t="s">
        <v>1287</v>
      </c>
      <c r="F1511" s="5">
        <v>46189.77777777778</v>
      </c>
      <c r="G1511" s="5">
        <v>46188.516921296294</v>
      </c>
      <c r="H1511" s="3" t="s">
        <v>14</v>
      </c>
      <c r="I1511" s="7">
        <v>0.0</v>
      </c>
      <c r="J1511" s="3" t="s">
        <v>15</v>
      </c>
    </row>
    <row r="1512">
      <c r="A1512" s="3"/>
      <c r="B1512" s="3"/>
      <c r="C1512" s="3" t="s">
        <v>10</v>
      </c>
      <c r="D1512" s="4" t="s">
        <v>1289</v>
      </c>
      <c r="E1512" s="3" t="s">
        <v>1290</v>
      </c>
      <c r="F1512" s="5">
        <v>46189.623020833336</v>
      </c>
      <c r="G1512" s="5">
        <v>46189.48472222222</v>
      </c>
      <c r="H1512" s="3" t="s">
        <v>14</v>
      </c>
      <c r="I1512" s="3">
        <v>0.0</v>
      </c>
      <c r="J1512" s="3" t="s">
        <v>48</v>
      </c>
    </row>
    <row r="1513">
      <c r="A1513" s="3"/>
      <c r="B1513" s="3"/>
      <c r="C1513" s="3" t="s">
        <v>17</v>
      </c>
      <c r="D1513" s="4" t="s">
        <v>1289</v>
      </c>
      <c r="E1513" s="3" t="s">
        <v>1290</v>
      </c>
      <c r="F1513" s="5">
        <v>46189.629965277774</v>
      </c>
      <c r="G1513" s="5">
        <v>46189.48855324074</v>
      </c>
      <c r="H1513" s="3" t="s">
        <v>14</v>
      </c>
      <c r="I1513" s="7">
        <v>0.0</v>
      </c>
      <c r="J1513" s="3" t="s">
        <v>48</v>
      </c>
    </row>
    <row r="1514">
      <c r="A1514" s="3"/>
      <c r="B1514" s="3"/>
      <c r="C1514" s="3" t="s">
        <v>21</v>
      </c>
      <c r="D1514" s="4" t="s">
        <v>1289</v>
      </c>
      <c r="E1514" s="3" t="s">
        <v>1290</v>
      </c>
      <c r="F1514" s="5">
        <v>46189.734131944446</v>
      </c>
      <c r="G1514" s="5">
        <v>46189.52596064815</v>
      </c>
      <c r="H1514" s="3" t="s">
        <v>14</v>
      </c>
      <c r="I1514" s="7">
        <v>0.0</v>
      </c>
      <c r="J1514" s="3" t="s">
        <v>48</v>
      </c>
    </row>
    <row r="1515">
      <c r="A1515" s="3"/>
      <c r="B1515" s="3"/>
      <c r="C1515" s="3" t="s">
        <v>24</v>
      </c>
      <c r="D1515" s="4" t="s">
        <v>1289</v>
      </c>
      <c r="E1515" s="3" t="s">
        <v>1290</v>
      </c>
      <c r="F1515" s="5">
        <v>46190.73402777778</v>
      </c>
      <c r="G1515" s="5">
        <v>46190.54079861111</v>
      </c>
      <c r="H1515" s="3" t="s">
        <v>14</v>
      </c>
      <c r="I1515" s="7">
        <v>0.0</v>
      </c>
      <c r="J1515" s="3" t="s">
        <v>48</v>
      </c>
    </row>
    <row r="1516">
      <c r="A1516" s="3"/>
      <c r="B1516" s="3"/>
      <c r="C1516" s="3" t="s">
        <v>26</v>
      </c>
      <c r="D1516" s="4" t="s">
        <v>1289</v>
      </c>
      <c r="E1516" s="3" t="s">
        <v>1290</v>
      </c>
      <c r="F1516" s="5">
        <v>46190.77569444444</v>
      </c>
      <c r="G1516" s="5">
        <v>46190.5408912037</v>
      </c>
      <c r="H1516" s="3" t="s">
        <v>14</v>
      </c>
      <c r="I1516" s="7">
        <v>0.0</v>
      </c>
      <c r="J1516" s="3" t="s">
        <v>48</v>
      </c>
    </row>
    <row r="1517">
      <c r="A1517" s="3"/>
      <c r="B1517" s="3"/>
      <c r="C1517" s="3" t="s">
        <v>10</v>
      </c>
      <c r="D1517" s="4" t="s">
        <v>1294</v>
      </c>
      <c r="E1517" s="3" t="s">
        <v>1295</v>
      </c>
      <c r="F1517" s="5">
        <v>46189.62380787037</v>
      </c>
      <c r="G1517" s="5">
        <v>46189.48474537037</v>
      </c>
      <c r="H1517" s="3" t="s">
        <v>14</v>
      </c>
      <c r="I1517" s="3">
        <v>0.0</v>
      </c>
      <c r="J1517" s="3" t="s">
        <v>48</v>
      </c>
    </row>
    <row r="1518">
      <c r="A1518" s="3"/>
      <c r="B1518" s="3"/>
      <c r="C1518" s="3" t="s">
        <v>17</v>
      </c>
      <c r="D1518" s="4" t="s">
        <v>1294</v>
      </c>
      <c r="E1518" s="3" t="s">
        <v>1295</v>
      </c>
      <c r="F1518" s="5">
        <v>46189.63075231481</v>
      </c>
      <c r="G1518" s="5">
        <v>46189.48856481481</v>
      </c>
      <c r="H1518" s="3" t="s">
        <v>14</v>
      </c>
      <c r="I1518" s="7">
        <v>0.0</v>
      </c>
      <c r="J1518" s="3" t="s">
        <v>48</v>
      </c>
    </row>
    <row r="1519">
      <c r="A1519" s="3"/>
      <c r="B1519" s="3"/>
      <c r="C1519" s="3" t="s">
        <v>21</v>
      </c>
      <c r="D1519" s="4" t="s">
        <v>1294</v>
      </c>
      <c r="E1519" s="3" t="s">
        <v>1295</v>
      </c>
      <c r="F1519" s="5">
        <v>46189.734918981485</v>
      </c>
      <c r="G1519" s="5">
        <v>46189.525983796295</v>
      </c>
      <c r="H1519" s="3" t="s">
        <v>14</v>
      </c>
      <c r="I1519" s="7">
        <v>0.0</v>
      </c>
      <c r="J1519" s="3" t="s">
        <v>48</v>
      </c>
    </row>
    <row r="1520">
      <c r="A1520" s="3"/>
      <c r="B1520" s="3"/>
      <c r="C1520" s="3" t="s">
        <v>24</v>
      </c>
      <c r="D1520" s="4" t="s">
        <v>1294</v>
      </c>
      <c r="E1520" s="3" t="s">
        <v>1295</v>
      </c>
      <c r="F1520" s="5">
        <v>46190.73472222222</v>
      </c>
      <c r="G1520" s="5">
        <v>46190.54083333333</v>
      </c>
      <c r="H1520" s="3" t="s">
        <v>14</v>
      </c>
      <c r="I1520" s="7">
        <v>0.0</v>
      </c>
      <c r="J1520" s="3" t="s">
        <v>48</v>
      </c>
    </row>
    <row r="1521">
      <c r="A1521" s="3"/>
      <c r="B1521" s="3"/>
      <c r="C1521" s="3" t="s">
        <v>26</v>
      </c>
      <c r="D1521" s="4" t="s">
        <v>1294</v>
      </c>
      <c r="E1521" s="3" t="s">
        <v>1295</v>
      </c>
      <c r="F1521" s="5">
        <v>46190.77638888889</v>
      </c>
      <c r="G1521" s="5">
        <v>46190.540914351855</v>
      </c>
      <c r="H1521" s="3" t="s">
        <v>14</v>
      </c>
      <c r="I1521" s="7">
        <v>0.0</v>
      </c>
      <c r="J1521" s="3" t="s">
        <v>48</v>
      </c>
    </row>
    <row r="1522">
      <c r="A1522" s="3"/>
      <c r="B1522" s="3"/>
      <c r="C1522" s="3" t="s">
        <v>10</v>
      </c>
      <c r="D1522" s="4" t="s">
        <v>1297</v>
      </c>
      <c r="E1522" s="3" t="s">
        <v>52</v>
      </c>
      <c r="F1522" s="5">
        <v>46189.62571759259</v>
      </c>
      <c r="G1522" s="5">
        <v>46189.48483796296</v>
      </c>
      <c r="H1522" s="3" t="s">
        <v>14</v>
      </c>
      <c r="I1522" s="3">
        <v>0.0</v>
      </c>
      <c r="J1522" s="3" t="s">
        <v>72</v>
      </c>
    </row>
    <row r="1523">
      <c r="A1523" s="3"/>
      <c r="B1523" s="3"/>
      <c r="C1523" s="3" t="s">
        <v>17</v>
      </c>
      <c r="D1523" s="4" t="s">
        <v>1297</v>
      </c>
      <c r="E1523" s="3" t="s">
        <v>52</v>
      </c>
      <c r="F1523" s="5">
        <v>46189.63266203704</v>
      </c>
      <c r="G1523" s="5">
        <v>46189.488587962966</v>
      </c>
      <c r="H1523" s="3" t="s">
        <v>14</v>
      </c>
      <c r="I1523" s="7">
        <v>0.0</v>
      </c>
      <c r="J1523" s="3" t="s">
        <v>72</v>
      </c>
    </row>
    <row r="1524">
      <c r="A1524" s="3"/>
      <c r="B1524" s="3"/>
      <c r="C1524" s="3" t="s">
        <v>21</v>
      </c>
      <c r="D1524" s="4" t="s">
        <v>1297</v>
      </c>
      <c r="E1524" s="3" t="s">
        <v>52</v>
      </c>
      <c r="F1524" s="5">
        <v>46189.7368287037</v>
      </c>
      <c r="G1524" s="5">
        <v>46189.52599537037</v>
      </c>
      <c r="H1524" s="3" t="s">
        <v>14</v>
      </c>
      <c r="I1524" s="7">
        <v>0.0</v>
      </c>
      <c r="J1524" s="3" t="s">
        <v>72</v>
      </c>
    </row>
    <row r="1525">
      <c r="A1525" s="3"/>
      <c r="B1525" s="3"/>
      <c r="C1525" s="3" t="s">
        <v>24</v>
      </c>
      <c r="D1525" s="4" t="s">
        <v>1297</v>
      </c>
      <c r="E1525" s="3" t="s">
        <v>52</v>
      </c>
      <c r="F1525" s="5">
        <v>46190.736805555556</v>
      </c>
      <c r="G1525" s="5">
        <v>46189.819444444445</v>
      </c>
      <c r="H1525" s="3" t="s">
        <v>14</v>
      </c>
      <c r="I1525" s="7">
        <v>0.0</v>
      </c>
      <c r="J1525" s="3" t="s">
        <v>72</v>
      </c>
    </row>
    <row r="1526">
      <c r="A1526" s="3"/>
      <c r="B1526" s="3"/>
      <c r="C1526" s="3" t="s">
        <v>26</v>
      </c>
      <c r="D1526" s="4" t="s">
        <v>1297</v>
      </c>
      <c r="E1526" s="3" t="s">
        <v>52</v>
      </c>
      <c r="F1526" s="5">
        <v>46190.77847222222</v>
      </c>
      <c r="G1526" s="5">
        <v>46190.54094907407</v>
      </c>
      <c r="H1526" s="3" t="s">
        <v>14</v>
      </c>
      <c r="I1526" s="7">
        <v>0.0</v>
      </c>
      <c r="J1526" s="3" t="s">
        <v>72</v>
      </c>
    </row>
    <row r="1527">
      <c r="A1527" s="3"/>
      <c r="B1527" s="3"/>
      <c r="C1527" s="3" t="s">
        <v>10</v>
      </c>
      <c r="D1527" s="4" t="s">
        <v>1302</v>
      </c>
      <c r="E1527" s="3" t="s">
        <v>1303</v>
      </c>
      <c r="F1527" s="5">
        <v>46189.627974537034</v>
      </c>
      <c r="G1527" s="5">
        <v>46189.48846064815</v>
      </c>
      <c r="H1527" s="3" t="s">
        <v>14</v>
      </c>
      <c r="I1527" s="3">
        <v>0.0</v>
      </c>
      <c r="J1527" s="3" t="s">
        <v>72</v>
      </c>
    </row>
    <row r="1528">
      <c r="A1528" s="3"/>
      <c r="B1528" s="3"/>
      <c r="C1528" s="3" t="s">
        <v>17</v>
      </c>
      <c r="D1528" s="4" t="s">
        <v>1302</v>
      </c>
      <c r="E1528" s="3" t="s">
        <v>1303</v>
      </c>
      <c r="F1528" s="5">
        <v>46189.63491898148</v>
      </c>
      <c r="G1528" s="5">
        <v>46189.48861111111</v>
      </c>
      <c r="H1528" s="3" t="s">
        <v>14</v>
      </c>
      <c r="I1528" s="7">
        <v>0.0</v>
      </c>
      <c r="J1528" s="3" t="s">
        <v>72</v>
      </c>
    </row>
    <row r="1529">
      <c r="A1529" s="3"/>
      <c r="B1529" s="3"/>
      <c r="C1529" s="3" t="s">
        <v>21</v>
      </c>
      <c r="D1529" s="4" t="s">
        <v>1302</v>
      </c>
      <c r="E1529" s="3" t="s">
        <v>1303</v>
      </c>
      <c r="F1529" s="5">
        <v>46189.73908564815</v>
      </c>
      <c r="G1529" s="5">
        <v>46189.52600694444</v>
      </c>
      <c r="H1529" s="3" t="s">
        <v>14</v>
      </c>
      <c r="I1529" s="7">
        <v>0.0</v>
      </c>
      <c r="J1529" s="3" t="s">
        <v>72</v>
      </c>
    </row>
    <row r="1530">
      <c r="A1530" s="3"/>
      <c r="B1530" s="3"/>
      <c r="C1530" s="3" t="s">
        <v>24</v>
      </c>
      <c r="D1530" s="4" t="s">
        <v>1302</v>
      </c>
      <c r="E1530" s="3" t="s">
        <v>1303</v>
      </c>
      <c r="F1530" s="5">
        <v>46190.73888888889</v>
      </c>
      <c r="G1530" s="5">
        <v>46189.81945601852</v>
      </c>
      <c r="H1530" s="3" t="s">
        <v>14</v>
      </c>
      <c r="I1530" s="7">
        <v>0.0</v>
      </c>
      <c r="J1530" s="3" t="s">
        <v>72</v>
      </c>
    </row>
    <row r="1531">
      <c r="A1531" s="3"/>
      <c r="B1531" s="3"/>
      <c r="C1531" s="3" t="s">
        <v>26</v>
      </c>
      <c r="D1531" s="4" t="s">
        <v>1302</v>
      </c>
      <c r="E1531" s="3" t="s">
        <v>1303</v>
      </c>
      <c r="F1531" s="5">
        <v>46190.78055555555</v>
      </c>
      <c r="G1531" s="5">
        <v>46190.540972222225</v>
      </c>
      <c r="H1531" s="3" t="s">
        <v>14</v>
      </c>
      <c r="I1531" s="7">
        <v>0.0</v>
      </c>
      <c r="J1531" s="3" t="s">
        <v>72</v>
      </c>
    </row>
    <row r="1532">
      <c r="A1532" s="3"/>
      <c r="B1532" s="3"/>
      <c r="C1532" s="3" t="s">
        <v>10</v>
      </c>
      <c r="D1532" s="4" t="s">
        <v>1307</v>
      </c>
      <c r="E1532" s="3" t="s">
        <v>1308</v>
      </c>
      <c r="F1532" s="5">
        <v>46189.76797453704</v>
      </c>
      <c r="G1532" s="5">
        <v>46189.625555555554</v>
      </c>
      <c r="H1532" s="3" t="s">
        <v>14</v>
      </c>
      <c r="I1532" s="3">
        <v>0.0</v>
      </c>
      <c r="J1532" s="3" t="s">
        <v>72</v>
      </c>
    </row>
    <row r="1533">
      <c r="A1533" s="3"/>
      <c r="B1533" s="3"/>
      <c r="C1533" s="3" t="s">
        <v>17</v>
      </c>
      <c r="D1533" s="4" t="s">
        <v>1307</v>
      </c>
      <c r="E1533" s="3" t="s">
        <v>1308</v>
      </c>
      <c r="F1533" s="5">
        <v>46189.77491898148</v>
      </c>
      <c r="G1533" s="5">
        <v>46189.625601851854</v>
      </c>
      <c r="H1533" s="3" t="s">
        <v>14</v>
      </c>
      <c r="I1533" s="7">
        <v>0.0</v>
      </c>
      <c r="J1533" s="3" t="s">
        <v>72</v>
      </c>
    </row>
    <row r="1534">
      <c r="A1534" s="3"/>
      <c r="B1534" s="3"/>
      <c r="C1534" s="3" t="s">
        <v>21</v>
      </c>
      <c r="D1534" s="4" t="s">
        <v>1307</v>
      </c>
      <c r="E1534" s="3" t="s">
        <v>1308</v>
      </c>
      <c r="F1534" s="5">
        <v>46190.48263888889</v>
      </c>
      <c r="G1534" s="5">
        <v>46189.63118055555</v>
      </c>
      <c r="H1534" s="3" t="s">
        <v>14</v>
      </c>
      <c r="I1534" s="7">
        <v>0.0</v>
      </c>
      <c r="J1534" s="3" t="s">
        <v>72</v>
      </c>
    </row>
    <row r="1535">
      <c r="A1535" s="3"/>
      <c r="B1535" s="3"/>
      <c r="C1535" s="3" t="s">
        <v>24</v>
      </c>
      <c r="D1535" s="4" t="s">
        <v>1307</v>
      </c>
      <c r="E1535" s="3" t="s">
        <v>1308</v>
      </c>
      <c r="F1535" s="5">
        <v>46191.48263888889</v>
      </c>
      <c r="G1535" s="5">
        <v>46189.631215277775</v>
      </c>
      <c r="H1535" s="3" t="s">
        <v>14</v>
      </c>
      <c r="I1535" s="7">
        <v>0.0</v>
      </c>
      <c r="J1535" s="3" t="s">
        <v>72</v>
      </c>
    </row>
    <row r="1536">
      <c r="A1536" s="3"/>
      <c r="B1536" s="3"/>
      <c r="C1536" s="3" t="s">
        <v>26</v>
      </c>
      <c r="D1536" s="4" t="s">
        <v>1307</v>
      </c>
      <c r="E1536" s="3" t="s">
        <v>1308</v>
      </c>
      <c r="F1536" s="5">
        <v>46191.524305555555</v>
      </c>
      <c r="G1536" s="5">
        <v>46189.63123842593</v>
      </c>
      <c r="H1536" s="3" t="s">
        <v>14</v>
      </c>
      <c r="I1536" s="7">
        <v>0.0</v>
      </c>
      <c r="J1536" s="3" t="s">
        <v>72</v>
      </c>
    </row>
    <row r="1537">
      <c r="A1537" s="3"/>
      <c r="B1537" s="3"/>
      <c r="C1537" s="3" t="s">
        <v>10</v>
      </c>
      <c r="D1537" s="4" t="s">
        <v>1312</v>
      </c>
      <c r="E1537" s="3" t="s">
        <v>800</v>
      </c>
      <c r="F1537" s="5">
        <v>46190.44305555556</v>
      </c>
      <c r="G1537" s="5">
        <v>46189.81912037037</v>
      </c>
      <c r="H1537" s="3" t="s">
        <v>14</v>
      </c>
      <c r="I1537" s="3">
        <v>0.0</v>
      </c>
      <c r="J1537" s="3" t="s">
        <v>15</v>
      </c>
    </row>
    <row r="1538">
      <c r="A1538" s="3"/>
      <c r="B1538" s="3"/>
      <c r="C1538" s="3" t="s">
        <v>17</v>
      </c>
      <c r="D1538" s="4" t="s">
        <v>1312</v>
      </c>
      <c r="E1538" s="3" t="s">
        <v>800</v>
      </c>
      <c r="F1538" s="5">
        <v>46190.45</v>
      </c>
      <c r="G1538" s="5">
        <v>46189.81916666667</v>
      </c>
      <c r="H1538" s="3" t="s">
        <v>14</v>
      </c>
      <c r="I1538" s="7">
        <v>0.0</v>
      </c>
      <c r="J1538" s="3" t="s">
        <v>15</v>
      </c>
    </row>
    <row r="1539">
      <c r="A1539" s="3"/>
      <c r="B1539" s="3"/>
      <c r="C1539" s="3" t="s">
        <v>21</v>
      </c>
      <c r="D1539" s="4" t="s">
        <v>1312</v>
      </c>
      <c r="E1539" s="3" t="s">
        <v>800</v>
      </c>
      <c r="F1539" s="5">
        <v>46190.55416666667</v>
      </c>
      <c r="G1539" s="5">
        <v>46189.81922453704</v>
      </c>
      <c r="H1539" s="3" t="s">
        <v>14</v>
      </c>
      <c r="I1539" s="7">
        <v>0.0</v>
      </c>
      <c r="J1539" s="3" t="s">
        <v>15</v>
      </c>
    </row>
    <row r="1540">
      <c r="A1540" s="3"/>
      <c r="B1540" s="3"/>
      <c r="C1540" s="3" t="s">
        <v>24</v>
      </c>
      <c r="D1540" s="4" t="s">
        <v>1312</v>
      </c>
      <c r="E1540" s="3" t="s">
        <v>800</v>
      </c>
      <c r="F1540" s="5">
        <v>46191.55416666667</v>
      </c>
      <c r="G1540" s="5">
        <v>46189.819247685184</v>
      </c>
      <c r="H1540" s="3" t="s">
        <v>14</v>
      </c>
      <c r="I1540" s="7">
        <v>0.0</v>
      </c>
      <c r="J1540" s="3" t="s">
        <v>15</v>
      </c>
    </row>
    <row r="1541">
      <c r="A1541" s="3"/>
      <c r="B1541" s="3"/>
      <c r="C1541" s="3" t="s">
        <v>26</v>
      </c>
      <c r="D1541" s="4" t="s">
        <v>1312</v>
      </c>
      <c r="E1541" s="3" t="s">
        <v>800</v>
      </c>
      <c r="F1541" s="5">
        <v>46191.59583333333</v>
      </c>
      <c r="G1541" s="5">
        <v>46190.54515046296</v>
      </c>
      <c r="H1541" s="3" t="s">
        <v>14</v>
      </c>
      <c r="I1541" s="7">
        <v>0.0</v>
      </c>
      <c r="J1541" s="3" t="s">
        <v>15</v>
      </c>
    </row>
    <row r="1542">
      <c r="A1542" s="3"/>
      <c r="B1542" s="3"/>
      <c r="C1542" s="3" t="s">
        <v>10</v>
      </c>
      <c r="D1542" s="4" t="s">
        <v>1315</v>
      </c>
      <c r="E1542" s="3" t="s">
        <v>1287</v>
      </c>
      <c r="F1542" s="5">
        <v>46190.6493287037</v>
      </c>
      <c r="G1542" s="5">
        <v>46190.51094907407</v>
      </c>
      <c r="H1542" s="3" t="s">
        <v>14</v>
      </c>
      <c r="I1542" s="3">
        <v>0.0</v>
      </c>
      <c r="J1542" s="3" t="s">
        <v>15</v>
      </c>
    </row>
    <row r="1543">
      <c r="A1543" s="3"/>
      <c r="B1543" s="3"/>
      <c r="C1543" s="3" t="s">
        <v>17</v>
      </c>
      <c r="D1543" s="4" t="s">
        <v>1315</v>
      </c>
      <c r="E1543" s="3" t="s">
        <v>1287</v>
      </c>
      <c r="F1543" s="5">
        <v>46190.656273148146</v>
      </c>
      <c r="G1543" s="5">
        <v>46190.511087962965</v>
      </c>
      <c r="H1543" s="3" t="s">
        <v>14</v>
      </c>
      <c r="I1543" s="7">
        <v>0.0</v>
      </c>
      <c r="J1543" s="3" t="s">
        <v>15</v>
      </c>
    </row>
    <row r="1544">
      <c r="A1544" s="3"/>
      <c r="B1544" s="3"/>
      <c r="C1544" s="3" t="s">
        <v>21</v>
      </c>
      <c r="D1544" s="4" t="s">
        <v>1315</v>
      </c>
      <c r="E1544" s="3" t="s">
        <v>1287</v>
      </c>
      <c r="F1544" s="5">
        <v>46190.76043981482</v>
      </c>
      <c r="G1544" s="5">
        <v>46190.511087962965</v>
      </c>
      <c r="H1544" s="3" t="s">
        <v>14</v>
      </c>
      <c r="I1544" s="7">
        <v>0.0</v>
      </c>
      <c r="J1544" s="3" t="s">
        <v>15</v>
      </c>
    </row>
    <row r="1545">
      <c r="A1545" s="3"/>
      <c r="B1545" s="3"/>
      <c r="C1545" s="3" t="s">
        <v>24</v>
      </c>
      <c r="D1545" s="4" t="s">
        <v>1315</v>
      </c>
      <c r="E1545" s="3" t="s">
        <v>1287</v>
      </c>
      <c r="F1545" s="5">
        <v>46191.760416666664</v>
      </c>
      <c r="G1545" s="5">
        <v>46190.7112037037</v>
      </c>
      <c r="H1545" s="3" t="s">
        <v>14</v>
      </c>
      <c r="I1545" s="7">
        <v>0.0</v>
      </c>
      <c r="J1545" s="3" t="s">
        <v>15</v>
      </c>
    </row>
    <row r="1546">
      <c r="A1546" s="3"/>
      <c r="B1546" s="3"/>
      <c r="C1546" s="3" t="s">
        <v>26</v>
      </c>
      <c r="D1546" s="4" t="s">
        <v>1315</v>
      </c>
      <c r="E1546" s="3" t="s">
        <v>1287</v>
      </c>
      <c r="F1546" s="5">
        <v>46191.802083333336</v>
      </c>
      <c r="G1546" s="5">
        <v>46191.52180555555</v>
      </c>
      <c r="H1546" s="3" t="s">
        <v>14</v>
      </c>
      <c r="I1546" s="7">
        <v>0.0</v>
      </c>
      <c r="J1546" s="3" t="s">
        <v>15</v>
      </c>
    </row>
    <row r="1547">
      <c r="A1547" s="3"/>
      <c r="B1547" s="3"/>
      <c r="C1547" s="117" t="s">
        <v>10</v>
      </c>
      <c r="D1547" s="4" t="s">
        <v>1318</v>
      </c>
      <c r="E1547" s="117">
        <v>3.0013382E7</v>
      </c>
      <c r="F1547" s="5">
        <v>46190.78487268519</v>
      </c>
      <c r="G1547" s="5">
        <v>46190.72489583334</v>
      </c>
      <c r="H1547" s="3" t="s">
        <v>14</v>
      </c>
      <c r="I1547" s="3">
        <v>0.0</v>
      </c>
      <c r="J1547" s="3" t="s">
        <v>15</v>
      </c>
    </row>
    <row r="1548">
      <c r="A1548" s="3"/>
      <c r="B1548" s="3"/>
      <c r="C1548" s="117" t="s">
        <v>17</v>
      </c>
      <c r="D1548" s="4" t="s">
        <v>1318</v>
      </c>
      <c r="E1548" s="117">
        <v>3.0013382E7</v>
      </c>
      <c r="F1548" s="5">
        <v>46190.791817129626</v>
      </c>
      <c r="G1548" s="5">
        <v>46190.72508101852</v>
      </c>
      <c r="H1548" s="3" t="s">
        <v>14</v>
      </c>
      <c r="I1548" s="7">
        <v>0.0</v>
      </c>
      <c r="J1548" s="3" t="s">
        <v>15</v>
      </c>
    </row>
    <row r="1549">
      <c r="A1549" s="3"/>
      <c r="B1549" s="3"/>
      <c r="C1549" s="117" t="s">
        <v>21</v>
      </c>
      <c r="D1549" s="4" t="s">
        <v>1318</v>
      </c>
      <c r="E1549" s="117">
        <v>3.0013382E7</v>
      </c>
      <c r="F1549" s="5">
        <v>46191.458333333336</v>
      </c>
      <c r="G1549" s="5">
        <v>46191.43800925926</v>
      </c>
      <c r="H1549" s="3" t="s">
        <v>14</v>
      </c>
      <c r="I1549" s="7">
        <v>0.0</v>
      </c>
      <c r="J1549" s="3" t="s">
        <v>15</v>
      </c>
    </row>
    <row r="1550">
      <c r="A1550" s="3"/>
      <c r="B1550" s="3"/>
      <c r="C1550" s="117" t="s">
        <v>24</v>
      </c>
      <c r="D1550" s="4" t="s">
        <v>1318</v>
      </c>
      <c r="E1550" s="117">
        <v>3.0013382E7</v>
      </c>
      <c r="F1550" s="5">
        <v>46192.458333333336</v>
      </c>
      <c r="G1550" s="5">
        <v>46191.52162037037</v>
      </c>
      <c r="H1550" s="3" t="s">
        <v>14</v>
      </c>
      <c r="I1550" s="7">
        <v>0.0</v>
      </c>
      <c r="J1550" s="3" t="s">
        <v>15</v>
      </c>
    </row>
    <row r="1551">
      <c r="A1551" s="3"/>
      <c r="B1551" s="3"/>
      <c r="C1551" s="117" t="s">
        <v>26</v>
      </c>
      <c r="D1551" s="4" t="s">
        <v>1318</v>
      </c>
      <c r="E1551" s="117">
        <v>3.0013382E7</v>
      </c>
      <c r="F1551" s="5">
        <v>46192.5</v>
      </c>
      <c r="G1551" s="5">
        <v>46191.52174768518</v>
      </c>
      <c r="H1551" s="3" t="s">
        <v>14</v>
      </c>
      <c r="I1551" s="7">
        <v>0.0</v>
      </c>
      <c r="J1551" s="3" t="s">
        <v>15</v>
      </c>
    </row>
    <row r="1552">
      <c r="A1552" s="3"/>
      <c r="B1552" s="3"/>
      <c r="C1552" s="3" t="s">
        <v>10</v>
      </c>
      <c r="D1552" s="4" t="s">
        <v>1320</v>
      </c>
      <c r="E1552" s="3" t="s">
        <v>1321</v>
      </c>
      <c r="F1552" s="5">
        <v>46190.819606481484</v>
      </c>
      <c r="G1552" s="5">
        <v>46190.72491898148</v>
      </c>
      <c r="H1552" s="3" t="s">
        <v>14</v>
      </c>
      <c r="I1552" s="3">
        <v>0.0</v>
      </c>
      <c r="J1552" s="3" t="s">
        <v>15</v>
      </c>
    </row>
    <row r="1553">
      <c r="A1553" s="3"/>
      <c r="B1553" s="3"/>
      <c r="C1553" s="3" t="s">
        <v>17</v>
      </c>
      <c r="D1553" s="4" t="s">
        <v>1320</v>
      </c>
      <c r="E1553" s="3" t="s">
        <v>1321</v>
      </c>
      <c r="F1553" s="5">
        <v>46190.82655092593</v>
      </c>
      <c r="G1553" s="5">
        <v>46190.72510416667</v>
      </c>
      <c r="H1553" s="3" t="s">
        <v>14</v>
      </c>
      <c r="I1553" s="7">
        <v>0.0</v>
      </c>
      <c r="J1553" s="3" t="s">
        <v>15</v>
      </c>
    </row>
    <row r="1554">
      <c r="A1554" s="3"/>
      <c r="B1554" s="3"/>
      <c r="C1554" s="3" t="s">
        <v>21</v>
      </c>
      <c r="D1554" s="4" t="s">
        <v>1320</v>
      </c>
      <c r="E1554" s="3" t="s">
        <v>1321</v>
      </c>
      <c r="F1554" s="5">
        <v>46191.53472222222</v>
      </c>
      <c r="G1554" s="5">
        <v>46191.52134259259</v>
      </c>
      <c r="H1554" s="3" t="s">
        <v>14</v>
      </c>
      <c r="I1554" s="7">
        <v>0.0</v>
      </c>
      <c r="J1554" s="3" t="s">
        <v>15</v>
      </c>
    </row>
    <row r="1555">
      <c r="A1555" s="3"/>
      <c r="B1555" s="3"/>
      <c r="C1555" s="3" t="s">
        <v>24</v>
      </c>
      <c r="D1555" s="4" t="s">
        <v>1320</v>
      </c>
      <c r="E1555" s="3" t="s">
        <v>1321</v>
      </c>
      <c r="F1555" s="5">
        <v>46192.53472222222</v>
      </c>
      <c r="G1555" s="5">
        <v>46191.709641203706</v>
      </c>
      <c r="H1555" s="3" t="s">
        <v>14</v>
      </c>
      <c r="I1555" s="7">
        <v>0.0</v>
      </c>
      <c r="J1555" s="3" t="s">
        <v>15</v>
      </c>
    </row>
    <row r="1556">
      <c r="A1556" s="3"/>
      <c r="B1556" s="3"/>
      <c r="C1556" s="3" t="s">
        <v>26</v>
      </c>
      <c r="D1556" s="4" t="s">
        <v>1320</v>
      </c>
      <c r="E1556" s="3" t="s">
        <v>1321</v>
      </c>
      <c r="F1556" s="5">
        <v>46192.57638888889</v>
      </c>
      <c r="G1556" s="5">
        <v>46191.709710648145</v>
      </c>
      <c r="H1556" s="3" t="s">
        <v>14</v>
      </c>
      <c r="I1556" s="7">
        <v>0.0</v>
      </c>
      <c r="J1556" s="3" t="s">
        <v>15</v>
      </c>
    </row>
    <row r="1557">
      <c r="A1557" s="3"/>
      <c r="B1557" s="3"/>
      <c r="C1557" s="3" t="s">
        <v>10</v>
      </c>
      <c r="D1557" s="4" t="s">
        <v>1324</v>
      </c>
      <c r="E1557" s="3" t="s">
        <v>1325</v>
      </c>
      <c r="F1557" s="5">
        <v>46191.67890046296</v>
      </c>
      <c r="G1557" s="5">
        <v>46191.513194444444</v>
      </c>
      <c r="H1557" s="3" t="s">
        <v>14</v>
      </c>
      <c r="I1557" s="3">
        <v>0.0</v>
      </c>
      <c r="J1557" s="3" t="s">
        <v>72</v>
      </c>
    </row>
    <row r="1558">
      <c r="A1558" s="3"/>
      <c r="B1558" s="3"/>
      <c r="C1558" s="3" t="s">
        <v>17</v>
      </c>
      <c r="D1558" s="4" t="s">
        <v>1324</v>
      </c>
      <c r="E1558" s="3" t="s">
        <v>1325</v>
      </c>
      <c r="F1558" s="5">
        <v>46191.685844907406</v>
      </c>
      <c r="G1558" s="5">
        <v>46191.51322916667</v>
      </c>
      <c r="H1558" s="3" t="s">
        <v>14</v>
      </c>
      <c r="I1558" s="7">
        <v>0.0</v>
      </c>
      <c r="J1558" s="3" t="s">
        <v>72</v>
      </c>
    </row>
    <row r="1559">
      <c r="A1559" s="3"/>
      <c r="B1559" s="3"/>
      <c r="C1559" s="3" t="s">
        <v>21</v>
      </c>
      <c r="D1559" s="4" t="s">
        <v>1324</v>
      </c>
      <c r="E1559" s="3" t="s">
        <v>1325</v>
      </c>
      <c r="F1559" s="5">
        <v>46191.79001157408</v>
      </c>
      <c r="G1559" s="5">
        <v>46191.51325231481</v>
      </c>
      <c r="H1559" s="3" t="s">
        <v>14</v>
      </c>
      <c r="I1559" s="7">
        <v>0.0</v>
      </c>
      <c r="J1559" s="3" t="s">
        <v>72</v>
      </c>
    </row>
    <row r="1560">
      <c r="A1560" s="3"/>
      <c r="B1560" s="3"/>
      <c r="C1560" s="3" t="s">
        <v>24</v>
      </c>
      <c r="D1560" s="4" t="s">
        <v>1324</v>
      </c>
      <c r="E1560" s="3" t="s">
        <v>1325</v>
      </c>
      <c r="F1560" s="5">
        <v>46192.78958333333</v>
      </c>
      <c r="G1560" s="5">
        <v>46191.51327546296</v>
      </c>
      <c r="H1560" s="3" t="s">
        <v>14</v>
      </c>
      <c r="I1560" s="7">
        <v>0.0</v>
      </c>
      <c r="J1560" s="3" t="s">
        <v>72</v>
      </c>
    </row>
    <row r="1561">
      <c r="A1561" s="3"/>
      <c r="B1561" s="3"/>
      <c r="C1561" s="3" t="s">
        <v>26</v>
      </c>
      <c r="D1561" s="4" t="s">
        <v>1324</v>
      </c>
      <c r="E1561" s="3" t="s">
        <v>1325</v>
      </c>
      <c r="F1561" s="5">
        <v>46192.83125</v>
      </c>
      <c r="G1561" s="5">
        <v>46192.640011574076</v>
      </c>
      <c r="H1561" s="3" t="s">
        <v>14</v>
      </c>
      <c r="I1561" s="7">
        <v>0.0</v>
      </c>
      <c r="J1561" s="3" t="s">
        <v>72</v>
      </c>
    </row>
    <row r="1562">
      <c r="A1562" s="3"/>
      <c r="B1562" s="3"/>
      <c r="C1562" s="3" t="s">
        <v>10</v>
      </c>
      <c r="D1562" s="4" t="s">
        <v>1329</v>
      </c>
      <c r="E1562" s="3" t="s">
        <v>1330</v>
      </c>
      <c r="F1562" s="5">
        <v>46191.68488425926</v>
      </c>
      <c r="G1562" s="5">
        <v>46191.521006944444</v>
      </c>
      <c r="H1562" s="3" t="s">
        <v>14</v>
      </c>
      <c r="I1562" s="3">
        <v>0.0</v>
      </c>
      <c r="J1562" s="3" t="s">
        <v>15</v>
      </c>
    </row>
    <row r="1563">
      <c r="A1563" s="3"/>
      <c r="B1563" s="3"/>
      <c r="C1563" s="3" t="s">
        <v>17</v>
      </c>
      <c r="D1563" s="4" t="s">
        <v>1329</v>
      </c>
      <c r="E1563" s="3" t="s">
        <v>1330</v>
      </c>
      <c r="F1563" s="5">
        <v>46191.691828703704</v>
      </c>
      <c r="G1563" s="5">
        <v>46191.52112268518</v>
      </c>
      <c r="H1563" s="3" t="s">
        <v>14</v>
      </c>
      <c r="I1563" s="7">
        <v>0.0</v>
      </c>
      <c r="J1563" s="3" t="s">
        <v>15</v>
      </c>
    </row>
    <row r="1564">
      <c r="A1564" s="3"/>
      <c r="B1564" s="3"/>
      <c r="C1564" s="3" t="s">
        <v>21</v>
      </c>
      <c r="D1564" s="4" t="s">
        <v>1329</v>
      </c>
      <c r="E1564" s="3" t="s">
        <v>1330</v>
      </c>
      <c r="F1564" s="5">
        <v>46191.79599537037</v>
      </c>
      <c r="G1564" s="5">
        <v>46191.521365740744</v>
      </c>
      <c r="H1564" s="3" t="s">
        <v>14</v>
      </c>
      <c r="I1564" s="7">
        <v>0.0</v>
      </c>
      <c r="J1564" s="3" t="s">
        <v>15</v>
      </c>
    </row>
    <row r="1565">
      <c r="A1565" s="3"/>
      <c r="B1565" s="3"/>
      <c r="C1565" s="3" t="s">
        <v>24</v>
      </c>
      <c r="D1565" s="4" t="s">
        <v>1329</v>
      </c>
      <c r="E1565" s="3" t="s">
        <v>1330</v>
      </c>
      <c r="F1565" s="5">
        <v>46192.79583333333</v>
      </c>
      <c r="G1565" s="5">
        <v>46191.53270833333</v>
      </c>
      <c r="H1565" s="3" t="s">
        <v>14</v>
      </c>
      <c r="I1565" s="7">
        <v>0.0</v>
      </c>
      <c r="J1565" s="3" t="s">
        <v>15</v>
      </c>
    </row>
    <row r="1566">
      <c r="A1566" s="3"/>
      <c r="B1566" s="3"/>
      <c r="C1566" s="3" t="s">
        <v>26</v>
      </c>
      <c r="D1566" s="4" t="s">
        <v>1329</v>
      </c>
      <c r="E1566" s="3" t="s">
        <v>1330</v>
      </c>
      <c r="F1566" s="5">
        <v>46193.42083333333</v>
      </c>
      <c r="G1566" s="5">
        <v>46191.53275462963</v>
      </c>
      <c r="H1566" s="3" t="s">
        <v>14</v>
      </c>
      <c r="I1566" s="7">
        <v>0.0</v>
      </c>
      <c r="J1566" s="3" t="s">
        <v>15</v>
      </c>
    </row>
    <row r="1567">
      <c r="A1567" s="3"/>
      <c r="B1567" s="3"/>
      <c r="C1567" s="3" t="s">
        <v>10</v>
      </c>
      <c r="D1567" s="4" t="s">
        <v>1332</v>
      </c>
      <c r="E1567" s="3" t="s">
        <v>1334</v>
      </c>
      <c r="F1567" s="5">
        <v>46192.64722222222</v>
      </c>
      <c r="G1567" s="5">
        <v>46192.49039351852</v>
      </c>
      <c r="H1567" s="3" t="s">
        <v>14</v>
      </c>
      <c r="I1567" s="3">
        <v>0.0</v>
      </c>
      <c r="J1567" s="3" t="s">
        <v>72</v>
      </c>
    </row>
    <row r="1568">
      <c r="A1568" s="3"/>
      <c r="B1568" s="3"/>
      <c r="C1568" s="3" t="s">
        <v>17</v>
      </c>
      <c r="D1568" s="4" t="s">
        <v>1332</v>
      </c>
      <c r="E1568" s="3" t="s">
        <v>1334</v>
      </c>
      <c r="F1568" s="5">
        <v>46192.65416666667</v>
      </c>
      <c r="G1568" s="5">
        <v>46192.49048611111</v>
      </c>
      <c r="H1568" s="3" t="s">
        <v>14</v>
      </c>
      <c r="I1568" s="7">
        <v>0.0</v>
      </c>
      <c r="J1568" s="3" t="s">
        <v>72</v>
      </c>
    </row>
    <row r="1569">
      <c r="A1569" s="3"/>
      <c r="B1569" s="3"/>
      <c r="C1569" s="3" t="s">
        <v>21</v>
      </c>
      <c r="D1569" s="4" t="s">
        <v>1332</v>
      </c>
      <c r="E1569" s="3" t="s">
        <v>1334</v>
      </c>
      <c r="F1569" s="5">
        <v>46192.75833333333</v>
      </c>
      <c r="G1569" s="5">
        <v>46192.51565972222</v>
      </c>
      <c r="H1569" s="3" t="s">
        <v>14</v>
      </c>
      <c r="I1569" s="7">
        <v>0.0</v>
      </c>
      <c r="J1569" s="3" t="s">
        <v>72</v>
      </c>
    </row>
    <row r="1570">
      <c r="A1570" s="3"/>
      <c r="B1570" s="3"/>
      <c r="C1570" s="3" t="s">
        <v>24</v>
      </c>
      <c r="D1570" s="4" t="s">
        <v>1332</v>
      </c>
      <c r="E1570" s="3" t="s">
        <v>1334</v>
      </c>
      <c r="F1570" s="5">
        <v>46193.75833333333</v>
      </c>
      <c r="G1570" s="5">
        <v>46192.51572916667</v>
      </c>
      <c r="H1570" s="3" t="s">
        <v>14</v>
      </c>
      <c r="I1570" s="7">
        <v>0.0</v>
      </c>
      <c r="J1570" s="3" t="s">
        <v>72</v>
      </c>
    </row>
    <row r="1571">
      <c r="A1571" s="3"/>
      <c r="B1571" s="3"/>
      <c r="C1571" s="3" t="s">
        <v>26</v>
      </c>
      <c r="D1571" s="4" t="s">
        <v>1332</v>
      </c>
      <c r="E1571" s="3" t="s">
        <v>1334</v>
      </c>
      <c r="F1571" s="5">
        <v>46195.46666666667</v>
      </c>
      <c r="G1571" s="5">
        <v>46193.65237268519</v>
      </c>
      <c r="H1571" s="3" t="s">
        <v>14</v>
      </c>
      <c r="I1571" s="7">
        <v>0.0</v>
      </c>
      <c r="J1571" s="3" t="s">
        <v>72</v>
      </c>
    </row>
    <row r="1572">
      <c r="A1572" s="3"/>
      <c r="B1572" s="3"/>
      <c r="C1572" s="3" t="s">
        <v>10</v>
      </c>
      <c r="D1572" s="4" t="s">
        <v>1338</v>
      </c>
      <c r="E1572" s="3" t="s">
        <v>1339</v>
      </c>
      <c r="F1572" s="5">
        <v>46192.778715277775</v>
      </c>
      <c r="G1572" s="5">
        <v>46192.614699074074</v>
      </c>
      <c r="H1572" s="3" t="s">
        <v>14</v>
      </c>
      <c r="I1572" s="3">
        <v>0.0</v>
      </c>
      <c r="J1572" s="3" t="s">
        <v>15</v>
      </c>
    </row>
    <row r="1573">
      <c r="A1573" s="3"/>
      <c r="B1573" s="3"/>
      <c r="C1573" s="3" t="s">
        <v>17</v>
      </c>
      <c r="D1573" s="4" t="s">
        <v>1338</v>
      </c>
      <c r="E1573" s="3" t="s">
        <v>1339</v>
      </c>
      <c r="F1573" s="5">
        <v>46192.78565972222</v>
      </c>
      <c r="G1573" s="5">
        <v>46192.614803240744</v>
      </c>
      <c r="H1573" s="3" t="s">
        <v>14</v>
      </c>
      <c r="I1573" s="7">
        <v>0.0</v>
      </c>
      <c r="J1573" s="3" t="s">
        <v>15</v>
      </c>
    </row>
    <row r="1574">
      <c r="A1574" s="3"/>
      <c r="B1574" s="3"/>
      <c r="C1574" s="3" t="s">
        <v>21</v>
      </c>
      <c r="D1574" s="4" t="s">
        <v>1338</v>
      </c>
      <c r="E1574" s="3" t="s">
        <v>1339</v>
      </c>
      <c r="F1574" s="5">
        <v>46193.49375</v>
      </c>
      <c r="G1574" s="5">
        <v>46192.614895833336</v>
      </c>
      <c r="H1574" s="3" t="s">
        <v>14</v>
      </c>
      <c r="I1574" s="7">
        <v>0.0</v>
      </c>
      <c r="J1574" s="3" t="s">
        <v>15</v>
      </c>
    </row>
    <row r="1575">
      <c r="A1575" s="3"/>
      <c r="B1575" s="3"/>
      <c r="C1575" s="3" t="s">
        <v>24</v>
      </c>
      <c r="D1575" s="4" t="s">
        <v>1338</v>
      </c>
      <c r="E1575" s="3" t="s">
        <v>1339</v>
      </c>
      <c r="F1575" s="5">
        <v>46195.49375</v>
      </c>
      <c r="G1575" s="5">
        <v>46192.6674537037</v>
      </c>
      <c r="H1575" s="3" t="s">
        <v>14</v>
      </c>
      <c r="I1575" s="7">
        <v>0.0</v>
      </c>
      <c r="J1575" s="3" t="s">
        <v>15</v>
      </c>
    </row>
    <row r="1576">
      <c r="A1576" s="3"/>
      <c r="B1576" s="3"/>
      <c r="C1576" s="3" t="s">
        <v>26</v>
      </c>
      <c r="D1576" s="4" t="s">
        <v>1338</v>
      </c>
      <c r="E1576" s="3" t="s">
        <v>1339</v>
      </c>
      <c r="F1576" s="5">
        <v>46195.535416666666</v>
      </c>
      <c r="G1576" s="5">
        <v>46192.66748842593</v>
      </c>
      <c r="H1576" s="3" t="s">
        <v>14</v>
      </c>
      <c r="I1576" s="7">
        <v>0.0</v>
      </c>
      <c r="J1576" s="3" t="s">
        <v>15</v>
      </c>
    </row>
    <row r="1577">
      <c r="A1577" s="3"/>
      <c r="B1577" s="3"/>
      <c r="C1577" s="3" t="s">
        <v>10</v>
      </c>
      <c r="D1577" s="4" t="s">
        <v>1342</v>
      </c>
      <c r="E1577" s="3" t="s">
        <v>1343</v>
      </c>
      <c r="F1577" s="5">
        <v>46193.44930555556</v>
      </c>
      <c r="G1577" s="5">
        <v>46192.75038194445</v>
      </c>
      <c r="H1577" s="3" t="s">
        <v>14</v>
      </c>
      <c r="I1577" s="3">
        <v>0.0</v>
      </c>
      <c r="J1577" s="3" t="s">
        <v>15</v>
      </c>
    </row>
    <row r="1578">
      <c r="A1578" s="3"/>
      <c r="B1578" s="3"/>
      <c r="C1578" s="3" t="s">
        <v>17</v>
      </c>
      <c r="D1578" s="4" t="s">
        <v>1342</v>
      </c>
      <c r="E1578" s="3" t="s">
        <v>1343</v>
      </c>
      <c r="F1578" s="5">
        <v>46193.45625</v>
      </c>
      <c r="G1578" s="5">
        <v>46192.75053240741</v>
      </c>
      <c r="H1578" s="3" t="s">
        <v>14</v>
      </c>
      <c r="I1578" s="7">
        <v>0.0</v>
      </c>
      <c r="J1578" s="3" t="s">
        <v>15</v>
      </c>
    </row>
    <row r="1579">
      <c r="A1579" s="3"/>
      <c r="B1579" s="3"/>
      <c r="C1579" s="3" t="s">
        <v>21</v>
      </c>
      <c r="D1579" s="4" t="s">
        <v>1342</v>
      </c>
      <c r="E1579" s="3" t="s">
        <v>1343</v>
      </c>
      <c r="F1579" s="5">
        <v>46193.56041666667</v>
      </c>
      <c r="G1579" s="5">
        <v>46192.750625</v>
      </c>
      <c r="H1579" s="3" t="s">
        <v>14</v>
      </c>
      <c r="I1579" s="7">
        <v>0.0</v>
      </c>
      <c r="J1579" s="3" t="s">
        <v>15</v>
      </c>
    </row>
    <row r="1580">
      <c r="A1580" s="3"/>
      <c r="B1580" s="3"/>
      <c r="C1580" s="3" t="s">
        <v>24</v>
      </c>
      <c r="D1580" s="4" t="s">
        <v>1342</v>
      </c>
      <c r="E1580" s="3" t="s">
        <v>1343</v>
      </c>
      <c r="F1580" s="5">
        <v>46195.56041666667</v>
      </c>
      <c r="G1580" s="5">
        <v>46192.79033564815</v>
      </c>
      <c r="H1580" s="3" t="s">
        <v>14</v>
      </c>
      <c r="I1580" s="7">
        <v>0.0</v>
      </c>
      <c r="J1580" s="3" t="s">
        <v>15</v>
      </c>
    </row>
    <row r="1581">
      <c r="A1581" s="3"/>
      <c r="B1581" s="3"/>
      <c r="C1581" s="3" t="s">
        <v>26</v>
      </c>
      <c r="D1581" s="4" t="s">
        <v>1342</v>
      </c>
      <c r="E1581" s="3" t="s">
        <v>1343</v>
      </c>
      <c r="F1581" s="5">
        <v>46195.60208333333</v>
      </c>
      <c r="G1581" s="5">
        <v>46192.79039351852</v>
      </c>
      <c r="H1581" s="3" t="s">
        <v>14</v>
      </c>
      <c r="I1581" s="7">
        <v>0.0</v>
      </c>
      <c r="J1581" s="3" t="s">
        <v>15</v>
      </c>
    </row>
    <row r="1582">
      <c r="A1582" s="3"/>
      <c r="B1582" s="3"/>
      <c r="C1582" s="3" t="s">
        <v>10</v>
      </c>
      <c r="D1582" s="4" t="s">
        <v>1346</v>
      </c>
      <c r="E1582" s="3" t="s">
        <v>1347</v>
      </c>
      <c r="F1582" s="5">
        <v>46193.475694444445</v>
      </c>
      <c r="G1582" s="5">
        <v>46192.75040509259</v>
      </c>
      <c r="H1582" s="3" t="s">
        <v>14</v>
      </c>
      <c r="I1582" s="3">
        <v>0.0</v>
      </c>
      <c r="J1582" s="3" t="s">
        <v>15</v>
      </c>
    </row>
    <row r="1583">
      <c r="A1583" s="3"/>
      <c r="B1583" s="3"/>
      <c r="C1583" s="3" t="s">
        <v>17</v>
      </c>
      <c r="D1583" s="4" t="s">
        <v>1346</v>
      </c>
      <c r="E1583" s="3" t="s">
        <v>1347</v>
      </c>
      <c r="F1583" s="5">
        <v>46193.48263888889</v>
      </c>
      <c r="G1583" s="5">
        <v>46192.750555555554</v>
      </c>
      <c r="H1583" s="3" t="s">
        <v>14</v>
      </c>
      <c r="I1583" s="7">
        <v>0.0</v>
      </c>
      <c r="J1583" s="3" t="s">
        <v>15</v>
      </c>
    </row>
    <row r="1584">
      <c r="A1584" s="3"/>
      <c r="B1584" s="3"/>
      <c r="C1584" s="3" t="s">
        <v>21</v>
      </c>
      <c r="D1584" s="4" t="s">
        <v>1346</v>
      </c>
      <c r="E1584" s="3" t="s">
        <v>1347</v>
      </c>
      <c r="F1584" s="5">
        <v>46193.586805555555</v>
      </c>
      <c r="G1584" s="5">
        <v>46192.75064814815</v>
      </c>
      <c r="H1584" s="3" t="s">
        <v>14</v>
      </c>
      <c r="I1584" s="7">
        <v>0.0</v>
      </c>
      <c r="J1584" s="3" t="s">
        <v>15</v>
      </c>
    </row>
    <row r="1585">
      <c r="A1585" s="3"/>
      <c r="B1585" s="3"/>
      <c r="C1585" s="3" t="s">
        <v>24</v>
      </c>
      <c r="D1585" s="4" t="s">
        <v>1346</v>
      </c>
      <c r="E1585" s="3" t="s">
        <v>1347</v>
      </c>
      <c r="F1585" s="5">
        <v>46195.586805555555</v>
      </c>
      <c r="G1585" s="5">
        <v>46192.790347222224</v>
      </c>
      <c r="H1585" s="3" t="s">
        <v>14</v>
      </c>
      <c r="I1585" s="7">
        <v>0.0</v>
      </c>
      <c r="J1585" s="3" t="s">
        <v>15</v>
      </c>
    </row>
    <row r="1586">
      <c r="A1586" s="3"/>
      <c r="B1586" s="3"/>
      <c r="C1586" s="3" t="s">
        <v>26</v>
      </c>
      <c r="D1586" s="4" t="s">
        <v>1346</v>
      </c>
      <c r="E1586" s="3" t="s">
        <v>1347</v>
      </c>
      <c r="F1586" s="5">
        <v>46195.62847222222</v>
      </c>
      <c r="G1586" s="5">
        <v>46192.79041666666</v>
      </c>
      <c r="H1586" s="3" t="s">
        <v>14</v>
      </c>
      <c r="I1586" s="7">
        <v>0.0</v>
      </c>
      <c r="J1586" s="3" t="s">
        <v>15</v>
      </c>
    </row>
    <row r="1587">
      <c r="A1587" s="3"/>
      <c r="B1587" s="3"/>
      <c r="C1587" s="3" t="s">
        <v>10</v>
      </c>
      <c r="D1587" s="4" t="s">
        <v>1351</v>
      </c>
      <c r="E1587" s="3" t="s">
        <v>1352</v>
      </c>
      <c r="F1587" s="5">
        <v>46193.71199074074</v>
      </c>
      <c r="G1587" s="5">
        <v>46193.55734953703</v>
      </c>
      <c r="H1587" s="3" t="s">
        <v>14</v>
      </c>
      <c r="I1587" s="3">
        <v>0.0</v>
      </c>
      <c r="J1587" s="3" t="s">
        <v>72</v>
      </c>
    </row>
    <row r="1588">
      <c r="A1588" s="3"/>
      <c r="B1588" s="3"/>
      <c r="C1588" s="3" t="s">
        <v>17</v>
      </c>
      <c r="D1588" s="4" t="s">
        <v>1351</v>
      </c>
      <c r="E1588" s="3" t="s">
        <v>1352</v>
      </c>
      <c r="F1588" s="5">
        <v>46193.718935185185</v>
      </c>
      <c r="G1588" s="5">
        <v>46193.557488425926</v>
      </c>
      <c r="H1588" s="3" t="s">
        <v>14</v>
      </c>
      <c r="I1588" s="7">
        <v>0.0</v>
      </c>
      <c r="J1588" s="3" t="s">
        <v>72</v>
      </c>
    </row>
    <row r="1589">
      <c r="A1589" s="3"/>
      <c r="B1589" s="3"/>
      <c r="C1589" s="3" t="s">
        <v>21</v>
      </c>
      <c r="D1589" s="4" t="s">
        <v>1351</v>
      </c>
      <c r="E1589" s="3" t="s">
        <v>1352</v>
      </c>
      <c r="F1589" s="5">
        <v>46193.82310185185</v>
      </c>
      <c r="G1589" s="5">
        <v>46193.557546296295</v>
      </c>
      <c r="H1589" s="3" t="s">
        <v>14</v>
      </c>
      <c r="I1589" s="7">
        <v>0.0</v>
      </c>
      <c r="J1589" s="3" t="s">
        <v>72</v>
      </c>
    </row>
    <row r="1590">
      <c r="A1590" s="3"/>
      <c r="B1590" s="3"/>
      <c r="C1590" s="3" t="s">
        <v>24</v>
      </c>
      <c r="D1590" s="4" t="s">
        <v>1351</v>
      </c>
      <c r="E1590" s="3" t="s">
        <v>1352</v>
      </c>
      <c r="F1590" s="5">
        <v>46195.822916666664</v>
      </c>
      <c r="G1590" s="5">
        <v>46193.652650462966</v>
      </c>
      <c r="H1590" s="3" t="s">
        <v>14</v>
      </c>
      <c r="I1590" s="7">
        <v>0.0</v>
      </c>
      <c r="J1590" s="3" t="s">
        <v>72</v>
      </c>
    </row>
    <row r="1591">
      <c r="A1591" s="3"/>
      <c r="B1591" s="3"/>
      <c r="C1591" s="3" t="s">
        <v>26</v>
      </c>
      <c r="D1591" s="4" t="s">
        <v>1351</v>
      </c>
      <c r="E1591" s="3" t="s">
        <v>1352</v>
      </c>
      <c r="F1591" s="5">
        <v>46196.447916666664</v>
      </c>
      <c r="G1591" s="5">
        <v>46195.48149305556</v>
      </c>
      <c r="H1591" s="3" t="s">
        <v>14</v>
      </c>
      <c r="I1591" s="7">
        <v>0.0</v>
      </c>
      <c r="J1591" s="3" t="s">
        <v>72</v>
      </c>
    </row>
    <row r="1592">
      <c r="A1592" s="3"/>
      <c r="B1592" s="3"/>
      <c r="C1592" s="3" t="s">
        <v>10</v>
      </c>
      <c r="D1592" s="4" t="s">
        <v>1357</v>
      </c>
      <c r="E1592" s="3" t="s">
        <v>1358</v>
      </c>
      <c r="F1592" s="5">
        <v>46193.727488425924</v>
      </c>
      <c r="G1592" s="5">
        <v>46193.6525</v>
      </c>
      <c r="H1592" s="3" t="s">
        <v>14</v>
      </c>
      <c r="I1592" s="3">
        <v>0.0</v>
      </c>
      <c r="J1592" s="3" t="s">
        <v>72</v>
      </c>
    </row>
    <row r="1593">
      <c r="A1593" s="3"/>
      <c r="B1593" s="3"/>
      <c r="C1593" s="3" t="s">
        <v>17</v>
      </c>
      <c r="D1593" s="4" t="s">
        <v>1357</v>
      </c>
      <c r="E1593" s="3" t="s">
        <v>1358</v>
      </c>
      <c r="F1593" s="5">
        <v>46193.73443287037</v>
      </c>
      <c r="G1593" s="5">
        <v>46193.65255787037</v>
      </c>
      <c r="H1593" s="3" t="s">
        <v>14</v>
      </c>
      <c r="I1593" s="7">
        <v>0.0</v>
      </c>
      <c r="J1593" s="3" t="s">
        <v>72</v>
      </c>
    </row>
    <row r="1594">
      <c r="A1594" s="3"/>
      <c r="B1594" s="3"/>
      <c r="C1594" s="3" t="s">
        <v>21</v>
      </c>
      <c r="D1594" s="4" t="s">
        <v>1357</v>
      </c>
      <c r="E1594" s="3" t="s">
        <v>1358</v>
      </c>
      <c r="F1594" s="5">
        <v>46195.44236111111</v>
      </c>
      <c r="G1594" s="5">
        <v>46193.652604166666</v>
      </c>
      <c r="H1594" s="3" t="s">
        <v>14</v>
      </c>
      <c r="I1594" s="7">
        <v>0.0</v>
      </c>
      <c r="J1594" s="3" t="s">
        <v>72</v>
      </c>
    </row>
    <row r="1595">
      <c r="A1595" s="3"/>
      <c r="B1595" s="3"/>
      <c r="C1595" s="3" t="s">
        <v>24</v>
      </c>
      <c r="D1595" s="4" t="s">
        <v>1357</v>
      </c>
      <c r="E1595" s="3" t="s">
        <v>1358</v>
      </c>
      <c r="F1595" s="5">
        <v>46196.44236111111</v>
      </c>
      <c r="G1595" s="5">
        <v>46193.652650462966</v>
      </c>
      <c r="H1595" s="3" t="s">
        <v>14</v>
      </c>
      <c r="I1595" s="7">
        <v>0.0</v>
      </c>
      <c r="J1595" s="3" t="s">
        <v>72</v>
      </c>
    </row>
    <row r="1596">
      <c r="A1596" s="3"/>
      <c r="B1596" s="3"/>
      <c r="C1596" s="3" t="s">
        <v>26</v>
      </c>
      <c r="D1596" s="4" t="s">
        <v>1357</v>
      </c>
      <c r="E1596" s="3" t="s">
        <v>1358</v>
      </c>
      <c r="F1596" s="5">
        <v>46196.48402777778</v>
      </c>
      <c r="G1596" s="5">
        <v>46195.48153935185</v>
      </c>
      <c r="H1596" s="3" t="s">
        <v>14</v>
      </c>
      <c r="I1596" s="7">
        <v>0.0</v>
      </c>
      <c r="J1596" s="3" t="s">
        <v>72</v>
      </c>
    </row>
    <row r="1597">
      <c r="A1597" s="3"/>
      <c r="B1597" s="3"/>
      <c r="C1597" s="3" t="s">
        <v>10</v>
      </c>
      <c r="D1597" s="4" t="s">
        <v>1362</v>
      </c>
      <c r="E1597" s="3" t="s">
        <v>142</v>
      </c>
      <c r="F1597" s="5">
        <v>46193.82745370371</v>
      </c>
      <c r="G1597" s="5">
        <v>46193.69803240741</v>
      </c>
      <c r="H1597" s="3" t="s">
        <v>14</v>
      </c>
      <c r="I1597" s="3">
        <v>0.0</v>
      </c>
      <c r="J1597" s="3" t="s">
        <v>15</v>
      </c>
    </row>
    <row r="1598">
      <c r="A1598" s="3"/>
      <c r="B1598" s="3"/>
      <c r="C1598" s="3" t="s">
        <v>17</v>
      </c>
      <c r="D1598" s="4" t="s">
        <v>1362</v>
      </c>
      <c r="E1598" s="3" t="s">
        <v>142</v>
      </c>
      <c r="F1598" s="5">
        <v>46195.45208333333</v>
      </c>
      <c r="G1598" s="5">
        <v>46193.6983912037</v>
      </c>
      <c r="H1598" s="3" t="s">
        <v>14</v>
      </c>
      <c r="I1598" s="7">
        <v>0.0</v>
      </c>
      <c r="J1598" s="3" t="s">
        <v>15</v>
      </c>
    </row>
    <row r="1599">
      <c r="A1599" s="3"/>
      <c r="B1599" s="3"/>
      <c r="C1599" s="3" t="s">
        <v>21</v>
      </c>
      <c r="D1599" s="4" t="s">
        <v>1362</v>
      </c>
      <c r="E1599" s="3" t="s">
        <v>142</v>
      </c>
      <c r="F1599" s="5">
        <v>46195.55625</v>
      </c>
      <c r="G1599" s="5">
        <v>46193.698599537034</v>
      </c>
      <c r="H1599" s="3" t="s">
        <v>14</v>
      </c>
      <c r="I1599" s="7">
        <v>0.0</v>
      </c>
      <c r="J1599" s="3" t="s">
        <v>15</v>
      </c>
    </row>
    <row r="1600">
      <c r="A1600" s="3"/>
      <c r="B1600" s="3"/>
      <c r="C1600" s="3" t="s">
        <v>24</v>
      </c>
      <c r="D1600" s="4" t="s">
        <v>1362</v>
      </c>
      <c r="E1600" s="3" t="s">
        <v>142</v>
      </c>
      <c r="F1600" s="5">
        <v>46196.55625</v>
      </c>
      <c r="G1600" s="5">
        <v>46195.50152777778</v>
      </c>
      <c r="H1600" s="3" t="s">
        <v>14</v>
      </c>
      <c r="I1600" s="7">
        <v>0.0</v>
      </c>
      <c r="J1600" s="3" t="s">
        <v>15</v>
      </c>
    </row>
    <row r="1601">
      <c r="A1601" s="3"/>
      <c r="B1601" s="3"/>
      <c r="C1601" s="3" t="s">
        <v>26</v>
      </c>
      <c r="D1601" s="4" t="s">
        <v>1362</v>
      </c>
      <c r="E1601" s="3" t="s">
        <v>142</v>
      </c>
      <c r="F1601" s="5">
        <v>46196.597916666666</v>
      </c>
      <c r="G1601" s="5">
        <v>46195.50163194445</v>
      </c>
      <c r="H1601" s="3" t="s">
        <v>14</v>
      </c>
      <c r="I1601" s="7">
        <v>0.0</v>
      </c>
      <c r="J1601" s="3" t="s">
        <v>15</v>
      </c>
    </row>
    <row r="1602">
      <c r="A1602" s="3"/>
      <c r="B1602" s="3"/>
      <c r="C1602" s="3" t="s">
        <v>10</v>
      </c>
      <c r="D1602" s="4" t="s">
        <v>1366</v>
      </c>
      <c r="E1602" s="3" t="s">
        <v>142</v>
      </c>
      <c r="F1602" s="5">
        <v>46193.82826388889</v>
      </c>
      <c r="G1602" s="5">
        <v>46193.69805555556</v>
      </c>
      <c r="H1602" s="3" t="s">
        <v>14</v>
      </c>
      <c r="I1602" s="3">
        <v>0.0</v>
      </c>
      <c r="J1602" s="3" t="s">
        <v>15</v>
      </c>
    </row>
    <row r="1603">
      <c r="A1603" s="3"/>
      <c r="B1603" s="3"/>
      <c r="C1603" s="3" t="s">
        <v>17</v>
      </c>
      <c r="D1603" s="4" t="s">
        <v>1366</v>
      </c>
      <c r="E1603" s="3" t="s">
        <v>142</v>
      </c>
      <c r="F1603" s="5">
        <v>46195.45277777778</v>
      </c>
      <c r="G1603" s="5">
        <v>46193.69846064815</v>
      </c>
      <c r="H1603" s="3" t="s">
        <v>14</v>
      </c>
      <c r="I1603" s="7">
        <v>0.0</v>
      </c>
      <c r="J1603" s="3" t="s">
        <v>15</v>
      </c>
    </row>
    <row r="1604">
      <c r="A1604" s="3"/>
      <c r="B1604" s="3"/>
      <c r="C1604" s="3" t="s">
        <v>21</v>
      </c>
      <c r="D1604" s="4" t="s">
        <v>1366</v>
      </c>
      <c r="E1604" s="3" t="s">
        <v>142</v>
      </c>
      <c r="F1604" s="5">
        <v>46195.55694444444</v>
      </c>
      <c r="G1604" s="5">
        <v>46193.69862268519</v>
      </c>
      <c r="H1604" s="3" t="s">
        <v>14</v>
      </c>
      <c r="I1604" s="7">
        <v>0.0</v>
      </c>
      <c r="J1604" s="3" t="s">
        <v>15</v>
      </c>
    </row>
    <row r="1605">
      <c r="A1605" s="3"/>
      <c r="B1605" s="3"/>
      <c r="C1605" s="3" t="s">
        <v>24</v>
      </c>
      <c r="D1605" s="4" t="s">
        <v>1366</v>
      </c>
      <c r="E1605" s="3" t="s">
        <v>142</v>
      </c>
      <c r="F1605" s="5">
        <v>46196.55694444444</v>
      </c>
      <c r="G1605" s="5">
        <v>46195.501539351855</v>
      </c>
      <c r="H1605" s="3" t="s">
        <v>14</v>
      </c>
      <c r="I1605" s="7">
        <v>0.0</v>
      </c>
      <c r="J1605" s="3" t="s">
        <v>15</v>
      </c>
    </row>
    <row r="1606">
      <c r="A1606" s="3"/>
      <c r="B1606" s="3"/>
      <c r="C1606" s="3" t="s">
        <v>26</v>
      </c>
      <c r="D1606" s="4" t="s">
        <v>1366</v>
      </c>
      <c r="E1606" s="3" t="s">
        <v>142</v>
      </c>
      <c r="F1606" s="5">
        <v>46196.59861111111</v>
      </c>
      <c r="G1606" s="5">
        <v>46195.50166666666</v>
      </c>
      <c r="H1606" s="3" t="s">
        <v>14</v>
      </c>
      <c r="I1606" s="7">
        <v>0.0</v>
      </c>
      <c r="J1606" s="3" t="s">
        <v>15</v>
      </c>
    </row>
    <row r="1607">
      <c r="A1607" s="3"/>
      <c r="B1607" s="3"/>
      <c r="C1607" s="3" t="s">
        <v>10</v>
      </c>
      <c r="D1607" s="4" t="s">
        <v>1369</v>
      </c>
      <c r="E1607" s="3" t="s">
        <v>142</v>
      </c>
      <c r="F1607" s="5">
        <v>46193.82913194445</v>
      </c>
      <c r="G1607" s="5">
        <v>46193.698067129626</v>
      </c>
      <c r="H1607" s="3" t="s">
        <v>14</v>
      </c>
      <c r="I1607" s="3">
        <v>0.0</v>
      </c>
      <c r="J1607" s="3" t="s">
        <v>15</v>
      </c>
    </row>
    <row r="1608">
      <c r="A1608" s="3"/>
      <c r="B1608" s="3"/>
      <c r="C1608" s="3" t="s">
        <v>17</v>
      </c>
      <c r="D1608" s="4" t="s">
        <v>1369</v>
      </c>
      <c r="E1608" s="3" t="s">
        <v>142</v>
      </c>
      <c r="F1608" s="5">
        <v>46195.45347222222</v>
      </c>
      <c r="G1608" s="5">
        <v>46193.69850694444</v>
      </c>
      <c r="H1608" s="3" t="s">
        <v>14</v>
      </c>
      <c r="I1608" s="7">
        <v>0.0</v>
      </c>
      <c r="J1608" s="3" t="s">
        <v>15</v>
      </c>
    </row>
    <row r="1609">
      <c r="A1609" s="3"/>
      <c r="B1609" s="3"/>
      <c r="C1609" s="3" t="s">
        <v>21</v>
      </c>
      <c r="D1609" s="4" t="s">
        <v>1369</v>
      </c>
      <c r="E1609" s="3" t="s">
        <v>142</v>
      </c>
      <c r="F1609" s="5">
        <v>46195.55763888889</v>
      </c>
      <c r="G1609" s="5">
        <v>46193.69865740741</v>
      </c>
      <c r="H1609" s="3" t="s">
        <v>14</v>
      </c>
      <c r="I1609" s="7">
        <v>0.0</v>
      </c>
      <c r="J1609" s="3" t="s">
        <v>15</v>
      </c>
    </row>
    <row r="1610">
      <c r="A1610" s="3"/>
      <c r="B1610" s="3"/>
      <c r="C1610" s="3" t="s">
        <v>24</v>
      </c>
      <c r="D1610" s="4" t="s">
        <v>1369</v>
      </c>
      <c r="E1610" s="3" t="s">
        <v>142</v>
      </c>
      <c r="F1610" s="5">
        <v>46196.55763888889</v>
      </c>
      <c r="G1610" s="5">
        <v>46195.50157407407</v>
      </c>
      <c r="H1610" s="3" t="s">
        <v>14</v>
      </c>
      <c r="I1610" s="7">
        <v>0.0</v>
      </c>
      <c r="J1610" s="3" t="s">
        <v>15</v>
      </c>
    </row>
    <row r="1611">
      <c r="A1611" s="3"/>
      <c r="B1611" s="3"/>
      <c r="C1611" s="3" t="s">
        <v>26</v>
      </c>
      <c r="D1611" s="4" t="s">
        <v>1369</v>
      </c>
      <c r="E1611" s="3" t="s">
        <v>142</v>
      </c>
      <c r="F1611" s="5">
        <v>46196.59930555556</v>
      </c>
      <c r="G1611" s="5">
        <v>46195.50170138889</v>
      </c>
      <c r="H1611" s="3" t="s">
        <v>14</v>
      </c>
      <c r="I1611" s="7">
        <v>0.0</v>
      </c>
      <c r="J1611" s="3" t="s">
        <v>15</v>
      </c>
    </row>
    <row r="1612">
      <c r="A1612" s="3"/>
      <c r="B1612" s="3"/>
      <c r="C1612" s="3" t="s">
        <v>10</v>
      </c>
      <c r="D1612" s="4" t="s">
        <v>1372</v>
      </c>
      <c r="E1612" s="3" t="s">
        <v>1373</v>
      </c>
      <c r="F1612" s="5">
        <v>46195.691087962965</v>
      </c>
      <c r="G1612" s="5">
        <v>46195.61792824074</v>
      </c>
      <c r="H1612" s="3" t="s">
        <v>14</v>
      </c>
      <c r="I1612" s="3">
        <v>0.0</v>
      </c>
      <c r="J1612" s="3" t="s">
        <v>72</v>
      </c>
    </row>
    <row r="1613">
      <c r="A1613" s="3"/>
      <c r="B1613" s="3"/>
      <c r="C1613" s="3" t="s">
        <v>17</v>
      </c>
      <c r="D1613" s="4" t="s">
        <v>1372</v>
      </c>
      <c r="E1613" s="3" t="s">
        <v>1373</v>
      </c>
      <c r="F1613" s="5">
        <v>46195.69803240741</v>
      </c>
      <c r="G1613" s="5">
        <v>46195.618055555555</v>
      </c>
      <c r="H1613" s="3" t="s">
        <v>14</v>
      </c>
      <c r="I1613" s="7">
        <v>0.0</v>
      </c>
      <c r="J1613" s="3" t="s">
        <v>72</v>
      </c>
    </row>
    <row r="1614">
      <c r="A1614" s="3"/>
      <c r="B1614" s="3"/>
      <c r="C1614" s="3" t="s">
        <v>21</v>
      </c>
      <c r="D1614" s="4" t="s">
        <v>1372</v>
      </c>
      <c r="E1614" s="3" t="s">
        <v>1373</v>
      </c>
      <c r="F1614" s="5">
        <v>46195.802199074074</v>
      </c>
      <c r="G1614" s="5">
        <v>46195.618125</v>
      </c>
      <c r="H1614" s="3" t="s">
        <v>14</v>
      </c>
      <c r="I1614" s="7">
        <v>0.0</v>
      </c>
      <c r="J1614" s="3" t="s">
        <v>72</v>
      </c>
    </row>
    <row r="1615">
      <c r="A1615" s="3"/>
      <c r="B1615" s="3"/>
      <c r="C1615" s="3" t="s">
        <v>24</v>
      </c>
      <c r="D1615" s="4" t="s">
        <v>1372</v>
      </c>
      <c r="E1615" s="3" t="s">
        <v>1373</v>
      </c>
      <c r="F1615" s="5">
        <v>46196.802083333336</v>
      </c>
      <c r="G1615" s="5">
        <v>46196.559965277775</v>
      </c>
      <c r="H1615" s="3" t="s">
        <v>14</v>
      </c>
      <c r="I1615" s="7">
        <v>0.0</v>
      </c>
      <c r="J1615" s="3" t="s">
        <v>72</v>
      </c>
    </row>
    <row r="1616">
      <c r="A1616" s="3"/>
      <c r="B1616" s="3"/>
      <c r="C1616" s="3" t="s">
        <v>26</v>
      </c>
      <c r="D1616" s="4" t="s">
        <v>1372</v>
      </c>
      <c r="E1616" s="3" t="s">
        <v>1373</v>
      </c>
      <c r="F1616" s="5">
        <v>46197.427083333336</v>
      </c>
      <c r="G1616" s="5">
        <v>46196.77820601852</v>
      </c>
      <c r="H1616" s="3" t="s">
        <v>14</v>
      </c>
      <c r="I1616" s="7">
        <v>0.0</v>
      </c>
      <c r="J1616" s="3" t="s">
        <v>72</v>
      </c>
    </row>
    <row r="1617">
      <c r="A1617" s="3"/>
      <c r="B1617" s="3"/>
      <c r="C1617" s="3" t="s">
        <v>10</v>
      </c>
      <c r="D1617" s="4" t="s">
        <v>1376</v>
      </c>
      <c r="E1617" s="3" t="s">
        <v>1377</v>
      </c>
      <c r="F1617" s="5">
        <v>46195.69201388889</v>
      </c>
      <c r="G1617" s="5">
        <v>46195.61792824074</v>
      </c>
      <c r="H1617" s="3" t="s">
        <v>14</v>
      </c>
      <c r="I1617" s="3">
        <v>0.0</v>
      </c>
      <c r="J1617" s="3" t="s">
        <v>72</v>
      </c>
    </row>
    <row r="1618">
      <c r="A1618" s="3"/>
      <c r="B1618" s="3"/>
      <c r="C1618" s="3" t="s">
        <v>17</v>
      </c>
      <c r="D1618" s="4" t="s">
        <v>1376</v>
      </c>
      <c r="E1618" s="3" t="s">
        <v>1377</v>
      </c>
      <c r="F1618" s="5">
        <v>46195.698958333334</v>
      </c>
      <c r="G1618" s="5">
        <v>46195.61806712963</v>
      </c>
      <c r="H1618" s="3" t="s">
        <v>14</v>
      </c>
      <c r="I1618" s="7">
        <v>0.0</v>
      </c>
      <c r="J1618" s="3" t="s">
        <v>72</v>
      </c>
    </row>
    <row r="1619">
      <c r="A1619" s="3"/>
      <c r="B1619" s="3"/>
      <c r="C1619" s="3" t="s">
        <v>21</v>
      </c>
      <c r="D1619" s="4" t="s">
        <v>1376</v>
      </c>
      <c r="E1619" s="3" t="s">
        <v>1377</v>
      </c>
      <c r="F1619" s="5">
        <v>46195.803125</v>
      </c>
      <c r="G1619" s="5">
        <v>46195.61814814815</v>
      </c>
      <c r="H1619" s="3" t="s">
        <v>14</v>
      </c>
      <c r="I1619" s="7">
        <v>0.0</v>
      </c>
      <c r="J1619" s="3" t="s">
        <v>72</v>
      </c>
    </row>
    <row r="1620">
      <c r="A1620" s="3"/>
      <c r="B1620" s="3"/>
      <c r="C1620" s="3" t="s">
        <v>24</v>
      </c>
      <c r="D1620" s="4" t="s">
        <v>1376</v>
      </c>
      <c r="E1620" s="3" t="s">
        <v>1377</v>
      </c>
      <c r="F1620" s="5">
        <v>46196.802777777775</v>
      </c>
      <c r="G1620" s="5">
        <v>46196.55997685185</v>
      </c>
      <c r="H1620" s="3" t="s">
        <v>14</v>
      </c>
      <c r="I1620" s="7">
        <v>0.0</v>
      </c>
      <c r="J1620" s="3" t="s">
        <v>72</v>
      </c>
    </row>
    <row r="1621">
      <c r="A1621" s="3"/>
      <c r="B1621" s="3"/>
      <c r="C1621" s="3" t="s">
        <v>26</v>
      </c>
      <c r="D1621" s="4" t="s">
        <v>1376</v>
      </c>
      <c r="E1621" s="3" t="s">
        <v>1377</v>
      </c>
      <c r="F1621" s="5">
        <v>46197.427777777775</v>
      </c>
      <c r="G1621" s="5">
        <v>46196.77820601852</v>
      </c>
      <c r="H1621" s="3" t="s">
        <v>14</v>
      </c>
      <c r="I1621" s="7">
        <v>0.0</v>
      </c>
      <c r="J1621" s="3" t="s">
        <v>72</v>
      </c>
    </row>
    <row r="1622">
      <c r="A1622" s="3"/>
      <c r="B1622" s="3"/>
      <c r="C1622" s="3" t="s">
        <v>10</v>
      </c>
      <c r="D1622" s="4" t="s">
        <v>1380</v>
      </c>
      <c r="E1622" s="3" t="s">
        <v>1381</v>
      </c>
      <c r="F1622" s="5">
        <v>46195.817824074074</v>
      </c>
      <c r="G1622" s="5">
        <v>46195.71824074074</v>
      </c>
      <c r="H1622" s="3" t="s">
        <v>14</v>
      </c>
      <c r="I1622" s="3">
        <v>0.0</v>
      </c>
      <c r="J1622" s="3" t="s">
        <v>72</v>
      </c>
    </row>
    <row r="1623">
      <c r="A1623" s="3"/>
      <c r="B1623" s="3"/>
      <c r="C1623" s="3" t="s">
        <v>17</v>
      </c>
      <c r="D1623" s="4" t="s">
        <v>1380</v>
      </c>
      <c r="E1623" s="3" t="s">
        <v>1381</v>
      </c>
      <c r="F1623" s="5">
        <v>46195.82476851852</v>
      </c>
      <c r="G1623" s="5">
        <v>46195.7184375</v>
      </c>
      <c r="H1623" s="3" t="s">
        <v>14</v>
      </c>
      <c r="I1623" s="7">
        <v>0.0</v>
      </c>
      <c r="J1623" s="3" t="s">
        <v>72</v>
      </c>
    </row>
    <row r="1624">
      <c r="A1624" s="3"/>
      <c r="B1624" s="3"/>
      <c r="C1624" s="3" t="s">
        <v>21</v>
      </c>
      <c r="D1624" s="4" t="s">
        <v>1380</v>
      </c>
      <c r="E1624" s="3" t="s">
        <v>1381</v>
      </c>
      <c r="F1624" s="5">
        <v>46196.532638888886</v>
      </c>
      <c r="G1624" s="5">
        <v>46195.79791666667</v>
      </c>
      <c r="H1624" s="3" t="s">
        <v>14</v>
      </c>
      <c r="I1624" s="7">
        <v>0.0</v>
      </c>
      <c r="J1624" s="3" t="s">
        <v>72</v>
      </c>
    </row>
    <row r="1625">
      <c r="A1625" s="3"/>
      <c r="B1625" s="3"/>
      <c r="C1625" s="3" t="s">
        <v>24</v>
      </c>
      <c r="D1625" s="4" t="s">
        <v>1380</v>
      </c>
      <c r="E1625" s="3" t="s">
        <v>1381</v>
      </c>
      <c r="F1625" s="5">
        <v>46197.532638888886</v>
      </c>
      <c r="G1625" s="5">
        <v>46196.77825231481</v>
      </c>
      <c r="H1625" s="3" t="s">
        <v>14</v>
      </c>
      <c r="I1625" s="7">
        <v>0.0</v>
      </c>
      <c r="J1625" s="3" t="s">
        <v>72</v>
      </c>
    </row>
    <row r="1626">
      <c r="A1626" s="3"/>
      <c r="B1626" s="3"/>
      <c r="C1626" s="3" t="s">
        <v>26</v>
      </c>
      <c r="D1626" s="4" t="s">
        <v>1380</v>
      </c>
      <c r="E1626" s="3" t="s">
        <v>1381</v>
      </c>
      <c r="F1626" s="5">
        <v>46197.57430555556</v>
      </c>
      <c r="G1626" s="5">
        <v>46196.77829861111</v>
      </c>
      <c r="H1626" s="3" t="s">
        <v>14</v>
      </c>
      <c r="I1626" s="7">
        <v>0.0</v>
      </c>
      <c r="J1626" s="3" t="s">
        <v>72</v>
      </c>
    </row>
    <row r="1627">
      <c r="A1627" s="3"/>
      <c r="B1627" s="3"/>
      <c r="C1627" s="3" t="s">
        <v>10</v>
      </c>
      <c r="D1627" s="4" t="s">
        <v>1383</v>
      </c>
      <c r="E1627" s="3" t="s">
        <v>136</v>
      </c>
      <c r="F1627" s="5">
        <v>46196.42291666667</v>
      </c>
      <c r="G1627" s="5">
        <v>46195.718252314815</v>
      </c>
      <c r="H1627" s="3" t="s">
        <v>14</v>
      </c>
      <c r="I1627" s="3">
        <v>0.0</v>
      </c>
      <c r="J1627" s="3" t="s">
        <v>15</v>
      </c>
    </row>
    <row r="1628">
      <c r="A1628" s="3"/>
      <c r="B1628" s="3"/>
      <c r="C1628" s="3" t="s">
        <v>17</v>
      </c>
      <c r="D1628" s="4" t="s">
        <v>1383</v>
      </c>
      <c r="E1628" s="3" t="s">
        <v>136</v>
      </c>
      <c r="F1628" s="5">
        <v>46196.42986111111</v>
      </c>
      <c r="G1628" s="5">
        <v>46195.71849537037</v>
      </c>
      <c r="H1628" s="3" t="s">
        <v>14</v>
      </c>
      <c r="I1628" s="7">
        <v>0.0</v>
      </c>
      <c r="J1628" s="3" t="s">
        <v>15</v>
      </c>
    </row>
    <row r="1629">
      <c r="A1629" s="3"/>
      <c r="B1629" s="3"/>
      <c r="C1629" s="3" t="s">
        <v>21</v>
      </c>
      <c r="D1629" s="4" t="s">
        <v>1383</v>
      </c>
      <c r="E1629" s="3" t="s">
        <v>136</v>
      </c>
      <c r="F1629" s="5">
        <v>46196.53402777778</v>
      </c>
      <c r="G1629" s="5">
        <v>46195.79787037037</v>
      </c>
      <c r="H1629" s="3" t="s">
        <v>14</v>
      </c>
      <c r="I1629" s="7">
        <v>0.0</v>
      </c>
      <c r="J1629" s="3" t="s">
        <v>15</v>
      </c>
    </row>
    <row r="1630">
      <c r="A1630" s="3"/>
      <c r="B1630" s="3"/>
      <c r="C1630" s="3" t="s">
        <v>24</v>
      </c>
      <c r="D1630" s="4" t="s">
        <v>1383</v>
      </c>
      <c r="E1630" s="3" t="s">
        <v>136</v>
      </c>
      <c r="F1630" s="5">
        <v>46197.53402777778</v>
      </c>
      <c r="G1630" s="5">
        <v>46197.490324074075</v>
      </c>
      <c r="H1630" s="3" t="s">
        <v>14</v>
      </c>
      <c r="I1630" s="7">
        <v>0.0</v>
      </c>
      <c r="J1630" s="3" t="s">
        <v>15</v>
      </c>
    </row>
    <row r="1631">
      <c r="A1631" s="3"/>
      <c r="B1631" s="3"/>
      <c r="C1631" s="3" t="s">
        <v>26</v>
      </c>
      <c r="D1631" s="4" t="s">
        <v>1383</v>
      </c>
      <c r="E1631" s="3" t="s">
        <v>136</v>
      </c>
      <c r="F1631" s="5">
        <v>46197.575694444444</v>
      </c>
      <c r="G1631" s="5">
        <v>46197.490381944444</v>
      </c>
      <c r="H1631" s="3" t="s">
        <v>14</v>
      </c>
      <c r="I1631" s="7">
        <v>0.0</v>
      </c>
      <c r="J1631" s="3" t="s">
        <v>15</v>
      </c>
    </row>
    <row r="1632">
      <c r="A1632" s="3"/>
      <c r="B1632" s="3"/>
      <c r="C1632" s="3" t="s">
        <v>10</v>
      </c>
      <c r="D1632" s="4" t="s">
        <v>1385</v>
      </c>
      <c r="E1632" s="3">
        <v>2781.0</v>
      </c>
      <c r="F1632" s="5">
        <v>46196.755902777775</v>
      </c>
      <c r="G1632" s="5">
        <v>46196.77795138889</v>
      </c>
      <c r="H1632" s="3" t="s">
        <v>14</v>
      </c>
      <c r="I1632" s="3">
        <v>0.02</v>
      </c>
      <c r="J1632" s="3" t="s">
        <v>72</v>
      </c>
    </row>
    <row r="1633">
      <c r="A1633" s="3"/>
      <c r="B1633" s="3"/>
      <c r="C1633" s="3" t="s">
        <v>17</v>
      </c>
      <c r="D1633" s="4" t="s">
        <v>1385</v>
      </c>
      <c r="E1633" s="3">
        <v>2781.0</v>
      </c>
      <c r="F1633" s="5">
        <v>46196.76284722222</v>
      </c>
      <c r="G1633" s="5">
        <v>46196.77800925926</v>
      </c>
      <c r="H1633" s="3" t="s">
        <v>14</v>
      </c>
      <c r="I1633" s="7">
        <v>0.015162037037037036</v>
      </c>
      <c r="J1633" s="3" t="s">
        <v>72</v>
      </c>
    </row>
    <row r="1634">
      <c r="A1634" s="3"/>
      <c r="B1634" s="3"/>
      <c r="C1634" s="3" t="s">
        <v>21</v>
      </c>
      <c r="D1634" s="4" t="s">
        <v>1385</v>
      </c>
      <c r="E1634" s="3">
        <v>2781.0</v>
      </c>
      <c r="F1634" s="5">
        <v>46197.42916666667</v>
      </c>
      <c r="G1634" s="5">
        <v>46196.77804398148</v>
      </c>
      <c r="H1634" s="3" t="s">
        <v>14</v>
      </c>
      <c r="I1634" s="7">
        <v>0.0</v>
      </c>
      <c r="J1634" s="3" t="s">
        <v>72</v>
      </c>
    </row>
    <row r="1635">
      <c r="A1635" s="3"/>
      <c r="B1635" s="3"/>
      <c r="C1635" s="3" t="s">
        <v>24</v>
      </c>
      <c r="D1635" s="4" t="s">
        <v>1385</v>
      </c>
      <c r="E1635" s="3">
        <v>2781.0</v>
      </c>
      <c r="F1635" s="5">
        <v>46198.42916666667</v>
      </c>
      <c r="G1635" s="5">
        <v>46198.406851851854</v>
      </c>
      <c r="H1635" s="3" t="s">
        <v>14</v>
      </c>
      <c r="I1635" s="7">
        <v>0.0</v>
      </c>
      <c r="J1635" s="3" t="s">
        <v>72</v>
      </c>
    </row>
    <row r="1636">
      <c r="A1636" s="3"/>
      <c r="B1636" s="3"/>
      <c r="C1636" s="3" t="s">
        <v>26</v>
      </c>
      <c r="D1636" s="4" t="s">
        <v>1385</v>
      </c>
      <c r="E1636" s="3">
        <v>2781.0</v>
      </c>
      <c r="F1636" s="5">
        <v>46198.47083333333</v>
      </c>
      <c r="G1636" s="5">
        <v>46198.40689814815</v>
      </c>
      <c r="H1636" s="3" t="s">
        <v>14</v>
      </c>
      <c r="I1636" s="7">
        <v>0.0</v>
      </c>
      <c r="J1636" s="3" t="s">
        <v>72</v>
      </c>
    </row>
    <row r="1637">
      <c r="A1637" s="3"/>
      <c r="B1637" s="3"/>
      <c r="C1637" s="3" t="s">
        <v>10</v>
      </c>
      <c r="D1637" s="4" t="s">
        <v>1390</v>
      </c>
      <c r="E1637" s="3" t="s">
        <v>74</v>
      </c>
      <c r="F1637" s="5">
        <v>46197.65346064815</v>
      </c>
      <c r="G1637" s="5">
        <v>46197.49010416667</v>
      </c>
      <c r="H1637" s="3" t="s">
        <v>14</v>
      </c>
      <c r="I1637" s="3">
        <v>0.0</v>
      </c>
      <c r="J1637" s="3" t="s">
        <v>48</v>
      </c>
    </row>
    <row r="1638">
      <c r="A1638" s="3"/>
      <c r="B1638" s="3"/>
      <c r="C1638" s="3" t="s">
        <v>17</v>
      </c>
      <c r="D1638" s="4" t="s">
        <v>1390</v>
      </c>
      <c r="E1638" s="3" t="s">
        <v>74</v>
      </c>
      <c r="F1638" s="5">
        <v>46197.660405092596</v>
      </c>
      <c r="G1638" s="5">
        <v>46197.49024305555</v>
      </c>
      <c r="H1638" s="3" t="s">
        <v>14</v>
      </c>
      <c r="I1638" s="7">
        <v>0.0</v>
      </c>
      <c r="J1638" s="3" t="s">
        <v>48</v>
      </c>
    </row>
    <row r="1639">
      <c r="A1639" s="3"/>
      <c r="B1639" s="3"/>
      <c r="C1639" s="3" t="s">
        <v>21</v>
      </c>
      <c r="D1639" s="4" t="s">
        <v>1390</v>
      </c>
      <c r="E1639" s="3" t="s">
        <v>74</v>
      </c>
      <c r="F1639" s="5">
        <v>46197.76457175926</v>
      </c>
      <c r="G1639" s="5">
        <v>46197.56165509259</v>
      </c>
      <c r="H1639" s="3" t="s">
        <v>14</v>
      </c>
      <c r="I1639" s="7">
        <v>0.0</v>
      </c>
      <c r="J1639" s="3" t="s">
        <v>48</v>
      </c>
    </row>
    <row r="1640">
      <c r="A1640" s="3"/>
      <c r="B1640" s="3"/>
      <c r="C1640" s="3" t="s">
        <v>24</v>
      </c>
      <c r="D1640" s="4" t="s">
        <v>1390</v>
      </c>
      <c r="E1640" s="3" t="s">
        <v>74</v>
      </c>
      <c r="F1640" s="5">
        <v>46198.76388888889</v>
      </c>
      <c r="G1640" s="5">
        <v>46198.47335648148</v>
      </c>
      <c r="H1640" s="3" t="s">
        <v>14</v>
      </c>
      <c r="I1640" s="7">
        <v>0.0</v>
      </c>
      <c r="J1640" s="3" t="s">
        <v>48</v>
      </c>
    </row>
    <row r="1641">
      <c r="A1641" s="3"/>
      <c r="B1641" s="3"/>
      <c r="C1641" s="3" t="s">
        <v>26</v>
      </c>
      <c r="D1641" s="4" t="s">
        <v>1390</v>
      </c>
      <c r="E1641" s="3" t="s">
        <v>74</v>
      </c>
      <c r="F1641" s="5">
        <v>46198.805555555555</v>
      </c>
      <c r="G1641" s="5">
        <v>46198.473391203705</v>
      </c>
      <c r="H1641" s="3" t="s">
        <v>14</v>
      </c>
      <c r="I1641" s="7">
        <v>0.0</v>
      </c>
      <c r="J1641" s="3" t="s">
        <v>48</v>
      </c>
    </row>
    <row r="1642">
      <c r="A1642" s="3"/>
      <c r="B1642" s="3"/>
      <c r="C1642" s="3" t="s">
        <v>10</v>
      </c>
      <c r="D1642" s="4" t="s">
        <v>1396</v>
      </c>
      <c r="E1642" s="3" t="s">
        <v>1397</v>
      </c>
      <c r="F1642" s="5">
        <v>46197.683344907404</v>
      </c>
      <c r="G1642" s="5">
        <v>46197.51777777778</v>
      </c>
      <c r="H1642" s="3" t="s">
        <v>14</v>
      </c>
      <c r="I1642" s="3">
        <v>0.0</v>
      </c>
      <c r="J1642" s="3" t="s">
        <v>15</v>
      </c>
    </row>
    <row r="1643">
      <c r="A1643" s="3"/>
      <c r="B1643" s="3"/>
      <c r="C1643" s="3" t="s">
        <v>17</v>
      </c>
      <c r="D1643" s="4" t="s">
        <v>1396</v>
      </c>
      <c r="E1643" s="3" t="s">
        <v>1397</v>
      </c>
      <c r="F1643" s="5">
        <v>46197.69028935185</v>
      </c>
      <c r="G1643" s="5">
        <v>46197.518055555556</v>
      </c>
      <c r="H1643" s="3" t="s">
        <v>14</v>
      </c>
      <c r="I1643" s="7">
        <v>0.0</v>
      </c>
      <c r="J1643" s="3" t="s">
        <v>15</v>
      </c>
    </row>
    <row r="1644">
      <c r="A1644" s="3"/>
      <c r="B1644" s="3"/>
      <c r="C1644" s="3" t="s">
        <v>21</v>
      </c>
      <c r="D1644" s="4" t="s">
        <v>1396</v>
      </c>
      <c r="E1644" s="3" t="s">
        <v>1397</v>
      </c>
      <c r="F1644" s="5">
        <v>46197.79445601852</v>
      </c>
      <c r="G1644" s="5">
        <v>46197.51810185185</v>
      </c>
      <c r="H1644" s="3" t="s">
        <v>14</v>
      </c>
      <c r="I1644" s="7">
        <v>0.0</v>
      </c>
      <c r="J1644" s="3" t="s">
        <v>15</v>
      </c>
    </row>
    <row r="1645">
      <c r="A1645" s="3"/>
      <c r="B1645" s="3"/>
      <c r="C1645" s="3" t="s">
        <v>24</v>
      </c>
      <c r="D1645" s="4" t="s">
        <v>1396</v>
      </c>
      <c r="E1645" s="3" t="s">
        <v>1397</v>
      </c>
      <c r="F1645" s="5">
        <v>46198.794444444444</v>
      </c>
      <c r="G1645" s="5">
        <v>46197.628657407404</v>
      </c>
      <c r="H1645" s="3" t="s">
        <v>14</v>
      </c>
      <c r="I1645" s="7">
        <v>0.0</v>
      </c>
      <c r="J1645" s="3" t="s">
        <v>15</v>
      </c>
    </row>
    <row r="1646">
      <c r="A1646" s="3"/>
      <c r="B1646" s="3"/>
      <c r="C1646" s="3" t="s">
        <v>26</v>
      </c>
      <c r="D1646" s="4" t="s">
        <v>1396</v>
      </c>
      <c r="E1646" s="3" t="s">
        <v>1397</v>
      </c>
      <c r="F1646" s="5">
        <v>46199.419444444444</v>
      </c>
      <c r="G1646" s="5">
        <v>46197.62868055556</v>
      </c>
      <c r="H1646" s="3" t="s">
        <v>14</v>
      </c>
      <c r="I1646" s="7">
        <v>0.0</v>
      </c>
      <c r="J1646" s="3" t="s">
        <v>15</v>
      </c>
    </row>
    <row r="1647">
      <c r="A1647" s="3"/>
      <c r="B1647" s="3"/>
      <c r="C1647" s="3" t="s">
        <v>10</v>
      </c>
      <c r="D1647" s="4" t="s">
        <v>1402</v>
      </c>
      <c r="E1647" s="3" t="s">
        <v>1403</v>
      </c>
      <c r="F1647" s="5">
        <v>46197.692337962966</v>
      </c>
      <c r="G1647" s="5">
        <v>46197.54556712963</v>
      </c>
      <c r="H1647" s="3" t="s">
        <v>14</v>
      </c>
      <c r="I1647" s="3">
        <v>0.0</v>
      </c>
      <c r="J1647" s="3" t="s">
        <v>15</v>
      </c>
    </row>
    <row r="1648">
      <c r="A1648" s="3"/>
      <c r="B1648" s="3"/>
      <c r="C1648" s="3" t="s">
        <v>17</v>
      </c>
      <c r="D1648" s="4" t="s">
        <v>1402</v>
      </c>
      <c r="E1648" s="3" t="s">
        <v>1403</v>
      </c>
      <c r="F1648" s="5">
        <v>46197.699282407404</v>
      </c>
      <c r="G1648" s="5">
        <v>46197.54572916667</v>
      </c>
      <c r="H1648" s="3" t="s">
        <v>14</v>
      </c>
      <c r="I1648" s="7">
        <v>0.0</v>
      </c>
      <c r="J1648" s="3" t="s">
        <v>15</v>
      </c>
    </row>
    <row r="1649">
      <c r="A1649" s="3"/>
      <c r="B1649" s="3"/>
      <c r="C1649" s="3" t="s">
        <v>21</v>
      </c>
      <c r="D1649" s="4" t="s">
        <v>1402</v>
      </c>
      <c r="E1649" s="3" t="s">
        <v>1403</v>
      </c>
      <c r="F1649" s="5">
        <v>46197.803449074076</v>
      </c>
      <c r="G1649" s="5">
        <v>46197.54582175926</v>
      </c>
      <c r="H1649" s="3" t="s">
        <v>14</v>
      </c>
      <c r="I1649" s="7">
        <v>0.0</v>
      </c>
      <c r="J1649" s="3" t="s">
        <v>15</v>
      </c>
    </row>
    <row r="1650">
      <c r="A1650" s="3"/>
      <c r="B1650" s="3"/>
      <c r="C1650" s="3" t="s">
        <v>24</v>
      </c>
      <c r="D1650" s="4" t="s">
        <v>1402</v>
      </c>
      <c r="E1650" s="3" t="s">
        <v>1403</v>
      </c>
      <c r="F1650" s="5">
        <v>46198.802777777775</v>
      </c>
      <c r="G1650" s="5">
        <v>46197.58767361111</v>
      </c>
      <c r="H1650" s="3" t="s">
        <v>14</v>
      </c>
      <c r="I1650" s="7">
        <v>0.0</v>
      </c>
      <c r="J1650" s="3" t="s">
        <v>15</v>
      </c>
    </row>
    <row r="1651">
      <c r="A1651" s="3"/>
      <c r="B1651" s="3"/>
      <c r="C1651" s="3" t="s">
        <v>26</v>
      </c>
      <c r="D1651" s="4" t="s">
        <v>1402</v>
      </c>
      <c r="E1651" s="3" t="s">
        <v>1403</v>
      </c>
      <c r="F1651" s="5">
        <v>46199.427777777775</v>
      </c>
      <c r="G1651" s="5">
        <v>46197.587789351855</v>
      </c>
      <c r="H1651" s="3" t="s">
        <v>14</v>
      </c>
      <c r="I1651" s="7">
        <v>0.0</v>
      </c>
      <c r="J1651" s="3" t="s">
        <v>15</v>
      </c>
    </row>
    <row r="1652">
      <c r="A1652" s="3"/>
      <c r="B1652" s="3"/>
      <c r="C1652" s="3" t="s">
        <v>10</v>
      </c>
      <c r="D1652" s="4" t="s">
        <v>1405</v>
      </c>
      <c r="E1652" s="3" t="s">
        <v>1406</v>
      </c>
      <c r="F1652" s="5">
        <v>46197.706608796296</v>
      </c>
      <c r="G1652" s="5">
        <v>46197.54561342593</v>
      </c>
      <c r="H1652" s="3" t="s">
        <v>14</v>
      </c>
      <c r="I1652" s="3">
        <v>0.0</v>
      </c>
      <c r="J1652" s="3" t="s">
        <v>15</v>
      </c>
    </row>
    <row r="1653">
      <c r="A1653" s="3"/>
      <c r="B1653" s="3"/>
      <c r="C1653" s="3" t="s">
        <v>17</v>
      </c>
      <c r="D1653" s="4" t="s">
        <v>1405</v>
      </c>
      <c r="E1653" s="3" t="s">
        <v>1406</v>
      </c>
      <c r="F1653" s="5">
        <v>46197.71355324074</v>
      </c>
      <c r="G1653" s="5">
        <v>46197.54574074074</v>
      </c>
      <c r="H1653" s="3" t="s">
        <v>14</v>
      </c>
      <c r="I1653" s="7">
        <v>0.0</v>
      </c>
      <c r="J1653" s="3" t="s">
        <v>15</v>
      </c>
    </row>
    <row r="1654">
      <c r="A1654" s="3"/>
      <c r="B1654" s="3"/>
      <c r="C1654" s="3" t="s">
        <v>21</v>
      </c>
      <c r="D1654" s="4" t="s">
        <v>1405</v>
      </c>
      <c r="E1654" s="3" t="s">
        <v>1406</v>
      </c>
      <c r="F1654" s="5">
        <v>46197.817719907405</v>
      </c>
      <c r="G1654" s="5">
        <v>46197.54584490741</v>
      </c>
      <c r="H1654" s="3" t="s">
        <v>14</v>
      </c>
      <c r="I1654" s="7">
        <v>0.0</v>
      </c>
      <c r="J1654" s="3" t="s">
        <v>15</v>
      </c>
    </row>
    <row r="1655">
      <c r="A1655" s="3"/>
      <c r="B1655" s="3"/>
      <c r="C1655" s="3" t="s">
        <v>24</v>
      </c>
      <c r="D1655" s="4" t="s">
        <v>1405</v>
      </c>
      <c r="E1655" s="3" t="s">
        <v>1406</v>
      </c>
      <c r="F1655" s="5">
        <v>46198.81736111111</v>
      </c>
      <c r="G1655" s="5">
        <v>46197.803402777776</v>
      </c>
      <c r="H1655" s="3" t="s">
        <v>14</v>
      </c>
      <c r="I1655" s="7">
        <v>0.0</v>
      </c>
      <c r="J1655" s="3" t="s">
        <v>15</v>
      </c>
    </row>
    <row r="1656">
      <c r="A1656" s="3"/>
      <c r="B1656" s="3"/>
      <c r="C1656" s="3" t="s">
        <v>26</v>
      </c>
      <c r="D1656" s="4" t="s">
        <v>1405</v>
      </c>
      <c r="E1656" s="3" t="s">
        <v>1406</v>
      </c>
      <c r="F1656" s="5">
        <v>46199.44236111111</v>
      </c>
      <c r="G1656" s="5">
        <v>46197.8034375</v>
      </c>
      <c r="H1656" s="3" t="s">
        <v>14</v>
      </c>
      <c r="I1656" s="7">
        <v>0.0</v>
      </c>
      <c r="J1656" s="3" t="s">
        <v>15</v>
      </c>
    </row>
    <row r="1657">
      <c r="A1657" s="3"/>
      <c r="B1657" s="3"/>
      <c r="C1657" s="3" t="s">
        <v>10</v>
      </c>
      <c r="D1657" s="4" t="s">
        <v>1408</v>
      </c>
      <c r="E1657" s="3" t="s">
        <v>1410</v>
      </c>
      <c r="F1657" s="5">
        <v>46197.71871527778</v>
      </c>
      <c r="G1657" s="5">
        <v>46197.561261574076</v>
      </c>
      <c r="H1657" s="3" t="s">
        <v>14</v>
      </c>
      <c r="I1657" s="3">
        <v>0.0</v>
      </c>
      <c r="J1657" s="3" t="s">
        <v>48</v>
      </c>
    </row>
    <row r="1658">
      <c r="A1658" s="3"/>
      <c r="B1658" s="3"/>
      <c r="C1658" s="3" t="s">
        <v>17</v>
      </c>
      <c r="D1658" s="4" t="s">
        <v>1408</v>
      </c>
      <c r="E1658" s="3" t="s">
        <v>1410</v>
      </c>
      <c r="F1658" s="5">
        <v>46197.72565972222</v>
      </c>
      <c r="G1658" s="5">
        <v>46197.56148148148</v>
      </c>
      <c r="H1658" s="3" t="s">
        <v>14</v>
      </c>
      <c r="I1658" s="7">
        <v>0.0</v>
      </c>
      <c r="J1658" s="3" t="s">
        <v>48</v>
      </c>
    </row>
    <row r="1659">
      <c r="A1659" s="3"/>
      <c r="B1659" s="3"/>
      <c r="C1659" s="3" t="s">
        <v>21</v>
      </c>
      <c r="D1659" s="4" t="s">
        <v>1408</v>
      </c>
      <c r="E1659" s="3" t="s">
        <v>1410</v>
      </c>
      <c r="F1659" s="5">
        <v>46197.82982638889</v>
      </c>
      <c r="G1659" s="5">
        <v>46197.56159722222</v>
      </c>
      <c r="H1659" s="3" t="s">
        <v>14</v>
      </c>
      <c r="I1659" s="7">
        <v>0.0</v>
      </c>
      <c r="J1659" s="3" t="s">
        <v>48</v>
      </c>
    </row>
    <row r="1660">
      <c r="A1660" s="3"/>
      <c r="B1660" s="3"/>
      <c r="C1660" s="3" t="s">
        <v>24</v>
      </c>
      <c r="D1660" s="4" t="s">
        <v>1408</v>
      </c>
      <c r="E1660" s="3" t="s">
        <v>1410</v>
      </c>
      <c r="F1660" s="5">
        <v>46198.82916666667</v>
      </c>
      <c r="G1660" s="5">
        <v>46198.49865740741</v>
      </c>
      <c r="H1660" s="3" t="s">
        <v>14</v>
      </c>
      <c r="I1660" s="7">
        <v>0.0</v>
      </c>
      <c r="J1660" s="3" t="s">
        <v>48</v>
      </c>
    </row>
    <row r="1661">
      <c r="A1661" s="3"/>
      <c r="B1661" s="3"/>
      <c r="C1661" s="3" t="s">
        <v>26</v>
      </c>
      <c r="D1661" s="4" t="s">
        <v>1408</v>
      </c>
      <c r="E1661" s="3" t="s">
        <v>1410</v>
      </c>
      <c r="F1661" s="5">
        <v>46199.45416666667</v>
      </c>
      <c r="G1661" s="5">
        <v>46199.45408564815</v>
      </c>
      <c r="H1661" s="3" t="s">
        <v>14</v>
      </c>
      <c r="I1661" s="7">
        <v>0.0</v>
      </c>
      <c r="J1661" s="3" t="s">
        <v>48</v>
      </c>
    </row>
    <row r="1662">
      <c r="A1662" s="3"/>
      <c r="B1662" s="3"/>
      <c r="C1662" s="3" t="s">
        <v>10</v>
      </c>
      <c r="D1662" s="4" t="s">
        <v>1412</v>
      </c>
      <c r="E1662" s="3" t="s">
        <v>1413</v>
      </c>
      <c r="F1662" s="5">
        <v>46197.72607638889</v>
      </c>
      <c r="G1662" s="5">
        <v>46197.56128472222</v>
      </c>
      <c r="H1662" s="3" t="s">
        <v>14</v>
      </c>
      <c r="I1662" s="3">
        <v>0.0</v>
      </c>
      <c r="J1662" s="3" t="s">
        <v>48</v>
      </c>
    </row>
    <row r="1663">
      <c r="A1663" s="3"/>
      <c r="B1663" s="3"/>
      <c r="C1663" s="3" t="s">
        <v>17</v>
      </c>
      <c r="D1663" s="4" t="s">
        <v>1412</v>
      </c>
      <c r="E1663" s="3" t="s">
        <v>1413</v>
      </c>
      <c r="F1663" s="5">
        <v>46197.73302083334</v>
      </c>
      <c r="G1663" s="5">
        <v>46197.56149305555</v>
      </c>
      <c r="H1663" s="3" t="s">
        <v>14</v>
      </c>
      <c r="I1663" s="7">
        <v>0.0</v>
      </c>
      <c r="J1663" s="3" t="s">
        <v>48</v>
      </c>
    </row>
    <row r="1664">
      <c r="A1664" s="3"/>
      <c r="B1664" s="3"/>
      <c r="C1664" s="3" t="s">
        <v>21</v>
      </c>
      <c r="D1664" s="4" t="s">
        <v>1412</v>
      </c>
      <c r="E1664" s="3" t="s">
        <v>1413</v>
      </c>
      <c r="F1664" s="5">
        <v>46198.44097222222</v>
      </c>
      <c r="G1664" s="5">
        <v>46197.56162037037</v>
      </c>
      <c r="H1664" s="3" t="s">
        <v>14</v>
      </c>
      <c r="I1664" s="7">
        <v>0.0</v>
      </c>
      <c r="J1664" s="3" t="s">
        <v>48</v>
      </c>
    </row>
    <row r="1665">
      <c r="A1665" s="3"/>
      <c r="B1665" s="3"/>
      <c r="C1665" s="3" t="s">
        <v>24</v>
      </c>
      <c r="D1665" s="4" t="s">
        <v>1412</v>
      </c>
      <c r="E1665" s="3" t="s">
        <v>1413</v>
      </c>
      <c r="F1665" s="5">
        <v>46199.44097222222</v>
      </c>
      <c r="G1665" s="5">
        <v>46199.45384259259</v>
      </c>
      <c r="H1665" s="3" t="s">
        <v>14</v>
      </c>
      <c r="I1665" s="7">
        <v>0.01287037037037037</v>
      </c>
      <c r="J1665" s="3" t="s">
        <v>48</v>
      </c>
    </row>
    <row r="1666">
      <c r="A1666" s="3"/>
      <c r="B1666" s="3"/>
      <c r="C1666" s="3" t="s">
        <v>26</v>
      </c>
      <c r="D1666" s="4" t="s">
        <v>1412</v>
      </c>
      <c r="E1666" s="3" t="s">
        <v>1413</v>
      </c>
      <c r="F1666" s="5">
        <v>46199.48263888889</v>
      </c>
      <c r="G1666" s="5">
        <v>46199.453935185185</v>
      </c>
      <c r="H1666" s="3" t="s">
        <v>14</v>
      </c>
      <c r="I1666" s="7">
        <v>0.0</v>
      </c>
      <c r="J1666" s="3" t="s">
        <v>48</v>
      </c>
    </row>
    <row r="1667">
      <c r="A1667" s="3"/>
      <c r="B1667" s="3"/>
      <c r="C1667" s="3" t="s">
        <v>10</v>
      </c>
      <c r="D1667" s="4" t="s">
        <v>1416</v>
      </c>
      <c r="E1667" s="3" t="s">
        <v>1417</v>
      </c>
      <c r="F1667" s="5">
        <v>46198.444444444445</v>
      </c>
      <c r="G1667" s="5">
        <v>46197.80331018518</v>
      </c>
      <c r="H1667" s="3" t="s">
        <v>14</v>
      </c>
      <c r="I1667" s="3">
        <v>0.0</v>
      </c>
      <c r="J1667" s="3" t="s">
        <v>48</v>
      </c>
    </row>
    <row r="1668">
      <c r="A1668" s="3"/>
      <c r="B1668" s="3"/>
      <c r="C1668" s="3" t="s">
        <v>17</v>
      </c>
      <c r="D1668" s="4" t="s">
        <v>1416</v>
      </c>
      <c r="E1668" s="3" t="s">
        <v>1417</v>
      </c>
      <c r="F1668" s="5">
        <v>46198.45138888889</v>
      </c>
      <c r="G1668" s="5">
        <v>46197.803506944445</v>
      </c>
      <c r="H1668" s="3" t="s">
        <v>14</v>
      </c>
      <c r="I1668" s="7">
        <v>0.0</v>
      </c>
      <c r="J1668" s="3" t="s">
        <v>48</v>
      </c>
    </row>
    <row r="1669">
      <c r="A1669" s="3"/>
      <c r="B1669" s="3"/>
      <c r="C1669" s="3" t="s">
        <v>21</v>
      </c>
      <c r="D1669" s="4" t="s">
        <v>1416</v>
      </c>
      <c r="E1669" s="3" t="s">
        <v>1417</v>
      </c>
      <c r="F1669" s="5">
        <v>46198.555555555555</v>
      </c>
      <c r="G1669" s="5">
        <v>46198.472962962966</v>
      </c>
      <c r="H1669" s="3" t="s">
        <v>14</v>
      </c>
      <c r="I1669" s="7">
        <v>0.0</v>
      </c>
      <c r="J1669" s="3" t="s">
        <v>48</v>
      </c>
    </row>
    <row r="1670">
      <c r="A1670" s="3"/>
      <c r="B1670" s="3"/>
      <c r="C1670" s="3" t="s">
        <v>24</v>
      </c>
      <c r="D1670" s="4" t="s">
        <v>1416</v>
      </c>
      <c r="E1670" s="3" t="s">
        <v>1417</v>
      </c>
      <c r="F1670" s="5">
        <v>46199.555555555555</v>
      </c>
      <c r="G1670" s="5">
        <v>46199.45427083333</v>
      </c>
      <c r="H1670" s="3" t="s">
        <v>14</v>
      </c>
      <c r="I1670" s="7">
        <v>0.0</v>
      </c>
      <c r="J1670" s="3" t="s">
        <v>48</v>
      </c>
    </row>
    <row r="1671">
      <c r="A1671" s="3"/>
      <c r="B1671" s="3"/>
      <c r="C1671" s="3" t="s">
        <v>26</v>
      </c>
      <c r="D1671" s="4" t="s">
        <v>1416</v>
      </c>
      <c r="E1671" s="3" t="s">
        <v>1417</v>
      </c>
      <c r="F1671" s="5">
        <v>46199.59722222222</v>
      </c>
      <c r="G1671" s="5">
        <v>46199.45429398148</v>
      </c>
      <c r="H1671" s="3" t="s">
        <v>14</v>
      </c>
      <c r="I1671" s="7">
        <v>0.0</v>
      </c>
      <c r="J1671" s="3" t="s">
        <v>48</v>
      </c>
    </row>
    <row r="1672">
      <c r="A1672" s="3"/>
      <c r="B1672" s="3"/>
      <c r="C1672" s="3" t="s">
        <v>10</v>
      </c>
      <c r="D1672" s="4" t="s">
        <v>1422</v>
      </c>
      <c r="E1672" s="3" t="s">
        <v>1423</v>
      </c>
      <c r="F1672" s="5">
        <v>46198.642534722225</v>
      </c>
      <c r="G1672" s="5">
        <v>46198.47623842592</v>
      </c>
      <c r="H1672" s="3" t="s">
        <v>14</v>
      </c>
      <c r="I1672" s="3">
        <v>0.0</v>
      </c>
      <c r="J1672" s="3" t="s">
        <v>15</v>
      </c>
    </row>
    <row r="1673">
      <c r="A1673" s="3"/>
      <c r="B1673" s="3"/>
      <c r="C1673" s="3" t="s">
        <v>17</v>
      </c>
      <c r="D1673" s="4" t="s">
        <v>1422</v>
      </c>
      <c r="E1673" s="3" t="s">
        <v>1423</v>
      </c>
      <c r="F1673" s="5">
        <v>46198.64947916667</v>
      </c>
      <c r="G1673" s="5">
        <v>46198.47630787037</v>
      </c>
      <c r="H1673" s="3" t="s">
        <v>14</v>
      </c>
      <c r="I1673" s="7">
        <v>0.0</v>
      </c>
      <c r="J1673" s="3" t="s">
        <v>15</v>
      </c>
    </row>
    <row r="1674">
      <c r="A1674" s="3"/>
      <c r="B1674" s="3"/>
      <c r="C1674" s="3" t="s">
        <v>21</v>
      </c>
      <c r="D1674" s="4" t="s">
        <v>1422</v>
      </c>
      <c r="E1674" s="3" t="s">
        <v>1423</v>
      </c>
      <c r="F1674" s="5">
        <v>46198.753645833334</v>
      </c>
      <c r="G1674" s="5">
        <v>46198.476331018515</v>
      </c>
      <c r="H1674" s="3" t="s">
        <v>14</v>
      </c>
      <c r="I1674" s="7">
        <v>0.0</v>
      </c>
      <c r="J1674" s="3" t="s">
        <v>15</v>
      </c>
    </row>
    <row r="1675">
      <c r="A1675" s="3"/>
      <c r="B1675" s="3"/>
      <c r="C1675" s="3" t="s">
        <v>24</v>
      </c>
      <c r="D1675" s="4" t="s">
        <v>1422</v>
      </c>
      <c r="E1675" s="3" t="s">
        <v>1423</v>
      </c>
      <c r="F1675" s="5">
        <v>46199.75347222222</v>
      </c>
      <c r="G1675" s="5">
        <v>46198.70391203704</v>
      </c>
      <c r="H1675" s="3" t="s">
        <v>14</v>
      </c>
      <c r="I1675" s="7">
        <v>0.0</v>
      </c>
      <c r="J1675" s="3" t="s">
        <v>15</v>
      </c>
    </row>
    <row r="1676">
      <c r="A1676" s="3"/>
      <c r="B1676" s="3"/>
      <c r="C1676" s="3" t="s">
        <v>26</v>
      </c>
      <c r="D1676" s="4" t="s">
        <v>1422</v>
      </c>
      <c r="E1676" s="3" t="s">
        <v>1423</v>
      </c>
      <c r="F1676" s="5">
        <v>46199.79513888889</v>
      </c>
      <c r="G1676" s="5">
        <v>46198.70396990741</v>
      </c>
      <c r="H1676" s="3" t="s">
        <v>14</v>
      </c>
      <c r="I1676" s="7">
        <v>0.0</v>
      </c>
      <c r="J1676" s="3" t="s">
        <v>15</v>
      </c>
    </row>
    <row r="1677">
      <c r="A1677" s="3"/>
      <c r="B1677" s="3"/>
      <c r="C1677" s="3" t="s">
        <v>10</v>
      </c>
      <c r="D1677" s="4" t="s">
        <v>1424</v>
      </c>
      <c r="E1677" s="3" t="s">
        <v>1425</v>
      </c>
      <c r="F1677" s="5">
        <v>46198.669340277775</v>
      </c>
      <c r="G1677" s="5">
        <v>46198.60596064815</v>
      </c>
      <c r="H1677" s="3" t="s">
        <v>14</v>
      </c>
      <c r="I1677" s="3">
        <v>0.0</v>
      </c>
      <c r="J1677" s="3" t="s">
        <v>48</v>
      </c>
    </row>
    <row r="1678">
      <c r="A1678" s="3"/>
      <c r="B1678" s="3"/>
      <c r="C1678" s="3" t="s">
        <v>17</v>
      </c>
      <c r="D1678" s="4" t="s">
        <v>1424</v>
      </c>
      <c r="E1678" s="3" t="s">
        <v>1425</v>
      </c>
      <c r="F1678" s="5">
        <v>46198.67628472222</v>
      </c>
      <c r="G1678" s="5">
        <v>46198.60606481481</v>
      </c>
      <c r="H1678" s="3" t="s">
        <v>14</v>
      </c>
      <c r="I1678" s="7">
        <v>0.0</v>
      </c>
      <c r="J1678" s="3" t="s">
        <v>48</v>
      </c>
    </row>
    <row r="1679">
      <c r="A1679" s="3"/>
      <c r="B1679" s="3"/>
      <c r="C1679" s="3" t="s">
        <v>21</v>
      </c>
      <c r="D1679" s="4" t="s">
        <v>1424</v>
      </c>
      <c r="E1679" s="3" t="s">
        <v>1425</v>
      </c>
      <c r="F1679" s="5">
        <v>46198.78045138889</v>
      </c>
      <c r="G1679" s="5">
        <v>46198.606099537035</v>
      </c>
      <c r="H1679" s="3" t="s">
        <v>14</v>
      </c>
      <c r="I1679" s="7">
        <v>0.0</v>
      </c>
      <c r="J1679" s="3" t="s">
        <v>48</v>
      </c>
    </row>
    <row r="1680">
      <c r="A1680" s="3"/>
      <c r="B1680" s="3"/>
      <c r="C1680" s="3" t="s">
        <v>24</v>
      </c>
      <c r="D1680" s="4" t="s">
        <v>1424</v>
      </c>
      <c r="E1680" s="3" t="s">
        <v>1425</v>
      </c>
      <c r="F1680" s="5">
        <v>46199.779861111114</v>
      </c>
      <c r="G1680" s="5">
        <v>46199.617581018516</v>
      </c>
      <c r="H1680" s="3" t="s">
        <v>14</v>
      </c>
      <c r="I1680" s="7">
        <v>0.0</v>
      </c>
      <c r="J1680" s="3" t="s">
        <v>48</v>
      </c>
    </row>
    <row r="1681">
      <c r="A1681" s="3"/>
      <c r="B1681" s="3"/>
      <c r="C1681" s="3" t="s">
        <v>26</v>
      </c>
      <c r="D1681" s="4" t="s">
        <v>1424</v>
      </c>
      <c r="E1681" s="3" t="s">
        <v>1425</v>
      </c>
      <c r="F1681" s="5">
        <v>46199.82152777778</v>
      </c>
      <c r="G1681" s="5">
        <v>46199.61761574074</v>
      </c>
      <c r="H1681" s="3" t="s">
        <v>14</v>
      </c>
      <c r="I1681" s="7">
        <v>0.0</v>
      </c>
      <c r="J1681" s="3" t="s">
        <v>48</v>
      </c>
    </row>
    <row r="1682">
      <c r="A1682" s="3"/>
      <c r="B1682" s="3"/>
      <c r="C1682" s="3" t="s">
        <v>10</v>
      </c>
      <c r="D1682" s="4" t="s">
        <v>1429</v>
      </c>
      <c r="E1682" s="3" t="s">
        <v>1430</v>
      </c>
      <c r="F1682" s="5">
        <v>46198.682233796295</v>
      </c>
      <c r="G1682" s="5">
        <v>46198.60596064815</v>
      </c>
      <c r="H1682" s="3" t="s">
        <v>14</v>
      </c>
      <c r="I1682" s="3">
        <v>0.0</v>
      </c>
      <c r="J1682" s="3" t="s">
        <v>72</v>
      </c>
    </row>
    <row r="1683">
      <c r="A1683" s="3"/>
      <c r="B1683" s="3"/>
      <c r="C1683" s="3" t="s">
        <v>17</v>
      </c>
      <c r="D1683" s="4" t="s">
        <v>1429</v>
      </c>
      <c r="E1683" s="3" t="s">
        <v>1430</v>
      </c>
      <c r="F1683" s="5">
        <v>46198.68917824074</v>
      </c>
      <c r="G1683" s="5">
        <v>46198.60606481481</v>
      </c>
      <c r="H1683" s="3" t="s">
        <v>14</v>
      </c>
      <c r="I1683" s="7">
        <v>0.0</v>
      </c>
      <c r="J1683" s="3" t="s">
        <v>72</v>
      </c>
    </row>
    <row r="1684">
      <c r="A1684" s="3"/>
      <c r="B1684" s="3"/>
      <c r="C1684" s="3" t="s">
        <v>21</v>
      </c>
      <c r="D1684" s="4" t="s">
        <v>1429</v>
      </c>
      <c r="E1684" s="3" t="s">
        <v>1430</v>
      </c>
      <c r="F1684" s="5">
        <v>46198.793344907404</v>
      </c>
      <c r="G1684" s="5">
        <v>46198.606099537035</v>
      </c>
      <c r="H1684" s="3" t="s">
        <v>14</v>
      </c>
      <c r="I1684" s="7">
        <v>0.0</v>
      </c>
      <c r="J1684" s="3" t="s">
        <v>72</v>
      </c>
    </row>
    <row r="1685">
      <c r="A1685" s="3"/>
      <c r="B1685" s="3"/>
      <c r="C1685" s="3" t="s">
        <v>24</v>
      </c>
      <c r="D1685" s="4" t="s">
        <v>1429</v>
      </c>
      <c r="E1685" s="3" t="s">
        <v>1430</v>
      </c>
      <c r="F1685" s="5">
        <v>46199.79305555556</v>
      </c>
      <c r="G1685" s="5">
        <v>46199.46784722222</v>
      </c>
      <c r="H1685" s="3" t="s">
        <v>14</v>
      </c>
      <c r="I1685" s="7">
        <v>0.0</v>
      </c>
      <c r="J1685" s="3" t="s">
        <v>72</v>
      </c>
    </row>
    <row r="1686">
      <c r="A1686" s="3"/>
      <c r="B1686" s="3"/>
      <c r="C1686" s="3" t="s">
        <v>26</v>
      </c>
      <c r="D1686" s="4" t="s">
        <v>1429</v>
      </c>
      <c r="E1686" s="3" t="s">
        <v>1430</v>
      </c>
      <c r="F1686" s="5">
        <v>46200.41805555556</v>
      </c>
      <c r="G1686" s="5">
        <v>46199.467881944445</v>
      </c>
      <c r="H1686" s="3" t="s">
        <v>14</v>
      </c>
      <c r="I1686" s="7">
        <v>0.0</v>
      </c>
      <c r="J1686" s="3" t="s">
        <v>72</v>
      </c>
    </row>
    <row r="1687">
      <c r="A1687" s="3"/>
      <c r="B1687" s="3"/>
      <c r="C1687" s="3" t="s">
        <v>10</v>
      </c>
      <c r="D1687" s="4" t="s">
        <v>1433</v>
      </c>
      <c r="E1687" s="3" t="s">
        <v>1434</v>
      </c>
      <c r="F1687" s="5">
        <v>46199.50833333333</v>
      </c>
      <c r="G1687" s="5">
        <v>46198.76228009259</v>
      </c>
      <c r="H1687" s="3" t="s">
        <v>14</v>
      </c>
      <c r="I1687" s="3">
        <v>0.0</v>
      </c>
      <c r="J1687" s="3" t="s">
        <v>72</v>
      </c>
    </row>
    <row r="1688">
      <c r="A1688" s="3"/>
      <c r="B1688" s="3"/>
      <c r="C1688" s="3" t="s">
        <v>17</v>
      </c>
      <c r="D1688" s="4" t="s">
        <v>1433</v>
      </c>
      <c r="E1688" s="3" t="s">
        <v>1434</v>
      </c>
      <c r="F1688" s="5">
        <v>46199.51527777778</v>
      </c>
      <c r="G1688" s="5">
        <v>46198.76231481481</v>
      </c>
      <c r="H1688" s="3" t="s">
        <v>14</v>
      </c>
      <c r="I1688" s="7">
        <v>0.0</v>
      </c>
      <c r="J1688" s="3" t="s">
        <v>72</v>
      </c>
    </row>
    <row r="1689">
      <c r="A1689" s="3"/>
      <c r="B1689" s="3"/>
      <c r="C1689" s="3" t="s">
        <v>21</v>
      </c>
      <c r="D1689" s="4" t="s">
        <v>1433</v>
      </c>
      <c r="E1689" s="3" t="s">
        <v>1434</v>
      </c>
      <c r="F1689" s="5">
        <v>46199.61944444444</v>
      </c>
      <c r="G1689" s="5">
        <v>46198.76236111111</v>
      </c>
      <c r="H1689" s="3" t="s">
        <v>14</v>
      </c>
      <c r="I1689" s="7">
        <v>0.0</v>
      </c>
      <c r="J1689" s="3" t="s">
        <v>72</v>
      </c>
    </row>
    <row r="1690">
      <c r="A1690" s="3"/>
      <c r="B1690" s="3"/>
      <c r="C1690" s="3" t="s">
        <v>24</v>
      </c>
      <c r="D1690" s="4" t="s">
        <v>1433</v>
      </c>
      <c r="E1690" s="3" t="s">
        <v>1434</v>
      </c>
      <c r="F1690" s="5">
        <v>46200.61944444444</v>
      </c>
      <c r="G1690" s="5">
        <v>46199.4678587963</v>
      </c>
      <c r="H1690" s="3" t="s">
        <v>14</v>
      </c>
      <c r="I1690" s="7">
        <v>0.0</v>
      </c>
      <c r="J1690" s="3" t="s">
        <v>72</v>
      </c>
    </row>
    <row r="1691">
      <c r="A1691" s="3"/>
      <c r="B1691" s="3"/>
      <c r="C1691" s="3" t="s">
        <v>26</v>
      </c>
      <c r="D1691" s="4" t="s">
        <v>1433</v>
      </c>
      <c r="E1691" s="3" t="s">
        <v>1434</v>
      </c>
      <c r="F1691" s="5">
        <v>46200.66111111111</v>
      </c>
      <c r="G1691" s="5">
        <v>46199.467881944445</v>
      </c>
      <c r="H1691" s="3" t="s">
        <v>14</v>
      </c>
      <c r="I1691" s="7">
        <v>0.0</v>
      </c>
      <c r="J1691" s="3" t="s">
        <v>72</v>
      </c>
    </row>
    <row r="1692">
      <c r="A1692" s="3"/>
      <c r="B1692" s="3"/>
      <c r="C1692" s="3" t="s">
        <v>10</v>
      </c>
      <c r="D1692" s="4" t="s">
        <v>1436</v>
      </c>
      <c r="E1692" s="3" t="s">
        <v>1437</v>
      </c>
      <c r="F1692" s="5">
        <v>46199.55</v>
      </c>
      <c r="G1692" s="5">
        <v>46198.80231481481</v>
      </c>
      <c r="H1692" s="3" t="s">
        <v>14</v>
      </c>
      <c r="I1692" s="3">
        <v>0.0</v>
      </c>
      <c r="J1692" s="3" t="s">
        <v>61</v>
      </c>
    </row>
    <row r="1693">
      <c r="A1693" s="3"/>
      <c r="B1693" s="3"/>
      <c r="C1693" s="3" t="s">
        <v>17</v>
      </c>
      <c r="D1693" s="4" t="s">
        <v>1436</v>
      </c>
      <c r="E1693" s="3" t="s">
        <v>1437</v>
      </c>
      <c r="F1693" s="5">
        <v>46199.55694444444</v>
      </c>
      <c r="G1693" s="5">
        <v>46198.80243055556</v>
      </c>
      <c r="H1693" s="3" t="s">
        <v>14</v>
      </c>
      <c r="I1693" s="7">
        <v>0.0</v>
      </c>
      <c r="J1693" s="3" t="s">
        <v>61</v>
      </c>
    </row>
    <row r="1694">
      <c r="A1694" s="3"/>
      <c r="B1694" s="3"/>
      <c r="C1694" s="3" t="s">
        <v>21</v>
      </c>
      <c r="D1694" s="4" t="s">
        <v>1436</v>
      </c>
      <c r="E1694" s="3" t="s">
        <v>1437</v>
      </c>
      <c r="F1694" s="5">
        <v>46199.66111111111</v>
      </c>
      <c r="G1694" s="5">
        <v>46198.80358796296</v>
      </c>
      <c r="H1694" s="3" t="s">
        <v>14</v>
      </c>
      <c r="I1694" s="7">
        <v>0.0</v>
      </c>
      <c r="J1694" s="3" t="s">
        <v>61</v>
      </c>
    </row>
    <row r="1695">
      <c r="A1695" s="3"/>
      <c r="B1695" s="3"/>
      <c r="C1695" s="3" t="s">
        <v>24</v>
      </c>
      <c r="D1695" s="4" t="s">
        <v>1436</v>
      </c>
      <c r="E1695" s="3" t="s">
        <v>1437</v>
      </c>
      <c r="F1695" s="5">
        <v>46200.66111111111</v>
      </c>
      <c r="G1695" s="5">
        <v>46198.80370370371</v>
      </c>
      <c r="H1695" s="3" t="s">
        <v>14</v>
      </c>
      <c r="I1695" s="7">
        <v>0.0</v>
      </c>
      <c r="J1695" s="3" t="s">
        <v>61</v>
      </c>
    </row>
    <row r="1696">
      <c r="A1696" s="3"/>
      <c r="B1696" s="3"/>
      <c r="C1696" s="3" t="s">
        <v>26</v>
      </c>
      <c r="D1696" s="4" t="s">
        <v>1436</v>
      </c>
      <c r="E1696" s="3" t="s">
        <v>1437</v>
      </c>
      <c r="F1696" s="5">
        <v>46200.70277777778</v>
      </c>
      <c r="G1696" s="5">
        <v>46200.44587962963</v>
      </c>
      <c r="H1696" s="3" t="s">
        <v>14</v>
      </c>
      <c r="I1696" s="7">
        <v>0.0</v>
      </c>
      <c r="J1696" s="3" t="s">
        <v>61</v>
      </c>
    </row>
    <row r="1697">
      <c r="A1697" s="3"/>
      <c r="B1697" s="3"/>
      <c r="C1697" s="3" t="s">
        <v>10</v>
      </c>
      <c r="D1697" s="4" t="s">
        <v>1440</v>
      </c>
      <c r="E1697" s="3" t="s">
        <v>1441</v>
      </c>
      <c r="F1697" s="5">
        <v>46199.55138888889</v>
      </c>
      <c r="G1697" s="5">
        <v>46198.802349537036</v>
      </c>
      <c r="H1697" s="3" t="s">
        <v>14</v>
      </c>
      <c r="I1697" s="3">
        <v>0.0</v>
      </c>
      <c r="J1697" s="3" t="s">
        <v>61</v>
      </c>
    </row>
    <row r="1698">
      <c r="A1698" s="3"/>
      <c r="B1698" s="3"/>
      <c r="C1698" s="3" t="s">
        <v>17</v>
      </c>
      <c r="D1698" s="4" t="s">
        <v>1440</v>
      </c>
      <c r="E1698" s="3" t="s">
        <v>1441</v>
      </c>
      <c r="F1698" s="5">
        <v>46199.558333333334</v>
      </c>
      <c r="G1698" s="5">
        <v>46198.802395833336</v>
      </c>
      <c r="H1698" s="3" t="s">
        <v>14</v>
      </c>
      <c r="I1698" s="7">
        <v>0.0</v>
      </c>
      <c r="J1698" s="3" t="s">
        <v>61</v>
      </c>
    </row>
    <row r="1699">
      <c r="A1699" s="3"/>
      <c r="B1699" s="3"/>
      <c r="C1699" s="3" t="s">
        <v>21</v>
      </c>
      <c r="D1699" s="4" t="s">
        <v>1440</v>
      </c>
      <c r="E1699" s="3" t="s">
        <v>1441</v>
      </c>
      <c r="F1699" s="5">
        <v>46199.6625</v>
      </c>
      <c r="G1699" s="5">
        <v>46198.803622685184</v>
      </c>
      <c r="H1699" s="3" t="s">
        <v>14</v>
      </c>
      <c r="I1699" s="7">
        <v>0.0</v>
      </c>
      <c r="J1699" s="3" t="s">
        <v>61</v>
      </c>
    </row>
    <row r="1700">
      <c r="A1700" s="3"/>
      <c r="B1700" s="3"/>
      <c r="C1700" s="3" t="s">
        <v>24</v>
      </c>
      <c r="D1700" s="4" t="s">
        <v>1440</v>
      </c>
      <c r="E1700" s="3" t="s">
        <v>1441</v>
      </c>
      <c r="F1700" s="5">
        <v>46200.6625</v>
      </c>
      <c r="G1700" s="5">
        <v>46198.80372685185</v>
      </c>
      <c r="H1700" s="3" t="s">
        <v>14</v>
      </c>
      <c r="I1700" s="7">
        <v>0.0</v>
      </c>
      <c r="J1700" s="3" t="s">
        <v>61</v>
      </c>
    </row>
    <row r="1701">
      <c r="A1701" s="3"/>
      <c r="B1701" s="3"/>
      <c r="C1701" s="3" t="s">
        <v>26</v>
      </c>
      <c r="D1701" s="4" t="s">
        <v>1440</v>
      </c>
      <c r="E1701" s="3" t="s">
        <v>1441</v>
      </c>
      <c r="F1701" s="5">
        <v>46200.70416666667</v>
      </c>
      <c r="G1701" s="5">
        <v>46200.445914351854</v>
      </c>
      <c r="H1701" s="3" t="s">
        <v>14</v>
      </c>
      <c r="I1701" s="7">
        <v>0.0</v>
      </c>
      <c r="J1701" s="3" t="s">
        <v>61</v>
      </c>
    </row>
    <row r="1702">
      <c r="A1702" s="3"/>
      <c r="B1702" s="3"/>
      <c r="C1702" s="3" t="s">
        <v>10</v>
      </c>
      <c r="D1702" s="4" t="s">
        <v>1443</v>
      </c>
      <c r="E1702" s="3" t="s">
        <v>1444</v>
      </c>
      <c r="F1702" s="5">
        <v>46199.552777777775</v>
      </c>
      <c r="G1702" s="5">
        <v>46198.80347222222</v>
      </c>
      <c r="H1702" s="3" t="s">
        <v>14</v>
      </c>
      <c r="I1702" s="3">
        <v>0.0</v>
      </c>
      <c r="J1702" s="3" t="s">
        <v>61</v>
      </c>
    </row>
    <row r="1703">
      <c r="A1703" s="3"/>
      <c r="B1703" s="3"/>
      <c r="C1703" s="3" t="s">
        <v>17</v>
      </c>
      <c r="D1703" s="4" t="s">
        <v>1443</v>
      </c>
      <c r="E1703" s="3" t="s">
        <v>1444</v>
      </c>
      <c r="F1703" s="5">
        <v>46199.55972222222</v>
      </c>
      <c r="G1703" s="5">
        <v>46198.80353009259</v>
      </c>
      <c r="H1703" s="3" t="s">
        <v>14</v>
      </c>
      <c r="I1703" s="7">
        <v>0.0</v>
      </c>
      <c r="J1703" s="3" t="s">
        <v>61</v>
      </c>
    </row>
    <row r="1704">
      <c r="A1704" s="3"/>
      <c r="B1704" s="3"/>
      <c r="C1704" s="3" t="s">
        <v>21</v>
      </c>
      <c r="D1704" s="4" t="s">
        <v>1443</v>
      </c>
      <c r="E1704" s="3" t="s">
        <v>1444</v>
      </c>
      <c r="F1704" s="5">
        <v>46199.66388888889</v>
      </c>
      <c r="G1704" s="5">
        <v>46198.80364583333</v>
      </c>
      <c r="H1704" s="3" t="s">
        <v>14</v>
      </c>
      <c r="I1704" s="7">
        <v>0.0</v>
      </c>
      <c r="J1704" s="3" t="s">
        <v>61</v>
      </c>
    </row>
    <row r="1705">
      <c r="A1705" s="3"/>
      <c r="B1705" s="3"/>
      <c r="C1705" s="3" t="s">
        <v>24</v>
      </c>
      <c r="D1705" s="4" t="s">
        <v>1443</v>
      </c>
      <c r="E1705" s="3" t="s">
        <v>1444</v>
      </c>
      <c r="F1705" s="5">
        <v>46200.66388888889</v>
      </c>
      <c r="G1705" s="5">
        <v>46198.803773148145</v>
      </c>
      <c r="H1705" s="3" t="s">
        <v>14</v>
      </c>
      <c r="I1705" s="7">
        <v>0.0</v>
      </c>
      <c r="J1705" s="3" t="s">
        <v>61</v>
      </c>
    </row>
    <row r="1706">
      <c r="A1706" s="3"/>
      <c r="B1706" s="3"/>
      <c r="C1706" s="3" t="s">
        <v>26</v>
      </c>
      <c r="D1706" s="4" t="s">
        <v>1443</v>
      </c>
      <c r="E1706" s="3" t="s">
        <v>1444</v>
      </c>
      <c r="F1706" s="5">
        <v>46200.705555555556</v>
      </c>
      <c r="G1706" s="5">
        <v>46200.445925925924</v>
      </c>
      <c r="H1706" s="3" t="s">
        <v>14</v>
      </c>
      <c r="I1706" s="7">
        <v>0.0</v>
      </c>
      <c r="J1706" s="3" t="s">
        <v>61</v>
      </c>
    </row>
    <row r="1707">
      <c r="A1707" s="3"/>
      <c r="B1707" s="3"/>
      <c r="C1707" s="3" t="s">
        <v>10</v>
      </c>
      <c r="D1707" s="4" t="s">
        <v>1448</v>
      </c>
      <c r="E1707" s="3" t="s">
        <v>1449</v>
      </c>
      <c r="F1707" s="5">
        <v>46199.55902777778</v>
      </c>
      <c r="G1707" s="5">
        <v>46199.38167824074</v>
      </c>
      <c r="H1707" s="3" t="s">
        <v>14</v>
      </c>
      <c r="I1707" s="3">
        <v>0.0</v>
      </c>
      <c r="J1707" s="3" t="s">
        <v>61</v>
      </c>
    </row>
    <row r="1708">
      <c r="A1708" s="3"/>
      <c r="B1708" s="3"/>
      <c r="C1708" s="3" t="s">
        <v>17</v>
      </c>
      <c r="D1708" s="4" t="s">
        <v>1448</v>
      </c>
      <c r="E1708" s="3" t="s">
        <v>1449</v>
      </c>
      <c r="F1708" s="5">
        <v>46199.56597222222</v>
      </c>
      <c r="G1708" s="5">
        <v>46199.38193287037</v>
      </c>
      <c r="H1708" s="3" t="s">
        <v>14</v>
      </c>
      <c r="I1708" s="7">
        <v>0.0</v>
      </c>
      <c r="J1708" s="3" t="s">
        <v>61</v>
      </c>
    </row>
    <row r="1709">
      <c r="A1709" s="3"/>
      <c r="B1709" s="3"/>
      <c r="C1709" s="3" t="s">
        <v>21</v>
      </c>
      <c r="D1709" s="4" t="s">
        <v>1448</v>
      </c>
      <c r="E1709" s="3" t="s">
        <v>1449</v>
      </c>
      <c r="F1709" s="5">
        <v>46199.67013888889</v>
      </c>
      <c r="G1709" s="5">
        <v>46199.38207175926</v>
      </c>
      <c r="H1709" s="3" t="s">
        <v>14</v>
      </c>
      <c r="I1709" s="7">
        <v>0.0</v>
      </c>
      <c r="J1709" s="3" t="s">
        <v>61</v>
      </c>
    </row>
    <row r="1710">
      <c r="A1710" s="3"/>
      <c r="B1710" s="3"/>
      <c r="C1710" s="3" t="s">
        <v>24</v>
      </c>
      <c r="D1710" s="4" t="s">
        <v>1448</v>
      </c>
      <c r="E1710" s="3" t="s">
        <v>1449</v>
      </c>
      <c r="F1710" s="5">
        <v>46200.67013888889</v>
      </c>
      <c r="G1710" s="5">
        <v>46199.38222222222</v>
      </c>
      <c r="H1710" s="3" t="s">
        <v>14</v>
      </c>
      <c r="I1710" s="7">
        <v>0.0</v>
      </c>
      <c r="J1710" s="3" t="s">
        <v>61</v>
      </c>
    </row>
    <row r="1711">
      <c r="A1711" s="3"/>
      <c r="B1711" s="3"/>
      <c r="C1711" s="3" t="s">
        <v>26</v>
      </c>
      <c r="D1711" s="4" t="s">
        <v>1448</v>
      </c>
      <c r="E1711" s="3" t="s">
        <v>1449</v>
      </c>
      <c r="F1711" s="5">
        <v>46200.711805555555</v>
      </c>
      <c r="G1711" s="5">
        <v>46200.44598379629</v>
      </c>
      <c r="H1711" s="3" t="s">
        <v>14</v>
      </c>
      <c r="I1711" s="7">
        <v>0.0</v>
      </c>
      <c r="J1711" s="3" t="s">
        <v>61</v>
      </c>
    </row>
    <row r="1712">
      <c r="A1712" s="3"/>
      <c r="B1712" s="3"/>
      <c r="C1712" s="3" t="s">
        <v>10</v>
      </c>
      <c r="D1712" s="4" t="s">
        <v>1451</v>
      </c>
      <c r="E1712" s="3" t="s">
        <v>1452</v>
      </c>
      <c r="F1712" s="5">
        <v>46199.55972222222</v>
      </c>
      <c r="G1712" s="5">
        <v>46199.38171296296</v>
      </c>
      <c r="H1712" s="3" t="s">
        <v>14</v>
      </c>
      <c r="I1712" s="3">
        <v>0.0</v>
      </c>
      <c r="J1712" s="3" t="s">
        <v>61</v>
      </c>
    </row>
    <row r="1713">
      <c r="A1713" s="3"/>
      <c r="B1713" s="3"/>
      <c r="C1713" s="3" t="s">
        <v>17</v>
      </c>
      <c r="D1713" s="4" t="s">
        <v>1451</v>
      </c>
      <c r="E1713" s="3" t="s">
        <v>1452</v>
      </c>
      <c r="F1713" s="5">
        <v>46199.566666666666</v>
      </c>
      <c r="G1713" s="5">
        <v>46199.38196759259</v>
      </c>
      <c r="H1713" s="3" t="s">
        <v>14</v>
      </c>
      <c r="I1713" s="7">
        <v>0.0</v>
      </c>
      <c r="J1713" s="3" t="s">
        <v>61</v>
      </c>
    </row>
    <row r="1714">
      <c r="A1714" s="3"/>
      <c r="B1714" s="3"/>
      <c r="C1714" s="3" t="s">
        <v>21</v>
      </c>
      <c r="D1714" s="4" t="s">
        <v>1451</v>
      </c>
      <c r="E1714" s="3" t="s">
        <v>1452</v>
      </c>
      <c r="F1714" s="5">
        <v>46199.67083333333</v>
      </c>
      <c r="G1714" s="5">
        <v>46199.382106481484</v>
      </c>
      <c r="H1714" s="3" t="s">
        <v>14</v>
      </c>
      <c r="I1714" s="7">
        <v>0.0</v>
      </c>
      <c r="J1714" s="3" t="s">
        <v>61</v>
      </c>
    </row>
    <row r="1715">
      <c r="A1715" s="3"/>
      <c r="B1715" s="3"/>
      <c r="C1715" s="3" t="s">
        <v>24</v>
      </c>
      <c r="D1715" s="4" t="s">
        <v>1451</v>
      </c>
      <c r="E1715" s="3" t="s">
        <v>1452</v>
      </c>
      <c r="F1715" s="5">
        <v>46200.67083333333</v>
      </c>
      <c r="G1715" s="5">
        <v>46199.382268518515</v>
      </c>
      <c r="H1715" s="3" t="s">
        <v>14</v>
      </c>
      <c r="I1715" s="7">
        <v>0.0</v>
      </c>
      <c r="J1715" s="3" t="s">
        <v>61</v>
      </c>
    </row>
    <row r="1716">
      <c r="A1716" s="3"/>
      <c r="B1716" s="3"/>
      <c r="C1716" s="3" t="s">
        <v>26</v>
      </c>
      <c r="D1716" s="4" t="s">
        <v>1451</v>
      </c>
      <c r="E1716" s="3" t="s">
        <v>1452</v>
      </c>
      <c r="F1716" s="5">
        <v>46200.7125</v>
      </c>
      <c r="G1716" s="5">
        <v>46200.44600694445</v>
      </c>
      <c r="H1716" s="3" t="s">
        <v>14</v>
      </c>
      <c r="I1716" s="7">
        <v>0.0</v>
      </c>
      <c r="J1716" s="3" t="s">
        <v>61</v>
      </c>
    </row>
    <row r="1717">
      <c r="A1717" s="3"/>
      <c r="B1717" s="3"/>
      <c r="C1717" s="3" t="s">
        <v>10</v>
      </c>
      <c r="D1717" s="4" t="s">
        <v>1455</v>
      </c>
      <c r="E1717" s="3" t="s">
        <v>1456</v>
      </c>
      <c r="F1717" s="5">
        <v>46199.56041666667</v>
      </c>
      <c r="G1717" s="5">
        <v>46199.38177083333</v>
      </c>
      <c r="H1717" s="3" t="s">
        <v>14</v>
      </c>
      <c r="I1717" s="3">
        <v>0.0</v>
      </c>
      <c r="J1717" s="3" t="s">
        <v>61</v>
      </c>
    </row>
    <row r="1718">
      <c r="A1718" s="3"/>
      <c r="B1718" s="3"/>
      <c r="C1718" s="3" t="s">
        <v>17</v>
      </c>
      <c r="D1718" s="4" t="s">
        <v>1455</v>
      </c>
      <c r="E1718" s="3" t="s">
        <v>1456</v>
      </c>
      <c r="F1718" s="5">
        <v>46199.56736111111</v>
      </c>
      <c r="G1718" s="5">
        <v>46199.382002314815</v>
      </c>
      <c r="H1718" s="3" t="s">
        <v>14</v>
      </c>
      <c r="I1718" s="7">
        <v>0.0</v>
      </c>
      <c r="J1718" s="3" t="s">
        <v>61</v>
      </c>
    </row>
    <row r="1719">
      <c r="A1719" s="3"/>
      <c r="B1719" s="3"/>
      <c r="C1719" s="3" t="s">
        <v>21</v>
      </c>
      <c r="D1719" s="4" t="s">
        <v>1455</v>
      </c>
      <c r="E1719" s="3" t="s">
        <v>1456</v>
      </c>
      <c r="F1719" s="5">
        <v>46199.67152777778</v>
      </c>
      <c r="G1719" s="5">
        <v>46199.38214120371</v>
      </c>
      <c r="H1719" s="3" t="s">
        <v>14</v>
      </c>
      <c r="I1719" s="7">
        <v>0.0</v>
      </c>
      <c r="J1719" s="3" t="s">
        <v>61</v>
      </c>
    </row>
    <row r="1720">
      <c r="A1720" s="3"/>
      <c r="B1720" s="3"/>
      <c r="C1720" s="3" t="s">
        <v>24</v>
      </c>
      <c r="D1720" s="4" t="s">
        <v>1455</v>
      </c>
      <c r="E1720" s="3" t="s">
        <v>1456</v>
      </c>
      <c r="F1720" s="5">
        <v>46200.67152777778</v>
      </c>
      <c r="G1720" s="5">
        <v>46199.38230324074</v>
      </c>
      <c r="H1720" s="3" t="s">
        <v>14</v>
      </c>
      <c r="I1720" s="7">
        <v>0.0</v>
      </c>
      <c r="J1720" s="3" t="s">
        <v>61</v>
      </c>
    </row>
    <row r="1721">
      <c r="A1721" s="3"/>
      <c r="B1721" s="3"/>
      <c r="C1721" s="3" t="s">
        <v>26</v>
      </c>
      <c r="D1721" s="4" t="s">
        <v>1455</v>
      </c>
      <c r="E1721" s="3" t="s">
        <v>1456</v>
      </c>
      <c r="F1721" s="5">
        <v>46200.71319444444</v>
      </c>
      <c r="G1721" s="5">
        <v>46200.44778935185</v>
      </c>
      <c r="H1721" s="3" t="s">
        <v>14</v>
      </c>
      <c r="I1721" s="7">
        <v>0.0</v>
      </c>
      <c r="J1721" s="3" t="s">
        <v>61</v>
      </c>
    </row>
    <row r="1722">
      <c r="A1722" s="3"/>
      <c r="B1722" s="3"/>
      <c r="C1722" s="3" t="s">
        <v>10</v>
      </c>
      <c r="D1722" s="4" t="s">
        <v>1459</v>
      </c>
      <c r="E1722" s="3" t="s">
        <v>1456</v>
      </c>
      <c r="F1722" s="5">
        <v>46199.56180555555</v>
      </c>
      <c r="G1722" s="5">
        <v>46199.3825462963</v>
      </c>
      <c r="H1722" s="3" t="s">
        <v>14</v>
      </c>
      <c r="I1722" s="3">
        <v>0.0</v>
      </c>
      <c r="J1722" s="3" t="s">
        <v>61</v>
      </c>
    </row>
    <row r="1723">
      <c r="A1723" s="3"/>
      <c r="B1723" s="3"/>
      <c r="C1723" s="3" t="s">
        <v>17</v>
      </c>
      <c r="D1723" s="4" t="s">
        <v>1459</v>
      </c>
      <c r="E1723" s="3" t="s">
        <v>1456</v>
      </c>
      <c r="F1723" s="5">
        <v>46199.56875</v>
      </c>
      <c r="G1723" s="5">
        <v>46199.3827662037</v>
      </c>
      <c r="H1723" s="3" t="s">
        <v>14</v>
      </c>
      <c r="I1723" s="7">
        <v>0.0</v>
      </c>
      <c r="J1723" s="3" t="s">
        <v>61</v>
      </c>
    </row>
    <row r="1724">
      <c r="A1724" s="3"/>
      <c r="B1724" s="3"/>
      <c r="C1724" s="3" t="s">
        <v>21</v>
      </c>
      <c r="D1724" s="4" t="s">
        <v>1459</v>
      </c>
      <c r="E1724" s="3" t="s">
        <v>1456</v>
      </c>
      <c r="F1724" s="5">
        <v>46199.67291666667</v>
      </c>
      <c r="G1724" s="5">
        <v>46199.38290509259</v>
      </c>
      <c r="H1724" s="3" t="s">
        <v>14</v>
      </c>
      <c r="I1724" s="7">
        <v>0.0</v>
      </c>
      <c r="J1724" s="3" t="s">
        <v>61</v>
      </c>
    </row>
    <row r="1725">
      <c r="A1725" s="3"/>
      <c r="B1725" s="3"/>
      <c r="C1725" s="3" t="s">
        <v>24</v>
      </c>
      <c r="D1725" s="4" t="s">
        <v>1459</v>
      </c>
      <c r="E1725" s="3" t="s">
        <v>1456</v>
      </c>
      <c r="F1725" s="5">
        <v>46200.67291666667</v>
      </c>
      <c r="G1725" s="5">
        <v>46199.38297453704</v>
      </c>
      <c r="H1725" s="3" t="s">
        <v>14</v>
      </c>
      <c r="I1725" s="7">
        <v>0.0</v>
      </c>
      <c r="J1725" s="3" t="s">
        <v>61</v>
      </c>
    </row>
    <row r="1726">
      <c r="A1726" s="3"/>
      <c r="B1726" s="3"/>
      <c r="C1726" s="3" t="s">
        <v>26</v>
      </c>
      <c r="D1726" s="4" t="s">
        <v>1459</v>
      </c>
      <c r="E1726" s="3" t="s">
        <v>1456</v>
      </c>
      <c r="F1726" s="5">
        <v>46200.714583333334</v>
      </c>
      <c r="G1726" s="5">
        <v>46200.4478125</v>
      </c>
      <c r="H1726" s="3" t="s">
        <v>14</v>
      </c>
      <c r="I1726" s="7">
        <v>0.0</v>
      </c>
      <c r="J1726" s="3" t="s">
        <v>61</v>
      </c>
    </row>
    <row r="1727">
      <c r="A1727" s="3"/>
      <c r="B1727" s="3"/>
      <c r="C1727" s="3" t="s">
        <v>10</v>
      </c>
      <c r="D1727" s="4" t="s">
        <v>1461</v>
      </c>
      <c r="E1727" s="3" t="s">
        <v>1462</v>
      </c>
      <c r="F1727" s="5">
        <v>46199.56319444445</v>
      </c>
      <c r="G1727" s="5">
        <v>46199.382581018515</v>
      </c>
      <c r="H1727" s="3" t="s">
        <v>14</v>
      </c>
      <c r="I1727" s="3">
        <v>0.0</v>
      </c>
      <c r="J1727" s="3" t="s">
        <v>61</v>
      </c>
    </row>
    <row r="1728">
      <c r="A1728" s="3"/>
      <c r="B1728" s="3"/>
      <c r="C1728" s="3" t="s">
        <v>17</v>
      </c>
      <c r="D1728" s="4" t="s">
        <v>1461</v>
      </c>
      <c r="E1728" s="3" t="s">
        <v>1462</v>
      </c>
      <c r="F1728" s="5">
        <v>46199.57013888889</v>
      </c>
      <c r="G1728" s="5">
        <v>46199.38280092592</v>
      </c>
      <c r="H1728" s="3" t="s">
        <v>14</v>
      </c>
      <c r="I1728" s="7">
        <v>0.0</v>
      </c>
      <c r="J1728" s="3" t="s">
        <v>61</v>
      </c>
    </row>
    <row r="1729">
      <c r="A1729" s="3"/>
      <c r="B1729" s="3"/>
      <c r="C1729" s="3" t="s">
        <v>21</v>
      </c>
      <c r="D1729" s="4" t="s">
        <v>1461</v>
      </c>
      <c r="E1729" s="3" t="s">
        <v>1462</v>
      </c>
      <c r="F1729" s="5">
        <v>46199.674305555556</v>
      </c>
      <c r="G1729" s="5">
        <v>46199.38287037037</v>
      </c>
      <c r="H1729" s="3" t="s">
        <v>14</v>
      </c>
      <c r="I1729" s="7">
        <v>0.0</v>
      </c>
      <c r="J1729" s="3" t="s">
        <v>61</v>
      </c>
    </row>
    <row r="1730">
      <c r="A1730" s="3"/>
      <c r="B1730" s="3"/>
      <c r="C1730" s="3" t="s">
        <v>24</v>
      </c>
      <c r="D1730" s="4" t="s">
        <v>1461</v>
      </c>
      <c r="E1730" s="3" t="s">
        <v>1462</v>
      </c>
      <c r="F1730" s="5">
        <v>46200.674305555556</v>
      </c>
      <c r="G1730" s="5">
        <v>46199.38300925926</v>
      </c>
      <c r="H1730" s="3" t="s">
        <v>14</v>
      </c>
      <c r="I1730" s="7">
        <v>0.0</v>
      </c>
      <c r="J1730" s="3" t="s">
        <v>61</v>
      </c>
    </row>
    <row r="1731">
      <c r="A1731" s="3"/>
      <c r="B1731" s="3"/>
      <c r="C1731" s="3" t="s">
        <v>26</v>
      </c>
      <c r="D1731" s="4" t="s">
        <v>1461</v>
      </c>
      <c r="E1731" s="3" t="s">
        <v>1462</v>
      </c>
      <c r="F1731" s="5">
        <v>46200.71597222222</v>
      </c>
      <c r="G1731" s="5">
        <v>46200.44787037037</v>
      </c>
      <c r="H1731" s="3" t="s">
        <v>14</v>
      </c>
      <c r="I1731" s="7">
        <v>0.0</v>
      </c>
      <c r="J1731" s="3" t="s">
        <v>61</v>
      </c>
    </row>
    <row r="1732">
      <c r="A1732" s="3"/>
      <c r="B1732" s="3"/>
      <c r="C1732" s="3" t="s">
        <v>10</v>
      </c>
      <c r="D1732" s="4" t="s">
        <v>1466</v>
      </c>
      <c r="E1732" s="3" t="s">
        <v>1467</v>
      </c>
      <c r="F1732" s="5">
        <v>46199.61424768518</v>
      </c>
      <c r="G1732" s="5">
        <v>46199.46730324074</v>
      </c>
      <c r="H1732" s="3" t="s">
        <v>14</v>
      </c>
      <c r="I1732" s="3">
        <v>0.0</v>
      </c>
      <c r="J1732" s="3" t="s">
        <v>72</v>
      </c>
    </row>
    <row r="1733">
      <c r="A1733" s="3"/>
      <c r="B1733" s="3"/>
      <c r="C1733" s="3" t="s">
        <v>17</v>
      </c>
      <c r="D1733" s="4" t="s">
        <v>1466</v>
      </c>
      <c r="E1733" s="3" t="s">
        <v>1467</v>
      </c>
      <c r="F1733" s="5">
        <v>46199.62119212963</v>
      </c>
      <c r="G1733" s="5">
        <v>46199.46737268518</v>
      </c>
      <c r="H1733" s="3" t="s">
        <v>14</v>
      </c>
      <c r="I1733" s="7">
        <v>0.0</v>
      </c>
      <c r="J1733" s="3" t="s">
        <v>72</v>
      </c>
    </row>
    <row r="1734">
      <c r="A1734" s="3"/>
      <c r="B1734" s="3"/>
      <c r="C1734" s="3" t="s">
        <v>21</v>
      </c>
      <c r="D1734" s="4" t="s">
        <v>1466</v>
      </c>
      <c r="E1734" s="3" t="s">
        <v>1467</v>
      </c>
      <c r="F1734" s="5">
        <v>46199.7253587963</v>
      </c>
      <c r="G1734" s="5">
        <v>46199.46739583334</v>
      </c>
      <c r="H1734" s="3" t="s">
        <v>14</v>
      </c>
      <c r="I1734" s="7">
        <v>0.0</v>
      </c>
      <c r="J1734" s="3" t="s">
        <v>72</v>
      </c>
    </row>
    <row r="1735">
      <c r="A1735" s="3"/>
      <c r="B1735" s="3"/>
      <c r="C1735" s="3" t="s">
        <v>24</v>
      </c>
      <c r="D1735" s="4" t="s">
        <v>1466</v>
      </c>
      <c r="E1735" s="3" t="s">
        <v>1467</v>
      </c>
      <c r="F1735" s="5">
        <v>46200.725</v>
      </c>
      <c r="G1735" s="5">
        <v>46200.56253472222</v>
      </c>
      <c r="H1735" s="3" t="s">
        <v>14</v>
      </c>
      <c r="I1735" s="7">
        <v>0.0</v>
      </c>
      <c r="J1735" s="3" t="s">
        <v>72</v>
      </c>
    </row>
    <row r="1736">
      <c r="A1736" s="3"/>
      <c r="B1736" s="3"/>
      <c r="C1736" s="3" t="s">
        <v>26</v>
      </c>
      <c r="D1736" s="4" t="s">
        <v>1466</v>
      </c>
      <c r="E1736" s="3" t="s">
        <v>1467</v>
      </c>
      <c r="F1736" s="5">
        <v>46200.76666666667</v>
      </c>
      <c r="G1736" s="5">
        <v>46200.56259259259</v>
      </c>
      <c r="H1736" s="3" t="s">
        <v>14</v>
      </c>
      <c r="I1736" s="7">
        <v>0.0</v>
      </c>
      <c r="J1736" s="3" t="s">
        <v>72</v>
      </c>
    </row>
    <row r="1737">
      <c r="A1737" s="3"/>
      <c r="B1737" s="3"/>
      <c r="C1737" s="3" t="s">
        <v>10</v>
      </c>
      <c r="D1737" s="4" t="s">
        <v>1470</v>
      </c>
      <c r="E1737" s="3" t="s">
        <v>1471</v>
      </c>
      <c r="F1737" s="5">
        <v>46200.48611111111</v>
      </c>
      <c r="G1737" s="5">
        <v>46199.76846064815</v>
      </c>
      <c r="H1737" s="3" t="s">
        <v>14</v>
      </c>
      <c r="I1737" s="3">
        <v>0.0</v>
      </c>
      <c r="J1737" s="3" t="s">
        <v>48</v>
      </c>
    </row>
    <row r="1738">
      <c r="A1738" s="3"/>
      <c r="B1738" s="3"/>
      <c r="C1738" s="3" t="s">
        <v>17</v>
      </c>
      <c r="D1738" s="4" t="s">
        <v>1470</v>
      </c>
      <c r="E1738" s="3" t="s">
        <v>1471</v>
      </c>
      <c r="F1738" s="5">
        <v>46200.493055555555</v>
      </c>
      <c r="G1738" s="5">
        <v>46199.768645833334</v>
      </c>
      <c r="H1738" s="3" t="s">
        <v>14</v>
      </c>
      <c r="I1738" s="7">
        <v>0.0</v>
      </c>
      <c r="J1738" s="3" t="s">
        <v>48</v>
      </c>
    </row>
    <row r="1739">
      <c r="A1739" s="3"/>
      <c r="B1739" s="3"/>
      <c r="C1739" s="3" t="s">
        <v>21</v>
      </c>
      <c r="D1739" s="4" t="s">
        <v>1470</v>
      </c>
      <c r="E1739" s="3" t="s">
        <v>1471</v>
      </c>
      <c r="F1739" s="5">
        <v>46200.59722222222</v>
      </c>
      <c r="G1739" s="5">
        <v>46200.5519212963</v>
      </c>
      <c r="H1739" s="3" t="s">
        <v>14</v>
      </c>
      <c r="I1739" s="7">
        <v>0.0</v>
      </c>
      <c r="J1739" s="3" t="s">
        <v>48</v>
      </c>
    </row>
    <row r="1740">
      <c r="A1740" s="3"/>
      <c r="B1740" s="3"/>
      <c r="C1740" s="3" t="s">
        <v>24</v>
      </c>
      <c r="D1740" s="4" t="s">
        <v>1470</v>
      </c>
      <c r="E1740" s="3" t="s">
        <v>1471</v>
      </c>
      <c r="F1740" s="5">
        <v>46202.59722222222</v>
      </c>
      <c r="G1740" s="5">
        <v>46200.683599537035</v>
      </c>
      <c r="H1740" s="3" t="s">
        <v>14</v>
      </c>
      <c r="I1740" s="7">
        <v>0.0</v>
      </c>
      <c r="J1740" s="3" t="s">
        <v>48</v>
      </c>
    </row>
    <row r="1741">
      <c r="A1741" s="3"/>
      <c r="B1741" s="3"/>
      <c r="C1741" s="3" t="s">
        <v>26</v>
      </c>
      <c r="D1741" s="4" t="s">
        <v>1470</v>
      </c>
      <c r="E1741" s="3" t="s">
        <v>1471</v>
      </c>
      <c r="F1741" s="5">
        <v>46202.63888888889</v>
      </c>
      <c r="G1741" s="5">
        <v>46202.45741898148</v>
      </c>
      <c r="H1741" s="3" t="s">
        <v>14</v>
      </c>
      <c r="I1741" s="7">
        <v>0.0</v>
      </c>
      <c r="J1741" s="3" t="s">
        <v>48</v>
      </c>
    </row>
    <row r="1742">
      <c r="A1742" s="3"/>
      <c r="B1742" s="3"/>
      <c r="C1742" s="3" t="s">
        <v>10</v>
      </c>
      <c r="D1742" s="4" t="s">
        <v>1473</v>
      </c>
      <c r="E1742" s="3" t="s">
        <v>136</v>
      </c>
      <c r="F1742" s="5">
        <v>46200.50486111111</v>
      </c>
      <c r="G1742" s="5">
        <v>46199.768483796295</v>
      </c>
      <c r="H1742" s="3" t="s">
        <v>14</v>
      </c>
      <c r="I1742" s="3">
        <v>0.0</v>
      </c>
      <c r="J1742" s="3" t="s">
        <v>15</v>
      </c>
    </row>
    <row r="1743">
      <c r="A1743" s="3"/>
      <c r="B1743" s="3"/>
      <c r="C1743" s="3" t="s">
        <v>17</v>
      </c>
      <c r="D1743" s="4" t="s">
        <v>1473</v>
      </c>
      <c r="E1743" s="3" t="s">
        <v>136</v>
      </c>
      <c r="F1743" s="5">
        <v>46200.51180555556</v>
      </c>
      <c r="G1743" s="5">
        <v>46199.76866898148</v>
      </c>
      <c r="H1743" s="3" t="s">
        <v>14</v>
      </c>
      <c r="I1743" s="7">
        <v>0.0</v>
      </c>
      <c r="J1743" s="3" t="s">
        <v>15</v>
      </c>
    </row>
    <row r="1744">
      <c r="A1744" s="3"/>
      <c r="B1744" s="3"/>
      <c r="C1744" s="3" t="s">
        <v>21</v>
      </c>
      <c r="D1744" s="4" t="s">
        <v>1473</v>
      </c>
      <c r="E1744" s="3" t="s">
        <v>136</v>
      </c>
      <c r="F1744" s="5">
        <v>46200.61597222222</v>
      </c>
      <c r="G1744" s="5">
        <v>46200.55194444444</v>
      </c>
      <c r="H1744" s="3" t="s">
        <v>14</v>
      </c>
      <c r="I1744" s="7">
        <v>0.0</v>
      </c>
      <c r="J1744" s="3" t="s">
        <v>15</v>
      </c>
    </row>
    <row r="1745">
      <c r="A1745" s="3"/>
      <c r="B1745" s="3"/>
      <c r="C1745" s="3" t="s">
        <v>24</v>
      </c>
      <c r="D1745" s="4" t="s">
        <v>1473</v>
      </c>
      <c r="E1745" s="3" t="s">
        <v>136</v>
      </c>
      <c r="F1745" s="5">
        <v>46202.61597222222</v>
      </c>
      <c r="G1745" s="5">
        <v>46200.68363425926</v>
      </c>
      <c r="H1745" s="3" t="s">
        <v>14</v>
      </c>
      <c r="I1745" s="7">
        <v>0.0</v>
      </c>
      <c r="J1745" s="3" t="s">
        <v>15</v>
      </c>
    </row>
    <row r="1746">
      <c r="A1746" s="3"/>
      <c r="B1746" s="3"/>
      <c r="C1746" s="3" t="s">
        <v>26</v>
      </c>
      <c r="D1746" s="4" t="s">
        <v>1473</v>
      </c>
      <c r="E1746" s="3" t="s">
        <v>136</v>
      </c>
      <c r="F1746" s="5">
        <v>46202.657638888886</v>
      </c>
      <c r="G1746" s="5">
        <v>46202.457453703704</v>
      </c>
      <c r="H1746" s="3" t="s">
        <v>14</v>
      </c>
      <c r="I1746" s="7">
        <v>0.0</v>
      </c>
      <c r="J1746" s="3" t="s">
        <v>15</v>
      </c>
    </row>
    <row r="1747">
      <c r="A1747" s="3"/>
      <c r="B1747" s="3"/>
      <c r="C1747" s="3" t="s">
        <v>10</v>
      </c>
      <c r="D1747" s="4" t="s">
        <v>1476</v>
      </c>
      <c r="E1747" s="3" t="s">
        <v>136</v>
      </c>
      <c r="F1747" s="5">
        <v>46200.63141203704</v>
      </c>
      <c r="G1747" s="5">
        <v>46200.49774305556</v>
      </c>
      <c r="H1747" s="3" t="s">
        <v>14</v>
      </c>
      <c r="I1747" s="3">
        <v>0.0</v>
      </c>
      <c r="J1747" s="3" t="s">
        <v>15</v>
      </c>
    </row>
    <row r="1748">
      <c r="A1748" s="3"/>
      <c r="B1748" s="3"/>
      <c r="C1748" s="3" t="s">
        <v>17</v>
      </c>
      <c r="D1748" s="4" t="s">
        <v>1476</v>
      </c>
      <c r="E1748" s="3" t="s">
        <v>136</v>
      </c>
      <c r="F1748" s="5">
        <v>46200.63835648148</v>
      </c>
      <c r="G1748" s="5">
        <v>46200.49790509259</v>
      </c>
      <c r="H1748" s="3" t="s">
        <v>14</v>
      </c>
      <c r="I1748" s="7">
        <v>0.0</v>
      </c>
      <c r="J1748" s="3" t="s">
        <v>15</v>
      </c>
    </row>
    <row r="1749">
      <c r="A1749" s="3"/>
      <c r="B1749" s="3"/>
      <c r="C1749" s="3" t="s">
        <v>21</v>
      </c>
      <c r="D1749" s="4" t="s">
        <v>1476</v>
      </c>
      <c r="E1749" s="3" t="s">
        <v>136</v>
      </c>
      <c r="F1749" s="5">
        <v>46200.74252314815</v>
      </c>
      <c r="G1749" s="5">
        <v>46200.55195601852</v>
      </c>
      <c r="H1749" s="3" t="s">
        <v>14</v>
      </c>
      <c r="I1749" s="7">
        <v>0.0</v>
      </c>
      <c r="J1749" s="3" t="s">
        <v>15</v>
      </c>
    </row>
    <row r="1750">
      <c r="A1750" s="3"/>
      <c r="B1750" s="3"/>
      <c r="C1750" s="3" t="s">
        <v>24</v>
      </c>
      <c r="D1750" s="4" t="s">
        <v>1476</v>
      </c>
      <c r="E1750" s="3" t="s">
        <v>136</v>
      </c>
      <c r="F1750" s="5">
        <v>46202.74236111111</v>
      </c>
      <c r="G1750" s="5">
        <v>46200.683645833335</v>
      </c>
      <c r="H1750" s="3" t="s">
        <v>14</v>
      </c>
      <c r="I1750" s="7">
        <v>0.0</v>
      </c>
      <c r="J1750" s="3" t="s">
        <v>15</v>
      </c>
    </row>
    <row r="1751">
      <c r="A1751" s="3"/>
      <c r="B1751" s="3"/>
      <c r="C1751" s="3" t="s">
        <v>26</v>
      </c>
      <c r="D1751" s="4" t="s">
        <v>1476</v>
      </c>
      <c r="E1751" s="3" t="s">
        <v>136</v>
      </c>
      <c r="F1751" s="5">
        <v>46202.78402777778</v>
      </c>
      <c r="G1751" s="5">
        <v>46202.45747685185</v>
      </c>
      <c r="H1751" s="3" t="s">
        <v>14</v>
      </c>
      <c r="I1751" s="7">
        <v>0.0</v>
      </c>
      <c r="J1751" s="3" t="s">
        <v>15</v>
      </c>
    </row>
    <row r="1752">
      <c r="A1752" s="3"/>
      <c r="B1752" s="3"/>
      <c r="C1752" s="3" t="s">
        <v>10</v>
      </c>
      <c r="D1752" s="4" t="s">
        <v>1479</v>
      </c>
      <c r="E1752" s="3" t="s">
        <v>1480</v>
      </c>
      <c r="F1752" s="5">
        <v>46200.64733796296</v>
      </c>
      <c r="G1752" s="5">
        <v>46200.49784722222</v>
      </c>
      <c r="H1752" s="3" t="s">
        <v>14</v>
      </c>
      <c r="I1752" s="3">
        <v>0.0</v>
      </c>
      <c r="J1752" s="3" t="s">
        <v>48</v>
      </c>
    </row>
    <row r="1753">
      <c r="A1753" s="3"/>
      <c r="B1753" s="3"/>
      <c r="C1753" s="3" t="s">
        <v>17</v>
      </c>
      <c r="D1753" s="4" t="s">
        <v>1479</v>
      </c>
      <c r="E1753" s="3" t="s">
        <v>1480</v>
      </c>
      <c r="F1753" s="5">
        <v>46200.654282407406</v>
      </c>
      <c r="G1753" s="5">
        <v>46200.497928240744</v>
      </c>
      <c r="H1753" s="3" t="s">
        <v>14</v>
      </c>
      <c r="I1753" s="7">
        <v>0.0</v>
      </c>
      <c r="J1753" s="3" t="s">
        <v>48</v>
      </c>
    </row>
    <row r="1754">
      <c r="A1754" s="3"/>
      <c r="B1754" s="3"/>
      <c r="C1754" s="3" t="s">
        <v>21</v>
      </c>
      <c r="D1754" s="4" t="s">
        <v>1479</v>
      </c>
      <c r="E1754" s="3" t="s">
        <v>1480</v>
      </c>
      <c r="F1754" s="5">
        <v>46200.75844907408</v>
      </c>
      <c r="G1754" s="5">
        <v>46200.551875</v>
      </c>
      <c r="H1754" s="3" t="s">
        <v>14</v>
      </c>
      <c r="I1754" s="7">
        <v>0.0</v>
      </c>
      <c r="J1754" s="3" t="s">
        <v>48</v>
      </c>
    </row>
    <row r="1755">
      <c r="A1755" s="3"/>
      <c r="B1755" s="3"/>
      <c r="C1755" s="3" t="s">
        <v>24</v>
      </c>
      <c r="D1755" s="4" t="s">
        <v>1479</v>
      </c>
      <c r="E1755" s="3" t="s">
        <v>1480</v>
      </c>
      <c r="F1755" s="5">
        <v>46202.75833333333</v>
      </c>
      <c r="G1755" s="5">
        <v>46200.68368055556</v>
      </c>
      <c r="H1755" s="3" t="s">
        <v>14</v>
      </c>
      <c r="I1755" s="7">
        <v>0.0</v>
      </c>
      <c r="J1755" s="3" t="s">
        <v>48</v>
      </c>
    </row>
    <row r="1756">
      <c r="A1756" s="3"/>
      <c r="B1756" s="3"/>
      <c r="C1756" s="3" t="s">
        <v>26</v>
      </c>
      <c r="D1756" s="4" t="s">
        <v>1479</v>
      </c>
      <c r="E1756" s="3" t="s">
        <v>1480</v>
      </c>
      <c r="F1756" s="5">
        <v>46202.8</v>
      </c>
      <c r="G1756" s="5">
        <v>46202.4575</v>
      </c>
      <c r="H1756" s="3" t="s">
        <v>14</v>
      </c>
      <c r="I1756" s="7">
        <v>0.0</v>
      </c>
      <c r="J1756" s="3" t="s">
        <v>48</v>
      </c>
    </row>
    <row r="1757">
      <c r="A1757" s="3"/>
      <c r="B1757" s="3"/>
      <c r="C1757" s="3" t="s">
        <v>10</v>
      </c>
      <c r="D1757" s="4" t="s">
        <v>1483</v>
      </c>
      <c r="E1757" s="3" t="s">
        <v>1484</v>
      </c>
      <c r="F1757" s="5">
        <v>46202.50833333333</v>
      </c>
      <c r="G1757" s="5">
        <v>46202.45767361111</v>
      </c>
      <c r="H1757" s="3" t="s">
        <v>14</v>
      </c>
      <c r="I1757" s="3">
        <v>0.0</v>
      </c>
      <c r="J1757" s="3" t="s">
        <v>72</v>
      </c>
    </row>
    <row r="1758">
      <c r="A1758" s="3"/>
      <c r="B1758" s="3"/>
      <c r="C1758" s="3" t="s">
        <v>17</v>
      </c>
      <c r="D1758" s="4" t="s">
        <v>1483</v>
      </c>
      <c r="E1758" s="3" t="s">
        <v>1484</v>
      </c>
      <c r="F1758" s="5">
        <v>46202.51527777778</v>
      </c>
      <c r="G1758" s="5">
        <v>46202.457708333335</v>
      </c>
      <c r="H1758" s="3" t="s">
        <v>14</v>
      </c>
      <c r="I1758" s="7">
        <v>0.0</v>
      </c>
      <c r="J1758" s="3" t="s">
        <v>72</v>
      </c>
    </row>
    <row r="1759">
      <c r="A1759" s="3"/>
      <c r="B1759" s="3"/>
      <c r="C1759" s="3" t="s">
        <v>21</v>
      </c>
      <c r="D1759" s="4" t="s">
        <v>1483</v>
      </c>
      <c r="E1759" s="3" t="s">
        <v>1484</v>
      </c>
      <c r="F1759" s="5">
        <v>46202.61944444444</v>
      </c>
      <c r="G1759" s="5">
        <v>46202.45774305556</v>
      </c>
      <c r="H1759" s="3" t="s">
        <v>14</v>
      </c>
      <c r="I1759" s="7">
        <v>0.0</v>
      </c>
      <c r="J1759" s="3" t="s">
        <v>72</v>
      </c>
    </row>
    <row r="1760">
      <c r="A1760" s="3"/>
      <c r="B1760" s="3"/>
      <c r="C1760" s="3" t="s">
        <v>24</v>
      </c>
      <c r="D1760" s="4" t="s">
        <v>1483</v>
      </c>
      <c r="E1760" s="3" t="s">
        <v>1484</v>
      </c>
      <c r="F1760" s="5">
        <v>46203.61944444444</v>
      </c>
      <c r="G1760" s="5">
        <v>46202.6590162037</v>
      </c>
      <c r="H1760" s="3" t="s">
        <v>14</v>
      </c>
      <c r="I1760" s="7">
        <v>0.0</v>
      </c>
      <c r="J1760" s="3" t="s">
        <v>72</v>
      </c>
    </row>
    <row r="1761">
      <c r="A1761" s="3"/>
      <c r="B1761" s="3"/>
      <c r="C1761" s="3" t="s">
        <v>26</v>
      </c>
      <c r="D1761" s="4" t="s">
        <v>1483</v>
      </c>
      <c r="E1761" s="3" t="s">
        <v>1484</v>
      </c>
      <c r="F1761" s="5">
        <v>46203.66111111111</v>
      </c>
      <c r="G1761" s="5">
        <v>46202.659097222226</v>
      </c>
      <c r="H1761" s="3" t="s">
        <v>14</v>
      </c>
      <c r="I1761" s="7">
        <v>0.0</v>
      </c>
      <c r="J1761" s="3" t="s">
        <v>72</v>
      </c>
    </row>
    <row r="1762">
      <c r="A1762" s="3"/>
      <c r="B1762" s="3"/>
      <c r="C1762" s="3" t="s">
        <v>10</v>
      </c>
      <c r="D1762" s="4" t="s">
        <v>1485</v>
      </c>
      <c r="E1762" s="3" t="s">
        <v>1486</v>
      </c>
      <c r="F1762" s="5">
        <v>46202.65425925926</v>
      </c>
      <c r="G1762" s="5">
        <v>46202.51188657407</v>
      </c>
      <c r="H1762" s="3" t="s">
        <v>14</v>
      </c>
      <c r="I1762" s="3">
        <v>0.0</v>
      </c>
      <c r="J1762" s="3" t="s">
        <v>15</v>
      </c>
    </row>
    <row r="1763">
      <c r="A1763" s="3"/>
      <c r="B1763" s="3"/>
      <c r="C1763" s="3" t="s">
        <v>17</v>
      </c>
      <c r="D1763" s="4" t="s">
        <v>1485</v>
      </c>
      <c r="E1763" s="3" t="s">
        <v>1486</v>
      </c>
      <c r="F1763" s="5">
        <v>46202.661203703705</v>
      </c>
      <c r="G1763" s="5">
        <v>46202.512025462966</v>
      </c>
      <c r="H1763" s="3" t="s">
        <v>14</v>
      </c>
      <c r="I1763" s="7">
        <v>0.0</v>
      </c>
      <c r="J1763" s="3" t="s">
        <v>15</v>
      </c>
    </row>
    <row r="1764">
      <c r="A1764" s="3"/>
      <c r="B1764" s="3"/>
      <c r="C1764" s="3" t="s">
        <v>21</v>
      </c>
      <c r="D1764" s="4" t="s">
        <v>1485</v>
      </c>
      <c r="E1764" s="3" t="s">
        <v>1486</v>
      </c>
      <c r="F1764" s="5">
        <v>46202.76537037037</v>
      </c>
      <c r="G1764" s="5">
        <v>46202.512083333335</v>
      </c>
      <c r="H1764" s="3" t="s">
        <v>14</v>
      </c>
      <c r="I1764" s="7">
        <v>0.0</v>
      </c>
      <c r="J1764" s="3" t="s">
        <v>15</v>
      </c>
    </row>
    <row r="1765">
      <c r="A1765" s="3"/>
      <c r="B1765" s="3"/>
      <c r="C1765" s="3" t="s">
        <v>24</v>
      </c>
      <c r="D1765" s="4" t="s">
        <v>1485</v>
      </c>
      <c r="E1765" s="3" t="s">
        <v>1486</v>
      </c>
      <c r="F1765" s="5">
        <v>46203.76527777778</v>
      </c>
      <c r="G1765" s="5">
        <v>46202.6590162037</v>
      </c>
      <c r="H1765" s="3" t="s">
        <v>14</v>
      </c>
      <c r="I1765" s="7">
        <v>0.0</v>
      </c>
      <c r="J1765" s="3" t="s">
        <v>15</v>
      </c>
    </row>
    <row r="1766">
      <c r="A1766" s="3"/>
      <c r="B1766" s="3"/>
      <c r="C1766" s="3" t="s">
        <v>26</v>
      </c>
      <c r="D1766" s="4" t="s">
        <v>1485</v>
      </c>
      <c r="E1766" s="3" t="s">
        <v>1486</v>
      </c>
      <c r="F1766" s="5">
        <v>46203.80694444444</v>
      </c>
      <c r="G1766" s="5">
        <v>46202.65912037037</v>
      </c>
      <c r="H1766" s="3" t="s">
        <v>14</v>
      </c>
      <c r="I1766" s="7">
        <v>0.0</v>
      </c>
      <c r="J1766" s="3" t="s">
        <v>15</v>
      </c>
    </row>
    <row r="1767">
      <c r="A1767" s="3"/>
      <c r="B1767" s="3"/>
      <c r="C1767" s="3" t="s">
        <v>10</v>
      </c>
      <c r="D1767" s="4" t="s">
        <v>1489</v>
      </c>
      <c r="E1767" s="3" t="s">
        <v>1490</v>
      </c>
      <c r="F1767" s="5">
        <v>46202.83032407407</v>
      </c>
      <c r="G1767" s="5">
        <v>46202.6874537037</v>
      </c>
      <c r="H1767" s="3" t="s">
        <v>14</v>
      </c>
      <c r="I1767" s="3">
        <v>0.0</v>
      </c>
      <c r="J1767" s="3" t="s">
        <v>15</v>
      </c>
    </row>
    <row r="1768">
      <c r="A1768" s="3"/>
      <c r="B1768" s="3"/>
      <c r="C1768" s="3" t="s">
        <v>17</v>
      </c>
      <c r="D1768" s="4" t="s">
        <v>1489</v>
      </c>
      <c r="E1768" s="3" t="s">
        <v>1490</v>
      </c>
      <c r="F1768" s="5">
        <v>46203.45486111111</v>
      </c>
      <c r="G1768" s="5">
        <v>46202.68753472222</v>
      </c>
      <c r="H1768" s="3" t="s">
        <v>14</v>
      </c>
      <c r="I1768" s="7">
        <v>0.0</v>
      </c>
      <c r="J1768" s="3" t="s">
        <v>15</v>
      </c>
    </row>
    <row r="1769">
      <c r="A1769" s="3"/>
      <c r="B1769" s="3"/>
      <c r="C1769" s="3" t="s">
        <v>21</v>
      </c>
      <c r="D1769" s="4" t="s">
        <v>1489</v>
      </c>
      <c r="E1769" s="3" t="s">
        <v>1490</v>
      </c>
      <c r="F1769" s="5">
        <v>46203.55902777778</v>
      </c>
      <c r="G1769" s="5">
        <v>46202.68954861111</v>
      </c>
      <c r="H1769" s="3" t="s">
        <v>14</v>
      </c>
      <c r="I1769" s="7">
        <v>0.0</v>
      </c>
      <c r="J1769" s="3" t="s">
        <v>15</v>
      </c>
    </row>
    <row r="1770">
      <c r="A1770" s="3"/>
      <c r="B1770" s="3"/>
      <c r="C1770" s="3" t="s">
        <v>24</v>
      </c>
      <c r="D1770" s="4" t="s">
        <v>1489</v>
      </c>
      <c r="E1770" s="3" t="s">
        <v>1490</v>
      </c>
      <c r="F1770" s="5">
        <v>46204.55902777778</v>
      </c>
      <c r="G1770" s="5">
        <v>46202.68962962963</v>
      </c>
      <c r="H1770" s="3" t="s">
        <v>14</v>
      </c>
      <c r="I1770" s="7">
        <v>0.0</v>
      </c>
      <c r="J1770" s="3" t="s">
        <v>15</v>
      </c>
    </row>
    <row r="1771">
      <c r="A1771" s="3"/>
      <c r="B1771" s="3"/>
      <c r="C1771" s="3" t="s">
        <v>26</v>
      </c>
      <c r="D1771" s="4" t="s">
        <v>1489</v>
      </c>
      <c r="E1771" s="3" t="s">
        <v>1490</v>
      </c>
      <c r="F1771" s="5">
        <v>46204.600694444445</v>
      </c>
      <c r="G1771" s="5">
        <v>46202.689733796295</v>
      </c>
      <c r="H1771" s="3" t="s">
        <v>14</v>
      </c>
      <c r="I1771" s="7">
        <v>0.0</v>
      </c>
      <c r="J1771" s="3" t="s">
        <v>15</v>
      </c>
    </row>
    <row r="1772">
      <c r="A1772" s="3"/>
      <c r="B1772" s="3"/>
      <c r="C1772" s="3" t="s">
        <v>10</v>
      </c>
      <c r="D1772" s="4" t="s">
        <v>1492</v>
      </c>
      <c r="E1772" s="3" t="s">
        <v>1493</v>
      </c>
      <c r="F1772" s="5">
        <v>46203.65584490741</v>
      </c>
      <c r="G1772" s="5">
        <v>46203.549849537034</v>
      </c>
      <c r="H1772" s="3" t="s">
        <v>14</v>
      </c>
      <c r="I1772" s="3">
        <v>0.0</v>
      </c>
      <c r="J1772" s="3" t="s">
        <v>15</v>
      </c>
    </row>
    <row r="1773">
      <c r="A1773" s="3"/>
      <c r="B1773" s="3"/>
      <c r="C1773" s="3" t="s">
        <v>17</v>
      </c>
      <c r="D1773" s="4" t="s">
        <v>1492</v>
      </c>
      <c r="E1773" s="3" t="s">
        <v>1493</v>
      </c>
      <c r="F1773" s="5">
        <v>46203.66278935185</v>
      </c>
      <c r="G1773" s="5">
        <v>46203.54993055556</v>
      </c>
      <c r="H1773" s="3" t="s">
        <v>14</v>
      </c>
      <c r="I1773" s="7">
        <v>0.0</v>
      </c>
      <c r="J1773" s="3" t="s">
        <v>15</v>
      </c>
    </row>
    <row r="1774">
      <c r="A1774" s="3"/>
      <c r="B1774" s="3"/>
      <c r="C1774" s="3" t="s">
        <v>21</v>
      </c>
      <c r="D1774" s="4" t="s">
        <v>1492</v>
      </c>
      <c r="E1774" s="3" t="s">
        <v>1493</v>
      </c>
      <c r="F1774" s="5">
        <v>46203.76695601852</v>
      </c>
      <c r="G1774" s="5">
        <v>46203.67503472222</v>
      </c>
      <c r="H1774" s="3" t="s">
        <v>14</v>
      </c>
      <c r="I1774" s="7">
        <v>0.0</v>
      </c>
      <c r="J1774" s="3" t="s">
        <v>15</v>
      </c>
    </row>
    <row r="1775">
      <c r="A1775" s="3"/>
      <c r="B1775" s="3"/>
      <c r="C1775" s="3" t="s">
        <v>24</v>
      </c>
      <c r="D1775" s="4" t="s">
        <v>1492</v>
      </c>
      <c r="E1775" s="3" t="s">
        <v>1493</v>
      </c>
      <c r="F1775" s="5">
        <v>46204.76666666667</v>
      </c>
      <c r="G1775" s="5">
        <v>46204.44819444444</v>
      </c>
      <c r="H1775" s="3" t="s">
        <v>14</v>
      </c>
      <c r="I1775" s="7">
        <v>0.0</v>
      </c>
      <c r="J1775" s="3" t="s">
        <v>15</v>
      </c>
    </row>
    <row r="1776">
      <c r="A1776" s="3"/>
      <c r="B1776" s="3"/>
      <c r="C1776" s="3" t="s">
        <v>26</v>
      </c>
      <c r="D1776" s="4" t="s">
        <v>1492</v>
      </c>
      <c r="E1776" s="3" t="s">
        <v>1493</v>
      </c>
      <c r="F1776" s="5">
        <v>46204.808333333334</v>
      </c>
      <c r="G1776" s="5">
        <v>46204.47642361111</v>
      </c>
      <c r="H1776" s="3" t="s">
        <v>14</v>
      </c>
      <c r="I1776" s="7">
        <v>0.0</v>
      </c>
      <c r="J1776" s="3" t="s">
        <v>15</v>
      </c>
    </row>
    <row r="1777">
      <c r="A1777" s="3"/>
      <c r="B1777" s="3"/>
      <c r="C1777" s="3" t="s">
        <v>10</v>
      </c>
      <c r="D1777" s="4" t="s">
        <v>1495</v>
      </c>
      <c r="E1777" s="3" t="s">
        <v>1496</v>
      </c>
      <c r="F1777" s="5">
        <v>46203.673784722225</v>
      </c>
      <c r="G1777" s="5">
        <v>46203.54987268519</v>
      </c>
      <c r="H1777" s="3" t="s">
        <v>14</v>
      </c>
      <c r="I1777" s="3">
        <v>0.0</v>
      </c>
      <c r="J1777" s="3" t="s">
        <v>48</v>
      </c>
    </row>
    <row r="1778">
      <c r="A1778" s="3"/>
      <c r="B1778" s="3"/>
      <c r="C1778" s="3" t="s">
        <v>17</v>
      </c>
      <c r="D1778" s="4" t="s">
        <v>1495</v>
      </c>
      <c r="E1778" s="3" t="s">
        <v>1496</v>
      </c>
      <c r="F1778" s="5">
        <v>46203.68072916667</v>
      </c>
      <c r="G1778" s="5">
        <v>46203.549942129626</v>
      </c>
      <c r="H1778" s="3" t="s">
        <v>14</v>
      </c>
      <c r="I1778" s="7">
        <v>0.0</v>
      </c>
      <c r="J1778" s="3" t="s">
        <v>48</v>
      </c>
    </row>
    <row r="1779">
      <c r="A1779" s="3"/>
      <c r="B1779" s="3"/>
      <c r="C1779" s="3" t="s">
        <v>21</v>
      </c>
      <c r="D1779" s="4" t="s">
        <v>1495</v>
      </c>
      <c r="E1779" s="3" t="s">
        <v>1496</v>
      </c>
      <c r="F1779" s="5">
        <v>46203.784895833334</v>
      </c>
      <c r="G1779" s="5">
        <v>46203.67322916666</v>
      </c>
      <c r="H1779" s="3" t="s">
        <v>14</v>
      </c>
      <c r="I1779" s="7">
        <v>0.0</v>
      </c>
      <c r="J1779" s="3" t="s">
        <v>48</v>
      </c>
    </row>
    <row r="1780">
      <c r="A1780" s="3"/>
      <c r="B1780" s="3"/>
      <c r="C1780" s="3" t="s">
        <v>24</v>
      </c>
      <c r="D1780" s="4" t="s">
        <v>1495</v>
      </c>
      <c r="E1780" s="3" t="s">
        <v>1496</v>
      </c>
      <c r="F1780" s="5">
        <v>46204.78472222222</v>
      </c>
      <c r="G1780" s="5">
        <v>46204.44826388889</v>
      </c>
      <c r="H1780" s="3" t="s">
        <v>14</v>
      </c>
      <c r="I1780" s="7">
        <v>0.0</v>
      </c>
      <c r="J1780" s="3" t="s">
        <v>48</v>
      </c>
    </row>
    <row r="1781">
      <c r="A1781" s="3"/>
      <c r="B1781" s="3"/>
      <c r="C1781" s="3" t="s">
        <v>26</v>
      </c>
      <c r="D1781" s="4" t="s">
        <v>1495</v>
      </c>
      <c r="E1781" s="3" t="s">
        <v>1496</v>
      </c>
      <c r="F1781" s="5">
        <v>46204.82638888889</v>
      </c>
      <c r="G1781" s="5">
        <v>46204.45453703704</v>
      </c>
      <c r="H1781" s="3" t="s">
        <v>14</v>
      </c>
      <c r="I1781" s="7">
        <v>0.0</v>
      </c>
      <c r="J1781" s="3" t="s">
        <v>48</v>
      </c>
    </row>
    <row r="1782">
      <c r="A1782" s="3"/>
      <c r="B1782" s="3"/>
      <c r="C1782" s="3" t="s">
        <v>10</v>
      </c>
      <c r="D1782" s="4" t="s">
        <v>1499</v>
      </c>
      <c r="E1782" s="3" t="s">
        <v>1501</v>
      </c>
      <c r="F1782" s="5">
        <v>46203.77165509259</v>
      </c>
      <c r="G1782" s="5">
        <v>46203.67329861111</v>
      </c>
      <c r="H1782" s="3" t="s">
        <v>14</v>
      </c>
      <c r="I1782" s="3">
        <v>0.0</v>
      </c>
      <c r="J1782" s="3" t="s">
        <v>15</v>
      </c>
    </row>
    <row r="1783">
      <c r="A1783" s="3"/>
      <c r="B1783" s="3"/>
      <c r="C1783" s="3" t="s">
        <v>17</v>
      </c>
      <c r="D1783" s="4" t="s">
        <v>1499</v>
      </c>
      <c r="E1783" s="3" t="s">
        <v>1501</v>
      </c>
      <c r="F1783" s="5">
        <v>46203.778599537036</v>
      </c>
      <c r="G1783" s="5">
        <v>46203.67491898148</v>
      </c>
      <c r="H1783" s="3" t="s">
        <v>14</v>
      </c>
      <c r="I1783" s="7">
        <v>0.0</v>
      </c>
      <c r="J1783" s="3" t="s">
        <v>15</v>
      </c>
    </row>
    <row r="1784">
      <c r="A1784" s="3"/>
      <c r="B1784" s="3"/>
      <c r="C1784" s="3" t="s">
        <v>21</v>
      </c>
      <c r="D1784" s="4" t="s">
        <v>1499</v>
      </c>
      <c r="E1784" s="3" t="s">
        <v>1501</v>
      </c>
      <c r="F1784" s="5">
        <v>46204.486805555556</v>
      </c>
      <c r="G1784" s="5">
        <v>46203.67506944444</v>
      </c>
      <c r="H1784" s="3" t="s">
        <v>14</v>
      </c>
      <c r="I1784" s="7">
        <v>0.0</v>
      </c>
      <c r="J1784" s="3" t="s">
        <v>15</v>
      </c>
    </row>
    <row r="1785">
      <c r="A1785" s="3"/>
      <c r="B1785" s="3"/>
      <c r="C1785" s="3" t="s">
        <v>24</v>
      </c>
      <c r="D1785" s="4" t="s">
        <v>1499</v>
      </c>
      <c r="E1785" s="3" t="s">
        <v>1501</v>
      </c>
      <c r="F1785" s="5">
        <v>46205.486805555556</v>
      </c>
      <c r="G1785" s="5">
        <v>46204.640127314815</v>
      </c>
      <c r="H1785" s="3" t="s">
        <v>14</v>
      </c>
      <c r="I1785" s="7">
        <v>0.0</v>
      </c>
      <c r="J1785" s="3" t="s">
        <v>15</v>
      </c>
    </row>
    <row r="1786">
      <c r="A1786" s="3"/>
      <c r="B1786" s="3"/>
      <c r="C1786" s="3" t="s">
        <v>26</v>
      </c>
      <c r="D1786" s="4" t="s">
        <v>1499</v>
      </c>
      <c r="E1786" s="3" t="s">
        <v>1501</v>
      </c>
      <c r="F1786" s="5">
        <v>46205.52847222222</v>
      </c>
      <c r="G1786" s="5">
        <v>46204.640173611115</v>
      </c>
      <c r="H1786" s="3" t="s">
        <v>14</v>
      </c>
      <c r="I1786" s="7">
        <v>0.0</v>
      </c>
      <c r="J1786" s="3" t="s">
        <v>15</v>
      </c>
    </row>
    <row r="1787">
      <c r="A1787" s="3"/>
      <c r="B1787" s="3"/>
      <c r="C1787" s="3" t="s">
        <v>10</v>
      </c>
      <c r="D1787" s="4" t="s">
        <v>1503</v>
      </c>
      <c r="E1787" s="3" t="s">
        <v>1504</v>
      </c>
      <c r="F1787" s="5">
        <v>46203.81306712963</v>
      </c>
      <c r="G1787" s="5">
        <v>46203.67480324074</v>
      </c>
      <c r="H1787" s="3" t="s">
        <v>14</v>
      </c>
      <c r="I1787" s="3">
        <v>0.0</v>
      </c>
      <c r="J1787" s="3" t="s">
        <v>15</v>
      </c>
    </row>
    <row r="1788">
      <c r="A1788" s="3"/>
      <c r="B1788" s="3"/>
      <c r="C1788" s="3" t="s">
        <v>17</v>
      </c>
      <c r="D1788" s="4" t="s">
        <v>1503</v>
      </c>
      <c r="E1788" s="3" t="s">
        <v>1504</v>
      </c>
      <c r="F1788" s="5">
        <v>46203.82001157408</v>
      </c>
      <c r="G1788" s="5">
        <v>46203.67512731482</v>
      </c>
      <c r="H1788" s="3" t="s">
        <v>14</v>
      </c>
      <c r="I1788" s="7">
        <v>0.0</v>
      </c>
      <c r="J1788" s="3" t="s">
        <v>15</v>
      </c>
    </row>
    <row r="1789">
      <c r="A1789" s="3"/>
      <c r="B1789" s="3"/>
      <c r="C1789" s="3" t="s">
        <v>21</v>
      </c>
      <c r="D1789" s="4" t="s">
        <v>1503</v>
      </c>
      <c r="E1789" s="3" t="s">
        <v>1504</v>
      </c>
      <c r="F1789" s="5">
        <v>46204.52777777778</v>
      </c>
      <c r="G1789" s="5">
        <v>46203.675208333334</v>
      </c>
      <c r="H1789" s="3" t="s">
        <v>14</v>
      </c>
      <c r="I1789" s="7">
        <v>0.0</v>
      </c>
      <c r="J1789" s="3" t="s">
        <v>15</v>
      </c>
    </row>
    <row r="1790">
      <c r="A1790" s="3"/>
      <c r="B1790" s="3"/>
      <c r="C1790" s="3" t="s">
        <v>24</v>
      </c>
      <c r="D1790" s="4" t="s">
        <v>1503</v>
      </c>
      <c r="E1790" s="3" t="s">
        <v>1504</v>
      </c>
      <c r="F1790" s="5">
        <v>46205.52777777778</v>
      </c>
      <c r="G1790" s="5">
        <v>46204.64021990741</v>
      </c>
      <c r="H1790" s="3" t="s">
        <v>14</v>
      </c>
      <c r="I1790" s="7">
        <v>0.0</v>
      </c>
      <c r="J1790" s="3" t="s">
        <v>15</v>
      </c>
    </row>
    <row r="1791">
      <c r="A1791" s="3"/>
      <c r="B1791" s="3"/>
      <c r="C1791" s="3" t="s">
        <v>26</v>
      </c>
      <c r="D1791" s="4" t="s">
        <v>1503</v>
      </c>
      <c r="E1791" s="3" t="s">
        <v>1504</v>
      </c>
      <c r="F1791" s="5">
        <v>46205.569444444445</v>
      </c>
      <c r="G1791" s="5">
        <v>46204.64024305555</v>
      </c>
      <c r="H1791" s="3" t="s">
        <v>14</v>
      </c>
      <c r="I1791" s="7">
        <v>0.0</v>
      </c>
      <c r="J1791" s="3" t="s">
        <v>15</v>
      </c>
    </row>
    <row r="1792">
      <c r="A1792" s="3"/>
      <c r="B1792" s="3"/>
      <c r="C1792" s="3" t="s">
        <v>10</v>
      </c>
      <c r="D1792" s="4" t="s">
        <v>1505</v>
      </c>
      <c r="E1792" s="3" t="s">
        <v>1506</v>
      </c>
      <c r="F1792" s="5">
        <v>46204.43402777778</v>
      </c>
      <c r="G1792" s="5">
        <v>46203.72070601852</v>
      </c>
      <c r="H1792" s="3" t="s">
        <v>14</v>
      </c>
      <c r="I1792" s="3">
        <v>0.0</v>
      </c>
      <c r="J1792" s="3" t="s">
        <v>48</v>
      </c>
    </row>
    <row r="1793">
      <c r="A1793" s="3"/>
      <c r="B1793" s="3"/>
      <c r="C1793" s="3" t="s">
        <v>17</v>
      </c>
      <c r="D1793" s="4" t="s">
        <v>1505</v>
      </c>
      <c r="E1793" s="3" t="s">
        <v>1506</v>
      </c>
      <c r="F1793" s="5">
        <v>46204.44097222222</v>
      </c>
      <c r="G1793" s="5">
        <v>46203.67512731482</v>
      </c>
      <c r="H1793" s="3" t="s">
        <v>14</v>
      </c>
      <c r="I1793" s="7">
        <v>0.0</v>
      </c>
      <c r="J1793" s="3" t="s">
        <v>48</v>
      </c>
    </row>
    <row r="1794">
      <c r="A1794" s="3"/>
      <c r="B1794" s="3"/>
      <c r="C1794" s="3" t="s">
        <v>21</v>
      </c>
      <c r="D1794" s="4" t="s">
        <v>1505</v>
      </c>
      <c r="E1794" s="3" t="s">
        <v>1506</v>
      </c>
      <c r="F1794" s="5">
        <v>46204.54513888889</v>
      </c>
      <c r="G1794" s="5">
        <v>46203.78325231482</v>
      </c>
      <c r="H1794" s="3" t="s">
        <v>14</v>
      </c>
      <c r="I1794" s="7">
        <v>0.0</v>
      </c>
      <c r="J1794" s="3" t="s">
        <v>48</v>
      </c>
    </row>
    <row r="1795">
      <c r="A1795" s="3"/>
      <c r="B1795" s="3"/>
      <c r="C1795" s="3" t="s">
        <v>24</v>
      </c>
      <c r="D1795" s="4" t="s">
        <v>1505</v>
      </c>
      <c r="E1795" s="3" t="s">
        <v>1506</v>
      </c>
      <c r="F1795" s="5">
        <v>46205.54513888889</v>
      </c>
      <c r="G1795" s="5">
        <v>46203.78329861111</v>
      </c>
      <c r="H1795" s="3" t="s">
        <v>14</v>
      </c>
      <c r="I1795" s="7">
        <v>0.0</v>
      </c>
      <c r="J1795" s="3" t="s">
        <v>48</v>
      </c>
    </row>
    <row r="1796">
      <c r="A1796" s="3"/>
      <c r="B1796" s="3"/>
      <c r="C1796" s="3" t="s">
        <v>26</v>
      </c>
      <c r="D1796" s="4" t="s">
        <v>1505</v>
      </c>
      <c r="E1796" s="3" t="s">
        <v>1506</v>
      </c>
      <c r="F1796" s="5">
        <v>46205.586805555555</v>
      </c>
      <c r="G1796" s="5">
        <v>46203.78333333333</v>
      </c>
      <c r="H1796" s="3" t="s">
        <v>14</v>
      </c>
      <c r="I1796" s="7">
        <v>0.0</v>
      </c>
      <c r="J1796" s="3" t="s">
        <v>48</v>
      </c>
    </row>
    <row r="1797">
      <c r="A1797" s="3"/>
      <c r="B1797" s="3"/>
      <c r="C1797" s="3" t="s">
        <v>10</v>
      </c>
      <c r="D1797" s="4" t="s">
        <v>1510</v>
      </c>
      <c r="E1797" s="3">
        <v>2577.0</v>
      </c>
      <c r="F1797" s="5">
        <v>46204.60277777778</v>
      </c>
      <c r="G1797" s="5">
        <v>46204.43939814815</v>
      </c>
      <c r="H1797" s="3" t="s">
        <v>14</v>
      </c>
      <c r="I1797" s="3">
        <v>0.0</v>
      </c>
      <c r="J1797" s="3" t="s">
        <v>72</v>
      </c>
    </row>
    <row r="1798">
      <c r="A1798" s="3"/>
      <c r="B1798" s="3"/>
      <c r="C1798" s="3" t="s">
        <v>17</v>
      </c>
      <c r="D1798" s="4" t="s">
        <v>1510</v>
      </c>
      <c r="E1798" s="3">
        <v>2577.0</v>
      </c>
      <c r="F1798" s="5">
        <v>46204.60972222222</v>
      </c>
      <c r="G1798" s="5">
        <v>46204.43944444445</v>
      </c>
      <c r="H1798" s="3" t="s">
        <v>14</v>
      </c>
      <c r="I1798" s="7">
        <v>0.0</v>
      </c>
      <c r="J1798" s="3" t="s">
        <v>72</v>
      </c>
    </row>
    <row r="1799">
      <c r="A1799" s="3"/>
      <c r="B1799" s="3"/>
      <c r="C1799" s="3" t="s">
        <v>21</v>
      </c>
      <c r="D1799" s="4" t="s">
        <v>1510</v>
      </c>
      <c r="E1799" s="3">
        <v>2577.0</v>
      </c>
      <c r="F1799" s="5">
        <v>46204.71388888889</v>
      </c>
      <c r="G1799" s="5">
        <v>46204.439467592594</v>
      </c>
      <c r="H1799" s="3" t="s">
        <v>14</v>
      </c>
      <c r="I1799" s="7">
        <v>0.0</v>
      </c>
      <c r="J1799" s="3" t="s">
        <v>72</v>
      </c>
    </row>
    <row r="1800">
      <c r="A1800" s="3"/>
      <c r="B1800" s="3"/>
      <c r="C1800" s="3" t="s">
        <v>24</v>
      </c>
      <c r="D1800" s="4" t="s">
        <v>1510</v>
      </c>
      <c r="E1800" s="3">
        <v>2577.0</v>
      </c>
      <c r="F1800" s="5">
        <v>46205.71388888889</v>
      </c>
      <c r="G1800" s="5">
        <v>46204.689884259256</v>
      </c>
      <c r="H1800" s="3" t="s">
        <v>14</v>
      </c>
      <c r="I1800" s="7">
        <v>0.0</v>
      </c>
      <c r="J1800" s="3" t="s">
        <v>72</v>
      </c>
    </row>
    <row r="1801">
      <c r="A1801" s="3"/>
      <c r="B1801" s="3"/>
      <c r="C1801" s="3" t="s">
        <v>26</v>
      </c>
      <c r="D1801" s="4" t="s">
        <v>1510</v>
      </c>
      <c r="E1801" s="3">
        <v>2577.0</v>
      </c>
      <c r="F1801" s="5">
        <v>46205.75555555556</v>
      </c>
      <c r="G1801" s="5">
        <v>46204.68990740741</v>
      </c>
      <c r="H1801" s="3" t="s">
        <v>14</v>
      </c>
      <c r="I1801" s="7">
        <v>0.0</v>
      </c>
      <c r="J1801" s="3" t="s">
        <v>72</v>
      </c>
    </row>
    <row r="1802">
      <c r="A1802" s="3"/>
      <c r="B1802" s="3"/>
      <c r="C1802" s="3" t="s">
        <v>10</v>
      </c>
      <c r="D1802" s="4" t="s">
        <v>1513</v>
      </c>
      <c r="E1802" s="3" t="s">
        <v>1514</v>
      </c>
      <c r="F1802" s="5">
        <v>46204.79896990741</v>
      </c>
      <c r="G1802" s="5">
        <v>46204.64061342592</v>
      </c>
      <c r="H1802" s="3" t="s">
        <v>14</v>
      </c>
      <c r="I1802" s="3">
        <v>0.0</v>
      </c>
      <c r="J1802" s="3" t="s">
        <v>61</v>
      </c>
    </row>
    <row r="1803">
      <c r="A1803" s="3"/>
      <c r="B1803" s="3"/>
      <c r="C1803" s="3" t="s">
        <v>17</v>
      </c>
      <c r="D1803" s="4" t="s">
        <v>1513</v>
      </c>
      <c r="E1803" s="3" t="s">
        <v>1514</v>
      </c>
      <c r="F1803" s="5">
        <v>46204.805914351855</v>
      </c>
      <c r="G1803" s="5">
        <v>46204.641226851854</v>
      </c>
      <c r="H1803" s="3" t="s">
        <v>14</v>
      </c>
      <c r="I1803" s="7">
        <v>0.0</v>
      </c>
      <c r="J1803" s="3" t="s">
        <v>61</v>
      </c>
    </row>
    <row r="1804">
      <c r="A1804" s="3"/>
      <c r="B1804" s="3"/>
      <c r="C1804" s="3" t="s">
        <v>21</v>
      </c>
      <c r="D1804" s="4" t="s">
        <v>1513</v>
      </c>
      <c r="E1804" s="3" t="s">
        <v>1514</v>
      </c>
      <c r="F1804" s="5">
        <v>46205.47222222222</v>
      </c>
      <c r="G1804" s="5">
        <v>46204.64135416667</v>
      </c>
      <c r="H1804" s="3" t="s">
        <v>14</v>
      </c>
      <c r="I1804" s="7">
        <v>0.0</v>
      </c>
      <c r="J1804" s="3" t="s">
        <v>61</v>
      </c>
    </row>
    <row r="1805">
      <c r="A1805" s="3"/>
      <c r="B1805" s="3"/>
      <c r="C1805" s="3" t="s">
        <v>24</v>
      </c>
      <c r="D1805" s="4" t="s">
        <v>1513</v>
      </c>
      <c r="E1805" s="3" t="s">
        <v>1514</v>
      </c>
      <c r="F1805" s="5">
        <v>46206.47222222222</v>
      </c>
      <c r="G1805" s="5">
        <v>46205.741527777776</v>
      </c>
      <c r="H1805" s="3" t="s">
        <v>14</v>
      </c>
      <c r="I1805" s="7">
        <v>0.0</v>
      </c>
      <c r="J1805" s="3" t="s">
        <v>61</v>
      </c>
    </row>
    <row r="1806">
      <c r="A1806" s="3"/>
      <c r="B1806" s="3"/>
      <c r="C1806" s="3" t="s">
        <v>26</v>
      </c>
      <c r="D1806" s="4" t="s">
        <v>1513</v>
      </c>
      <c r="E1806" s="3" t="s">
        <v>1514</v>
      </c>
      <c r="F1806" s="5">
        <v>46206.51388888889</v>
      </c>
      <c r="G1806" s="5">
        <v>46206.481574074074</v>
      </c>
      <c r="H1806" s="3" t="s">
        <v>14</v>
      </c>
      <c r="I1806" s="7">
        <v>0.0</v>
      </c>
      <c r="J1806" s="3" t="s">
        <v>61</v>
      </c>
    </row>
    <row r="1807">
      <c r="A1807" s="3"/>
      <c r="B1807" s="3"/>
      <c r="C1807" s="3" t="s">
        <v>10</v>
      </c>
      <c r="D1807" s="4" t="s">
        <v>1517</v>
      </c>
      <c r="E1807" s="3" t="s">
        <v>1514</v>
      </c>
      <c r="F1807" s="5">
        <v>46204.80028935185</v>
      </c>
      <c r="G1807" s="5">
        <v>46204.64082175926</v>
      </c>
      <c r="H1807" s="3" t="s">
        <v>14</v>
      </c>
      <c r="I1807" s="3">
        <v>0.0</v>
      </c>
      <c r="J1807" s="3" t="s">
        <v>61</v>
      </c>
    </row>
    <row r="1808">
      <c r="A1808" s="3"/>
      <c r="B1808" s="3"/>
      <c r="C1808" s="3" t="s">
        <v>17</v>
      </c>
      <c r="D1808" s="4" t="s">
        <v>1517</v>
      </c>
      <c r="E1808" s="3" t="s">
        <v>1514</v>
      </c>
      <c r="F1808" s="5">
        <v>46204.807233796295</v>
      </c>
      <c r="G1808" s="5">
        <v>46204.64127314815</v>
      </c>
      <c r="H1808" s="3" t="s">
        <v>14</v>
      </c>
      <c r="I1808" s="7">
        <v>0.0</v>
      </c>
      <c r="J1808" s="3" t="s">
        <v>61</v>
      </c>
    </row>
    <row r="1809">
      <c r="A1809" s="3"/>
      <c r="B1809" s="3"/>
      <c r="C1809" s="3" t="s">
        <v>21</v>
      </c>
      <c r="D1809" s="4" t="s">
        <v>1517</v>
      </c>
      <c r="E1809" s="3" t="s">
        <v>1514</v>
      </c>
      <c r="F1809" s="5">
        <v>46205.47361111111</v>
      </c>
      <c r="G1809" s="5">
        <v>46204.641377314816</v>
      </c>
      <c r="H1809" s="3" t="s">
        <v>14</v>
      </c>
      <c r="I1809" s="7">
        <v>0.0</v>
      </c>
      <c r="J1809" s="3" t="s">
        <v>61</v>
      </c>
    </row>
    <row r="1810">
      <c r="A1810" s="3"/>
      <c r="B1810" s="3"/>
      <c r="C1810" s="3" t="s">
        <v>24</v>
      </c>
      <c r="D1810" s="4" t="s">
        <v>1517</v>
      </c>
      <c r="E1810" s="3" t="s">
        <v>1514</v>
      </c>
      <c r="F1810" s="5">
        <v>46206.47361111111</v>
      </c>
      <c r="G1810" s="5">
        <v>46205.741527777776</v>
      </c>
      <c r="H1810" s="3" t="s">
        <v>14</v>
      </c>
      <c r="I1810" s="7">
        <v>0.0</v>
      </c>
      <c r="J1810" s="3" t="s">
        <v>61</v>
      </c>
    </row>
    <row r="1811">
      <c r="A1811" s="3"/>
      <c r="B1811" s="3"/>
      <c r="C1811" s="3" t="s">
        <v>26</v>
      </c>
      <c r="D1811" s="4" t="s">
        <v>1517</v>
      </c>
      <c r="E1811" s="3" t="s">
        <v>1514</v>
      </c>
      <c r="F1811" s="5">
        <v>46206.51527777778</v>
      </c>
      <c r="G1811" s="5">
        <v>46206.481574074074</v>
      </c>
      <c r="H1811" s="3" t="s">
        <v>14</v>
      </c>
      <c r="I1811" s="7">
        <v>0.0</v>
      </c>
      <c r="J1811" s="3" t="s">
        <v>61</v>
      </c>
    </row>
    <row r="1812">
      <c r="A1812" s="3"/>
      <c r="B1812" s="3"/>
      <c r="C1812" s="3" t="s">
        <v>10</v>
      </c>
      <c r="D1812" s="4" t="s">
        <v>1519</v>
      </c>
      <c r="E1812" s="3" t="s">
        <v>1514</v>
      </c>
      <c r="F1812" s="5">
        <v>46204.80133101852</v>
      </c>
      <c r="G1812" s="5">
        <v>46204.640914351854</v>
      </c>
      <c r="H1812" s="3" t="s">
        <v>14</v>
      </c>
      <c r="I1812" s="3">
        <v>0.0</v>
      </c>
      <c r="J1812" s="3" t="s">
        <v>61</v>
      </c>
    </row>
    <row r="1813">
      <c r="A1813" s="3"/>
      <c r="B1813" s="3"/>
      <c r="C1813" s="3" t="s">
        <v>17</v>
      </c>
      <c r="D1813" s="4" t="s">
        <v>1519</v>
      </c>
      <c r="E1813" s="3" t="s">
        <v>1514</v>
      </c>
      <c r="F1813" s="5">
        <v>46204.808275462965</v>
      </c>
      <c r="G1813" s="5">
        <v>46204.64125</v>
      </c>
      <c r="H1813" s="3" t="s">
        <v>14</v>
      </c>
      <c r="I1813" s="7">
        <v>0.0</v>
      </c>
      <c r="J1813" s="3" t="s">
        <v>61</v>
      </c>
    </row>
    <row r="1814">
      <c r="A1814" s="3"/>
      <c r="B1814" s="3"/>
      <c r="C1814" s="3" t="s">
        <v>21</v>
      </c>
      <c r="D1814" s="4" t="s">
        <v>1519</v>
      </c>
      <c r="E1814" s="3" t="s">
        <v>1514</v>
      </c>
      <c r="F1814" s="5">
        <v>46205.47430555556</v>
      </c>
      <c r="G1814" s="5">
        <v>46204.641388888886</v>
      </c>
      <c r="H1814" s="3" t="s">
        <v>14</v>
      </c>
      <c r="I1814" s="7">
        <v>0.0</v>
      </c>
      <c r="J1814" s="3" t="s">
        <v>61</v>
      </c>
    </row>
    <row r="1815">
      <c r="A1815" s="3"/>
      <c r="B1815" s="3"/>
      <c r="C1815" s="3" t="s">
        <v>24</v>
      </c>
      <c r="D1815" s="4" t="s">
        <v>1519</v>
      </c>
      <c r="E1815" s="3" t="s">
        <v>1514</v>
      </c>
      <c r="F1815" s="5">
        <v>46206.47430555556</v>
      </c>
      <c r="G1815" s="5">
        <v>46204.75824074074</v>
      </c>
      <c r="H1815" s="3" t="s">
        <v>14</v>
      </c>
      <c r="I1815" s="7">
        <v>0.0</v>
      </c>
      <c r="J1815" s="3" t="s">
        <v>61</v>
      </c>
    </row>
    <row r="1816">
      <c r="A1816" s="3"/>
      <c r="B1816" s="3"/>
      <c r="C1816" s="3" t="s">
        <v>26</v>
      </c>
      <c r="D1816" s="4" t="s">
        <v>1519</v>
      </c>
      <c r="E1816" s="3" t="s">
        <v>1514</v>
      </c>
      <c r="F1816" s="5">
        <v>46206.51597222222</v>
      </c>
      <c r="G1816" s="5">
        <v>46206.481574074074</v>
      </c>
      <c r="H1816" s="3" t="s">
        <v>14</v>
      </c>
      <c r="I1816" s="7">
        <v>0.0</v>
      </c>
      <c r="J1816" s="3" t="s">
        <v>61</v>
      </c>
    </row>
    <row r="1817">
      <c r="A1817" s="3"/>
      <c r="B1817" s="3"/>
      <c r="C1817" s="3" t="s">
        <v>10</v>
      </c>
      <c r="D1817" s="4" t="s">
        <v>1523</v>
      </c>
      <c r="E1817" s="3" t="s">
        <v>1524</v>
      </c>
      <c r="F1817" s="5">
        <v>46204.804293981484</v>
      </c>
      <c r="G1817" s="5">
        <v>46204.64111111111</v>
      </c>
      <c r="H1817" s="3" t="s">
        <v>14</v>
      </c>
      <c r="I1817" s="3">
        <v>0.0</v>
      </c>
      <c r="J1817" s="3" t="s">
        <v>15</v>
      </c>
    </row>
    <row r="1818">
      <c r="A1818" s="3"/>
      <c r="B1818" s="3"/>
      <c r="C1818" s="3" t="s">
        <v>17</v>
      </c>
      <c r="D1818" s="4" t="s">
        <v>1523</v>
      </c>
      <c r="E1818" s="3" t="s">
        <v>1524</v>
      </c>
      <c r="F1818" s="5">
        <v>46204.81123842593</v>
      </c>
      <c r="G1818" s="5">
        <v>46204.64127314815</v>
      </c>
      <c r="H1818" s="3" t="s">
        <v>14</v>
      </c>
      <c r="I1818" s="7">
        <v>0.0</v>
      </c>
      <c r="J1818" s="3" t="s">
        <v>15</v>
      </c>
    </row>
    <row r="1819">
      <c r="A1819" s="3"/>
      <c r="B1819" s="3"/>
      <c r="C1819" s="3" t="s">
        <v>21</v>
      </c>
      <c r="D1819" s="4" t="s">
        <v>1523</v>
      </c>
      <c r="E1819" s="3" t="s">
        <v>1524</v>
      </c>
      <c r="F1819" s="5">
        <v>46205.47777777778</v>
      </c>
      <c r="G1819" s="5">
        <v>46204.64141203704</v>
      </c>
      <c r="H1819" s="3" t="s">
        <v>14</v>
      </c>
      <c r="I1819" s="7">
        <v>0.0</v>
      </c>
      <c r="J1819" s="3" t="s">
        <v>15</v>
      </c>
    </row>
    <row r="1820">
      <c r="A1820" s="3"/>
      <c r="B1820" s="3"/>
      <c r="C1820" s="3" t="s">
        <v>24</v>
      </c>
      <c r="D1820" s="4" t="s">
        <v>1523</v>
      </c>
      <c r="E1820" s="3" t="s">
        <v>1524</v>
      </c>
      <c r="F1820" s="5">
        <v>46206.47777777778</v>
      </c>
      <c r="G1820" s="5">
        <v>46204.71822916667</v>
      </c>
      <c r="H1820" s="3" t="s">
        <v>14</v>
      </c>
      <c r="I1820" s="7">
        <v>0.0</v>
      </c>
      <c r="J1820" s="3" t="s">
        <v>15</v>
      </c>
    </row>
    <row r="1821">
      <c r="A1821" s="3"/>
      <c r="B1821" s="3"/>
      <c r="C1821" s="3" t="s">
        <v>26</v>
      </c>
      <c r="D1821" s="4" t="s">
        <v>1523</v>
      </c>
      <c r="E1821" s="3" t="s">
        <v>1524</v>
      </c>
      <c r="F1821" s="5">
        <v>46206.51944444444</v>
      </c>
      <c r="G1821" s="5">
        <v>46204.71828703704</v>
      </c>
      <c r="H1821" s="3" t="s">
        <v>14</v>
      </c>
      <c r="I1821" s="7">
        <v>0.0</v>
      </c>
      <c r="J1821" s="3" t="s">
        <v>15</v>
      </c>
    </row>
    <row r="1822">
      <c r="A1822" s="3"/>
      <c r="B1822" s="3"/>
      <c r="C1822" s="3" t="s">
        <v>10</v>
      </c>
      <c r="D1822" s="4" t="s">
        <v>1525</v>
      </c>
      <c r="E1822" s="3" t="s">
        <v>1526</v>
      </c>
      <c r="F1822" s="5">
        <v>46205.42361111111</v>
      </c>
      <c r="G1822" s="5">
        <v>46204.685520833336</v>
      </c>
      <c r="H1822" s="3" t="s">
        <v>14</v>
      </c>
      <c r="I1822" s="3">
        <v>0.0</v>
      </c>
      <c r="J1822" s="3" t="s">
        <v>48</v>
      </c>
    </row>
    <row r="1823">
      <c r="A1823" s="3"/>
      <c r="B1823" s="3"/>
      <c r="C1823" s="3" t="s">
        <v>17</v>
      </c>
      <c r="D1823" s="4" t="s">
        <v>1525</v>
      </c>
      <c r="E1823" s="3" t="s">
        <v>1526</v>
      </c>
      <c r="F1823" s="5">
        <v>46205.430555555555</v>
      </c>
      <c r="G1823" s="5">
        <v>46204.68541666667</v>
      </c>
      <c r="H1823" s="3" t="s">
        <v>14</v>
      </c>
      <c r="I1823" s="7">
        <v>0.0</v>
      </c>
      <c r="J1823" s="3" t="s">
        <v>48</v>
      </c>
    </row>
    <row r="1824">
      <c r="A1824" s="3"/>
      <c r="B1824" s="3"/>
      <c r="C1824" s="3" t="s">
        <v>21</v>
      </c>
      <c r="D1824" s="4" t="s">
        <v>1525</v>
      </c>
      <c r="E1824" s="3" t="s">
        <v>1526</v>
      </c>
      <c r="F1824" s="5">
        <v>46205.53472222222</v>
      </c>
      <c r="G1824" s="5">
        <v>46204.71769675926</v>
      </c>
      <c r="H1824" s="3" t="s">
        <v>14</v>
      </c>
      <c r="I1824" s="7">
        <v>0.0</v>
      </c>
      <c r="J1824" s="3" t="s">
        <v>48</v>
      </c>
    </row>
    <row r="1825">
      <c r="A1825" s="3"/>
      <c r="B1825" s="3"/>
      <c r="C1825" s="3" t="s">
        <v>24</v>
      </c>
      <c r="D1825" s="4" t="s">
        <v>1525</v>
      </c>
      <c r="E1825" s="3" t="s">
        <v>1526</v>
      </c>
      <c r="F1825" s="5">
        <v>46206.53472222222</v>
      </c>
      <c r="G1825" s="5">
        <v>46206.48133101852</v>
      </c>
      <c r="H1825" s="3" t="s">
        <v>14</v>
      </c>
      <c r="I1825" s="7">
        <v>0.0</v>
      </c>
      <c r="J1825" s="3" t="s">
        <v>48</v>
      </c>
    </row>
    <row r="1826">
      <c r="A1826" s="3"/>
      <c r="B1826" s="3"/>
      <c r="C1826" s="3" t="s">
        <v>26</v>
      </c>
      <c r="D1826" s="4" t="s">
        <v>1525</v>
      </c>
      <c r="E1826" s="3" t="s">
        <v>1526</v>
      </c>
      <c r="F1826" s="5">
        <v>46206.57638888889</v>
      </c>
      <c r="G1826" s="5">
        <v>46206.48149305556</v>
      </c>
      <c r="H1826" s="3" t="s">
        <v>14</v>
      </c>
      <c r="I1826" s="7">
        <v>0.0</v>
      </c>
      <c r="J1826" s="3" t="s">
        <v>48</v>
      </c>
    </row>
    <row r="1827">
      <c r="A1827" s="3"/>
      <c r="B1827" s="3"/>
      <c r="C1827" s="3" t="s">
        <v>10</v>
      </c>
      <c r="D1827" s="4" t="s">
        <v>1528</v>
      </c>
      <c r="E1827" s="3" t="s">
        <v>1529</v>
      </c>
      <c r="F1827" s="5">
        <v>46206.501388888886</v>
      </c>
      <c r="G1827" s="5">
        <v>46205.75880787037</v>
      </c>
      <c r="H1827" s="3" t="s">
        <v>14</v>
      </c>
      <c r="I1827" s="3">
        <v>0.0</v>
      </c>
      <c r="J1827" s="3" t="s">
        <v>15</v>
      </c>
    </row>
    <row r="1828">
      <c r="A1828" s="3"/>
      <c r="B1828" s="3"/>
      <c r="C1828" s="3" t="s">
        <v>17</v>
      </c>
      <c r="D1828" s="4" t="s">
        <v>1528</v>
      </c>
      <c r="E1828" s="3" t="s">
        <v>1529</v>
      </c>
      <c r="F1828" s="5">
        <v>46206.50833333333</v>
      </c>
      <c r="G1828" s="5">
        <v>46206.46954861111</v>
      </c>
      <c r="H1828" s="3" t="s">
        <v>14</v>
      </c>
      <c r="I1828" s="7">
        <v>0.0</v>
      </c>
      <c r="J1828" s="3" t="s">
        <v>15</v>
      </c>
    </row>
    <row r="1829">
      <c r="A1829" s="3"/>
      <c r="B1829" s="3"/>
      <c r="C1829" s="3" t="s">
        <v>21</v>
      </c>
      <c r="D1829" s="4" t="s">
        <v>1528</v>
      </c>
      <c r="E1829" s="3" t="s">
        <v>1529</v>
      </c>
      <c r="F1829" s="5">
        <v>46206.6125</v>
      </c>
      <c r="G1829" s="5">
        <v>46206.4812962963</v>
      </c>
      <c r="H1829" s="3" t="s">
        <v>14</v>
      </c>
      <c r="I1829" s="7">
        <v>0.0</v>
      </c>
      <c r="J1829" s="3" t="s">
        <v>15</v>
      </c>
    </row>
    <row r="1830">
      <c r="A1830" s="3"/>
      <c r="B1830" s="3"/>
      <c r="C1830" s="3" t="s">
        <v>24</v>
      </c>
      <c r="D1830" s="4" t="s">
        <v>1528</v>
      </c>
      <c r="E1830" s="3" t="s">
        <v>1529</v>
      </c>
      <c r="F1830" s="5">
        <v>46207.6125</v>
      </c>
      <c r="G1830" s="5">
        <v>46206.54541666667</v>
      </c>
      <c r="H1830" s="3" t="s">
        <v>14</v>
      </c>
      <c r="I1830" s="7">
        <v>0.0</v>
      </c>
      <c r="J1830" s="3" t="s">
        <v>15</v>
      </c>
    </row>
    <row r="1831">
      <c r="A1831" s="3"/>
      <c r="B1831" s="3"/>
      <c r="C1831" s="3" t="s">
        <v>26</v>
      </c>
      <c r="D1831" s="4" t="s">
        <v>1528</v>
      </c>
      <c r="E1831" s="3" t="s">
        <v>1529</v>
      </c>
      <c r="F1831" s="5">
        <v>46207.65416666667</v>
      </c>
      <c r="G1831" s="5">
        <v>46206.68733796296</v>
      </c>
      <c r="H1831" s="3" t="s">
        <v>14</v>
      </c>
      <c r="I1831" s="7">
        <v>0.0</v>
      </c>
      <c r="J1831" s="3" t="s">
        <v>15</v>
      </c>
    </row>
    <row r="1832">
      <c r="A1832" s="3"/>
      <c r="B1832" s="3"/>
      <c r="C1832" s="3" t="s">
        <v>10</v>
      </c>
      <c r="D1832" s="4" t="s">
        <v>1531</v>
      </c>
      <c r="E1832" s="3" t="s">
        <v>1532</v>
      </c>
      <c r="F1832" s="5">
        <v>46206.635983796295</v>
      </c>
      <c r="G1832" s="5">
        <v>46206.4696412037</v>
      </c>
      <c r="H1832" s="3" t="s">
        <v>14</v>
      </c>
      <c r="I1832" s="3">
        <v>0.0</v>
      </c>
      <c r="J1832" s="3" t="s">
        <v>15</v>
      </c>
    </row>
    <row r="1833">
      <c r="A1833" s="3"/>
      <c r="B1833" s="3"/>
      <c r="C1833" s="3" t="s">
        <v>17</v>
      </c>
      <c r="D1833" s="4" t="s">
        <v>1531</v>
      </c>
      <c r="E1833" s="3" t="s">
        <v>1532</v>
      </c>
      <c r="F1833" s="5">
        <v>46206.64292824074</v>
      </c>
      <c r="G1833" s="5">
        <v>46206.46973379629</v>
      </c>
      <c r="H1833" s="3" t="s">
        <v>14</v>
      </c>
      <c r="I1833" s="7">
        <v>0.0</v>
      </c>
      <c r="J1833" s="3" t="s">
        <v>15</v>
      </c>
    </row>
    <row r="1834">
      <c r="A1834" s="3"/>
      <c r="B1834" s="3"/>
      <c r="C1834" s="3" t="s">
        <v>21</v>
      </c>
      <c r="D1834" s="4" t="s">
        <v>1531</v>
      </c>
      <c r="E1834" s="3" t="s">
        <v>1532</v>
      </c>
      <c r="F1834" s="5">
        <v>46206.747094907405</v>
      </c>
      <c r="G1834" s="5">
        <v>46206.46989583333</v>
      </c>
      <c r="H1834" s="3" t="s">
        <v>14</v>
      </c>
      <c r="I1834" s="7">
        <v>0.0</v>
      </c>
      <c r="J1834" s="3" t="s">
        <v>15</v>
      </c>
    </row>
    <row r="1835">
      <c r="A1835" s="3"/>
      <c r="B1835" s="3"/>
      <c r="C1835" s="3" t="s">
        <v>24</v>
      </c>
      <c r="D1835" s="4" t="s">
        <v>1531</v>
      </c>
      <c r="E1835" s="3" t="s">
        <v>1532</v>
      </c>
      <c r="F1835" s="5">
        <v>46207.74652777778</v>
      </c>
      <c r="G1835" s="5">
        <v>46206.552256944444</v>
      </c>
      <c r="H1835" s="3" t="s">
        <v>14</v>
      </c>
      <c r="I1835" s="7">
        <v>0.0</v>
      </c>
      <c r="J1835" s="3" t="s">
        <v>15</v>
      </c>
    </row>
    <row r="1836">
      <c r="A1836" s="3"/>
      <c r="B1836" s="3"/>
      <c r="C1836" s="3" t="s">
        <v>26</v>
      </c>
      <c r="D1836" s="4" t="s">
        <v>1531</v>
      </c>
      <c r="E1836" s="3" t="s">
        <v>1532</v>
      </c>
      <c r="F1836" s="5">
        <v>46207.788194444445</v>
      </c>
      <c r="G1836" s="5">
        <v>46206.68748842592</v>
      </c>
      <c r="H1836" s="3" t="s">
        <v>14</v>
      </c>
      <c r="I1836" s="7">
        <v>0.0</v>
      </c>
      <c r="J1836" s="3" t="s">
        <v>15</v>
      </c>
    </row>
    <row r="1837">
      <c r="A1837" s="3"/>
      <c r="B1837" s="3"/>
      <c r="C1837" s="3" t="s">
        <v>10</v>
      </c>
      <c r="D1837" s="4" t="s">
        <v>1534</v>
      </c>
      <c r="E1837" s="3" t="s">
        <v>1535</v>
      </c>
      <c r="F1837" s="5">
        <v>46206.637604166666</v>
      </c>
      <c r="G1837" s="5">
        <v>46206.48092592593</v>
      </c>
      <c r="H1837" s="3" t="s">
        <v>14</v>
      </c>
      <c r="I1837" s="3">
        <v>0.0</v>
      </c>
      <c r="J1837" s="3" t="s">
        <v>61</v>
      </c>
    </row>
    <row r="1838">
      <c r="A1838" s="3"/>
      <c r="B1838" s="3"/>
      <c r="C1838" s="3" t="s">
        <v>17</v>
      </c>
      <c r="D1838" s="4" t="s">
        <v>1534</v>
      </c>
      <c r="E1838" s="3" t="s">
        <v>1535</v>
      </c>
      <c r="F1838" s="5">
        <v>46206.64454861111</v>
      </c>
      <c r="G1838" s="5">
        <v>46206.481087962966</v>
      </c>
      <c r="H1838" s="3" t="s">
        <v>14</v>
      </c>
      <c r="I1838" s="7">
        <v>0.0</v>
      </c>
      <c r="J1838" s="3" t="s">
        <v>61</v>
      </c>
    </row>
    <row r="1839">
      <c r="A1839" s="3"/>
      <c r="B1839" s="3"/>
      <c r="C1839" s="3" t="s">
        <v>21</v>
      </c>
      <c r="D1839" s="4" t="s">
        <v>1534</v>
      </c>
      <c r="E1839" s="3" t="s">
        <v>1535</v>
      </c>
      <c r="F1839" s="5">
        <v>46206.748715277776</v>
      </c>
      <c r="G1839" s="5">
        <v>46206.48111111111</v>
      </c>
      <c r="H1839" s="3" t="s">
        <v>14</v>
      </c>
      <c r="I1839" s="7">
        <v>0.0</v>
      </c>
      <c r="J1839" s="3" t="s">
        <v>61</v>
      </c>
    </row>
    <row r="1840">
      <c r="A1840" s="3"/>
      <c r="B1840" s="3"/>
      <c r="C1840" s="3" t="s">
        <v>24</v>
      </c>
      <c r="D1840" s="4" t="s">
        <v>1534</v>
      </c>
      <c r="E1840" s="3" t="s">
        <v>1535</v>
      </c>
      <c r="F1840" s="5">
        <v>46207.748611111114</v>
      </c>
      <c r="G1840" s="5">
        <v>46206.69403935185</v>
      </c>
      <c r="H1840" s="3" t="s">
        <v>14</v>
      </c>
      <c r="I1840" s="7">
        <v>0.0</v>
      </c>
      <c r="J1840" s="3" t="s">
        <v>61</v>
      </c>
    </row>
    <row r="1841">
      <c r="A1841" s="3"/>
      <c r="B1841" s="3"/>
      <c r="C1841" s="3" t="s">
        <v>26</v>
      </c>
      <c r="D1841" s="4" t="s">
        <v>1534</v>
      </c>
      <c r="E1841" s="3" t="s">
        <v>1535</v>
      </c>
      <c r="F1841" s="5">
        <v>46207.79027777778</v>
      </c>
      <c r="G1841" s="5">
        <v>46206.694085648145</v>
      </c>
      <c r="H1841" s="3" t="s">
        <v>14</v>
      </c>
      <c r="I1841" s="7">
        <v>0.0</v>
      </c>
      <c r="J1841" s="3" t="s">
        <v>61</v>
      </c>
    </row>
    <row r="1842">
      <c r="A1842" s="3"/>
      <c r="B1842" s="3"/>
      <c r="C1842" s="3" t="s">
        <v>10</v>
      </c>
      <c r="D1842" s="4" t="s">
        <v>1541</v>
      </c>
      <c r="E1842" s="3" t="s">
        <v>1542</v>
      </c>
      <c r="F1842" s="5">
        <v>46206.658125</v>
      </c>
      <c r="G1842" s="5">
        <v>46206.49673611111</v>
      </c>
      <c r="H1842" s="3" t="s">
        <v>14</v>
      </c>
      <c r="I1842" s="3">
        <v>0.0</v>
      </c>
      <c r="J1842" s="3" t="s">
        <v>15</v>
      </c>
    </row>
    <row r="1843">
      <c r="A1843" s="3"/>
      <c r="B1843" s="3"/>
      <c r="C1843" s="3" t="s">
        <v>17</v>
      </c>
      <c r="D1843" s="4" t="s">
        <v>1541</v>
      </c>
      <c r="E1843" s="3" t="s">
        <v>1542</v>
      </c>
      <c r="F1843" s="5">
        <v>46206.66506944445</v>
      </c>
      <c r="G1843" s="5">
        <v>46206.49681712963</v>
      </c>
      <c r="H1843" s="3" t="s">
        <v>14</v>
      </c>
      <c r="I1843" s="7">
        <v>0.0</v>
      </c>
      <c r="J1843" s="3" t="s">
        <v>15</v>
      </c>
    </row>
    <row r="1844">
      <c r="A1844" s="3"/>
      <c r="B1844" s="3"/>
      <c r="C1844" s="3" t="s">
        <v>21</v>
      </c>
      <c r="D1844" s="4" t="s">
        <v>1541</v>
      </c>
      <c r="E1844" s="3" t="s">
        <v>1542</v>
      </c>
      <c r="F1844" s="5">
        <v>46206.76923611111</v>
      </c>
      <c r="G1844" s="5">
        <v>46206.49685185185</v>
      </c>
      <c r="H1844" s="3" t="s">
        <v>14</v>
      </c>
      <c r="I1844" s="7">
        <v>0.0</v>
      </c>
      <c r="J1844" s="3" t="s">
        <v>15</v>
      </c>
    </row>
    <row r="1845">
      <c r="A1845" s="3"/>
      <c r="B1845" s="3"/>
      <c r="C1845" s="3" t="s">
        <v>24</v>
      </c>
      <c r="D1845" s="4" t="s">
        <v>1541</v>
      </c>
      <c r="E1845" s="3" t="s">
        <v>1542</v>
      </c>
      <c r="F1845" s="5">
        <v>46207.76875</v>
      </c>
      <c r="G1845" s="5">
        <v>46207.552719907406</v>
      </c>
      <c r="H1845" s="3" t="s">
        <v>14</v>
      </c>
      <c r="I1845" s="7">
        <v>0.0</v>
      </c>
      <c r="J1845" s="3" t="s">
        <v>15</v>
      </c>
    </row>
    <row r="1846">
      <c r="A1846" s="3"/>
      <c r="B1846" s="3"/>
      <c r="C1846" s="3" t="s">
        <v>26</v>
      </c>
      <c r="D1846" s="4" t="s">
        <v>1541</v>
      </c>
      <c r="E1846" s="3" t="s">
        <v>1542</v>
      </c>
      <c r="F1846" s="5">
        <v>46207.81041666667</v>
      </c>
      <c r="G1846" s="5">
        <v>46207.55275462963</v>
      </c>
      <c r="H1846" s="3" t="s">
        <v>14</v>
      </c>
      <c r="I1846" s="7">
        <v>0.0</v>
      </c>
      <c r="J1846" s="3" t="s">
        <v>15</v>
      </c>
    </row>
    <row r="1847">
      <c r="A1847" s="3"/>
      <c r="B1847" s="3"/>
      <c r="C1847" s="3" t="s">
        <v>10</v>
      </c>
      <c r="D1847" s="4" t="s">
        <v>1547</v>
      </c>
      <c r="E1847" s="3" t="s">
        <v>882</v>
      </c>
      <c r="F1847" s="5">
        <v>46206.7175</v>
      </c>
      <c r="G1847" s="5">
        <v>46206.55207175926</v>
      </c>
      <c r="H1847" s="3" t="s">
        <v>14</v>
      </c>
      <c r="I1847" s="3">
        <v>0.0</v>
      </c>
      <c r="J1847" s="3" t="s">
        <v>15</v>
      </c>
    </row>
    <row r="1848">
      <c r="A1848" s="3"/>
      <c r="B1848" s="3"/>
      <c r="C1848" s="3" t="s">
        <v>17</v>
      </c>
      <c r="D1848" s="4" t="s">
        <v>1547</v>
      </c>
      <c r="E1848" s="3" t="s">
        <v>882</v>
      </c>
      <c r="F1848" s="5">
        <v>46206.724444444444</v>
      </c>
      <c r="G1848" s="5">
        <v>46206.552152777775</v>
      </c>
      <c r="H1848" s="3" t="s">
        <v>14</v>
      </c>
      <c r="I1848" s="7">
        <v>0.0</v>
      </c>
      <c r="J1848" s="3" t="s">
        <v>15</v>
      </c>
    </row>
    <row r="1849">
      <c r="A1849" s="3"/>
      <c r="B1849" s="3"/>
      <c r="C1849" s="3" t="s">
        <v>21</v>
      </c>
      <c r="D1849" s="4" t="s">
        <v>1547</v>
      </c>
      <c r="E1849" s="3" t="s">
        <v>882</v>
      </c>
      <c r="F1849" s="5">
        <v>46206.82861111111</v>
      </c>
      <c r="G1849" s="5">
        <v>46206.55217592593</v>
      </c>
      <c r="H1849" s="3" t="s">
        <v>14</v>
      </c>
      <c r="I1849" s="7">
        <v>0.0</v>
      </c>
      <c r="J1849" s="3" t="s">
        <v>15</v>
      </c>
    </row>
    <row r="1850">
      <c r="A1850" s="3"/>
      <c r="B1850" s="3"/>
      <c r="C1850" s="3" t="s">
        <v>24</v>
      </c>
      <c r="D1850" s="4" t="s">
        <v>1547</v>
      </c>
      <c r="E1850" s="3" t="s">
        <v>882</v>
      </c>
      <c r="F1850" s="5">
        <v>46207.82847222222</v>
      </c>
      <c r="G1850" s="5">
        <v>46206.66195601852</v>
      </c>
      <c r="H1850" s="3" t="s">
        <v>14</v>
      </c>
      <c r="I1850" s="7">
        <v>0.0</v>
      </c>
      <c r="J1850" s="3" t="s">
        <v>15</v>
      </c>
    </row>
    <row r="1851">
      <c r="A1851" s="3"/>
      <c r="B1851" s="3"/>
      <c r="C1851" s="3" t="s">
        <v>26</v>
      </c>
      <c r="D1851" s="4" t="s">
        <v>1547</v>
      </c>
      <c r="E1851" s="3" t="s">
        <v>882</v>
      </c>
      <c r="F1851" s="5">
        <v>46209.45347222222</v>
      </c>
      <c r="G1851" s="5">
        <v>46206.6815625</v>
      </c>
      <c r="H1851" s="3" t="s">
        <v>14</v>
      </c>
      <c r="I1851" s="7">
        <v>0.0</v>
      </c>
      <c r="J1851" s="3" t="s">
        <v>15</v>
      </c>
    </row>
    <row r="1852">
      <c r="A1852" s="3"/>
      <c r="B1852" s="3"/>
      <c r="C1852" s="3" t="s">
        <v>10</v>
      </c>
      <c r="D1852" s="4" t="s">
        <v>1550</v>
      </c>
      <c r="E1852" s="3" t="s">
        <v>1551</v>
      </c>
      <c r="F1852" s="5">
        <v>46207.45</v>
      </c>
      <c r="G1852" s="5">
        <v>46206.749189814815</v>
      </c>
      <c r="H1852" s="3" t="s">
        <v>14</v>
      </c>
      <c r="I1852" s="3">
        <v>0.0</v>
      </c>
      <c r="J1852" s="3" t="s">
        <v>72</v>
      </c>
    </row>
    <row r="1853">
      <c r="A1853" s="3"/>
      <c r="B1853" s="3"/>
      <c r="C1853" s="3" t="s">
        <v>17</v>
      </c>
      <c r="D1853" s="4" t="s">
        <v>1550</v>
      </c>
      <c r="E1853" s="3" t="s">
        <v>1551</v>
      </c>
      <c r="F1853" s="5">
        <v>46207.45694444444</v>
      </c>
      <c r="G1853" s="5">
        <v>46206.804027777776</v>
      </c>
      <c r="H1853" s="3" t="s">
        <v>14</v>
      </c>
      <c r="I1853" s="7">
        <v>0.0</v>
      </c>
      <c r="J1853" s="3" t="s">
        <v>72</v>
      </c>
    </row>
    <row r="1854">
      <c r="A1854" s="3"/>
      <c r="B1854" s="3"/>
      <c r="C1854" s="3" t="s">
        <v>21</v>
      </c>
      <c r="D1854" s="4" t="s">
        <v>1550</v>
      </c>
      <c r="E1854" s="3" t="s">
        <v>1551</v>
      </c>
      <c r="F1854" s="5">
        <v>46207.561111111114</v>
      </c>
      <c r="G1854" s="5">
        <v>46206.804247685184</v>
      </c>
      <c r="H1854" s="3" t="s">
        <v>14</v>
      </c>
      <c r="I1854" s="7">
        <v>0.0</v>
      </c>
      <c r="J1854" s="3" t="s">
        <v>72</v>
      </c>
    </row>
    <row r="1855">
      <c r="A1855" s="3"/>
      <c r="B1855" s="3"/>
      <c r="C1855" s="3" t="s">
        <v>24</v>
      </c>
      <c r="D1855" s="4" t="s">
        <v>1550</v>
      </c>
      <c r="E1855" s="3" t="s">
        <v>1551</v>
      </c>
      <c r="F1855" s="5">
        <v>46209.561111111114</v>
      </c>
      <c r="G1855" s="5">
        <v>46206.74928240741</v>
      </c>
      <c r="H1855" s="3" t="s">
        <v>14</v>
      </c>
      <c r="I1855" s="7">
        <v>0.0</v>
      </c>
      <c r="J1855" s="3" t="s">
        <v>72</v>
      </c>
    </row>
    <row r="1856">
      <c r="A1856" s="3"/>
      <c r="B1856" s="3"/>
      <c r="C1856" s="3" t="s">
        <v>26</v>
      </c>
      <c r="D1856" s="4" t="s">
        <v>1550</v>
      </c>
      <c r="E1856" s="3" t="s">
        <v>1551</v>
      </c>
      <c r="F1856" s="5">
        <v>46209.60277777778</v>
      </c>
      <c r="G1856" s="5">
        <v>46206.74930555555</v>
      </c>
      <c r="H1856" s="3" t="s">
        <v>14</v>
      </c>
      <c r="I1856" s="7">
        <v>0.0</v>
      </c>
      <c r="J1856" s="3" t="s">
        <v>72</v>
      </c>
    </row>
    <row r="1857">
      <c r="A1857" s="3"/>
      <c r="B1857" s="3"/>
      <c r="C1857" s="3" t="s">
        <v>10</v>
      </c>
      <c r="D1857" s="4" t="s">
        <v>1553</v>
      </c>
      <c r="E1857" s="3" t="s">
        <v>1554</v>
      </c>
      <c r="F1857" s="5">
        <v>46207.50555555556</v>
      </c>
      <c r="G1857" s="5">
        <v>46206.80368055555</v>
      </c>
      <c r="H1857" s="3" t="s">
        <v>14</v>
      </c>
      <c r="I1857" s="3">
        <v>0.0</v>
      </c>
      <c r="J1857" s="3" t="s">
        <v>72</v>
      </c>
    </row>
    <row r="1858">
      <c r="A1858" s="3"/>
      <c r="B1858" s="3"/>
      <c r="C1858" s="3" t="s">
        <v>17</v>
      </c>
      <c r="D1858" s="4" t="s">
        <v>1553</v>
      </c>
      <c r="E1858" s="3" t="s">
        <v>1554</v>
      </c>
      <c r="F1858" s="5">
        <v>46207.5125</v>
      </c>
      <c r="G1858" s="5">
        <v>46206.80390046296</v>
      </c>
      <c r="H1858" s="3" t="s">
        <v>14</v>
      </c>
      <c r="I1858" s="7">
        <v>0.0</v>
      </c>
      <c r="J1858" s="3" t="s">
        <v>72</v>
      </c>
    </row>
    <row r="1859">
      <c r="A1859" s="3"/>
      <c r="B1859" s="3"/>
      <c r="C1859" s="3" t="s">
        <v>21</v>
      </c>
      <c r="D1859" s="4" t="s">
        <v>1553</v>
      </c>
      <c r="E1859" s="3" t="s">
        <v>1554</v>
      </c>
      <c r="F1859" s="5">
        <v>46207.61666666667</v>
      </c>
      <c r="G1859" s="5">
        <v>46207.40392361111</v>
      </c>
      <c r="H1859" s="3" t="s">
        <v>14</v>
      </c>
      <c r="I1859" s="7">
        <v>0.0</v>
      </c>
      <c r="J1859" s="3" t="s">
        <v>72</v>
      </c>
    </row>
    <row r="1860">
      <c r="A1860" s="3"/>
      <c r="B1860" s="3"/>
      <c r="C1860" s="3" t="s">
        <v>24</v>
      </c>
      <c r="D1860" s="4" t="s">
        <v>1553</v>
      </c>
      <c r="E1860" s="3" t="s">
        <v>1554</v>
      </c>
      <c r="F1860" s="5">
        <v>46209.61666666667</v>
      </c>
      <c r="G1860" s="5">
        <v>46207.40403935185</v>
      </c>
      <c r="H1860" s="3" t="s">
        <v>14</v>
      </c>
      <c r="I1860" s="7">
        <v>0.0</v>
      </c>
      <c r="J1860" s="3" t="s">
        <v>72</v>
      </c>
    </row>
    <row r="1861">
      <c r="A1861" s="3"/>
      <c r="B1861" s="3"/>
      <c r="C1861" s="3" t="s">
        <v>26</v>
      </c>
      <c r="D1861" s="4" t="s">
        <v>1553</v>
      </c>
      <c r="E1861" s="3" t="s">
        <v>1554</v>
      </c>
      <c r="F1861" s="5">
        <v>46209.65833333333</v>
      </c>
      <c r="G1861" s="5">
        <v>46207.40405092593</v>
      </c>
      <c r="H1861" s="3" t="s">
        <v>14</v>
      </c>
      <c r="I1861" s="7">
        <v>0.0</v>
      </c>
      <c r="J1861" s="3" t="s">
        <v>72</v>
      </c>
    </row>
    <row r="1862">
      <c r="A1862" s="3"/>
      <c r="B1862" s="3"/>
      <c r="C1862" s="3" t="s">
        <v>10</v>
      </c>
      <c r="D1862" s="4" t="s">
        <v>1557</v>
      </c>
      <c r="E1862" s="3" t="s">
        <v>1558</v>
      </c>
      <c r="F1862" s="5">
        <v>46213.48678240741</v>
      </c>
      <c r="G1862" s="5">
        <v>46209.42967592592</v>
      </c>
      <c r="H1862" s="3" t="s">
        <v>14</v>
      </c>
      <c r="I1862" s="3">
        <v>0.0</v>
      </c>
      <c r="J1862" s="3" t="s">
        <v>72</v>
      </c>
    </row>
    <row r="1863">
      <c r="A1863" s="3"/>
      <c r="B1863" s="3"/>
      <c r="C1863" s="3" t="s">
        <v>17</v>
      </c>
      <c r="D1863" s="4" t="s">
        <v>1557</v>
      </c>
      <c r="E1863" s="3" t="s">
        <v>1558</v>
      </c>
      <c r="F1863" s="5">
        <v>46213.493726851855</v>
      </c>
      <c r="G1863" s="5">
        <v>46209.42983796296</v>
      </c>
      <c r="H1863" s="3" t="s">
        <v>14</v>
      </c>
      <c r="I1863" s="7">
        <v>0.0</v>
      </c>
      <c r="J1863" s="3" t="s">
        <v>72</v>
      </c>
    </row>
    <row r="1864">
      <c r="A1864" s="3"/>
      <c r="B1864" s="3"/>
      <c r="C1864" s="3" t="s">
        <v>21</v>
      </c>
      <c r="D1864" s="4" t="s">
        <v>1557</v>
      </c>
      <c r="E1864" s="3" t="s">
        <v>1558</v>
      </c>
      <c r="F1864" s="5">
        <v>46213.59789351852</v>
      </c>
      <c r="G1864" s="5">
        <v>46209.48372685185</v>
      </c>
      <c r="H1864" s="3" t="s">
        <v>14</v>
      </c>
      <c r="I1864" s="7">
        <v>0.0</v>
      </c>
      <c r="J1864" s="3" t="s">
        <v>72</v>
      </c>
    </row>
    <row r="1865">
      <c r="A1865" s="3"/>
      <c r="B1865" s="3"/>
      <c r="C1865" s="3" t="s">
        <v>24</v>
      </c>
      <c r="D1865" s="4" t="s">
        <v>1557</v>
      </c>
      <c r="E1865" s="3" t="s">
        <v>1558</v>
      </c>
      <c r="F1865" s="5">
        <v>46214.59722222222</v>
      </c>
      <c r="G1865" s="5">
        <v>46209.49657407407</v>
      </c>
      <c r="H1865" s="3" t="s">
        <v>14</v>
      </c>
      <c r="I1865" s="7">
        <v>0.0</v>
      </c>
      <c r="J1865" s="3" t="s">
        <v>72</v>
      </c>
    </row>
    <row r="1866">
      <c r="A1866" s="3"/>
      <c r="B1866" s="3"/>
      <c r="C1866" s="3" t="s">
        <v>26</v>
      </c>
      <c r="D1866" s="4" t="s">
        <v>1557</v>
      </c>
      <c r="E1866" s="3" t="s">
        <v>1558</v>
      </c>
      <c r="F1866" s="5">
        <v>46214.63888888889</v>
      </c>
      <c r="G1866" s="5">
        <v>46209.7290162037</v>
      </c>
      <c r="H1866" s="3" t="s">
        <v>14</v>
      </c>
      <c r="I1866" s="7">
        <v>0.0</v>
      </c>
      <c r="J1866" s="3" t="s">
        <v>72</v>
      </c>
    </row>
    <row r="1867">
      <c r="A1867" s="3"/>
      <c r="B1867" s="3"/>
      <c r="C1867" s="3" t="s">
        <v>10</v>
      </c>
      <c r="D1867" s="4" t="s">
        <v>1563</v>
      </c>
      <c r="E1867" s="3" t="s">
        <v>1564</v>
      </c>
      <c r="F1867" s="5">
        <v>46209.52361111111</v>
      </c>
      <c r="G1867" s="5">
        <v>46209.429710648146</v>
      </c>
      <c r="H1867" s="3" t="s">
        <v>14</v>
      </c>
      <c r="I1867" s="3">
        <v>0.0</v>
      </c>
      <c r="J1867" s="3" t="s">
        <v>72</v>
      </c>
    </row>
    <row r="1868">
      <c r="A1868" s="3"/>
      <c r="B1868" s="3"/>
      <c r="C1868" s="3" t="s">
        <v>17</v>
      </c>
      <c r="D1868" s="4" t="s">
        <v>1563</v>
      </c>
      <c r="E1868" s="3" t="s">
        <v>1564</v>
      </c>
      <c r="F1868" s="5">
        <v>46209.53055555555</v>
      </c>
      <c r="G1868" s="5">
        <v>46209.42986111111</v>
      </c>
      <c r="H1868" s="3" t="s">
        <v>14</v>
      </c>
      <c r="I1868" s="7">
        <v>0.0</v>
      </c>
      <c r="J1868" s="3" t="s">
        <v>72</v>
      </c>
    </row>
    <row r="1869">
      <c r="A1869" s="3"/>
      <c r="B1869" s="3"/>
      <c r="C1869" s="3" t="s">
        <v>21</v>
      </c>
      <c r="D1869" s="4" t="s">
        <v>1563</v>
      </c>
      <c r="E1869" s="3" t="s">
        <v>1564</v>
      </c>
      <c r="F1869" s="5">
        <v>46209.634722222225</v>
      </c>
      <c r="G1869" s="5">
        <v>46209.48375</v>
      </c>
      <c r="H1869" s="3" t="s">
        <v>14</v>
      </c>
      <c r="I1869" s="7">
        <v>0.0</v>
      </c>
      <c r="J1869" s="3" t="s">
        <v>72</v>
      </c>
    </row>
    <row r="1870">
      <c r="A1870" s="3"/>
      <c r="B1870" s="3"/>
      <c r="C1870" s="3" t="s">
        <v>24</v>
      </c>
      <c r="D1870" s="4" t="s">
        <v>1563</v>
      </c>
      <c r="E1870" s="3" t="s">
        <v>1564</v>
      </c>
      <c r="F1870" s="5">
        <v>46210.634722222225</v>
      </c>
      <c r="G1870" s="5">
        <v>46209.496666666666</v>
      </c>
      <c r="H1870" s="3" t="s">
        <v>14</v>
      </c>
      <c r="I1870" s="7">
        <v>0.0</v>
      </c>
      <c r="J1870" s="3" t="s">
        <v>72</v>
      </c>
    </row>
    <row r="1871">
      <c r="A1871" s="3"/>
      <c r="B1871" s="3"/>
      <c r="C1871" s="3" t="s">
        <v>26</v>
      </c>
      <c r="D1871" s="4" t="s">
        <v>1563</v>
      </c>
      <c r="E1871" s="3" t="s">
        <v>1564</v>
      </c>
      <c r="F1871" s="5">
        <v>46210.67638888889</v>
      </c>
      <c r="G1871" s="5">
        <v>46209.72903935185</v>
      </c>
      <c r="H1871" s="3" t="s">
        <v>14</v>
      </c>
      <c r="I1871" s="7">
        <v>0.0</v>
      </c>
      <c r="J1871" s="3" t="s">
        <v>72</v>
      </c>
    </row>
    <row r="1872">
      <c r="A1872" s="3"/>
      <c r="B1872" s="3"/>
      <c r="C1872" s="3" t="s">
        <v>10</v>
      </c>
      <c r="D1872" s="4" t="s">
        <v>1569</v>
      </c>
      <c r="E1872" s="3" t="s">
        <v>754</v>
      </c>
      <c r="F1872" s="5">
        <v>46209.61184027778</v>
      </c>
      <c r="G1872" s="5">
        <v>46209.48327546296</v>
      </c>
      <c r="H1872" s="3" t="s">
        <v>14</v>
      </c>
      <c r="I1872" s="3">
        <v>0.0</v>
      </c>
      <c r="J1872" s="3" t="s">
        <v>15</v>
      </c>
    </row>
    <row r="1873">
      <c r="A1873" s="3"/>
      <c r="B1873" s="3"/>
      <c r="C1873" s="3" t="s">
        <v>17</v>
      </c>
      <c r="D1873" s="4" t="s">
        <v>1569</v>
      </c>
      <c r="E1873" s="3" t="s">
        <v>754</v>
      </c>
      <c r="F1873" s="5">
        <v>46209.618784722225</v>
      </c>
      <c r="G1873" s="5">
        <v>46209.48349537037</v>
      </c>
      <c r="H1873" s="3" t="s">
        <v>14</v>
      </c>
      <c r="I1873" s="7">
        <v>0.0</v>
      </c>
      <c r="J1873" s="3" t="s">
        <v>15</v>
      </c>
    </row>
    <row r="1874">
      <c r="A1874" s="3"/>
      <c r="B1874" s="3"/>
      <c r="C1874" s="3" t="s">
        <v>21</v>
      </c>
      <c r="D1874" s="4" t="s">
        <v>1569</v>
      </c>
      <c r="E1874" s="3" t="s">
        <v>754</v>
      </c>
      <c r="F1874" s="5">
        <v>46209.72295138889</v>
      </c>
      <c r="G1874" s="5">
        <v>46209.48354166667</v>
      </c>
      <c r="H1874" s="3" t="s">
        <v>14</v>
      </c>
      <c r="I1874" s="7">
        <v>0.0</v>
      </c>
      <c r="J1874" s="3" t="s">
        <v>15</v>
      </c>
    </row>
    <row r="1875">
      <c r="A1875" s="3"/>
      <c r="B1875" s="3"/>
      <c r="C1875" s="3" t="s">
        <v>24</v>
      </c>
      <c r="D1875" s="4" t="s">
        <v>1569</v>
      </c>
      <c r="E1875" s="3" t="s">
        <v>754</v>
      </c>
      <c r="F1875" s="5">
        <v>46210.722916666666</v>
      </c>
      <c r="G1875" s="5">
        <v>46209.49684027778</v>
      </c>
      <c r="H1875" s="3" t="s">
        <v>14</v>
      </c>
      <c r="I1875" s="7">
        <v>0.0</v>
      </c>
      <c r="J1875" s="3" t="s">
        <v>15</v>
      </c>
    </row>
    <row r="1876">
      <c r="A1876" s="3"/>
      <c r="B1876" s="3"/>
      <c r="C1876" s="3" t="s">
        <v>26</v>
      </c>
      <c r="D1876" s="4" t="s">
        <v>1569</v>
      </c>
      <c r="E1876" s="3" t="s">
        <v>754</v>
      </c>
      <c r="F1876" s="5">
        <v>46210.76458333333</v>
      </c>
      <c r="G1876" s="5">
        <v>46209.63538194444</v>
      </c>
      <c r="H1876" s="3" t="s">
        <v>14</v>
      </c>
      <c r="I1876" s="7">
        <v>0.0</v>
      </c>
      <c r="J1876" s="3" t="s">
        <v>15</v>
      </c>
    </row>
    <row r="1877">
      <c r="A1877" s="3"/>
      <c r="B1877" s="3"/>
      <c r="C1877" s="3" t="s">
        <v>10</v>
      </c>
      <c r="D1877" s="4" t="s">
        <v>1571</v>
      </c>
      <c r="E1877" s="3" t="s">
        <v>1504</v>
      </c>
      <c r="F1877" s="5">
        <v>46209.65280092593</v>
      </c>
      <c r="G1877" s="5">
        <v>46209.497094907405</v>
      </c>
      <c r="H1877" s="3" t="s">
        <v>14</v>
      </c>
      <c r="I1877" s="3">
        <v>0.0</v>
      </c>
      <c r="J1877" s="3" t="s">
        <v>15</v>
      </c>
    </row>
    <row r="1878">
      <c r="A1878" s="3"/>
      <c r="B1878" s="3"/>
      <c r="C1878" s="3" t="s">
        <v>17</v>
      </c>
      <c r="D1878" s="4" t="s">
        <v>1571</v>
      </c>
      <c r="E1878" s="3" t="s">
        <v>1504</v>
      </c>
      <c r="F1878" s="5">
        <v>46209.65974537037</v>
      </c>
      <c r="G1878" s="5">
        <v>46209.4971875</v>
      </c>
      <c r="H1878" s="3" t="s">
        <v>14</v>
      </c>
      <c r="I1878" s="7">
        <v>0.0</v>
      </c>
      <c r="J1878" s="3" t="s">
        <v>15</v>
      </c>
    </row>
    <row r="1879">
      <c r="A1879" s="3"/>
      <c r="B1879" s="3"/>
      <c r="C1879" s="3" t="s">
        <v>21</v>
      </c>
      <c r="D1879" s="4" t="s">
        <v>1571</v>
      </c>
      <c r="E1879" s="3" t="s">
        <v>1504</v>
      </c>
      <c r="F1879" s="5">
        <v>46209.76391203704</v>
      </c>
      <c r="G1879" s="5">
        <v>46209.588009259256</v>
      </c>
      <c r="H1879" s="3" t="s">
        <v>14</v>
      </c>
      <c r="I1879" s="7">
        <v>0.0</v>
      </c>
      <c r="J1879" s="3" t="s">
        <v>15</v>
      </c>
    </row>
    <row r="1880">
      <c r="A1880" s="3"/>
      <c r="B1880" s="3"/>
      <c r="C1880" s="3" t="s">
        <v>24</v>
      </c>
      <c r="D1880" s="4" t="s">
        <v>1571</v>
      </c>
      <c r="E1880" s="3" t="s">
        <v>1504</v>
      </c>
      <c r="F1880" s="5">
        <v>46210.76388888889</v>
      </c>
      <c r="G1880" s="5">
        <v>46209.58814814815</v>
      </c>
      <c r="H1880" s="3" t="s">
        <v>14</v>
      </c>
      <c r="I1880" s="7">
        <v>0.0</v>
      </c>
      <c r="J1880" s="3" t="s">
        <v>15</v>
      </c>
    </row>
    <row r="1881">
      <c r="A1881" s="3"/>
      <c r="B1881" s="3"/>
      <c r="C1881" s="3" t="s">
        <v>26</v>
      </c>
      <c r="D1881" s="4" t="s">
        <v>1571</v>
      </c>
      <c r="E1881" s="3" t="s">
        <v>1504</v>
      </c>
      <c r="F1881" s="5">
        <v>46210.805555555555</v>
      </c>
      <c r="G1881" s="5">
        <v>46209.63542824074</v>
      </c>
      <c r="H1881" s="3" t="s">
        <v>14</v>
      </c>
      <c r="I1881" s="7">
        <v>0.0</v>
      </c>
      <c r="J1881" s="3" t="s">
        <v>15</v>
      </c>
    </row>
    <row r="1882">
      <c r="A1882" s="3"/>
      <c r="B1882" s="3"/>
      <c r="C1882" s="3" t="s">
        <v>10</v>
      </c>
      <c r="D1882" s="4" t="s">
        <v>1573</v>
      </c>
      <c r="E1882" s="3" t="s">
        <v>1574</v>
      </c>
      <c r="F1882" s="5">
        <v>46209.6931712963</v>
      </c>
      <c r="G1882" s="5">
        <v>46209.58788194445</v>
      </c>
      <c r="H1882" s="3" t="s">
        <v>14</v>
      </c>
      <c r="I1882" s="3">
        <v>0.0</v>
      </c>
      <c r="J1882" s="3" t="s">
        <v>72</v>
      </c>
    </row>
    <row r="1883">
      <c r="A1883" s="3"/>
      <c r="B1883" s="3"/>
      <c r="C1883" s="3" t="s">
        <v>17</v>
      </c>
      <c r="D1883" s="4" t="s">
        <v>1573</v>
      </c>
      <c r="E1883" s="3" t="s">
        <v>1574</v>
      </c>
      <c r="F1883" s="5">
        <v>46209.70011574074</v>
      </c>
      <c r="G1883" s="5">
        <v>46209.58796296296</v>
      </c>
      <c r="H1883" s="3" t="s">
        <v>14</v>
      </c>
      <c r="I1883" s="7">
        <v>0.0</v>
      </c>
      <c r="J1883" s="3" t="s">
        <v>72</v>
      </c>
    </row>
    <row r="1884">
      <c r="A1884" s="3"/>
      <c r="B1884" s="3"/>
      <c r="C1884" s="3" t="s">
        <v>21</v>
      </c>
      <c r="D1884" s="4" t="s">
        <v>1573</v>
      </c>
      <c r="E1884" s="3" t="s">
        <v>1574</v>
      </c>
      <c r="F1884" s="5">
        <v>46209.80428240741</v>
      </c>
      <c r="G1884" s="5">
        <v>46209.588009259256</v>
      </c>
      <c r="H1884" s="3" t="s">
        <v>14</v>
      </c>
      <c r="I1884" s="7">
        <v>0.0</v>
      </c>
      <c r="J1884" s="3" t="s">
        <v>72</v>
      </c>
    </row>
    <row r="1885">
      <c r="A1885" s="3"/>
      <c r="B1885" s="3"/>
      <c r="C1885" s="3" t="s">
        <v>24</v>
      </c>
      <c r="D1885" s="4" t="s">
        <v>1573</v>
      </c>
      <c r="E1885" s="3" t="s">
        <v>1574</v>
      </c>
      <c r="F1885" s="5">
        <v>46210.80416666667</v>
      </c>
      <c r="G1885" s="5">
        <v>46209.5880787037</v>
      </c>
      <c r="H1885" s="3" t="s">
        <v>14</v>
      </c>
      <c r="I1885" s="7">
        <v>0.0</v>
      </c>
      <c r="J1885" s="3" t="s">
        <v>72</v>
      </c>
    </row>
    <row r="1886">
      <c r="A1886" s="3"/>
      <c r="B1886" s="3"/>
      <c r="C1886" s="3" t="s">
        <v>26</v>
      </c>
      <c r="D1886" s="4" t="s">
        <v>1573</v>
      </c>
      <c r="E1886" s="3" t="s">
        <v>1574</v>
      </c>
      <c r="F1886" s="5">
        <v>46211.42916666667</v>
      </c>
      <c r="G1886" s="5">
        <v>46210.50347222222</v>
      </c>
      <c r="H1886" s="3" t="s">
        <v>14</v>
      </c>
      <c r="I1886" s="7">
        <v>0.0</v>
      </c>
      <c r="J1886" s="3" t="s">
        <v>72</v>
      </c>
    </row>
    <row r="1887">
      <c r="A1887" s="3"/>
      <c r="B1887" s="3"/>
      <c r="C1887" s="3" t="s">
        <v>10</v>
      </c>
      <c r="D1887" s="4" t="s">
        <v>1576</v>
      </c>
      <c r="E1887" s="3" t="s">
        <v>1577</v>
      </c>
      <c r="F1887" s="5">
        <v>46209.752858796295</v>
      </c>
      <c r="G1887" s="5">
        <v>46209.58788194445</v>
      </c>
      <c r="H1887" s="3" t="s">
        <v>14</v>
      </c>
      <c r="I1887" s="3">
        <v>0.0</v>
      </c>
      <c r="J1887" s="3" t="s">
        <v>15</v>
      </c>
    </row>
    <row r="1888">
      <c r="A1888" s="3"/>
      <c r="B1888" s="3"/>
      <c r="C1888" s="3" t="s">
        <v>17</v>
      </c>
      <c r="D1888" s="4" t="s">
        <v>1576</v>
      </c>
      <c r="E1888" s="3" t="s">
        <v>1577</v>
      </c>
      <c r="F1888" s="5">
        <v>46209.75980324074</v>
      </c>
      <c r="G1888" s="5">
        <v>46209.58828703704</v>
      </c>
      <c r="H1888" s="3" t="s">
        <v>14</v>
      </c>
      <c r="I1888" s="7">
        <v>0.0</v>
      </c>
      <c r="J1888" s="3" t="s">
        <v>15</v>
      </c>
    </row>
    <row r="1889">
      <c r="A1889" s="3"/>
      <c r="B1889" s="3"/>
      <c r="C1889" s="3" t="s">
        <v>21</v>
      </c>
      <c r="D1889" s="4" t="s">
        <v>1576</v>
      </c>
      <c r="E1889" s="3" t="s">
        <v>1577</v>
      </c>
      <c r="F1889" s="5">
        <v>46210.42638888889</v>
      </c>
      <c r="G1889" s="5">
        <v>46209.58802083333</v>
      </c>
      <c r="H1889" s="3" t="s">
        <v>14</v>
      </c>
      <c r="I1889" s="7">
        <v>0.0</v>
      </c>
      <c r="J1889" s="3" t="s">
        <v>15</v>
      </c>
    </row>
    <row r="1890">
      <c r="A1890" s="3"/>
      <c r="B1890" s="3"/>
      <c r="C1890" s="3" t="s">
        <v>24</v>
      </c>
      <c r="D1890" s="4" t="s">
        <v>1576</v>
      </c>
      <c r="E1890" s="3" t="s">
        <v>1577</v>
      </c>
      <c r="F1890" s="5">
        <v>46211.42638888889</v>
      </c>
      <c r="G1890" s="5">
        <v>46209.728854166664</v>
      </c>
      <c r="H1890" s="3" t="s">
        <v>14</v>
      </c>
      <c r="I1890" s="7">
        <v>0.0</v>
      </c>
      <c r="J1890" s="3" t="s">
        <v>15</v>
      </c>
    </row>
    <row r="1891">
      <c r="A1891" s="3"/>
      <c r="B1891" s="3"/>
      <c r="C1891" s="3" t="s">
        <v>26</v>
      </c>
      <c r="D1891" s="4" t="s">
        <v>1576</v>
      </c>
      <c r="E1891" s="3" t="s">
        <v>1577</v>
      </c>
      <c r="F1891" s="5">
        <v>46211.46805555555</v>
      </c>
      <c r="G1891" s="5">
        <v>46209.72888888889</v>
      </c>
      <c r="H1891" s="3" t="s">
        <v>14</v>
      </c>
      <c r="I1891" s="7">
        <v>0.0</v>
      </c>
      <c r="J1891" s="3" t="s">
        <v>15</v>
      </c>
    </row>
    <row r="1892">
      <c r="A1892" s="3"/>
      <c r="B1892" s="3"/>
      <c r="C1892" s="3" t="s">
        <v>10</v>
      </c>
      <c r="D1892" s="4" t="s">
        <v>1582</v>
      </c>
      <c r="E1892" s="3" t="s">
        <v>1583</v>
      </c>
      <c r="F1892" s="5">
        <v>46210.45806712963</v>
      </c>
      <c r="G1892" s="5">
        <v>46209.72741898148</v>
      </c>
      <c r="H1892" s="3" t="s">
        <v>14</v>
      </c>
      <c r="I1892" s="3">
        <v>0.0</v>
      </c>
      <c r="J1892" s="3" t="s">
        <v>48</v>
      </c>
    </row>
    <row r="1893">
      <c r="A1893" s="3"/>
      <c r="B1893" s="3"/>
      <c r="C1893" s="3" t="s">
        <v>17</v>
      </c>
      <c r="D1893" s="4" t="s">
        <v>1582</v>
      </c>
      <c r="E1893" s="3" t="s">
        <v>1583</v>
      </c>
      <c r="F1893" s="5">
        <v>46210.46501157407</v>
      </c>
      <c r="G1893" s="5">
        <v>46209.72751157408</v>
      </c>
      <c r="H1893" s="3" t="s">
        <v>14</v>
      </c>
      <c r="I1893" s="7">
        <v>0.0</v>
      </c>
      <c r="J1893" s="3" t="s">
        <v>48</v>
      </c>
    </row>
    <row r="1894">
      <c r="A1894" s="3"/>
      <c r="B1894" s="3"/>
      <c r="C1894" s="3" t="s">
        <v>21</v>
      </c>
      <c r="D1894" s="4" t="s">
        <v>1582</v>
      </c>
      <c r="E1894" s="3" t="s">
        <v>1583</v>
      </c>
      <c r="F1894" s="5">
        <v>46210.56917824074</v>
      </c>
      <c r="G1894" s="5">
        <v>46210.493483796294</v>
      </c>
      <c r="H1894" s="3" t="s">
        <v>14</v>
      </c>
      <c r="I1894" s="7">
        <v>0.0</v>
      </c>
      <c r="J1894" s="3" t="s">
        <v>48</v>
      </c>
    </row>
    <row r="1895">
      <c r="A1895" s="3"/>
      <c r="B1895" s="3"/>
      <c r="C1895" s="3" t="s">
        <v>24</v>
      </c>
      <c r="D1895" s="4" t="s">
        <v>1582</v>
      </c>
      <c r="E1895" s="3" t="s">
        <v>1583</v>
      </c>
      <c r="F1895" s="5">
        <v>46211.56875</v>
      </c>
      <c r="G1895" s="5">
        <v>46211.44664351852</v>
      </c>
      <c r="H1895" s="3" t="s">
        <v>14</v>
      </c>
      <c r="I1895" s="7">
        <v>0.0</v>
      </c>
      <c r="J1895" s="3" t="s">
        <v>48</v>
      </c>
    </row>
    <row r="1896">
      <c r="A1896" s="3"/>
      <c r="B1896" s="3"/>
      <c r="C1896" s="3" t="s">
        <v>26</v>
      </c>
      <c r="D1896" s="4" t="s">
        <v>1582</v>
      </c>
      <c r="E1896" s="3" t="s">
        <v>1583</v>
      </c>
      <c r="F1896" s="5">
        <v>46211.61041666667</v>
      </c>
      <c r="G1896" s="5">
        <v>46211.44665509259</v>
      </c>
      <c r="H1896" s="3" t="s">
        <v>14</v>
      </c>
      <c r="I1896" s="7">
        <v>0.0</v>
      </c>
      <c r="J1896" s="3" t="s">
        <v>48</v>
      </c>
    </row>
    <row r="1897">
      <c r="A1897" s="3"/>
      <c r="B1897" s="3"/>
      <c r="C1897" s="3" t="s">
        <v>10</v>
      </c>
      <c r="D1897" s="4" t="s">
        <v>1589</v>
      </c>
      <c r="E1897" s="3" t="s">
        <v>1590</v>
      </c>
      <c r="F1897" s="5">
        <v>46210.450694444444</v>
      </c>
      <c r="G1897" s="5">
        <v>46209.72861111111</v>
      </c>
      <c r="H1897" s="3" t="s">
        <v>14</v>
      </c>
      <c r="I1897" s="3">
        <v>0.0</v>
      </c>
      <c r="J1897" s="3" t="s">
        <v>15</v>
      </c>
    </row>
    <row r="1898">
      <c r="A1898" s="3"/>
      <c r="B1898" s="3"/>
      <c r="C1898" s="3" t="s">
        <v>17</v>
      </c>
      <c r="D1898" s="4" t="s">
        <v>1589</v>
      </c>
      <c r="E1898" s="3" t="s">
        <v>1590</v>
      </c>
      <c r="F1898" s="5">
        <v>46210.45763888889</v>
      </c>
      <c r="G1898" s="5">
        <v>46209.727534722224</v>
      </c>
      <c r="H1898" s="3" t="s">
        <v>14</v>
      </c>
      <c r="I1898" s="7">
        <v>0.0</v>
      </c>
      <c r="J1898" s="3" t="s">
        <v>15</v>
      </c>
    </row>
    <row r="1899">
      <c r="A1899" s="3"/>
      <c r="B1899" s="3"/>
      <c r="C1899" s="3" t="s">
        <v>21</v>
      </c>
      <c r="D1899" s="4" t="s">
        <v>1589</v>
      </c>
      <c r="E1899" s="3" t="s">
        <v>1590</v>
      </c>
      <c r="F1899" s="5">
        <v>46210.56180555555</v>
      </c>
      <c r="G1899" s="5">
        <v>46209.72877314815</v>
      </c>
      <c r="H1899" s="3" t="s">
        <v>14</v>
      </c>
      <c r="I1899" s="7">
        <v>0.0</v>
      </c>
      <c r="J1899" s="3" t="s">
        <v>15</v>
      </c>
    </row>
    <row r="1900">
      <c r="A1900" s="3"/>
      <c r="B1900" s="3"/>
      <c r="C1900" s="3" t="s">
        <v>24</v>
      </c>
      <c r="D1900" s="4" t="s">
        <v>1589</v>
      </c>
      <c r="E1900" s="3" t="s">
        <v>1590</v>
      </c>
      <c r="F1900" s="5">
        <v>46211.56180555555</v>
      </c>
      <c r="G1900" s="5">
        <v>46209.72880787037</v>
      </c>
      <c r="H1900" s="3" t="s">
        <v>14</v>
      </c>
      <c r="I1900" s="7">
        <v>0.0</v>
      </c>
      <c r="J1900" s="3" t="s">
        <v>15</v>
      </c>
    </row>
    <row r="1901">
      <c r="A1901" s="3"/>
      <c r="B1901" s="3"/>
      <c r="C1901" s="3" t="s">
        <v>26</v>
      </c>
      <c r="D1901" s="4" t="s">
        <v>1589</v>
      </c>
      <c r="E1901" s="3" t="s">
        <v>1590</v>
      </c>
      <c r="F1901" s="5">
        <v>46211.603472222225</v>
      </c>
      <c r="G1901" s="5">
        <v>46209.72892361111</v>
      </c>
      <c r="H1901" s="3" t="s">
        <v>14</v>
      </c>
      <c r="I1901" s="7">
        <v>0.0</v>
      </c>
      <c r="J1901" s="3" t="s">
        <v>15</v>
      </c>
    </row>
    <row r="1902">
      <c r="A1902" s="3"/>
      <c r="B1902" s="3"/>
      <c r="C1902" s="3" t="s">
        <v>10</v>
      </c>
      <c r="D1902" s="4" t="s">
        <v>1593</v>
      </c>
      <c r="E1902" s="3" t="s">
        <v>1594</v>
      </c>
      <c r="F1902" s="5">
        <v>46210.695601851854</v>
      </c>
      <c r="G1902" s="5">
        <v>46210.61863425926</v>
      </c>
      <c r="H1902" s="3" t="s">
        <v>14</v>
      </c>
      <c r="I1902" s="3">
        <v>0.0</v>
      </c>
      <c r="J1902" s="3" t="s">
        <v>15</v>
      </c>
    </row>
    <row r="1903">
      <c r="A1903" s="3"/>
      <c r="B1903" s="3"/>
      <c r="C1903" s="3" t="s">
        <v>17</v>
      </c>
      <c r="D1903" s="4" t="s">
        <v>1593</v>
      </c>
      <c r="E1903" s="3" t="s">
        <v>1594</v>
      </c>
      <c r="F1903" s="5">
        <v>46210.7025462963</v>
      </c>
      <c r="G1903" s="5">
        <v>46210.61875</v>
      </c>
      <c r="H1903" s="3" t="s">
        <v>14</v>
      </c>
      <c r="I1903" s="7">
        <v>0.0</v>
      </c>
      <c r="J1903" s="3" t="s">
        <v>15</v>
      </c>
    </row>
    <row r="1904">
      <c r="A1904" s="3"/>
      <c r="B1904" s="3"/>
      <c r="C1904" s="3" t="s">
        <v>21</v>
      </c>
      <c r="D1904" s="4" t="s">
        <v>1593</v>
      </c>
      <c r="E1904" s="3" t="s">
        <v>1594</v>
      </c>
      <c r="F1904" s="5">
        <v>46210.80671296296</v>
      </c>
      <c r="G1904" s="5">
        <v>46210.61877314815</v>
      </c>
      <c r="H1904" s="3" t="s">
        <v>14</v>
      </c>
      <c r="I1904" s="7">
        <v>0.0</v>
      </c>
      <c r="J1904" s="3" t="s">
        <v>15</v>
      </c>
    </row>
    <row r="1905">
      <c r="A1905" s="3"/>
      <c r="B1905" s="3"/>
      <c r="C1905" s="3" t="s">
        <v>24</v>
      </c>
      <c r="D1905" s="4" t="s">
        <v>1593</v>
      </c>
      <c r="E1905" s="3" t="s">
        <v>1594</v>
      </c>
      <c r="F1905" s="5">
        <v>46211.80625</v>
      </c>
      <c r="G1905" s="5">
        <v>46211.4477662037</v>
      </c>
      <c r="H1905" s="3" t="s">
        <v>14</v>
      </c>
      <c r="I1905" s="7">
        <v>0.0</v>
      </c>
      <c r="J1905" s="3" t="s">
        <v>15</v>
      </c>
    </row>
    <row r="1906">
      <c r="A1906" s="3"/>
      <c r="B1906" s="3"/>
      <c r="C1906" s="3" t="s">
        <v>26</v>
      </c>
      <c r="D1906" s="4" t="s">
        <v>1593</v>
      </c>
      <c r="E1906" s="3" t="s">
        <v>1594</v>
      </c>
      <c r="F1906" s="5">
        <v>46212.43125</v>
      </c>
      <c r="G1906" s="5">
        <v>46211.462488425925</v>
      </c>
      <c r="H1906" s="3" t="s">
        <v>14</v>
      </c>
      <c r="I1906" s="7">
        <v>0.0</v>
      </c>
      <c r="J1906" s="3" t="s">
        <v>15</v>
      </c>
    </row>
    <row r="1907">
      <c r="A1907" s="3"/>
      <c r="B1907" s="3"/>
      <c r="C1907" s="3" t="s">
        <v>10</v>
      </c>
      <c r="D1907" s="4" t="s">
        <v>1597</v>
      </c>
      <c r="E1907" s="3" t="s">
        <v>284</v>
      </c>
      <c r="F1907" s="5">
        <v>46211.64894675926</v>
      </c>
      <c r="G1907" s="5">
        <v>46211.526875</v>
      </c>
      <c r="H1907" s="3" t="s">
        <v>14</v>
      </c>
      <c r="I1907" s="3">
        <v>0.0</v>
      </c>
      <c r="J1907" s="3" t="s">
        <v>48</v>
      </c>
    </row>
    <row r="1908">
      <c r="A1908" s="3"/>
      <c r="B1908" s="3"/>
      <c r="C1908" s="3" t="s">
        <v>17</v>
      </c>
      <c r="D1908" s="4" t="s">
        <v>1597</v>
      </c>
      <c r="E1908" s="3" t="s">
        <v>284</v>
      </c>
      <c r="F1908" s="5">
        <v>46211.65589120371</v>
      </c>
      <c r="G1908" s="5">
        <v>46211.527233796296</v>
      </c>
      <c r="H1908" s="3" t="s">
        <v>14</v>
      </c>
      <c r="I1908" s="7">
        <v>0.0</v>
      </c>
      <c r="J1908" s="3" t="s">
        <v>48</v>
      </c>
    </row>
    <row r="1909">
      <c r="A1909" s="3"/>
      <c r="B1909" s="3"/>
      <c r="C1909" s="3" t="s">
        <v>21</v>
      </c>
      <c r="D1909" s="4" t="s">
        <v>1597</v>
      </c>
      <c r="E1909" s="3" t="s">
        <v>284</v>
      </c>
      <c r="F1909" s="5">
        <v>46211.76005787037</v>
      </c>
      <c r="G1909" s="5">
        <v>46211.7559375</v>
      </c>
      <c r="H1909" s="3" t="s">
        <v>14</v>
      </c>
      <c r="I1909" s="7">
        <v>0.0</v>
      </c>
      <c r="J1909" s="3" t="s">
        <v>48</v>
      </c>
    </row>
    <row r="1910">
      <c r="A1910" s="3"/>
      <c r="B1910" s="3"/>
      <c r="C1910" s="3" t="s">
        <v>24</v>
      </c>
      <c r="D1910" s="4" t="s">
        <v>1597</v>
      </c>
      <c r="E1910" s="3" t="s">
        <v>284</v>
      </c>
      <c r="F1910" s="5">
        <v>46212.759722222225</v>
      </c>
      <c r="G1910" s="5">
        <v>46211.78412037037</v>
      </c>
      <c r="H1910" s="3" t="s">
        <v>14</v>
      </c>
      <c r="I1910" s="7">
        <v>0.0</v>
      </c>
      <c r="J1910" s="3" t="s">
        <v>48</v>
      </c>
    </row>
    <row r="1911">
      <c r="A1911" s="3"/>
      <c r="B1911" s="3"/>
      <c r="C1911" s="3" t="s">
        <v>26</v>
      </c>
      <c r="D1911" s="4" t="s">
        <v>1597</v>
      </c>
      <c r="E1911" s="3" t="s">
        <v>284</v>
      </c>
      <c r="F1911" s="5">
        <v>46212.80138888889</v>
      </c>
      <c r="G1911" s="5">
        <v>46212.44923611111</v>
      </c>
      <c r="H1911" s="3" t="s">
        <v>14</v>
      </c>
      <c r="I1911" s="7">
        <v>0.0</v>
      </c>
      <c r="J1911" s="3" t="s">
        <v>48</v>
      </c>
    </row>
    <row r="1912">
      <c r="A1912" s="3"/>
      <c r="B1912" s="3"/>
      <c r="C1912" s="3" t="s">
        <v>10</v>
      </c>
      <c r="D1912" s="4" t="s">
        <v>1599</v>
      </c>
      <c r="E1912" s="3" t="s">
        <v>1600</v>
      </c>
      <c r="F1912" s="5">
        <v>46211.72261574074</v>
      </c>
      <c r="G1912" s="5">
        <v>46211.64643518518</v>
      </c>
      <c r="H1912" s="3" t="s">
        <v>14</v>
      </c>
      <c r="I1912" s="3">
        <v>0.0</v>
      </c>
      <c r="J1912" s="3" t="s">
        <v>15</v>
      </c>
    </row>
    <row r="1913">
      <c r="A1913" s="3"/>
      <c r="B1913" s="3"/>
      <c r="C1913" s="3" t="s">
        <v>17</v>
      </c>
      <c r="D1913" s="4" t="s">
        <v>1599</v>
      </c>
      <c r="E1913" s="3" t="s">
        <v>1600</v>
      </c>
      <c r="F1913" s="5">
        <v>46211.72956018519</v>
      </c>
      <c r="G1913" s="5">
        <v>46211.64664351852</v>
      </c>
      <c r="H1913" s="3" t="s">
        <v>14</v>
      </c>
      <c r="I1913" s="7">
        <v>0.0</v>
      </c>
      <c r="J1913" s="3" t="s">
        <v>15</v>
      </c>
    </row>
    <row r="1914">
      <c r="A1914" s="3"/>
      <c r="B1914" s="3"/>
      <c r="C1914" s="3" t="s">
        <v>21</v>
      </c>
      <c r="D1914" s="4" t="s">
        <v>1599</v>
      </c>
      <c r="E1914" s="3" t="s">
        <v>1600</v>
      </c>
      <c r="F1914" s="5">
        <v>46212.4375</v>
      </c>
      <c r="G1914" s="5">
        <v>46211.783530092594</v>
      </c>
      <c r="H1914" s="3" t="s">
        <v>14</v>
      </c>
      <c r="I1914" s="7">
        <v>0.0</v>
      </c>
      <c r="J1914" s="3" t="s">
        <v>15</v>
      </c>
    </row>
    <row r="1915">
      <c r="A1915" s="3"/>
      <c r="B1915" s="3"/>
      <c r="C1915" s="3" t="s">
        <v>24</v>
      </c>
      <c r="D1915" s="4" t="s">
        <v>1599</v>
      </c>
      <c r="E1915" s="3" t="s">
        <v>1600</v>
      </c>
      <c r="F1915" s="5">
        <v>46213.4375</v>
      </c>
      <c r="G1915" s="5">
        <v>46211.78414351852</v>
      </c>
      <c r="H1915" s="3" t="s">
        <v>14</v>
      </c>
      <c r="I1915" s="7">
        <v>0.0</v>
      </c>
      <c r="J1915" s="3" t="s">
        <v>15</v>
      </c>
    </row>
    <row r="1916">
      <c r="A1916" s="3"/>
      <c r="B1916" s="3"/>
      <c r="C1916" s="3" t="s">
        <v>26</v>
      </c>
      <c r="D1916" s="4" t="s">
        <v>1599</v>
      </c>
      <c r="E1916" s="3" t="s">
        <v>1600</v>
      </c>
      <c r="F1916" s="5">
        <v>46213.479166666664</v>
      </c>
      <c r="G1916" s="5">
        <v>46212.78550925926</v>
      </c>
      <c r="H1916" s="3" t="s">
        <v>14</v>
      </c>
      <c r="I1916" s="7">
        <v>0.0</v>
      </c>
      <c r="J1916" s="3" t="s">
        <v>15</v>
      </c>
    </row>
    <row r="1917">
      <c r="A1917" s="3"/>
      <c r="B1917" s="3"/>
      <c r="C1917" s="3" t="s">
        <v>10</v>
      </c>
      <c r="D1917" s="4" t="s">
        <v>1603</v>
      </c>
      <c r="E1917" s="3" t="s">
        <v>1604</v>
      </c>
      <c r="F1917" s="5">
        <v>46211.76186342593</v>
      </c>
      <c r="G1917" s="5">
        <v>46211.646458333336</v>
      </c>
      <c r="H1917" s="3" t="s">
        <v>14</v>
      </c>
      <c r="I1917" s="3">
        <v>0.0</v>
      </c>
      <c r="J1917" s="3" t="s">
        <v>15</v>
      </c>
    </row>
    <row r="1918">
      <c r="A1918" s="3"/>
      <c r="B1918" s="3"/>
      <c r="C1918" s="3" t="s">
        <v>17</v>
      </c>
      <c r="D1918" s="4" t="s">
        <v>1603</v>
      </c>
      <c r="E1918" s="3" t="s">
        <v>1604</v>
      </c>
      <c r="F1918" s="5">
        <v>46211.76880787037</v>
      </c>
      <c r="G1918" s="5">
        <v>46211.646631944444</v>
      </c>
      <c r="H1918" s="3" t="s">
        <v>14</v>
      </c>
      <c r="I1918" s="7">
        <v>0.0</v>
      </c>
      <c r="J1918" s="3" t="s">
        <v>15</v>
      </c>
    </row>
    <row r="1919">
      <c r="A1919" s="3"/>
      <c r="B1919" s="3"/>
      <c r="C1919" s="3" t="s">
        <v>21</v>
      </c>
      <c r="D1919" s="4" t="s">
        <v>1603</v>
      </c>
      <c r="E1919" s="3" t="s">
        <v>1604</v>
      </c>
      <c r="F1919" s="5">
        <v>46212.43541666667</v>
      </c>
      <c r="G1919" s="5">
        <v>46211.78355324074</v>
      </c>
      <c r="H1919" s="3" t="s">
        <v>14</v>
      </c>
      <c r="I1919" s="7">
        <v>0.0</v>
      </c>
      <c r="J1919" s="3" t="s">
        <v>15</v>
      </c>
    </row>
    <row r="1920">
      <c r="A1920" s="3"/>
      <c r="B1920" s="3"/>
      <c r="C1920" s="3" t="s">
        <v>24</v>
      </c>
      <c r="D1920" s="4" t="s">
        <v>1603</v>
      </c>
      <c r="E1920" s="3" t="s">
        <v>1604</v>
      </c>
      <c r="F1920" s="5">
        <v>46213.43541666667</v>
      </c>
      <c r="G1920" s="5">
        <v>46211.78359953704</v>
      </c>
      <c r="H1920" s="3" t="s">
        <v>14</v>
      </c>
      <c r="I1920" s="7">
        <v>0.0</v>
      </c>
      <c r="J1920" s="3" t="s">
        <v>15</v>
      </c>
    </row>
    <row r="1921">
      <c r="A1921" s="3"/>
      <c r="B1921" s="3"/>
      <c r="C1921" s="3" t="s">
        <v>26</v>
      </c>
      <c r="D1921" s="4" t="s">
        <v>1603</v>
      </c>
      <c r="E1921" s="3" t="s">
        <v>1604</v>
      </c>
      <c r="F1921" s="5">
        <v>46213.47708333333</v>
      </c>
      <c r="G1921" s="5">
        <v>46212.74445601852</v>
      </c>
      <c r="H1921" s="3" t="s">
        <v>14</v>
      </c>
      <c r="I1921" s="7">
        <v>0.0</v>
      </c>
      <c r="J1921" s="3" t="s">
        <v>15</v>
      </c>
    </row>
    <row r="1922">
      <c r="A1922" s="3"/>
      <c r="B1922" s="3"/>
      <c r="C1922" s="3" t="s">
        <v>10</v>
      </c>
      <c r="D1922" s="4" t="s">
        <v>1608</v>
      </c>
      <c r="E1922" s="3" t="s">
        <v>1609</v>
      </c>
      <c r="F1922" s="5">
        <v>46212.475694444445</v>
      </c>
      <c r="G1922" s="5">
        <v>46211.72733796296</v>
      </c>
      <c r="H1922" s="3" t="s">
        <v>14</v>
      </c>
      <c r="I1922" s="3">
        <v>0.0</v>
      </c>
      <c r="J1922" s="3" t="s">
        <v>61</v>
      </c>
    </row>
    <row r="1923">
      <c r="A1923" s="3"/>
      <c r="B1923" s="3"/>
      <c r="C1923" s="3" t="s">
        <v>17</v>
      </c>
      <c r="D1923" s="4" t="s">
        <v>1608</v>
      </c>
      <c r="E1923" s="3" t="s">
        <v>1609</v>
      </c>
      <c r="F1923" s="5">
        <v>46212.48263888889</v>
      </c>
      <c r="G1923" s="5">
        <v>46211.72741898148</v>
      </c>
      <c r="H1923" s="3" t="s">
        <v>14</v>
      </c>
      <c r="I1923" s="7">
        <v>0.0</v>
      </c>
      <c r="J1923" s="3" t="s">
        <v>61</v>
      </c>
    </row>
    <row r="1924">
      <c r="A1924" s="3"/>
      <c r="B1924" s="3"/>
      <c r="C1924" s="3" t="s">
        <v>21</v>
      </c>
      <c r="D1924" s="4" t="s">
        <v>1608</v>
      </c>
      <c r="E1924" s="3" t="s">
        <v>1609</v>
      </c>
      <c r="F1924" s="5">
        <v>46212.586805555555</v>
      </c>
      <c r="G1924" s="5">
        <v>46211.72746527778</v>
      </c>
      <c r="H1924" s="3" t="s">
        <v>14</v>
      </c>
      <c r="I1924" s="7">
        <v>0.0</v>
      </c>
      <c r="J1924" s="3" t="s">
        <v>61</v>
      </c>
    </row>
    <row r="1925">
      <c r="A1925" s="3"/>
      <c r="B1925" s="3"/>
      <c r="C1925" s="3" t="s">
        <v>24</v>
      </c>
      <c r="D1925" s="4" t="s">
        <v>1608</v>
      </c>
      <c r="E1925" s="3" t="s">
        <v>1609</v>
      </c>
      <c r="F1925" s="5">
        <v>46213.586805555555</v>
      </c>
      <c r="G1925" s="5">
        <v>46213.52396990741</v>
      </c>
      <c r="H1925" s="3" t="s">
        <v>14</v>
      </c>
      <c r="I1925" s="7">
        <v>0.0</v>
      </c>
      <c r="J1925" s="3" t="s">
        <v>61</v>
      </c>
    </row>
    <row r="1926">
      <c r="A1926" s="3"/>
      <c r="B1926" s="3"/>
      <c r="C1926" s="3" t="s">
        <v>26</v>
      </c>
      <c r="D1926" s="4" t="s">
        <v>1608</v>
      </c>
      <c r="E1926" s="3" t="s">
        <v>1609</v>
      </c>
      <c r="F1926" s="5">
        <v>46213.62847222222</v>
      </c>
      <c r="G1926" s="5">
        <v>46213.56623842593</v>
      </c>
      <c r="H1926" s="3" t="s">
        <v>14</v>
      </c>
      <c r="I1926" s="7">
        <v>0.0</v>
      </c>
      <c r="J1926" s="3" t="s">
        <v>61</v>
      </c>
    </row>
    <row r="1927">
      <c r="A1927" s="3"/>
      <c r="B1927" s="3"/>
      <c r="C1927" s="3" t="s">
        <v>10</v>
      </c>
      <c r="D1927" s="4" t="s">
        <v>1611</v>
      </c>
      <c r="E1927" s="3" t="s">
        <v>1612</v>
      </c>
      <c r="F1927" s="5">
        <v>46212.48472222222</v>
      </c>
      <c r="G1927" s="5">
        <v>46211.738900462966</v>
      </c>
      <c r="H1927" s="3" t="s">
        <v>14</v>
      </c>
      <c r="I1927" s="3">
        <v>0.0</v>
      </c>
      <c r="J1927" s="3" t="s">
        <v>61</v>
      </c>
    </row>
    <row r="1928">
      <c r="A1928" s="3"/>
      <c r="B1928" s="3"/>
      <c r="C1928" s="3" t="s">
        <v>17</v>
      </c>
      <c r="D1928" s="4" t="s">
        <v>1611</v>
      </c>
      <c r="E1928" s="3" t="s">
        <v>1612</v>
      </c>
      <c r="F1928" s="5">
        <v>46212.49166666667</v>
      </c>
      <c r="G1928" s="5">
        <v>46211.7390625</v>
      </c>
      <c r="H1928" s="3" t="s">
        <v>14</v>
      </c>
      <c r="I1928" s="7">
        <v>0.0</v>
      </c>
      <c r="J1928" s="3" t="s">
        <v>61</v>
      </c>
    </row>
    <row r="1929">
      <c r="A1929" s="3"/>
      <c r="B1929" s="3"/>
      <c r="C1929" s="3" t="s">
        <v>21</v>
      </c>
      <c r="D1929" s="4" t="s">
        <v>1611</v>
      </c>
      <c r="E1929" s="3" t="s">
        <v>1612</v>
      </c>
      <c r="F1929" s="5">
        <v>46212.59583333333</v>
      </c>
      <c r="G1929" s="5">
        <v>46211.739224537036</v>
      </c>
      <c r="H1929" s="3" t="s">
        <v>14</v>
      </c>
      <c r="I1929" s="7">
        <v>0.0</v>
      </c>
      <c r="J1929" s="3" t="s">
        <v>61</v>
      </c>
    </row>
    <row r="1930">
      <c r="A1930" s="3"/>
      <c r="B1930" s="3"/>
      <c r="C1930" s="3" t="s">
        <v>24</v>
      </c>
      <c r="D1930" s="4" t="s">
        <v>1611</v>
      </c>
      <c r="E1930" s="3" t="s">
        <v>1612</v>
      </c>
      <c r="F1930" s="5">
        <v>46213.59583333333</v>
      </c>
      <c r="G1930" s="5">
        <v>46213.523993055554</v>
      </c>
      <c r="H1930" s="3" t="s">
        <v>14</v>
      </c>
      <c r="I1930" s="7">
        <v>0.0</v>
      </c>
      <c r="J1930" s="3" t="s">
        <v>61</v>
      </c>
    </row>
    <row r="1931">
      <c r="A1931" s="3"/>
      <c r="B1931" s="3"/>
      <c r="C1931" s="3" t="s">
        <v>26</v>
      </c>
      <c r="D1931" s="4" t="s">
        <v>1611</v>
      </c>
      <c r="E1931" s="3" t="s">
        <v>1612</v>
      </c>
      <c r="F1931" s="5">
        <v>46213.6375</v>
      </c>
      <c r="G1931" s="5">
        <v>46213.56626157407</v>
      </c>
      <c r="H1931" s="3" t="s">
        <v>14</v>
      </c>
      <c r="I1931" s="7">
        <v>0.0</v>
      </c>
      <c r="J1931" s="3" t="s">
        <v>61</v>
      </c>
    </row>
    <row r="1932">
      <c r="A1932" s="3"/>
      <c r="B1932" s="3"/>
      <c r="C1932" s="3" t="s">
        <v>10</v>
      </c>
      <c r="D1932" s="4" t="s">
        <v>1615</v>
      </c>
      <c r="E1932" s="3" t="s">
        <v>1616</v>
      </c>
      <c r="F1932" s="5">
        <v>46212.486805555556</v>
      </c>
      <c r="G1932" s="5">
        <v>46211.73894675926</v>
      </c>
      <c r="H1932" s="3" t="s">
        <v>14</v>
      </c>
      <c r="I1932" s="3">
        <v>0.0</v>
      </c>
      <c r="J1932" s="3" t="s">
        <v>61</v>
      </c>
    </row>
    <row r="1933">
      <c r="A1933" s="3"/>
      <c r="B1933" s="3"/>
      <c r="C1933" s="3" t="s">
        <v>17</v>
      </c>
      <c r="D1933" s="4" t="s">
        <v>1615</v>
      </c>
      <c r="E1933" s="3" t="s">
        <v>1616</v>
      </c>
      <c r="F1933" s="5">
        <v>46212.49375</v>
      </c>
      <c r="G1933" s="5">
        <v>46211.73908564815</v>
      </c>
      <c r="H1933" s="3" t="s">
        <v>14</v>
      </c>
      <c r="I1933" s="7">
        <v>0.0</v>
      </c>
      <c r="J1933" s="3" t="s">
        <v>61</v>
      </c>
    </row>
    <row r="1934">
      <c r="A1934" s="3"/>
      <c r="B1934" s="3"/>
      <c r="C1934" s="3" t="s">
        <v>21</v>
      </c>
      <c r="D1934" s="4" t="s">
        <v>1615</v>
      </c>
      <c r="E1934" s="3" t="s">
        <v>1616</v>
      </c>
      <c r="F1934" s="5">
        <v>46212.597916666666</v>
      </c>
      <c r="G1934" s="5">
        <v>46211.73920138889</v>
      </c>
      <c r="H1934" s="3" t="s">
        <v>14</v>
      </c>
      <c r="I1934" s="7">
        <v>0.0</v>
      </c>
      <c r="J1934" s="3" t="s">
        <v>61</v>
      </c>
    </row>
    <row r="1935">
      <c r="A1935" s="3"/>
      <c r="B1935" s="3"/>
      <c r="C1935" s="3" t="s">
        <v>24</v>
      </c>
      <c r="D1935" s="4" t="s">
        <v>1615</v>
      </c>
      <c r="E1935" s="3" t="s">
        <v>1616</v>
      </c>
      <c r="F1935" s="5">
        <v>46213.597916666666</v>
      </c>
      <c r="G1935" s="5">
        <v>46213.52402777778</v>
      </c>
      <c r="H1935" s="3" t="s">
        <v>14</v>
      </c>
      <c r="I1935" s="7">
        <v>0.0</v>
      </c>
      <c r="J1935" s="3" t="s">
        <v>61</v>
      </c>
    </row>
    <row r="1936">
      <c r="A1936" s="3"/>
      <c r="B1936" s="3"/>
      <c r="C1936" s="3" t="s">
        <v>26</v>
      </c>
      <c r="D1936" s="4" t="s">
        <v>1615</v>
      </c>
      <c r="E1936" s="3" t="s">
        <v>1616</v>
      </c>
      <c r="F1936" s="5">
        <v>46213.63958333333</v>
      </c>
      <c r="G1936" s="5">
        <v>46213.56627314815</v>
      </c>
      <c r="H1936" s="3" t="s">
        <v>14</v>
      </c>
      <c r="I1936" s="7">
        <v>0.0</v>
      </c>
      <c r="J1936" s="3" t="s">
        <v>61</v>
      </c>
    </row>
    <row r="1937">
      <c r="A1937" s="3"/>
      <c r="B1937" s="3"/>
      <c r="C1937" s="3" t="s">
        <v>10</v>
      </c>
      <c r="D1937" s="4" t="s">
        <v>1618</v>
      </c>
      <c r="E1937" s="3" t="s">
        <v>1444</v>
      </c>
      <c r="F1937" s="5">
        <v>46212.48819444444</v>
      </c>
      <c r="G1937" s="5">
        <v>46211.739016203705</v>
      </c>
      <c r="H1937" s="3" t="s">
        <v>14</v>
      </c>
      <c r="I1937" s="3">
        <v>0.0</v>
      </c>
      <c r="J1937" s="3" t="s">
        <v>61</v>
      </c>
    </row>
    <row r="1938">
      <c r="A1938" s="3"/>
      <c r="B1938" s="3"/>
      <c r="C1938" s="3" t="s">
        <v>17</v>
      </c>
      <c r="D1938" s="4" t="s">
        <v>1618</v>
      </c>
      <c r="E1938" s="3" t="s">
        <v>1444</v>
      </c>
      <c r="F1938" s="5">
        <v>46212.49513888889</v>
      </c>
      <c r="G1938" s="5">
        <v>46211.7391087963</v>
      </c>
      <c r="H1938" s="3" t="s">
        <v>14</v>
      </c>
      <c r="I1938" s="7">
        <v>0.0</v>
      </c>
      <c r="J1938" s="3" t="s">
        <v>61</v>
      </c>
    </row>
    <row r="1939">
      <c r="A1939" s="3"/>
      <c r="B1939" s="3"/>
      <c r="C1939" s="3" t="s">
        <v>21</v>
      </c>
      <c r="D1939" s="4" t="s">
        <v>1618</v>
      </c>
      <c r="E1939" s="3" t="s">
        <v>1444</v>
      </c>
      <c r="F1939" s="5">
        <v>46212.59930555556</v>
      </c>
      <c r="G1939" s="5">
        <v>46211.73918981481</v>
      </c>
      <c r="H1939" s="3" t="s">
        <v>14</v>
      </c>
      <c r="I1939" s="7">
        <v>0.0</v>
      </c>
      <c r="J1939" s="3" t="s">
        <v>61</v>
      </c>
    </row>
    <row r="1940">
      <c r="A1940" s="3"/>
      <c r="B1940" s="3"/>
      <c r="C1940" s="3" t="s">
        <v>24</v>
      </c>
      <c r="D1940" s="4" t="s">
        <v>1618</v>
      </c>
      <c r="E1940" s="3" t="s">
        <v>1444</v>
      </c>
      <c r="F1940" s="5">
        <v>46213.59930555556</v>
      </c>
      <c r="G1940" s="5">
        <v>46213.524976851855</v>
      </c>
      <c r="H1940" s="3" t="s">
        <v>14</v>
      </c>
      <c r="I1940" s="7">
        <v>0.0</v>
      </c>
      <c r="J1940" s="3" t="s">
        <v>61</v>
      </c>
    </row>
    <row r="1941">
      <c r="A1941" s="3"/>
      <c r="B1941" s="3"/>
      <c r="C1941" s="3" t="s">
        <v>26</v>
      </c>
      <c r="D1941" s="4" t="s">
        <v>1618</v>
      </c>
      <c r="E1941" s="3" t="s">
        <v>1444</v>
      </c>
      <c r="F1941" s="5">
        <v>46213.64097222222</v>
      </c>
      <c r="G1941" s="5">
        <v>46213.567025462966</v>
      </c>
      <c r="H1941" s="3" t="s">
        <v>14</v>
      </c>
      <c r="I1941" s="7">
        <v>0.0</v>
      </c>
      <c r="J1941" s="3" t="s">
        <v>61</v>
      </c>
    </row>
    <row r="1942">
      <c r="A1942" s="3"/>
      <c r="B1942" s="3"/>
      <c r="C1942" s="3" t="s">
        <v>10</v>
      </c>
      <c r="D1942" s="4" t="s">
        <v>1621</v>
      </c>
      <c r="E1942" s="3" t="s">
        <v>1622</v>
      </c>
      <c r="F1942" s="5">
        <v>46212.59788194444</v>
      </c>
      <c r="G1942" s="5">
        <v>46212.449421296296</v>
      </c>
      <c r="H1942" s="3" t="s">
        <v>14</v>
      </c>
      <c r="I1942" s="3">
        <v>0.0</v>
      </c>
      <c r="J1942" s="3" t="s">
        <v>15</v>
      </c>
    </row>
    <row r="1943">
      <c r="A1943" s="3"/>
      <c r="B1943" s="3"/>
      <c r="C1943" s="3" t="s">
        <v>17</v>
      </c>
      <c r="D1943" s="4" t="s">
        <v>1621</v>
      </c>
      <c r="E1943" s="3" t="s">
        <v>1622</v>
      </c>
      <c r="F1943" s="5">
        <v>46212.60482638889</v>
      </c>
      <c r="G1943" s="5">
        <v>46212.44961805556</v>
      </c>
      <c r="H1943" s="3" t="s">
        <v>14</v>
      </c>
      <c r="I1943" s="7">
        <v>0.0</v>
      </c>
      <c r="J1943" s="3" t="s">
        <v>15</v>
      </c>
    </row>
    <row r="1944">
      <c r="A1944" s="3"/>
      <c r="B1944" s="3"/>
      <c r="C1944" s="3" t="s">
        <v>21</v>
      </c>
      <c r="D1944" s="4" t="s">
        <v>1621</v>
      </c>
      <c r="E1944" s="3" t="s">
        <v>1622</v>
      </c>
      <c r="F1944" s="5">
        <v>46212.70899305555</v>
      </c>
      <c r="G1944" s="5">
        <v>46212.4497337963</v>
      </c>
      <c r="H1944" s="3" t="s">
        <v>14</v>
      </c>
      <c r="I1944" s="7">
        <v>0.0</v>
      </c>
      <c r="J1944" s="3" t="s">
        <v>15</v>
      </c>
    </row>
    <row r="1945">
      <c r="A1945" s="3"/>
      <c r="B1945" s="3"/>
      <c r="C1945" s="3" t="s">
        <v>24</v>
      </c>
      <c r="D1945" s="4" t="s">
        <v>1621</v>
      </c>
      <c r="E1945" s="3" t="s">
        <v>1622</v>
      </c>
      <c r="F1945" s="5">
        <v>46213.708333333336</v>
      </c>
      <c r="G1945" s="5">
        <v>46212.78586805556</v>
      </c>
      <c r="H1945" s="3" t="s">
        <v>14</v>
      </c>
      <c r="I1945" s="7">
        <v>0.0</v>
      </c>
      <c r="J1945" s="3" t="s">
        <v>15</v>
      </c>
    </row>
    <row r="1946">
      <c r="A1946" s="3"/>
      <c r="B1946" s="3"/>
      <c r="C1946" s="3" t="s">
        <v>26</v>
      </c>
      <c r="D1946" s="4" t="s">
        <v>1621</v>
      </c>
      <c r="E1946" s="3" t="s">
        <v>1622</v>
      </c>
      <c r="F1946" s="5">
        <v>46213.75</v>
      </c>
      <c r="G1946" s="5">
        <v>46212.78592592593</v>
      </c>
      <c r="H1946" s="3" t="s">
        <v>14</v>
      </c>
      <c r="I1946" s="7">
        <v>0.0</v>
      </c>
      <c r="J1946" s="3" t="s">
        <v>15</v>
      </c>
    </row>
    <row r="1947">
      <c r="A1947" s="3"/>
      <c r="B1947" s="3"/>
      <c r="C1947" s="3" t="s">
        <v>10</v>
      </c>
      <c r="D1947" s="4" t="s">
        <v>1625</v>
      </c>
      <c r="E1947" s="3" t="s">
        <v>1626</v>
      </c>
      <c r="F1947" s="5">
        <v>46212.60082175926</v>
      </c>
      <c r="G1947" s="5">
        <v>46212.44944444444</v>
      </c>
      <c r="H1947" s="3" t="s">
        <v>14</v>
      </c>
      <c r="I1947" s="3">
        <v>0.0</v>
      </c>
      <c r="J1947" s="3" t="s">
        <v>72</v>
      </c>
    </row>
    <row r="1948">
      <c r="A1948" s="3"/>
      <c r="B1948" s="3"/>
      <c r="C1948" s="3" t="s">
        <v>17</v>
      </c>
      <c r="D1948" s="4" t="s">
        <v>1625</v>
      </c>
      <c r="E1948" s="3" t="s">
        <v>1626</v>
      </c>
      <c r="F1948" s="5">
        <v>46212.607766203706</v>
      </c>
      <c r="G1948" s="5">
        <v>46212.44962962963</v>
      </c>
      <c r="H1948" s="3" t="s">
        <v>14</v>
      </c>
      <c r="I1948" s="7">
        <v>0.0</v>
      </c>
      <c r="J1948" s="3" t="s">
        <v>72</v>
      </c>
    </row>
    <row r="1949">
      <c r="A1949" s="3"/>
      <c r="B1949" s="3"/>
      <c r="C1949" s="3" t="s">
        <v>21</v>
      </c>
      <c r="D1949" s="4" t="s">
        <v>1625</v>
      </c>
      <c r="E1949" s="3" t="s">
        <v>1626</v>
      </c>
      <c r="F1949" s="5">
        <v>46212.71193287037</v>
      </c>
      <c r="G1949" s="5">
        <v>46212.44974537037</v>
      </c>
      <c r="H1949" s="3" t="s">
        <v>14</v>
      </c>
      <c r="I1949" s="7">
        <v>0.0</v>
      </c>
      <c r="J1949" s="3" t="s">
        <v>72</v>
      </c>
    </row>
    <row r="1950">
      <c r="A1950" s="3"/>
      <c r="B1950" s="3"/>
      <c r="C1950" s="3" t="s">
        <v>24</v>
      </c>
      <c r="D1950" s="4" t="s">
        <v>1625</v>
      </c>
      <c r="E1950" s="3" t="s">
        <v>1626</v>
      </c>
      <c r="F1950" s="5">
        <v>46213.711805555555</v>
      </c>
      <c r="G1950" s="5">
        <v>46212.57450231481</v>
      </c>
      <c r="H1950" s="3" t="s">
        <v>14</v>
      </c>
      <c r="I1950" s="7">
        <v>0.0</v>
      </c>
      <c r="J1950" s="3" t="s">
        <v>72</v>
      </c>
    </row>
    <row r="1951">
      <c r="A1951" s="3"/>
      <c r="B1951" s="3"/>
      <c r="C1951" s="3" t="s">
        <v>26</v>
      </c>
      <c r="D1951" s="4" t="s">
        <v>1625</v>
      </c>
      <c r="E1951" s="3" t="s">
        <v>1626</v>
      </c>
      <c r="F1951" s="5">
        <v>46213.75347222222</v>
      </c>
      <c r="G1951" s="5">
        <v>46212.57454861111</v>
      </c>
      <c r="H1951" s="3" t="s">
        <v>14</v>
      </c>
      <c r="I1951" s="7">
        <v>0.0</v>
      </c>
      <c r="J1951" s="3" t="s">
        <v>72</v>
      </c>
    </row>
    <row r="1952">
      <c r="A1952" s="3"/>
      <c r="B1952" s="3"/>
      <c r="C1952" s="3" t="s">
        <v>10</v>
      </c>
      <c r="D1952" s="4" t="s">
        <v>1629</v>
      </c>
      <c r="E1952" s="3" t="s">
        <v>1630</v>
      </c>
      <c r="F1952" s="5">
        <v>46212.61168981482</v>
      </c>
      <c r="G1952" s="5">
        <v>46212.449467592596</v>
      </c>
      <c r="H1952" s="3" t="s">
        <v>14</v>
      </c>
      <c r="I1952" s="3">
        <v>0.0</v>
      </c>
      <c r="J1952" s="3" t="s">
        <v>15</v>
      </c>
    </row>
    <row r="1953">
      <c r="A1953" s="3"/>
      <c r="B1953" s="3"/>
      <c r="C1953" s="3" t="s">
        <v>17</v>
      </c>
      <c r="D1953" s="4" t="s">
        <v>1629</v>
      </c>
      <c r="E1953" s="3" t="s">
        <v>1630</v>
      </c>
      <c r="F1953" s="5">
        <v>46212.61863425926</v>
      </c>
      <c r="G1953" s="5">
        <v>46212.44965277778</v>
      </c>
      <c r="H1953" s="3" t="s">
        <v>14</v>
      </c>
      <c r="I1953" s="7">
        <v>0.0</v>
      </c>
      <c r="J1953" s="3" t="s">
        <v>15</v>
      </c>
    </row>
    <row r="1954">
      <c r="A1954" s="3"/>
      <c r="B1954" s="3"/>
      <c r="C1954" s="3" t="s">
        <v>21</v>
      </c>
      <c r="D1954" s="4" t="s">
        <v>1629</v>
      </c>
      <c r="E1954" s="3" t="s">
        <v>1630</v>
      </c>
      <c r="F1954" s="5">
        <v>46212.72280092593</v>
      </c>
      <c r="G1954" s="5">
        <v>46212.44976851852</v>
      </c>
      <c r="H1954" s="3" t="s">
        <v>14</v>
      </c>
      <c r="I1954" s="7">
        <v>0.0</v>
      </c>
      <c r="J1954" s="3" t="s">
        <v>15</v>
      </c>
    </row>
    <row r="1955">
      <c r="A1955" s="3"/>
      <c r="B1955" s="3"/>
      <c r="C1955" s="3" t="s">
        <v>24</v>
      </c>
      <c r="D1955" s="4" t="s">
        <v>1629</v>
      </c>
      <c r="E1955" s="3" t="s">
        <v>1630</v>
      </c>
      <c r="F1955" s="5">
        <v>46213.72222222222</v>
      </c>
      <c r="G1955" s="5">
        <v>46212.78571759259</v>
      </c>
      <c r="H1955" s="3" t="s">
        <v>14</v>
      </c>
      <c r="I1955" s="7">
        <v>0.0</v>
      </c>
      <c r="J1955" s="3" t="s">
        <v>15</v>
      </c>
    </row>
    <row r="1956">
      <c r="A1956" s="3"/>
      <c r="B1956" s="3"/>
      <c r="C1956" s="3" t="s">
        <v>26</v>
      </c>
      <c r="D1956" s="4" t="s">
        <v>1629</v>
      </c>
      <c r="E1956" s="3" t="s">
        <v>1630</v>
      </c>
      <c r="F1956" s="5">
        <v>46213.76388888889</v>
      </c>
      <c r="G1956" s="5">
        <v>46212.785787037035</v>
      </c>
      <c r="H1956" s="3" t="s">
        <v>14</v>
      </c>
      <c r="I1956" s="7">
        <v>0.0</v>
      </c>
      <c r="J1956" s="3" t="s">
        <v>15</v>
      </c>
    </row>
    <row r="1957">
      <c r="A1957" s="3"/>
      <c r="B1957" s="3"/>
      <c r="C1957" s="3" t="s">
        <v>10</v>
      </c>
      <c r="D1957" s="4" t="s">
        <v>1632</v>
      </c>
      <c r="E1957" s="3" t="s">
        <v>1634</v>
      </c>
      <c r="F1957" s="5">
        <v>46213.70730324074</v>
      </c>
      <c r="G1957" s="5">
        <v>46213.622245370374</v>
      </c>
      <c r="H1957" s="3" t="s">
        <v>14</v>
      </c>
      <c r="I1957" s="3">
        <v>0.0</v>
      </c>
      <c r="J1957" s="3" t="s">
        <v>15</v>
      </c>
    </row>
    <row r="1958">
      <c r="A1958" s="3"/>
      <c r="B1958" s="3"/>
      <c r="C1958" s="3" t="s">
        <v>17</v>
      </c>
      <c r="D1958" s="4" t="s">
        <v>1632</v>
      </c>
      <c r="E1958" s="3" t="s">
        <v>1634</v>
      </c>
      <c r="F1958" s="5">
        <v>46213.71424768519</v>
      </c>
      <c r="G1958" s="5">
        <v>46213.62241898148</v>
      </c>
      <c r="H1958" s="3" t="s">
        <v>14</v>
      </c>
      <c r="I1958" s="7">
        <v>0.0</v>
      </c>
      <c r="J1958" s="3" t="s">
        <v>15</v>
      </c>
    </row>
    <row r="1959">
      <c r="A1959" s="3"/>
      <c r="B1959" s="3"/>
      <c r="C1959" s="3" t="s">
        <v>21</v>
      </c>
      <c r="D1959" s="4" t="s">
        <v>1632</v>
      </c>
      <c r="E1959" s="3" t="s">
        <v>1634</v>
      </c>
      <c r="F1959" s="5">
        <v>46213.81841435185</v>
      </c>
      <c r="G1959" s="5">
        <v>46213.64324074074</v>
      </c>
      <c r="H1959" s="3" t="s">
        <v>14</v>
      </c>
      <c r="I1959" s="7">
        <v>0.0</v>
      </c>
      <c r="J1959" s="3" t="s">
        <v>15</v>
      </c>
    </row>
    <row r="1960">
      <c r="A1960" s="3"/>
      <c r="B1960" s="3"/>
      <c r="C1960" s="3" t="s">
        <v>24</v>
      </c>
      <c r="D1960" s="4" t="s">
        <v>1632</v>
      </c>
      <c r="E1960" s="3" t="s">
        <v>1634</v>
      </c>
      <c r="F1960" s="5">
        <v>46214.81805555556</v>
      </c>
      <c r="G1960" s="5">
        <v>46213.643275462964</v>
      </c>
      <c r="H1960" s="3" t="s">
        <v>14</v>
      </c>
      <c r="I1960" s="7">
        <v>0.0</v>
      </c>
      <c r="J1960" s="3" t="s">
        <v>15</v>
      </c>
    </row>
    <row r="1961">
      <c r="A1961" s="3"/>
      <c r="B1961" s="3"/>
      <c r="C1961" s="3" t="s">
        <v>26</v>
      </c>
      <c r="D1961" s="4" t="s">
        <v>1632</v>
      </c>
      <c r="E1961" s="3" t="s">
        <v>1634</v>
      </c>
      <c r="F1961" s="5">
        <v>46216.44305555556</v>
      </c>
      <c r="G1961" s="5">
        <v>46213.64329861111</v>
      </c>
      <c r="H1961" s="3" t="s">
        <v>14</v>
      </c>
      <c r="I1961" s="7">
        <v>0.0</v>
      </c>
      <c r="J1961" s="3" t="s">
        <v>15</v>
      </c>
    </row>
    <row r="1962">
      <c r="A1962" s="3"/>
      <c r="B1962" s="3"/>
      <c r="C1962" s="3" t="s">
        <v>10</v>
      </c>
      <c r="D1962" s="4" t="s">
        <v>1636</v>
      </c>
      <c r="E1962" s="3" t="s">
        <v>410</v>
      </c>
      <c r="F1962" s="5">
        <v>46213.738969907405</v>
      </c>
      <c r="G1962" s="5">
        <v>46213.62228009259</v>
      </c>
      <c r="H1962" s="3" t="s">
        <v>14</v>
      </c>
      <c r="I1962" s="3">
        <v>0.0</v>
      </c>
      <c r="J1962" s="3" t="s">
        <v>72</v>
      </c>
    </row>
    <row r="1963">
      <c r="A1963" s="3"/>
      <c r="B1963" s="3"/>
      <c r="C1963" s="3" t="s">
        <v>17</v>
      </c>
      <c r="D1963" s="4" t="s">
        <v>1636</v>
      </c>
      <c r="E1963" s="3" t="s">
        <v>410</v>
      </c>
      <c r="F1963" s="5">
        <v>46213.74591435185</v>
      </c>
      <c r="G1963" s="5">
        <v>46213.62244212963</v>
      </c>
      <c r="H1963" s="3" t="s">
        <v>14</v>
      </c>
      <c r="I1963" s="7">
        <v>0.0</v>
      </c>
      <c r="J1963" s="3" t="s">
        <v>72</v>
      </c>
    </row>
    <row r="1964">
      <c r="A1964" s="3"/>
      <c r="B1964" s="3"/>
      <c r="C1964" s="3" t="s">
        <v>21</v>
      </c>
      <c r="D1964" s="4" t="s">
        <v>1636</v>
      </c>
      <c r="E1964" s="3" t="s">
        <v>410</v>
      </c>
      <c r="F1964" s="5">
        <v>46214.45416666667</v>
      </c>
      <c r="G1964" s="5">
        <v>46213.64873842592</v>
      </c>
      <c r="H1964" s="3" t="s">
        <v>14</v>
      </c>
      <c r="I1964" s="7">
        <v>0.0</v>
      </c>
      <c r="J1964" s="3" t="s">
        <v>72</v>
      </c>
    </row>
    <row r="1965">
      <c r="A1965" s="3"/>
      <c r="B1965" s="3"/>
      <c r="C1965" s="3" t="s">
        <v>24</v>
      </c>
      <c r="D1965" s="4" t="s">
        <v>1636</v>
      </c>
      <c r="E1965" s="3" t="s">
        <v>410</v>
      </c>
      <c r="F1965" s="5">
        <v>46216.45416666667</v>
      </c>
      <c r="G1965" s="5">
        <v>46214.45853009259</v>
      </c>
      <c r="H1965" s="3" t="s">
        <v>14</v>
      </c>
      <c r="I1965" s="7">
        <v>0.0</v>
      </c>
      <c r="J1965" s="3" t="s">
        <v>72</v>
      </c>
    </row>
    <row r="1966">
      <c r="A1966" s="3"/>
      <c r="B1966" s="3"/>
      <c r="C1966" s="3" t="s">
        <v>26</v>
      </c>
      <c r="D1966" s="4" t="s">
        <v>1636</v>
      </c>
      <c r="E1966" s="3" t="s">
        <v>410</v>
      </c>
      <c r="F1966" s="5">
        <v>46216.495833333334</v>
      </c>
      <c r="G1966" s="5">
        <v>46214.45829861111</v>
      </c>
      <c r="H1966" s="3" t="s">
        <v>14</v>
      </c>
      <c r="I1966" s="7">
        <v>0.0</v>
      </c>
      <c r="J1966" s="3" t="s">
        <v>72</v>
      </c>
    </row>
    <row r="1967">
      <c r="A1967" s="3"/>
      <c r="B1967" s="3"/>
      <c r="C1967" s="3" t="s">
        <v>10</v>
      </c>
      <c r="D1967" s="4" t="s">
        <v>1638</v>
      </c>
      <c r="E1967" s="3" t="s">
        <v>407</v>
      </c>
      <c r="F1967" s="5">
        <v>46213.81122685185</v>
      </c>
      <c r="G1967" s="5">
        <v>46213.648518518516</v>
      </c>
      <c r="H1967" s="3" t="s">
        <v>14</v>
      </c>
      <c r="I1967" s="3">
        <v>0.0</v>
      </c>
      <c r="J1967" s="3" t="s">
        <v>72</v>
      </c>
    </row>
    <row r="1968">
      <c r="A1968" s="3"/>
      <c r="B1968" s="3"/>
      <c r="C1968" s="3" t="s">
        <v>17</v>
      </c>
      <c r="D1968" s="4" t="s">
        <v>1638</v>
      </c>
      <c r="E1968" s="3" t="s">
        <v>407</v>
      </c>
      <c r="F1968" s="5">
        <v>46213.8181712963</v>
      </c>
      <c r="G1968" s="5">
        <v>46213.64859953704</v>
      </c>
      <c r="H1968" s="3" t="s">
        <v>14</v>
      </c>
      <c r="I1968" s="7">
        <v>0.0</v>
      </c>
      <c r="J1968" s="3" t="s">
        <v>72</v>
      </c>
    </row>
    <row r="1969">
      <c r="A1969" s="3"/>
      <c r="B1969" s="3"/>
      <c r="C1969" s="3" t="s">
        <v>21</v>
      </c>
      <c r="D1969" s="4" t="s">
        <v>1638</v>
      </c>
      <c r="E1969" s="3" t="s">
        <v>407</v>
      </c>
      <c r="F1969" s="5">
        <v>46214.52638888889</v>
      </c>
      <c r="G1969" s="5">
        <v>46213.64876157408</v>
      </c>
      <c r="H1969" s="3" t="s">
        <v>14</v>
      </c>
      <c r="I1969" s="7">
        <v>0.0</v>
      </c>
      <c r="J1969" s="3" t="s">
        <v>72</v>
      </c>
    </row>
    <row r="1970">
      <c r="A1970" s="3"/>
      <c r="B1970" s="3"/>
      <c r="C1970" s="3" t="s">
        <v>24</v>
      </c>
      <c r="D1970" s="4" t="s">
        <v>1638</v>
      </c>
      <c r="E1970" s="3" t="s">
        <v>407</v>
      </c>
      <c r="F1970" s="5">
        <v>46216.52638888889</v>
      </c>
      <c r="G1970" s="5">
        <v>46214.45827546297</v>
      </c>
      <c r="H1970" s="3" t="s">
        <v>14</v>
      </c>
      <c r="I1970" s="7">
        <v>0.0</v>
      </c>
      <c r="J1970" s="3" t="s">
        <v>72</v>
      </c>
    </row>
    <row r="1971">
      <c r="A1971" s="3"/>
      <c r="B1971" s="3"/>
      <c r="C1971" s="3" t="s">
        <v>26</v>
      </c>
      <c r="D1971" s="4" t="s">
        <v>1638</v>
      </c>
      <c r="E1971" s="3" t="s">
        <v>407</v>
      </c>
      <c r="F1971" s="5">
        <v>46216.56805555556</v>
      </c>
      <c r="G1971" s="5">
        <v>46214.458333333336</v>
      </c>
      <c r="H1971" s="3" t="s">
        <v>14</v>
      </c>
      <c r="I1971" s="7">
        <v>0.0</v>
      </c>
      <c r="J1971" s="3" t="s">
        <v>72</v>
      </c>
    </row>
    <row r="1972">
      <c r="A1972" s="3"/>
      <c r="B1972" s="3"/>
      <c r="C1972" s="3" t="s">
        <v>10</v>
      </c>
      <c r="D1972" s="4" t="s">
        <v>1642</v>
      </c>
      <c r="E1972" s="3" t="s">
        <v>1643</v>
      </c>
      <c r="F1972" s="5">
        <v>46214.66002314815</v>
      </c>
      <c r="G1972" s="5">
        <v>46214.49842592593</v>
      </c>
      <c r="H1972" s="3" t="s">
        <v>14</v>
      </c>
      <c r="I1972" s="3">
        <v>0.0</v>
      </c>
      <c r="J1972" s="3" t="s">
        <v>15</v>
      </c>
    </row>
    <row r="1973">
      <c r="A1973" s="3"/>
      <c r="B1973" s="3"/>
      <c r="C1973" s="3" t="s">
        <v>17</v>
      </c>
      <c r="D1973" s="4" t="s">
        <v>1642</v>
      </c>
      <c r="E1973" s="3" t="s">
        <v>1643</v>
      </c>
      <c r="F1973" s="5">
        <v>46214.666967592595</v>
      </c>
      <c r="G1973" s="5">
        <v>46214.49859953704</v>
      </c>
      <c r="H1973" s="3" t="s">
        <v>14</v>
      </c>
      <c r="I1973" s="7">
        <v>0.0</v>
      </c>
      <c r="J1973" s="3" t="s">
        <v>15</v>
      </c>
    </row>
    <row r="1974">
      <c r="A1974" s="3"/>
      <c r="B1974" s="3"/>
      <c r="C1974" s="3" t="s">
        <v>21</v>
      </c>
      <c r="D1974" s="4" t="s">
        <v>1642</v>
      </c>
      <c r="E1974" s="3" t="s">
        <v>1643</v>
      </c>
      <c r="F1974" s="5">
        <v>46214.77113425926</v>
      </c>
      <c r="G1974" s="5">
        <v>46214.49863425926</v>
      </c>
      <c r="H1974" s="3" t="s">
        <v>14</v>
      </c>
      <c r="I1974" s="7">
        <v>0.0</v>
      </c>
      <c r="J1974" s="3" t="s">
        <v>15</v>
      </c>
    </row>
    <row r="1975">
      <c r="A1975" s="3"/>
      <c r="B1975" s="3"/>
      <c r="C1975" s="3" t="s">
        <v>24</v>
      </c>
      <c r="D1975" s="4" t="s">
        <v>1642</v>
      </c>
      <c r="E1975" s="3" t="s">
        <v>1643</v>
      </c>
      <c r="F1975" s="5">
        <v>46216.770833333336</v>
      </c>
      <c r="G1975" s="5">
        <v>46214.72311342593</v>
      </c>
      <c r="H1975" s="3" t="s">
        <v>14</v>
      </c>
      <c r="I1975" s="7">
        <v>0.0</v>
      </c>
      <c r="J1975" s="3" t="s">
        <v>15</v>
      </c>
    </row>
    <row r="1976">
      <c r="A1976" s="3"/>
      <c r="B1976" s="3"/>
      <c r="C1976" s="3" t="s">
        <v>26</v>
      </c>
      <c r="D1976" s="4" t="s">
        <v>1642</v>
      </c>
      <c r="E1976" s="3" t="s">
        <v>1643</v>
      </c>
      <c r="F1976" s="5">
        <v>46216.8125</v>
      </c>
      <c r="G1976" s="5">
        <v>46214.72318287037</v>
      </c>
      <c r="H1976" s="3" t="s">
        <v>14</v>
      </c>
      <c r="I1976" s="7">
        <v>0.0</v>
      </c>
      <c r="J1976" s="3" t="s">
        <v>15</v>
      </c>
    </row>
    <row r="1977">
      <c r="A1977" s="3"/>
      <c r="B1977" s="3"/>
      <c r="C1977" s="3" t="s">
        <v>10</v>
      </c>
      <c r="D1977" s="4" t="s">
        <v>1646</v>
      </c>
      <c r="E1977" s="3" t="s">
        <v>1647</v>
      </c>
      <c r="F1977" s="5">
        <v>46214.67842592593</v>
      </c>
      <c r="G1977" s="5">
        <v>46214.722708333335</v>
      </c>
      <c r="H1977" s="3" t="s">
        <v>14</v>
      </c>
      <c r="I1977" s="3">
        <v>0.04</v>
      </c>
      <c r="J1977" s="3" t="s">
        <v>15</v>
      </c>
    </row>
    <row r="1978">
      <c r="A1978" s="3"/>
      <c r="B1978" s="3"/>
      <c r="C1978" s="3" t="s">
        <v>17</v>
      </c>
      <c r="D1978" s="4" t="s">
        <v>1646</v>
      </c>
      <c r="E1978" s="3" t="s">
        <v>1647</v>
      </c>
      <c r="F1978" s="5">
        <v>46214.68537037037</v>
      </c>
      <c r="G1978" s="5">
        <v>46214.722974537035</v>
      </c>
      <c r="H1978" s="3" t="s">
        <v>14</v>
      </c>
      <c r="I1978" s="7">
        <v>0.03760416666666667</v>
      </c>
      <c r="J1978" s="3" t="s">
        <v>15</v>
      </c>
    </row>
    <row r="1979">
      <c r="A1979" s="3"/>
      <c r="B1979" s="3"/>
      <c r="C1979" s="3" t="s">
        <v>21</v>
      </c>
      <c r="D1979" s="4" t="s">
        <v>1646</v>
      </c>
      <c r="E1979" s="3" t="s">
        <v>1647</v>
      </c>
      <c r="F1979" s="5">
        <v>46214.78953703704</v>
      </c>
      <c r="G1979" s="5">
        <v>46214.723032407404</v>
      </c>
      <c r="H1979" s="3" t="s">
        <v>14</v>
      </c>
      <c r="I1979" s="7">
        <v>0.0</v>
      </c>
      <c r="J1979" s="3" t="s">
        <v>15</v>
      </c>
    </row>
    <row r="1980">
      <c r="A1980" s="3"/>
      <c r="B1980" s="3"/>
      <c r="C1980" s="3" t="s">
        <v>24</v>
      </c>
      <c r="D1980" s="4" t="s">
        <v>1646</v>
      </c>
      <c r="E1980" s="3" t="s">
        <v>1647</v>
      </c>
      <c r="F1980" s="5">
        <v>46216.78888888889</v>
      </c>
      <c r="G1980" s="5">
        <v>46214.72313657407</v>
      </c>
      <c r="H1980" s="3" t="s">
        <v>14</v>
      </c>
      <c r="I1980" s="7">
        <v>0.0</v>
      </c>
      <c r="J1980" s="3" t="s">
        <v>15</v>
      </c>
    </row>
    <row r="1981">
      <c r="A1981" s="3"/>
      <c r="B1981" s="3"/>
      <c r="C1981" s="3" t="s">
        <v>26</v>
      </c>
      <c r="D1981" s="4" t="s">
        <v>1646</v>
      </c>
      <c r="E1981" s="3" t="s">
        <v>1647</v>
      </c>
      <c r="F1981" s="5">
        <v>46216.830555555556</v>
      </c>
      <c r="G1981" s="5">
        <v>46216.501759259256</v>
      </c>
      <c r="H1981" s="3" t="s">
        <v>14</v>
      </c>
      <c r="I1981" s="7">
        <v>0.0</v>
      </c>
      <c r="J1981" s="3" t="s">
        <v>15</v>
      </c>
    </row>
    <row r="1982">
      <c r="A1982" s="3"/>
      <c r="B1982" s="3"/>
      <c r="C1982" s="3" t="s">
        <v>10</v>
      </c>
      <c r="D1982" s="4" t="s">
        <v>1650</v>
      </c>
      <c r="E1982" s="3" t="s">
        <v>727</v>
      </c>
      <c r="F1982" s="5">
        <v>46216.424305555556</v>
      </c>
      <c r="G1982" s="5">
        <v>46214.72273148148</v>
      </c>
      <c r="H1982" s="3" t="s">
        <v>14</v>
      </c>
      <c r="I1982" s="3">
        <v>0.0</v>
      </c>
      <c r="J1982" s="3" t="s">
        <v>15</v>
      </c>
    </row>
    <row r="1983">
      <c r="A1983" s="3"/>
      <c r="B1983" s="3"/>
      <c r="C1983" s="3" t="s">
        <v>17</v>
      </c>
      <c r="D1983" s="4" t="s">
        <v>1650</v>
      </c>
      <c r="E1983" s="3" t="s">
        <v>727</v>
      </c>
      <c r="F1983" s="5">
        <v>46216.43125</v>
      </c>
      <c r="G1983" s="5">
        <v>46214.72299768519</v>
      </c>
      <c r="H1983" s="3" t="s">
        <v>14</v>
      </c>
      <c r="I1983" s="7">
        <v>0.0</v>
      </c>
      <c r="J1983" s="3" t="s">
        <v>15</v>
      </c>
    </row>
    <row r="1984">
      <c r="A1984" s="3"/>
      <c r="B1984" s="3"/>
      <c r="C1984" s="3" t="s">
        <v>21</v>
      </c>
      <c r="D1984" s="4" t="s">
        <v>1650</v>
      </c>
      <c r="E1984" s="3" t="s">
        <v>727</v>
      </c>
      <c r="F1984" s="5">
        <v>46216.535416666666</v>
      </c>
      <c r="G1984" s="5">
        <v>46214.72305555556</v>
      </c>
      <c r="H1984" s="3" t="s">
        <v>14</v>
      </c>
      <c r="I1984" s="7">
        <v>0.0</v>
      </c>
      <c r="J1984" s="3" t="s">
        <v>15</v>
      </c>
    </row>
    <row r="1985">
      <c r="A1985" s="3"/>
      <c r="B1985" s="3"/>
      <c r="C1985" s="3" t="s">
        <v>24</v>
      </c>
      <c r="D1985" s="4" t="s">
        <v>1650</v>
      </c>
      <c r="E1985" s="3" t="s">
        <v>727</v>
      </c>
      <c r="F1985" s="5">
        <v>46217.535416666666</v>
      </c>
      <c r="G1985" s="5">
        <v>46214.72331018518</v>
      </c>
      <c r="H1985" s="3" t="s">
        <v>14</v>
      </c>
      <c r="I1985" s="7">
        <v>0.0</v>
      </c>
      <c r="J1985" s="3" t="s">
        <v>15</v>
      </c>
    </row>
    <row r="1986">
      <c r="A1986" s="3"/>
      <c r="B1986" s="3"/>
      <c r="C1986" s="3" t="s">
        <v>26</v>
      </c>
      <c r="D1986" s="4" t="s">
        <v>1650</v>
      </c>
      <c r="E1986" s="3" t="s">
        <v>727</v>
      </c>
      <c r="F1986" s="5">
        <v>46217.57708333333</v>
      </c>
      <c r="G1986" s="5">
        <v>46216.50178240741</v>
      </c>
      <c r="H1986" s="3" t="s">
        <v>14</v>
      </c>
      <c r="I1986" s="7">
        <v>0.0</v>
      </c>
      <c r="J1986" s="3" t="s">
        <v>15</v>
      </c>
    </row>
    <row r="1987">
      <c r="A1987" s="3"/>
      <c r="B1987" s="3"/>
      <c r="C1987" s="3" t="s">
        <v>10</v>
      </c>
      <c r="D1987" s="4" t="s">
        <v>1653</v>
      </c>
      <c r="E1987" s="3" t="s">
        <v>166</v>
      </c>
      <c r="F1987" s="5">
        <v>46216.65122685185</v>
      </c>
      <c r="G1987" s="5">
        <v>46216.50162037037</v>
      </c>
      <c r="H1987" s="3" t="s">
        <v>14</v>
      </c>
      <c r="I1987" s="3">
        <v>0.0</v>
      </c>
      <c r="J1987" s="3" t="s">
        <v>15</v>
      </c>
    </row>
    <row r="1988">
      <c r="A1988" s="3"/>
      <c r="B1988" s="3"/>
      <c r="C1988" s="3" t="s">
        <v>17</v>
      </c>
      <c r="D1988" s="4" t="s">
        <v>1653</v>
      </c>
      <c r="E1988" s="3" t="s">
        <v>166</v>
      </c>
      <c r="F1988" s="5">
        <v>46216.658171296294</v>
      </c>
      <c r="G1988" s="5">
        <v>46216.50171296296</v>
      </c>
      <c r="H1988" s="3" t="s">
        <v>14</v>
      </c>
      <c r="I1988" s="7">
        <v>0.0</v>
      </c>
      <c r="J1988" s="3" t="s">
        <v>15</v>
      </c>
    </row>
    <row r="1989">
      <c r="A1989" s="3"/>
      <c r="B1989" s="3"/>
      <c r="C1989" s="3" t="s">
        <v>21</v>
      </c>
      <c r="D1989" s="4" t="s">
        <v>1653</v>
      </c>
      <c r="E1989" s="3" t="s">
        <v>166</v>
      </c>
      <c r="F1989" s="5">
        <v>46216.762337962966</v>
      </c>
      <c r="G1989" s="5">
        <v>46216.55252314815</v>
      </c>
      <c r="H1989" s="3" t="s">
        <v>14</v>
      </c>
      <c r="I1989" s="7">
        <v>0.0</v>
      </c>
      <c r="J1989" s="3" t="s">
        <v>15</v>
      </c>
    </row>
    <row r="1990">
      <c r="A1990" s="3"/>
      <c r="B1990" s="3"/>
      <c r="C1990" s="3" t="s">
        <v>24</v>
      </c>
      <c r="D1990" s="4" t="s">
        <v>1653</v>
      </c>
      <c r="E1990" s="3" t="s">
        <v>166</v>
      </c>
      <c r="F1990" s="5">
        <v>46217.76180555556</v>
      </c>
      <c r="G1990" s="5">
        <v>46216.552824074075</v>
      </c>
      <c r="H1990" s="3" t="s">
        <v>14</v>
      </c>
      <c r="I1990" s="7">
        <v>0.0</v>
      </c>
      <c r="J1990" s="3" t="s">
        <v>15</v>
      </c>
    </row>
    <row r="1991">
      <c r="A1991" s="3"/>
      <c r="B1991" s="3"/>
      <c r="C1991" s="3" t="s">
        <v>26</v>
      </c>
      <c r="D1991" s="4" t="s">
        <v>1653</v>
      </c>
      <c r="E1991" s="3" t="s">
        <v>166</v>
      </c>
      <c r="F1991" s="5">
        <v>46217.80347222222</v>
      </c>
      <c r="G1991" s="5">
        <v>46216.55284722222</v>
      </c>
      <c r="H1991" s="3" t="s">
        <v>14</v>
      </c>
      <c r="I1991" s="7">
        <v>0.0</v>
      </c>
      <c r="J1991" s="3" t="s">
        <v>15</v>
      </c>
    </row>
    <row r="1992">
      <c r="A1992" s="3"/>
      <c r="B1992" s="3"/>
      <c r="C1992" s="3" t="s">
        <v>10</v>
      </c>
      <c r="D1992" s="4" t="s">
        <v>1655</v>
      </c>
      <c r="E1992" s="3" t="s">
        <v>1656</v>
      </c>
      <c r="F1992" s="5">
        <v>46216.70638888889</v>
      </c>
      <c r="G1992" s="5">
        <v>46216.55226851852</v>
      </c>
      <c r="H1992" s="3" t="s">
        <v>14</v>
      </c>
      <c r="I1992" s="3">
        <v>0.0</v>
      </c>
      <c r="J1992" s="3" t="s">
        <v>48</v>
      </c>
    </row>
    <row r="1993">
      <c r="A1993" s="3"/>
      <c r="B1993" s="3"/>
      <c r="C1993" s="3" t="s">
        <v>17</v>
      </c>
      <c r="D1993" s="4" t="s">
        <v>1655</v>
      </c>
      <c r="E1993" s="3" t="s">
        <v>1656</v>
      </c>
      <c r="F1993" s="5">
        <v>46216.71333333333</v>
      </c>
      <c r="G1993" s="5">
        <v>46216.552349537036</v>
      </c>
      <c r="H1993" s="3" t="s">
        <v>14</v>
      </c>
      <c r="I1993" s="7">
        <v>0.0</v>
      </c>
      <c r="J1993" s="3" t="s">
        <v>48</v>
      </c>
    </row>
    <row r="1994">
      <c r="A1994" s="3"/>
      <c r="B1994" s="3"/>
      <c r="C1994" s="3" t="s">
        <v>21</v>
      </c>
      <c r="D1994" s="4" t="s">
        <v>1655</v>
      </c>
      <c r="E1994" s="3" t="s">
        <v>1656</v>
      </c>
      <c r="F1994" s="5">
        <v>46216.8175</v>
      </c>
      <c r="G1994" s="5">
        <v>46216.55253472222</v>
      </c>
      <c r="H1994" s="3" t="s">
        <v>14</v>
      </c>
      <c r="I1994" s="7">
        <v>0.0</v>
      </c>
      <c r="J1994" s="3" t="s">
        <v>48</v>
      </c>
    </row>
    <row r="1995">
      <c r="A1995" s="3"/>
      <c r="B1995" s="3"/>
      <c r="C1995" s="3" t="s">
        <v>24</v>
      </c>
      <c r="D1995" s="4" t="s">
        <v>1655</v>
      </c>
      <c r="E1995" s="3" t="s">
        <v>1656</v>
      </c>
      <c r="F1995" s="5">
        <v>46217.81736111111</v>
      </c>
      <c r="G1995" s="5">
        <v>46216.67229166667</v>
      </c>
      <c r="H1995" s="3" t="s">
        <v>14</v>
      </c>
      <c r="I1995" s="7">
        <v>0.0</v>
      </c>
      <c r="J1995" s="3" t="s">
        <v>48</v>
      </c>
    </row>
    <row r="1996">
      <c r="A1996" s="3"/>
      <c r="B1996" s="3"/>
      <c r="C1996" s="3" t="s">
        <v>26</v>
      </c>
      <c r="D1996" s="4" t="s">
        <v>1655</v>
      </c>
      <c r="E1996" s="3" t="s">
        <v>1656</v>
      </c>
      <c r="F1996" s="5">
        <v>46218.44236111111</v>
      </c>
      <c r="G1996" s="5">
        <v>46217.817766203705</v>
      </c>
      <c r="H1996" s="3" t="s">
        <v>14</v>
      </c>
      <c r="I1996" s="7">
        <v>0.0</v>
      </c>
      <c r="J1996" s="3" t="s">
        <v>48</v>
      </c>
    </row>
    <row r="1997">
      <c r="A1997" s="3"/>
      <c r="B1997" s="3"/>
      <c r="C1997" s="3" t="s">
        <v>10</v>
      </c>
      <c r="D1997" s="4" t="s">
        <v>1659</v>
      </c>
      <c r="E1997" s="3" t="s">
        <v>1660</v>
      </c>
      <c r="F1997" s="5">
        <v>46216.74234953704</v>
      </c>
      <c r="G1997" s="5">
        <v>46216.64601851852</v>
      </c>
      <c r="H1997" s="3" t="s">
        <v>14</v>
      </c>
      <c r="I1997" s="3">
        <v>0.0</v>
      </c>
      <c r="J1997" s="3" t="s">
        <v>15</v>
      </c>
    </row>
    <row r="1998">
      <c r="A1998" s="3"/>
      <c r="B1998" s="3"/>
      <c r="C1998" s="3" t="s">
        <v>17</v>
      </c>
      <c r="D1998" s="4" t="s">
        <v>1659</v>
      </c>
      <c r="E1998" s="3" t="s">
        <v>1660</v>
      </c>
      <c r="F1998" s="5">
        <v>46216.749293981484</v>
      </c>
      <c r="G1998" s="5">
        <v>46216.646053240744</v>
      </c>
      <c r="H1998" s="3" t="s">
        <v>14</v>
      </c>
      <c r="I1998" s="7">
        <v>0.0</v>
      </c>
      <c r="J1998" s="3" t="s">
        <v>15</v>
      </c>
    </row>
    <row r="1999">
      <c r="A1999" s="3"/>
      <c r="B1999" s="3"/>
      <c r="C1999" s="3" t="s">
        <v>21</v>
      </c>
      <c r="D1999" s="4" t="s">
        <v>1659</v>
      </c>
      <c r="E1999" s="3" t="s">
        <v>1660</v>
      </c>
      <c r="F1999" s="5">
        <v>46217.45694444444</v>
      </c>
      <c r="G1999" s="5">
        <v>46216.646157407406</v>
      </c>
      <c r="H1999" s="3" t="s">
        <v>14</v>
      </c>
      <c r="I1999" s="7">
        <v>0.0</v>
      </c>
      <c r="J1999" s="3" t="s">
        <v>15</v>
      </c>
    </row>
    <row r="2000">
      <c r="A2000" s="3"/>
      <c r="B2000" s="3"/>
      <c r="C2000" s="3" t="s">
        <v>24</v>
      </c>
      <c r="D2000" s="4" t="s">
        <v>1659</v>
      </c>
      <c r="E2000" s="3" t="s">
        <v>1660</v>
      </c>
      <c r="F2000" s="5">
        <v>46218.45694444444</v>
      </c>
      <c r="G2000" s="5">
        <v>46216.67234953704</v>
      </c>
      <c r="H2000" s="3" t="s">
        <v>14</v>
      </c>
      <c r="I2000" s="7">
        <v>0.0</v>
      </c>
      <c r="J2000" s="3" t="s">
        <v>15</v>
      </c>
    </row>
    <row r="2001">
      <c r="A2001" s="3"/>
      <c r="B2001" s="3"/>
      <c r="C2001" s="3" t="s">
        <v>26</v>
      </c>
      <c r="D2001" s="4" t="s">
        <v>1659</v>
      </c>
      <c r="E2001" s="3" t="s">
        <v>1660</v>
      </c>
      <c r="F2001" s="5">
        <v>46218.498611111114</v>
      </c>
      <c r="G2001" s="5">
        <v>46218.482152777775</v>
      </c>
      <c r="H2001" s="3" t="s">
        <v>14</v>
      </c>
      <c r="I2001" s="7">
        <v>0.0</v>
      </c>
      <c r="J2001" s="3" t="s">
        <v>15</v>
      </c>
    </row>
    <row r="2002">
      <c r="A2002" s="3"/>
      <c r="B2002" s="3"/>
      <c r="C2002" s="3" t="s">
        <v>10</v>
      </c>
      <c r="D2002" s="4" t="s">
        <v>1661</v>
      </c>
      <c r="E2002" s="3" t="s">
        <v>74</v>
      </c>
      <c r="F2002" s="5">
        <v>46217.45486111111</v>
      </c>
      <c r="G2002" s="5">
        <v>46216.75188657407</v>
      </c>
      <c r="H2002" s="3" t="s">
        <v>14</v>
      </c>
      <c r="I2002" s="3">
        <v>0.0</v>
      </c>
      <c r="J2002" s="3" t="s">
        <v>48</v>
      </c>
    </row>
    <row r="2003">
      <c r="A2003" s="3"/>
      <c r="B2003" s="3"/>
      <c r="C2003" s="3" t="s">
        <v>17</v>
      </c>
      <c r="D2003" s="4" t="s">
        <v>1661</v>
      </c>
      <c r="E2003" s="3" t="s">
        <v>74</v>
      </c>
      <c r="F2003" s="5">
        <v>46217.461805555555</v>
      </c>
      <c r="G2003" s="5">
        <v>46216.751979166664</v>
      </c>
      <c r="H2003" s="3" t="s">
        <v>14</v>
      </c>
      <c r="I2003" s="7">
        <v>0.0</v>
      </c>
      <c r="J2003" s="3" t="s">
        <v>48</v>
      </c>
    </row>
    <row r="2004">
      <c r="A2004" s="3"/>
      <c r="B2004" s="3"/>
      <c r="C2004" s="3" t="s">
        <v>21</v>
      </c>
      <c r="D2004" s="4" t="s">
        <v>1661</v>
      </c>
      <c r="E2004" s="3" t="s">
        <v>74</v>
      </c>
      <c r="F2004" s="5">
        <v>46217.56597222222</v>
      </c>
      <c r="G2004" s="5">
        <v>46216.77884259259</v>
      </c>
      <c r="H2004" s="3" t="s">
        <v>14</v>
      </c>
      <c r="I2004" s="7">
        <v>0.0</v>
      </c>
      <c r="J2004" s="3" t="s">
        <v>48</v>
      </c>
    </row>
    <row r="2005">
      <c r="A2005" s="3"/>
      <c r="B2005" s="3"/>
      <c r="C2005" s="3" t="s">
        <v>24</v>
      </c>
      <c r="D2005" s="4" t="s">
        <v>1661</v>
      </c>
      <c r="E2005" s="3" t="s">
        <v>74</v>
      </c>
      <c r="F2005" s="5">
        <v>46218.56597222222</v>
      </c>
      <c r="G2005" s="5">
        <v>46217.45427083333</v>
      </c>
      <c r="H2005" s="3" t="s">
        <v>14</v>
      </c>
      <c r="I2005" s="7">
        <v>0.0</v>
      </c>
      <c r="J2005" s="3" t="s">
        <v>48</v>
      </c>
    </row>
    <row r="2006">
      <c r="A2006" s="3"/>
      <c r="B2006" s="3"/>
      <c r="C2006" s="3" t="s">
        <v>26</v>
      </c>
      <c r="D2006" s="4" t="s">
        <v>1661</v>
      </c>
      <c r="E2006" s="3" t="s">
        <v>74</v>
      </c>
      <c r="F2006" s="5">
        <v>46218.60763888889</v>
      </c>
      <c r="G2006" s="5">
        <v>46218.4821875</v>
      </c>
      <c r="H2006" s="3" t="s">
        <v>14</v>
      </c>
      <c r="I2006" s="7">
        <v>0.0</v>
      </c>
      <c r="J2006" s="3" t="s">
        <v>48</v>
      </c>
    </row>
    <row r="2007">
      <c r="A2007" s="3"/>
      <c r="B2007" s="3"/>
      <c r="C2007" s="3" t="s">
        <v>10</v>
      </c>
      <c r="D2007" s="4" t="s">
        <v>1665</v>
      </c>
      <c r="E2007" s="3" t="s">
        <v>1666</v>
      </c>
      <c r="F2007" s="5">
        <v>46217.68263888889</v>
      </c>
      <c r="G2007" s="5">
        <v>46217.45329861111</v>
      </c>
      <c r="H2007" s="3" t="s">
        <v>14</v>
      </c>
      <c r="I2007" s="3">
        <v>0.0</v>
      </c>
      <c r="J2007" s="3" t="s">
        <v>72</v>
      </c>
    </row>
    <row r="2008">
      <c r="A2008" s="3"/>
      <c r="B2008" s="3"/>
      <c r="C2008" s="3" t="s">
        <v>17</v>
      </c>
      <c r="D2008" s="4" t="s">
        <v>1665</v>
      </c>
      <c r="E2008" s="3" t="s">
        <v>1666</v>
      </c>
      <c r="F2008" s="5">
        <v>46217.68958333333</v>
      </c>
      <c r="G2008" s="5">
        <v>46217.453877314816</v>
      </c>
      <c r="H2008" s="3" t="s">
        <v>14</v>
      </c>
      <c r="I2008" s="7">
        <v>0.0</v>
      </c>
      <c r="J2008" s="3" t="s">
        <v>72</v>
      </c>
    </row>
    <row r="2009">
      <c r="A2009" s="3"/>
      <c r="B2009" s="3"/>
      <c r="C2009" s="3" t="s">
        <v>21</v>
      </c>
      <c r="D2009" s="4" t="s">
        <v>1665</v>
      </c>
      <c r="E2009" s="3" t="s">
        <v>1666</v>
      </c>
      <c r="F2009" s="5">
        <v>46217.79375</v>
      </c>
      <c r="G2009" s="5">
        <v>46217.45400462963</v>
      </c>
      <c r="H2009" s="3" t="s">
        <v>14</v>
      </c>
      <c r="I2009" s="7">
        <v>0.0</v>
      </c>
      <c r="J2009" s="3" t="s">
        <v>72</v>
      </c>
    </row>
    <row r="2010">
      <c r="A2010" s="3"/>
      <c r="B2010" s="3"/>
      <c r="C2010" s="3" t="s">
        <v>24</v>
      </c>
      <c r="D2010" s="4" t="s">
        <v>1665</v>
      </c>
      <c r="E2010" s="3" t="s">
        <v>1666</v>
      </c>
      <c r="F2010" s="5">
        <v>46218.79375</v>
      </c>
      <c r="G2010" s="5">
        <v>46217.45429398148</v>
      </c>
      <c r="H2010" s="3" t="s">
        <v>14</v>
      </c>
      <c r="I2010" s="7">
        <v>0.0</v>
      </c>
      <c r="J2010" s="3" t="s">
        <v>72</v>
      </c>
    </row>
    <row r="2011">
      <c r="A2011" s="3"/>
      <c r="B2011" s="3"/>
      <c r="C2011" s="3" t="s">
        <v>26</v>
      </c>
      <c r="D2011" s="4" t="s">
        <v>1665</v>
      </c>
      <c r="E2011" s="3" t="s">
        <v>1666</v>
      </c>
      <c r="F2011" s="5">
        <v>46220.41875</v>
      </c>
      <c r="G2011" s="5">
        <v>46218.47929398148</v>
      </c>
      <c r="H2011" s="3" t="s">
        <v>14</v>
      </c>
      <c r="I2011" s="7">
        <v>0.0</v>
      </c>
      <c r="J2011" s="3" t="s">
        <v>72</v>
      </c>
    </row>
    <row r="2012">
      <c r="A2012" s="3"/>
      <c r="B2012" s="3"/>
      <c r="C2012" s="3" t="s">
        <v>10</v>
      </c>
      <c r="D2012" s="4" t="s">
        <v>1670</v>
      </c>
      <c r="E2012" s="3">
        <v>3443.0</v>
      </c>
      <c r="F2012" s="5">
        <v>46217.68819444445</v>
      </c>
      <c r="G2012" s="5">
        <v>46217.453310185185</v>
      </c>
      <c r="H2012" s="3" t="s">
        <v>14</v>
      </c>
      <c r="I2012" s="3">
        <v>0.0</v>
      </c>
      <c r="J2012" s="3" t="s">
        <v>72</v>
      </c>
    </row>
    <row r="2013">
      <c r="A2013" s="3"/>
      <c r="B2013" s="3"/>
      <c r="C2013" s="3" t="s">
        <v>17</v>
      </c>
      <c r="D2013" s="4" t="s">
        <v>1670</v>
      </c>
      <c r="E2013" s="3">
        <v>3443.0</v>
      </c>
      <c r="F2013" s="5">
        <v>46217.69513888889</v>
      </c>
      <c r="G2013" s="5">
        <v>46217.453877314816</v>
      </c>
      <c r="H2013" s="3" t="s">
        <v>14</v>
      </c>
      <c r="I2013" s="7">
        <v>0.0</v>
      </c>
      <c r="J2013" s="3" t="s">
        <v>72</v>
      </c>
    </row>
    <row r="2014">
      <c r="A2014" s="3"/>
      <c r="B2014" s="3"/>
      <c r="C2014" s="3" t="s">
        <v>21</v>
      </c>
      <c r="D2014" s="4" t="s">
        <v>1670</v>
      </c>
      <c r="E2014" s="3">
        <v>3443.0</v>
      </c>
      <c r="F2014" s="5">
        <v>46217.799305555556</v>
      </c>
      <c r="G2014" s="5">
        <v>46217.4540162037</v>
      </c>
      <c r="H2014" s="3" t="s">
        <v>14</v>
      </c>
      <c r="I2014" s="7">
        <v>0.0</v>
      </c>
      <c r="J2014" s="3" t="s">
        <v>72</v>
      </c>
    </row>
    <row r="2015">
      <c r="A2015" s="3"/>
      <c r="B2015" s="3"/>
      <c r="C2015" s="3" t="s">
        <v>24</v>
      </c>
      <c r="D2015" s="4" t="s">
        <v>1670</v>
      </c>
      <c r="E2015" s="3">
        <v>3443.0</v>
      </c>
      <c r="F2015" s="5">
        <v>46218.799305555556</v>
      </c>
      <c r="G2015" s="5">
        <v>46217.454305555555</v>
      </c>
      <c r="H2015" s="3" t="s">
        <v>14</v>
      </c>
      <c r="I2015" s="7">
        <v>0.0</v>
      </c>
      <c r="J2015" s="3" t="s">
        <v>72</v>
      </c>
    </row>
    <row r="2016">
      <c r="A2016" s="3"/>
      <c r="B2016" s="3"/>
      <c r="C2016" s="3" t="s">
        <v>26</v>
      </c>
      <c r="D2016" s="4" t="s">
        <v>1670</v>
      </c>
      <c r="E2016" s="3">
        <v>3443.0</v>
      </c>
      <c r="F2016" s="5">
        <v>46220.424305555556</v>
      </c>
      <c r="G2016" s="5">
        <v>46218.47928240741</v>
      </c>
      <c r="H2016" s="3" t="s">
        <v>14</v>
      </c>
      <c r="I2016" s="7">
        <v>0.0</v>
      </c>
      <c r="J2016" s="3" t="s">
        <v>72</v>
      </c>
    </row>
    <row r="2017">
      <c r="A2017" s="3"/>
      <c r="B2017" s="3"/>
      <c r="C2017" s="3" t="s">
        <v>10</v>
      </c>
      <c r="D2017" s="4" t="s">
        <v>1674</v>
      </c>
      <c r="E2017" s="3">
        <v>3386.0</v>
      </c>
      <c r="F2017" s="5">
        <v>46217.69027777778</v>
      </c>
      <c r="G2017" s="5">
        <v>46217.45326388889</v>
      </c>
      <c r="H2017" s="3" t="s">
        <v>14</v>
      </c>
      <c r="I2017" s="3">
        <v>0.0</v>
      </c>
      <c r="J2017" s="3" t="s">
        <v>72</v>
      </c>
    </row>
    <row r="2018">
      <c r="A2018" s="3"/>
      <c r="B2018" s="3"/>
      <c r="C2018" s="3" t="s">
        <v>17</v>
      </c>
      <c r="D2018" s="4" t="s">
        <v>1674</v>
      </c>
      <c r="E2018" s="3">
        <v>3386.0</v>
      </c>
      <c r="F2018" s="5">
        <v>46217.697222222225</v>
      </c>
      <c r="G2018" s="5">
        <v>46217.453877314816</v>
      </c>
      <c r="H2018" s="3" t="s">
        <v>14</v>
      </c>
      <c r="I2018" s="7">
        <v>0.0</v>
      </c>
      <c r="J2018" s="3" t="s">
        <v>72</v>
      </c>
    </row>
    <row r="2019">
      <c r="A2019" s="3"/>
      <c r="B2019" s="3"/>
      <c r="C2019" s="3" t="s">
        <v>21</v>
      </c>
      <c r="D2019" s="4" t="s">
        <v>1674</v>
      </c>
      <c r="E2019" s="3">
        <v>3386.0</v>
      </c>
      <c r="F2019" s="5">
        <v>46217.80138888889</v>
      </c>
      <c r="G2019" s="5">
        <v>46217.45402777778</v>
      </c>
      <c r="H2019" s="3" t="s">
        <v>14</v>
      </c>
      <c r="I2019" s="7">
        <v>0.0</v>
      </c>
      <c r="J2019" s="3" t="s">
        <v>72</v>
      </c>
    </row>
    <row r="2020">
      <c r="A2020" s="3"/>
      <c r="B2020" s="3"/>
      <c r="C2020" s="3" t="s">
        <v>24</v>
      </c>
      <c r="D2020" s="4" t="s">
        <v>1674</v>
      </c>
      <c r="E2020" s="3">
        <v>3386.0</v>
      </c>
      <c r="F2020" s="5">
        <v>46218.80138888889</v>
      </c>
      <c r="G2020" s="5">
        <v>46217.45431712963</v>
      </c>
      <c r="H2020" s="3" t="s">
        <v>14</v>
      </c>
      <c r="I2020" s="7">
        <v>0.0</v>
      </c>
      <c r="J2020" s="3" t="s">
        <v>72</v>
      </c>
    </row>
    <row r="2021">
      <c r="A2021" s="3"/>
      <c r="B2021" s="3"/>
      <c r="C2021" s="3" t="s">
        <v>26</v>
      </c>
      <c r="D2021" s="4" t="s">
        <v>1674</v>
      </c>
      <c r="E2021" s="3">
        <v>3386.0</v>
      </c>
      <c r="F2021" s="5">
        <v>46220.42638888889</v>
      </c>
      <c r="G2021" s="5">
        <v>46218.479317129626</v>
      </c>
      <c r="H2021" s="3" t="s">
        <v>14</v>
      </c>
      <c r="I2021" s="7">
        <v>0.0</v>
      </c>
      <c r="J2021" s="3" t="s">
        <v>72</v>
      </c>
    </row>
    <row r="2022">
      <c r="A2022" s="3"/>
      <c r="B2022" s="3"/>
      <c r="C2022" s="3" t="s">
        <v>10</v>
      </c>
      <c r="D2022" s="4" t="s">
        <v>1676</v>
      </c>
      <c r="E2022" s="3">
        <v>3285.0</v>
      </c>
      <c r="F2022" s="5">
        <v>46217.69305555556</v>
      </c>
      <c r="G2022" s="5">
        <v>46217.4534375</v>
      </c>
      <c r="H2022" s="3" t="s">
        <v>14</v>
      </c>
      <c r="I2022" s="3">
        <v>0.0</v>
      </c>
      <c r="J2022" s="3" t="s">
        <v>72</v>
      </c>
    </row>
    <row r="2023">
      <c r="A2023" s="3"/>
      <c r="B2023" s="3"/>
      <c r="C2023" s="3" t="s">
        <v>17</v>
      </c>
      <c r="D2023" s="4" t="s">
        <v>1676</v>
      </c>
      <c r="E2023" s="3">
        <v>3285.0</v>
      </c>
      <c r="F2023" s="5">
        <v>46217.7</v>
      </c>
      <c r="G2023" s="5">
        <v>46217.453888888886</v>
      </c>
      <c r="H2023" s="3" t="s">
        <v>14</v>
      </c>
      <c r="I2023" s="7">
        <v>0.0</v>
      </c>
      <c r="J2023" s="3" t="s">
        <v>72</v>
      </c>
    </row>
    <row r="2024">
      <c r="A2024" s="3"/>
      <c r="B2024" s="3"/>
      <c r="C2024" s="3" t="s">
        <v>21</v>
      </c>
      <c r="D2024" s="4" t="s">
        <v>1676</v>
      </c>
      <c r="E2024" s="3">
        <v>3285.0</v>
      </c>
      <c r="F2024" s="5">
        <v>46217.80416666667</v>
      </c>
      <c r="G2024" s="5">
        <v>46217.61782407408</v>
      </c>
      <c r="H2024" s="3" t="s">
        <v>14</v>
      </c>
      <c r="I2024" s="7">
        <v>0.0</v>
      </c>
      <c r="J2024" s="3" t="s">
        <v>72</v>
      </c>
    </row>
    <row r="2025">
      <c r="A2025" s="3"/>
      <c r="B2025" s="3"/>
      <c r="C2025" s="3" t="s">
        <v>24</v>
      </c>
      <c r="D2025" s="4" t="s">
        <v>1676</v>
      </c>
      <c r="E2025" s="3">
        <v>3285.0</v>
      </c>
      <c r="F2025" s="5">
        <v>46218.80416666667</v>
      </c>
      <c r="G2025" s="5">
        <v>46217.45431712963</v>
      </c>
      <c r="H2025" s="3" t="s">
        <v>14</v>
      </c>
      <c r="I2025" s="7">
        <v>0.0</v>
      </c>
      <c r="J2025" s="3" t="s">
        <v>72</v>
      </c>
    </row>
    <row r="2026">
      <c r="A2026" s="3"/>
      <c r="B2026" s="3"/>
      <c r="C2026" s="3" t="s">
        <v>26</v>
      </c>
      <c r="D2026" s="4" t="s">
        <v>1676</v>
      </c>
      <c r="E2026" s="3">
        <v>3285.0</v>
      </c>
      <c r="F2026" s="5">
        <v>46220.42916666667</v>
      </c>
      <c r="G2026" s="5">
        <v>46218.47930555556</v>
      </c>
      <c r="H2026" s="3" t="s">
        <v>14</v>
      </c>
      <c r="I2026" s="7">
        <v>0.0</v>
      </c>
      <c r="J2026" s="3" t="s">
        <v>72</v>
      </c>
    </row>
    <row r="2027">
      <c r="A2027" s="3"/>
      <c r="B2027" s="3"/>
      <c r="C2027" s="3" t="s">
        <v>10</v>
      </c>
      <c r="D2027" s="4" t="s">
        <v>1679</v>
      </c>
      <c r="E2027" s="3">
        <v>3285.0</v>
      </c>
      <c r="F2027" s="5">
        <v>46217.694444444445</v>
      </c>
      <c r="G2027" s="5">
        <v>46217.45344907408</v>
      </c>
      <c r="H2027" s="3" t="s">
        <v>14</v>
      </c>
      <c r="I2027" s="3">
        <v>0.0</v>
      </c>
      <c r="J2027" s="3" t="s">
        <v>72</v>
      </c>
    </row>
    <row r="2028">
      <c r="A2028" s="3"/>
      <c r="B2028" s="3"/>
      <c r="C2028" s="3" t="s">
        <v>17</v>
      </c>
      <c r="D2028" s="4" t="s">
        <v>1679</v>
      </c>
      <c r="E2028" s="3">
        <v>3285.0</v>
      </c>
      <c r="F2028" s="5">
        <v>46217.70138888889</v>
      </c>
      <c r="G2028" s="5">
        <v>46217.45390046296</v>
      </c>
      <c r="H2028" s="3" t="s">
        <v>14</v>
      </c>
      <c r="I2028" s="7">
        <v>0.0</v>
      </c>
      <c r="J2028" s="3" t="s">
        <v>72</v>
      </c>
    </row>
    <row r="2029">
      <c r="A2029" s="3"/>
      <c r="B2029" s="3"/>
      <c r="C2029" s="3" t="s">
        <v>21</v>
      </c>
      <c r="D2029" s="4" t="s">
        <v>1679</v>
      </c>
      <c r="E2029" s="3">
        <v>3285.0</v>
      </c>
      <c r="F2029" s="5">
        <v>46217.805555555555</v>
      </c>
      <c r="G2029" s="5">
        <v>46217.454039351855</v>
      </c>
      <c r="H2029" s="3" t="s">
        <v>14</v>
      </c>
      <c r="I2029" s="7">
        <v>0.0</v>
      </c>
      <c r="J2029" s="3" t="s">
        <v>72</v>
      </c>
    </row>
    <row r="2030">
      <c r="A2030" s="3"/>
      <c r="B2030" s="3"/>
      <c r="C2030" s="3" t="s">
        <v>24</v>
      </c>
      <c r="D2030" s="4" t="s">
        <v>1679</v>
      </c>
      <c r="E2030" s="3">
        <v>3285.0</v>
      </c>
      <c r="F2030" s="5">
        <v>46218.805555555555</v>
      </c>
      <c r="G2030" s="5">
        <v>46217.61765046296</v>
      </c>
      <c r="H2030" s="3" t="s">
        <v>14</v>
      </c>
      <c r="I2030" s="7">
        <v>0.0</v>
      </c>
      <c r="J2030" s="3" t="s">
        <v>72</v>
      </c>
    </row>
    <row r="2031">
      <c r="A2031" s="3"/>
      <c r="B2031" s="3"/>
      <c r="C2031" s="3" t="s">
        <v>26</v>
      </c>
      <c r="D2031" s="4" t="s">
        <v>1679</v>
      </c>
      <c r="E2031" s="3">
        <v>3285.0</v>
      </c>
      <c r="F2031" s="5">
        <v>46220.430555555555</v>
      </c>
      <c r="G2031" s="5">
        <v>46218.4793287037</v>
      </c>
      <c r="H2031" s="3" t="s">
        <v>14</v>
      </c>
      <c r="I2031" s="7">
        <v>0.0</v>
      </c>
      <c r="J2031" s="3" t="s">
        <v>72</v>
      </c>
    </row>
    <row r="2032">
      <c r="A2032" s="3"/>
      <c r="B2032" s="3"/>
      <c r="C2032" s="3" t="s">
        <v>10</v>
      </c>
      <c r="D2032" s="4" t="s">
        <v>1681</v>
      </c>
      <c r="E2032" s="3">
        <v>2577.0</v>
      </c>
      <c r="F2032" s="5">
        <v>46217.69583333333</v>
      </c>
      <c r="G2032" s="5">
        <v>46217.45347222222</v>
      </c>
      <c r="H2032" s="3" t="s">
        <v>14</v>
      </c>
      <c r="I2032" s="3">
        <v>0.0</v>
      </c>
      <c r="J2032" s="3" t="s">
        <v>72</v>
      </c>
    </row>
    <row r="2033">
      <c r="A2033" s="3"/>
      <c r="B2033" s="3"/>
      <c r="C2033" s="3" t="s">
        <v>17</v>
      </c>
      <c r="D2033" s="4" t="s">
        <v>1681</v>
      </c>
      <c r="E2033" s="3">
        <v>2577.0</v>
      </c>
      <c r="F2033" s="5">
        <v>46217.70277777778</v>
      </c>
      <c r="G2033" s="5">
        <v>46217.45390046296</v>
      </c>
      <c r="H2033" s="3" t="s">
        <v>14</v>
      </c>
      <c r="I2033" s="7">
        <v>0.0</v>
      </c>
      <c r="J2033" s="3" t="s">
        <v>72</v>
      </c>
    </row>
    <row r="2034">
      <c r="A2034" s="3"/>
      <c r="B2034" s="3"/>
      <c r="C2034" s="3" t="s">
        <v>21</v>
      </c>
      <c r="D2034" s="4" t="s">
        <v>1681</v>
      </c>
      <c r="E2034" s="3">
        <v>2577.0</v>
      </c>
      <c r="F2034" s="5">
        <v>46217.80694444444</v>
      </c>
      <c r="G2034" s="5">
        <v>46217.454039351855</v>
      </c>
      <c r="H2034" s="3" t="s">
        <v>14</v>
      </c>
      <c r="I2034" s="7">
        <v>0.0</v>
      </c>
      <c r="J2034" s="3" t="s">
        <v>72</v>
      </c>
    </row>
    <row r="2035">
      <c r="A2035" s="3"/>
      <c r="B2035" s="3"/>
      <c r="C2035" s="3" t="s">
        <v>24</v>
      </c>
      <c r="D2035" s="4" t="s">
        <v>1681</v>
      </c>
      <c r="E2035" s="3">
        <v>2577.0</v>
      </c>
      <c r="F2035" s="5">
        <v>46218.80694444444</v>
      </c>
      <c r="G2035" s="5">
        <v>46217.45434027778</v>
      </c>
      <c r="H2035" s="3" t="s">
        <v>14</v>
      </c>
      <c r="I2035" s="7">
        <v>0.0</v>
      </c>
      <c r="J2035" s="3" t="s">
        <v>72</v>
      </c>
    </row>
    <row r="2036">
      <c r="A2036" s="3"/>
      <c r="B2036" s="3"/>
      <c r="C2036" s="3" t="s">
        <v>26</v>
      </c>
      <c r="D2036" s="4" t="s">
        <v>1681</v>
      </c>
      <c r="E2036" s="3">
        <v>2577.0</v>
      </c>
      <c r="F2036" s="5">
        <v>46220.43194444444</v>
      </c>
      <c r="G2036" s="5">
        <v>46218.47934027778</v>
      </c>
      <c r="H2036" s="3" t="s">
        <v>14</v>
      </c>
      <c r="I2036" s="7">
        <v>0.0</v>
      </c>
      <c r="J2036" s="3" t="s">
        <v>72</v>
      </c>
    </row>
    <row r="2037">
      <c r="A2037" s="3"/>
      <c r="B2037" s="3"/>
      <c r="C2037" s="3" t="s">
        <v>10</v>
      </c>
      <c r="D2037" s="4" t="s">
        <v>1683</v>
      </c>
      <c r="E2037" s="3">
        <v>2781.0</v>
      </c>
      <c r="F2037" s="5">
        <v>46217.69861111111</v>
      </c>
      <c r="G2037" s="5">
        <v>46217.45348379629</v>
      </c>
      <c r="H2037" s="3" t="s">
        <v>14</v>
      </c>
      <c r="I2037" s="3">
        <v>0.0</v>
      </c>
      <c r="J2037" s="3" t="s">
        <v>72</v>
      </c>
    </row>
    <row r="2038">
      <c r="A2038" s="3"/>
      <c r="B2038" s="3"/>
      <c r="C2038" s="3" t="s">
        <v>17</v>
      </c>
      <c r="D2038" s="4" t="s">
        <v>1683</v>
      </c>
      <c r="E2038" s="3">
        <v>2781.0</v>
      </c>
      <c r="F2038" s="5">
        <v>46217.705555555556</v>
      </c>
      <c r="G2038" s="5">
        <v>46217.45391203704</v>
      </c>
      <c r="H2038" s="3" t="s">
        <v>14</v>
      </c>
      <c r="I2038" s="7">
        <v>0.0</v>
      </c>
      <c r="J2038" s="3" t="s">
        <v>72</v>
      </c>
    </row>
    <row r="2039">
      <c r="A2039" s="3"/>
      <c r="B2039" s="3"/>
      <c r="C2039" s="3" t="s">
        <v>21</v>
      </c>
      <c r="D2039" s="4" t="s">
        <v>1683</v>
      </c>
      <c r="E2039" s="3">
        <v>2781.0</v>
      </c>
      <c r="F2039" s="5">
        <v>46217.80972222222</v>
      </c>
      <c r="G2039" s="5">
        <v>46217.617256944446</v>
      </c>
      <c r="H2039" s="3" t="s">
        <v>14</v>
      </c>
      <c r="I2039" s="7">
        <v>0.0</v>
      </c>
      <c r="J2039" s="3" t="s">
        <v>72</v>
      </c>
    </row>
    <row r="2040">
      <c r="A2040" s="3"/>
      <c r="B2040" s="3"/>
      <c r="C2040" s="3" t="s">
        <v>24</v>
      </c>
      <c r="D2040" s="4" t="s">
        <v>1683</v>
      </c>
      <c r="E2040" s="3">
        <v>2781.0</v>
      </c>
      <c r="F2040" s="5">
        <v>46218.80972222222</v>
      </c>
      <c r="G2040" s="5">
        <v>46217.61770833333</v>
      </c>
      <c r="H2040" s="3" t="s">
        <v>14</v>
      </c>
      <c r="I2040" s="7">
        <v>0.0</v>
      </c>
      <c r="J2040" s="3" t="s">
        <v>72</v>
      </c>
    </row>
    <row r="2041">
      <c r="A2041" s="3"/>
      <c r="B2041" s="3"/>
      <c r="C2041" s="3" t="s">
        <v>26</v>
      </c>
      <c r="D2041" s="4" t="s">
        <v>1683</v>
      </c>
      <c r="E2041" s="3">
        <v>2781.0</v>
      </c>
      <c r="F2041" s="5">
        <v>46220.43472222222</v>
      </c>
      <c r="G2041" s="5">
        <v>46218.479375</v>
      </c>
      <c r="H2041" s="3" t="s">
        <v>14</v>
      </c>
      <c r="I2041" s="7">
        <v>0.0</v>
      </c>
      <c r="J2041" s="3" t="s">
        <v>72</v>
      </c>
    </row>
    <row r="2042">
      <c r="A2042" s="3"/>
      <c r="B2042" s="3"/>
      <c r="C2042" s="3" t="s">
        <v>10</v>
      </c>
      <c r="D2042" s="4" t="s">
        <v>1686</v>
      </c>
      <c r="E2042" s="3">
        <v>3361.0</v>
      </c>
      <c r="F2042" s="5">
        <v>46217.7</v>
      </c>
      <c r="G2042" s="5">
        <v>46217.45350694445</v>
      </c>
      <c r="H2042" s="3" t="s">
        <v>14</v>
      </c>
      <c r="I2042" s="3">
        <v>0.0</v>
      </c>
      <c r="J2042" s="3" t="s">
        <v>72</v>
      </c>
    </row>
    <row r="2043">
      <c r="A2043" s="3"/>
      <c r="B2043" s="3"/>
      <c r="C2043" s="3" t="s">
        <v>17</v>
      </c>
      <c r="D2043" s="4" t="s">
        <v>1686</v>
      </c>
      <c r="E2043" s="3">
        <v>3361.0</v>
      </c>
      <c r="F2043" s="5">
        <v>46217.70694444444</v>
      </c>
      <c r="G2043" s="5">
        <v>46217.45391203704</v>
      </c>
      <c r="H2043" s="3" t="s">
        <v>14</v>
      </c>
      <c r="I2043" s="7">
        <v>0.0</v>
      </c>
      <c r="J2043" s="3" t="s">
        <v>72</v>
      </c>
    </row>
    <row r="2044">
      <c r="A2044" s="3"/>
      <c r="B2044" s="3"/>
      <c r="C2044" s="3" t="s">
        <v>21</v>
      </c>
      <c r="D2044" s="4" t="s">
        <v>1686</v>
      </c>
      <c r="E2044" s="3">
        <v>3361.0</v>
      </c>
      <c r="F2044" s="5">
        <v>46217.811111111114</v>
      </c>
      <c r="G2044" s="5">
        <v>46217.454050925924</v>
      </c>
      <c r="H2044" s="3" t="s">
        <v>14</v>
      </c>
      <c r="I2044" s="7">
        <v>0.0</v>
      </c>
      <c r="J2044" s="3" t="s">
        <v>72</v>
      </c>
    </row>
    <row r="2045">
      <c r="A2045" s="3"/>
      <c r="B2045" s="3"/>
      <c r="C2045" s="3" t="s">
        <v>24</v>
      </c>
      <c r="D2045" s="4" t="s">
        <v>1686</v>
      </c>
      <c r="E2045" s="3">
        <v>3361.0</v>
      </c>
      <c r="F2045" s="5">
        <v>46218.811111111114</v>
      </c>
      <c r="G2045" s="5">
        <v>46217.45434027778</v>
      </c>
      <c r="H2045" s="3" t="s">
        <v>14</v>
      </c>
      <c r="I2045" s="7">
        <v>0.0</v>
      </c>
      <c r="J2045" s="3" t="s">
        <v>72</v>
      </c>
    </row>
    <row r="2046">
      <c r="A2046" s="3"/>
      <c r="B2046" s="3"/>
      <c r="C2046" s="3" t="s">
        <v>26</v>
      </c>
      <c r="D2046" s="4" t="s">
        <v>1686</v>
      </c>
      <c r="E2046" s="3">
        <v>3361.0</v>
      </c>
      <c r="F2046" s="5">
        <v>46220.436111111114</v>
      </c>
      <c r="G2046" s="5">
        <v>46218.479363425926</v>
      </c>
      <c r="H2046" s="3" t="s">
        <v>14</v>
      </c>
      <c r="I2046" s="7">
        <v>0.0</v>
      </c>
      <c r="J2046" s="3" t="s">
        <v>72</v>
      </c>
    </row>
    <row r="2047">
      <c r="A2047" s="3"/>
      <c r="B2047" s="3"/>
      <c r="C2047" s="117" t="s">
        <v>10</v>
      </c>
      <c r="D2047" s="4" t="s">
        <v>1690</v>
      </c>
      <c r="E2047" s="117">
        <v>3.3083375E7</v>
      </c>
      <c r="F2047" s="5">
        <v>46217.70208333333</v>
      </c>
      <c r="G2047" s="5">
        <v>46217.45353009259</v>
      </c>
      <c r="H2047" s="3" t="s">
        <v>14</v>
      </c>
      <c r="I2047" s="3">
        <v>0.0</v>
      </c>
      <c r="J2047" s="3" t="s">
        <v>72</v>
      </c>
    </row>
    <row r="2048">
      <c r="A2048" s="3"/>
      <c r="B2048" s="3"/>
      <c r="C2048" s="117" t="s">
        <v>17</v>
      </c>
      <c r="D2048" s="4" t="s">
        <v>1690</v>
      </c>
      <c r="E2048" s="117">
        <v>3.3083375E7</v>
      </c>
      <c r="F2048" s="5">
        <v>46217.709027777775</v>
      </c>
      <c r="G2048" s="5">
        <v>46217.45392361111</v>
      </c>
      <c r="H2048" s="3" t="s">
        <v>14</v>
      </c>
      <c r="I2048" s="7">
        <v>0.0</v>
      </c>
      <c r="J2048" s="3" t="s">
        <v>72</v>
      </c>
    </row>
    <row r="2049">
      <c r="A2049" s="3"/>
      <c r="B2049" s="3"/>
      <c r="C2049" s="117" t="s">
        <v>21</v>
      </c>
      <c r="D2049" s="4" t="s">
        <v>1690</v>
      </c>
      <c r="E2049" s="117">
        <v>3.3083375E7</v>
      </c>
      <c r="F2049" s="5">
        <v>46217.81319444445</v>
      </c>
      <c r="G2049" s="5">
        <v>46217.4540625</v>
      </c>
      <c r="H2049" s="3" t="s">
        <v>14</v>
      </c>
      <c r="I2049" s="7">
        <v>0.0</v>
      </c>
      <c r="J2049" s="3" t="s">
        <v>72</v>
      </c>
    </row>
    <row r="2050">
      <c r="A2050" s="3"/>
      <c r="B2050" s="3"/>
      <c r="C2050" s="117" t="s">
        <v>24</v>
      </c>
      <c r="D2050" s="4" t="s">
        <v>1690</v>
      </c>
      <c r="E2050" s="117">
        <v>3.3083375E7</v>
      </c>
      <c r="F2050" s="5">
        <v>46218.81319444445</v>
      </c>
      <c r="G2050" s="5">
        <v>46217.454351851855</v>
      </c>
      <c r="H2050" s="3" t="s">
        <v>14</v>
      </c>
      <c r="I2050" s="7">
        <v>0.0</v>
      </c>
      <c r="J2050" s="3" t="s">
        <v>72</v>
      </c>
    </row>
    <row r="2051">
      <c r="A2051" s="3"/>
      <c r="B2051" s="3"/>
      <c r="C2051" s="117" t="s">
        <v>26</v>
      </c>
      <c r="D2051" s="4" t="s">
        <v>1690</v>
      </c>
      <c r="E2051" s="117">
        <v>3.3083375E7</v>
      </c>
      <c r="F2051" s="5">
        <v>46220.43819444445</v>
      </c>
      <c r="G2051" s="5">
        <v>46218.479375</v>
      </c>
      <c r="H2051" s="3" t="s">
        <v>14</v>
      </c>
      <c r="I2051" s="7">
        <v>0.0</v>
      </c>
      <c r="J2051" s="3" t="s">
        <v>72</v>
      </c>
    </row>
    <row r="2052">
      <c r="A2052" s="3"/>
      <c r="B2052" s="3"/>
      <c r="C2052" s="3" t="s">
        <v>10</v>
      </c>
      <c r="D2052" s="4" t="s">
        <v>1694</v>
      </c>
      <c r="E2052" s="3">
        <v>2782.0</v>
      </c>
      <c r="F2052" s="5">
        <v>46217.70347222222</v>
      </c>
      <c r="G2052" s="5">
        <v>46217.453564814816</v>
      </c>
      <c r="H2052" s="3" t="s">
        <v>14</v>
      </c>
      <c r="I2052" s="3">
        <v>0.0</v>
      </c>
      <c r="J2052" s="3" t="s">
        <v>72</v>
      </c>
    </row>
    <row r="2053">
      <c r="A2053" s="3"/>
      <c r="B2053" s="3"/>
      <c r="C2053" s="3" t="s">
        <v>17</v>
      </c>
      <c r="D2053" s="4" t="s">
        <v>1694</v>
      </c>
      <c r="E2053" s="3">
        <v>2782.0</v>
      </c>
      <c r="F2053" s="5">
        <v>46217.71041666667</v>
      </c>
      <c r="G2053" s="5">
        <v>46217.61717592592</v>
      </c>
      <c r="H2053" s="3" t="s">
        <v>14</v>
      </c>
      <c r="I2053" s="7">
        <v>0.0</v>
      </c>
      <c r="J2053" s="3" t="s">
        <v>72</v>
      </c>
    </row>
    <row r="2054">
      <c r="A2054" s="3"/>
      <c r="B2054" s="3"/>
      <c r="C2054" s="3" t="s">
        <v>21</v>
      </c>
      <c r="D2054" s="4" t="s">
        <v>1694</v>
      </c>
      <c r="E2054" s="3">
        <v>2782.0</v>
      </c>
      <c r="F2054" s="5">
        <v>46217.81458333333</v>
      </c>
      <c r="G2054" s="5">
        <v>46217.617314814815</v>
      </c>
      <c r="H2054" s="3" t="s">
        <v>14</v>
      </c>
      <c r="I2054" s="7">
        <v>0.0</v>
      </c>
      <c r="J2054" s="3" t="s">
        <v>72</v>
      </c>
    </row>
    <row r="2055">
      <c r="A2055" s="3"/>
      <c r="B2055" s="3"/>
      <c r="C2055" s="3" t="s">
        <v>24</v>
      </c>
      <c r="D2055" s="4" t="s">
        <v>1694</v>
      </c>
      <c r="E2055" s="3">
        <v>2782.0</v>
      </c>
      <c r="F2055" s="5">
        <v>46218.81458333333</v>
      </c>
      <c r="G2055" s="5">
        <v>46217.454351851855</v>
      </c>
      <c r="H2055" s="3" t="s">
        <v>14</v>
      </c>
      <c r="I2055" s="7">
        <v>0.0</v>
      </c>
      <c r="J2055" s="3" t="s">
        <v>72</v>
      </c>
    </row>
    <row r="2056">
      <c r="A2056" s="3"/>
      <c r="B2056" s="3"/>
      <c r="C2056" s="3" t="s">
        <v>26</v>
      </c>
      <c r="D2056" s="4" t="s">
        <v>1694</v>
      </c>
      <c r="E2056" s="3">
        <v>2782.0</v>
      </c>
      <c r="F2056" s="5">
        <v>46220.43958333333</v>
      </c>
      <c r="G2056" s="5">
        <v>46218.479375</v>
      </c>
      <c r="H2056" s="3" t="s">
        <v>14</v>
      </c>
      <c r="I2056" s="7">
        <v>0.0</v>
      </c>
      <c r="J2056" s="3" t="s">
        <v>72</v>
      </c>
    </row>
    <row r="2057">
      <c r="A2057" s="3"/>
      <c r="B2057" s="3"/>
      <c r="C2057" s="3" t="s">
        <v>10</v>
      </c>
      <c r="D2057" s="4" t="s">
        <v>1698</v>
      </c>
      <c r="E2057" s="3" t="s">
        <v>1699</v>
      </c>
      <c r="F2057" s="5">
        <v>46217.726122685184</v>
      </c>
      <c r="G2057" s="5">
        <v>46217.61666666667</v>
      </c>
      <c r="H2057" s="3" t="s">
        <v>14</v>
      </c>
      <c r="I2057" s="3">
        <v>0.0</v>
      </c>
      <c r="J2057" s="3" t="s">
        <v>72</v>
      </c>
    </row>
    <row r="2058">
      <c r="A2058" s="3"/>
      <c r="B2058" s="3"/>
      <c r="C2058" s="3" t="s">
        <v>17</v>
      </c>
      <c r="D2058" s="4" t="s">
        <v>1698</v>
      </c>
      <c r="E2058" s="3" t="s">
        <v>1699</v>
      </c>
      <c r="F2058" s="5">
        <v>46217.73306712963</v>
      </c>
      <c r="G2058" s="5">
        <v>46217.61699074074</v>
      </c>
      <c r="H2058" s="3" t="s">
        <v>14</v>
      </c>
      <c r="I2058" s="7">
        <v>0.0</v>
      </c>
      <c r="J2058" s="3" t="s">
        <v>72</v>
      </c>
    </row>
    <row r="2059">
      <c r="A2059" s="3"/>
      <c r="B2059" s="3"/>
      <c r="C2059" s="3" t="s">
        <v>21</v>
      </c>
      <c r="D2059" s="4" t="s">
        <v>1698</v>
      </c>
      <c r="E2059" s="3" t="s">
        <v>1699</v>
      </c>
      <c r="F2059" s="5">
        <v>46218.44097222222</v>
      </c>
      <c r="G2059" s="5">
        <v>46217.61734953704</v>
      </c>
      <c r="H2059" s="3" t="s">
        <v>14</v>
      </c>
      <c r="I2059" s="7">
        <v>0.0</v>
      </c>
      <c r="J2059" s="3" t="s">
        <v>72</v>
      </c>
    </row>
    <row r="2060">
      <c r="A2060" s="3"/>
      <c r="B2060" s="3"/>
      <c r="C2060" s="3" t="s">
        <v>24</v>
      </c>
      <c r="D2060" s="4" t="s">
        <v>1698</v>
      </c>
      <c r="E2060" s="3" t="s">
        <v>1699</v>
      </c>
      <c r="F2060" s="5">
        <v>46220.44097222222</v>
      </c>
      <c r="G2060" s="5">
        <v>46218.47945601852</v>
      </c>
      <c r="H2060" s="3" t="s">
        <v>14</v>
      </c>
      <c r="I2060" s="7">
        <v>0.0</v>
      </c>
      <c r="J2060" s="3" t="s">
        <v>72</v>
      </c>
    </row>
    <row r="2061">
      <c r="A2061" s="3"/>
      <c r="B2061" s="3"/>
      <c r="C2061" s="3" t="s">
        <v>26</v>
      </c>
      <c r="D2061" s="4" t="s">
        <v>1698</v>
      </c>
      <c r="E2061" s="3" t="s">
        <v>1699</v>
      </c>
      <c r="F2061" s="5">
        <v>46220.48263888889</v>
      </c>
      <c r="G2061" s="5">
        <v>46218.47950231482</v>
      </c>
      <c r="H2061" s="3" t="s">
        <v>14</v>
      </c>
      <c r="I2061" s="7">
        <v>0.0</v>
      </c>
      <c r="J2061" s="3" t="s">
        <v>72</v>
      </c>
    </row>
    <row r="2062">
      <c r="A2062" s="3"/>
      <c r="B2062" s="3"/>
      <c r="C2062" s="3" t="s">
        <v>10</v>
      </c>
      <c r="D2062" s="4" t="s">
        <v>1701</v>
      </c>
      <c r="E2062" s="3" t="s">
        <v>1702</v>
      </c>
      <c r="F2062" s="5">
        <v>46218.49930555555</v>
      </c>
      <c r="G2062" s="5">
        <v>46217.81752314815</v>
      </c>
      <c r="H2062" s="3" t="s">
        <v>14</v>
      </c>
      <c r="I2062" s="3">
        <v>0.0</v>
      </c>
      <c r="J2062" s="3" t="s">
        <v>15</v>
      </c>
    </row>
    <row r="2063">
      <c r="A2063" s="3"/>
      <c r="B2063" s="3"/>
      <c r="C2063" s="3" t="s">
        <v>17</v>
      </c>
      <c r="D2063" s="4" t="s">
        <v>1701</v>
      </c>
      <c r="E2063" s="3" t="s">
        <v>1702</v>
      </c>
      <c r="F2063" s="5">
        <v>46218.50625</v>
      </c>
      <c r="G2063" s="5">
        <v>46217.81761574074</v>
      </c>
      <c r="H2063" s="3" t="s">
        <v>14</v>
      </c>
      <c r="I2063" s="7">
        <v>0.0</v>
      </c>
      <c r="J2063" s="3" t="s">
        <v>15</v>
      </c>
    </row>
    <row r="2064">
      <c r="A2064" s="3"/>
      <c r="B2064" s="3"/>
      <c r="C2064" s="3" t="s">
        <v>21</v>
      </c>
      <c r="D2064" s="4" t="s">
        <v>1701</v>
      </c>
      <c r="E2064" s="3" t="s">
        <v>1702</v>
      </c>
      <c r="F2064" s="5">
        <v>46218.61041666667</v>
      </c>
      <c r="G2064" s="5">
        <v>46217.817662037036</v>
      </c>
      <c r="H2064" s="3" t="s">
        <v>14</v>
      </c>
      <c r="I2064" s="7">
        <v>0.0</v>
      </c>
      <c r="J2064" s="3" t="s">
        <v>15</v>
      </c>
    </row>
    <row r="2065">
      <c r="A2065" s="3"/>
      <c r="B2065" s="3"/>
      <c r="C2065" s="3" t="s">
        <v>24</v>
      </c>
      <c r="D2065" s="4" t="s">
        <v>1701</v>
      </c>
      <c r="E2065" s="3" t="s">
        <v>1702</v>
      </c>
      <c r="F2065" s="5">
        <v>46220.61041666667</v>
      </c>
      <c r="G2065" s="5">
        <v>46218.80125</v>
      </c>
      <c r="H2065" s="3" t="s">
        <v>14</v>
      </c>
      <c r="I2065" s="7">
        <v>0.0</v>
      </c>
      <c r="J2065" s="3" t="s">
        <v>15</v>
      </c>
    </row>
    <row r="2066">
      <c r="A2066" s="3"/>
      <c r="B2066" s="3"/>
      <c r="C2066" s="3" t="s">
        <v>26</v>
      </c>
      <c r="D2066" s="4" t="s">
        <v>1701</v>
      </c>
      <c r="E2066" s="3" t="s">
        <v>1702</v>
      </c>
      <c r="F2066" s="5">
        <v>46220.652083333334</v>
      </c>
      <c r="G2066" s="5">
        <v>46218.80127314815</v>
      </c>
      <c r="H2066" s="3" t="s">
        <v>14</v>
      </c>
      <c r="I2066" s="7">
        <v>0.0</v>
      </c>
      <c r="J2066" s="3" t="s">
        <v>15</v>
      </c>
    </row>
    <row r="2067">
      <c r="A2067" s="3"/>
      <c r="B2067" s="3"/>
      <c r="C2067" s="3" t="s">
        <v>10</v>
      </c>
      <c r="D2067" s="4" t="s">
        <v>1705</v>
      </c>
      <c r="E2067" s="3" t="s">
        <v>1660</v>
      </c>
      <c r="F2067" s="5">
        <v>46218.66253472222</v>
      </c>
      <c r="G2067" s="5">
        <v>46218.503333333334</v>
      </c>
      <c r="H2067" s="3" t="s">
        <v>14</v>
      </c>
      <c r="I2067" s="3">
        <v>0.0</v>
      </c>
      <c r="J2067" s="3" t="s">
        <v>61</v>
      </c>
    </row>
    <row r="2068">
      <c r="A2068" s="3"/>
      <c r="B2068" s="3"/>
      <c r="C2068" s="3" t="s">
        <v>17</v>
      </c>
      <c r="D2068" s="4" t="s">
        <v>1705</v>
      </c>
      <c r="E2068" s="3" t="s">
        <v>1660</v>
      </c>
      <c r="F2068" s="5">
        <v>46218.66947916667</v>
      </c>
      <c r="G2068" s="5">
        <v>46218.5033912037</v>
      </c>
      <c r="H2068" s="3" t="s">
        <v>14</v>
      </c>
      <c r="I2068" s="7">
        <v>0.0</v>
      </c>
      <c r="J2068" s="3" t="s">
        <v>61</v>
      </c>
    </row>
    <row r="2069">
      <c r="A2069" s="3"/>
      <c r="B2069" s="3"/>
      <c r="C2069" s="3" t="s">
        <v>21</v>
      </c>
      <c r="D2069" s="4" t="s">
        <v>1705</v>
      </c>
      <c r="E2069" s="3" t="s">
        <v>1660</v>
      </c>
      <c r="F2069" s="5">
        <v>46218.77364583333</v>
      </c>
      <c r="G2069" s="5">
        <v>46218.5034375</v>
      </c>
      <c r="H2069" s="3" t="s">
        <v>14</v>
      </c>
      <c r="I2069" s="7">
        <v>0.0</v>
      </c>
      <c r="J2069" s="3" t="s">
        <v>61</v>
      </c>
    </row>
    <row r="2070">
      <c r="A2070" s="3"/>
      <c r="B2070" s="3"/>
      <c r="C2070" s="3" t="s">
        <v>24</v>
      </c>
      <c r="D2070" s="4" t="s">
        <v>1705</v>
      </c>
      <c r="E2070" s="3" t="s">
        <v>1660</v>
      </c>
      <c r="F2070" s="5">
        <v>46220.77361111111</v>
      </c>
      <c r="G2070" s="5">
        <v>46218.85138888889</v>
      </c>
      <c r="H2070" s="3" t="s">
        <v>14</v>
      </c>
      <c r="I2070" s="7">
        <v>0.0</v>
      </c>
      <c r="J2070" s="3" t="s">
        <v>61</v>
      </c>
    </row>
    <row r="2071">
      <c r="A2071" s="3"/>
      <c r="B2071" s="3"/>
      <c r="C2071" s="3" t="s">
        <v>26</v>
      </c>
      <c r="D2071" s="4" t="s">
        <v>1705</v>
      </c>
      <c r="E2071" s="3" t="s">
        <v>1660</v>
      </c>
      <c r="F2071" s="5">
        <v>46220.81527777778</v>
      </c>
      <c r="G2071" s="5">
        <v>46218.85145833333</v>
      </c>
      <c r="H2071" s="3" t="s">
        <v>14</v>
      </c>
      <c r="I2071" s="7">
        <v>0.0</v>
      </c>
      <c r="J2071" s="3" t="s">
        <v>61</v>
      </c>
    </row>
    <row r="2072">
      <c r="A2072" s="3"/>
      <c r="B2072" s="3"/>
      <c r="C2072" s="3" t="s">
        <v>10</v>
      </c>
      <c r="D2072" s="4" t="s">
        <v>1706</v>
      </c>
      <c r="E2072" s="3" t="s">
        <v>1707</v>
      </c>
      <c r="F2072" s="5">
        <v>46218.68053240741</v>
      </c>
      <c r="G2072" s="5">
        <v>46218.53204861111</v>
      </c>
      <c r="H2072" s="3" t="s">
        <v>14</v>
      </c>
      <c r="I2072" s="3">
        <v>0.0</v>
      </c>
      <c r="J2072" s="3" t="s">
        <v>48</v>
      </c>
    </row>
    <row r="2073">
      <c r="A2073" s="3"/>
      <c r="B2073" s="3"/>
      <c r="C2073" s="3" t="s">
        <v>17</v>
      </c>
      <c r="D2073" s="4" t="s">
        <v>1706</v>
      </c>
      <c r="E2073" s="3" t="s">
        <v>1707</v>
      </c>
      <c r="F2073" s="5">
        <v>46218.687476851854</v>
      </c>
      <c r="G2073" s="5">
        <v>46218.532118055555</v>
      </c>
      <c r="H2073" s="3" t="s">
        <v>14</v>
      </c>
      <c r="I2073" s="7">
        <v>0.0</v>
      </c>
      <c r="J2073" s="3" t="s">
        <v>48</v>
      </c>
    </row>
    <row r="2074">
      <c r="A2074" s="3"/>
      <c r="B2074" s="3"/>
      <c r="C2074" s="3" t="s">
        <v>21</v>
      </c>
      <c r="D2074" s="4" t="s">
        <v>1706</v>
      </c>
      <c r="E2074" s="3" t="s">
        <v>1707</v>
      </c>
      <c r="F2074" s="5">
        <v>46218.79164351852</v>
      </c>
      <c r="G2074" s="5">
        <v>46218.532175925924</v>
      </c>
      <c r="H2074" s="3" t="s">
        <v>14</v>
      </c>
      <c r="I2074" s="7">
        <v>0.0</v>
      </c>
      <c r="J2074" s="3" t="s">
        <v>48</v>
      </c>
    </row>
    <row r="2075">
      <c r="A2075" s="3"/>
      <c r="B2075" s="3"/>
      <c r="C2075" s="3" t="s">
        <v>24</v>
      </c>
      <c r="D2075" s="4" t="s">
        <v>1706</v>
      </c>
      <c r="E2075" s="3" t="s">
        <v>1707</v>
      </c>
      <c r="F2075" s="5">
        <v>46220.790972222225</v>
      </c>
      <c r="G2075" s="5">
        <v>46218.80143518518</v>
      </c>
      <c r="H2075" s="3" t="s">
        <v>14</v>
      </c>
      <c r="I2075" s="7">
        <v>0.0</v>
      </c>
      <c r="J2075" s="3" t="s">
        <v>48</v>
      </c>
    </row>
    <row r="2076">
      <c r="A2076" s="3"/>
      <c r="B2076" s="3"/>
      <c r="C2076" s="3" t="s">
        <v>26</v>
      </c>
      <c r="D2076" s="4" t="s">
        <v>1706</v>
      </c>
      <c r="E2076" s="3" t="s">
        <v>1707</v>
      </c>
      <c r="F2076" s="5">
        <v>46220.83263888889</v>
      </c>
      <c r="G2076" s="5">
        <v>46218.801458333335</v>
      </c>
      <c r="H2076" s="3" t="s">
        <v>14</v>
      </c>
      <c r="I2076" s="7">
        <v>0.0</v>
      </c>
      <c r="J2076" s="3" t="s">
        <v>48</v>
      </c>
    </row>
    <row r="2077">
      <c r="A2077" s="3"/>
      <c r="B2077" s="3"/>
      <c r="C2077" s="3" t="s">
        <v>10</v>
      </c>
      <c r="D2077" s="4" t="s">
        <v>1711</v>
      </c>
      <c r="E2077" s="3" t="s">
        <v>1712</v>
      </c>
      <c r="F2077" s="5">
        <v>46218.74444444444</v>
      </c>
      <c r="G2077" s="5">
        <v>46218.640497685185</v>
      </c>
      <c r="H2077" s="3" t="s">
        <v>14</v>
      </c>
      <c r="I2077" s="3">
        <v>0.0</v>
      </c>
      <c r="J2077" s="3" t="s">
        <v>15</v>
      </c>
    </row>
    <row r="2078">
      <c r="A2078" s="3"/>
      <c r="B2078" s="3"/>
      <c r="C2078" s="3" t="s">
        <v>17</v>
      </c>
      <c r="D2078" s="4" t="s">
        <v>1711</v>
      </c>
      <c r="E2078" s="3" t="s">
        <v>1712</v>
      </c>
      <c r="F2078" s="5">
        <v>46218.751388888886</v>
      </c>
      <c r="G2078" s="5">
        <v>46218.6405787037</v>
      </c>
      <c r="H2078" s="3" t="s">
        <v>14</v>
      </c>
      <c r="I2078" s="7">
        <v>0.0</v>
      </c>
      <c r="J2078" s="3" t="s">
        <v>15</v>
      </c>
    </row>
    <row r="2079">
      <c r="A2079" s="3"/>
      <c r="B2079" s="3"/>
      <c r="C2079" s="3" t="s">
        <v>21</v>
      </c>
      <c r="D2079" s="4" t="s">
        <v>1711</v>
      </c>
      <c r="E2079" s="3" t="s">
        <v>1712</v>
      </c>
      <c r="F2079" s="5">
        <v>46220.41805555556</v>
      </c>
      <c r="G2079" s="5">
        <v>46218.640648148146</v>
      </c>
      <c r="H2079" s="3" t="s">
        <v>14</v>
      </c>
      <c r="I2079" s="7">
        <v>0.0</v>
      </c>
      <c r="J2079" s="3" t="s">
        <v>15</v>
      </c>
    </row>
    <row r="2080">
      <c r="A2080" s="3"/>
      <c r="B2080" s="3"/>
      <c r="C2080" s="3" t="s">
        <v>24</v>
      </c>
      <c r="D2080" s="4" t="s">
        <v>1711</v>
      </c>
      <c r="E2080" s="3" t="s">
        <v>1712</v>
      </c>
      <c r="F2080" s="5">
        <v>46221.41805555556</v>
      </c>
      <c r="G2080" s="5">
        <v>46218.82592592593</v>
      </c>
      <c r="H2080" s="3" t="s">
        <v>14</v>
      </c>
      <c r="I2080" s="7">
        <v>0.0</v>
      </c>
      <c r="J2080" s="3" t="s">
        <v>15</v>
      </c>
    </row>
    <row r="2081">
      <c r="A2081" s="3"/>
      <c r="B2081" s="3"/>
      <c r="C2081" s="3" t="s">
        <v>26</v>
      </c>
      <c r="D2081" s="4" t="s">
        <v>1711</v>
      </c>
      <c r="E2081" s="3" t="s">
        <v>1712</v>
      </c>
      <c r="F2081" s="5">
        <v>46221.45972222222</v>
      </c>
      <c r="G2081" s="5">
        <v>46218.82597222222</v>
      </c>
      <c r="H2081" s="3" t="s">
        <v>14</v>
      </c>
      <c r="I2081" s="7">
        <v>0.0</v>
      </c>
      <c r="J2081" s="3" t="s">
        <v>15</v>
      </c>
    </row>
    <row r="2082">
      <c r="A2082" s="3"/>
      <c r="B2082" s="3"/>
      <c r="C2082" s="3" t="s">
        <v>10</v>
      </c>
      <c r="D2082" s="4" t="s">
        <v>1714</v>
      </c>
      <c r="E2082" s="3" t="s">
        <v>1716</v>
      </c>
      <c r="F2082" s="5">
        <v>46218.76193287037</v>
      </c>
      <c r="G2082" s="5">
        <v>46218.64078703704</v>
      </c>
      <c r="H2082" s="3" t="s">
        <v>14</v>
      </c>
      <c r="I2082" s="3">
        <v>0.0</v>
      </c>
      <c r="J2082" s="3" t="s">
        <v>48</v>
      </c>
    </row>
    <row r="2083">
      <c r="A2083" s="3"/>
      <c r="B2083" s="3"/>
      <c r="C2083" s="3" t="s">
        <v>17</v>
      </c>
      <c r="D2083" s="4" t="s">
        <v>1714</v>
      </c>
      <c r="E2083" s="3" t="s">
        <v>1716</v>
      </c>
      <c r="F2083" s="5">
        <v>46218.76887731482</v>
      </c>
      <c r="G2083" s="5">
        <v>46218.640856481485</v>
      </c>
      <c r="H2083" s="3" t="s">
        <v>14</v>
      </c>
      <c r="I2083" s="7">
        <v>0.0</v>
      </c>
      <c r="J2083" s="3" t="s">
        <v>48</v>
      </c>
    </row>
    <row r="2084">
      <c r="A2084" s="3"/>
      <c r="B2084" s="3"/>
      <c r="C2084" s="3" t="s">
        <v>21</v>
      </c>
      <c r="D2084" s="4" t="s">
        <v>1714</v>
      </c>
      <c r="E2084" s="3" t="s">
        <v>1716</v>
      </c>
      <c r="F2084" s="5">
        <v>46220.43541666667</v>
      </c>
      <c r="G2084" s="5">
        <v>46218.64087962963</v>
      </c>
      <c r="H2084" s="3" t="s">
        <v>14</v>
      </c>
      <c r="I2084" s="7">
        <v>0.0</v>
      </c>
      <c r="J2084" s="3" t="s">
        <v>48</v>
      </c>
    </row>
    <row r="2085">
      <c r="A2085" s="3"/>
      <c r="B2085" s="3"/>
      <c r="C2085" s="3" t="s">
        <v>24</v>
      </c>
      <c r="D2085" s="4" t="s">
        <v>1714</v>
      </c>
      <c r="E2085" s="3" t="s">
        <v>1716</v>
      </c>
      <c r="F2085" s="5">
        <v>46221.43541666667</v>
      </c>
      <c r="G2085" s="5">
        <v>46218.64104166667</v>
      </c>
      <c r="H2085" s="3" t="s">
        <v>14</v>
      </c>
      <c r="I2085" s="7">
        <v>0.0</v>
      </c>
      <c r="J2085" s="3" t="s">
        <v>48</v>
      </c>
    </row>
    <row r="2086">
      <c r="A2086" s="3"/>
      <c r="B2086" s="3"/>
      <c r="C2086" s="3" t="s">
        <v>26</v>
      </c>
      <c r="D2086" s="4" t="s">
        <v>1714</v>
      </c>
      <c r="E2086" s="3" t="s">
        <v>1716</v>
      </c>
      <c r="F2086" s="5">
        <v>46221.47708333333</v>
      </c>
      <c r="G2086" s="5">
        <v>46220.66693287037</v>
      </c>
      <c r="H2086" s="3" t="s">
        <v>14</v>
      </c>
      <c r="I2086" s="7">
        <v>0.0</v>
      </c>
      <c r="J2086" s="3" t="s">
        <v>48</v>
      </c>
    </row>
    <row r="2087">
      <c r="A2087" s="3"/>
      <c r="B2087" s="3"/>
      <c r="C2087" s="3" t="s">
        <v>10</v>
      </c>
      <c r="D2087" s="4" t="s">
        <v>1719</v>
      </c>
      <c r="E2087" s="3" t="s">
        <v>913</v>
      </c>
      <c r="F2087" s="5">
        <v>46218.81539351852</v>
      </c>
      <c r="G2087" s="5">
        <v>46218.684953703705</v>
      </c>
      <c r="H2087" s="3" t="s">
        <v>14</v>
      </c>
      <c r="I2087" s="3">
        <v>0.0</v>
      </c>
      <c r="J2087" s="3" t="s">
        <v>48</v>
      </c>
    </row>
    <row r="2088">
      <c r="A2088" s="3"/>
      <c r="B2088" s="3"/>
      <c r="C2088" s="3" t="s">
        <v>17</v>
      </c>
      <c r="D2088" s="4" t="s">
        <v>1719</v>
      </c>
      <c r="E2088" s="3" t="s">
        <v>913</v>
      </c>
      <c r="F2088" s="5">
        <v>46218.82233796296</v>
      </c>
      <c r="G2088" s="5">
        <v>46218.68503472222</v>
      </c>
      <c r="H2088" s="3" t="s">
        <v>14</v>
      </c>
      <c r="I2088" s="7">
        <v>0.0</v>
      </c>
      <c r="J2088" s="3" t="s">
        <v>48</v>
      </c>
    </row>
    <row r="2089">
      <c r="A2089" s="3"/>
      <c r="B2089" s="3"/>
      <c r="C2089" s="3" t="s">
        <v>21</v>
      </c>
      <c r="D2089" s="4" t="s">
        <v>1719</v>
      </c>
      <c r="E2089" s="3" t="s">
        <v>913</v>
      </c>
      <c r="F2089" s="5">
        <v>46220.53055555555</v>
      </c>
      <c r="G2089" s="5">
        <v>46218.68508101852</v>
      </c>
      <c r="H2089" s="3" t="s">
        <v>14</v>
      </c>
      <c r="I2089" s="7">
        <v>0.0</v>
      </c>
      <c r="J2089" s="3" t="s">
        <v>48</v>
      </c>
    </row>
    <row r="2090">
      <c r="A2090" s="3"/>
      <c r="B2090" s="3"/>
      <c r="C2090" s="3" t="s">
        <v>24</v>
      </c>
      <c r="D2090" s="4" t="s">
        <v>1719</v>
      </c>
      <c r="E2090" s="3" t="s">
        <v>913</v>
      </c>
      <c r="F2090" s="5">
        <v>46221.53055555555</v>
      </c>
      <c r="G2090" s="5">
        <v>46220.666875</v>
      </c>
      <c r="H2090" s="3" t="s">
        <v>14</v>
      </c>
      <c r="I2090" s="7">
        <v>0.0</v>
      </c>
      <c r="J2090" s="3" t="s">
        <v>48</v>
      </c>
    </row>
    <row r="2091">
      <c r="A2091" s="3"/>
      <c r="B2091" s="3"/>
      <c r="C2091" s="3" t="s">
        <v>26</v>
      </c>
      <c r="D2091" s="4" t="s">
        <v>1719</v>
      </c>
      <c r="E2091" s="3" t="s">
        <v>913</v>
      </c>
      <c r="F2091" s="5">
        <v>46221.572222222225</v>
      </c>
      <c r="G2091" s="5">
        <v>46220.66694444444</v>
      </c>
      <c r="H2091" s="3" t="s">
        <v>14</v>
      </c>
      <c r="I2091" s="7">
        <v>0.0</v>
      </c>
      <c r="J2091" s="3" t="s">
        <v>48</v>
      </c>
    </row>
    <row r="2092">
      <c r="A2092" s="3"/>
      <c r="B2092" s="3"/>
      <c r="C2092" s="3" t="s">
        <v>10</v>
      </c>
      <c r="D2092" s="4" t="s">
        <v>1725</v>
      </c>
      <c r="E2092" s="3" t="s">
        <v>166</v>
      </c>
      <c r="F2092" s="5">
        <v>46220.42222222222</v>
      </c>
      <c r="G2092" s="5">
        <v>46218.68512731481</v>
      </c>
      <c r="H2092" s="3" t="s">
        <v>14</v>
      </c>
      <c r="I2092" s="3">
        <v>0.0</v>
      </c>
      <c r="J2092" s="3" t="s">
        <v>15</v>
      </c>
    </row>
    <row r="2093">
      <c r="A2093" s="3"/>
      <c r="B2093" s="3"/>
      <c r="C2093" s="3" t="s">
        <v>17</v>
      </c>
      <c r="D2093" s="4" t="s">
        <v>1725</v>
      </c>
      <c r="E2093" s="3" t="s">
        <v>166</v>
      </c>
      <c r="F2093" s="5">
        <v>46220.42916666667</v>
      </c>
      <c r="G2093" s="5">
        <v>46218.68525462963</v>
      </c>
      <c r="H2093" s="3" t="s">
        <v>14</v>
      </c>
      <c r="I2093" s="7">
        <v>0.0</v>
      </c>
      <c r="J2093" s="3" t="s">
        <v>15</v>
      </c>
    </row>
    <row r="2094">
      <c r="A2094" s="3"/>
      <c r="B2094" s="3"/>
      <c r="C2094" s="3" t="s">
        <v>21</v>
      </c>
      <c r="D2094" s="4" t="s">
        <v>1725</v>
      </c>
      <c r="E2094" s="3" t="s">
        <v>166</v>
      </c>
      <c r="F2094" s="5">
        <v>46220.53333333333</v>
      </c>
      <c r="G2094" s="5">
        <v>46218.685381944444</v>
      </c>
      <c r="H2094" s="3" t="s">
        <v>14</v>
      </c>
      <c r="I2094" s="7">
        <v>0.0</v>
      </c>
      <c r="J2094" s="3" t="s">
        <v>15</v>
      </c>
    </row>
    <row r="2095">
      <c r="A2095" s="3"/>
      <c r="B2095" s="3"/>
      <c r="C2095" s="3" t="s">
        <v>24</v>
      </c>
      <c r="D2095" s="4" t="s">
        <v>1725</v>
      </c>
      <c r="E2095" s="3" t="s">
        <v>166</v>
      </c>
      <c r="F2095" s="5">
        <v>46221.53333333333</v>
      </c>
      <c r="G2095" s="5">
        <v>46218.82672453704</v>
      </c>
      <c r="H2095" s="3" t="s">
        <v>14</v>
      </c>
      <c r="I2095" s="7">
        <v>0.0</v>
      </c>
      <c r="J2095" s="3" t="s">
        <v>15</v>
      </c>
    </row>
    <row r="2096">
      <c r="A2096" s="3"/>
      <c r="B2096" s="3"/>
      <c r="C2096" s="3" t="s">
        <v>26</v>
      </c>
      <c r="D2096" s="4" t="s">
        <v>1725</v>
      </c>
      <c r="E2096" s="3" t="s">
        <v>166</v>
      </c>
      <c r="F2096" s="5">
        <v>46221.575</v>
      </c>
      <c r="G2096" s="5">
        <v>46218.82674768518</v>
      </c>
      <c r="H2096" s="3" t="s">
        <v>14</v>
      </c>
      <c r="I2096" s="7">
        <v>0.0</v>
      </c>
      <c r="J2096" s="3" t="s">
        <v>15</v>
      </c>
    </row>
    <row r="2097">
      <c r="A2097" s="3"/>
      <c r="B2097" s="3"/>
      <c r="C2097" s="3" t="s">
        <v>10</v>
      </c>
      <c r="D2097" s="4" t="s">
        <v>1730</v>
      </c>
      <c r="E2097" s="3" t="s">
        <v>1731</v>
      </c>
      <c r="F2097" s="5">
        <v>46219.648368055554</v>
      </c>
      <c r="G2097" s="5">
        <v>46219.48181712963</v>
      </c>
      <c r="H2097" s="3" t="s">
        <v>14</v>
      </c>
      <c r="I2097" s="3">
        <v>0.0</v>
      </c>
      <c r="J2097" s="3" t="s">
        <v>15</v>
      </c>
    </row>
    <row r="2098">
      <c r="A2098" s="3"/>
      <c r="B2098" s="3"/>
      <c r="C2098" s="3" t="s">
        <v>17</v>
      </c>
      <c r="D2098" s="4" t="s">
        <v>1730</v>
      </c>
      <c r="E2098" s="3" t="s">
        <v>1731</v>
      </c>
      <c r="F2098" s="5">
        <v>46219.6553125</v>
      </c>
      <c r="G2098" s="5">
        <v>46219.481875</v>
      </c>
      <c r="H2098" s="3" t="s">
        <v>14</v>
      </c>
      <c r="I2098" s="7">
        <v>0.0</v>
      </c>
      <c r="J2098" s="3" t="s">
        <v>15</v>
      </c>
    </row>
    <row r="2099">
      <c r="A2099" s="3"/>
      <c r="B2099" s="3"/>
      <c r="C2099" s="3" t="s">
        <v>21</v>
      </c>
      <c r="D2099" s="4" t="s">
        <v>1730</v>
      </c>
      <c r="E2099" s="3" t="s">
        <v>1731</v>
      </c>
      <c r="F2099" s="5">
        <v>46219.75947916666</v>
      </c>
      <c r="G2099" s="5">
        <v>46219.55883101852</v>
      </c>
      <c r="H2099" s="3" t="s">
        <v>14</v>
      </c>
      <c r="I2099" s="7">
        <v>0.0</v>
      </c>
      <c r="J2099" s="3" t="s">
        <v>15</v>
      </c>
    </row>
    <row r="2100">
      <c r="A2100" s="3"/>
      <c r="B2100" s="3"/>
      <c r="C2100" s="3" t="s">
        <v>24</v>
      </c>
      <c r="D2100" s="4" t="s">
        <v>1730</v>
      </c>
      <c r="E2100" s="3" t="s">
        <v>1731</v>
      </c>
      <c r="F2100" s="5">
        <v>46220.75902777778</v>
      </c>
      <c r="G2100" s="5">
        <v>46219.55893518519</v>
      </c>
      <c r="H2100" s="3" t="s">
        <v>14</v>
      </c>
      <c r="I2100" s="7">
        <v>0.0</v>
      </c>
      <c r="J2100" s="3" t="s">
        <v>15</v>
      </c>
    </row>
    <row r="2101">
      <c r="A2101" s="3"/>
      <c r="B2101" s="3"/>
      <c r="C2101" s="3" t="s">
        <v>26</v>
      </c>
      <c r="D2101" s="4" t="s">
        <v>1730</v>
      </c>
      <c r="E2101" s="3" t="s">
        <v>1731</v>
      </c>
      <c r="F2101" s="5">
        <v>46220.80069444444</v>
      </c>
      <c r="G2101" s="5">
        <v>46219.59079861111</v>
      </c>
      <c r="H2101" s="3" t="s">
        <v>14</v>
      </c>
      <c r="I2101" s="7">
        <v>0.0</v>
      </c>
      <c r="J2101" s="3" t="s">
        <v>15</v>
      </c>
    </row>
    <row r="2102">
      <c r="A2102" s="3"/>
      <c r="B2102" s="3"/>
      <c r="C2102" s="3" t="s">
        <v>10</v>
      </c>
      <c r="D2102" s="4" t="s">
        <v>1733</v>
      </c>
      <c r="E2102" s="3" t="s">
        <v>660</v>
      </c>
      <c r="F2102" s="5">
        <v>46219.7215625</v>
      </c>
      <c r="G2102" s="5">
        <v>46219.558645833335</v>
      </c>
      <c r="H2102" s="3" t="s">
        <v>14</v>
      </c>
      <c r="I2102" s="3">
        <v>0.0</v>
      </c>
      <c r="J2102" s="3" t="s">
        <v>15</v>
      </c>
    </row>
    <row r="2103">
      <c r="A2103" s="3"/>
      <c r="B2103" s="3"/>
      <c r="C2103" s="3" t="s">
        <v>17</v>
      </c>
      <c r="D2103" s="4" t="s">
        <v>1733</v>
      </c>
      <c r="E2103" s="3" t="s">
        <v>660</v>
      </c>
      <c r="F2103" s="5">
        <v>46219.72850694445</v>
      </c>
      <c r="G2103" s="5">
        <v>46219.55873842593</v>
      </c>
      <c r="H2103" s="3" t="s">
        <v>14</v>
      </c>
      <c r="I2103" s="7">
        <v>0.0</v>
      </c>
      <c r="J2103" s="3" t="s">
        <v>15</v>
      </c>
    </row>
    <row r="2104">
      <c r="A2104" s="3"/>
      <c r="B2104" s="3"/>
      <c r="C2104" s="3" t="s">
        <v>21</v>
      </c>
      <c r="D2104" s="4" t="s">
        <v>1733</v>
      </c>
      <c r="E2104" s="3" t="s">
        <v>660</v>
      </c>
      <c r="F2104" s="5">
        <v>46219.83267361111</v>
      </c>
      <c r="G2104" s="5">
        <v>46219.558842592596</v>
      </c>
      <c r="H2104" s="3" t="s">
        <v>14</v>
      </c>
      <c r="I2104" s="7">
        <v>0.0</v>
      </c>
      <c r="J2104" s="3" t="s">
        <v>15</v>
      </c>
    </row>
    <row r="2105">
      <c r="A2105" s="3"/>
      <c r="B2105" s="3"/>
      <c r="C2105" s="3" t="s">
        <v>24</v>
      </c>
      <c r="D2105" s="4" t="s">
        <v>1733</v>
      </c>
      <c r="E2105" s="3" t="s">
        <v>660</v>
      </c>
      <c r="F2105" s="5">
        <v>46220.83263888889</v>
      </c>
      <c r="G2105" s="5">
        <v>46219.59086805556</v>
      </c>
      <c r="H2105" s="3" t="s">
        <v>14</v>
      </c>
      <c r="I2105" s="7">
        <v>0.0</v>
      </c>
      <c r="J2105" s="3" t="s">
        <v>15</v>
      </c>
    </row>
    <row r="2106">
      <c r="A2106" s="3"/>
      <c r="B2106" s="3"/>
      <c r="C2106" s="3" t="s">
        <v>26</v>
      </c>
      <c r="D2106" s="4" t="s">
        <v>1733</v>
      </c>
      <c r="E2106" s="3" t="s">
        <v>660</v>
      </c>
      <c r="F2106" s="5">
        <v>46221.45763888889</v>
      </c>
      <c r="G2106" s="5">
        <v>46219.59082175926</v>
      </c>
      <c r="H2106" s="3" t="s">
        <v>14</v>
      </c>
      <c r="I2106" s="7">
        <v>0.0</v>
      </c>
      <c r="J2106" s="3" t="s">
        <v>15</v>
      </c>
    </row>
    <row r="2107">
      <c r="A2107" s="3"/>
      <c r="B2107" s="3"/>
      <c r="C2107" s="3" t="s">
        <v>10</v>
      </c>
      <c r="D2107" s="4" t="s">
        <v>1737</v>
      </c>
      <c r="E2107" s="3" t="s">
        <v>1738</v>
      </c>
      <c r="F2107" s="5">
        <v>46219.764756944445</v>
      </c>
      <c r="G2107" s="5">
        <v>46219.71252314815</v>
      </c>
      <c r="H2107" s="3" t="s">
        <v>14</v>
      </c>
      <c r="I2107" s="3">
        <v>0.0</v>
      </c>
      <c r="J2107" s="3" t="s">
        <v>15</v>
      </c>
    </row>
    <row r="2108">
      <c r="A2108" s="3"/>
      <c r="B2108" s="3"/>
      <c r="C2108" s="3" t="s">
        <v>17</v>
      </c>
      <c r="D2108" s="4" t="s">
        <v>1737</v>
      </c>
      <c r="E2108" s="3" t="s">
        <v>1738</v>
      </c>
      <c r="F2108" s="5">
        <v>46219.77170138889</v>
      </c>
      <c r="G2108" s="5">
        <v>46219.71325231482</v>
      </c>
      <c r="H2108" s="3" t="s">
        <v>14</v>
      </c>
      <c r="I2108" s="7">
        <v>0.0</v>
      </c>
      <c r="J2108" s="3" t="s">
        <v>15</v>
      </c>
    </row>
    <row r="2109">
      <c r="A2109" s="3"/>
      <c r="B2109" s="3"/>
      <c r="C2109" s="3" t="s">
        <v>21</v>
      </c>
      <c r="D2109" s="4" t="s">
        <v>1737</v>
      </c>
      <c r="E2109" s="3" t="s">
        <v>1738</v>
      </c>
      <c r="F2109" s="5">
        <v>46220.47986111111</v>
      </c>
      <c r="G2109" s="5">
        <v>46219.713483796295</v>
      </c>
      <c r="H2109" s="3" t="s">
        <v>14</v>
      </c>
      <c r="I2109" s="7">
        <v>0.0</v>
      </c>
      <c r="J2109" s="3" t="s">
        <v>15</v>
      </c>
    </row>
    <row r="2110">
      <c r="A2110" s="3"/>
      <c r="B2110" s="3"/>
      <c r="C2110" s="3" t="s">
        <v>24</v>
      </c>
      <c r="D2110" s="4" t="s">
        <v>1737</v>
      </c>
      <c r="E2110" s="3" t="s">
        <v>1738</v>
      </c>
      <c r="F2110" s="5">
        <v>46221.47986111111</v>
      </c>
      <c r="G2110" s="5">
        <v>46220.60778935185</v>
      </c>
      <c r="H2110" s="3" t="s">
        <v>14</v>
      </c>
      <c r="I2110" s="7">
        <v>0.0</v>
      </c>
      <c r="J2110" s="3" t="s">
        <v>15</v>
      </c>
    </row>
    <row r="2111">
      <c r="A2111" s="3"/>
      <c r="B2111" s="3"/>
      <c r="C2111" s="3" t="s">
        <v>26</v>
      </c>
      <c r="D2111" s="4" t="s">
        <v>1737</v>
      </c>
      <c r="E2111" s="3" t="s">
        <v>1738</v>
      </c>
      <c r="F2111" s="5">
        <v>46221.521527777775</v>
      </c>
      <c r="G2111" s="5">
        <v>46220.6078125</v>
      </c>
      <c r="H2111" s="3" t="s">
        <v>14</v>
      </c>
      <c r="I2111" s="7">
        <v>0.0</v>
      </c>
      <c r="J2111" s="3" t="s">
        <v>15</v>
      </c>
    </row>
    <row r="2112">
      <c r="A2112" s="3"/>
      <c r="B2112" s="3"/>
      <c r="C2112" s="3" t="s">
        <v>10</v>
      </c>
      <c r="D2112" s="4" t="s">
        <v>1743</v>
      </c>
      <c r="E2112" s="3" t="s">
        <v>1744</v>
      </c>
      <c r="F2112" s="5">
        <v>46219.77591435185</v>
      </c>
      <c r="G2112" s="5">
        <v>46219.71258101852</v>
      </c>
      <c r="H2112" s="3" t="s">
        <v>14</v>
      </c>
      <c r="I2112" s="3">
        <v>0.0</v>
      </c>
      <c r="J2112" s="3" t="s">
        <v>61</v>
      </c>
    </row>
    <row r="2113">
      <c r="A2113" s="3"/>
      <c r="B2113" s="3"/>
      <c r="C2113" s="3" t="s">
        <v>17</v>
      </c>
      <c r="D2113" s="4" t="s">
        <v>1743</v>
      </c>
      <c r="E2113" s="3" t="s">
        <v>1744</v>
      </c>
      <c r="F2113" s="5">
        <v>46219.782858796294</v>
      </c>
      <c r="G2113" s="5">
        <v>46219.71329861111</v>
      </c>
      <c r="H2113" s="3" t="s">
        <v>14</v>
      </c>
      <c r="I2113" s="7">
        <v>0.0</v>
      </c>
      <c r="J2113" s="3" t="s">
        <v>61</v>
      </c>
    </row>
    <row r="2114">
      <c r="A2114" s="3"/>
      <c r="B2114" s="3"/>
      <c r="C2114" s="3" t="s">
        <v>21</v>
      </c>
      <c r="D2114" s="4" t="s">
        <v>1743</v>
      </c>
      <c r="E2114" s="3" t="s">
        <v>1744</v>
      </c>
      <c r="F2114" s="5">
        <v>46220.49097222222</v>
      </c>
      <c r="G2114" s="5">
        <v>46219.71349537037</v>
      </c>
      <c r="H2114" s="3" t="s">
        <v>14</v>
      </c>
      <c r="I2114" s="7">
        <v>0.0</v>
      </c>
      <c r="J2114" s="3" t="s">
        <v>61</v>
      </c>
    </row>
    <row r="2115">
      <c r="A2115" s="3"/>
      <c r="B2115" s="3"/>
      <c r="C2115" s="3" t="s">
        <v>24</v>
      </c>
      <c r="D2115" s="4" t="s">
        <v>1743</v>
      </c>
      <c r="E2115" s="3" t="s">
        <v>1744</v>
      </c>
      <c r="F2115" s="5">
        <v>46221.49097222222</v>
      </c>
      <c r="G2115" s="5">
        <v>46220.607835648145</v>
      </c>
      <c r="H2115" s="3" t="s">
        <v>14</v>
      </c>
      <c r="I2115" s="7">
        <v>0.0</v>
      </c>
      <c r="J2115" s="3" t="s">
        <v>61</v>
      </c>
    </row>
    <row r="2116">
      <c r="A2116" s="3"/>
      <c r="B2116" s="3"/>
      <c r="C2116" s="3" t="s">
        <v>26</v>
      </c>
      <c r="D2116" s="4" t="s">
        <v>1743</v>
      </c>
      <c r="E2116" s="3" t="s">
        <v>1744</v>
      </c>
      <c r="F2116" s="5">
        <v>46221.532638888886</v>
      </c>
      <c r="G2116" s="5">
        <v>46220.6078587963</v>
      </c>
      <c r="H2116" s="3" t="s">
        <v>14</v>
      </c>
      <c r="I2116" s="7">
        <v>0.0</v>
      </c>
      <c r="J2116" s="3" t="s">
        <v>61</v>
      </c>
    </row>
    <row r="2117">
      <c r="A2117" s="3"/>
      <c r="B2117" s="3"/>
      <c r="C2117" s="3" t="s">
        <v>10</v>
      </c>
      <c r="D2117" s="4" t="s">
        <v>1747</v>
      </c>
      <c r="E2117" s="3" t="s">
        <v>1748</v>
      </c>
      <c r="F2117" s="5">
        <v>46219.77700231481</v>
      </c>
      <c r="G2117" s="5">
        <v>46219.71263888889</v>
      </c>
      <c r="H2117" s="3" t="s">
        <v>14</v>
      </c>
      <c r="I2117" s="3">
        <v>0.0</v>
      </c>
      <c r="J2117" s="3" t="s">
        <v>15</v>
      </c>
    </row>
    <row r="2118">
      <c r="A2118" s="3"/>
      <c r="B2118" s="3"/>
      <c r="C2118" s="3" t="s">
        <v>17</v>
      </c>
      <c r="D2118" s="4" t="s">
        <v>1747</v>
      </c>
      <c r="E2118" s="3" t="s">
        <v>1748</v>
      </c>
      <c r="F2118" s="5">
        <v>46219.78394675926</v>
      </c>
      <c r="G2118" s="5">
        <v>46219.713321759256</v>
      </c>
      <c r="H2118" s="3" t="s">
        <v>14</v>
      </c>
      <c r="I2118" s="7">
        <v>0.0</v>
      </c>
      <c r="J2118" s="3" t="s">
        <v>15</v>
      </c>
    </row>
    <row r="2119">
      <c r="A2119" s="3"/>
      <c r="B2119" s="3"/>
      <c r="C2119" s="3" t="s">
        <v>21</v>
      </c>
      <c r="D2119" s="4" t="s">
        <v>1747</v>
      </c>
      <c r="E2119" s="3" t="s">
        <v>1748</v>
      </c>
      <c r="F2119" s="5">
        <v>46220.49166666667</v>
      </c>
      <c r="G2119" s="5">
        <v>46219.71351851852</v>
      </c>
      <c r="H2119" s="3" t="s">
        <v>14</v>
      </c>
      <c r="I2119" s="7">
        <v>0.0</v>
      </c>
      <c r="J2119" s="3" t="s">
        <v>15</v>
      </c>
    </row>
    <row r="2120">
      <c r="A2120" s="3"/>
      <c r="B2120" s="3"/>
      <c r="C2120" s="3" t="s">
        <v>24</v>
      </c>
      <c r="D2120" s="4" t="s">
        <v>1747</v>
      </c>
      <c r="E2120" s="3" t="s">
        <v>1748</v>
      </c>
      <c r="F2120" s="5">
        <v>46221.49166666667</v>
      </c>
      <c r="G2120" s="5">
        <v>46220.60792824074</v>
      </c>
      <c r="H2120" s="3" t="s">
        <v>14</v>
      </c>
      <c r="I2120" s="7">
        <v>0.0</v>
      </c>
      <c r="J2120" s="3" t="s">
        <v>15</v>
      </c>
    </row>
    <row r="2121">
      <c r="A2121" s="3"/>
      <c r="B2121" s="3"/>
      <c r="C2121" s="3" t="s">
        <v>26</v>
      </c>
      <c r="D2121" s="4" t="s">
        <v>1747</v>
      </c>
      <c r="E2121" s="3" t="s">
        <v>1748</v>
      </c>
      <c r="F2121" s="5">
        <v>46221.53333333333</v>
      </c>
      <c r="G2121" s="5">
        <v>46220.60795138889</v>
      </c>
      <c r="H2121" s="3" t="s">
        <v>14</v>
      </c>
      <c r="I2121" s="7">
        <v>0.0</v>
      </c>
      <c r="J2121" s="3" t="s">
        <v>15</v>
      </c>
    </row>
    <row r="2122">
      <c r="A2122" s="3"/>
      <c r="B2122" s="3"/>
      <c r="C2122" s="3" t="s">
        <v>10</v>
      </c>
      <c r="D2122" s="4" t="s">
        <v>1753</v>
      </c>
      <c r="E2122" s="3" t="s">
        <v>694</v>
      </c>
      <c r="F2122" s="5">
        <v>46220.41875</v>
      </c>
      <c r="G2122" s="5">
        <v>46219.71271990741</v>
      </c>
      <c r="H2122" s="3" t="s">
        <v>14</v>
      </c>
      <c r="I2122" s="3">
        <v>0.0</v>
      </c>
      <c r="J2122" s="3" t="s">
        <v>15</v>
      </c>
    </row>
    <row r="2123">
      <c r="A2123" s="3"/>
      <c r="B2123" s="3"/>
      <c r="C2123" s="3" t="s">
        <v>17</v>
      </c>
      <c r="D2123" s="4" t="s">
        <v>1753</v>
      </c>
      <c r="E2123" s="3" t="s">
        <v>694</v>
      </c>
      <c r="F2123" s="5">
        <v>46220.42569444444</v>
      </c>
      <c r="G2123" s="5">
        <v>46219.71333333333</v>
      </c>
      <c r="H2123" s="3" t="s">
        <v>14</v>
      </c>
      <c r="I2123" s="7">
        <v>0.0</v>
      </c>
      <c r="J2123" s="3" t="s">
        <v>15</v>
      </c>
    </row>
    <row r="2124">
      <c r="A2124" s="3"/>
      <c r="B2124" s="3"/>
      <c r="C2124" s="3" t="s">
        <v>21</v>
      </c>
      <c r="D2124" s="4" t="s">
        <v>1753</v>
      </c>
      <c r="E2124" s="3" t="s">
        <v>694</v>
      </c>
      <c r="F2124" s="5">
        <v>46220.529861111114</v>
      </c>
      <c r="G2124" s="5">
        <v>46219.713541666664</v>
      </c>
      <c r="H2124" s="3" t="s">
        <v>14</v>
      </c>
      <c r="I2124" s="7">
        <v>0.0</v>
      </c>
      <c r="J2124" s="3" t="s">
        <v>15</v>
      </c>
    </row>
    <row r="2125">
      <c r="A2125" s="3"/>
      <c r="B2125" s="3"/>
      <c r="C2125" s="3" t="s">
        <v>24</v>
      </c>
      <c r="D2125" s="4" t="s">
        <v>1753</v>
      </c>
      <c r="E2125" s="3" t="s">
        <v>694</v>
      </c>
      <c r="F2125" s="5">
        <v>46221.529861111114</v>
      </c>
      <c r="G2125" s="5">
        <v>46220.60803240741</v>
      </c>
      <c r="H2125" s="3" t="s">
        <v>14</v>
      </c>
      <c r="I2125" s="7">
        <v>0.0</v>
      </c>
      <c r="J2125" s="3" t="s">
        <v>15</v>
      </c>
    </row>
    <row r="2126">
      <c r="A2126" s="3"/>
      <c r="B2126" s="3"/>
      <c r="C2126" s="3" t="s">
        <v>26</v>
      </c>
      <c r="D2126" s="4" t="s">
        <v>1753</v>
      </c>
      <c r="E2126" s="3" t="s">
        <v>694</v>
      </c>
      <c r="F2126" s="5">
        <v>46221.57152777778</v>
      </c>
      <c r="G2126" s="5">
        <v>46220.608090277776</v>
      </c>
      <c r="H2126" s="3" t="s">
        <v>14</v>
      </c>
      <c r="I2126" s="7">
        <v>0.0</v>
      </c>
      <c r="J2126" s="3" t="s">
        <v>15</v>
      </c>
    </row>
    <row r="2127">
      <c r="A2127" s="3"/>
      <c r="B2127" s="3"/>
      <c r="C2127" s="3" t="s">
        <v>10</v>
      </c>
      <c r="D2127" s="4" t="s">
        <v>1758</v>
      </c>
      <c r="E2127" s="3" t="s">
        <v>1759</v>
      </c>
      <c r="F2127" s="5">
        <v>46220.43541666667</v>
      </c>
      <c r="G2127" s="5">
        <v>46219.71306712963</v>
      </c>
      <c r="H2127" s="3" t="s">
        <v>14</v>
      </c>
      <c r="I2127" s="3">
        <v>0.0</v>
      </c>
      <c r="J2127" s="3" t="s">
        <v>72</v>
      </c>
    </row>
    <row r="2128">
      <c r="A2128" s="3"/>
      <c r="B2128" s="3"/>
      <c r="C2128" s="3" t="s">
        <v>17</v>
      </c>
      <c r="D2128" s="4" t="s">
        <v>1758</v>
      </c>
      <c r="E2128" s="3" t="s">
        <v>1759</v>
      </c>
      <c r="F2128" s="5">
        <v>46220.44236111111</v>
      </c>
      <c r="G2128" s="5">
        <v>46219.71365740741</v>
      </c>
      <c r="H2128" s="3" t="s">
        <v>14</v>
      </c>
      <c r="I2128" s="7">
        <v>0.0</v>
      </c>
      <c r="J2128" s="3" t="s">
        <v>72</v>
      </c>
    </row>
    <row r="2129">
      <c r="A2129" s="3"/>
      <c r="B2129" s="3"/>
      <c r="C2129" s="3" t="s">
        <v>21</v>
      </c>
      <c r="D2129" s="4" t="s">
        <v>1758</v>
      </c>
      <c r="E2129" s="3" t="s">
        <v>1759</v>
      </c>
      <c r="F2129" s="5">
        <v>46220.54652777778</v>
      </c>
      <c r="G2129" s="5">
        <v>46219.714212962965</v>
      </c>
      <c r="H2129" s="3" t="s">
        <v>14</v>
      </c>
      <c r="I2129" s="7">
        <v>0.0</v>
      </c>
      <c r="J2129" s="3" t="s">
        <v>72</v>
      </c>
    </row>
    <row r="2130">
      <c r="A2130" s="3"/>
      <c r="B2130" s="3"/>
      <c r="C2130" s="3" t="s">
        <v>24</v>
      </c>
      <c r="D2130" s="4" t="s">
        <v>1758</v>
      </c>
      <c r="E2130" s="3" t="s">
        <v>1759</v>
      </c>
      <c r="F2130" s="5">
        <v>46221.54652777778</v>
      </c>
      <c r="G2130" s="5">
        <v>46220.78761574074</v>
      </c>
      <c r="H2130" s="3" t="s">
        <v>14</v>
      </c>
      <c r="I2130" s="7">
        <v>0.0</v>
      </c>
      <c r="J2130" s="3" t="s">
        <v>72</v>
      </c>
    </row>
    <row r="2131">
      <c r="A2131" s="3"/>
      <c r="B2131" s="3"/>
      <c r="C2131" s="3" t="s">
        <v>26</v>
      </c>
      <c r="D2131" s="4" t="s">
        <v>1758</v>
      </c>
      <c r="E2131" s="3" t="s">
        <v>1759</v>
      </c>
      <c r="F2131" s="5">
        <v>46221.58819444444</v>
      </c>
      <c r="G2131" s="5">
        <v>46221.43483796297</v>
      </c>
      <c r="H2131" s="3" t="s">
        <v>14</v>
      </c>
      <c r="I2131" s="7">
        <v>0.0</v>
      </c>
      <c r="J2131" s="3" t="s">
        <v>72</v>
      </c>
    </row>
    <row r="2132">
      <c r="A2132" s="3"/>
      <c r="B2132" s="3"/>
      <c r="C2132" s="3" t="s">
        <v>10</v>
      </c>
      <c r="D2132" s="4" t="s">
        <v>1761</v>
      </c>
      <c r="E2132" s="3" t="s">
        <v>1762</v>
      </c>
      <c r="F2132" s="5">
        <v>46220.43958333333</v>
      </c>
      <c r="G2132" s="5">
        <v>46219.71314814815</v>
      </c>
      <c r="H2132" s="3" t="s">
        <v>14</v>
      </c>
      <c r="I2132" s="3">
        <v>0.0</v>
      </c>
      <c r="J2132" s="3" t="s">
        <v>72</v>
      </c>
    </row>
    <row r="2133">
      <c r="A2133" s="3"/>
      <c r="B2133" s="3"/>
      <c r="C2133" s="3" t="s">
        <v>17</v>
      </c>
      <c r="D2133" s="4" t="s">
        <v>1761</v>
      </c>
      <c r="E2133" s="3" t="s">
        <v>1762</v>
      </c>
      <c r="F2133" s="5">
        <v>46220.44652777778</v>
      </c>
      <c r="G2133" s="5">
        <v>46219.71368055556</v>
      </c>
      <c r="H2133" s="3" t="s">
        <v>14</v>
      </c>
      <c r="I2133" s="7">
        <v>0.0</v>
      </c>
      <c r="J2133" s="3" t="s">
        <v>72</v>
      </c>
    </row>
    <row r="2134">
      <c r="A2134" s="3"/>
      <c r="B2134" s="3"/>
      <c r="C2134" s="3" t="s">
        <v>21</v>
      </c>
      <c r="D2134" s="4" t="s">
        <v>1761</v>
      </c>
      <c r="E2134" s="3" t="s">
        <v>1762</v>
      </c>
      <c r="F2134" s="5">
        <v>46220.55069444444</v>
      </c>
      <c r="G2134" s="5">
        <v>46219.71420138889</v>
      </c>
      <c r="H2134" s="3" t="s">
        <v>14</v>
      </c>
      <c r="I2134" s="7">
        <v>0.0</v>
      </c>
      <c r="J2134" s="3" t="s">
        <v>72</v>
      </c>
    </row>
    <row r="2135">
      <c r="A2135" s="3"/>
      <c r="B2135" s="3"/>
      <c r="C2135" s="3" t="s">
        <v>24</v>
      </c>
      <c r="D2135" s="4" t="s">
        <v>1761</v>
      </c>
      <c r="E2135" s="3" t="s">
        <v>1762</v>
      </c>
      <c r="F2135" s="5">
        <v>46221.55069444444</v>
      </c>
      <c r="G2135" s="5">
        <v>46220.78765046296</v>
      </c>
      <c r="H2135" s="3" t="s">
        <v>14</v>
      </c>
      <c r="I2135" s="7">
        <v>0.0</v>
      </c>
      <c r="J2135" s="3" t="s">
        <v>72</v>
      </c>
    </row>
    <row r="2136">
      <c r="A2136" s="3"/>
      <c r="B2136" s="3"/>
      <c r="C2136" s="3" t="s">
        <v>26</v>
      </c>
      <c r="D2136" s="4" t="s">
        <v>1761</v>
      </c>
      <c r="E2136" s="3" t="s">
        <v>1762</v>
      </c>
      <c r="F2136" s="5">
        <v>46221.592361111114</v>
      </c>
      <c r="G2136" s="5">
        <v>46221.434849537036</v>
      </c>
      <c r="H2136" s="3" t="s">
        <v>14</v>
      </c>
      <c r="I2136" s="7">
        <v>0.0</v>
      </c>
      <c r="J2136" s="3" t="s">
        <v>72</v>
      </c>
    </row>
    <row r="2137">
      <c r="A2137" s="3"/>
      <c r="B2137" s="3"/>
      <c r="C2137" s="3" t="s">
        <v>10</v>
      </c>
      <c r="D2137" s="4" t="s">
        <v>1765</v>
      </c>
      <c r="E2137" s="3" t="s">
        <v>1014</v>
      </c>
      <c r="F2137" s="5">
        <v>46220.668229166666</v>
      </c>
      <c r="G2137" s="5">
        <v>46220.6075462963</v>
      </c>
      <c r="H2137" s="3" t="s">
        <v>14</v>
      </c>
      <c r="I2137" s="3">
        <v>0.0</v>
      </c>
      <c r="J2137" s="3" t="s">
        <v>61</v>
      </c>
    </row>
    <row r="2138">
      <c r="A2138" s="3"/>
      <c r="B2138" s="3"/>
      <c r="C2138" s="3" t="s">
        <v>17</v>
      </c>
      <c r="D2138" s="4" t="s">
        <v>1765</v>
      </c>
      <c r="E2138" s="3" t="s">
        <v>1014</v>
      </c>
      <c r="F2138" s="5">
        <v>46220.67517361111</v>
      </c>
      <c r="G2138" s="5">
        <v>46220.57760416667</v>
      </c>
      <c r="H2138" s="3" t="s">
        <v>14</v>
      </c>
      <c r="I2138" s="7">
        <v>0.0</v>
      </c>
      <c r="J2138" s="3" t="s">
        <v>61</v>
      </c>
    </row>
    <row r="2139">
      <c r="A2139" s="3"/>
      <c r="B2139" s="3"/>
      <c r="C2139" s="3" t="s">
        <v>21</v>
      </c>
      <c r="D2139" s="4" t="s">
        <v>1765</v>
      </c>
      <c r="E2139" s="3" t="s">
        <v>1014</v>
      </c>
      <c r="F2139" s="5">
        <v>46220.779340277775</v>
      </c>
      <c r="G2139" s="5">
        <v>46220.60763888889</v>
      </c>
      <c r="H2139" s="3" t="s">
        <v>14</v>
      </c>
      <c r="I2139" s="7">
        <v>0.0</v>
      </c>
      <c r="J2139" s="3" t="s">
        <v>61</v>
      </c>
    </row>
    <row r="2140">
      <c r="A2140" s="3"/>
      <c r="B2140" s="3"/>
      <c r="C2140" s="3" t="s">
        <v>24</v>
      </c>
      <c r="D2140" s="4" t="s">
        <v>1765</v>
      </c>
      <c r="E2140" s="3" t="s">
        <v>1014</v>
      </c>
      <c r="F2140" s="5">
        <v>46221.77916666667</v>
      </c>
      <c r="G2140" s="5">
        <v>46220.60774305555</v>
      </c>
      <c r="H2140" s="3" t="s">
        <v>14</v>
      </c>
      <c r="I2140" s="7">
        <v>0.0</v>
      </c>
      <c r="J2140" s="3" t="s">
        <v>61</v>
      </c>
    </row>
    <row r="2141">
      <c r="A2141" s="3"/>
      <c r="B2141" s="3"/>
      <c r="C2141" s="3" t="s">
        <v>26</v>
      </c>
      <c r="D2141" s="4" t="s">
        <v>1765</v>
      </c>
      <c r="E2141" s="3" t="s">
        <v>1014</v>
      </c>
      <c r="F2141" s="5">
        <v>46221.82083333333</v>
      </c>
      <c r="G2141" s="5">
        <v>46220.60822916667</v>
      </c>
      <c r="H2141" s="3" t="s">
        <v>14</v>
      </c>
      <c r="I2141" s="7">
        <v>0.0</v>
      </c>
      <c r="J2141" s="3" t="s">
        <v>61</v>
      </c>
    </row>
    <row r="2142">
      <c r="A2142" s="3"/>
      <c r="B2142" s="3"/>
      <c r="C2142" s="3" t="s">
        <v>10</v>
      </c>
      <c r="D2142" s="4" t="s">
        <v>1769</v>
      </c>
      <c r="E2142" s="3" t="s">
        <v>1770</v>
      </c>
      <c r="F2142" s="5">
        <v>46220.72918981482</v>
      </c>
      <c r="G2142" s="5">
        <v>46220.5775</v>
      </c>
      <c r="H2142" s="3" t="s">
        <v>14</v>
      </c>
      <c r="I2142" s="3">
        <v>0.0</v>
      </c>
      <c r="J2142" s="3" t="s">
        <v>15</v>
      </c>
    </row>
    <row r="2143">
      <c r="A2143" s="3"/>
      <c r="B2143" s="3"/>
      <c r="C2143" s="3" t="s">
        <v>17</v>
      </c>
      <c r="D2143" s="4" t="s">
        <v>1769</v>
      </c>
      <c r="E2143" s="3" t="s">
        <v>1770</v>
      </c>
      <c r="F2143" s="5">
        <v>46220.736134259256</v>
      </c>
      <c r="G2143" s="5">
        <v>46220.57761574074</v>
      </c>
      <c r="H2143" s="3" t="s">
        <v>14</v>
      </c>
      <c r="I2143" s="7">
        <v>0.0</v>
      </c>
      <c r="J2143" s="3" t="s">
        <v>15</v>
      </c>
    </row>
    <row r="2144">
      <c r="A2144" s="3"/>
      <c r="B2144" s="3"/>
      <c r="C2144" s="3" t="s">
        <v>21</v>
      </c>
      <c r="D2144" s="4" t="s">
        <v>1769</v>
      </c>
      <c r="E2144" s="3" t="s">
        <v>1770</v>
      </c>
      <c r="F2144" s="5">
        <v>46221.444444444445</v>
      </c>
      <c r="G2144" s="5">
        <v>46220.60765046296</v>
      </c>
      <c r="H2144" s="3" t="s">
        <v>14</v>
      </c>
      <c r="I2144" s="7">
        <v>0.0</v>
      </c>
      <c r="J2144" s="3" t="s">
        <v>15</v>
      </c>
    </row>
    <row r="2145">
      <c r="A2145" s="3"/>
      <c r="B2145" s="3"/>
      <c r="C2145" s="3" t="s">
        <v>24</v>
      </c>
      <c r="D2145" s="4" t="s">
        <v>1769</v>
      </c>
      <c r="E2145" s="3" t="s">
        <v>1770</v>
      </c>
      <c r="F2145" s="5">
        <v>46223.444444444445</v>
      </c>
      <c r="G2145" s="5">
        <v>46221.52777777778</v>
      </c>
      <c r="H2145" s="3" t="s">
        <v>14</v>
      </c>
      <c r="I2145" s="7">
        <v>0.0</v>
      </c>
      <c r="J2145" s="3" t="s">
        <v>15</v>
      </c>
    </row>
    <row r="2146">
      <c r="A2146" s="3"/>
      <c r="B2146" s="3"/>
      <c r="C2146" s="3" t="s">
        <v>26</v>
      </c>
      <c r="D2146" s="4" t="s">
        <v>1769</v>
      </c>
      <c r="E2146" s="3" t="s">
        <v>1770</v>
      </c>
      <c r="F2146" s="5">
        <v>46223.48611111111</v>
      </c>
      <c r="G2146" s="5">
        <v>46221.52782407407</v>
      </c>
      <c r="H2146" s="3" t="s">
        <v>14</v>
      </c>
      <c r="I2146" s="7">
        <v>0.0</v>
      </c>
      <c r="J2146" s="3" t="s">
        <v>15</v>
      </c>
    </row>
    <row r="2147">
      <c r="A2147" s="3"/>
      <c r="B2147" s="3"/>
      <c r="C2147" s="3" t="s">
        <v>10</v>
      </c>
      <c r="D2147" s="4" t="s">
        <v>1777</v>
      </c>
      <c r="E2147" s="3" t="s">
        <v>407</v>
      </c>
      <c r="F2147" s="5">
        <v>46221.50625</v>
      </c>
      <c r="G2147" s="5">
        <v>46220.786886574075</v>
      </c>
      <c r="H2147" s="3" t="s">
        <v>14</v>
      </c>
      <c r="I2147" s="3">
        <v>0.0</v>
      </c>
      <c r="J2147" s="3" t="s">
        <v>72</v>
      </c>
    </row>
    <row r="2148">
      <c r="A2148" s="3"/>
      <c r="B2148" s="3"/>
      <c r="C2148" s="3" t="s">
        <v>17</v>
      </c>
      <c r="D2148" s="4" t="s">
        <v>1777</v>
      </c>
      <c r="E2148" s="3" t="s">
        <v>407</v>
      </c>
      <c r="F2148" s="5">
        <v>46221.513194444444</v>
      </c>
      <c r="G2148" s="5">
        <v>46220.7871875</v>
      </c>
      <c r="H2148" s="3" t="s">
        <v>14</v>
      </c>
      <c r="I2148" s="7">
        <v>0.0</v>
      </c>
      <c r="J2148" s="3" t="s">
        <v>72</v>
      </c>
    </row>
    <row r="2149">
      <c r="A2149" s="3"/>
      <c r="B2149" s="3"/>
      <c r="C2149" s="3" t="s">
        <v>21</v>
      </c>
      <c r="D2149" s="4" t="s">
        <v>1777</v>
      </c>
      <c r="E2149" s="3" t="s">
        <v>407</v>
      </c>
      <c r="F2149" s="5">
        <v>46221.61736111111</v>
      </c>
      <c r="G2149" s="5">
        <v>46220.78729166667</v>
      </c>
      <c r="H2149" s="3" t="s">
        <v>14</v>
      </c>
      <c r="I2149" s="7">
        <v>0.0</v>
      </c>
      <c r="J2149" s="3" t="s">
        <v>72</v>
      </c>
    </row>
    <row r="2150">
      <c r="A2150" s="3"/>
      <c r="B2150" s="3"/>
      <c r="C2150" s="3" t="s">
        <v>24</v>
      </c>
      <c r="D2150" s="4" t="s">
        <v>1777</v>
      </c>
      <c r="E2150" s="3" t="s">
        <v>407</v>
      </c>
      <c r="F2150" s="5">
        <v>46223.61736111111</v>
      </c>
      <c r="G2150" s="5">
        <v>46221.43471064815</v>
      </c>
      <c r="H2150" s="3" t="s">
        <v>14</v>
      </c>
      <c r="I2150" s="7">
        <v>0.0</v>
      </c>
      <c r="J2150" s="3" t="s">
        <v>72</v>
      </c>
    </row>
    <row r="2151">
      <c r="A2151" s="3"/>
      <c r="B2151" s="3"/>
      <c r="C2151" s="3" t="s">
        <v>26</v>
      </c>
      <c r="D2151" s="4" t="s">
        <v>1777</v>
      </c>
      <c r="E2151" s="3" t="s">
        <v>407</v>
      </c>
      <c r="F2151" s="5">
        <v>46223.65902777778</v>
      </c>
      <c r="G2151" s="5">
        <v>46221.434745370374</v>
      </c>
      <c r="H2151" s="3" t="s">
        <v>14</v>
      </c>
      <c r="I2151" s="7">
        <v>0.0</v>
      </c>
      <c r="J2151" s="3" t="s">
        <v>72</v>
      </c>
    </row>
    <row r="2152">
      <c r="A2152" s="3"/>
      <c r="B2152" s="3"/>
      <c r="C2152" s="3" t="s">
        <v>10</v>
      </c>
      <c r="D2152" s="4" t="s">
        <v>1780</v>
      </c>
      <c r="E2152" s="3" t="s">
        <v>407</v>
      </c>
      <c r="F2152" s="5">
        <v>46221.50763888889</v>
      </c>
      <c r="G2152" s="5">
        <v>46220.7869212963</v>
      </c>
      <c r="H2152" s="3" t="s">
        <v>14</v>
      </c>
      <c r="I2152" s="3">
        <v>0.0</v>
      </c>
      <c r="J2152" s="3" t="s">
        <v>61</v>
      </c>
    </row>
    <row r="2153">
      <c r="A2153" s="3"/>
      <c r="B2153" s="3"/>
      <c r="C2153" s="3" t="s">
        <v>17</v>
      </c>
      <c r="D2153" s="4" t="s">
        <v>1780</v>
      </c>
      <c r="E2153" s="3" t="s">
        <v>407</v>
      </c>
      <c r="F2153" s="5">
        <v>46221.51458333333</v>
      </c>
      <c r="G2153" s="5">
        <v>46220.787210648145</v>
      </c>
      <c r="H2153" s="3" t="s">
        <v>14</v>
      </c>
      <c r="I2153" s="7">
        <v>0.0</v>
      </c>
      <c r="J2153" s="3" t="s">
        <v>61</v>
      </c>
    </row>
    <row r="2154">
      <c r="A2154" s="3"/>
      <c r="B2154" s="3"/>
      <c r="C2154" s="3" t="s">
        <v>21</v>
      </c>
      <c r="D2154" s="4" t="s">
        <v>1780</v>
      </c>
      <c r="E2154" s="3" t="s">
        <v>407</v>
      </c>
      <c r="F2154" s="5">
        <v>46221.61875</v>
      </c>
      <c r="G2154" s="5">
        <v>46220.787314814814</v>
      </c>
      <c r="H2154" s="3" t="s">
        <v>14</v>
      </c>
      <c r="I2154" s="7">
        <v>0.0</v>
      </c>
      <c r="J2154" s="3" t="s">
        <v>61</v>
      </c>
    </row>
    <row r="2155">
      <c r="A2155" s="3"/>
      <c r="B2155" s="3"/>
      <c r="C2155" s="3" t="s">
        <v>24</v>
      </c>
      <c r="D2155" s="4" t="s">
        <v>1780</v>
      </c>
      <c r="E2155" s="3" t="s">
        <v>407</v>
      </c>
      <c r="F2155" s="5">
        <v>46223.61875</v>
      </c>
      <c r="G2155" s="5">
        <v>46221.43472222222</v>
      </c>
      <c r="H2155" s="3" t="s">
        <v>14</v>
      </c>
      <c r="I2155" s="7">
        <v>0.0</v>
      </c>
      <c r="J2155" s="3" t="s">
        <v>61</v>
      </c>
    </row>
    <row r="2156">
      <c r="A2156" s="3"/>
      <c r="B2156" s="3"/>
      <c r="C2156" s="3" t="s">
        <v>26</v>
      </c>
      <c r="D2156" s="4" t="s">
        <v>1780</v>
      </c>
      <c r="E2156" s="3" t="s">
        <v>407</v>
      </c>
      <c r="F2156" s="5">
        <v>46223.660416666666</v>
      </c>
      <c r="G2156" s="5">
        <v>46221.43475694444</v>
      </c>
      <c r="H2156" s="3" t="s">
        <v>14</v>
      </c>
      <c r="I2156" s="7">
        <v>0.0</v>
      </c>
      <c r="J2156" s="3" t="s">
        <v>61</v>
      </c>
    </row>
    <row r="2157">
      <c r="A2157" s="3"/>
      <c r="B2157" s="3"/>
      <c r="C2157" s="3" t="s">
        <v>10</v>
      </c>
      <c r="D2157" s="4" t="s">
        <v>1783</v>
      </c>
      <c r="E2157" s="3" t="s">
        <v>1784</v>
      </c>
      <c r="F2157" s="5">
        <v>46221.51180555556</v>
      </c>
      <c r="G2157" s="5">
        <v>46220.786944444444</v>
      </c>
      <c r="H2157" s="3" t="s">
        <v>14</v>
      </c>
      <c r="I2157" s="3">
        <v>0.0</v>
      </c>
      <c r="J2157" s="3" t="s">
        <v>72</v>
      </c>
    </row>
    <row r="2158">
      <c r="A2158" s="3"/>
      <c r="B2158" s="3"/>
      <c r="C2158" s="3" t="s">
        <v>17</v>
      </c>
      <c r="D2158" s="4" t="s">
        <v>1783</v>
      </c>
      <c r="E2158" s="3" t="s">
        <v>1784</v>
      </c>
      <c r="F2158" s="5">
        <v>46221.51875</v>
      </c>
      <c r="G2158" s="5">
        <v>46220.7872337963</v>
      </c>
      <c r="H2158" s="3" t="s">
        <v>14</v>
      </c>
      <c r="I2158" s="7">
        <v>0.0</v>
      </c>
      <c r="J2158" s="3" t="s">
        <v>72</v>
      </c>
    </row>
    <row r="2159">
      <c r="A2159" s="3"/>
      <c r="B2159" s="3"/>
      <c r="C2159" s="3" t="s">
        <v>21</v>
      </c>
      <c r="D2159" s="4" t="s">
        <v>1783</v>
      </c>
      <c r="E2159" s="3" t="s">
        <v>1784</v>
      </c>
      <c r="F2159" s="5">
        <v>46221.62291666667</v>
      </c>
      <c r="G2159" s="5">
        <v>46220.78733796296</v>
      </c>
      <c r="H2159" s="3" t="s">
        <v>14</v>
      </c>
      <c r="I2159" s="7">
        <v>0.0</v>
      </c>
      <c r="J2159" s="3" t="s">
        <v>72</v>
      </c>
    </row>
    <row r="2160">
      <c r="A2160" s="3"/>
      <c r="B2160" s="3"/>
      <c r="C2160" s="3" t="s">
        <v>24</v>
      </c>
      <c r="D2160" s="4" t="s">
        <v>1783</v>
      </c>
      <c r="E2160" s="3" t="s">
        <v>1784</v>
      </c>
      <c r="F2160" s="5">
        <v>46223.62291666667</v>
      </c>
      <c r="G2160" s="5">
        <v>46221.43472222222</v>
      </c>
      <c r="H2160" s="3" t="s">
        <v>14</v>
      </c>
      <c r="I2160" s="7">
        <v>0.0</v>
      </c>
      <c r="J2160" s="3" t="s">
        <v>72</v>
      </c>
    </row>
    <row r="2161">
      <c r="A2161" s="3"/>
      <c r="B2161" s="3"/>
      <c r="C2161" s="3" t="s">
        <v>26</v>
      </c>
      <c r="D2161" s="4" t="s">
        <v>1783</v>
      </c>
      <c r="E2161" s="3" t="s">
        <v>1784</v>
      </c>
      <c r="F2161" s="5">
        <v>46223.66458333333</v>
      </c>
      <c r="G2161" s="5">
        <v>46221.43476851852</v>
      </c>
      <c r="H2161" s="3" t="s">
        <v>14</v>
      </c>
      <c r="I2161" s="7">
        <v>0.0</v>
      </c>
      <c r="J2161" s="3" t="s">
        <v>72</v>
      </c>
    </row>
    <row r="2162">
      <c r="A2162" s="3"/>
      <c r="B2162" s="3"/>
      <c r="C2162" s="3" t="s">
        <v>10</v>
      </c>
      <c r="D2162" s="4" t="s">
        <v>1786</v>
      </c>
      <c r="E2162" s="3" t="s">
        <v>1787</v>
      </c>
      <c r="F2162" s="5">
        <v>46221.51458333333</v>
      </c>
      <c r="G2162" s="5">
        <v>46220.78695601852</v>
      </c>
      <c r="H2162" s="3" t="s">
        <v>14</v>
      </c>
      <c r="I2162" s="3">
        <v>0.0</v>
      </c>
      <c r="J2162" s="3" t="s">
        <v>72</v>
      </c>
    </row>
    <row r="2163">
      <c r="A2163" s="3"/>
      <c r="B2163" s="3"/>
      <c r="C2163" s="3" t="s">
        <v>17</v>
      </c>
      <c r="D2163" s="4" t="s">
        <v>1786</v>
      </c>
      <c r="E2163" s="3" t="s">
        <v>1787</v>
      </c>
      <c r="F2163" s="5">
        <v>46221.521527777775</v>
      </c>
      <c r="G2163" s="5">
        <v>46220.787256944444</v>
      </c>
      <c r="H2163" s="3" t="s">
        <v>14</v>
      </c>
      <c r="I2163" s="7">
        <v>0.0</v>
      </c>
      <c r="J2163" s="3" t="s">
        <v>72</v>
      </c>
    </row>
    <row r="2164">
      <c r="A2164" s="3"/>
      <c r="B2164" s="3"/>
      <c r="C2164" s="3" t="s">
        <v>21</v>
      </c>
      <c r="D2164" s="4" t="s">
        <v>1786</v>
      </c>
      <c r="E2164" s="3" t="s">
        <v>1787</v>
      </c>
      <c r="F2164" s="5">
        <v>46221.62569444445</v>
      </c>
      <c r="G2164" s="5">
        <v>46220.78737268518</v>
      </c>
      <c r="H2164" s="3" t="s">
        <v>14</v>
      </c>
      <c r="I2164" s="7">
        <v>0.0</v>
      </c>
      <c r="J2164" s="3" t="s">
        <v>72</v>
      </c>
    </row>
    <row r="2165">
      <c r="A2165" s="3"/>
      <c r="B2165" s="3"/>
      <c r="C2165" s="3" t="s">
        <v>24</v>
      </c>
      <c r="D2165" s="4" t="s">
        <v>1786</v>
      </c>
      <c r="E2165" s="3" t="s">
        <v>1787</v>
      </c>
      <c r="F2165" s="5">
        <v>46223.62569444445</v>
      </c>
      <c r="G2165" s="5">
        <v>46221.43472222222</v>
      </c>
      <c r="H2165" s="3" t="s">
        <v>14</v>
      </c>
      <c r="I2165" s="7">
        <v>0.0</v>
      </c>
      <c r="J2165" s="3" t="s">
        <v>72</v>
      </c>
    </row>
    <row r="2166">
      <c r="A2166" s="3"/>
      <c r="B2166" s="3"/>
      <c r="C2166" s="3" t="s">
        <v>26</v>
      </c>
      <c r="D2166" s="4" t="s">
        <v>1786</v>
      </c>
      <c r="E2166" s="3" t="s">
        <v>1787</v>
      </c>
      <c r="F2166" s="5">
        <v>46223.66736111111</v>
      </c>
      <c r="G2166" s="5">
        <v>46221.43476851852</v>
      </c>
      <c r="H2166" s="3" t="s">
        <v>14</v>
      </c>
      <c r="I2166" s="7">
        <v>0.0</v>
      </c>
      <c r="J2166" s="3" t="s">
        <v>72</v>
      </c>
    </row>
    <row r="2167">
      <c r="A2167" s="3"/>
      <c r="B2167" s="3"/>
      <c r="C2167" s="3" t="s">
        <v>10</v>
      </c>
      <c r="D2167" s="4" t="s">
        <v>1792</v>
      </c>
      <c r="E2167" s="3" t="s">
        <v>754</v>
      </c>
      <c r="F2167" s="5">
        <v>46221.6196412037</v>
      </c>
      <c r="G2167" s="5">
        <v>46221.47032407407</v>
      </c>
      <c r="H2167" s="3" t="s">
        <v>14</v>
      </c>
      <c r="I2167" s="3">
        <v>0.0</v>
      </c>
      <c r="J2167" s="3" t="s">
        <v>48</v>
      </c>
    </row>
    <row r="2168">
      <c r="A2168" s="3"/>
      <c r="B2168" s="3"/>
      <c r="C2168" s="3" t="s">
        <v>17</v>
      </c>
      <c r="D2168" s="4" t="s">
        <v>1792</v>
      </c>
      <c r="E2168" s="3" t="s">
        <v>754</v>
      </c>
      <c r="F2168" s="5">
        <v>46221.62658564815</v>
      </c>
      <c r="G2168" s="5">
        <v>46221.47046296296</v>
      </c>
      <c r="H2168" s="3" t="s">
        <v>14</v>
      </c>
      <c r="I2168" s="7">
        <v>0.0</v>
      </c>
      <c r="J2168" s="3" t="s">
        <v>48</v>
      </c>
    </row>
    <row r="2169">
      <c r="A2169" s="3"/>
      <c r="B2169" s="3"/>
      <c r="C2169" s="3" t="s">
        <v>21</v>
      </c>
      <c r="D2169" s="4" t="s">
        <v>1792</v>
      </c>
      <c r="E2169" s="3" t="s">
        <v>754</v>
      </c>
      <c r="F2169" s="5">
        <v>46221.73075231481</v>
      </c>
      <c r="G2169" s="5">
        <v>46221.61908564815</v>
      </c>
      <c r="H2169" s="3" t="s">
        <v>14</v>
      </c>
      <c r="I2169" s="7">
        <v>0.0</v>
      </c>
      <c r="J2169" s="3" t="s">
        <v>48</v>
      </c>
    </row>
    <row r="2170">
      <c r="A2170" s="3"/>
      <c r="B2170" s="3"/>
      <c r="C2170" s="3" t="s">
        <v>24</v>
      </c>
      <c r="D2170" s="4" t="s">
        <v>1792</v>
      </c>
      <c r="E2170" s="3" t="s">
        <v>754</v>
      </c>
      <c r="F2170" s="5">
        <v>46223.73055555556</v>
      </c>
      <c r="G2170" s="5">
        <v>46221.61913194445</v>
      </c>
      <c r="H2170" s="3" t="s">
        <v>14</v>
      </c>
      <c r="I2170" s="7">
        <v>0.0</v>
      </c>
      <c r="J2170" s="3" t="s">
        <v>48</v>
      </c>
    </row>
    <row r="2171">
      <c r="A2171" s="3"/>
      <c r="B2171" s="3"/>
      <c r="C2171" s="3" t="s">
        <v>26</v>
      </c>
      <c r="D2171" s="4" t="s">
        <v>1792</v>
      </c>
      <c r="E2171" s="3" t="s">
        <v>754</v>
      </c>
      <c r="F2171" s="5">
        <v>46223.77222222222</v>
      </c>
      <c r="G2171" s="5">
        <v>46223.49133101852</v>
      </c>
      <c r="H2171" s="3" t="s">
        <v>14</v>
      </c>
      <c r="I2171" s="7">
        <v>0.0</v>
      </c>
      <c r="J2171" s="3" t="s">
        <v>48</v>
      </c>
    </row>
    <row r="2172">
      <c r="A2172" s="3"/>
      <c r="B2172" s="3"/>
      <c r="C2172" s="3" t="s">
        <v>10</v>
      </c>
      <c r="D2172" s="4" t="s">
        <v>1795</v>
      </c>
      <c r="E2172" s="3" t="s">
        <v>1796</v>
      </c>
      <c r="F2172" s="5">
        <v>46221.77605324074</v>
      </c>
      <c r="G2172" s="5">
        <v>46221.61883101852</v>
      </c>
      <c r="H2172" s="3" t="s">
        <v>14</v>
      </c>
      <c r="I2172" s="3">
        <v>0.0</v>
      </c>
      <c r="J2172" s="3" t="s">
        <v>15</v>
      </c>
    </row>
    <row r="2173">
      <c r="A2173" s="3"/>
      <c r="B2173" s="3"/>
      <c r="C2173" s="3" t="s">
        <v>17</v>
      </c>
      <c r="D2173" s="4" t="s">
        <v>1795</v>
      </c>
      <c r="E2173" s="3" t="s">
        <v>1796</v>
      </c>
      <c r="F2173" s="5">
        <v>46221.782997685186</v>
      </c>
      <c r="G2173" s="5">
        <v>46221.618946759256</v>
      </c>
      <c r="H2173" s="3" t="s">
        <v>14</v>
      </c>
      <c r="I2173" s="7">
        <v>0.0</v>
      </c>
      <c r="J2173" s="3" t="s">
        <v>15</v>
      </c>
    </row>
    <row r="2174">
      <c r="A2174" s="3"/>
      <c r="B2174" s="3"/>
      <c r="C2174" s="3" t="s">
        <v>21</v>
      </c>
      <c r="D2174" s="4" t="s">
        <v>1795</v>
      </c>
      <c r="E2174" s="3" t="s">
        <v>1796</v>
      </c>
      <c r="F2174" s="5">
        <v>46223.49097222222</v>
      </c>
      <c r="G2174" s="5">
        <v>46221.61902777778</v>
      </c>
      <c r="H2174" s="3" t="s">
        <v>14</v>
      </c>
      <c r="I2174" s="7">
        <v>0.0</v>
      </c>
      <c r="J2174" s="3" t="s">
        <v>15</v>
      </c>
    </row>
    <row r="2175">
      <c r="A2175" s="3"/>
      <c r="B2175" s="3"/>
      <c r="C2175" s="3" t="s">
        <v>24</v>
      </c>
      <c r="D2175" s="4" t="s">
        <v>1795</v>
      </c>
      <c r="E2175" s="3" t="s">
        <v>1796</v>
      </c>
      <c r="F2175" s="5">
        <v>46224.49097222222</v>
      </c>
      <c r="G2175" s="5">
        <v>46224.45439814815</v>
      </c>
      <c r="H2175" s="3" t="s">
        <v>14</v>
      </c>
      <c r="I2175" s="7">
        <v>0.0</v>
      </c>
      <c r="J2175" s="3" t="s">
        <v>15</v>
      </c>
    </row>
    <row r="2176">
      <c r="A2176" s="3"/>
      <c r="B2176" s="3"/>
      <c r="C2176" s="3" t="s">
        <v>26</v>
      </c>
      <c r="D2176" s="4" t="s">
        <v>1795</v>
      </c>
      <c r="E2176" s="3" t="s">
        <v>1796</v>
      </c>
      <c r="F2176" s="5">
        <v>46224.532638888886</v>
      </c>
      <c r="G2176" s="5">
        <v>46224.45452546296</v>
      </c>
      <c r="H2176" s="3" t="s">
        <v>14</v>
      </c>
      <c r="I2176" s="7">
        <v>0.0</v>
      </c>
      <c r="J2176" s="3" t="s">
        <v>15</v>
      </c>
    </row>
    <row r="2177">
      <c r="A2177" s="3"/>
      <c r="B2177" s="3"/>
      <c r="C2177" s="3" t="s">
        <v>10</v>
      </c>
      <c r="D2177" s="4" t="s">
        <v>1799</v>
      </c>
      <c r="E2177" s="3" t="s">
        <v>913</v>
      </c>
      <c r="F2177" s="5">
        <v>46223.52710648148</v>
      </c>
      <c r="G2177" s="5">
        <v>46221.63627314815</v>
      </c>
      <c r="H2177" s="3" t="s">
        <v>14</v>
      </c>
      <c r="I2177" s="3">
        <v>0.0</v>
      </c>
      <c r="J2177" s="3" t="s">
        <v>48</v>
      </c>
    </row>
    <row r="2178">
      <c r="A2178" s="3"/>
      <c r="B2178" s="3"/>
      <c r="C2178" s="3" t="s">
        <v>17</v>
      </c>
      <c r="D2178" s="4" t="s">
        <v>1799</v>
      </c>
      <c r="E2178" s="3" t="s">
        <v>913</v>
      </c>
      <c r="F2178" s="5">
        <v>46223.534050925926</v>
      </c>
      <c r="G2178" s="5">
        <v>46221.636400462965</v>
      </c>
      <c r="H2178" s="3" t="s">
        <v>14</v>
      </c>
      <c r="I2178" s="7">
        <v>0.0</v>
      </c>
      <c r="J2178" s="3" t="s">
        <v>48</v>
      </c>
    </row>
    <row r="2179">
      <c r="A2179" s="3"/>
      <c r="B2179" s="3"/>
      <c r="C2179" s="3" t="s">
        <v>21</v>
      </c>
      <c r="D2179" s="4" t="s">
        <v>1799</v>
      </c>
      <c r="E2179" s="3" t="s">
        <v>913</v>
      </c>
      <c r="F2179" s="5">
        <v>46223.63821759259</v>
      </c>
      <c r="G2179" s="5">
        <v>46221.63644675926</v>
      </c>
      <c r="H2179" s="3" t="s">
        <v>14</v>
      </c>
      <c r="I2179" s="7">
        <v>0.0</v>
      </c>
      <c r="J2179" s="3" t="s">
        <v>48</v>
      </c>
    </row>
    <row r="2180">
      <c r="A2180" s="3"/>
      <c r="B2180" s="3"/>
      <c r="C2180" s="3" t="s">
        <v>24</v>
      </c>
      <c r="D2180" s="4" t="s">
        <v>1799</v>
      </c>
      <c r="E2180" s="3" t="s">
        <v>913</v>
      </c>
      <c r="F2180" s="5">
        <v>46224.638194444444</v>
      </c>
      <c r="G2180" s="5">
        <v>46224.454421296294</v>
      </c>
      <c r="H2180" s="3" t="s">
        <v>14</v>
      </c>
      <c r="I2180" s="7">
        <v>0.0</v>
      </c>
      <c r="J2180" s="3" t="s">
        <v>48</v>
      </c>
    </row>
    <row r="2181">
      <c r="A2181" s="3"/>
      <c r="B2181" s="3"/>
      <c r="C2181" s="3" t="s">
        <v>26</v>
      </c>
      <c r="D2181" s="4" t="s">
        <v>1799</v>
      </c>
      <c r="E2181" s="3" t="s">
        <v>913</v>
      </c>
      <c r="F2181" s="5">
        <v>46224.67986111111</v>
      </c>
      <c r="G2181" s="5">
        <v>46224.469143518516</v>
      </c>
      <c r="H2181" s="3" t="s">
        <v>14</v>
      </c>
      <c r="I2181" s="7">
        <v>0.0</v>
      </c>
      <c r="J2181" s="3" t="s">
        <v>48</v>
      </c>
    </row>
    <row r="2182">
      <c r="A2182" s="3"/>
      <c r="B2182" s="3"/>
      <c r="C2182" s="3" t="s">
        <v>10</v>
      </c>
      <c r="D2182" s="4" t="s">
        <v>1801</v>
      </c>
      <c r="E2182" s="3" t="s">
        <v>1802</v>
      </c>
      <c r="F2182" s="5">
        <v>46223.509722222225</v>
      </c>
      <c r="G2182" s="5">
        <v>46223.473125</v>
      </c>
      <c r="H2182" s="3" t="s">
        <v>14</v>
      </c>
      <c r="I2182" s="3">
        <v>0.0</v>
      </c>
      <c r="J2182" s="3" t="s">
        <v>15</v>
      </c>
    </row>
    <row r="2183">
      <c r="A2183" s="3"/>
      <c r="B2183" s="3"/>
      <c r="C2183" s="3" t="s">
        <v>17</v>
      </c>
      <c r="D2183" s="4" t="s">
        <v>1801</v>
      </c>
      <c r="E2183" s="3" t="s">
        <v>1802</v>
      </c>
      <c r="F2183" s="5">
        <v>46223.51666666667</v>
      </c>
      <c r="G2183" s="5">
        <v>46223.473287037035</v>
      </c>
      <c r="H2183" s="3" t="s">
        <v>14</v>
      </c>
      <c r="I2183" s="7">
        <v>0.0</v>
      </c>
      <c r="J2183" s="3" t="s">
        <v>15</v>
      </c>
    </row>
    <row r="2184">
      <c r="A2184" s="3"/>
      <c r="B2184" s="3"/>
      <c r="C2184" s="3" t="s">
        <v>21</v>
      </c>
      <c r="D2184" s="4" t="s">
        <v>1801</v>
      </c>
      <c r="E2184" s="3" t="s">
        <v>1802</v>
      </c>
      <c r="F2184" s="5">
        <v>46223.620833333334</v>
      </c>
      <c r="G2184" s="5">
        <v>46223.47608796296</v>
      </c>
      <c r="H2184" s="3" t="s">
        <v>14</v>
      </c>
      <c r="I2184" s="7">
        <v>0.0</v>
      </c>
      <c r="J2184" s="3" t="s">
        <v>15</v>
      </c>
    </row>
    <row r="2185">
      <c r="A2185" s="3"/>
      <c r="B2185" s="3"/>
      <c r="C2185" s="3" t="s">
        <v>24</v>
      </c>
      <c r="D2185" s="4" t="s">
        <v>1801</v>
      </c>
      <c r="E2185" s="3" t="s">
        <v>1802</v>
      </c>
      <c r="F2185" s="5">
        <v>46224.620833333334</v>
      </c>
      <c r="G2185" s="5">
        <v>46223.50137731482</v>
      </c>
      <c r="H2185" s="3" t="s">
        <v>14</v>
      </c>
      <c r="I2185" s="7">
        <v>0.0</v>
      </c>
      <c r="J2185" s="3" t="s">
        <v>15</v>
      </c>
    </row>
    <row r="2186">
      <c r="A2186" s="3"/>
      <c r="B2186" s="3"/>
      <c r="C2186" s="3" t="s">
        <v>26</v>
      </c>
      <c r="D2186" s="4" t="s">
        <v>1801</v>
      </c>
      <c r="E2186" s="3" t="s">
        <v>1802</v>
      </c>
      <c r="F2186" s="5">
        <v>46224.6625</v>
      </c>
      <c r="G2186" s="5">
        <v>46223.50141203704</v>
      </c>
      <c r="H2186" s="3" t="s">
        <v>14</v>
      </c>
      <c r="I2186" s="7">
        <v>0.0</v>
      </c>
      <c r="J2186" s="3" t="s">
        <v>15</v>
      </c>
    </row>
    <row r="2187">
      <c r="A2187" s="3"/>
      <c r="B2187" s="3"/>
      <c r="C2187" s="3" t="s">
        <v>10</v>
      </c>
      <c r="D2187" s="4" t="s">
        <v>1805</v>
      </c>
      <c r="E2187" s="3" t="s">
        <v>1806</v>
      </c>
      <c r="F2187" s="5">
        <v>46223.63905092593</v>
      </c>
      <c r="G2187" s="5">
        <v>46223.47320601852</v>
      </c>
      <c r="H2187" s="3" t="s">
        <v>14</v>
      </c>
      <c r="I2187" s="3">
        <v>0.0</v>
      </c>
      <c r="J2187" s="3" t="s">
        <v>72</v>
      </c>
    </row>
    <row r="2188">
      <c r="A2188" s="3"/>
      <c r="B2188" s="3"/>
      <c r="C2188" s="3" t="s">
        <v>17</v>
      </c>
      <c r="D2188" s="4" t="s">
        <v>1805</v>
      </c>
      <c r="E2188" s="3" t="s">
        <v>1806</v>
      </c>
      <c r="F2188" s="5">
        <v>46223.64599537037</v>
      </c>
      <c r="G2188" s="5">
        <v>46223.47332175926</v>
      </c>
      <c r="H2188" s="3" t="s">
        <v>14</v>
      </c>
      <c r="I2188" s="7">
        <v>0.0</v>
      </c>
      <c r="J2188" s="3" t="s">
        <v>72</v>
      </c>
    </row>
    <row r="2189">
      <c r="A2189" s="3"/>
      <c r="B2189" s="3"/>
      <c r="C2189" s="3" t="s">
        <v>21</v>
      </c>
      <c r="D2189" s="4" t="s">
        <v>1805</v>
      </c>
      <c r="E2189" s="3" t="s">
        <v>1806</v>
      </c>
      <c r="F2189" s="5">
        <v>46223.75016203704</v>
      </c>
      <c r="G2189" s="5">
        <v>46223.47609953704</v>
      </c>
      <c r="H2189" s="3" t="s">
        <v>14</v>
      </c>
      <c r="I2189" s="7">
        <v>0.0</v>
      </c>
      <c r="J2189" s="3" t="s">
        <v>72</v>
      </c>
    </row>
    <row r="2190">
      <c r="A2190" s="3"/>
      <c r="B2190" s="3"/>
      <c r="C2190" s="3" t="s">
        <v>24</v>
      </c>
      <c r="D2190" s="4" t="s">
        <v>1805</v>
      </c>
      <c r="E2190" s="3" t="s">
        <v>1806</v>
      </c>
      <c r="F2190" s="5">
        <v>46224.75</v>
      </c>
      <c r="G2190" s="5">
        <v>46223.50111111111</v>
      </c>
      <c r="H2190" s="3" t="s">
        <v>14</v>
      </c>
      <c r="I2190" s="7">
        <v>0.0</v>
      </c>
      <c r="J2190" s="3" t="s">
        <v>72</v>
      </c>
    </row>
    <row r="2191">
      <c r="A2191" s="3"/>
      <c r="B2191" s="3"/>
      <c r="C2191" s="3" t="s">
        <v>26</v>
      </c>
      <c r="D2191" s="4" t="s">
        <v>1805</v>
      </c>
      <c r="E2191" s="3" t="s">
        <v>1806</v>
      </c>
      <c r="F2191" s="5">
        <v>46224.791666666664</v>
      </c>
      <c r="G2191" s="5">
        <v>46223.50115740741</v>
      </c>
      <c r="H2191" s="3" t="s">
        <v>14</v>
      </c>
      <c r="I2191" s="7">
        <v>0.0</v>
      </c>
      <c r="J2191" s="3" t="s">
        <v>72</v>
      </c>
    </row>
    <row r="2192">
      <c r="A2192" s="3"/>
      <c r="B2192" s="3"/>
      <c r="C2192" s="3" t="s">
        <v>10</v>
      </c>
      <c r="D2192" s="4" t="s">
        <v>1808</v>
      </c>
      <c r="E2192" s="3" t="s">
        <v>1809</v>
      </c>
      <c r="F2192" s="5">
        <v>46223.746724537035</v>
      </c>
      <c r="G2192" s="5">
        <v>46223.64472222222</v>
      </c>
      <c r="H2192" s="3" t="s">
        <v>14</v>
      </c>
      <c r="I2192" s="3">
        <v>0.0</v>
      </c>
      <c r="J2192" s="3" t="s">
        <v>72</v>
      </c>
    </row>
    <row r="2193">
      <c r="A2193" s="3"/>
      <c r="B2193" s="3"/>
      <c r="C2193" s="3" t="s">
        <v>17</v>
      </c>
      <c r="D2193" s="4" t="s">
        <v>1808</v>
      </c>
      <c r="E2193" s="3" t="s">
        <v>1809</v>
      </c>
      <c r="F2193" s="5">
        <v>46223.75366898148</v>
      </c>
      <c r="G2193" s="5">
        <v>46223.644791666666</v>
      </c>
      <c r="H2193" s="3" t="s">
        <v>14</v>
      </c>
      <c r="I2193" s="7">
        <v>0.0</v>
      </c>
      <c r="J2193" s="3" t="s">
        <v>72</v>
      </c>
    </row>
    <row r="2194">
      <c r="A2194" s="3"/>
      <c r="B2194" s="3"/>
      <c r="C2194" s="3" t="s">
        <v>21</v>
      </c>
      <c r="D2194" s="4" t="s">
        <v>1808</v>
      </c>
      <c r="E2194" s="3" t="s">
        <v>1809</v>
      </c>
      <c r="F2194" s="5">
        <v>46224.42013888889</v>
      </c>
      <c r="G2194" s="5">
        <v>46223.64488425926</v>
      </c>
      <c r="H2194" s="3" t="s">
        <v>14</v>
      </c>
      <c r="I2194" s="7">
        <v>0.0</v>
      </c>
      <c r="J2194" s="3" t="s">
        <v>72</v>
      </c>
    </row>
    <row r="2195">
      <c r="A2195" s="3"/>
      <c r="B2195" s="3"/>
      <c r="C2195" s="3" t="s">
        <v>24</v>
      </c>
      <c r="D2195" s="4" t="s">
        <v>1808</v>
      </c>
      <c r="E2195" s="3" t="s">
        <v>1809</v>
      </c>
      <c r="F2195" s="5">
        <v>46225.42013888889</v>
      </c>
      <c r="G2195" s="5">
        <v>46224.74679398148</v>
      </c>
      <c r="H2195" s="3" t="s">
        <v>14</v>
      </c>
      <c r="I2195" s="7">
        <v>0.0</v>
      </c>
      <c r="J2195" s="3" t="s">
        <v>72</v>
      </c>
    </row>
    <row r="2196">
      <c r="A2196" s="3"/>
      <c r="B2196" s="3"/>
      <c r="C2196" s="3" t="s">
        <v>26</v>
      </c>
      <c r="D2196" s="4" t="s">
        <v>1808</v>
      </c>
      <c r="E2196" s="3" t="s">
        <v>1809</v>
      </c>
      <c r="F2196" s="5">
        <v>46225.461805555555</v>
      </c>
      <c r="G2196" s="5">
        <v>46224.74681712963</v>
      </c>
      <c r="H2196" s="3" t="s">
        <v>14</v>
      </c>
      <c r="I2196" s="7">
        <v>0.0</v>
      </c>
      <c r="J2196" s="3" t="s">
        <v>72</v>
      </c>
    </row>
    <row r="2197">
      <c r="A2197" s="3"/>
      <c r="B2197" s="3"/>
      <c r="C2197" s="3" t="s">
        <v>10</v>
      </c>
      <c r="D2197" s="4" t="s">
        <v>1811</v>
      </c>
      <c r="E2197" s="3" t="s">
        <v>1812</v>
      </c>
      <c r="F2197" s="5">
        <v>46224.790810185186</v>
      </c>
      <c r="G2197" s="5">
        <v>46224.6971412037</v>
      </c>
      <c r="H2197" s="3" t="s">
        <v>14</v>
      </c>
      <c r="I2197" s="3">
        <v>0.0</v>
      </c>
      <c r="J2197" s="3" t="s">
        <v>15</v>
      </c>
    </row>
    <row r="2198">
      <c r="A2198" s="3"/>
      <c r="B2198" s="3"/>
      <c r="C2198" s="3" t="s">
        <v>17</v>
      </c>
      <c r="D2198" s="4" t="s">
        <v>1811</v>
      </c>
      <c r="E2198" s="3" t="s">
        <v>1812</v>
      </c>
      <c r="F2198" s="5">
        <v>46224.79775462963</v>
      </c>
      <c r="G2198" s="5">
        <v>46224.697280092594</v>
      </c>
      <c r="H2198" s="3" t="s">
        <v>14</v>
      </c>
      <c r="I2198" s="7">
        <v>0.0</v>
      </c>
      <c r="J2198" s="3" t="s">
        <v>15</v>
      </c>
    </row>
    <row r="2199">
      <c r="A2199" s="3"/>
      <c r="B2199" s="3"/>
      <c r="C2199" s="3" t="s">
        <v>21</v>
      </c>
      <c r="D2199" s="4" t="s">
        <v>1811</v>
      </c>
      <c r="E2199" s="3" t="s">
        <v>1812</v>
      </c>
      <c r="F2199" s="5">
        <v>46225.46388888889</v>
      </c>
      <c r="G2199" s="5">
        <v>46224.81694444444</v>
      </c>
      <c r="H2199" s="3" t="s">
        <v>14</v>
      </c>
      <c r="I2199" s="7">
        <v>0.0</v>
      </c>
      <c r="J2199" s="3" t="s">
        <v>15</v>
      </c>
    </row>
    <row r="2200">
      <c r="A2200" s="3"/>
      <c r="B2200" s="3"/>
      <c r="C2200" s="3" t="s">
        <v>24</v>
      </c>
      <c r="D2200" s="4" t="s">
        <v>1811</v>
      </c>
      <c r="E2200" s="3" t="s">
        <v>1812</v>
      </c>
      <c r="F2200" s="5">
        <v>46226.46388888889</v>
      </c>
      <c r="G2200" s="5">
        <v>46224.8169212963</v>
      </c>
      <c r="H2200" s="3" t="s">
        <v>14</v>
      </c>
      <c r="I2200" s="7">
        <v>0.0</v>
      </c>
      <c r="J2200" s="3" t="s">
        <v>15</v>
      </c>
    </row>
    <row r="2201">
      <c r="A2201" s="3"/>
      <c r="B2201" s="3"/>
      <c r="C2201" s="3" t="s">
        <v>26</v>
      </c>
      <c r="D2201" s="4" t="s">
        <v>1811</v>
      </c>
      <c r="E2201" s="3" t="s">
        <v>1812</v>
      </c>
      <c r="F2201" s="5">
        <v>46226.50555555556</v>
      </c>
      <c r="G2201" s="5">
        <v>46224.816979166666</v>
      </c>
      <c r="H2201" s="3" t="s">
        <v>14</v>
      </c>
      <c r="I2201" s="7">
        <v>0.0</v>
      </c>
      <c r="J2201" s="3" t="s">
        <v>15</v>
      </c>
    </row>
    <row r="2202">
      <c r="A2202" s="3"/>
      <c r="B2202" s="3"/>
      <c r="C2202" s="3" t="s">
        <v>10</v>
      </c>
      <c r="D2202" s="4" t="s">
        <v>1814</v>
      </c>
      <c r="E2202" s="3" t="s">
        <v>1815</v>
      </c>
      <c r="F2202" s="5">
        <v>46224.791712962964</v>
      </c>
      <c r="G2202" s="5">
        <v>46224.697164351855</v>
      </c>
      <c r="H2202" s="3" t="s">
        <v>14</v>
      </c>
      <c r="I2202" s="3">
        <v>0.0</v>
      </c>
      <c r="J2202" s="3" t="s">
        <v>15</v>
      </c>
    </row>
    <row r="2203">
      <c r="A2203" s="3"/>
      <c r="B2203" s="3"/>
      <c r="C2203" s="3" t="s">
        <v>17</v>
      </c>
      <c r="D2203" s="4" t="s">
        <v>1814</v>
      </c>
      <c r="E2203" s="3" t="s">
        <v>1815</v>
      </c>
      <c r="F2203" s="5">
        <v>46224.79865740741</v>
      </c>
      <c r="G2203" s="5">
        <v>46224.69732638889</v>
      </c>
      <c r="H2203" s="3" t="s">
        <v>14</v>
      </c>
      <c r="I2203" s="7">
        <v>0.0</v>
      </c>
      <c r="J2203" s="3" t="s">
        <v>15</v>
      </c>
    </row>
    <row r="2204">
      <c r="A2204" s="3"/>
      <c r="B2204" s="3"/>
      <c r="C2204" s="3" t="s">
        <v>21</v>
      </c>
      <c r="D2204" s="4" t="s">
        <v>1814</v>
      </c>
      <c r="E2204" s="3" t="s">
        <v>1815</v>
      </c>
      <c r="F2204" s="5">
        <v>46225.46527777778</v>
      </c>
      <c r="G2204" s="5">
        <v>46224.81690972222</v>
      </c>
      <c r="H2204" s="3" t="s">
        <v>14</v>
      </c>
      <c r="I2204" s="7">
        <v>0.0</v>
      </c>
      <c r="J2204" s="3" t="s">
        <v>15</v>
      </c>
    </row>
    <row r="2205">
      <c r="A2205" s="3"/>
      <c r="B2205" s="3"/>
      <c r="C2205" s="3" t="s">
        <v>24</v>
      </c>
      <c r="D2205" s="4" t="s">
        <v>1814</v>
      </c>
      <c r="E2205" s="3" t="s">
        <v>1815</v>
      </c>
      <c r="F2205" s="5">
        <v>46226.46527777778</v>
      </c>
      <c r="G2205" s="5">
        <v>46224.81694444444</v>
      </c>
      <c r="H2205" s="3" t="s">
        <v>14</v>
      </c>
      <c r="I2205" s="7">
        <v>0.0</v>
      </c>
      <c r="J2205" s="3" t="s">
        <v>15</v>
      </c>
    </row>
    <row r="2206">
      <c r="A2206" s="3"/>
      <c r="B2206" s="3"/>
      <c r="C2206" s="3" t="s">
        <v>26</v>
      </c>
      <c r="D2206" s="4" t="s">
        <v>1814</v>
      </c>
      <c r="E2206" s="3" t="s">
        <v>1815</v>
      </c>
      <c r="F2206" s="5">
        <v>46226.506944444445</v>
      </c>
      <c r="G2206" s="5">
        <v>46224.81700231481</v>
      </c>
      <c r="H2206" s="3" t="s">
        <v>14</v>
      </c>
      <c r="I2206" s="7">
        <v>0.0</v>
      </c>
      <c r="J2206" s="3" t="s">
        <v>15</v>
      </c>
    </row>
    <row r="2207">
      <c r="A2207" s="3"/>
      <c r="B2207" s="3"/>
      <c r="C2207" s="3" t="s">
        <v>10</v>
      </c>
      <c r="D2207" s="4" t="s">
        <v>1817</v>
      </c>
      <c r="E2207" s="3" t="s">
        <v>1716</v>
      </c>
      <c r="F2207" s="5">
        <v>46225.59318287037</v>
      </c>
      <c r="G2207" s="5">
        <v>46225.44678240741</v>
      </c>
      <c r="H2207" s="3" t="s">
        <v>14</v>
      </c>
      <c r="I2207" s="3">
        <v>0.0</v>
      </c>
      <c r="J2207" s="3" t="s">
        <v>61</v>
      </c>
    </row>
    <row r="2208">
      <c r="A2208" s="3"/>
      <c r="B2208" s="3"/>
      <c r="C2208" s="3" t="s">
        <v>17</v>
      </c>
      <c r="D2208" s="4" t="s">
        <v>1817</v>
      </c>
      <c r="E2208" s="3" t="s">
        <v>1716</v>
      </c>
      <c r="F2208" s="5">
        <v>46225.600127314814</v>
      </c>
      <c r="G2208" s="5">
        <v>46225.44688657407</v>
      </c>
      <c r="H2208" s="3" t="s">
        <v>14</v>
      </c>
      <c r="I2208" s="7">
        <v>0.0</v>
      </c>
      <c r="J2208" s="3" t="s">
        <v>61</v>
      </c>
    </row>
    <row r="2209">
      <c r="A2209" s="3"/>
      <c r="B2209" s="3"/>
      <c r="C2209" s="3" t="s">
        <v>21</v>
      </c>
      <c r="D2209" s="4" t="s">
        <v>1817</v>
      </c>
      <c r="E2209" s="3" t="s">
        <v>1716</v>
      </c>
      <c r="F2209" s="5">
        <v>46225.70429398148</v>
      </c>
      <c r="G2209" s="5">
        <v>46225.44693287037</v>
      </c>
      <c r="H2209" s="3" t="s">
        <v>14</v>
      </c>
      <c r="I2209" s="7">
        <v>0.0</v>
      </c>
      <c r="J2209" s="3" t="s">
        <v>61</v>
      </c>
    </row>
    <row r="2210">
      <c r="A2210" s="3"/>
      <c r="B2210" s="3"/>
      <c r="C2210" s="3" t="s">
        <v>24</v>
      </c>
      <c r="D2210" s="4" t="s">
        <v>1817</v>
      </c>
      <c r="E2210" s="3" t="s">
        <v>1716</v>
      </c>
      <c r="F2210" s="5">
        <v>46226.70416666667</v>
      </c>
      <c r="G2210" s="5">
        <v>46226.4468287037</v>
      </c>
      <c r="H2210" s="3" t="s">
        <v>14</v>
      </c>
      <c r="I2210" s="7">
        <v>0.0</v>
      </c>
      <c r="J2210" s="3" t="s">
        <v>61</v>
      </c>
    </row>
    <row r="2211">
      <c r="A2211" s="3"/>
      <c r="B2211" s="3"/>
      <c r="C2211" s="3" t="s">
        <v>26</v>
      </c>
      <c r="D2211" s="4" t="s">
        <v>1817</v>
      </c>
      <c r="E2211" s="3" t="s">
        <v>1716</v>
      </c>
      <c r="F2211" s="5">
        <v>46226.745833333334</v>
      </c>
      <c r="G2211" s="5">
        <v>46226.446921296294</v>
      </c>
      <c r="H2211" s="3" t="s">
        <v>14</v>
      </c>
      <c r="I2211" s="7">
        <v>0.0</v>
      </c>
      <c r="J2211" s="3" t="s">
        <v>61</v>
      </c>
    </row>
    <row r="2212">
      <c r="A2212" s="3"/>
      <c r="B2212" s="3"/>
      <c r="C2212" s="3" t="s">
        <v>10</v>
      </c>
      <c r="D2212" s="4" t="s">
        <v>1821</v>
      </c>
      <c r="E2212" s="3" t="s">
        <v>1716</v>
      </c>
      <c r="F2212" s="5">
        <v>46225.59619212963</v>
      </c>
      <c r="G2212" s="5">
        <v>46225.446805555555</v>
      </c>
      <c r="H2212" s="3" t="s">
        <v>14</v>
      </c>
      <c r="I2212" s="3">
        <v>0.0</v>
      </c>
      <c r="J2212" s="3" t="s">
        <v>48</v>
      </c>
    </row>
    <row r="2213">
      <c r="A2213" s="3"/>
      <c r="B2213" s="3"/>
      <c r="C2213" s="3" t="s">
        <v>17</v>
      </c>
      <c r="D2213" s="4" t="s">
        <v>1821</v>
      </c>
      <c r="E2213" s="3" t="s">
        <v>1716</v>
      </c>
      <c r="F2213" s="5">
        <v>46225.60313657407</v>
      </c>
      <c r="G2213" s="5">
        <v>46225.446909722225</v>
      </c>
      <c r="H2213" s="3" t="s">
        <v>14</v>
      </c>
      <c r="I2213" s="7">
        <v>0.0</v>
      </c>
      <c r="J2213" s="3" t="s">
        <v>48</v>
      </c>
    </row>
    <row r="2214">
      <c r="A2214" s="3"/>
      <c r="B2214" s="3"/>
      <c r="C2214" s="3" t="s">
        <v>21</v>
      </c>
      <c r="D2214" s="4" t="s">
        <v>1821</v>
      </c>
      <c r="E2214" s="3" t="s">
        <v>1716</v>
      </c>
      <c r="F2214" s="5">
        <v>46225.70730324074</v>
      </c>
      <c r="G2214" s="5">
        <v>46225.44694444445</v>
      </c>
      <c r="H2214" s="3" t="s">
        <v>14</v>
      </c>
      <c r="I2214" s="7">
        <v>0.0</v>
      </c>
      <c r="J2214" s="3" t="s">
        <v>48</v>
      </c>
    </row>
    <row r="2215">
      <c r="A2215" s="3"/>
      <c r="B2215" s="3"/>
      <c r="C2215" s="3" t="s">
        <v>24</v>
      </c>
      <c r="D2215" s="4" t="s">
        <v>1821</v>
      </c>
      <c r="E2215" s="3" t="s">
        <v>1716</v>
      </c>
      <c r="F2215" s="5">
        <v>46226.70694444444</v>
      </c>
      <c r="G2215" s="5">
        <v>46226.60800925926</v>
      </c>
      <c r="H2215" s="3" t="s">
        <v>14</v>
      </c>
      <c r="I2215" s="7">
        <v>0.0</v>
      </c>
      <c r="J2215" s="3" t="s">
        <v>48</v>
      </c>
    </row>
    <row r="2216">
      <c r="A2216" s="3"/>
      <c r="B2216" s="3"/>
      <c r="C2216" s="3" t="s">
        <v>26</v>
      </c>
      <c r="D2216" s="4" t="s">
        <v>1821</v>
      </c>
      <c r="E2216" s="3" t="s">
        <v>1716</v>
      </c>
      <c r="F2216" s="5">
        <v>46226.748611111114</v>
      </c>
      <c r="G2216" s="5">
        <v>46226.72876157407</v>
      </c>
      <c r="H2216" s="3" t="s">
        <v>14</v>
      </c>
      <c r="I2216" s="7">
        <v>0.0</v>
      </c>
      <c r="J2216" s="3" t="s">
        <v>48</v>
      </c>
    </row>
    <row r="2217">
      <c r="A2217" s="3"/>
      <c r="B2217" s="3"/>
      <c r="C2217" s="3" t="s">
        <v>10</v>
      </c>
      <c r="D2217" s="4" t="s">
        <v>1824</v>
      </c>
      <c r="E2217" s="3" t="s">
        <v>1825</v>
      </c>
      <c r="F2217" s="5">
        <v>46225.62980324074</v>
      </c>
      <c r="G2217" s="5">
        <v>46225.472280092596</v>
      </c>
      <c r="H2217" s="3" t="s">
        <v>14</v>
      </c>
      <c r="I2217" s="3">
        <v>0.0</v>
      </c>
      <c r="J2217" s="3" t="s">
        <v>72</v>
      </c>
    </row>
    <row r="2218">
      <c r="A2218" s="3"/>
      <c r="B2218" s="3"/>
      <c r="C2218" s="3" t="s">
        <v>17</v>
      </c>
      <c r="D2218" s="4" t="s">
        <v>1824</v>
      </c>
      <c r="E2218" s="3" t="s">
        <v>1825</v>
      </c>
      <c r="F2218" s="5">
        <v>46225.63674768519</v>
      </c>
      <c r="G2218" s="5">
        <v>46225.47252314815</v>
      </c>
      <c r="H2218" s="3" t="s">
        <v>14</v>
      </c>
      <c r="I2218" s="7">
        <v>0.0</v>
      </c>
      <c r="J2218" s="3" t="s">
        <v>72</v>
      </c>
    </row>
    <row r="2219">
      <c r="A2219" s="3"/>
      <c r="B2219" s="3"/>
      <c r="C2219" s="3" t="s">
        <v>21</v>
      </c>
      <c r="D2219" s="4" t="s">
        <v>1824</v>
      </c>
      <c r="E2219" s="3" t="s">
        <v>1825</v>
      </c>
      <c r="F2219" s="5">
        <v>46225.74091435185</v>
      </c>
      <c r="G2219" s="5">
        <v>46225.548946759256</v>
      </c>
      <c r="H2219" s="3" t="s">
        <v>14</v>
      </c>
      <c r="I2219" s="7">
        <v>0.0</v>
      </c>
      <c r="J2219" s="3" t="s">
        <v>72</v>
      </c>
    </row>
    <row r="2220">
      <c r="A2220" s="3"/>
      <c r="B2220" s="3"/>
      <c r="C2220" s="3" t="s">
        <v>24</v>
      </c>
      <c r="D2220" s="4" t="s">
        <v>1824</v>
      </c>
      <c r="E2220" s="3" t="s">
        <v>1825</v>
      </c>
      <c r="F2220" s="5">
        <v>46226.740277777775</v>
      </c>
      <c r="G2220" s="5">
        <v>46226.44702546296</v>
      </c>
      <c r="H2220" s="3" t="s">
        <v>14</v>
      </c>
      <c r="I2220" s="7">
        <v>0.0</v>
      </c>
      <c r="J2220" s="3" t="s">
        <v>72</v>
      </c>
    </row>
    <row r="2221">
      <c r="A2221" s="3"/>
      <c r="B2221" s="3"/>
      <c r="C2221" s="3" t="s">
        <v>26</v>
      </c>
      <c r="D2221" s="4" t="s">
        <v>1824</v>
      </c>
      <c r="E2221" s="3" t="s">
        <v>1825</v>
      </c>
      <c r="F2221" s="5">
        <v>46226.78194444445</v>
      </c>
      <c r="G2221" s="5">
        <v>46226.44704861111</v>
      </c>
      <c r="H2221" s="3" t="s">
        <v>14</v>
      </c>
      <c r="I2221" s="7">
        <v>0.0</v>
      </c>
      <c r="J2221" s="3" t="s">
        <v>72</v>
      </c>
    </row>
    <row r="2222">
      <c r="A2222" s="3"/>
      <c r="B2222" s="3"/>
      <c r="C2222" s="3" t="s">
        <v>10</v>
      </c>
      <c r="D2222" s="4" t="s">
        <v>1827</v>
      </c>
      <c r="E2222" s="3" t="s">
        <v>882</v>
      </c>
      <c r="F2222" s="5">
        <v>46225.76930555556</v>
      </c>
      <c r="G2222" s="5">
        <v>46225.658854166664</v>
      </c>
      <c r="H2222" s="3" t="s">
        <v>14</v>
      </c>
      <c r="I2222" s="3">
        <v>0.0</v>
      </c>
      <c r="J2222" s="3" t="s">
        <v>15</v>
      </c>
    </row>
    <row r="2223">
      <c r="A2223" s="3"/>
      <c r="B2223" s="3"/>
      <c r="C2223" s="3" t="s">
        <v>17</v>
      </c>
      <c r="D2223" s="4" t="s">
        <v>1827</v>
      </c>
      <c r="E2223" s="3" t="s">
        <v>882</v>
      </c>
      <c r="F2223" s="5">
        <v>46225.77625</v>
      </c>
      <c r="G2223" s="5">
        <v>46225.65971064815</v>
      </c>
      <c r="H2223" s="3" t="s">
        <v>14</v>
      </c>
      <c r="I2223" s="7">
        <v>0.0</v>
      </c>
      <c r="J2223" s="3" t="s">
        <v>15</v>
      </c>
    </row>
    <row r="2224">
      <c r="A2224" s="3"/>
      <c r="B2224" s="3"/>
      <c r="C2224" s="3" t="s">
        <v>21</v>
      </c>
      <c r="D2224" s="4" t="s">
        <v>1827</v>
      </c>
      <c r="E2224" s="3" t="s">
        <v>882</v>
      </c>
      <c r="F2224" s="5">
        <v>46226.48402777778</v>
      </c>
      <c r="G2224" s="5">
        <v>46225.66006944444</v>
      </c>
      <c r="H2224" s="3" t="s">
        <v>14</v>
      </c>
      <c r="I2224" s="7">
        <v>0.0</v>
      </c>
      <c r="J2224" s="3" t="s">
        <v>15</v>
      </c>
    </row>
    <row r="2225">
      <c r="A2225" s="3"/>
      <c r="B2225" s="3"/>
      <c r="C2225" s="3" t="s">
        <v>24</v>
      </c>
      <c r="D2225" s="4" t="s">
        <v>1827</v>
      </c>
      <c r="E2225" s="3" t="s">
        <v>882</v>
      </c>
      <c r="F2225" s="5">
        <v>46227.48402777778</v>
      </c>
      <c r="G2225" s="5">
        <v>46226.72891203704</v>
      </c>
      <c r="H2225" s="3" t="s">
        <v>14</v>
      </c>
      <c r="I2225" s="7">
        <v>0.0</v>
      </c>
      <c r="J2225" s="3" t="s">
        <v>15</v>
      </c>
    </row>
    <row r="2226">
      <c r="A2226" s="3"/>
      <c r="B2226" s="3"/>
      <c r="C2226" s="3" t="s">
        <v>26</v>
      </c>
      <c r="D2226" s="4" t="s">
        <v>1827</v>
      </c>
      <c r="E2226" s="3" t="s">
        <v>882</v>
      </c>
      <c r="F2226" s="5">
        <v>46227.52569444444</v>
      </c>
      <c r="G2226" s="5">
        <v>46226.728946759256</v>
      </c>
      <c r="H2226" s="3" t="s">
        <v>14</v>
      </c>
      <c r="I2226" s="7">
        <v>0.0</v>
      </c>
      <c r="J2226" s="3" t="s">
        <v>15</v>
      </c>
    </row>
    <row r="2227">
      <c r="A2227" s="3"/>
      <c r="B2227" s="3"/>
      <c r="C2227" s="3" t="s">
        <v>10</v>
      </c>
      <c r="D2227" s="4" t="s">
        <v>1829</v>
      </c>
      <c r="E2227" s="3" t="s">
        <v>1830</v>
      </c>
      <c r="F2227" s="5">
        <v>46226.63637731481</v>
      </c>
      <c r="G2227" s="5">
        <v>46226.48069444444</v>
      </c>
      <c r="H2227" s="3" t="s">
        <v>14</v>
      </c>
      <c r="I2227" s="3">
        <v>0.0</v>
      </c>
      <c r="J2227" s="3" t="s">
        <v>48</v>
      </c>
    </row>
    <row r="2228">
      <c r="A2228" s="3"/>
      <c r="B2228" s="3"/>
      <c r="C2228" s="3" t="s">
        <v>17</v>
      </c>
      <c r="D2228" s="4" t="s">
        <v>1829</v>
      </c>
      <c r="E2228" s="3" t="s">
        <v>1830</v>
      </c>
      <c r="F2228" s="5">
        <v>46226.64332175926</v>
      </c>
      <c r="G2228" s="5">
        <v>46226.48097222222</v>
      </c>
      <c r="H2228" s="3" t="s">
        <v>14</v>
      </c>
      <c r="I2228" s="7">
        <v>0.0</v>
      </c>
      <c r="J2228" s="3" t="s">
        <v>48</v>
      </c>
    </row>
    <row r="2229">
      <c r="A2229" s="3"/>
      <c r="B2229" s="3"/>
      <c r="C2229" s="3" t="s">
        <v>21</v>
      </c>
      <c r="D2229" s="4" t="s">
        <v>1829</v>
      </c>
      <c r="E2229" s="3" t="s">
        <v>1830</v>
      </c>
      <c r="F2229" s="5">
        <v>46226.74748842593</v>
      </c>
      <c r="G2229" s="5">
        <v>46226.60763888889</v>
      </c>
      <c r="H2229" s="3" t="s">
        <v>14</v>
      </c>
      <c r="I2229" s="7">
        <v>0.0</v>
      </c>
      <c r="J2229" s="3" t="s">
        <v>48</v>
      </c>
    </row>
    <row r="2230">
      <c r="A2230" s="3"/>
      <c r="B2230" s="3"/>
      <c r="C2230" s="3" t="s">
        <v>24</v>
      </c>
      <c r="D2230" s="4" t="s">
        <v>1829</v>
      </c>
      <c r="E2230" s="3" t="s">
        <v>1830</v>
      </c>
      <c r="F2230" s="5">
        <v>46227.74722222222</v>
      </c>
      <c r="G2230" s="5">
        <v>46227.48672453704</v>
      </c>
      <c r="H2230" s="3" t="s">
        <v>14</v>
      </c>
      <c r="I2230" s="7">
        <v>0.0</v>
      </c>
      <c r="J2230" s="3" t="s">
        <v>48</v>
      </c>
    </row>
    <row r="2231">
      <c r="A2231" s="3"/>
      <c r="B2231" s="3"/>
      <c r="C2231" s="3" t="s">
        <v>26</v>
      </c>
      <c r="D2231" s="4" t="s">
        <v>1829</v>
      </c>
      <c r="E2231" s="3" t="s">
        <v>1830</v>
      </c>
      <c r="F2231" s="5">
        <v>46227.78888888889</v>
      </c>
      <c r="G2231" s="5">
        <v>46227.486759259256</v>
      </c>
      <c r="H2231" s="3" t="s">
        <v>14</v>
      </c>
      <c r="I2231" s="7">
        <v>0.0</v>
      </c>
      <c r="J2231" s="3" t="s">
        <v>48</v>
      </c>
    </row>
    <row r="2232">
      <c r="A2232" s="3"/>
      <c r="B2232" s="3"/>
      <c r="C2232" s="3" t="s">
        <v>10</v>
      </c>
      <c r="D2232" s="4" t="s">
        <v>1832</v>
      </c>
      <c r="E2232" s="3" t="s">
        <v>1833</v>
      </c>
      <c r="F2232" s="5">
        <v>46226.64494212963</v>
      </c>
      <c r="G2232" s="5">
        <v>46226.48086805556</v>
      </c>
      <c r="H2232" s="3" t="s">
        <v>14</v>
      </c>
      <c r="I2232" s="3">
        <v>0.0</v>
      </c>
      <c r="J2232" s="3" t="s">
        <v>61</v>
      </c>
    </row>
    <row r="2233">
      <c r="A2233" s="3"/>
      <c r="B2233" s="3"/>
      <c r="C2233" s="3" t="s">
        <v>17</v>
      </c>
      <c r="D2233" s="4" t="s">
        <v>1832</v>
      </c>
      <c r="E2233" s="3" t="s">
        <v>1833</v>
      </c>
      <c r="F2233" s="5">
        <v>46226.65188657407</v>
      </c>
      <c r="G2233" s="5">
        <v>46226.48099537037</v>
      </c>
      <c r="H2233" s="3" t="s">
        <v>14</v>
      </c>
      <c r="I2233" s="7">
        <v>0.0</v>
      </c>
      <c r="J2233" s="3" t="s">
        <v>61</v>
      </c>
    </row>
    <row r="2234">
      <c r="A2234" s="3"/>
      <c r="B2234" s="3"/>
      <c r="C2234" s="3" t="s">
        <v>21</v>
      </c>
      <c r="D2234" s="4" t="s">
        <v>1832</v>
      </c>
      <c r="E2234" s="3" t="s">
        <v>1833</v>
      </c>
      <c r="F2234" s="5">
        <v>46226.756053240744</v>
      </c>
      <c r="G2234" s="5">
        <v>46226.60766203704</v>
      </c>
      <c r="H2234" s="3" t="s">
        <v>14</v>
      </c>
      <c r="I2234" s="7">
        <v>0.0</v>
      </c>
      <c r="J2234" s="3" t="s">
        <v>61</v>
      </c>
    </row>
    <row r="2235">
      <c r="A2235" s="3"/>
      <c r="B2235" s="3"/>
      <c r="C2235" s="3" t="s">
        <v>24</v>
      </c>
      <c r="D2235" s="4" t="s">
        <v>1832</v>
      </c>
      <c r="E2235" s="3" t="s">
        <v>1833</v>
      </c>
      <c r="F2235" s="5">
        <v>46227.75555555556</v>
      </c>
      <c r="G2235" s="5">
        <v>46226.72918981482</v>
      </c>
      <c r="H2235" s="3" t="s">
        <v>14</v>
      </c>
      <c r="I2235" s="7">
        <v>0.0</v>
      </c>
      <c r="J2235" s="3" t="s">
        <v>61</v>
      </c>
    </row>
    <row r="2236">
      <c r="A2236" s="3"/>
      <c r="B2236" s="3"/>
      <c r="C2236" s="3" t="s">
        <v>26</v>
      </c>
      <c r="D2236" s="4" t="s">
        <v>1832</v>
      </c>
      <c r="E2236" s="3" t="s">
        <v>1833</v>
      </c>
      <c r="F2236" s="5">
        <v>46227.79722222222</v>
      </c>
      <c r="G2236" s="5">
        <v>46226.72920138889</v>
      </c>
      <c r="H2236" s="3" t="s">
        <v>14</v>
      </c>
      <c r="I2236" s="7">
        <v>0.0</v>
      </c>
      <c r="J2236" s="3" t="s">
        <v>61</v>
      </c>
    </row>
    <row r="2237">
      <c r="A2237" s="3"/>
      <c r="B2237" s="3"/>
      <c r="C2237" s="3" t="s">
        <v>10</v>
      </c>
      <c r="D2237" s="4" t="s">
        <v>1838</v>
      </c>
      <c r="E2237" s="3" t="s">
        <v>166</v>
      </c>
      <c r="F2237" s="5">
        <v>46226.681076388886</v>
      </c>
      <c r="G2237" s="5">
        <v>46226.607199074075</v>
      </c>
      <c r="H2237" s="3" t="s">
        <v>14</v>
      </c>
      <c r="I2237" s="3">
        <v>0.0</v>
      </c>
      <c r="J2237" s="3" t="s">
        <v>15</v>
      </c>
    </row>
    <row r="2238">
      <c r="A2238" s="3"/>
      <c r="B2238" s="3"/>
      <c r="C2238" s="3" t="s">
        <v>17</v>
      </c>
      <c r="D2238" s="4" t="s">
        <v>1838</v>
      </c>
      <c r="E2238" s="3" t="s">
        <v>166</v>
      </c>
      <c r="F2238" s="5">
        <v>46226.68802083333</v>
      </c>
      <c r="G2238" s="5">
        <v>46226.607523148145</v>
      </c>
      <c r="H2238" s="3" t="s">
        <v>14</v>
      </c>
      <c r="I2238" s="7">
        <v>0.0</v>
      </c>
      <c r="J2238" s="3" t="s">
        <v>15</v>
      </c>
    </row>
    <row r="2239">
      <c r="A2239" s="3"/>
      <c r="B2239" s="3"/>
      <c r="C2239" s="3" t="s">
        <v>21</v>
      </c>
      <c r="D2239" s="4" t="s">
        <v>1838</v>
      </c>
      <c r="E2239" s="3" t="s">
        <v>166</v>
      </c>
      <c r="F2239" s="5">
        <v>46226.7921875</v>
      </c>
      <c r="G2239" s="5">
        <v>46226.60770833334</v>
      </c>
      <c r="H2239" s="3" t="s">
        <v>14</v>
      </c>
      <c r="I2239" s="7">
        <v>0.0</v>
      </c>
      <c r="J2239" s="3" t="s">
        <v>15</v>
      </c>
    </row>
    <row r="2240">
      <c r="A2240" s="3"/>
      <c r="B2240" s="3"/>
      <c r="C2240" s="3" t="s">
        <v>24</v>
      </c>
      <c r="D2240" s="4" t="s">
        <v>1838</v>
      </c>
      <c r="E2240" s="3" t="s">
        <v>166</v>
      </c>
      <c r="F2240" s="5">
        <v>46227.791666666664</v>
      </c>
      <c r="G2240" s="5">
        <v>46227.44431712963</v>
      </c>
      <c r="H2240" s="3" t="s">
        <v>14</v>
      </c>
      <c r="I2240" s="7">
        <v>0.0</v>
      </c>
      <c r="J2240" s="3" t="s">
        <v>15</v>
      </c>
    </row>
    <row r="2241">
      <c r="A2241" s="3"/>
      <c r="B2241" s="3"/>
      <c r="C2241" s="3" t="s">
        <v>26</v>
      </c>
      <c r="D2241" s="4" t="s">
        <v>1838</v>
      </c>
      <c r="E2241" s="3" t="s">
        <v>166</v>
      </c>
      <c r="F2241" s="5">
        <v>46228.416666666664</v>
      </c>
      <c r="G2241" s="5">
        <v>46227.44436342592</v>
      </c>
      <c r="H2241" s="3" t="s">
        <v>14</v>
      </c>
      <c r="I2241" s="7">
        <v>0.0</v>
      </c>
      <c r="J2241" s="3" t="s">
        <v>15</v>
      </c>
    </row>
    <row r="2242">
      <c r="A2242" s="3"/>
      <c r="B2242" s="3"/>
      <c r="C2242" s="3" t="s">
        <v>10</v>
      </c>
      <c r="D2242" s="4" t="s">
        <v>1841</v>
      </c>
      <c r="E2242" s="3" t="s">
        <v>1842</v>
      </c>
      <c r="F2242" s="5">
        <v>46226.761516203704</v>
      </c>
      <c r="G2242" s="5">
        <v>46226.607199074075</v>
      </c>
      <c r="H2242" s="3" t="s">
        <v>14</v>
      </c>
      <c r="I2242" s="3">
        <v>0.0</v>
      </c>
      <c r="J2242" s="3" t="s">
        <v>48</v>
      </c>
    </row>
    <row r="2243">
      <c r="A2243" s="3"/>
      <c r="B2243" s="3"/>
      <c r="C2243" s="3" t="s">
        <v>17</v>
      </c>
      <c r="D2243" s="4" t="s">
        <v>1841</v>
      </c>
      <c r="E2243" s="3" t="s">
        <v>1842</v>
      </c>
      <c r="F2243" s="5">
        <v>46226.76846064815</v>
      </c>
      <c r="G2243" s="5">
        <v>46226.6075462963</v>
      </c>
      <c r="H2243" s="3" t="s">
        <v>14</v>
      </c>
      <c r="I2243" s="7">
        <v>0.0</v>
      </c>
      <c r="J2243" s="3" t="s">
        <v>48</v>
      </c>
    </row>
    <row r="2244">
      <c r="A2244" s="3"/>
      <c r="B2244" s="3"/>
      <c r="C2244" s="3" t="s">
        <v>21</v>
      </c>
      <c r="D2244" s="4" t="s">
        <v>1841</v>
      </c>
      <c r="E2244" s="3" t="s">
        <v>1842</v>
      </c>
      <c r="F2244" s="5">
        <v>46227.43472222222</v>
      </c>
      <c r="G2244" s="5">
        <v>46226.607719907406</v>
      </c>
      <c r="H2244" s="3" t="s">
        <v>14</v>
      </c>
      <c r="I2244" s="7">
        <v>0.0</v>
      </c>
      <c r="J2244" s="3" t="s">
        <v>48</v>
      </c>
    </row>
    <row r="2245">
      <c r="A2245" s="3"/>
      <c r="B2245" s="3"/>
      <c r="C2245" s="3" t="s">
        <v>24</v>
      </c>
      <c r="D2245" s="4" t="s">
        <v>1841</v>
      </c>
      <c r="E2245" s="3" t="s">
        <v>1842</v>
      </c>
      <c r="F2245" s="5">
        <v>46228.43472222222</v>
      </c>
      <c r="G2245" s="5">
        <v>46227.6628587963</v>
      </c>
      <c r="H2245" s="3" t="s">
        <v>14</v>
      </c>
      <c r="I2245" s="7">
        <v>0.0</v>
      </c>
      <c r="J2245" s="3" t="s">
        <v>48</v>
      </c>
    </row>
    <row r="2246">
      <c r="A2246" s="3"/>
      <c r="B2246" s="3"/>
      <c r="C2246" s="3" t="s">
        <v>26</v>
      </c>
      <c r="D2246" s="4" t="s">
        <v>1841</v>
      </c>
      <c r="E2246" s="3" t="s">
        <v>1842</v>
      </c>
      <c r="F2246" s="5">
        <v>46228.47638888889</v>
      </c>
      <c r="G2246" s="5">
        <v>46227.662881944445</v>
      </c>
      <c r="H2246" s="3" t="s">
        <v>14</v>
      </c>
      <c r="I2246" s="7">
        <v>0.0</v>
      </c>
      <c r="J2246" s="3" t="s">
        <v>48</v>
      </c>
    </row>
    <row r="2247">
      <c r="A2247" s="3"/>
      <c r="B2247" s="3"/>
      <c r="C2247" s="3" t="s">
        <v>10</v>
      </c>
      <c r="D2247" s="4" t="s">
        <v>1846</v>
      </c>
      <c r="E2247" s="3" t="s">
        <v>1847</v>
      </c>
      <c r="F2247" s="5">
        <v>46226.76290509259</v>
      </c>
      <c r="G2247" s="5">
        <v>46226.60724537037</v>
      </c>
      <c r="H2247" s="3" t="s">
        <v>14</v>
      </c>
      <c r="I2247" s="3">
        <v>0.0</v>
      </c>
      <c r="J2247" s="3" t="s">
        <v>72</v>
      </c>
    </row>
    <row r="2248">
      <c r="A2248" s="3"/>
      <c r="B2248" s="3"/>
      <c r="C2248" s="3" t="s">
        <v>17</v>
      </c>
      <c r="D2248" s="4" t="s">
        <v>1846</v>
      </c>
      <c r="E2248" s="3" t="s">
        <v>1847</v>
      </c>
      <c r="F2248" s="5">
        <v>46226.769849537035</v>
      </c>
      <c r="G2248" s="5">
        <v>46226.607569444444</v>
      </c>
      <c r="H2248" s="3" t="s">
        <v>14</v>
      </c>
      <c r="I2248" s="7">
        <v>0.0</v>
      </c>
      <c r="J2248" s="3" t="s">
        <v>72</v>
      </c>
    </row>
    <row r="2249">
      <c r="A2249" s="3"/>
      <c r="B2249" s="3"/>
      <c r="C2249" s="3" t="s">
        <v>21</v>
      </c>
      <c r="D2249" s="4" t="s">
        <v>1846</v>
      </c>
      <c r="E2249" s="3" t="s">
        <v>1847</v>
      </c>
      <c r="F2249" s="5">
        <v>46227.436111111114</v>
      </c>
      <c r="G2249" s="5">
        <v>46226.60774305555</v>
      </c>
      <c r="H2249" s="3" t="s">
        <v>14</v>
      </c>
      <c r="I2249" s="7">
        <v>0.0</v>
      </c>
      <c r="J2249" s="3" t="s">
        <v>72</v>
      </c>
    </row>
    <row r="2250">
      <c r="A2250" s="3"/>
      <c r="B2250" s="3"/>
      <c r="C2250" s="3" t="s">
        <v>24</v>
      </c>
      <c r="D2250" s="4" t="s">
        <v>1846</v>
      </c>
      <c r="E2250" s="3" t="s">
        <v>1847</v>
      </c>
      <c r="F2250" s="5">
        <v>46228.436111111114</v>
      </c>
      <c r="G2250" s="5">
        <v>46226.72950231482</v>
      </c>
      <c r="H2250" s="3" t="s">
        <v>14</v>
      </c>
      <c r="I2250" s="7">
        <v>0.0</v>
      </c>
      <c r="J2250" s="3" t="s">
        <v>72</v>
      </c>
    </row>
    <row r="2251">
      <c r="A2251" s="3"/>
      <c r="B2251" s="3"/>
      <c r="C2251" s="3" t="s">
        <v>26</v>
      </c>
      <c r="D2251" s="4" t="s">
        <v>1846</v>
      </c>
      <c r="E2251" s="3" t="s">
        <v>1847</v>
      </c>
      <c r="F2251" s="5">
        <v>46228.47777777778</v>
      </c>
      <c r="G2251" s="5">
        <v>46226.729525462964</v>
      </c>
      <c r="H2251" s="3" t="s">
        <v>14</v>
      </c>
      <c r="I2251" s="7">
        <v>0.0</v>
      </c>
      <c r="J2251" s="3" t="s">
        <v>72</v>
      </c>
    </row>
    <row r="2252">
      <c r="A2252" s="3"/>
      <c r="B2252" s="3"/>
      <c r="C2252" s="3" t="s">
        <v>10</v>
      </c>
      <c r="D2252" s="4" t="s">
        <v>1849</v>
      </c>
      <c r="E2252" s="3" t="s">
        <v>136</v>
      </c>
      <c r="F2252" s="5">
        <v>46226.8281712963</v>
      </c>
      <c r="G2252" s="5">
        <v>46226.727997685186</v>
      </c>
      <c r="H2252" s="3" t="s">
        <v>14</v>
      </c>
      <c r="I2252" s="3">
        <v>0.0</v>
      </c>
      <c r="J2252" s="3" t="s">
        <v>61</v>
      </c>
    </row>
    <row r="2253">
      <c r="A2253" s="3"/>
      <c r="B2253" s="3"/>
      <c r="C2253" s="3" t="s">
        <v>17</v>
      </c>
      <c r="D2253" s="4" t="s">
        <v>1849</v>
      </c>
      <c r="E2253" s="3" t="s">
        <v>136</v>
      </c>
      <c r="F2253" s="5">
        <v>46227.45277777778</v>
      </c>
      <c r="G2253" s="5">
        <v>46226.72809027778</v>
      </c>
      <c r="H2253" s="3" t="s">
        <v>14</v>
      </c>
      <c r="I2253" s="7">
        <v>0.0</v>
      </c>
      <c r="J2253" s="3" t="s">
        <v>61</v>
      </c>
    </row>
    <row r="2254">
      <c r="A2254" s="3"/>
      <c r="B2254" s="3"/>
      <c r="C2254" s="3" t="s">
        <v>21</v>
      </c>
      <c r="D2254" s="4" t="s">
        <v>1849</v>
      </c>
      <c r="E2254" s="3" t="s">
        <v>136</v>
      </c>
      <c r="F2254" s="5">
        <v>46227.55694444444</v>
      </c>
      <c r="G2254" s="5">
        <v>46227.44519675926</v>
      </c>
      <c r="H2254" s="3" t="s">
        <v>14</v>
      </c>
      <c r="I2254" s="7">
        <v>0.0</v>
      </c>
      <c r="J2254" s="3" t="s">
        <v>61</v>
      </c>
    </row>
    <row r="2255">
      <c r="A2255" s="3"/>
      <c r="B2255" s="3"/>
      <c r="C2255" s="3" t="s">
        <v>24</v>
      </c>
      <c r="D2255" s="4" t="s">
        <v>1849</v>
      </c>
      <c r="E2255" s="3" t="s">
        <v>136</v>
      </c>
      <c r="F2255" s="5">
        <v>46228.55694444444</v>
      </c>
      <c r="G2255" s="5">
        <v>46228.43344907407</v>
      </c>
      <c r="H2255" s="3" t="s">
        <v>14</v>
      </c>
      <c r="I2255" s="7">
        <v>0.0</v>
      </c>
      <c r="J2255" s="3" t="s">
        <v>61</v>
      </c>
    </row>
    <row r="2256">
      <c r="A2256" s="3"/>
      <c r="B2256" s="3"/>
      <c r="C2256" s="3" t="s">
        <v>26</v>
      </c>
      <c r="D2256" s="4" t="s">
        <v>1849</v>
      </c>
      <c r="E2256" s="3" t="s">
        <v>136</v>
      </c>
      <c r="F2256" s="5">
        <v>46228.59861111111</v>
      </c>
      <c r="G2256" s="5">
        <v>46228.433483796296</v>
      </c>
      <c r="H2256" s="3" t="s">
        <v>14</v>
      </c>
      <c r="I2256" s="7">
        <v>0.0</v>
      </c>
      <c r="J2256" s="3" t="s">
        <v>61</v>
      </c>
    </row>
    <row r="2257">
      <c r="A2257" s="3"/>
      <c r="B2257" s="3"/>
      <c r="C2257" s="3" t="s">
        <v>10</v>
      </c>
      <c r="D2257" s="4" t="s">
        <v>1852</v>
      </c>
      <c r="E2257" s="3" t="s">
        <v>1853</v>
      </c>
      <c r="F2257" s="5">
        <v>46227.416666666664</v>
      </c>
      <c r="G2257" s="5">
        <v>46226.728159722225</v>
      </c>
      <c r="H2257" s="3" t="s">
        <v>14</v>
      </c>
      <c r="I2257" s="3">
        <v>0.0</v>
      </c>
      <c r="J2257" s="3" t="s">
        <v>48</v>
      </c>
    </row>
    <row r="2258">
      <c r="A2258" s="3"/>
      <c r="B2258" s="3"/>
      <c r="C2258" s="3" t="s">
        <v>17</v>
      </c>
      <c r="D2258" s="4" t="s">
        <v>1852</v>
      </c>
      <c r="E2258" s="3" t="s">
        <v>1853</v>
      </c>
      <c r="F2258" s="5">
        <v>46227.42361111111</v>
      </c>
      <c r="G2258" s="5">
        <v>46226.72822916666</v>
      </c>
      <c r="H2258" s="3" t="s">
        <v>14</v>
      </c>
      <c r="I2258" s="7">
        <v>0.0</v>
      </c>
      <c r="J2258" s="3" t="s">
        <v>48</v>
      </c>
    </row>
    <row r="2259">
      <c r="A2259" s="3"/>
      <c r="B2259" s="3"/>
      <c r="C2259" s="3" t="s">
        <v>21</v>
      </c>
      <c r="D2259" s="4" t="s">
        <v>1852</v>
      </c>
      <c r="E2259" s="3" t="s">
        <v>1853</v>
      </c>
      <c r="F2259" s="5">
        <v>46227.52777777778</v>
      </c>
      <c r="G2259" s="5">
        <v>46227.459074074075</v>
      </c>
      <c r="H2259" s="3" t="s">
        <v>14</v>
      </c>
      <c r="I2259" s="7">
        <v>0.0</v>
      </c>
      <c r="J2259" s="3" t="s">
        <v>48</v>
      </c>
    </row>
    <row r="2260">
      <c r="A2260" s="3"/>
      <c r="B2260" s="3"/>
      <c r="C2260" s="3" t="s">
        <v>24</v>
      </c>
      <c r="D2260" s="4" t="s">
        <v>1852</v>
      </c>
      <c r="E2260" s="3" t="s">
        <v>1853</v>
      </c>
      <c r="F2260" s="5">
        <v>46228.52777777778</v>
      </c>
      <c r="G2260" s="5">
        <v>46227.71203703704</v>
      </c>
      <c r="H2260" s="3" t="s">
        <v>14</v>
      </c>
      <c r="I2260" s="7">
        <v>0.0</v>
      </c>
      <c r="J2260" s="3" t="s">
        <v>48</v>
      </c>
    </row>
    <row r="2261">
      <c r="A2261" s="3"/>
      <c r="B2261" s="3"/>
      <c r="C2261" s="3" t="s">
        <v>26</v>
      </c>
      <c r="D2261" s="4" t="s">
        <v>1852</v>
      </c>
      <c r="E2261" s="3" t="s">
        <v>1853</v>
      </c>
      <c r="F2261" s="5">
        <v>46228.569444444445</v>
      </c>
      <c r="G2261" s="5">
        <v>46227.71207175926</v>
      </c>
      <c r="H2261" s="3" t="s">
        <v>14</v>
      </c>
      <c r="I2261" s="7">
        <v>0.0</v>
      </c>
      <c r="J2261" s="3" t="s">
        <v>48</v>
      </c>
    </row>
    <row r="2262">
      <c r="A2262" s="3"/>
      <c r="B2262" s="3"/>
      <c r="C2262" s="3" t="s">
        <v>10</v>
      </c>
      <c r="D2262" s="4" t="s">
        <v>1857</v>
      </c>
      <c r="E2262" s="3" t="s">
        <v>1858</v>
      </c>
      <c r="F2262" s="5">
        <v>46227.43819444445</v>
      </c>
      <c r="G2262" s="5">
        <v>46226.72827546296</v>
      </c>
      <c r="H2262" s="3" t="s">
        <v>14</v>
      </c>
      <c r="I2262" s="3">
        <v>0.0</v>
      </c>
      <c r="J2262" s="3" t="s">
        <v>72</v>
      </c>
    </row>
    <row r="2263">
      <c r="A2263" s="3"/>
      <c r="B2263" s="3"/>
      <c r="C2263" s="3" t="s">
        <v>17</v>
      </c>
      <c r="D2263" s="4" t="s">
        <v>1857</v>
      </c>
      <c r="E2263" s="3" t="s">
        <v>1858</v>
      </c>
      <c r="F2263" s="5">
        <v>46227.44513888889</v>
      </c>
      <c r="G2263" s="5">
        <v>46226.728541666664</v>
      </c>
      <c r="H2263" s="3" t="s">
        <v>14</v>
      </c>
      <c r="I2263" s="7">
        <v>0.0</v>
      </c>
      <c r="J2263" s="3" t="s">
        <v>72</v>
      </c>
    </row>
    <row r="2264">
      <c r="A2264" s="3"/>
      <c r="B2264" s="3"/>
      <c r="C2264" s="3" t="s">
        <v>21</v>
      </c>
      <c r="D2264" s="4" t="s">
        <v>1857</v>
      </c>
      <c r="E2264" s="3" t="s">
        <v>1858</v>
      </c>
      <c r="F2264" s="5">
        <v>46227.549305555556</v>
      </c>
      <c r="G2264" s="5">
        <v>46227.45909722222</v>
      </c>
      <c r="H2264" s="3" t="s">
        <v>14</v>
      </c>
      <c r="I2264" s="7">
        <v>0.0</v>
      </c>
      <c r="J2264" s="3" t="s">
        <v>72</v>
      </c>
    </row>
    <row r="2265">
      <c r="A2265" s="3"/>
      <c r="B2265" s="3"/>
      <c r="C2265" s="3" t="s">
        <v>24</v>
      </c>
      <c r="D2265" s="4" t="s">
        <v>1857</v>
      </c>
      <c r="E2265" s="3" t="s">
        <v>1858</v>
      </c>
      <c r="F2265" s="5">
        <v>46228.549305555556</v>
      </c>
      <c r="G2265" s="5">
        <v>46227.493483796294</v>
      </c>
      <c r="H2265" s="3" t="s">
        <v>14</v>
      </c>
      <c r="I2265" s="7">
        <v>0.0</v>
      </c>
      <c r="J2265" s="3" t="s">
        <v>72</v>
      </c>
    </row>
    <row r="2266">
      <c r="A2266" s="3"/>
      <c r="B2266" s="3"/>
      <c r="C2266" s="3" t="s">
        <v>26</v>
      </c>
      <c r="D2266" s="4" t="s">
        <v>1857</v>
      </c>
      <c r="E2266" s="3" t="s">
        <v>1858</v>
      </c>
      <c r="F2266" s="5">
        <v>46228.59097222222</v>
      </c>
      <c r="G2266" s="5">
        <v>46227.49353009259</v>
      </c>
      <c r="H2266" s="3" t="s">
        <v>14</v>
      </c>
      <c r="I2266" s="7">
        <v>0.0</v>
      </c>
      <c r="J2266" s="3" t="s">
        <v>72</v>
      </c>
    </row>
    <row r="2267">
      <c r="A2267" s="3"/>
      <c r="B2267" s="3"/>
      <c r="C2267" s="3" t="s">
        <v>10</v>
      </c>
      <c r="D2267" s="4" t="s">
        <v>1860</v>
      </c>
      <c r="E2267" s="3" t="s">
        <v>1861</v>
      </c>
      <c r="F2267" s="5">
        <v>46227.46111111111</v>
      </c>
      <c r="G2267" s="5">
        <v>46226.72829861111</v>
      </c>
      <c r="H2267" s="3" t="s">
        <v>14</v>
      </c>
      <c r="I2267" s="3">
        <v>0.0</v>
      </c>
      <c r="J2267" s="3" t="s">
        <v>48</v>
      </c>
    </row>
    <row r="2268">
      <c r="A2268" s="3"/>
      <c r="B2268" s="3"/>
      <c r="C2268" s="3" t="s">
        <v>17</v>
      </c>
      <c r="D2268" s="4" t="s">
        <v>1860</v>
      </c>
      <c r="E2268" s="3" t="s">
        <v>1861</v>
      </c>
      <c r="F2268" s="5">
        <v>46227.46805555555</v>
      </c>
      <c r="G2268" s="5">
        <v>46226.72856481482</v>
      </c>
      <c r="H2268" s="3" t="s">
        <v>14</v>
      </c>
      <c r="I2268" s="7">
        <v>0.0</v>
      </c>
      <c r="J2268" s="3" t="s">
        <v>48</v>
      </c>
    </row>
    <row r="2269">
      <c r="A2269" s="3"/>
      <c r="B2269" s="3"/>
      <c r="C2269" s="3" t="s">
        <v>21</v>
      </c>
      <c r="D2269" s="4" t="s">
        <v>1860</v>
      </c>
      <c r="E2269" s="3" t="s">
        <v>1861</v>
      </c>
      <c r="F2269" s="5">
        <v>46227.572222222225</v>
      </c>
      <c r="G2269" s="5">
        <v>46227.459131944444</v>
      </c>
      <c r="H2269" s="3" t="s">
        <v>14</v>
      </c>
      <c r="I2269" s="7">
        <v>0.0</v>
      </c>
      <c r="J2269" s="3" t="s">
        <v>48</v>
      </c>
    </row>
    <row r="2270">
      <c r="A2270" s="3"/>
      <c r="B2270" s="3"/>
      <c r="C2270" s="3" t="s">
        <v>24</v>
      </c>
      <c r="D2270" s="4" t="s">
        <v>1860</v>
      </c>
      <c r="E2270" s="3" t="s">
        <v>1861</v>
      </c>
      <c r="F2270" s="5">
        <v>46228.572222222225</v>
      </c>
      <c r="G2270" s="5">
        <v>46228.43200231482</v>
      </c>
      <c r="H2270" s="3" t="s">
        <v>14</v>
      </c>
      <c r="I2270" s="7">
        <v>0.0</v>
      </c>
      <c r="J2270" s="3" t="s">
        <v>48</v>
      </c>
    </row>
    <row r="2271">
      <c r="A2271" s="3"/>
      <c r="B2271" s="3"/>
      <c r="C2271" s="3" t="s">
        <v>26</v>
      </c>
      <c r="D2271" s="4" t="s">
        <v>1860</v>
      </c>
      <c r="E2271" s="3" t="s">
        <v>1861</v>
      </c>
      <c r="F2271" s="5">
        <v>46228.61388888889</v>
      </c>
      <c r="G2271" s="5">
        <v>46228.43203703704</v>
      </c>
      <c r="H2271" s="3" t="s">
        <v>14</v>
      </c>
      <c r="I2271" s="7">
        <v>0.0</v>
      </c>
      <c r="J2271" s="3" t="s">
        <v>48</v>
      </c>
    </row>
    <row r="2272">
      <c r="A2272" s="3"/>
      <c r="B2272" s="3"/>
      <c r="C2272" s="3" t="s">
        <v>10</v>
      </c>
      <c r="D2272" s="4" t="s">
        <v>1869</v>
      </c>
      <c r="E2272" s="3" t="s">
        <v>1870</v>
      </c>
      <c r="F2272" s="5">
        <v>46227.67469907407</v>
      </c>
      <c r="G2272" s="5">
        <v>46227.509050925924</v>
      </c>
      <c r="H2272" s="3" t="s">
        <v>14</v>
      </c>
      <c r="I2272" s="3">
        <v>0.0</v>
      </c>
      <c r="J2272" s="3" t="s">
        <v>48</v>
      </c>
    </row>
    <row r="2273">
      <c r="A2273" s="3"/>
      <c r="B2273" s="3"/>
      <c r="C2273" s="3" t="s">
        <v>17</v>
      </c>
      <c r="D2273" s="4" t="s">
        <v>1869</v>
      </c>
      <c r="E2273" s="3" t="s">
        <v>1870</v>
      </c>
      <c r="F2273" s="5">
        <v>46227.68164351852</v>
      </c>
      <c r="G2273" s="5">
        <v>46227.509108796294</v>
      </c>
      <c r="H2273" s="3" t="s">
        <v>14</v>
      </c>
      <c r="I2273" s="7">
        <v>0.0</v>
      </c>
      <c r="J2273" s="3" t="s">
        <v>48</v>
      </c>
    </row>
    <row r="2274">
      <c r="A2274" s="3"/>
      <c r="B2274" s="3"/>
      <c r="C2274" s="3" t="s">
        <v>21</v>
      </c>
      <c r="D2274" s="4" t="s">
        <v>1869</v>
      </c>
      <c r="E2274" s="3" t="s">
        <v>1870</v>
      </c>
      <c r="F2274" s="5">
        <v>46227.78581018518</v>
      </c>
      <c r="G2274" s="5">
        <v>46227.50914351852</v>
      </c>
      <c r="H2274" s="3" t="s">
        <v>14</v>
      </c>
      <c r="I2274" s="7">
        <v>0.0</v>
      </c>
      <c r="J2274" s="3" t="s">
        <v>48</v>
      </c>
    </row>
    <row r="2275">
      <c r="A2275" s="3"/>
      <c r="B2275" s="3"/>
      <c r="C2275" s="3" t="s">
        <v>24</v>
      </c>
      <c r="D2275" s="4" t="s">
        <v>1869</v>
      </c>
      <c r="E2275" s="3" t="s">
        <v>1870</v>
      </c>
      <c r="F2275" s="5">
        <v>46228.785416666666</v>
      </c>
      <c r="G2275" s="5">
        <v>46227.66258101852</v>
      </c>
      <c r="H2275" s="3" t="s">
        <v>14</v>
      </c>
      <c r="I2275" s="7">
        <v>0.0</v>
      </c>
      <c r="J2275" s="3" t="s">
        <v>48</v>
      </c>
    </row>
    <row r="2276">
      <c r="A2276" s="3"/>
      <c r="B2276" s="3"/>
      <c r="C2276" s="3" t="s">
        <v>26</v>
      </c>
      <c r="D2276" s="4" t="s">
        <v>1869</v>
      </c>
      <c r="E2276" s="3" t="s">
        <v>1870</v>
      </c>
      <c r="F2276" s="5">
        <v>46228.82708333333</v>
      </c>
      <c r="G2276" s="5">
        <v>46227.66260416667</v>
      </c>
      <c r="H2276" s="3" t="s">
        <v>14</v>
      </c>
      <c r="I2276" s="7">
        <v>0.0</v>
      </c>
      <c r="J2276" s="3" t="s">
        <v>48</v>
      </c>
    </row>
    <row r="2277">
      <c r="A2277" s="3"/>
      <c r="B2277" s="3"/>
      <c r="C2277" s="3" t="s">
        <v>10</v>
      </c>
      <c r="D2277" s="4" t="s">
        <v>1872</v>
      </c>
      <c r="E2277" s="3" t="s">
        <v>1873</v>
      </c>
      <c r="F2277" s="5">
        <v>46227.82869212963</v>
      </c>
      <c r="G2277" s="5">
        <v>46227.66232638889</v>
      </c>
      <c r="H2277" s="3" t="s">
        <v>14</v>
      </c>
      <c r="I2277" s="3">
        <v>0.0</v>
      </c>
      <c r="J2277" s="3" t="s">
        <v>61</v>
      </c>
    </row>
    <row r="2278">
      <c r="A2278" s="3"/>
      <c r="B2278" s="3"/>
      <c r="C2278" s="3" t="s">
        <v>17</v>
      </c>
      <c r="D2278" s="4" t="s">
        <v>1872</v>
      </c>
      <c r="E2278" s="3" t="s">
        <v>1873</v>
      </c>
      <c r="F2278" s="5">
        <v>46228.45347222222</v>
      </c>
      <c r="G2278" s="5">
        <v>46227.66237268518</v>
      </c>
      <c r="H2278" s="3" t="s">
        <v>14</v>
      </c>
      <c r="I2278" s="7">
        <v>0.0</v>
      </c>
      <c r="J2278" s="3" t="s">
        <v>61</v>
      </c>
    </row>
    <row r="2279">
      <c r="A2279" s="3"/>
      <c r="B2279" s="3"/>
      <c r="C2279" s="3" t="s">
        <v>21</v>
      </c>
      <c r="D2279" s="4" t="s">
        <v>1872</v>
      </c>
      <c r="E2279" s="3" t="s">
        <v>1873</v>
      </c>
      <c r="F2279" s="5">
        <v>46228.55763888889</v>
      </c>
      <c r="G2279" s="5">
        <v>46227.71192129629</v>
      </c>
      <c r="H2279" s="3" t="s">
        <v>14</v>
      </c>
      <c r="I2279" s="7">
        <v>0.0</v>
      </c>
      <c r="J2279" s="3" t="s">
        <v>61</v>
      </c>
    </row>
    <row r="2280">
      <c r="A2280" s="3"/>
      <c r="B2280" s="3"/>
      <c r="C2280" s="3" t="s">
        <v>24</v>
      </c>
      <c r="D2280" s="4" t="s">
        <v>1872</v>
      </c>
      <c r="E2280" s="3" t="s">
        <v>1873</v>
      </c>
      <c r="F2280" s="5">
        <v>46230.55763888889</v>
      </c>
      <c r="G2280" s="5">
        <v>46227.71194444445</v>
      </c>
      <c r="H2280" s="3" t="s">
        <v>14</v>
      </c>
      <c r="I2280" s="7">
        <v>0.0</v>
      </c>
      <c r="J2280" s="3" t="s">
        <v>61</v>
      </c>
    </row>
    <row r="2281">
      <c r="A2281" s="3"/>
      <c r="B2281" s="3"/>
      <c r="C2281" s="3" t="s">
        <v>26</v>
      </c>
      <c r="D2281" s="4" t="s">
        <v>1872</v>
      </c>
      <c r="E2281" s="3" t="s">
        <v>1873</v>
      </c>
      <c r="F2281" s="5">
        <v>46230.59930555556</v>
      </c>
      <c r="G2281" s="5">
        <v>46227.71196759259</v>
      </c>
      <c r="H2281" s="3" t="s">
        <v>14</v>
      </c>
      <c r="I2281" s="7">
        <v>0.0</v>
      </c>
      <c r="J2281" s="3" t="s">
        <v>61</v>
      </c>
    </row>
    <row r="2282">
      <c r="A2282" s="3"/>
      <c r="B2282" s="3"/>
      <c r="C2282" s="3" t="s">
        <v>10</v>
      </c>
      <c r="D2282" s="4" t="s">
        <v>1875</v>
      </c>
      <c r="E2282" s="3" t="s">
        <v>1716</v>
      </c>
      <c r="F2282" s="5">
        <v>46228.44583333333</v>
      </c>
      <c r="G2282" s="5">
        <v>46227.712222222224</v>
      </c>
      <c r="H2282" s="3" t="s">
        <v>14</v>
      </c>
      <c r="I2282" s="3">
        <v>0.0</v>
      </c>
      <c r="J2282" s="3" t="s">
        <v>48</v>
      </c>
    </row>
    <row r="2283">
      <c r="A2283" s="3"/>
      <c r="B2283" s="3"/>
      <c r="C2283" s="3" t="s">
        <v>17</v>
      </c>
      <c r="D2283" s="4" t="s">
        <v>1875</v>
      </c>
      <c r="E2283" s="3" t="s">
        <v>1716</v>
      </c>
      <c r="F2283" s="5">
        <v>46228.45277777778</v>
      </c>
      <c r="G2283" s="5">
        <v>46227.712488425925</v>
      </c>
      <c r="H2283" s="3" t="s">
        <v>14</v>
      </c>
      <c r="I2283" s="7">
        <v>0.0</v>
      </c>
      <c r="J2283" s="3" t="s">
        <v>48</v>
      </c>
    </row>
    <row r="2284">
      <c r="A2284" s="3"/>
      <c r="B2284" s="3"/>
      <c r="C2284" s="3" t="s">
        <v>21</v>
      </c>
      <c r="D2284" s="4" t="s">
        <v>1875</v>
      </c>
      <c r="E2284" s="3" t="s">
        <v>1716</v>
      </c>
      <c r="F2284" s="5">
        <v>46228.55694444444</v>
      </c>
      <c r="G2284" s="5">
        <v>46228.3615625</v>
      </c>
      <c r="H2284" s="3" t="s">
        <v>14</v>
      </c>
      <c r="I2284" s="7">
        <v>0.0</v>
      </c>
      <c r="J2284" s="3" t="s">
        <v>48</v>
      </c>
    </row>
    <row r="2285">
      <c r="A2285" s="3"/>
      <c r="B2285" s="3"/>
      <c r="C2285" s="3" t="s">
        <v>24</v>
      </c>
      <c r="D2285" s="4" t="s">
        <v>1875</v>
      </c>
      <c r="E2285" s="3" t="s">
        <v>1716</v>
      </c>
      <c r="F2285" s="5">
        <v>46230.55694444444</v>
      </c>
      <c r="G2285" s="5">
        <v>46228.361597222225</v>
      </c>
      <c r="H2285" s="3" t="s">
        <v>14</v>
      </c>
      <c r="I2285" s="7">
        <v>0.0</v>
      </c>
      <c r="J2285" s="3" t="s">
        <v>48</v>
      </c>
    </row>
    <row r="2286">
      <c r="A2286" s="3"/>
      <c r="B2286" s="3"/>
      <c r="C2286" s="3" t="s">
        <v>26</v>
      </c>
      <c r="D2286" s="4" t="s">
        <v>1875</v>
      </c>
      <c r="E2286" s="3" t="s">
        <v>1716</v>
      </c>
      <c r="F2286" s="5">
        <v>46230.59861111111</v>
      </c>
      <c r="G2286" s="5">
        <v>46228.361655092594</v>
      </c>
      <c r="H2286" s="3" t="s">
        <v>14</v>
      </c>
      <c r="I2286" s="7">
        <v>0.0</v>
      </c>
      <c r="J2286" s="3" t="s">
        <v>48</v>
      </c>
    </row>
    <row r="2287">
      <c r="A2287" s="3"/>
      <c r="B2287" s="3"/>
      <c r="C2287" s="3" t="s">
        <v>10</v>
      </c>
      <c r="D2287" s="4" t="s">
        <v>1877</v>
      </c>
      <c r="E2287" s="3" t="s">
        <v>407</v>
      </c>
      <c r="F2287" s="5">
        <v>46228.458333333336</v>
      </c>
      <c r="G2287" s="5">
        <v>46227.71230324074</v>
      </c>
      <c r="H2287" s="3" t="s">
        <v>14</v>
      </c>
      <c r="I2287" s="3">
        <v>0.0</v>
      </c>
      <c r="J2287" s="3" t="s">
        <v>72</v>
      </c>
    </row>
    <row r="2288">
      <c r="A2288" s="3"/>
      <c r="B2288" s="3"/>
      <c r="C2288" s="3" t="s">
        <v>17</v>
      </c>
      <c r="D2288" s="4" t="s">
        <v>1877</v>
      </c>
      <c r="E2288" s="3" t="s">
        <v>407</v>
      </c>
      <c r="F2288" s="5">
        <v>46228.46527777778</v>
      </c>
      <c r="G2288" s="5">
        <v>46227.7125</v>
      </c>
      <c r="H2288" s="3" t="s">
        <v>14</v>
      </c>
      <c r="I2288" s="7">
        <v>0.0</v>
      </c>
      <c r="J2288" s="3" t="s">
        <v>72</v>
      </c>
    </row>
    <row r="2289">
      <c r="A2289" s="3"/>
      <c r="B2289" s="3"/>
      <c r="C2289" s="3" t="s">
        <v>21</v>
      </c>
      <c r="D2289" s="4" t="s">
        <v>1877</v>
      </c>
      <c r="E2289" s="3" t="s">
        <v>407</v>
      </c>
      <c r="F2289" s="5">
        <v>46228.569444444445</v>
      </c>
      <c r="G2289" s="5">
        <v>46227.71296296296</v>
      </c>
      <c r="H2289" s="3" t="s">
        <v>14</v>
      </c>
      <c r="I2289" s="7">
        <v>0.0</v>
      </c>
      <c r="J2289" s="3" t="s">
        <v>72</v>
      </c>
    </row>
    <row r="2290">
      <c r="A2290" s="3"/>
      <c r="B2290" s="3"/>
      <c r="C2290" s="3" t="s">
        <v>24</v>
      </c>
      <c r="D2290" s="4" t="s">
        <v>1877</v>
      </c>
      <c r="E2290" s="3" t="s">
        <v>407</v>
      </c>
      <c r="F2290" s="5">
        <v>46230.569444444445</v>
      </c>
      <c r="G2290" s="5">
        <v>46227.71299768519</v>
      </c>
      <c r="H2290" s="3" t="s">
        <v>14</v>
      </c>
      <c r="I2290" s="7">
        <v>0.0</v>
      </c>
      <c r="J2290" s="3" t="s">
        <v>72</v>
      </c>
    </row>
    <row r="2291">
      <c r="A2291" s="3"/>
      <c r="B2291" s="3"/>
      <c r="C2291" s="3" t="s">
        <v>26</v>
      </c>
      <c r="D2291" s="4" t="s">
        <v>1877</v>
      </c>
      <c r="E2291" s="3" t="s">
        <v>407</v>
      </c>
      <c r="F2291" s="5">
        <v>46230.61111111111</v>
      </c>
      <c r="G2291" s="5">
        <v>46228.36167824074</v>
      </c>
      <c r="H2291" s="3" t="s">
        <v>14</v>
      </c>
      <c r="I2291" s="7">
        <v>0.0</v>
      </c>
      <c r="J2291" s="3" t="s">
        <v>72</v>
      </c>
    </row>
    <row r="2292">
      <c r="A2292" s="3"/>
      <c r="B2292" s="3"/>
      <c r="C2292" s="3" t="s">
        <v>10</v>
      </c>
      <c r="D2292" s="4" t="s">
        <v>1881</v>
      </c>
      <c r="E2292" s="3" t="s">
        <v>410</v>
      </c>
      <c r="F2292" s="5">
        <v>46228.45972222222</v>
      </c>
      <c r="G2292" s="5">
        <v>46227.71236111111</v>
      </c>
      <c r="H2292" s="3" t="s">
        <v>14</v>
      </c>
      <c r="I2292" s="3">
        <v>0.0</v>
      </c>
      <c r="J2292" s="3" t="s">
        <v>72</v>
      </c>
    </row>
    <row r="2293">
      <c r="A2293" s="3"/>
      <c r="B2293" s="3"/>
      <c r="C2293" s="3" t="s">
        <v>17</v>
      </c>
      <c r="D2293" s="4" t="s">
        <v>1881</v>
      </c>
      <c r="E2293" s="3" t="s">
        <v>410</v>
      </c>
      <c r="F2293" s="5">
        <v>46228.46666666667</v>
      </c>
      <c r="G2293" s="5">
        <v>46227.71251157407</v>
      </c>
      <c r="H2293" s="3" t="s">
        <v>14</v>
      </c>
      <c r="I2293" s="7">
        <v>0.0</v>
      </c>
      <c r="J2293" s="3" t="s">
        <v>72</v>
      </c>
    </row>
    <row r="2294">
      <c r="A2294" s="3"/>
      <c r="B2294" s="3"/>
      <c r="C2294" s="3" t="s">
        <v>21</v>
      </c>
      <c r="D2294" s="4" t="s">
        <v>1881</v>
      </c>
      <c r="E2294" s="3" t="s">
        <v>410</v>
      </c>
      <c r="F2294" s="5">
        <v>46228.57083333333</v>
      </c>
      <c r="G2294" s="5">
        <v>46227.71297453704</v>
      </c>
      <c r="H2294" s="3" t="s">
        <v>14</v>
      </c>
      <c r="I2294" s="7">
        <v>0.0</v>
      </c>
      <c r="J2294" s="3" t="s">
        <v>72</v>
      </c>
    </row>
    <row r="2295">
      <c r="A2295" s="3"/>
      <c r="B2295" s="3"/>
      <c r="C2295" s="3" t="s">
        <v>24</v>
      </c>
      <c r="D2295" s="4" t="s">
        <v>1881</v>
      </c>
      <c r="E2295" s="3" t="s">
        <v>410</v>
      </c>
      <c r="F2295" s="5">
        <v>46230.57083333333</v>
      </c>
      <c r="G2295" s="5">
        <v>46227.71302083333</v>
      </c>
      <c r="H2295" s="3" t="s">
        <v>14</v>
      </c>
      <c r="I2295" s="7">
        <v>0.0</v>
      </c>
      <c r="J2295" s="3" t="s">
        <v>72</v>
      </c>
    </row>
    <row r="2296">
      <c r="A2296" s="3"/>
      <c r="B2296" s="3"/>
      <c r="C2296" s="3" t="s">
        <v>26</v>
      </c>
      <c r="D2296" s="4" t="s">
        <v>1881</v>
      </c>
      <c r="E2296" s="3" t="s">
        <v>410</v>
      </c>
      <c r="F2296" s="5">
        <v>46230.6125</v>
      </c>
      <c r="G2296" s="5">
        <v>46228.36168981482</v>
      </c>
      <c r="H2296" s="3" t="s">
        <v>14</v>
      </c>
      <c r="I2296" s="7">
        <v>0.0</v>
      </c>
      <c r="J2296" s="3" t="s">
        <v>72</v>
      </c>
    </row>
    <row r="2297">
      <c r="A2297" s="3"/>
      <c r="B2297" s="3"/>
      <c r="C2297" s="3" t="s">
        <v>10</v>
      </c>
      <c r="D2297" s="4" t="s">
        <v>1885</v>
      </c>
      <c r="E2297" s="3" t="s">
        <v>660</v>
      </c>
      <c r="F2297" s="5">
        <v>46228.60199074074</v>
      </c>
      <c r="G2297" s="5">
        <v>46228.47199074074</v>
      </c>
      <c r="H2297" s="3" t="s">
        <v>14</v>
      </c>
      <c r="I2297" s="3">
        <v>0.0</v>
      </c>
      <c r="J2297" s="3" t="s">
        <v>61</v>
      </c>
    </row>
    <row r="2298">
      <c r="A2298" s="3"/>
      <c r="B2298" s="3"/>
      <c r="C2298" s="3" t="s">
        <v>17</v>
      </c>
      <c r="D2298" s="4" t="s">
        <v>1885</v>
      </c>
      <c r="E2298" s="3" t="s">
        <v>660</v>
      </c>
      <c r="F2298" s="5">
        <v>46228.608935185184</v>
      </c>
      <c r="G2298" s="5">
        <v>46228.472083333334</v>
      </c>
      <c r="H2298" s="3" t="s">
        <v>14</v>
      </c>
      <c r="I2298" s="7">
        <v>0.0</v>
      </c>
      <c r="J2298" s="3" t="s">
        <v>61</v>
      </c>
    </row>
    <row r="2299">
      <c r="A2299" s="3"/>
      <c r="B2299" s="3"/>
      <c r="C2299" s="3" t="s">
        <v>21</v>
      </c>
      <c r="D2299" s="4" t="s">
        <v>1885</v>
      </c>
      <c r="E2299" s="3" t="s">
        <v>660</v>
      </c>
      <c r="F2299" s="5">
        <v>46228.71310185185</v>
      </c>
      <c r="G2299" s="5">
        <v>46228.52837962963</v>
      </c>
      <c r="H2299" s="3" t="s">
        <v>14</v>
      </c>
      <c r="I2299" s="7">
        <v>0.0</v>
      </c>
      <c r="J2299" s="3" t="s">
        <v>61</v>
      </c>
    </row>
    <row r="2300">
      <c r="A2300" s="3"/>
      <c r="B2300" s="3"/>
      <c r="C2300" s="3" t="s">
        <v>24</v>
      </c>
      <c r="D2300" s="4" t="s">
        <v>1885</v>
      </c>
      <c r="E2300" s="3" t="s">
        <v>660</v>
      </c>
      <c r="F2300" s="5">
        <v>46230.7125</v>
      </c>
      <c r="G2300" s="5">
        <v>46228.61702546296</v>
      </c>
      <c r="H2300" s="3" t="s">
        <v>14</v>
      </c>
      <c r="I2300" s="7">
        <v>0.0</v>
      </c>
      <c r="J2300" s="3" t="s">
        <v>61</v>
      </c>
    </row>
    <row r="2301">
      <c r="A2301" s="3"/>
      <c r="B2301" s="3"/>
      <c r="C2301" s="3" t="s">
        <v>26</v>
      </c>
      <c r="D2301" s="4" t="s">
        <v>1885</v>
      </c>
      <c r="E2301" s="3" t="s">
        <v>660</v>
      </c>
      <c r="F2301" s="5">
        <v>46230.754166666666</v>
      </c>
      <c r="G2301" s="5">
        <v>46228.617164351854</v>
      </c>
      <c r="H2301" s="3" t="s">
        <v>14</v>
      </c>
      <c r="I2301" s="7">
        <v>0.0</v>
      </c>
      <c r="J2301" s="3" t="s">
        <v>61</v>
      </c>
    </row>
    <row r="2302">
      <c r="A2302" s="3"/>
      <c r="B2302" s="3"/>
      <c r="C2302" s="3" t="s">
        <v>10</v>
      </c>
      <c r="D2302" s="4" t="s">
        <v>1889</v>
      </c>
      <c r="E2302" s="3" t="s">
        <v>249</v>
      </c>
      <c r="F2302" s="5">
        <v>46228.608877314815</v>
      </c>
      <c r="G2302" s="5">
        <v>46228.47217592593</v>
      </c>
      <c r="H2302" s="3" t="s">
        <v>14</v>
      </c>
      <c r="I2302" s="3">
        <v>0.0</v>
      </c>
      <c r="J2302" s="3" t="s">
        <v>15</v>
      </c>
    </row>
    <row r="2303">
      <c r="A2303" s="3"/>
      <c r="B2303" s="3"/>
      <c r="C2303" s="3" t="s">
        <v>17</v>
      </c>
      <c r="D2303" s="4" t="s">
        <v>1889</v>
      </c>
      <c r="E2303" s="3" t="s">
        <v>249</v>
      </c>
      <c r="F2303" s="5">
        <v>46228.61582175926</v>
      </c>
      <c r="G2303" s="5">
        <v>46228.47230324074</v>
      </c>
      <c r="H2303" s="3" t="s">
        <v>14</v>
      </c>
      <c r="I2303" s="7">
        <v>0.0</v>
      </c>
      <c r="J2303" s="3" t="s">
        <v>15</v>
      </c>
    </row>
    <row r="2304">
      <c r="A2304" s="3"/>
      <c r="B2304" s="3"/>
      <c r="C2304" s="3" t="s">
        <v>21</v>
      </c>
      <c r="D2304" s="4" t="s">
        <v>1889</v>
      </c>
      <c r="E2304" s="3" t="s">
        <v>249</v>
      </c>
      <c r="F2304" s="5">
        <v>46228.719988425924</v>
      </c>
      <c r="G2304" s="5">
        <v>46228.528391203705</v>
      </c>
      <c r="H2304" s="3" t="s">
        <v>14</v>
      </c>
      <c r="I2304" s="7">
        <v>0.0</v>
      </c>
      <c r="J2304" s="3" t="s">
        <v>15</v>
      </c>
    </row>
    <row r="2305">
      <c r="A2305" s="3"/>
      <c r="B2305" s="3"/>
      <c r="C2305" s="3" t="s">
        <v>24</v>
      </c>
      <c r="D2305" s="4" t="s">
        <v>1889</v>
      </c>
      <c r="E2305" s="3" t="s">
        <v>249</v>
      </c>
      <c r="F2305" s="5">
        <v>46230.71944444445</v>
      </c>
      <c r="G2305" s="5">
        <v>46228.61709490741</v>
      </c>
      <c r="H2305" s="3" t="s">
        <v>14</v>
      </c>
      <c r="I2305" s="7">
        <v>0.0</v>
      </c>
      <c r="J2305" s="3" t="s">
        <v>15</v>
      </c>
    </row>
    <row r="2306">
      <c r="A2306" s="3"/>
      <c r="B2306" s="3"/>
      <c r="C2306" s="3" t="s">
        <v>26</v>
      </c>
      <c r="D2306" s="4" t="s">
        <v>1889</v>
      </c>
      <c r="E2306" s="3" t="s">
        <v>249</v>
      </c>
      <c r="F2306" s="5">
        <v>46230.76111111111</v>
      </c>
      <c r="G2306" s="5">
        <v>46228.6171875</v>
      </c>
      <c r="H2306" s="3" t="s">
        <v>14</v>
      </c>
      <c r="I2306" s="7">
        <v>0.0</v>
      </c>
      <c r="J2306" s="3" t="s">
        <v>15</v>
      </c>
    </row>
    <row r="2307">
      <c r="A2307" s="3"/>
      <c r="B2307" s="3"/>
      <c r="C2307" s="3" t="s">
        <v>10</v>
      </c>
      <c r="D2307" s="4" t="s">
        <v>1894</v>
      </c>
      <c r="E2307" s="3" t="s">
        <v>1147</v>
      </c>
      <c r="F2307" s="5">
        <v>46228.610243055555</v>
      </c>
      <c r="G2307" s="5">
        <v>46228.47237268519</v>
      </c>
      <c r="H2307" s="3" t="s">
        <v>14</v>
      </c>
      <c r="I2307" s="3">
        <v>0.0</v>
      </c>
      <c r="J2307" s="3" t="s">
        <v>15</v>
      </c>
    </row>
    <row r="2308">
      <c r="A2308" s="3"/>
      <c r="B2308" s="3"/>
      <c r="C2308" s="3" t="s">
        <v>17</v>
      </c>
      <c r="D2308" s="4" t="s">
        <v>1894</v>
      </c>
      <c r="E2308" s="3" t="s">
        <v>1147</v>
      </c>
      <c r="F2308" s="5">
        <v>46228.6171875</v>
      </c>
      <c r="G2308" s="5">
        <v>46228.47247685185</v>
      </c>
      <c r="H2308" s="3" t="s">
        <v>14</v>
      </c>
      <c r="I2308" s="7">
        <v>0.0</v>
      </c>
      <c r="J2308" s="3" t="s">
        <v>15</v>
      </c>
    </row>
    <row r="2309">
      <c r="A2309" s="3"/>
      <c r="B2309" s="3"/>
      <c r="C2309" s="3" t="s">
        <v>21</v>
      </c>
      <c r="D2309" s="4" t="s">
        <v>1894</v>
      </c>
      <c r="E2309" s="3" t="s">
        <v>1147</v>
      </c>
      <c r="F2309" s="5">
        <v>46228.721354166664</v>
      </c>
      <c r="G2309" s="5">
        <v>46228.52841435185</v>
      </c>
      <c r="H2309" s="3" t="s">
        <v>14</v>
      </c>
      <c r="I2309" s="7">
        <v>0.0</v>
      </c>
      <c r="J2309" s="3" t="s">
        <v>15</v>
      </c>
    </row>
    <row r="2310">
      <c r="A2310" s="3"/>
      <c r="B2310" s="3"/>
      <c r="C2310" s="3" t="s">
        <v>24</v>
      </c>
      <c r="D2310" s="4" t="s">
        <v>1894</v>
      </c>
      <c r="E2310" s="3" t="s">
        <v>1147</v>
      </c>
      <c r="F2310" s="5">
        <v>46230.72083333333</v>
      </c>
      <c r="G2310" s="5">
        <v>46228.61712962963</v>
      </c>
      <c r="H2310" s="3" t="s">
        <v>14</v>
      </c>
      <c r="I2310" s="7">
        <v>0.0</v>
      </c>
      <c r="J2310" s="3" t="s">
        <v>15</v>
      </c>
    </row>
    <row r="2311">
      <c r="A2311" s="3"/>
      <c r="B2311" s="3"/>
      <c r="C2311" s="3" t="s">
        <v>26</v>
      </c>
      <c r="D2311" s="4" t="s">
        <v>1894</v>
      </c>
      <c r="E2311" s="3" t="s">
        <v>1147</v>
      </c>
      <c r="F2311" s="5">
        <v>46230.7625</v>
      </c>
      <c r="G2311" s="5">
        <v>46228.61719907408</v>
      </c>
      <c r="H2311" s="3" t="s">
        <v>14</v>
      </c>
      <c r="I2311" s="7">
        <v>0.0</v>
      </c>
      <c r="J2311" s="3" t="s">
        <v>15</v>
      </c>
    </row>
    <row r="2312">
      <c r="A2312" s="3"/>
      <c r="B2312" s="3"/>
      <c r="C2312" s="3" t="s">
        <v>10</v>
      </c>
      <c r="D2312" s="4" t="s">
        <v>1899</v>
      </c>
      <c r="E2312" s="3" t="s">
        <v>1900</v>
      </c>
      <c r="F2312" s="5">
        <v>46228.797939814816</v>
      </c>
      <c r="G2312" s="5">
        <v>46228.667349537034</v>
      </c>
      <c r="H2312" s="3" t="s">
        <v>14</v>
      </c>
      <c r="I2312" s="3">
        <v>0.0</v>
      </c>
      <c r="J2312" s="3" t="s">
        <v>15</v>
      </c>
    </row>
    <row r="2313">
      <c r="A2313" s="3"/>
      <c r="B2313" s="3"/>
      <c r="C2313" s="3" t="s">
        <v>17</v>
      </c>
      <c r="D2313" s="4" t="s">
        <v>1899</v>
      </c>
      <c r="E2313" s="3" t="s">
        <v>1900</v>
      </c>
      <c r="F2313" s="5">
        <v>46228.80488425926</v>
      </c>
      <c r="G2313" s="5">
        <v>46228.66744212963</v>
      </c>
      <c r="H2313" s="3" t="s">
        <v>14</v>
      </c>
      <c r="I2313" s="7">
        <v>0.0</v>
      </c>
      <c r="J2313" s="3" t="s">
        <v>15</v>
      </c>
    </row>
    <row r="2314">
      <c r="A2314" s="3"/>
      <c r="B2314" s="3"/>
      <c r="C2314" s="3" t="s">
        <v>21</v>
      </c>
      <c r="D2314" s="4" t="s">
        <v>1899</v>
      </c>
      <c r="E2314" s="3" t="s">
        <v>1900</v>
      </c>
      <c r="F2314" s="5">
        <v>46230.47152777778</v>
      </c>
      <c r="G2314" s="5">
        <v>46228.66747685185</v>
      </c>
      <c r="H2314" s="3" t="s">
        <v>14</v>
      </c>
      <c r="I2314" s="7">
        <v>0.0</v>
      </c>
      <c r="J2314" s="3" t="s">
        <v>15</v>
      </c>
    </row>
    <row r="2315">
      <c r="A2315" s="3"/>
      <c r="B2315" s="3"/>
      <c r="C2315" s="3" t="s">
        <v>24</v>
      </c>
      <c r="D2315" s="4" t="s">
        <v>1899</v>
      </c>
      <c r="E2315" s="3" t="s">
        <v>1900</v>
      </c>
      <c r="F2315" s="5">
        <v>46231.47152777778</v>
      </c>
      <c r="G2315" s="5">
        <v>46228.667546296296</v>
      </c>
      <c r="H2315" s="3" t="s">
        <v>14</v>
      </c>
      <c r="I2315" s="7">
        <v>0.0</v>
      </c>
      <c r="J2315" s="3" t="s">
        <v>15</v>
      </c>
    </row>
    <row r="2316">
      <c r="A2316" s="3"/>
      <c r="B2316" s="3"/>
      <c r="C2316" s="3" t="s">
        <v>26</v>
      </c>
      <c r="D2316" s="4" t="s">
        <v>1899</v>
      </c>
      <c r="E2316" s="3" t="s">
        <v>1900</v>
      </c>
      <c r="F2316" s="5">
        <v>46231.513194444444</v>
      </c>
      <c r="G2316" s="5">
        <v>46228.66758101852</v>
      </c>
      <c r="H2316" s="3" t="s">
        <v>14</v>
      </c>
      <c r="I2316" s="7">
        <v>0.0</v>
      </c>
      <c r="J2316" s="3" t="s">
        <v>15</v>
      </c>
    </row>
    <row r="2317">
      <c r="A2317" s="3"/>
      <c r="B2317" s="3"/>
      <c r="C2317" s="3" t="s">
        <v>10</v>
      </c>
      <c r="D2317" s="4" t="s">
        <v>1904</v>
      </c>
      <c r="E2317" s="3" t="s">
        <v>1590</v>
      </c>
      <c r="F2317" s="5">
        <v>46230.59324074074</v>
      </c>
      <c r="G2317" s="5">
        <v>46230.435520833336</v>
      </c>
      <c r="H2317" s="3" t="s">
        <v>14</v>
      </c>
      <c r="I2317" s="3">
        <v>0.0</v>
      </c>
      <c r="J2317" s="3" t="s">
        <v>15</v>
      </c>
    </row>
    <row r="2318">
      <c r="A2318" s="3"/>
      <c r="B2318" s="3"/>
      <c r="C2318" s="3" t="s">
        <v>17</v>
      </c>
      <c r="D2318" s="4" t="s">
        <v>1904</v>
      </c>
      <c r="E2318" s="3" t="s">
        <v>1590</v>
      </c>
      <c r="F2318" s="5">
        <v>46230.60018518518</v>
      </c>
      <c r="G2318" s="5">
        <v>46230.435578703706</v>
      </c>
      <c r="H2318" s="3" t="s">
        <v>14</v>
      </c>
      <c r="I2318" s="7">
        <v>0.0</v>
      </c>
      <c r="J2318" s="3" t="s">
        <v>15</v>
      </c>
    </row>
    <row r="2319">
      <c r="A2319" s="3"/>
      <c r="B2319" s="3"/>
      <c r="C2319" s="3" t="s">
        <v>21</v>
      </c>
      <c r="D2319" s="4" t="s">
        <v>1904</v>
      </c>
      <c r="E2319" s="3" t="s">
        <v>1590</v>
      </c>
      <c r="F2319" s="5">
        <v>46230.704351851855</v>
      </c>
      <c r="G2319" s="5">
        <v>46230.43561342593</v>
      </c>
      <c r="H2319" s="3" t="s">
        <v>14</v>
      </c>
      <c r="I2319" s="7">
        <v>0.0</v>
      </c>
      <c r="J2319" s="3" t="s">
        <v>15</v>
      </c>
    </row>
    <row r="2320">
      <c r="A2320" s="3"/>
      <c r="B2320" s="3"/>
      <c r="C2320" s="3" t="s">
        <v>24</v>
      </c>
      <c r="D2320" s="4" t="s">
        <v>1904</v>
      </c>
      <c r="E2320" s="3" t="s">
        <v>1590</v>
      </c>
      <c r="F2320" s="5">
        <v>46231.70416666667</v>
      </c>
      <c r="G2320" s="5">
        <v>46230.6983912037</v>
      </c>
      <c r="H2320" s="3" t="s">
        <v>14</v>
      </c>
      <c r="I2320" s="7">
        <v>0.0</v>
      </c>
      <c r="J2320" s="3" t="s">
        <v>15</v>
      </c>
    </row>
    <row r="2321">
      <c r="A2321" s="3"/>
      <c r="B2321" s="3"/>
      <c r="C2321" s="3" t="s">
        <v>26</v>
      </c>
      <c r="D2321" s="4" t="s">
        <v>1904</v>
      </c>
      <c r="E2321" s="3" t="s">
        <v>1590</v>
      </c>
      <c r="F2321" s="5">
        <v>46231.745833333334</v>
      </c>
      <c r="G2321" s="5">
        <v>46230.698483796295</v>
      </c>
      <c r="H2321" s="3" t="s">
        <v>14</v>
      </c>
      <c r="I2321" s="7">
        <v>0.0</v>
      </c>
      <c r="J2321" s="3" t="s">
        <v>15</v>
      </c>
    </row>
    <row r="2322">
      <c r="A2322" s="3"/>
      <c r="B2322" s="3"/>
      <c r="C2322" s="3" t="s">
        <v>10</v>
      </c>
      <c r="D2322" s="4" t="s">
        <v>1911</v>
      </c>
      <c r="E2322" s="3" t="s">
        <v>166</v>
      </c>
      <c r="F2322" s="5">
        <v>46230.67487268519</v>
      </c>
      <c r="G2322" s="5">
        <v>46230.64293981482</v>
      </c>
      <c r="H2322" s="3" t="s">
        <v>14</v>
      </c>
      <c r="I2322" s="3">
        <v>0.0</v>
      </c>
      <c r="J2322" s="3" t="s">
        <v>15</v>
      </c>
    </row>
    <row r="2323">
      <c r="A2323" s="3"/>
      <c r="B2323" s="3"/>
      <c r="C2323" s="3" t="s">
        <v>17</v>
      </c>
      <c r="D2323" s="4" t="s">
        <v>1911</v>
      </c>
      <c r="E2323" s="3" t="s">
        <v>166</v>
      </c>
      <c r="F2323" s="5">
        <v>46230.68181712963</v>
      </c>
      <c r="G2323" s="5">
        <v>46230.64302083333</v>
      </c>
      <c r="H2323" s="3" t="s">
        <v>14</v>
      </c>
      <c r="I2323" s="7">
        <v>0.0</v>
      </c>
      <c r="J2323" s="3" t="s">
        <v>15</v>
      </c>
    </row>
    <row r="2324">
      <c r="A2324" s="3"/>
      <c r="B2324" s="3"/>
      <c r="C2324" s="3" t="s">
        <v>21</v>
      </c>
      <c r="D2324" s="4" t="s">
        <v>1911</v>
      </c>
      <c r="E2324" s="3" t="s">
        <v>166</v>
      </c>
      <c r="F2324" s="5">
        <v>46230.7859837963</v>
      </c>
      <c r="G2324" s="5">
        <v>46230.699224537035</v>
      </c>
      <c r="H2324" s="3" t="s">
        <v>14</v>
      </c>
      <c r="I2324" s="7">
        <v>0.0</v>
      </c>
      <c r="J2324" s="3" t="s">
        <v>15</v>
      </c>
    </row>
    <row r="2325">
      <c r="A2325" s="3"/>
      <c r="B2325" s="3"/>
      <c r="C2325" s="3" t="s">
        <v>24</v>
      </c>
      <c r="D2325" s="4" t="s">
        <v>1911</v>
      </c>
      <c r="E2325" s="3" t="s">
        <v>166</v>
      </c>
      <c r="F2325" s="5">
        <v>46231.785416666666</v>
      </c>
      <c r="G2325" s="5">
        <v>46230.699282407404</v>
      </c>
      <c r="H2325" s="3" t="s">
        <v>14</v>
      </c>
      <c r="I2325" s="7">
        <v>0.0</v>
      </c>
      <c r="J2325" s="3" t="s">
        <v>15</v>
      </c>
    </row>
    <row r="2326">
      <c r="A2326" s="3"/>
      <c r="B2326" s="3"/>
      <c r="C2326" s="3" t="s">
        <v>26</v>
      </c>
      <c r="D2326" s="4" t="s">
        <v>1911</v>
      </c>
      <c r="E2326" s="3" t="s">
        <v>166</v>
      </c>
      <c r="F2326" s="5">
        <v>46231.82708333333</v>
      </c>
      <c r="G2326" s="5">
        <v>46230.699328703704</v>
      </c>
      <c r="H2326" s="3" t="s">
        <v>14</v>
      </c>
      <c r="I2326" s="7">
        <v>0.0</v>
      </c>
      <c r="J2326" s="3" t="s">
        <v>15</v>
      </c>
    </row>
    <row r="2327">
      <c r="A2327" s="3"/>
      <c r="B2327" s="3"/>
      <c r="C2327" s="3" t="s">
        <v>10</v>
      </c>
      <c r="D2327" s="4" t="s">
        <v>1917</v>
      </c>
      <c r="E2327" s="3" t="s">
        <v>1918</v>
      </c>
      <c r="F2327" s="5">
        <v>46231.427777777775</v>
      </c>
      <c r="G2327" s="5">
        <v>46230.68994212963</v>
      </c>
      <c r="H2327" s="3" t="s">
        <v>14</v>
      </c>
      <c r="I2327" s="3">
        <v>0.0</v>
      </c>
      <c r="J2327" s="3" t="s">
        <v>15</v>
      </c>
    </row>
    <row r="2328">
      <c r="A2328" s="3"/>
      <c r="B2328" s="3"/>
      <c r="C2328" s="3" t="s">
        <v>17</v>
      </c>
      <c r="D2328" s="4" t="s">
        <v>1917</v>
      </c>
      <c r="E2328" s="3" t="s">
        <v>1918</v>
      </c>
      <c r="F2328" s="5">
        <v>46231.43472222222</v>
      </c>
      <c r="G2328" s="5">
        <v>46230.690034722225</v>
      </c>
      <c r="H2328" s="3" t="s">
        <v>14</v>
      </c>
      <c r="I2328" s="7">
        <v>0.0</v>
      </c>
      <c r="J2328" s="3" t="s">
        <v>15</v>
      </c>
    </row>
    <row r="2329">
      <c r="A2329" s="3"/>
      <c r="B2329" s="3"/>
      <c r="C2329" s="3" t="s">
        <v>21</v>
      </c>
      <c r="D2329" s="4" t="s">
        <v>1917</v>
      </c>
      <c r="E2329" s="3" t="s">
        <v>1918</v>
      </c>
      <c r="F2329" s="5">
        <v>46231.53888888889</v>
      </c>
      <c r="G2329" s="5">
        <v>46230.700057870374</v>
      </c>
      <c r="H2329" s="3" t="s">
        <v>14</v>
      </c>
      <c r="I2329" s="7">
        <v>0.0</v>
      </c>
      <c r="J2329" s="3" t="s">
        <v>15</v>
      </c>
    </row>
    <row r="2330">
      <c r="A2330" s="3"/>
      <c r="B2330" s="3"/>
      <c r="C2330" s="3" t="s">
        <v>24</v>
      </c>
      <c r="D2330" s="4" t="s">
        <v>1917</v>
      </c>
      <c r="E2330" s="3" t="s">
        <v>1918</v>
      </c>
      <c r="F2330" s="5">
        <v>46232.53888888889</v>
      </c>
      <c r="G2330" s="5">
        <v>46230.76331018518</v>
      </c>
      <c r="H2330" s="3" t="s">
        <v>14</v>
      </c>
      <c r="I2330" s="7">
        <v>0.0</v>
      </c>
      <c r="J2330" s="3" t="s">
        <v>15</v>
      </c>
    </row>
    <row r="2331">
      <c r="A2331" s="3"/>
      <c r="B2331" s="3"/>
      <c r="C2331" s="3" t="s">
        <v>26</v>
      </c>
      <c r="D2331" s="4" t="s">
        <v>1917</v>
      </c>
      <c r="E2331" s="3" t="s">
        <v>1918</v>
      </c>
      <c r="F2331" s="5">
        <v>46232.580555555556</v>
      </c>
      <c r="G2331" s="5">
        <v>46230.763333333336</v>
      </c>
      <c r="H2331" s="3" t="s">
        <v>14</v>
      </c>
      <c r="I2331" s="7">
        <v>0.0</v>
      </c>
      <c r="J2331" s="3" t="s">
        <v>15</v>
      </c>
    </row>
    <row r="2332">
      <c r="A2332" s="3"/>
      <c r="B2332" s="3"/>
      <c r="C2332" s="3" t="s">
        <v>10</v>
      </c>
      <c r="D2332" s="4" t="s">
        <v>1921</v>
      </c>
      <c r="E2332" s="3" t="s">
        <v>1923</v>
      </c>
      <c r="F2332" s="5">
        <v>46231.46666666667</v>
      </c>
      <c r="G2332" s="5">
        <v>46230.762719907405</v>
      </c>
      <c r="H2332" s="3" t="s">
        <v>14</v>
      </c>
      <c r="I2332" s="3">
        <v>0.0</v>
      </c>
      <c r="J2332" s="3" t="s">
        <v>15</v>
      </c>
    </row>
    <row r="2333">
      <c r="A2333" s="3"/>
      <c r="B2333" s="3"/>
      <c r="C2333" s="3" t="s">
        <v>17</v>
      </c>
      <c r="D2333" s="4" t="s">
        <v>1921</v>
      </c>
      <c r="E2333" s="3" t="s">
        <v>1923</v>
      </c>
      <c r="F2333" s="5">
        <v>46231.47361111111</v>
      </c>
      <c r="G2333" s="5">
        <v>46230.76298611111</v>
      </c>
      <c r="H2333" s="3" t="s">
        <v>14</v>
      </c>
      <c r="I2333" s="7">
        <v>0.0</v>
      </c>
      <c r="J2333" s="3" t="s">
        <v>15</v>
      </c>
    </row>
    <row r="2334">
      <c r="A2334" s="3"/>
      <c r="B2334" s="3"/>
      <c r="C2334" s="3" t="s">
        <v>21</v>
      </c>
      <c r="D2334" s="4" t="s">
        <v>1921</v>
      </c>
      <c r="E2334" s="3" t="s">
        <v>1923</v>
      </c>
      <c r="F2334" s="5">
        <v>46231.57777777778</v>
      </c>
      <c r="G2334" s="5">
        <v>46230.76321759259</v>
      </c>
      <c r="H2334" s="3" t="s">
        <v>14</v>
      </c>
      <c r="I2334" s="7">
        <v>0.0</v>
      </c>
      <c r="J2334" s="3" t="s">
        <v>15</v>
      </c>
    </row>
    <row r="2335">
      <c r="A2335" s="3"/>
      <c r="B2335" s="3"/>
      <c r="C2335" s="3" t="s">
        <v>24</v>
      </c>
      <c r="D2335" s="4" t="s">
        <v>1921</v>
      </c>
      <c r="E2335" s="3" t="s">
        <v>1923</v>
      </c>
      <c r="F2335" s="5">
        <v>46232.57777777778</v>
      </c>
      <c r="G2335" s="5">
        <v>46231.806759259256</v>
      </c>
      <c r="H2335" s="3" t="s">
        <v>14</v>
      </c>
      <c r="I2335" s="7">
        <v>0.0</v>
      </c>
      <c r="J2335" s="3" t="s">
        <v>15</v>
      </c>
    </row>
    <row r="2336">
      <c r="A2336" s="3"/>
      <c r="B2336" s="3"/>
      <c r="C2336" s="3" t="s">
        <v>26</v>
      </c>
      <c r="D2336" s="4" t="s">
        <v>1921</v>
      </c>
      <c r="E2336" s="3" t="s">
        <v>1923</v>
      </c>
      <c r="F2336" s="5">
        <v>46232.61944444444</v>
      </c>
      <c r="G2336" s="5">
        <v>46231.80681712963</v>
      </c>
      <c r="H2336" s="3" t="s">
        <v>14</v>
      </c>
      <c r="I2336" s="7">
        <v>0.0</v>
      </c>
      <c r="J2336" s="3" t="s">
        <v>15</v>
      </c>
    </row>
    <row r="2337">
      <c r="A2337" s="3"/>
      <c r="B2337" s="3"/>
      <c r="C2337" s="3" t="s">
        <v>10</v>
      </c>
      <c r="D2337" s="4" t="s">
        <v>1926</v>
      </c>
      <c r="E2337" s="3" t="s">
        <v>754</v>
      </c>
      <c r="F2337" s="5">
        <v>46231.46805555555</v>
      </c>
      <c r="G2337" s="5">
        <v>46230.762777777774</v>
      </c>
      <c r="H2337" s="3" t="s">
        <v>14</v>
      </c>
      <c r="I2337" s="3">
        <v>0.0</v>
      </c>
      <c r="J2337" s="3" t="s">
        <v>15</v>
      </c>
    </row>
    <row r="2338">
      <c r="A2338" s="3"/>
      <c r="B2338" s="3"/>
      <c r="C2338" s="3" t="s">
        <v>17</v>
      </c>
      <c r="D2338" s="4" t="s">
        <v>1926</v>
      </c>
      <c r="E2338" s="3" t="s">
        <v>754</v>
      </c>
      <c r="F2338" s="5">
        <v>46231.475</v>
      </c>
      <c r="G2338" s="5">
        <v>46230.76300925926</v>
      </c>
      <c r="H2338" s="3" t="s">
        <v>14</v>
      </c>
      <c r="I2338" s="7">
        <v>0.0</v>
      </c>
      <c r="J2338" s="3" t="s">
        <v>15</v>
      </c>
    </row>
    <row r="2339">
      <c r="A2339" s="3"/>
      <c r="B2339" s="3"/>
      <c r="C2339" s="3" t="s">
        <v>21</v>
      </c>
      <c r="D2339" s="4" t="s">
        <v>1926</v>
      </c>
      <c r="E2339" s="3" t="s">
        <v>754</v>
      </c>
      <c r="F2339" s="5">
        <v>46231.57916666667</v>
      </c>
      <c r="G2339" s="5">
        <v>46230.76318287037</v>
      </c>
      <c r="H2339" s="3" t="s">
        <v>14</v>
      </c>
      <c r="I2339" s="7">
        <v>0.0</v>
      </c>
      <c r="J2339" s="3" t="s">
        <v>15</v>
      </c>
    </row>
    <row r="2340">
      <c r="A2340" s="3"/>
      <c r="B2340" s="3"/>
      <c r="C2340" s="3" t="s">
        <v>24</v>
      </c>
      <c r="D2340" s="4" t="s">
        <v>1926</v>
      </c>
      <c r="E2340" s="3" t="s">
        <v>754</v>
      </c>
      <c r="F2340" s="5">
        <v>46232.57916666667</v>
      </c>
      <c r="G2340" s="5">
        <v>46231.810960648145</v>
      </c>
      <c r="H2340" s="3" t="s">
        <v>14</v>
      </c>
      <c r="I2340" s="7">
        <v>0.0</v>
      </c>
      <c r="J2340" s="3" t="s">
        <v>15</v>
      </c>
    </row>
    <row r="2341">
      <c r="A2341" s="3"/>
      <c r="B2341" s="3"/>
      <c r="C2341" s="3" t="s">
        <v>26</v>
      </c>
      <c r="D2341" s="4" t="s">
        <v>1926</v>
      </c>
      <c r="E2341" s="3" t="s">
        <v>754</v>
      </c>
      <c r="F2341" s="5">
        <v>46232.620833333334</v>
      </c>
      <c r="G2341" s="5">
        <v>46231.8109837963</v>
      </c>
      <c r="H2341" s="3" t="s">
        <v>14</v>
      </c>
      <c r="I2341" s="7">
        <v>0.0</v>
      </c>
      <c r="J2341" s="3" t="s">
        <v>15</v>
      </c>
    </row>
    <row r="2342">
      <c r="A2342" s="3"/>
      <c r="B2342" s="3"/>
      <c r="C2342" s="3" t="s">
        <v>10</v>
      </c>
      <c r="D2342" s="4" t="s">
        <v>1930</v>
      </c>
      <c r="E2342" s="3" t="s">
        <v>1931</v>
      </c>
      <c r="F2342" s="5">
        <v>46231.46875</v>
      </c>
      <c r="G2342" s="5">
        <v>46230.76289351852</v>
      </c>
      <c r="H2342" s="3" t="s">
        <v>14</v>
      </c>
      <c r="I2342" s="3">
        <v>0.0</v>
      </c>
      <c r="J2342" s="3" t="s">
        <v>15</v>
      </c>
    </row>
    <row r="2343">
      <c r="A2343" s="3"/>
      <c r="B2343" s="3"/>
      <c r="C2343" s="3" t="s">
        <v>17</v>
      </c>
      <c r="D2343" s="4" t="s">
        <v>1930</v>
      </c>
      <c r="E2343" s="3" t="s">
        <v>1931</v>
      </c>
      <c r="F2343" s="5">
        <v>46231.475694444445</v>
      </c>
      <c r="G2343" s="5">
        <v>46230.763032407405</v>
      </c>
      <c r="H2343" s="3" t="s">
        <v>14</v>
      </c>
      <c r="I2343" s="7">
        <v>0.0</v>
      </c>
      <c r="J2343" s="3" t="s">
        <v>15</v>
      </c>
    </row>
    <row r="2344">
      <c r="A2344" s="3"/>
      <c r="B2344" s="3"/>
      <c r="C2344" s="3" t="s">
        <v>21</v>
      </c>
      <c r="D2344" s="4" t="s">
        <v>1930</v>
      </c>
      <c r="E2344" s="3" t="s">
        <v>1931</v>
      </c>
      <c r="F2344" s="5">
        <v>46231.57986111111</v>
      </c>
      <c r="G2344" s="5">
        <v>46230.76320601852</v>
      </c>
      <c r="H2344" s="3" t="s">
        <v>14</v>
      </c>
      <c r="I2344" s="7">
        <v>0.0</v>
      </c>
      <c r="J2344" s="3" t="s">
        <v>15</v>
      </c>
    </row>
    <row r="2345">
      <c r="A2345" s="3"/>
      <c r="B2345" s="3"/>
      <c r="C2345" s="3" t="s">
        <v>24</v>
      </c>
      <c r="D2345" s="4" t="s">
        <v>1930</v>
      </c>
      <c r="E2345" s="3" t="s">
        <v>1931</v>
      </c>
      <c r="F2345" s="5">
        <v>46232.57986111111</v>
      </c>
      <c r="G2345" s="5">
        <v>46231.61376157407</v>
      </c>
      <c r="H2345" s="3" t="s">
        <v>14</v>
      </c>
      <c r="I2345" s="7">
        <v>0.0</v>
      </c>
      <c r="J2345" s="3" t="s">
        <v>15</v>
      </c>
    </row>
    <row r="2346">
      <c r="A2346" s="3"/>
      <c r="B2346" s="3"/>
      <c r="C2346" s="3" t="s">
        <v>26</v>
      </c>
      <c r="D2346" s="4" t="s">
        <v>1930</v>
      </c>
      <c r="E2346" s="3" t="s">
        <v>1931</v>
      </c>
      <c r="F2346" s="5">
        <v>46232.62152777778</v>
      </c>
      <c r="G2346" s="5">
        <v>46231.61378472222</v>
      </c>
      <c r="H2346" s="3" t="s">
        <v>14</v>
      </c>
      <c r="I2346" s="7">
        <v>0.0</v>
      </c>
      <c r="J2346" s="3" t="s">
        <v>15</v>
      </c>
    </row>
    <row r="2347">
      <c r="A2347" s="3"/>
      <c r="B2347" s="3"/>
      <c r="C2347" s="3" t="s">
        <v>10</v>
      </c>
      <c r="D2347" s="4" t="s">
        <v>1934</v>
      </c>
      <c r="E2347" s="3" t="s">
        <v>1147</v>
      </c>
      <c r="F2347" s="5">
        <v>46231.56543981482</v>
      </c>
      <c r="G2347" s="5">
        <v>46231.44267361111</v>
      </c>
      <c r="H2347" s="3" t="s">
        <v>14</v>
      </c>
      <c r="I2347" s="3">
        <v>0.0</v>
      </c>
      <c r="J2347" s="3" t="s">
        <v>15</v>
      </c>
    </row>
    <row r="2348">
      <c r="A2348" s="3"/>
      <c r="B2348" s="3"/>
      <c r="C2348" s="3" t="s">
        <v>17</v>
      </c>
      <c r="D2348" s="4" t="s">
        <v>1934</v>
      </c>
      <c r="E2348" s="3" t="s">
        <v>1147</v>
      </c>
      <c r="F2348" s="5">
        <v>46231.572384259256</v>
      </c>
      <c r="G2348" s="5">
        <v>46231.442777777775</v>
      </c>
      <c r="H2348" s="3" t="s">
        <v>14</v>
      </c>
      <c r="I2348" s="7">
        <v>0.0</v>
      </c>
      <c r="J2348" s="3" t="s">
        <v>15</v>
      </c>
    </row>
    <row r="2349">
      <c r="A2349" s="3"/>
      <c r="B2349" s="3"/>
      <c r="C2349" s="3" t="s">
        <v>21</v>
      </c>
      <c r="D2349" s="4" t="s">
        <v>1934</v>
      </c>
      <c r="E2349" s="3" t="s">
        <v>1147</v>
      </c>
      <c r="F2349" s="5">
        <v>46231.67655092593</v>
      </c>
      <c r="G2349" s="5">
        <v>46231.442824074074</v>
      </c>
      <c r="H2349" s="3" t="s">
        <v>14</v>
      </c>
      <c r="I2349" s="7">
        <v>0.0</v>
      </c>
      <c r="J2349" s="3" t="s">
        <v>15</v>
      </c>
    </row>
    <row r="2350">
      <c r="A2350" s="3"/>
      <c r="B2350" s="3"/>
      <c r="C2350" s="3" t="s">
        <v>24</v>
      </c>
      <c r="D2350" s="4" t="s">
        <v>1934</v>
      </c>
      <c r="E2350" s="3" t="s">
        <v>1147</v>
      </c>
      <c r="F2350" s="5">
        <v>46232.67638888889</v>
      </c>
      <c r="G2350" s="5">
        <v>46231.61384259259</v>
      </c>
      <c r="H2350" s="3" t="s">
        <v>14</v>
      </c>
      <c r="I2350" s="7">
        <v>0.0</v>
      </c>
      <c r="J2350" s="3" t="s">
        <v>15</v>
      </c>
    </row>
    <row r="2351">
      <c r="A2351" s="3"/>
      <c r="B2351" s="3"/>
      <c r="C2351" s="3" t="s">
        <v>26</v>
      </c>
      <c r="D2351" s="4" t="s">
        <v>1934</v>
      </c>
      <c r="E2351" s="3" t="s">
        <v>1147</v>
      </c>
      <c r="F2351" s="5">
        <v>46232.71805555555</v>
      </c>
      <c r="G2351" s="5">
        <v>46231.61386574074</v>
      </c>
      <c r="H2351" s="3" t="s">
        <v>14</v>
      </c>
      <c r="I2351" s="7">
        <v>0.0</v>
      </c>
      <c r="J2351" s="3" t="s">
        <v>15</v>
      </c>
    </row>
    <row r="2352">
      <c r="A2352" s="3"/>
      <c r="B2352" s="3"/>
      <c r="C2352" s="3" t="s">
        <v>10</v>
      </c>
      <c r="D2352" s="4" t="s">
        <v>1939</v>
      </c>
      <c r="E2352" s="3" t="s">
        <v>1940</v>
      </c>
      <c r="F2352" s="5">
        <v>46231.607303240744</v>
      </c>
      <c r="G2352" s="5">
        <v>46231.44269675926</v>
      </c>
      <c r="H2352" s="3" t="s">
        <v>14</v>
      </c>
      <c r="I2352" s="3">
        <v>0.0</v>
      </c>
      <c r="J2352" s="3" t="s">
        <v>15</v>
      </c>
    </row>
    <row r="2353">
      <c r="A2353" s="3"/>
      <c r="B2353" s="3"/>
      <c r="C2353" s="3" t="s">
        <v>17</v>
      </c>
      <c r="D2353" s="4" t="s">
        <v>1939</v>
      </c>
      <c r="E2353" s="3" t="s">
        <v>1940</v>
      </c>
      <c r="F2353" s="5">
        <v>46231.61424768518</v>
      </c>
      <c r="G2353" s="5">
        <v>46231.44278935185</v>
      </c>
      <c r="H2353" s="3" t="s">
        <v>14</v>
      </c>
      <c r="I2353" s="7">
        <v>0.0</v>
      </c>
      <c r="J2353" s="3" t="s">
        <v>15</v>
      </c>
    </row>
    <row r="2354">
      <c r="A2354" s="3"/>
      <c r="B2354" s="3"/>
      <c r="C2354" s="3" t="s">
        <v>21</v>
      </c>
      <c r="D2354" s="4" t="s">
        <v>1939</v>
      </c>
      <c r="E2354" s="3" t="s">
        <v>1940</v>
      </c>
      <c r="F2354" s="5">
        <v>46231.71841435185</v>
      </c>
      <c r="G2354" s="5">
        <v>46231.44289351852</v>
      </c>
      <c r="H2354" s="3" t="s">
        <v>14</v>
      </c>
      <c r="I2354" s="7">
        <v>0.0</v>
      </c>
      <c r="J2354" s="3" t="s">
        <v>15</v>
      </c>
    </row>
    <row r="2355">
      <c r="A2355" s="3"/>
      <c r="B2355" s="3"/>
      <c r="C2355" s="3" t="s">
        <v>24</v>
      </c>
      <c r="D2355" s="4" t="s">
        <v>1939</v>
      </c>
      <c r="E2355" s="3" t="s">
        <v>1940</v>
      </c>
      <c r="F2355" s="5">
        <v>46232.71805555555</v>
      </c>
      <c r="G2355" s="5">
        <v>46232.479849537034</v>
      </c>
      <c r="H2355" s="3" t="s">
        <v>14</v>
      </c>
      <c r="I2355" s="7">
        <v>0.0</v>
      </c>
      <c r="J2355" s="3" t="s">
        <v>15</v>
      </c>
    </row>
    <row r="2356">
      <c r="A2356" s="3"/>
      <c r="B2356" s="3"/>
      <c r="C2356" s="3" t="s">
        <v>26</v>
      </c>
      <c r="D2356" s="4" t="s">
        <v>1939</v>
      </c>
      <c r="E2356" s="3" t="s">
        <v>1940</v>
      </c>
      <c r="F2356" s="5">
        <v>46232.759722222225</v>
      </c>
      <c r="G2356" s="5">
        <v>46232.754895833335</v>
      </c>
      <c r="H2356" s="3" t="s">
        <v>14</v>
      </c>
      <c r="I2356" s="7">
        <v>0.0</v>
      </c>
      <c r="J2356" s="3" t="s">
        <v>15</v>
      </c>
    </row>
    <row r="2357">
      <c r="A2357" s="3"/>
      <c r="B2357" s="3"/>
      <c r="C2357" s="3" t="s">
        <v>10</v>
      </c>
      <c r="D2357" s="4" t="s">
        <v>1943</v>
      </c>
      <c r="E2357" s="3" t="s">
        <v>1944</v>
      </c>
      <c r="F2357" s="5">
        <v>46231.61605324074</v>
      </c>
      <c r="G2357" s="5">
        <v>46231.48909722222</v>
      </c>
      <c r="H2357" s="3" t="s">
        <v>14</v>
      </c>
      <c r="I2357" s="3">
        <v>0.0</v>
      </c>
      <c r="J2357" s="3" t="s">
        <v>15</v>
      </c>
    </row>
    <row r="2358">
      <c r="A2358" s="3"/>
      <c r="B2358" s="3"/>
      <c r="C2358" s="3" t="s">
        <v>17</v>
      </c>
      <c r="D2358" s="4" t="s">
        <v>1943</v>
      </c>
      <c r="E2358" s="3" t="s">
        <v>1944</v>
      </c>
      <c r="F2358" s="5">
        <v>46231.62299768518</v>
      </c>
      <c r="G2358" s="5">
        <v>46231.48935185185</v>
      </c>
      <c r="H2358" s="3" t="s">
        <v>14</v>
      </c>
      <c r="I2358" s="7">
        <v>0.0</v>
      </c>
      <c r="J2358" s="3" t="s">
        <v>15</v>
      </c>
    </row>
    <row r="2359">
      <c r="A2359" s="3"/>
      <c r="B2359" s="3"/>
      <c r="C2359" s="3" t="s">
        <v>21</v>
      </c>
      <c r="D2359" s="4" t="s">
        <v>1943</v>
      </c>
      <c r="E2359" s="3" t="s">
        <v>1944</v>
      </c>
      <c r="F2359" s="5">
        <v>46232.477164351854</v>
      </c>
      <c r="G2359" s="5">
        <v>46232.472766203704</v>
      </c>
      <c r="H2359" s="3" t="s">
        <v>14</v>
      </c>
      <c r="I2359" s="7">
        <v>0.0</v>
      </c>
      <c r="J2359" s="3" t="s">
        <v>15</v>
      </c>
    </row>
    <row r="2360">
      <c r="A2360" s="3"/>
      <c r="B2360" s="3"/>
      <c r="C2360" s="3" t="s">
        <v>24</v>
      </c>
      <c r="D2360" s="4" t="s">
        <v>1943</v>
      </c>
      <c r="E2360" s="3" t="s">
        <v>1944</v>
      </c>
      <c r="F2360" s="5">
        <v>46233.47708333333</v>
      </c>
      <c r="G2360" s="5">
        <v>46232.47988425926</v>
      </c>
      <c r="H2360" s="3" t="s">
        <v>14</v>
      </c>
      <c r="I2360" s="7">
        <v>0.0</v>
      </c>
      <c r="J2360" s="3" t="s">
        <v>15</v>
      </c>
    </row>
    <row r="2361">
      <c r="A2361" s="3"/>
      <c r="B2361" s="3"/>
      <c r="C2361" s="3" t="s">
        <v>26</v>
      </c>
      <c r="D2361" s="4" t="s">
        <v>1943</v>
      </c>
      <c r="E2361" s="3" t="s">
        <v>1944</v>
      </c>
      <c r="F2361" s="5">
        <v>46233.51875</v>
      </c>
      <c r="G2361" s="5">
        <v>46233.49896990741</v>
      </c>
      <c r="H2361" s="3" t="s">
        <v>14</v>
      </c>
      <c r="I2361" s="7">
        <v>0.0</v>
      </c>
      <c r="J2361" s="3" t="s">
        <v>15</v>
      </c>
    </row>
    <row r="2362">
      <c r="A2362" s="3"/>
      <c r="B2362" s="3"/>
      <c r="C2362" s="3" t="s">
        <v>10</v>
      </c>
      <c r="D2362" s="4" t="s">
        <v>1947</v>
      </c>
      <c r="E2362" s="3" t="s">
        <v>1948</v>
      </c>
      <c r="F2362" s="5">
        <v>46231.654756944445</v>
      </c>
      <c r="G2362" s="5">
        <v>46231.4891087963</v>
      </c>
      <c r="H2362" s="3" t="s">
        <v>14</v>
      </c>
      <c r="I2362" s="3">
        <v>0.0</v>
      </c>
      <c r="J2362" s="3" t="s">
        <v>15</v>
      </c>
    </row>
    <row r="2363">
      <c r="A2363" s="3"/>
      <c r="B2363" s="3"/>
      <c r="C2363" s="3" t="s">
        <v>17</v>
      </c>
      <c r="D2363" s="4" t="s">
        <v>1947</v>
      </c>
      <c r="E2363" s="3" t="s">
        <v>1948</v>
      </c>
      <c r="F2363" s="5">
        <v>46231.66170138889</v>
      </c>
      <c r="G2363" s="5">
        <v>46231.48936342593</v>
      </c>
      <c r="H2363" s="3" t="s">
        <v>14</v>
      </c>
      <c r="I2363" s="7">
        <v>0.0</v>
      </c>
      <c r="J2363" s="3" t="s">
        <v>15</v>
      </c>
    </row>
    <row r="2364">
      <c r="A2364" s="3"/>
      <c r="B2364" s="3"/>
      <c r="C2364" s="3" t="s">
        <v>21</v>
      </c>
      <c r="D2364" s="4" t="s">
        <v>1947</v>
      </c>
      <c r="E2364" s="3" t="s">
        <v>1948</v>
      </c>
      <c r="F2364" s="5">
        <v>46231.765868055554</v>
      </c>
      <c r="G2364" s="5">
        <v>46231.61344907407</v>
      </c>
      <c r="H2364" s="3" t="s">
        <v>14</v>
      </c>
      <c r="I2364" s="7">
        <v>0.0</v>
      </c>
      <c r="J2364" s="3" t="s">
        <v>15</v>
      </c>
    </row>
    <row r="2365">
      <c r="A2365" s="3"/>
      <c r="B2365" s="3"/>
      <c r="C2365" s="3" t="s">
        <v>24</v>
      </c>
      <c r="D2365" s="4" t="s">
        <v>1947</v>
      </c>
      <c r="E2365" s="3" t="s">
        <v>1948</v>
      </c>
      <c r="F2365" s="5">
        <v>46232.76527777778</v>
      </c>
      <c r="G2365" s="5">
        <v>46231.613483796296</v>
      </c>
      <c r="H2365" s="3" t="s">
        <v>14</v>
      </c>
      <c r="I2365" s="7">
        <v>0.0</v>
      </c>
      <c r="J2365" s="3" t="s">
        <v>15</v>
      </c>
    </row>
    <row r="2366">
      <c r="A2366" s="3"/>
      <c r="B2366" s="3"/>
      <c r="C2366" s="3" t="s">
        <v>26</v>
      </c>
      <c r="D2366" s="4" t="s">
        <v>1947</v>
      </c>
      <c r="E2366" s="3" t="s">
        <v>1948</v>
      </c>
      <c r="F2366" s="5">
        <v>46232.80694444444</v>
      </c>
      <c r="G2366" s="5">
        <v>46231.61351851852</v>
      </c>
      <c r="H2366" s="3" t="s">
        <v>14</v>
      </c>
      <c r="I2366" s="7">
        <v>0.0</v>
      </c>
      <c r="J2366" s="3" t="s">
        <v>15</v>
      </c>
    </row>
    <row r="2367">
      <c r="A2367" s="3"/>
      <c r="B2367" s="3"/>
      <c r="C2367" s="3" t="s">
        <v>10</v>
      </c>
      <c r="D2367" s="4" t="s">
        <v>1952</v>
      </c>
      <c r="E2367" s="3" t="s">
        <v>1953</v>
      </c>
      <c r="F2367" s="5">
        <v>46232.58315972222</v>
      </c>
      <c r="G2367" s="5">
        <v>46232.416921296295</v>
      </c>
      <c r="H2367" s="3" t="s">
        <v>14</v>
      </c>
      <c r="I2367" s="3">
        <v>0.0</v>
      </c>
      <c r="J2367" s="3" t="s">
        <v>72</v>
      </c>
    </row>
    <row r="2368">
      <c r="A2368" s="3"/>
      <c r="B2368" s="3"/>
      <c r="C2368" s="3" t="s">
        <v>17</v>
      </c>
      <c r="D2368" s="4" t="s">
        <v>1952</v>
      </c>
      <c r="E2368" s="3" t="s">
        <v>1953</v>
      </c>
      <c r="F2368" s="5">
        <v>46232.590104166666</v>
      </c>
      <c r="G2368" s="5">
        <v>46232.41699074074</v>
      </c>
      <c r="H2368" s="3" t="s">
        <v>14</v>
      </c>
      <c r="I2368" s="7">
        <v>0.0</v>
      </c>
      <c r="J2368" s="3" t="s">
        <v>72</v>
      </c>
    </row>
    <row r="2369">
      <c r="A2369" s="3"/>
      <c r="B2369" s="3"/>
      <c r="C2369" s="3" t="s">
        <v>21</v>
      </c>
      <c r="D2369" s="4" t="s">
        <v>1952</v>
      </c>
      <c r="E2369" s="3" t="s">
        <v>1953</v>
      </c>
      <c r="F2369" s="5">
        <v>46232.69427083333</v>
      </c>
      <c r="G2369" s="5">
        <v>46232.41701388889</v>
      </c>
      <c r="H2369" s="3" t="s">
        <v>14</v>
      </c>
      <c r="I2369" s="7">
        <v>0.0</v>
      </c>
      <c r="J2369" s="3" t="s">
        <v>72</v>
      </c>
    </row>
    <row r="2370">
      <c r="A2370" s="3"/>
      <c r="B2370" s="3"/>
      <c r="C2370" s="3" t="s">
        <v>24</v>
      </c>
      <c r="D2370" s="4" t="s">
        <v>1952</v>
      </c>
      <c r="E2370" s="3" t="s">
        <v>1953</v>
      </c>
      <c r="F2370" s="5">
        <v>46233.69375</v>
      </c>
      <c r="G2370" s="5">
        <v>46232.47990740741</v>
      </c>
      <c r="H2370" s="3" t="s">
        <v>14</v>
      </c>
      <c r="I2370" s="7">
        <v>0.0</v>
      </c>
      <c r="J2370" s="3" t="s">
        <v>72</v>
      </c>
    </row>
    <row r="2371">
      <c r="A2371" s="3"/>
      <c r="B2371" s="3"/>
      <c r="C2371" s="3" t="s">
        <v>26</v>
      </c>
      <c r="D2371" s="4" t="s">
        <v>1952</v>
      </c>
      <c r="E2371" s="3" t="s">
        <v>1953</v>
      </c>
      <c r="F2371" s="5">
        <v>46233.73541666667</v>
      </c>
      <c r="G2371" s="5">
        <v>46233.43471064815</v>
      </c>
      <c r="H2371" s="3" t="s">
        <v>14</v>
      </c>
      <c r="I2371" s="7">
        <v>0.0</v>
      </c>
      <c r="J2371" s="3" t="s">
        <v>72</v>
      </c>
    </row>
    <row r="2372">
      <c r="A2372" s="3"/>
      <c r="B2372" s="3"/>
      <c r="C2372" s="3" t="s">
        <v>10</v>
      </c>
      <c r="D2372" s="4" t="s">
        <v>1954</v>
      </c>
      <c r="E2372" s="3" t="s">
        <v>1955</v>
      </c>
      <c r="F2372" s="5">
        <v>46232.58872685185</v>
      </c>
      <c r="G2372" s="5">
        <v>46232.43844907408</v>
      </c>
      <c r="H2372" s="3" t="s">
        <v>14</v>
      </c>
      <c r="I2372" s="3">
        <v>0.0</v>
      </c>
      <c r="J2372" s="3" t="s">
        <v>15</v>
      </c>
    </row>
    <row r="2373">
      <c r="A2373" s="3"/>
      <c r="B2373" s="3"/>
      <c r="C2373" s="3" t="s">
        <v>17</v>
      </c>
      <c r="D2373" s="4" t="s">
        <v>1954</v>
      </c>
      <c r="E2373" s="3" t="s">
        <v>1955</v>
      </c>
      <c r="F2373" s="5">
        <v>46232.595671296294</v>
      </c>
      <c r="G2373" s="5">
        <v>46232.43849537037</v>
      </c>
      <c r="H2373" s="3" t="s">
        <v>14</v>
      </c>
      <c r="I2373" s="7">
        <v>0.0</v>
      </c>
      <c r="J2373" s="3" t="s">
        <v>15</v>
      </c>
    </row>
    <row r="2374">
      <c r="A2374" s="3"/>
      <c r="B2374" s="3"/>
      <c r="C2374" s="3" t="s">
        <v>21</v>
      </c>
      <c r="D2374" s="4" t="s">
        <v>1954</v>
      </c>
      <c r="E2374" s="3" t="s">
        <v>1955</v>
      </c>
      <c r="F2374" s="5">
        <v>46232.699837962966</v>
      </c>
      <c r="G2374" s="5">
        <v>46232.43855324074</v>
      </c>
      <c r="H2374" s="3" t="s">
        <v>14</v>
      </c>
      <c r="I2374" s="7">
        <v>0.0</v>
      </c>
      <c r="J2374" s="3" t="s">
        <v>15</v>
      </c>
    </row>
    <row r="2375">
      <c r="A2375" s="3"/>
      <c r="B2375" s="3"/>
      <c r="C2375" s="3" t="s">
        <v>24</v>
      </c>
      <c r="D2375" s="4" t="s">
        <v>1954</v>
      </c>
      <c r="E2375" s="3" t="s">
        <v>1955</v>
      </c>
      <c r="F2375" s="5">
        <v>46233.69930555556</v>
      </c>
      <c r="G2375" s="5">
        <v>46232.47993055556</v>
      </c>
      <c r="H2375" s="3" t="s">
        <v>14</v>
      </c>
      <c r="I2375" s="7">
        <v>0.0</v>
      </c>
      <c r="J2375" s="3" t="s">
        <v>15</v>
      </c>
    </row>
    <row r="2376">
      <c r="A2376" s="3"/>
      <c r="B2376" s="3"/>
      <c r="C2376" s="3" t="s">
        <v>26</v>
      </c>
      <c r="D2376" s="4" t="s">
        <v>1954</v>
      </c>
      <c r="E2376" s="3" t="s">
        <v>1955</v>
      </c>
      <c r="F2376" s="5">
        <v>46233.74097222222</v>
      </c>
      <c r="G2376" s="5">
        <v>46233.45255787037</v>
      </c>
      <c r="H2376" s="3" t="s">
        <v>14</v>
      </c>
      <c r="I2376" s="7">
        <v>0.0</v>
      </c>
      <c r="J2376" s="3" t="s">
        <v>15</v>
      </c>
    </row>
    <row r="2377">
      <c r="A2377" s="3"/>
      <c r="B2377" s="3"/>
      <c r="C2377" s="3" t="s">
        <v>10</v>
      </c>
      <c r="D2377" s="4" t="s">
        <v>1958</v>
      </c>
      <c r="E2377" s="3" t="s">
        <v>1716</v>
      </c>
      <c r="F2377" s="5">
        <v>46232.67244212963</v>
      </c>
      <c r="G2377" s="5">
        <v>46232.509618055556</v>
      </c>
      <c r="H2377" s="3" t="s">
        <v>14</v>
      </c>
      <c r="I2377" s="3">
        <v>0.0</v>
      </c>
      <c r="J2377" s="3" t="s">
        <v>72</v>
      </c>
    </row>
    <row r="2378">
      <c r="A2378" s="3"/>
      <c r="B2378" s="3"/>
      <c r="C2378" s="3" t="s">
        <v>17</v>
      </c>
      <c r="D2378" s="4" t="s">
        <v>1958</v>
      </c>
      <c r="E2378" s="3" t="s">
        <v>1716</v>
      </c>
      <c r="F2378" s="5">
        <v>46232.67938657408</v>
      </c>
      <c r="G2378" s="5">
        <v>46232.50969907407</v>
      </c>
      <c r="H2378" s="3" t="s">
        <v>14</v>
      </c>
      <c r="I2378" s="7">
        <v>0.0</v>
      </c>
      <c r="J2378" s="3" t="s">
        <v>72</v>
      </c>
    </row>
    <row r="2379">
      <c r="A2379" s="3"/>
      <c r="B2379" s="3"/>
      <c r="C2379" s="3" t="s">
        <v>21</v>
      </c>
      <c r="D2379" s="4" t="s">
        <v>1958</v>
      </c>
      <c r="E2379" s="3" t="s">
        <v>1716</v>
      </c>
      <c r="F2379" s="5">
        <v>46232.78355324074</v>
      </c>
      <c r="G2379" s="5">
        <v>46232.509722222225</v>
      </c>
      <c r="H2379" s="3" t="s">
        <v>14</v>
      </c>
      <c r="I2379" s="7">
        <v>0.0</v>
      </c>
      <c r="J2379" s="3" t="s">
        <v>72</v>
      </c>
    </row>
    <row r="2380">
      <c r="A2380" s="3"/>
      <c r="B2380" s="3"/>
      <c r="C2380" s="3" t="s">
        <v>24</v>
      </c>
      <c r="D2380" s="4" t="s">
        <v>1958</v>
      </c>
      <c r="E2380" s="3" t="s">
        <v>1716</v>
      </c>
      <c r="F2380" s="5">
        <v>46233.78333333333</v>
      </c>
      <c r="G2380" s="5">
        <v>46233.43478009259</v>
      </c>
      <c r="H2380" s="3" t="s">
        <v>14</v>
      </c>
      <c r="I2380" s="7">
        <v>0.0</v>
      </c>
      <c r="J2380" s="3" t="s">
        <v>72</v>
      </c>
    </row>
    <row r="2381">
      <c r="A2381" s="3"/>
      <c r="B2381" s="3"/>
      <c r="C2381" s="3" t="s">
        <v>26</v>
      </c>
      <c r="D2381" s="4" t="s">
        <v>1958</v>
      </c>
      <c r="E2381" s="3" t="s">
        <v>1716</v>
      </c>
      <c r="F2381" s="5">
        <v>46233.825</v>
      </c>
      <c r="G2381" s="5">
        <v>46233.43482638889</v>
      </c>
      <c r="H2381" s="3" t="s">
        <v>14</v>
      </c>
      <c r="I2381" s="7">
        <v>0.0</v>
      </c>
      <c r="J2381" s="3" t="s">
        <v>72</v>
      </c>
    </row>
    <row r="2382">
      <c r="A2382" s="3"/>
      <c r="B2382" s="3"/>
      <c r="C2382" s="3" t="s">
        <v>10</v>
      </c>
      <c r="D2382" s="4" t="s">
        <v>1962</v>
      </c>
      <c r="E2382" s="3" t="s">
        <v>955</v>
      </c>
      <c r="F2382" s="5">
        <v>46232.67890046296</v>
      </c>
      <c r="G2382" s="5">
        <v>46232.6259375</v>
      </c>
      <c r="H2382" s="3" t="s">
        <v>14</v>
      </c>
      <c r="I2382" s="3">
        <v>0.0</v>
      </c>
      <c r="J2382" s="3" t="s">
        <v>15</v>
      </c>
    </row>
    <row r="2383">
      <c r="A2383" s="3"/>
      <c r="B2383" s="3"/>
      <c r="C2383" s="3" t="s">
        <v>17</v>
      </c>
      <c r="D2383" s="4" t="s">
        <v>1962</v>
      </c>
      <c r="E2383" s="3" t="s">
        <v>955</v>
      </c>
      <c r="F2383" s="5">
        <v>46232.685844907406</v>
      </c>
      <c r="G2383" s="5">
        <v>46232.62603009259</v>
      </c>
      <c r="H2383" s="3" t="s">
        <v>14</v>
      </c>
      <c r="I2383" s="7">
        <v>0.0</v>
      </c>
      <c r="J2383" s="3" t="s">
        <v>15</v>
      </c>
    </row>
    <row r="2384">
      <c r="A2384" s="3"/>
      <c r="B2384" s="3"/>
      <c r="C2384" s="3" t="s">
        <v>21</v>
      </c>
      <c r="D2384" s="4" t="s">
        <v>1962</v>
      </c>
      <c r="E2384" s="3" t="s">
        <v>955</v>
      </c>
      <c r="F2384" s="5">
        <v>46232.79001157408</v>
      </c>
      <c r="G2384" s="5">
        <v>46232.69820601852</v>
      </c>
      <c r="H2384" s="3" t="s">
        <v>14</v>
      </c>
      <c r="I2384" s="7">
        <v>0.0</v>
      </c>
      <c r="J2384" s="3" t="s">
        <v>15</v>
      </c>
    </row>
    <row r="2385">
      <c r="A2385" s="3"/>
      <c r="B2385" s="3"/>
      <c r="C2385" s="3" t="s">
        <v>24</v>
      </c>
      <c r="D2385" s="4" t="s">
        <v>1962</v>
      </c>
      <c r="E2385" s="3" t="s">
        <v>955</v>
      </c>
      <c r="F2385" s="5">
        <v>46233.78958333333</v>
      </c>
      <c r="G2385" s="5">
        <v>46232.89402777778</v>
      </c>
      <c r="H2385" s="3" t="s">
        <v>14</v>
      </c>
      <c r="I2385" s="7">
        <v>0.0</v>
      </c>
      <c r="J2385" s="3" t="s">
        <v>15</v>
      </c>
    </row>
    <row r="2386">
      <c r="A2386" s="3"/>
      <c r="B2386" s="3"/>
      <c r="C2386" s="3" t="s">
        <v>26</v>
      </c>
      <c r="D2386" s="4" t="s">
        <v>1962</v>
      </c>
      <c r="E2386" s="3" t="s">
        <v>955</v>
      </c>
      <c r="F2386" s="5">
        <v>46233.83125</v>
      </c>
      <c r="G2386" s="5">
        <v>46233.45271990741</v>
      </c>
      <c r="H2386" s="3" t="s">
        <v>14</v>
      </c>
      <c r="I2386" s="7">
        <v>0.0</v>
      </c>
      <c r="J2386" s="3" t="s">
        <v>15</v>
      </c>
    </row>
    <row r="2387">
      <c r="A2387" s="3"/>
      <c r="B2387" s="3"/>
      <c r="C2387" s="3" t="s">
        <v>10</v>
      </c>
      <c r="D2387" s="4" t="s">
        <v>1963</v>
      </c>
      <c r="E2387" s="3" t="s">
        <v>955</v>
      </c>
      <c r="F2387" s="5">
        <v>46232.68003472222</v>
      </c>
      <c r="G2387" s="5">
        <v>46232.62596064815</v>
      </c>
      <c r="H2387" s="3" t="s">
        <v>14</v>
      </c>
      <c r="I2387" s="3">
        <v>0.0</v>
      </c>
      <c r="J2387" s="3" t="s">
        <v>15</v>
      </c>
    </row>
    <row r="2388">
      <c r="A2388" s="3"/>
      <c r="B2388" s="3"/>
      <c r="C2388" s="3" t="s">
        <v>17</v>
      </c>
      <c r="D2388" s="4" t="s">
        <v>1963</v>
      </c>
      <c r="E2388" s="3" t="s">
        <v>955</v>
      </c>
      <c r="F2388" s="5">
        <v>46232.68697916667</v>
      </c>
      <c r="G2388" s="5">
        <v>46232.626064814816</v>
      </c>
      <c r="H2388" s="3" t="s">
        <v>14</v>
      </c>
      <c r="I2388" s="7">
        <v>0.0</v>
      </c>
      <c r="J2388" s="3" t="s">
        <v>15</v>
      </c>
    </row>
    <row r="2389">
      <c r="A2389" s="3"/>
      <c r="B2389" s="3"/>
      <c r="C2389" s="3" t="s">
        <v>21</v>
      </c>
      <c r="D2389" s="4" t="s">
        <v>1963</v>
      </c>
      <c r="E2389" s="3" t="s">
        <v>955</v>
      </c>
      <c r="F2389" s="5">
        <v>46232.79114583333</v>
      </c>
      <c r="G2389" s="5">
        <v>46232.69820601852</v>
      </c>
      <c r="H2389" s="3" t="s">
        <v>14</v>
      </c>
      <c r="I2389" s="7">
        <v>0.0</v>
      </c>
      <c r="J2389" s="3" t="s">
        <v>15</v>
      </c>
    </row>
    <row r="2390">
      <c r="A2390" s="3"/>
      <c r="B2390" s="3"/>
      <c r="C2390" s="3" t="s">
        <v>24</v>
      </c>
      <c r="D2390" s="4" t="s">
        <v>1963</v>
      </c>
      <c r="E2390" s="3" t="s">
        <v>955</v>
      </c>
      <c r="F2390" s="5">
        <v>46233.790972222225</v>
      </c>
      <c r="G2390" s="5">
        <v>46232.8940625</v>
      </c>
      <c r="H2390" s="3" t="s">
        <v>14</v>
      </c>
      <c r="I2390" s="7">
        <v>0.0</v>
      </c>
      <c r="J2390" s="3" t="s">
        <v>15</v>
      </c>
    </row>
    <row r="2391">
      <c r="A2391" s="3"/>
      <c r="B2391" s="3"/>
      <c r="C2391" s="3" t="s">
        <v>26</v>
      </c>
      <c r="D2391" s="4" t="s">
        <v>1963</v>
      </c>
      <c r="E2391" s="3" t="s">
        <v>955</v>
      </c>
      <c r="F2391" s="5">
        <v>46233.83263888889</v>
      </c>
      <c r="G2391" s="5">
        <v>46232.89420138889</v>
      </c>
      <c r="H2391" s="3" t="s">
        <v>14</v>
      </c>
      <c r="I2391" s="7">
        <v>0.0</v>
      </c>
      <c r="J2391" s="3" t="s">
        <v>15</v>
      </c>
    </row>
    <row r="2392">
      <c r="A2392" s="3"/>
      <c r="B2392" s="3"/>
      <c r="C2392" s="3" t="s">
        <v>10</v>
      </c>
      <c r="D2392" s="4" t="s">
        <v>1965</v>
      </c>
      <c r="E2392" s="3" t="s">
        <v>1966</v>
      </c>
      <c r="F2392" s="5">
        <v>46232.680972222224</v>
      </c>
      <c r="G2392" s="5">
        <v>46232.62596064815</v>
      </c>
      <c r="H2392" s="3" t="s">
        <v>14</v>
      </c>
      <c r="I2392" s="3">
        <v>0.0</v>
      </c>
      <c r="J2392" s="3" t="s">
        <v>15</v>
      </c>
    </row>
    <row r="2393">
      <c r="A2393" s="3"/>
      <c r="B2393" s="3"/>
      <c r="C2393" s="3" t="s">
        <v>17</v>
      </c>
      <c r="D2393" s="4" t="s">
        <v>1965</v>
      </c>
      <c r="E2393" s="3" t="s">
        <v>1966</v>
      </c>
      <c r="F2393" s="5">
        <v>46232.68791666667</v>
      </c>
      <c r="G2393" s="5">
        <v>46232.62604166667</v>
      </c>
      <c r="H2393" s="3" t="s">
        <v>14</v>
      </c>
      <c r="I2393" s="7">
        <v>0.0</v>
      </c>
      <c r="J2393" s="3" t="s">
        <v>15</v>
      </c>
    </row>
    <row r="2394">
      <c r="A2394" s="3"/>
      <c r="B2394" s="3"/>
      <c r="C2394" s="3" t="s">
        <v>21</v>
      </c>
      <c r="D2394" s="4" t="s">
        <v>1965</v>
      </c>
      <c r="E2394" s="3" t="s">
        <v>1966</v>
      </c>
      <c r="F2394" s="5">
        <v>46232.792083333334</v>
      </c>
      <c r="G2394" s="5">
        <v>46232.698217592595</v>
      </c>
      <c r="H2394" s="3" t="s">
        <v>14</v>
      </c>
      <c r="I2394" s="7">
        <v>0.0</v>
      </c>
      <c r="J2394" s="3" t="s">
        <v>15</v>
      </c>
    </row>
    <row r="2395">
      <c r="A2395" s="3"/>
      <c r="B2395" s="3"/>
      <c r="C2395" s="3" t="s">
        <v>24</v>
      </c>
      <c r="D2395" s="4" t="s">
        <v>1965</v>
      </c>
      <c r="E2395" s="3" t="s">
        <v>1966</v>
      </c>
      <c r="F2395" s="5">
        <v>46233.791666666664</v>
      </c>
      <c r="G2395" s="5">
        <v>46232.89408564815</v>
      </c>
      <c r="H2395" s="3" t="s">
        <v>14</v>
      </c>
      <c r="I2395" s="7">
        <v>0.0</v>
      </c>
      <c r="J2395" s="3" t="s">
        <v>15</v>
      </c>
    </row>
    <row r="2396">
      <c r="A2396" s="3"/>
      <c r="B2396" s="3"/>
      <c r="C2396" s="3" t="s">
        <v>26</v>
      </c>
      <c r="D2396" s="4" t="s">
        <v>1965</v>
      </c>
      <c r="E2396" s="3" t="s">
        <v>1966</v>
      </c>
      <c r="F2396" s="5">
        <v>46234.416666666664</v>
      </c>
      <c r="G2396" s="5">
        <v>46232.89418981481</v>
      </c>
      <c r="H2396" s="3" t="s">
        <v>14</v>
      </c>
      <c r="I2396" s="7">
        <v>0.0</v>
      </c>
      <c r="J2396" s="3" t="s">
        <v>15</v>
      </c>
    </row>
    <row r="2397">
      <c r="A2397" s="3"/>
      <c r="B2397" s="3"/>
      <c r="C2397" s="3" t="s">
        <v>10</v>
      </c>
      <c r="D2397" s="4" t="s">
        <v>1971</v>
      </c>
      <c r="E2397" s="3" t="s">
        <v>1972</v>
      </c>
      <c r="F2397" s="5">
        <v>46232.68409722222</v>
      </c>
      <c r="G2397" s="5">
        <v>46232.62596064815</v>
      </c>
      <c r="H2397" s="3" t="s">
        <v>14</v>
      </c>
      <c r="I2397" s="3">
        <v>0.0</v>
      </c>
      <c r="J2397" s="3" t="s">
        <v>15</v>
      </c>
    </row>
    <row r="2398">
      <c r="A2398" s="3"/>
      <c r="B2398" s="3"/>
      <c r="C2398" s="3" t="s">
        <v>17</v>
      </c>
      <c r="D2398" s="4" t="s">
        <v>1971</v>
      </c>
      <c r="E2398" s="3" t="s">
        <v>1972</v>
      </c>
      <c r="F2398" s="5">
        <v>46232.691041666665</v>
      </c>
      <c r="G2398" s="5">
        <v>46232.626076388886</v>
      </c>
      <c r="H2398" s="3" t="s">
        <v>14</v>
      </c>
      <c r="I2398" s="7">
        <v>0.0</v>
      </c>
      <c r="J2398" s="3" t="s">
        <v>15</v>
      </c>
    </row>
    <row r="2399">
      <c r="A2399" s="3"/>
      <c r="B2399" s="3"/>
      <c r="C2399" s="3" t="s">
        <v>21</v>
      </c>
      <c r="D2399" s="4" t="s">
        <v>1971</v>
      </c>
      <c r="E2399" s="3" t="s">
        <v>1972</v>
      </c>
      <c r="F2399" s="5">
        <v>46232.79520833334</v>
      </c>
      <c r="G2399" s="5">
        <v>46232.69824074074</v>
      </c>
      <c r="H2399" s="3" t="s">
        <v>14</v>
      </c>
      <c r="I2399" s="7">
        <v>0.0</v>
      </c>
      <c r="J2399" s="3" t="s">
        <v>15</v>
      </c>
    </row>
    <row r="2400">
      <c r="A2400" s="3"/>
      <c r="B2400" s="3"/>
      <c r="C2400" s="3" t="s">
        <v>24</v>
      </c>
      <c r="D2400" s="4" t="s">
        <v>1971</v>
      </c>
      <c r="E2400" s="3" t="s">
        <v>1972</v>
      </c>
      <c r="F2400" s="5">
        <v>46233.79513888889</v>
      </c>
      <c r="G2400" s="5">
        <v>46232.894108796296</v>
      </c>
      <c r="H2400" s="3" t="s">
        <v>14</v>
      </c>
      <c r="I2400" s="7">
        <v>0.0</v>
      </c>
      <c r="J2400" s="3" t="s">
        <v>15</v>
      </c>
    </row>
    <row r="2401">
      <c r="A2401" s="3"/>
      <c r="B2401" s="3"/>
      <c r="C2401" s="3" t="s">
        <v>26</v>
      </c>
      <c r="D2401" s="4" t="s">
        <v>1971</v>
      </c>
      <c r="E2401" s="3" t="s">
        <v>1972</v>
      </c>
      <c r="F2401" s="5">
        <v>46234.42013888889</v>
      </c>
      <c r="G2401" s="5">
        <v>46232.894166666665</v>
      </c>
      <c r="H2401" s="3" t="s">
        <v>14</v>
      </c>
      <c r="I2401" s="7">
        <v>0.0</v>
      </c>
      <c r="J2401" s="3" t="s">
        <v>15</v>
      </c>
    </row>
    <row r="2402">
      <c r="A2402" s="3"/>
      <c r="B2402" s="3"/>
      <c r="C2402" s="3" t="s">
        <v>10</v>
      </c>
      <c r="D2402" s="4" t="s">
        <v>1976</v>
      </c>
      <c r="E2402" s="3" t="s">
        <v>166</v>
      </c>
      <c r="F2402" s="5">
        <v>46233.71</v>
      </c>
      <c r="G2402" s="5">
        <v>46233.56538194444</v>
      </c>
      <c r="H2402" s="3" t="s">
        <v>14</v>
      </c>
      <c r="I2402" s="3">
        <v>0.0</v>
      </c>
      <c r="J2402" s="3" t="s">
        <v>15</v>
      </c>
    </row>
    <row r="2403">
      <c r="A2403" s="3"/>
      <c r="B2403" s="3"/>
      <c r="C2403" s="3" t="s">
        <v>17</v>
      </c>
      <c r="D2403" s="4" t="s">
        <v>1976</v>
      </c>
      <c r="E2403" s="3" t="s">
        <v>166</v>
      </c>
      <c r="F2403" s="5">
        <v>46233.716944444444</v>
      </c>
      <c r="G2403" s="5">
        <v>46233.56545138889</v>
      </c>
      <c r="H2403" s="3" t="s">
        <v>14</v>
      </c>
      <c r="I2403" s="7">
        <v>0.0</v>
      </c>
      <c r="J2403" s="3" t="s">
        <v>15</v>
      </c>
    </row>
    <row r="2404">
      <c r="A2404" s="3"/>
      <c r="B2404" s="3"/>
      <c r="C2404" s="3" t="s">
        <v>21</v>
      </c>
      <c r="D2404" s="4" t="s">
        <v>1976</v>
      </c>
      <c r="E2404" s="3" t="s">
        <v>166</v>
      </c>
      <c r="F2404" s="5">
        <v>46233.82111111111</v>
      </c>
      <c r="G2404" s="5">
        <v>46233.56549768519</v>
      </c>
      <c r="H2404" s="3" t="s">
        <v>14</v>
      </c>
      <c r="I2404" s="7">
        <v>0.0</v>
      </c>
      <c r="J2404" s="3" t="s">
        <v>15</v>
      </c>
    </row>
    <row r="2405">
      <c r="A2405" s="3"/>
      <c r="B2405" s="3"/>
      <c r="C2405" s="3" t="s">
        <v>24</v>
      </c>
      <c r="D2405" s="4" t="s">
        <v>1976</v>
      </c>
      <c r="E2405" s="3" t="s">
        <v>166</v>
      </c>
      <c r="F2405" s="5">
        <v>46234.82083333333</v>
      </c>
      <c r="G2405" s="5">
        <v>46234.7843287037</v>
      </c>
      <c r="H2405" s="3" t="s">
        <v>14</v>
      </c>
      <c r="I2405" s="7">
        <v>0.0</v>
      </c>
      <c r="J2405" s="3" t="s">
        <v>15</v>
      </c>
    </row>
    <row r="2406">
      <c r="A2406" s="3"/>
      <c r="B2406" s="3"/>
      <c r="C2406" s="3" t="s">
        <v>26</v>
      </c>
      <c r="D2406" s="4" t="s">
        <v>1976</v>
      </c>
      <c r="E2406" s="3" t="s">
        <v>166</v>
      </c>
      <c r="F2406" s="5">
        <v>46235.44583333333</v>
      </c>
      <c r="G2406" s="5">
        <v>46234.78439814815</v>
      </c>
      <c r="H2406" s="3" t="s">
        <v>14</v>
      </c>
      <c r="I2406" s="7">
        <v>0.0</v>
      </c>
      <c r="J2406" s="3" t="s">
        <v>15</v>
      </c>
    </row>
    <row r="2407">
      <c r="A2407" s="3"/>
      <c r="B2407" s="3"/>
      <c r="C2407" s="3" t="s">
        <v>10</v>
      </c>
      <c r="D2407" s="4" t="s">
        <v>1978</v>
      </c>
      <c r="E2407" s="3" t="s">
        <v>1979</v>
      </c>
      <c r="F2407" s="5">
        <v>46233.791180555556</v>
      </c>
      <c r="G2407" s="5">
        <v>46233.71732638889</v>
      </c>
      <c r="H2407" s="3" t="s">
        <v>14</v>
      </c>
      <c r="I2407" s="3">
        <v>0.0</v>
      </c>
      <c r="J2407" s="3" t="s">
        <v>72</v>
      </c>
    </row>
    <row r="2408">
      <c r="A2408" s="3"/>
      <c r="B2408" s="3"/>
      <c r="C2408" s="3" t="s">
        <v>17</v>
      </c>
      <c r="D2408" s="4" t="s">
        <v>1978</v>
      </c>
      <c r="E2408" s="3" t="s">
        <v>1979</v>
      </c>
      <c r="F2408" s="5">
        <v>46233.798125</v>
      </c>
      <c r="G2408" s="5">
        <v>46233.71741898148</v>
      </c>
      <c r="H2408" s="3" t="s">
        <v>14</v>
      </c>
      <c r="I2408" s="7">
        <v>0.0</v>
      </c>
      <c r="J2408" s="3" t="s">
        <v>72</v>
      </c>
    </row>
    <row r="2409">
      <c r="A2409" s="3"/>
      <c r="B2409" s="3"/>
      <c r="C2409" s="3" t="s">
        <v>21</v>
      </c>
      <c r="D2409" s="4" t="s">
        <v>1978</v>
      </c>
      <c r="E2409" s="3" t="s">
        <v>1979</v>
      </c>
      <c r="F2409" s="5">
        <v>46234.464583333334</v>
      </c>
      <c r="G2409" s="5">
        <v>46233.8325462963</v>
      </c>
      <c r="H2409" s="3" t="s">
        <v>14</v>
      </c>
      <c r="I2409" s="7">
        <v>0.0</v>
      </c>
      <c r="J2409" s="3" t="s">
        <v>72</v>
      </c>
    </row>
    <row r="2410">
      <c r="A2410" s="3"/>
      <c r="B2410" s="3"/>
      <c r="C2410" s="3" t="s">
        <v>24</v>
      </c>
      <c r="D2410" s="4" t="s">
        <v>1978</v>
      </c>
      <c r="E2410" s="3" t="s">
        <v>1979</v>
      </c>
      <c r="F2410" s="5">
        <v>46235.464583333334</v>
      </c>
      <c r="G2410" s="5">
        <v>46234.79736111111</v>
      </c>
      <c r="H2410" s="3" t="s">
        <v>14</v>
      </c>
      <c r="I2410" s="7">
        <v>0.0</v>
      </c>
      <c r="J2410" s="3" t="s">
        <v>72</v>
      </c>
    </row>
    <row r="2411">
      <c r="A2411" s="3"/>
      <c r="B2411" s="3"/>
      <c r="C2411" s="3" t="s">
        <v>26</v>
      </c>
      <c r="D2411" s="4" t="s">
        <v>1978</v>
      </c>
      <c r="E2411" s="3" t="s">
        <v>1979</v>
      </c>
      <c r="F2411" s="5">
        <v>46235.50625</v>
      </c>
      <c r="G2411" s="5">
        <v>46234.79740740741</v>
      </c>
      <c r="H2411" s="3" t="s">
        <v>14</v>
      </c>
      <c r="I2411" s="7">
        <v>0.0</v>
      </c>
      <c r="J2411" s="3" t="s">
        <v>72</v>
      </c>
    </row>
    <row r="2412">
      <c r="A2412" s="3"/>
      <c r="B2412" s="3"/>
      <c r="C2412" s="3" t="s">
        <v>10</v>
      </c>
      <c r="D2412" s="4" t="s">
        <v>1985</v>
      </c>
      <c r="E2412" s="3" t="s">
        <v>1014</v>
      </c>
      <c r="F2412" s="5">
        <v>46234.669444444444</v>
      </c>
      <c r="G2412" s="5">
        <v>46234.656493055554</v>
      </c>
      <c r="H2412" s="3" t="s">
        <v>14</v>
      </c>
      <c r="I2412" s="3">
        <v>0.0</v>
      </c>
      <c r="J2412" s="3" t="s">
        <v>15</v>
      </c>
    </row>
    <row r="2413">
      <c r="A2413" s="3"/>
      <c r="B2413" s="3"/>
      <c r="C2413" s="3" t="s">
        <v>17</v>
      </c>
      <c r="D2413" s="4" t="s">
        <v>1985</v>
      </c>
      <c r="E2413" s="3" t="s">
        <v>1014</v>
      </c>
      <c r="F2413" s="5">
        <v>46234.67638888889</v>
      </c>
      <c r="G2413" s="5">
        <v>46234.6565625</v>
      </c>
      <c r="H2413" s="3" t="s">
        <v>14</v>
      </c>
      <c r="I2413" s="7">
        <v>0.0</v>
      </c>
      <c r="J2413" s="3" t="s">
        <v>15</v>
      </c>
    </row>
    <row r="2414">
      <c r="A2414" s="3"/>
      <c r="B2414" s="3"/>
      <c r="C2414" s="3" t="s">
        <v>21</v>
      </c>
      <c r="D2414" s="4" t="s">
        <v>1985</v>
      </c>
      <c r="E2414" s="3" t="s">
        <v>1014</v>
      </c>
      <c r="F2414" s="5">
        <v>46234.78055555555</v>
      </c>
      <c r="G2414" s="5">
        <v>46234.6568287037</v>
      </c>
      <c r="H2414" s="3" t="s">
        <v>14</v>
      </c>
      <c r="I2414" s="7">
        <v>0.0</v>
      </c>
      <c r="J2414" s="3" t="s">
        <v>15</v>
      </c>
    </row>
    <row r="2415">
      <c r="A2415" s="3"/>
      <c r="B2415" s="3"/>
      <c r="C2415" s="3" t="s">
        <v>24</v>
      </c>
      <c r="D2415" s="4" t="s">
        <v>1985</v>
      </c>
      <c r="E2415" s="3" t="s">
        <v>1014</v>
      </c>
      <c r="F2415" s="5">
        <v>46235.78055555555</v>
      </c>
      <c r="G2415" s="5">
        <v>46234.79143518519</v>
      </c>
      <c r="H2415" s="3" t="s">
        <v>14</v>
      </c>
      <c r="I2415" s="7">
        <v>0.0</v>
      </c>
      <c r="J2415" s="3" t="s">
        <v>15</v>
      </c>
    </row>
    <row r="2416">
      <c r="A2416" s="3"/>
      <c r="B2416" s="3"/>
      <c r="C2416" s="3" t="s">
        <v>26</v>
      </c>
      <c r="D2416" s="4" t="s">
        <v>1985</v>
      </c>
      <c r="E2416" s="3" t="s">
        <v>1014</v>
      </c>
      <c r="F2416" s="5">
        <v>46235.822222222225</v>
      </c>
      <c r="G2416" s="5">
        <v>46234.791354166664</v>
      </c>
      <c r="H2416" s="3" t="s">
        <v>14</v>
      </c>
      <c r="I2416" s="7">
        <v>0.0</v>
      </c>
      <c r="J2416" s="3" t="s">
        <v>15</v>
      </c>
    </row>
    <row r="2417">
      <c r="A2417" s="3"/>
      <c r="B2417" s="3"/>
      <c r="C2417" s="3" t="s">
        <v>10</v>
      </c>
      <c r="D2417" s="4" t="s">
        <v>1988</v>
      </c>
      <c r="E2417" s="3" t="s">
        <v>1989</v>
      </c>
      <c r="F2417" s="5">
        <v>46234.67056712963</v>
      </c>
      <c r="G2417" s="5">
        <v>46234.65650462963</v>
      </c>
      <c r="H2417" s="3" t="s">
        <v>14</v>
      </c>
      <c r="I2417" s="3">
        <v>0.0</v>
      </c>
      <c r="J2417" s="3" t="s">
        <v>15</v>
      </c>
    </row>
    <row r="2418">
      <c r="A2418" s="3"/>
      <c r="B2418" s="3"/>
      <c r="C2418" s="3" t="s">
        <v>17</v>
      </c>
      <c r="D2418" s="4" t="s">
        <v>1988</v>
      </c>
      <c r="E2418" s="3" t="s">
        <v>1989</v>
      </c>
      <c r="F2418" s="5">
        <v>46234.677511574075</v>
      </c>
      <c r="G2418" s="5">
        <v>46234.65659722222</v>
      </c>
      <c r="H2418" s="3" t="s">
        <v>14</v>
      </c>
      <c r="I2418" s="7">
        <v>0.0</v>
      </c>
      <c r="J2418" s="3" t="s">
        <v>15</v>
      </c>
    </row>
    <row r="2419">
      <c r="A2419" s="3"/>
      <c r="B2419" s="3"/>
      <c r="C2419" s="3" t="s">
        <v>21</v>
      </c>
      <c r="D2419" s="4" t="s">
        <v>1988</v>
      </c>
      <c r="E2419" s="3" t="s">
        <v>1989</v>
      </c>
      <c r="F2419" s="5">
        <v>46234.78167824074</v>
      </c>
      <c r="G2419" s="5">
        <v>46234.657060185185</v>
      </c>
      <c r="H2419" s="3" t="s">
        <v>14</v>
      </c>
      <c r="I2419" s="7">
        <v>0.0</v>
      </c>
      <c r="J2419" s="3" t="s">
        <v>15</v>
      </c>
    </row>
    <row r="2420">
      <c r="A2420" s="3"/>
      <c r="B2420" s="3"/>
      <c r="C2420" s="3" t="s">
        <v>24</v>
      </c>
      <c r="D2420" s="4" t="s">
        <v>1988</v>
      </c>
      <c r="E2420" s="3" t="s">
        <v>1989</v>
      </c>
      <c r="F2420" s="5">
        <v>46235.78125</v>
      </c>
      <c r="G2420" s="5">
        <v>46234.79174768519</v>
      </c>
      <c r="H2420" s="3" t="s">
        <v>14</v>
      </c>
      <c r="I2420" s="7">
        <v>0.0</v>
      </c>
      <c r="J2420" s="3" t="s">
        <v>15</v>
      </c>
    </row>
    <row r="2421">
      <c r="A2421" s="3"/>
      <c r="B2421" s="3"/>
      <c r="C2421" s="3" t="s">
        <v>26</v>
      </c>
      <c r="D2421" s="4" t="s">
        <v>1988</v>
      </c>
      <c r="E2421" s="3" t="s">
        <v>1989</v>
      </c>
      <c r="F2421" s="5">
        <v>46235.822916666664</v>
      </c>
      <c r="G2421" s="5">
        <v>46234.791817129626</v>
      </c>
      <c r="H2421" s="3" t="s">
        <v>14</v>
      </c>
      <c r="I2421" s="7">
        <v>0.0</v>
      </c>
      <c r="J2421" s="3" t="s">
        <v>15</v>
      </c>
    </row>
    <row r="2422">
      <c r="A2422" s="3"/>
      <c r="B2422" s="3"/>
      <c r="C2422" s="3" t="s">
        <v>10</v>
      </c>
      <c r="D2422" s="4" t="s">
        <v>1991</v>
      </c>
      <c r="E2422" s="3" t="s">
        <v>1992</v>
      </c>
      <c r="F2422" s="5">
        <v>46234.78420138889</v>
      </c>
      <c r="G2422" s="5">
        <v>46234.78165509259</v>
      </c>
      <c r="H2422" s="3" t="s">
        <v>14</v>
      </c>
      <c r="I2422" s="3">
        <v>0.0</v>
      </c>
      <c r="J2422" s="3" t="s">
        <v>72</v>
      </c>
    </row>
    <row r="2423">
      <c r="A2423" s="3"/>
      <c r="B2423" s="3"/>
      <c r="C2423" s="3" t="s">
        <v>17</v>
      </c>
      <c r="D2423" s="4" t="s">
        <v>1991</v>
      </c>
      <c r="E2423" s="3" t="s">
        <v>1992</v>
      </c>
      <c r="F2423" s="5">
        <v>46234.79114583333</v>
      </c>
      <c r="G2423" s="5">
        <v>46234.7821875</v>
      </c>
      <c r="H2423" s="3" t="s">
        <v>14</v>
      </c>
      <c r="I2423" s="7">
        <v>0.0</v>
      </c>
      <c r="J2423" s="3" t="s">
        <v>72</v>
      </c>
    </row>
    <row r="2424">
      <c r="A2424" s="3"/>
      <c r="B2424" s="3"/>
      <c r="C2424" s="3" t="s">
        <v>21</v>
      </c>
      <c r="D2424" s="4" t="s">
        <v>1991</v>
      </c>
      <c r="E2424" s="3" t="s">
        <v>1992</v>
      </c>
      <c r="F2424" s="5">
        <v>46235.49930555555</v>
      </c>
      <c r="G2424" s="5">
        <v>46234.78230324074</v>
      </c>
      <c r="H2424" s="3" t="s">
        <v>14</v>
      </c>
      <c r="I2424" s="7">
        <v>0.0</v>
      </c>
      <c r="J2424" s="3" t="s">
        <v>72</v>
      </c>
    </row>
    <row r="2425">
      <c r="A2425" s="3"/>
      <c r="B2425" s="3"/>
      <c r="C2425" s="3" t="s">
        <v>24</v>
      </c>
      <c r="D2425" s="4" t="s">
        <v>1991</v>
      </c>
      <c r="E2425" s="3" t="s">
        <v>1992</v>
      </c>
      <c r="F2425" s="5">
        <v>46237.49930555555</v>
      </c>
      <c r="G2425" s="5">
        <v>46237.39833333333</v>
      </c>
      <c r="H2425" s="3" t="s">
        <v>14</v>
      </c>
      <c r="I2425" s="7">
        <v>0.0</v>
      </c>
      <c r="J2425" s="3" t="s">
        <v>72</v>
      </c>
    </row>
    <row r="2426">
      <c r="A2426" s="3"/>
      <c r="B2426" s="3"/>
      <c r="C2426" s="3" t="s">
        <v>26</v>
      </c>
      <c r="D2426" s="4" t="s">
        <v>1991</v>
      </c>
      <c r="E2426" s="3" t="s">
        <v>1992</v>
      </c>
      <c r="F2426" s="5">
        <v>46237.540972222225</v>
      </c>
      <c r="G2426" s="5">
        <v>46237.3983912037</v>
      </c>
      <c r="H2426" s="3" t="s">
        <v>14</v>
      </c>
      <c r="I2426" s="7">
        <v>0.0</v>
      </c>
      <c r="J2426" s="3" t="s">
        <v>72</v>
      </c>
    </row>
    <row r="2427">
      <c r="A2427" s="3"/>
      <c r="B2427" s="3"/>
      <c r="C2427" s="3" t="s">
        <v>10</v>
      </c>
      <c r="D2427" s="4" t="s">
        <v>1995</v>
      </c>
      <c r="E2427" s="3" t="s">
        <v>1996</v>
      </c>
      <c r="F2427" s="5">
        <v>46234.81905092593</v>
      </c>
      <c r="G2427" s="5">
        <v>46234.781909722224</v>
      </c>
      <c r="H2427" s="3" t="s">
        <v>14</v>
      </c>
      <c r="I2427" s="3">
        <v>0.0</v>
      </c>
      <c r="J2427" s="3" t="s">
        <v>15</v>
      </c>
    </row>
    <row r="2428">
      <c r="A2428" s="3"/>
      <c r="B2428" s="3"/>
      <c r="C2428" s="3" t="s">
        <v>17</v>
      </c>
      <c r="D2428" s="4" t="s">
        <v>1995</v>
      </c>
      <c r="E2428" s="3" t="s">
        <v>1996</v>
      </c>
      <c r="F2428" s="5">
        <v>46234.82599537037</v>
      </c>
      <c r="G2428" s="5">
        <v>46235.60121527778</v>
      </c>
      <c r="H2428" s="3" t="s">
        <v>14</v>
      </c>
      <c r="I2428" s="7">
        <v>0.7752199074074074</v>
      </c>
      <c r="J2428" s="3" t="s">
        <v>15</v>
      </c>
    </row>
    <row r="2429">
      <c r="A2429" s="3"/>
      <c r="B2429" s="3"/>
      <c r="C2429" s="3" t="s">
        <v>21</v>
      </c>
      <c r="D2429" s="4" t="s">
        <v>1995</v>
      </c>
      <c r="E2429" s="3" t="s">
        <v>1996</v>
      </c>
      <c r="F2429" s="5">
        <v>46235.53402777778</v>
      </c>
      <c r="G2429" s="5">
        <v>46234.782314814816</v>
      </c>
      <c r="H2429" s="3" t="s">
        <v>14</v>
      </c>
      <c r="I2429" s="7">
        <v>0.0</v>
      </c>
      <c r="J2429" s="3" t="s">
        <v>15</v>
      </c>
    </row>
    <row r="2430">
      <c r="A2430" s="3"/>
      <c r="B2430" s="3"/>
      <c r="C2430" s="3" t="s">
        <v>24</v>
      </c>
      <c r="D2430" s="4" t="s">
        <v>1995</v>
      </c>
      <c r="E2430" s="3" t="s">
        <v>1996</v>
      </c>
      <c r="F2430" s="5">
        <v>46237.53402777778</v>
      </c>
      <c r="G2430" s="5">
        <v>46235.60135416667</v>
      </c>
      <c r="H2430" s="3" t="s">
        <v>14</v>
      </c>
      <c r="I2430" s="7">
        <v>0.0</v>
      </c>
      <c r="J2430" s="3" t="s">
        <v>15</v>
      </c>
    </row>
    <row r="2431">
      <c r="A2431" s="3"/>
      <c r="B2431" s="3"/>
      <c r="C2431" s="3" t="s">
        <v>26</v>
      </c>
      <c r="D2431" s="4" t="s">
        <v>1995</v>
      </c>
      <c r="E2431" s="3" t="s">
        <v>1996</v>
      </c>
      <c r="F2431" s="5">
        <v>46237.575694444444</v>
      </c>
      <c r="G2431" s="5">
        <v>46236.391168981485</v>
      </c>
      <c r="H2431" s="3" t="s">
        <v>14</v>
      </c>
      <c r="I2431" s="7">
        <v>0.0</v>
      </c>
      <c r="J2431" s="3" t="s">
        <v>15</v>
      </c>
    </row>
    <row r="2432">
      <c r="A2432" s="3"/>
      <c r="B2432" s="3"/>
      <c r="C2432" s="3" t="s">
        <v>10</v>
      </c>
      <c r="D2432" s="4" t="s">
        <v>1998</v>
      </c>
      <c r="E2432" s="3" t="s">
        <v>1999</v>
      </c>
      <c r="F2432" s="5">
        <v>46235.715104166666</v>
      </c>
      <c r="G2432" s="5">
        <v>46235.60109953704</v>
      </c>
      <c r="H2432" s="3" t="s">
        <v>14</v>
      </c>
      <c r="I2432" s="3">
        <v>0.0</v>
      </c>
      <c r="J2432" s="3" t="s">
        <v>72</v>
      </c>
    </row>
    <row r="2433">
      <c r="A2433" s="3"/>
      <c r="B2433" s="3"/>
      <c r="C2433" s="3" t="s">
        <v>17</v>
      </c>
      <c r="D2433" s="4" t="s">
        <v>1998</v>
      </c>
      <c r="E2433" s="3" t="s">
        <v>1999</v>
      </c>
      <c r="F2433" s="5">
        <v>46235.72204861111</v>
      </c>
      <c r="G2433" s="5">
        <v>46235.60118055555</v>
      </c>
      <c r="H2433" s="3" t="s">
        <v>14</v>
      </c>
      <c r="I2433" s="7">
        <v>0.0</v>
      </c>
      <c r="J2433" s="3" t="s">
        <v>72</v>
      </c>
    </row>
    <row r="2434">
      <c r="A2434" s="3"/>
      <c r="B2434" s="3"/>
      <c r="C2434" s="3" t="s">
        <v>21</v>
      </c>
      <c r="D2434" s="4" t="s">
        <v>1998</v>
      </c>
      <c r="E2434" s="3" t="s">
        <v>1999</v>
      </c>
      <c r="F2434" s="5">
        <v>46235.826215277775</v>
      </c>
      <c r="G2434" s="5">
        <v>46235.601273148146</v>
      </c>
      <c r="H2434" s="3" t="s">
        <v>14</v>
      </c>
      <c r="I2434" s="7">
        <v>0.0</v>
      </c>
      <c r="J2434" s="3" t="s">
        <v>72</v>
      </c>
    </row>
    <row r="2435">
      <c r="A2435" s="3"/>
      <c r="B2435" s="3"/>
      <c r="C2435" s="3" t="s">
        <v>24</v>
      </c>
      <c r="D2435" s="4" t="s">
        <v>1998</v>
      </c>
      <c r="E2435" s="3" t="s">
        <v>1999</v>
      </c>
      <c r="F2435" s="5">
        <v>46237.825694444444</v>
      </c>
      <c r="G2435" s="5">
        <v>46235.60136574074</v>
      </c>
      <c r="H2435" s="3" t="s">
        <v>14</v>
      </c>
      <c r="I2435" s="7">
        <v>0.0</v>
      </c>
      <c r="J2435" s="3" t="s">
        <v>72</v>
      </c>
    </row>
    <row r="2436">
      <c r="A2436" s="3"/>
      <c r="B2436" s="3"/>
      <c r="C2436" s="3" t="s">
        <v>26</v>
      </c>
      <c r="D2436" s="4" t="s">
        <v>1998</v>
      </c>
      <c r="E2436" s="3" t="s">
        <v>1999</v>
      </c>
      <c r="F2436" s="5">
        <v>46238.450694444444</v>
      </c>
      <c r="G2436" s="5">
        <v>46236.39119212963</v>
      </c>
      <c r="H2436" s="3" t="s">
        <v>14</v>
      </c>
      <c r="I2436" s="7">
        <v>0.0</v>
      </c>
      <c r="J2436" s="3" t="s">
        <v>72</v>
      </c>
    </row>
    <row r="2437">
      <c r="A2437" s="3"/>
      <c r="B2437" s="3"/>
      <c r="C2437" s="3" t="s">
        <v>10</v>
      </c>
      <c r="D2437" s="4" t="s">
        <v>2001</v>
      </c>
      <c r="E2437" s="3" t="s">
        <v>166</v>
      </c>
      <c r="F2437" s="5">
        <v>46238.607141203705</v>
      </c>
      <c r="G2437" s="5">
        <v>46238.52271990741</v>
      </c>
      <c r="H2437" s="3" t="s">
        <v>14</v>
      </c>
      <c r="I2437" s="3">
        <v>0.0</v>
      </c>
      <c r="J2437" s="3" t="s">
        <v>15</v>
      </c>
    </row>
    <row r="2438">
      <c r="A2438" s="3"/>
      <c r="B2438" s="3"/>
      <c r="C2438" s="3" t="s">
        <v>17</v>
      </c>
      <c r="D2438" s="4" t="s">
        <v>2001</v>
      </c>
      <c r="E2438" s="3" t="s">
        <v>166</v>
      </c>
      <c r="F2438" s="5">
        <v>46238.61408564815</v>
      </c>
      <c r="G2438" s="5">
        <v>46238.5228125</v>
      </c>
      <c r="H2438" s="3" t="s">
        <v>14</v>
      </c>
      <c r="I2438" s="7">
        <v>0.0</v>
      </c>
      <c r="J2438" s="3" t="s">
        <v>15</v>
      </c>
    </row>
    <row r="2439">
      <c r="A2439" s="3"/>
      <c r="B2439" s="3"/>
      <c r="C2439" s="3" t="s">
        <v>21</v>
      </c>
      <c r="D2439" s="4" t="s">
        <v>2001</v>
      </c>
      <c r="E2439" s="3" t="s">
        <v>166</v>
      </c>
      <c r="F2439" s="5">
        <v>46238.718252314815</v>
      </c>
      <c r="G2439" s="5">
        <v>46238.52287037037</v>
      </c>
      <c r="H2439" s="3" t="s">
        <v>14</v>
      </c>
      <c r="I2439" s="7">
        <v>0.0</v>
      </c>
      <c r="J2439" s="3" t="s">
        <v>15</v>
      </c>
    </row>
    <row r="2440">
      <c r="A2440" s="3"/>
      <c r="B2440" s="3"/>
      <c r="C2440" s="3" t="s">
        <v>24</v>
      </c>
      <c r="D2440" s="4" t="s">
        <v>2001</v>
      </c>
      <c r="E2440" s="3" t="s">
        <v>166</v>
      </c>
      <c r="F2440" s="5">
        <v>46239.71805555555</v>
      </c>
      <c r="G2440" s="5">
        <v>46238.523043981484</v>
      </c>
      <c r="H2440" s="3" t="s">
        <v>14</v>
      </c>
      <c r="I2440" s="7">
        <v>0.0</v>
      </c>
      <c r="J2440" s="3" t="s">
        <v>15</v>
      </c>
    </row>
    <row r="2441">
      <c r="A2441" s="3"/>
      <c r="B2441" s="3"/>
      <c r="C2441" s="3" t="s">
        <v>26</v>
      </c>
      <c r="D2441" s="4" t="s">
        <v>2001</v>
      </c>
      <c r="E2441" s="3" t="s">
        <v>166</v>
      </c>
      <c r="F2441" s="5">
        <v>46239.759722222225</v>
      </c>
      <c r="G2441" s="5">
        <v>46238.58546296296</v>
      </c>
      <c r="H2441" s="3" t="s">
        <v>14</v>
      </c>
      <c r="I2441" s="7">
        <v>0.0</v>
      </c>
      <c r="J2441" s="3" t="s">
        <v>15</v>
      </c>
    </row>
    <row r="2442">
      <c r="A2442" s="3"/>
      <c r="B2442" s="3"/>
      <c r="C2442" s="3" t="s">
        <v>10</v>
      </c>
      <c r="D2442" s="4" t="s">
        <v>2005</v>
      </c>
      <c r="E2442" s="3" t="s">
        <v>166</v>
      </c>
      <c r="F2442" s="5">
        <v>46239.58828703704</v>
      </c>
      <c r="G2442" s="5">
        <v>46239.43765046296</v>
      </c>
      <c r="H2442" s="3" t="s">
        <v>14</v>
      </c>
      <c r="I2442" s="3">
        <v>0.0</v>
      </c>
      <c r="J2442" s="3" t="s">
        <v>15</v>
      </c>
    </row>
    <row r="2443">
      <c r="A2443" s="3"/>
      <c r="B2443" s="3"/>
      <c r="C2443" s="3" t="s">
        <v>17</v>
      </c>
      <c r="D2443" s="4" t="s">
        <v>2005</v>
      </c>
      <c r="E2443" s="3" t="s">
        <v>166</v>
      </c>
      <c r="F2443" s="5">
        <v>46239.59523148148</v>
      </c>
      <c r="G2443" s="5">
        <v>46239.437731481485</v>
      </c>
      <c r="H2443" s="3" t="s">
        <v>14</v>
      </c>
      <c r="I2443" s="7">
        <v>0.0</v>
      </c>
      <c r="J2443" s="3" t="s">
        <v>15</v>
      </c>
    </row>
    <row r="2444">
      <c r="A2444" s="3"/>
      <c r="B2444" s="3"/>
      <c r="C2444" s="3" t="s">
        <v>21</v>
      </c>
      <c r="D2444" s="4" t="s">
        <v>2005</v>
      </c>
      <c r="E2444" s="3" t="s">
        <v>166</v>
      </c>
      <c r="F2444" s="5">
        <v>46239.69939814815</v>
      </c>
      <c r="G2444" s="5">
        <v>46239.43783564815</v>
      </c>
      <c r="H2444" s="3" t="s">
        <v>14</v>
      </c>
      <c r="I2444" s="7">
        <v>0.0</v>
      </c>
      <c r="J2444" s="3" t="s">
        <v>15</v>
      </c>
    </row>
    <row r="2445">
      <c r="A2445" s="3"/>
      <c r="B2445" s="3"/>
      <c r="C2445" s="3" t="s">
        <v>24</v>
      </c>
      <c r="D2445" s="4" t="s">
        <v>2005</v>
      </c>
      <c r="E2445" s="3" t="s">
        <v>166</v>
      </c>
      <c r="F2445" s="5">
        <v>46240.69930555556</v>
      </c>
      <c r="G2445" s="5">
        <v>46239.80278935185</v>
      </c>
      <c r="H2445" s="3" t="s">
        <v>14</v>
      </c>
      <c r="I2445" s="7">
        <v>0.0</v>
      </c>
      <c r="J2445" s="3" t="s">
        <v>15</v>
      </c>
    </row>
    <row r="2446">
      <c r="A2446" s="3"/>
      <c r="B2446" s="3"/>
      <c r="C2446" s="3" t="s">
        <v>26</v>
      </c>
      <c r="D2446" s="4" t="s">
        <v>2005</v>
      </c>
      <c r="E2446" s="3" t="s">
        <v>166</v>
      </c>
      <c r="F2446" s="5">
        <v>46240.74097222222</v>
      </c>
      <c r="G2446" s="5">
        <v>46239.802881944444</v>
      </c>
      <c r="H2446" s="3" t="s">
        <v>14</v>
      </c>
      <c r="I2446" s="7">
        <v>0.0</v>
      </c>
      <c r="J2446" s="3" t="s">
        <v>15</v>
      </c>
    </row>
    <row r="2447">
      <c r="A2447" s="3"/>
      <c r="B2447" s="3"/>
      <c r="C2447" s="3" t="s">
        <v>10</v>
      </c>
      <c r="D2447" s="4" t="s">
        <v>2009</v>
      </c>
      <c r="E2447" s="3" t="s">
        <v>166</v>
      </c>
      <c r="F2447" s="5">
        <v>46239.666909722226</v>
      </c>
      <c r="G2447" s="5">
        <v>46239.52568287037</v>
      </c>
      <c r="H2447" s="3" t="s">
        <v>14</v>
      </c>
      <c r="I2447" s="3">
        <v>0.0</v>
      </c>
      <c r="J2447" s="3" t="s">
        <v>15</v>
      </c>
    </row>
    <row r="2448">
      <c r="A2448" s="3"/>
      <c r="B2448" s="3"/>
      <c r="C2448" s="3" t="s">
        <v>17</v>
      </c>
      <c r="D2448" s="4" t="s">
        <v>2009</v>
      </c>
      <c r="E2448" s="3" t="s">
        <v>166</v>
      </c>
      <c r="F2448" s="5">
        <v>46239.673854166664</v>
      </c>
      <c r="G2448" s="5">
        <v>46239.525972222225</v>
      </c>
      <c r="H2448" s="3" t="s">
        <v>14</v>
      </c>
      <c r="I2448" s="7">
        <v>0.0</v>
      </c>
      <c r="J2448" s="3" t="s">
        <v>15</v>
      </c>
    </row>
    <row r="2449">
      <c r="A2449" s="3"/>
      <c r="B2449" s="3"/>
      <c r="C2449" s="3" t="s">
        <v>21</v>
      </c>
      <c r="D2449" s="4" t="s">
        <v>2009</v>
      </c>
      <c r="E2449" s="3" t="s">
        <v>166</v>
      </c>
      <c r="F2449" s="5">
        <v>46239.778020833335</v>
      </c>
      <c r="G2449" s="5">
        <v>46239.76039351852</v>
      </c>
      <c r="H2449" s="3" t="s">
        <v>14</v>
      </c>
      <c r="I2449" s="7">
        <v>0.0</v>
      </c>
      <c r="J2449" s="3" t="s">
        <v>15</v>
      </c>
    </row>
    <row r="2450">
      <c r="A2450" s="3"/>
      <c r="B2450" s="3"/>
      <c r="C2450" s="3" t="s">
        <v>24</v>
      </c>
      <c r="D2450" s="4" t="s">
        <v>2009</v>
      </c>
      <c r="E2450" s="3" t="s">
        <v>166</v>
      </c>
      <c r="F2450" s="5">
        <v>46240.77777777778</v>
      </c>
      <c r="G2450" s="5">
        <v>46239.80280092593</v>
      </c>
      <c r="H2450" s="3" t="s">
        <v>14</v>
      </c>
      <c r="I2450" s="7">
        <v>0.0</v>
      </c>
      <c r="J2450" s="3" t="s">
        <v>15</v>
      </c>
    </row>
    <row r="2451">
      <c r="A2451" s="3"/>
      <c r="B2451" s="3"/>
      <c r="C2451" s="3" t="s">
        <v>26</v>
      </c>
      <c r="D2451" s="4" t="s">
        <v>2009</v>
      </c>
      <c r="E2451" s="3" t="s">
        <v>166</v>
      </c>
      <c r="F2451" s="5">
        <v>46240.819444444445</v>
      </c>
      <c r="G2451" s="5">
        <v>46239.80290509259</v>
      </c>
      <c r="H2451" s="3" t="s">
        <v>14</v>
      </c>
      <c r="I2451" s="7">
        <v>0.0</v>
      </c>
      <c r="J2451" s="3" t="s">
        <v>15</v>
      </c>
    </row>
    <row r="2452">
      <c r="A2452" s="3"/>
      <c r="B2452" s="3"/>
      <c r="C2452" s="3" t="s">
        <v>10</v>
      </c>
      <c r="D2452" s="4" t="s">
        <v>2012</v>
      </c>
      <c r="E2452" s="3" t="s">
        <v>2013</v>
      </c>
      <c r="F2452" s="5">
        <v>46239.668807870374</v>
      </c>
      <c r="G2452" s="5">
        <v>46239.52570601852</v>
      </c>
      <c r="H2452" s="3" t="s">
        <v>14</v>
      </c>
      <c r="I2452" s="3">
        <v>0.0</v>
      </c>
      <c r="J2452" s="3" t="s">
        <v>15</v>
      </c>
    </row>
    <row r="2453">
      <c r="A2453" s="3"/>
      <c r="B2453" s="3"/>
      <c r="C2453" s="3" t="s">
        <v>17</v>
      </c>
      <c r="D2453" s="4" t="s">
        <v>2012</v>
      </c>
      <c r="E2453" s="3" t="s">
        <v>2013</v>
      </c>
      <c r="F2453" s="5">
        <v>46239.67575231481</v>
      </c>
      <c r="G2453" s="5">
        <v>46239.52599537037</v>
      </c>
      <c r="H2453" s="3" t="s">
        <v>14</v>
      </c>
      <c r="I2453" s="7">
        <v>0.0</v>
      </c>
      <c r="J2453" s="3" t="s">
        <v>15</v>
      </c>
    </row>
    <row r="2454">
      <c r="A2454" s="3"/>
      <c r="B2454" s="3"/>
      <c r="C2454" s="3" t="s">
        <v>21</v>
      </c>
      <c r="D2454" s="4" t="s">
        <v>2012</v>
      </c>
      <c r="E2454" s="3" t="s">
        <v>2013</v>
      </c>
      <c r="F2454" s="5">
        <v>46239.77991898148</v>
      </c>
      <c r="G2454" s="5">
        <v>46239.76042824074</v>
      </c>
      <c r="H2454" s="3" t="s">
        <v>14</v>
      </c>
      <c r="I2454" s="7">
        <v>0.0</v>
      </c>
      <c r="J2454" s="3" t="s">
        <v>15</v>
      </c>
    </row>
    <row r="2455">
      <c r="A2455" s="3"/>
      <c r="B2455" s="3"/>
      <c r="C2455" s="3" t="s">
        <v>24</v>
      </c>
      <c r="D2455" s="4" t="s">
        <v>2012</v>
      </c>
      <c r="E2455" s="3" t="s">
        <v>2013</v>
      </c>
      <c r="F2455" s="5">
        <v>46240.779861111114</v>
      </c>
      <c r="G2455" s="5">
        <v>46239.802569444444</v>
      </c>
      <c r="H2455" s="3" t="s">
        <v>14</v>
      </c>
      <c r="I2455" s="7">
        <v>0.0</v>
      </c>
      <c r="J2455" s="3" t="s">
        <v>15</v>
      </c>
    </row>
    <row r="2456">
      <c r="A2456" s="3"/>
      <c r="B2456" s="3"/>
      <c r="C2456" s="3" t="s">
        <v>26</v>
      </c>
      <c r="D2456" s="4" t="s">
        <v>2012</v>
      </c>
      <c r="E2456" s="3" t="s">
        <v>2013</v>
      </c>
      <c r="F2456" s="5">
        <v>46240.82152777778</v>
      </c>
      <c r="G2456" s="5">
        <v>46239.803148148145</v>
      </c>
      <c r="H2456" s="3" t="s">
        <v>14</v>
      </c>
      <c r="I2456" s="7">
        <v>0.0</v>
      </c>
      <c r="J2456" s="3" t="s">
        <v>15</v>
      </c>
    </row>
    <row r="2457">
      <c r="A2457" s="3"/>
      <c r="B2457" s="3"/>
      <c r="C2457" s="3" t="s">
        <v>10</v>
      </c>
      <c r="D2457" s="4" t="s">
        <v>2015</v>
      </c>
      <c r="E2457" s="3" t="s">
        <v>2016</v>
      </c>
      <c r="F2457" s="5">
        <v>46239.674097222225</v>
      </c>
      <c r="G2457" s="5">
        <v>46239.525729166664</v>
      </c>
      <c r="H2457" s="3" t="s">
        <v>14</v>
      </c>
      <c r="I2457" s="3">
        <v>0.0</v>
      </c>
      <c r="J2457" s="3" t="s">
        <v>15</v>
      </c>
    </row>
    <row r="2458">
      <c r="A2458" s="3"/>
      <c r="B2458" s="3"/>
      <c r="C2458" s="3" t="s">
        <v>17</v>
      </c>
      <c r="D2458" s="4" t="s">
        <v>2015</v>
      </c>
      <c r="E2458" s="3" t="s">
        <v>2016</v>
      </c>
      <c r="F2458" s="5">
        <v>46239.68104166666</v>
      </c>
      <c r="G2458" s="5">
        <v>46239.52605324074</v>
      </c>
      <c r="H2458" s="3" t="s">
        <v>14</v>
      </c>
      <c r="I2458" s="7">
        <v>0.0</v>
      </c>
      <c r="J2458" s="3" t="s">
        <v>15</v>
      </c>
    </row>
    <row r="2459">
      <c r="A2459" s="3"/>
      <c r="B2459" s="3"/>
      <c r="C2459" s="3" t="s">
        <v>21</v>
      </c>
      <c r="D2459" s="4" t="s">
        <v>2015</v>
      </c>
      <c r="E2459" s="3" t="s">
        <v>2016</v>
      </c>
      <c r="F2459" s="5">
        <v>46239.785208333335</v>
      </c>
      <c r="G2459" s="5">
        <v>46239.76045138889</v>
      </c>
      <c r="H2459" s="3" t="s">
        <v>14</v>
      </c>
      <c r="I2459" s="7">
        <v>0.0</v>
      </c>
      <c r="J2459" s="3" t="s">
        <v>15</v>
      </c>
    </row>
    <row r="2460">
      <c r="A2460" s="3"/>
      <c r="B2460" s="3"/>
      <c r="C2460" s="3" t="s">
        <v>24</v>
      </c>
      <c r="D2460" s="4" t="s">
        <v>2015</v>
      </c>
      <c r="E2460" s="3" t="s">
        <v>2016</v>
      </c>
      <c r="F2460" s="5">
        <v>46240.78472222222</v>
      </c>
      <c r="G2460" s="5">
        <v>46239.80258101852</v>
      </c>
      <c r="H2460" s="3" t="s">
        <v>14</v>
      </c>
      <c r="I2460" s="7">
        <v>0.0</v>
      </c>
      <c r="J2460" s="3" t="s">
        <v>15</v>
      </c>
    </row>
    <row r="2461">
      <c r="A2461" s="3"/>
      <c r="B2461" s="3"/>
      <c r="C2461" s="3" t="s">
        <v>26</v>
      </c>
      <c r="D2461" s="4" t="s">
        <v>2015</v>
      </c>
      <c r="E2461" s="3" t="s">
        <v>2016</v>
      </c>
      <c r="F2461" s="5">
        <v>46240.82638888889</v>
      </c>
      <c r="G2461" s="7"/>
      <c r="H2461" s="3"/>
      <c r="I2461" s="7">
        <v>0.0</v>
      </c>
      <c r="J2461" s="3" t="s">
        <v>15</v>
      </c>
    </row>
    <row r="2462">
      <c r="A2462" s="3"/>
      <c r="B2462" s="3"/>
      <c r="C2462" s="3" t="s">
        <v>10</v>
      </c>
      <c r="D2462" s="4" t="s">
        <v>2020</v>
      </c>
      <c r="E2462" s="3" t="s">
        <v>955</v>
      </c>
      <c r="F2462" s="5">
        <v>46239.81895833334</v>
      </c>
      <c r="G2462" s="5">
        <v>46239.68105324074</v>
      </c>
      <c r="H2462" s="3" t="s">
        <v>14</v>
      </c>
      <c r="I2462" s="3">
        <v>0.0</v>
      </c>
      <c r="J2462" s="3" t="s">
        <v>15</v>
      </c>
    </row>
    <row r="2463">
      <c r="A2463" s="3"/>
      <c r="B2463" s="3"/>
      <c r="C2463" s="3" t="s">
        <v>17</v>
      </c>
      <c r="D2463" s="4" t="s">
        <v>2020</v>
      </c>
      <c r="E2463" s="3" t="s">
        <v>955</v>
      </c>
      <c r="F2463" s="5">
        <v>46239.825902777775</v>
      </c>
      <c r="G2463" s="5">
        <v>46239.68111111111</v>
      </c>
      <c r="H2463" s="3" t="s">
        <v>14</v>
      </c>
      <c r="I2463" s="7">
        <v>0.0</v>
      </c>
      <c r="J2463" s="3" t="s">
        <v>15</v>
      </c>
    </row>
    <row r="2464">
      <c r="A2464" s="3"/>
      <c r="B2464" s="3"/>
      <c r="C2464" s="3" t="s">
        <v>21</v>
      </c>
      <c r="D2464" s="4" t="s">
        <v>2020</v>
      </c>
      <c r="E2464" s="3" t="s">
        <v>955</v>
      </c>
      <c r="F2464" s="5">
        <v>46240.53402777778</v>
      </c>
      <c r="G2464" s="5">
        <v>46239.80211805556</v>
      </c>
      <c r="H2464" s="3" t="s">
        <v>14</v>
      </c>
      <c r="I2464" s="7">
        <v>0.0</v>
      </c>
      <c r="J2464" s="3" t="s">
        <v>15</v>
      </c>
    </row>
    <row r="2465">
      <c r="A2465" s="3"/>
      <c r="B2465" s="3"/>
      <c r="C2465" s="3" t="s">
        <v>24</v>
      </c>
      <c r="D2465" s="4" t="s">
        <v>2020</v>
      </c>
      <c r="E2465" s="3" t="s">
        <v>955</v>
      </c>
      <c r="F2465" s="5">
        <v>46241.53402777778</v>
      </c>
      <c r="G2465" s="5">
        <v>46239.80260416667</v>
      </c>
      <c r="H2465" s="3" t="s">
        <v>14</v>
      </c>
      <c r="I2465" s="7">
        <v>0.0</v>
      </c>
      <c r="J2465" s="3" t="s">
        <v>15</v>
      </c>
    </row>
    <row r="2466">
      <c r="A2466" s="3"/>
      <c r="B2466" s="3"/>
      <c r="C2466" s="3" t="s">
        <v>26</v>
      </c>
      <c r="D2466" s="4" t="s">
        <v>2020</v>
      </c>
      <c r="E2466" s="3" t="s">
        <v>955</v>
      </c>
      <c r="F2466" s="5">
        <v>46241.575694444444</v>
      </c>
      <c r="G2466" s="7"/>
      <c r="H2466" s="3"/>
      <c r="I2466" s="7">
        <v>0.0</v>
      </c>
      <c r="J2466" s="3" t="s">
        <v>15</v>
      </c>
    </row>
    <row r="2467">
      <c r="A2467" s="3"/>
      <c r="B2467" s="3"/>
      <c r="C2467" s="3" t="s">
        <v>10</v>
      </c>
      <c r="D2467" s="4" t="s">
        <v>2026</v>
      </c>
      <c r="E2467" s="3" t="s">
        <v>166</v>
      </c>
      <c r="F2467" s="5">
        <v>46240.59234953704</v>
      </c>
      <c r="G2467" s="5">
        <v>46240.4603587963</v>
      </c>
      <c r="H2467" s="3" t="s">
        <v>14</v>
      </c>
      <c r="I2467" s="3">
        <v>0.0</v>
      </c>
      <c r="J2467" s="3" t="s">
        <v>48</v>
      </c>
    </row>
    <row r="2468">
      <c r="A2468" s="3"/>
      <c r="B2468" s="3"/>
      <c r="C2468" s="3" t="s">
        <v>17</v>
      </c>
      <c r="D2468" s="4" t="s">
        <v>2026</v>
      </c>
      <c r="E2468" s="3" t="s">
        <v>166</v>
      </c>
      <c r="F2468" s="5">
        <v>46240.59929398148</v>
      </c>
      <c r="G2468" s="5">
        <v>46240.46050925926</v>
      </c>
      <c r="H2468" s="3" t="s">
        <v>14</v>
      </c>
      <c r="I2468" s="7">
        <v>0.0</v>
      </c>
      <c r="J2468" s="3" t="s">
        <v>48</v>
      </c>
    </row>
    <row r="2469">
      <c r="A2469" s="3"/>
      <c r="B2469" s="3"/>
      <c r="C2469" s="3" t="s">
        <v>21</v>
      </c>
      <c r="D2469" s="4" t="s">
        <v>2026</v>
      </c>
      <c r="E2469" s="3" t="s">
        <v>166</v>
      </c>
      <c r="F2469" s="5">
        <v>46240.70346064815</v>
      </c>
      <c r="G2469" s="5">
        <v>46240.460543981484</v>
      </c>
      <c r="H2469" s="3" t="s">
        <v>14</v>
      </c>
      <c r="I2469" s="7">
        <v>0.0</v>
      </c>
      <c r="J2469" s="3" t="s">
        <v>48</v>
      </c>
    </row>
    <row r="2470">
      <c r="A2470" s="3"/>
      <c r="B2470" s="3"/>
      <c r="C2470" s="3" t="s">
        <v>24</v>
      </c>
      <c r="D2470" s="4" t="s">
        <v>2026</v>
      </c>
      <c r="E2470" s="3" t="s">
        <v>166</v>
      </c>
      <c r="F2470" s="5">
        <v>46241.70277777778</v>
      </c>
      <c r="G2470" s="7"/>
      <c r="H2470" s="3"/>
      <c r="I2470" s="7">
        <v>0.0</v>
      </c>
      <c r="J2470" s="3" t="s">
        <v>48</v>
      </c>
    </row>
    <row r="2471">
      <c r="A2471" s="3"/>
      <c r="B2471" s="3"/>
      <c r="C2471" s="3" t="s">
        <v>26</v>
      </c>
      <c r="D2471" s="4" t="s">
        <v>2026</v>
      </c>
      <c r="E2471" s="3" t="s">
        <v>166</v>
      </c>
      <c r="F2471" s="5">
        <v>46241.74444444444</v>
      </c>
      <c r="G2471" s="7"/>
      <c r="H2471" s="3"/>
      <c r="I2471" s="7">
        <v>0.0</v>
      </c>
      <c r="J2471" s="3" t="s">
        <v>48</v>
      </c>
    </row>
    <row r="2472">
      <c r="A2472" s="3"/>
      <c r="B2472" s="3"/>
      <c r="C2472" s="3" t="s">
        <v>10</v>
      </c>
      <c r="D2472" s="4" t="s">
        <v>2027</v>
      </c>
      <c r="E2472" s="3" t="s">
        <v>166</v>
      </c>
      <c r="F2472" s="5">
        <v>46240.59385416667</v>
      </c>
      <c r="G2472" s="5">
        <v>46240.46059027778</v>
      </c>
      <c r="H2472" s="3" t="s">
        <v>14</v>
      </c>
      <c r="I2472" s="3">
        <v>0.0</v>
      </c>
      <c r="J2472" s="3" t="s">
        <v>48</v>
      </c>
    </row>
    <row r="2473">
      <c r="A2473" s="3"/>
      <c r="B2473" s="3"/>
      <c r="C2473" s="3" t="s">
        <v>17</v>
      </c>
      <c r="D2473" s="4" t="s">
        <v>2027</v>
      </c>
      <c r="E2473" s="3" t="s">
        <v>166</v>
      </c>
      <c r="F2473" s="5">
        <v>46240.600798611114</v>
      </c>
      <c r="G2473" s="5">
        <v>46240.46063657408</v>
      </c>
      <c r="H2473" s="3" t="s">
        <v>14</v>
      </c>
      <c r="I2473" s="7">
        <v>0.0</v>
      </c>
      <c r="J2473" s="3" t="s">
        <v>48</v>
      </c>
    </row>
    <row r="2474">
      <c r="A2474" s="3"/>
      <c r="B2474" s="3"/>
      <c r="C2474" s="3" t="s">
        <v>21</v>
      </c>
      <c r="D2474" s="4" t="s">
        <v>2027</v>
      </c>
      <c r="E2474" s="3" t="s">
        <v>166</v>
      </c>
      <c r="F2474" s="5">
        <v>46240.70496527778</v>
      </c>
      <c r="G2474" s="5">
        <v>46240.46065972222</v>
      </c>
      <c r="H2474" s="3" t="s">
        <v>14</v>
      </c>
      <c r="I2474" s="7">
        <v>0.0</v>
      </c>
      <c r="J2474" s="3" t="s">
        <v>48</v>
      </c>
    </row>
    <row r="2475">
      <c r="A2475" s="3"/>
      <c r="B2475" s="3"/>
      <c r="C2475" s="3" t="s">
        <v>24</v>
      </c>
      <c r="D2475" s="4" t="s">
        <v>2027</v>
      </c>
      <c r="E2475" s="3" t="s">
        <v>166</v>
      </c>
      <c r="F2475" s="5">
        <v>46241.70486111111</v>
      </c>
      <c r="G2475" s="7"/>
      <c r="H2475" s="3"/>
      <c r="I2475" s="7">
        <v>0.0</v>
      </c>
      <c r="J2475" s="3" t="s">
        <v>48</v>
      </c>
    </row>
    <row r="2476">
      <c r="A2476" s="3"/>
      <c r="B2476" s="3"/>
      <c r="C2476" s="3" t="s">
        <v>26</v>
      </c>
      <c r="D2476" s="4" t="s">
        <v>2027</v>
      </c>
      <c r="E2476" s="3" t="s">
        <v>166</v>
      </c>
      <c r="F2476" s="5">
        <v>46241.74652777778</v>
      </c>
      <c r="G2476" s="7"/>
      <c r="H2476" s="3"/>
      <c r="I2476" s="7">
        <v>0.0</v>
      </c>
      <c r="J2476" s="3" t="s">
        <v>48</v>
      </c>
    </row>
    <row r="2477">
      <c r="A2477" s="3"/>
      <c r="B2477" s="3"/>
      <c r="C2477" s="3" t="s">
        <v>10</v>
      </c>
      <c r="D2477" s="4" t="s">
        <v>2031</v>
      </c>
      <c r="E2477" s="3" t="s">
        <v>74</v>
      </c>
      <c r="F2477" s="5">
        <v>46240.712233796294</v>
      </c>
      <c r="G2477" s="3"/>
      <c r="H2477" s="3"/>
      <c r="I2477" s="3">
        <v>0.0</v>
      </c>
    </row>
    <row r="2478">
      <c r="A2478" s="3"/>
      <c r="B2478" s="3"/>
      <c r="C2478" s="3" t="s">
        <v>17</v>
      </c>
      <c r="D2478" s="4" t="s">
        <v>2031</v>
      </c>
      <c r="E2478" s="3" t="s">
        <v>74</v>
      </c>
      <c r="F2478" s="5">
        <v>46240.71917824074</v>
      </c>
      <c r="G2478" s="7"/>
      <c r="H2478" s="7"/>
      <c r="I2478" s="7">
        <v>0.0</v>
      </c>
    </row>
    <row r="2479">
      <c r="A2479" s="3"/>
      <c r="B2479" s="3"/>
      <c r="C2479" s="3" t="s">
        <v>21</v>
      </c>
      <c r="D2479" s="4" t="s">
        <v>2031</v>
      </c>
      <c r="E2479" s="3" t="s">
        <v>74</v>
      </c>
      <c r="F2479" s="5">
        <v>46240.82334490741</v>
      </c>
      <c r="G2479" s="7"/>
      <c r="H2479" s="7"/>
      <c r="I2479" s="7">
        <v>0.0</v>
      </c>
    </row>
    <row r="2480">
      <c r="A2480" s="3"/>
      <c r="B2480" s="3"/>
      <c r="C2480" s="3" t="s">
        <v>24</v>
      </c>
      <c r="D2480" s="4" t="s">
        <v>2031</v>
      </c>
      <c r="E2480" s="3" t="s">
        <v>74</v>
      </c>
      <c r="F2480" s="5">
        <v>46241.822916666664</v>
      </c>
      <c r="G2480" s="7"/>
      <c r="H2480" s="7"/>
      <c r="I2480" s="7">
        <v>0.0</v>
      </c>
    </row>
    <row r="2481">
      <c r="A2481" s="3"/>
      <c r="B2481" s="3"/>
      <c r="C2481" s="3" t="s">
        <v>26</v>
      </c>
      <c r="D2481" s="4" t="s">
        <v>2031</v>
      </c>
      <c r="E2481" s="3" t="s">
        <v>74</v>
      </c>
      <c r="F2481" s="5">
        <v>46242.447916666664</v>
      </c>
      <c r="G2481" s="7"/>
      <c r="H2481" s="7"/>
      <c r="I2481" s="7">
        <v>0.0</v>
      </c>
    </row>
    <row r="2482">
      <c r="A2482" s="3"/>
      <c r="B2482" s="3"/>
      <c r="C2482" s="3" t="s">
        <v>10</v>
      </c>
      <c r="D2482" s="4" t="s">
        <v>2033</v>
      </c>
      <c r="E2482" s="3" t="s">
        <v>166</v>
      </c>
      <c r="F2482" s="5">
        <v>46240.72381944444</v>
      </c>
      <c r="G2482" s="3"/>
      <c r="H2482" s="3"/>
      <c r="I2482" s="3">
        <v>0.0</v>
      </c>
    </row>
    <row r="2483">
      <c r="A2483" s="3"/>
      <c r="B2483" s="3"/>
      <c r="C2483" s="3" t="s">
        <v>17</v>
      </c>
      <c r="D2483" s="4" t="s">
        <v>2033</v>
      </c>
      <c r="E2483" s="3" t="s">
        <v>166</v>
      </c>
      <c r="F2483" s="5">
        <v>46240.73076388889</v>
      </c>
      <c r="G2483" s="7"/>
      <c r="H2483" s="7"/>
      <c r="I2483" s="7">
        <v>0.0</v>
      </c>
    </row>
    <row r="2484">
      <c r="A2484" s="3"/>
      <c r="B2484" s="3"/>
      <c r="C2484" s="3" t="s">
        <v>21</v>
      </c>
      <c r="D2484" s="4" t="s">
        <v>2033</v>
      </c>
      <c r="E2484" s="3" t="s">
        <v>166</v>
      </c>
      <c r="F2484" s="5">
        <v>46241.438888888886</v>
      </c>
      <c r="G2484" s="7"/>
      <c r="H2484" s="7"/>
      <c r="I2484" s="7">
        <v>0.0</v>
      </c>
    </row>
    <row r="2485">
      <c r="A2485" s="3"/>
      <c r="B2485" s="3"/>
      <c r="C2485" s="3" t="s">
        <v>24</v>
      </c>
      <c r="D2485" s="4" t="s">
        <v>2033</v>
      </c>
      <c r="E2485" s="3" t="s">
        <v>166</v>
      </c>
      <c r="F2485" s="5">
        <v>46242.438888888886</v>
      </c>
      <c r="G2485" s="7"/>
      <c r="H2485" s="7"/>
      <c r="I2485" s="7">
        <v>0.0</v>
      </c>
    </row>
    <row r="2486">
      <c r="A2486" s="3"/>
      <c r="B2486" s="3"/>
      <c r="C2486" s="3" t="s">
        <v>26</v>
      </c>
      <c r="D2486" s="4" t="s">
        <v>2033</v>
      </c>
      <c r="E2486" s="3" t="s">
        <v>166</v>
      </c>
      <c r="F2486" s="5">
        <v>46242.48055555556</v>
      </c>
      <c r="G2486" s="7"/>
      <c r="H2486" s="7"/>
      <c r="I2486" s="7">
        <v>0.0</v>
      </c>
    </row>
    <row r="2487">
      <c r="A2487" s="3"/>
      <c r="B2487" s="3"/>
      <c r="C2487" s="3" t="s">
        <v>10</v>
      </c>
      <c r="D2487" s="4" t="s">
        <v>2035</v>
      </c>
      <c r="E2487" s="3" t="s">
        <v>2036</v>
      </c>
      <c r="F2487" s="5">
        <v>46240.77657407407</v>
      </c>
      <c r="G2487" s="3"/>
      <c r="H2487" s="3"/>
      <c r="I2487" s="3">
        <v>0.0</v>
      </c>
    </row>
    <row r="2488">
      <c r="A2488" s="3"/>
      <c r="B2488" s="3"/>
      <c r="C2488" s="3" t="s">
        <v>17</v>
      </c>
      <c r="D2488" s="4" t="s">
        <v>2035</v>
      </c>
      <c r="E2488" s="3" t="s">
        <v>2036</v>
      </c>
      <c r="F2488" s="5">
        <v>46240.78351851852</v>
      </c>
      <c r="G2488" s="7"/>
      <c r="H2488" s="7"/>
      <c r="I2488" s="7">
        <v>0.0</v>
      </c>
    </row>
    <row r="2489">
      <c r="A2489" s="3"/>
      <c r="B2489" s="3"/>
      <c r="C2489" s="3" t="s">
        <v>21</v>
      </c>
      <c r="D2489" s="4" t="s">
        <v>2035</v>
      </c>
      <c r="E2489" s="3" t="s">
        <v>2036</v>
      </c>
      <c r="F2489" s="5">
        <v>46241.49166666667</v>
      </c>
      <c r="G2489" s="7"/>
      <c r="H2489" s="7"/>
      <c r="I2489" s="7">
        <v>0.0</v>
      </c>
    </row>
    <row r="2490">
      <c r="A2490" s="3"/>
      <c r="B2490" s="3"/>
      <c r="C2490" s="3" t="s">
        <v>24</v>
      </c>
      <c r="D2490" s="4" t="s">
        <v>2035</v>
      </c>
      <c r="E2490" s="3" t="s">
        <v>2036</v>
      </c>
      <c r="F2490" s="5">
        <v>46242.49166666667</v>
      </c>
      <c r="G2490" s="7"/>
      <c r="H2490" s="7"/>
      <c r="I2490" s="7">
        <v>0.0</v>
      </c>
    </row>
    <row r="2491">
      <c r="A2491" s="3"/>
      <c r="B2491" s="3"/>
      <c r="C2491" s="3" t="s">
        <v>26</v>
      </c>
      <c r="D2491" s="4" t="s">
        <v>2035</v>
      </c>
      <c r="E2491" s="3" t="s">
        <v>2036</v>
      </c>
      <c r="F2491" s="5">
        <v>46242.53333333333</v>
      </c>
      <c r="G2491" s="7"/>
      <c r="H2491" s="7"/>
      <c r="I2491" s="7">
        <v>0.0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8" t="s">
        <v>0</v>
      </c>
      <c r="B1" s="8" t="s">
        <v>27</v>
      </c>
      <c r="C1" s="8" t="s">
        <v>29</v>
      </c>
      <c r="D1" s="8" t="s">
        <v>32</v>
      </c>
      <c r="E1" s="8" t="s">
        <v>33</v>
      </c>
      <c r="F1" s="8" t="s">
        <v>35</v>
      </c>
      <c r="G1" s="8" t="s">
        <v>37</v>
      </c>
      <c r="H1" s="8" t="s">
        <v>4</v>
      </c>
      <c r="I1" s="8" t="s">
        <v>5</v>
      </c>
      <c r="J1" s="8" t="s">
        <v>39</v>
      </c>
      <c r="K1" s="8" t="s">
        <v>41</v>
      </c>
    </row>
    <row r="2">
      <c r="A2" s="3" t="s">
        <v>9</v>
      </c>
      <c r="B2" s="11">
        <v>0.06944444444444443</v>
      </c>
      <c r="C2" s="11">
        <v>0.03472222222222222</v>
      </c>
      <c r="D2" s="13">
        <v>490.0</v>
      </c>
      <c r="E2" s="13">
        <v>461.0</v>
      </c>
      <c r="F2" s="13">
        <v>26.0</v>
      </c>
      <c r="G2" s="13">
        <v>3.0</v>
      </c>
      <c r="H2" s="11">
        <v>84.89211805555571</v>
      </c>
      <c r="I2" s="11">
        <v>20.225011574074088</v>
      </c>
      <c r="J2" s="11">
        <v>0.17324922052154226</v>
      </c>
      <c r="K2" s="11">
        <v>0.041275533824641</v>
      </c>
    </row>
    <row r="3">
      <c r="A3" s="3" t="s">
        <v>16</v>
      </c>
      <c r="B3" s="11">
        <v>0.0028935185190972225</v>
      </c>
      <c r="C3" s="11">
        <v>0.0014467592595486113</v>
      </c>
      <c r="D3" s="13">
        <v>490.0</v>
      </c>
      <c r="E3" s="13">
        <v>458.0</v>
      </c>
      <c r="F3" s="13">
        <v>23.0</v>
      </c>
      <c r="G3" s="13">
        <v>9.0</v>
      </c>
      <c r="H3" s="11">
        <v>3.8266898148148343</v>
      </c>
      <c r="I3" s="11">
        <v>0.8415972222222222</v>
      </c>
      <c r="J3" s="11">
        <v>0.007809571050642519</v>
      </c>
      <c r="K3" s="11">
        <v>0.001717545351473923</v>
      </c>
    </row>
    <row r="4">
      <c r="A4" s="3" t="s">
        <v>20</v>
      </c>
      <c r="B4" s="11">
        <v>0.04340277777777778</v>
      </c>
      <c r="C4" s="11">
        <v>0.02170138888888889</v>
      </c>
      <c r="D4" s="13">
        <v>490.0</v>
      </c>
      <c r="E4" s="13">
        <v>474.0</v>
      </c>
      <c r="F4" s="13">
        <v>13.0</v>
      </c>
      <c r="G4" s="13">
        <v>3.0</v>
      </c>
      <c r="H4" s="11">
        <v>51.75966435185159</v>
      </c>
      <c r="I4" s="11">
        <v>3.658657407407407</v>
      </c>
      <c r="J4" s="11">
        <v>0.10563196806500325</v>
      </c>
      <c r="K4" s="11">
        <v>0.007466647770219198</v>
      </c>
    </row>
    <row r="5">
      <c r="A5" s="3" t="s">
        <v>23</v>
      </c>
      <c r="B5" s="11">
        <v>0.4166666666666667</v>
      </c>
      <c r="C5" s="11">
        <v>0.20833333333333334</v>
      </c>
      <c r="D5" s="13">
        <v>493.0</v>
      </c>
      <c r="E5" s="13">
        <v>423.0</v>
      </c>
      <c r="F5" s="13">
        <v>69.0</v>
      </c>
      <c r="G5" s="13">
        <v>1.0</v>
      </c>
      <c r="H5" s="11">
        <v>205.7542129629622</v>
      </c>
      <c r="I5" s="11">
        <v>31.061180555555573</v>
      </c>
      <c r="J5" s="11">
        <v>0.41735134475245883</v>
      </c>
      <c r="K5" s="11">
        <v>0.06300442303358128</v>
      </c>
    </row>
    <row r="6">
      <c r="A6" s="3" t="s">
        <v>25</v>
      </c>
      <c r="B6" s="11">
        <v>0.01736111111111111</v>
      </c>
      <c r="C6" s="11">
        <v>0.008680555555555554</v>
      </c>
      <c r="D6" s="13">
        <v>486.0</v>
      </c>
      <c r="E6" s="13">
        <v>479.0</v>
      </c>
      <c r="F6" s="13">
        <v>6.0</v>
      </c>
      <c r="G6" s="13">
        <v>1.0</v>
      </c>
      <c r="H6" s="11">
        <v>20.600000000000033</v>
      </c>
      <c r="I6" s="11">
        <v>0.9403587962962962</v>
      </c>
      <c r="J6" s="11">
        <v>0.04238683127572023</v>
      </c>
      <c r="K6" s="11">
        <v>0.0019348946425849715</v>
      </c>
    </row>
    <row r="10">
      <c r="G10" s="17">
        <f>I2/D2</f>
        <v>0.04127553382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51" t="s">
        <v>180</v>
      </c>
      <c r="B1" s="51" t="s">
        <v>181</v>
      </c>
      <c r="C1" s="51" t="s">
        <v>182</v>
      </c>
      <c r="D1" s="51" t="s">
        <v>184</v>
      </c>
      <c r="E1" s="51" t="s">
        <v>39</v>
      </c>
      <c r="F1" s="51" t="s">
        <v>41</v>
      </c>
      <c r="G1" s="51" t="s">
        <v>188</v>
      </c>
    </row>
    <row r="2">
      <c r="A2" s="3" t="s">
        <v>189</v>
      </c>
      <c r="B2" s="13">
        <v>0.0</v>
      </c>
      <c r="C2" s="13">
        <v>0.0</v>
      </c>
      <c r="D2" s="13">
        <v>0.0</v>
      </c>
      <c r="E2" s="3" t="s">
        <v>190</v>
      </c>
      <c r="F2" s="3" t="s">
        <v>190</v>
      </c>
      <c r="G2" s="3" t="s">
        <v>190</v>
      </c>
    </row>
    <row r="3">
      <c r="A3" s="3" t="s">
        <v>192</v>
      </c>
      <c r="B3" s="13">
        <v>490.0</v>
      </c>
      <c r="C3" s="13">
        <v>490.0</v>
      </c>
      <c r="D3" s="13">
        <v>0.0</v>
      </c>
      <c r="E3" s="53">
        <v>0.16180555555555556</v>
      </c>
      <c r="F3" s="53">
        <v>0.8208333333333333</v>
      </c>
      <c r="G3" s="3" t="s">
        <v>199</v>
      </c>
    </row>
    <row r="4">
      <c r="A4" s="55"/>
      <c r="E4" s="56"/>
      <c r="F4" s="56"/>
      <c r="G4" s="5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25.75"/>
    <col customWidth="1" min="3" max="3" width="10.0"/>
    <col customWidth="1" min="4" max="4" width="20.5"/>
    <col customWidth="1" min="5" max="5" width="19.0"/>
    <col customWidth="1" min="6" max="7" width="16.25"/>
    <col customWidth="1" min="9" max="9" width="31.0"/>
    <col customWidth="1" min="10" max="10" width="31.88"/>
  </cols>
  <sheetData>
    <row r="1" ht="27.75" customHeight="1">
      <c r="B1" s="71" t="s">
        <v>0</v>
      </c>
      <c r="C1" s="71" t="s">
        <v>2</v>
      </c>
      <c r="D1" s="71" t="s">
        <v>3</v>
      </c>
      <c r="E1" s="72" t="s">
        <v>4</v>
      </c>
      <c r="F1" s="72" t="s">
        <v>5</v>
      </c>
      <c r="G1" s="72" t="s">
        <v>6</v>
      </c>
      <c r="H1" s="73" t="s">
        <v>294</v>
      </c>
      <c r="I1" s="74" t="s">
        <v>8</v>
      </c>
      <c r="J1" s="75"/>
    </row>
    <row r="2">
      <c r="A2" s="76" t="s">
        <v>298</v>
      </c>
      <c r="B2" s="76" t="str">
        <f>IFERROR(__xludf.DUMMYFUNCTION("query({iferror(query('Demo Sheet FMS_148'!$A$9:$AL14836,""select '""&amp;$A$2&amp;""', A,C,M,N,O,P,Q where M is not null label '""&amp;$A$2&amp;""''',A'',C'',M'',N'',O'',P'',Q''""),{"""","""","""","""","""","""","""","""",""""});iferror(query('Demo Sheet FMS_148'!$A$9:$A"&amp;"L14836,""select '""&amp;$A$3&amp;""',A,C,S,T,U,V,W where S is not null label '""&amp;$A$3&amp;""''',A'',C'',S'',T'',U'',V'',W''""),{"""","""","""","""","""","""","""","""",""""});iferror(query('Demo Sheet FMS_148'!$A$9:$AL14836,""select '""&amp;$A$4&amp;""',A,C,X,Y,Z,AA,AB where"&amp;" X is not null label '""&amp;$A$4&amp;""''',A'',C'',X'',Y'',Z'',AA'',AB''""),{"""","""","""","""","""","""","""","""",""""});iferror(query('Demo Sheet FMS_148'!$A$9:$AL14836,""select '""&amp;$A$5&amp;""',A,C,AC,AD,AE,AF,AG where AC is not null label '""&amp;$A$5&amp;""''',A'',C'"&amp;"',AC'',AD'',AE'',AF'',AG''""),{"""","""","""","""","""","""","""","""",""""});iferror(query('Demo Sheet FMS_148'!$A$9:$AL14836,""select '""&amp;$A$6&amp;""',A,C,AH,AI,AJ,AK,AL where AH is not null label '""&amp;$A$6&amp;""''',A'',C'',AH'',AI'',AJ'',AK'',AL''""),{"""","""&amp;""","""","""","""","""","""","""",""""})})"),"Discussion with Requester                                                                           ")</f>
        <v>Discussion with Requester                                                                           </v>
      </c>
      <c r="C2" s="82">
        <f>IFERROR(__xludf.DUMMYFUNCTION("""COMPUTED_VALUE"""),4960.0)</f>
        <v>4960</v>
      </c>
      <c r="D2" s="76" t="str">
        <f>IFERROR(__xludf.DUMMYFUNCTION("""COMPUTED_VALUE"""),"marks entry report")</f>
        <v>marks entry report</v>
      </c>
      <c r="E2" s="84">
        <f>IFERROR(__xludf.DUMMYFUNCTION("""COMPUTED_VALUE"""),46083.74535494213)</f>
        <v>46083.74535</v>
      </c>
      <c r="F2" s="86">
        <f>IFERROR(__xludf.DUMMYFUNCTION("""COMPUTED_VALUE"""),46083.631977777775)</f>
        <v>46083.63198</v>
      </c>
      <c r="G2" s="86" t="str">
        <f>IFERROR(__xludf.DUMMYFUNCTION("""COMPUTED_VALUE"""),"Done")</f>
        <v>Done</v>
      </c>
      <c r="H2" s="88">
        <f>IFERROR(__xludf.DUMMYFUNCTION("""COMPUTED_VALUE"""),0.0)</f>
        <v>0</v>
      </c>
      <c r="I2" s="90" t="str">
        <f>IFERROR(__xludf.DUMMYFUNCTION("""COMPUTED_VALUE"""),"EMP0042 HULESHWAR KUMAR SAHU")</f>
        <v>EMP0042 HULESHWAR KUMAR SAHU</v>
      </c>
      <c r="J2" s="91"/>
      <c r="K2" s="3" t="str">
        <f>IFERROR(__xludf.DUMMYFUNCTION("FILTER(B2:J14836,G2:G14836=""Done"",F2:F14836="""")"),"#N/A")</f>
        <v>#N/A</v>
      </c>
    </row>
    <row r="3">
      <c r="A3" s="76" t="s">
        <v>329</v>
      </c>
      <c r="B3" s="76" t="str">
        <f>IFERROR(__xludf.DUMMYFUNCTION("""COMPUTED_VALUE"""),"Discussion with Requester                                                                           ")</f>
        <v>Discussion with Requester                                                                           </v>
      </c>
      <c r="C3" s="82">
        <f>IFERROR(__xludf.DUMMYFUNCTION("""COMPUTED_VALUE"""),4961.0)</f>
        <v>4961</v>
      </c>
      <c r="D3" s="76" t="str">
        <f>IFERROR(__xludf.DUMMYFUNCTION("""COMPUTED_VALUE"""),"overalll pass report")</f>
        <v>overalll pass report</v>
      </c>
      <c r="E3" s="84">
        <f>IFERROR(__xludf.DUMMYFUNCTION("""COMPUTED_VALUE"""),46083.780336736105)</f>
        <v>46083.78034</v>
      </c>
      <c r="F3" s="86">
        <f>IFERROR(__xludf.DUMMYFUNCTION("""COMPUTED_VALUE"""),46083.631977164354)</f>
        <v>46083.63198</v>
      </c>
      <c r="G3" s="86" t="str">
        <f>IFERROR(__xludf.DUMMYFUNCTION("""COMPUTED_VALUE"""),"490")</f>
        <v>490</v>
      </c>
      <c r="H3" s="88">
        <f>IFERROR(__xludf.DUMMYFUNCTION("""COMPUTED_VALUE"""),0.0)</f>
        <v>0</v>
      </c>
      <c r="I3" s="90" t="str">
        <f>IFERROR(__xludf.DUMMYFUNCTION("""COMPUTED_VALUE"""),"EMP0042 HULESHWAR KUMAR SAHU")</f>
        <v>EMP0042 HULESHWAR KUMAR SAHU</v>
      </c>
      <c r="J3" s="91"/>
    </row>
    <row r="4">
      <c r="A4" s="76" t="s">
        <v>174</v>
      </c>
      <c r="B4" s="76" t="str">
        <f>IFERROR(__xludf.DUMMYFUNCTION("""COMPUTED_VALUE"""),"Discussion with Requester                                                                           ")</f>
        <v>Discussion with Requester                                                                           </v>
      </c>
      <c r="C4" s="82">
        <f>IFERROR(__xludf.DUMMYFUNCTION("""COMPUTED_VALUE"""),4962.0)</f>
        <v>4962</v>
      </c>
      <c r="D4" s="76" t="str">
        <f>IFERROR(__xludf.DUMMYFUNCTION("""COMPUTED_VALUE"""),"cbcs tr report")</f>
        <v>cbcs tr report</v>
      </c>
      <c r="E4" s="84">
        <f>IFERROR(__xludf.DUMMYFUNCTION("""COMPUTED_VALUE"""),46083.78141599537)</f>
        <v>46083.78142</v>
      </c>
      <c r="F4" s="86">
        <f>IFERROR(__xludf.DUMMYFUNCTION("""COMPUTED_VALUE"""),46083.632000115744)</f>
        <v>46083.632</v>
      </c>
      <c r="G4" s="86" t="str">
        <f>IFERROR(__xludf.DUMMYFUNCTION("""COMPUTED_VALUE"""),"490")</f>
        <v>490</v>
      </c>
      <c r="H4" s="88">
        <f>IFERROR(__xludf.DUMMYFUNCTION("""COMPUTED_VALUE"""),0.0)</f>
        <v>0</v>
      </c>
      <c r="I4" s="90" t="str">
        <f>IFERROR(__xludf.DUMMYFUNCTION("""COMPUTED_VALUE"""),"EMP0237 Swarnendu Chakraborty")</f>
        <v>EMP0237 Swarnendu Chakraborty</v>
      </c>
      <c r="J4" s="91"/>
    </row>
    <row r="5">
      <c r="A5" s="76" t="s">
        <v>179</v>
      </c>
      <c r="B5" s="76" t="str">
        <f>IFERROR(__xludf.DUMMYFUNCTION("""COMPUTED_VALUE"""),"Discussion with Requester                                                                           ")</f>
        <v>Discussion with Requester                                                                           </v>
      </c>
      <c r="C5" s="82">
        <f>IFERROR(__xludf.DUMMYFUNCTION("""COMPUTED_VALUE"""),4963.0)</f>
        <v>4963</v>
      </c>
      <c r="D5" s="76" t="str">
        <f>IFERROR(__xludf.DUMMYFUNCTION("""COMPUTED_VALUE"""),"Marksheet")</f>
        <v>Marksheet</v>
      </c>
      <c r="E5" s="84">
        <f>IFERROR(__xludf.DUMMYFUNCTION("""COMPUTED_VALUE"""),46084.80105834491)</f>
        <v>46084.80106</v>
      </c>
      <c r="F5" s="86">
        <f>IFERROR(__xludf.DUMMYFUNCTION("""COMPUTED_VALUE"""),46084.638515011575)</f>
        <v>46084.63852</v>
      </c>
      <c r="G5" s="86" t="str">
        <f>IFERROR(__xludf.DUMMYFUNCTION("""COMPUTED_VALUE"""),"0")</f>
        <v>0</v>
      </c>
      <c r="H5" s="88">
        <f>IFERROR(__xludf.DUMMYFUNCTION("""COMPUTED_VALUE"""),0.0)</f>
        <v>0</v>
      </c>
      <c r="I5" s="90" t="str">
        <f>IFERROR(__xludf.DUMMYFUNCTION("""COMPUTED_VALUE"""),"EMP0237 Swarnendu Chakraborty")</f>
        <v>EMP0237 Swarnendu Chakraborty</v>
      </c>
      <c r="J5" s="91"/>
    </row>
    <row r="6">
      <c r="A6" s="76" t="s">
        <v>349</v>
      </c>
      <c r="B6" s="76" t="str">
        <f>IFERROR(__xludf.DUMMYFUNCTION("""COMPUTED_VALUE"""),"Discussion with Requester                                                                           ")</f>
        <v>Discussion with Requester                                                                           </v>
      </c>
      <c r="C6" s="82">
        <f>IFERROR(__xludf.DUMMYFUNCTION("""COMPUTED_VALUE"""),4964.0)</f>
        <v>4964</v>
      </c>
      <c r="D6" s="76" t="str">
        <f>IFERROR(__xludf.DUMMYFUNCTION("""COMPUTED_VALUE"""),"FINEL RESULT")</f>
        <v>FINEL RESULT</v>
      </c>
      <c r="E6" s="84">
        <f>IFERROR(__xludf.DUMMYFUNCTION("""COMPUTED_VALUE"""),46084.82603246527)</f>
        <v>46084.82603</v>
      </c>
      <c r="F6" s="86">
        <f>IFERROR(__xludf.DUMMYFUNCTION("""COMPUTED_VALUE"""),46084.74418166667)</f>
        <v>46084.74418</v>
      </c>
      <c r="G6" s="86" t="str">
        <f>IFERROR(__xludf.DUMMYFUNCTION("""COMPUTED_VALUE"""),"25/05/2026 03:53:14")</f>
        <v>25/05/2026 03:53:14</v>
      </c>
      <c r="H6" s="88">
        <f>IFERROR(__xludf.DUMMYFUNCTION("""COMPUTED_VALUE"""),0.0)</f>
        <v>0</v>
      </c>
      <c r="I6" s="90" t="str">
        <f>IFERROR(__xludf.DUMMYFUNCTION("""COMPUTED_VALUE"""),"EMP0042 HULESHWAR KUMAR SAHU")</f>
        <v>EMP0042 HULESHWAR KUMAR SAHU</v>
      </c>
      <c r="J6" s="91"/>
    </row>
    <row r="7">
      <c r="B7" s="76" t="str">
        <f>IFERROR(__xludf.DUMMYFUNCTION("""COMPUTED_VALUE"""),"Discussion with Requester                                                                           ")</f>
        <v>Discussion with Requester                                                                           </v>
      </c>
      <c r="C7" s="82">
        <f>IFERROR(__xludf.DUMMYFUNCTION("""COMPUTED_VALUE"""),4965.0)</f>
        <v>4965</v>
      </c>
      <c r="D7" s="76" t="str">
        <f>IFERROR(__xludf.DUMMYFUNCTION("""COMPUTED_VALUE"""),"Pls do the needful as per format for the session 2024-25")</f>
        <v>Pls do the needful as per format for the session 2024-25</v>
      </c>
      <c r="E7" s="84">
        <f>IFERROR(__xludf.DUMMYFUNCTION("""COMPUTED_VALUE"""),46086.60823489584)</f>
        <v>46086.60823</v>
      </c>
      <c r="F7" s="86">
        <f>IFERROR(__xludf.DUMMYFUNCTION("""COMPUTED_VALUE"""),46086.493039050925)</f>
        <v>46086.49304</v>
      </c>
      <c r="G7" s="86" t="str">
        <f>IFERROR(__xludf.DUMMYFUNCTION("""COMPUTED_VALUE"""),"24/05/2026 19:42:20")</f>
        <v>24/05/2026 19:42:20</v>
      </c>
      <c r="H7" s="88">
        <f>IFERROR(__xludf.DUMMYFUNCTION("""COMPUTED_VALUE"""),0.0)</f>
        <v>0</v>
      </c>
      <c r="I7" s="90" t="str">
        <f>IFERROR(__xludf.DUMMYFUNCTION("""COMPUTED_VALUE"""),"EMP0021 Tamanna Dewangan")</f>
        <v>EMP0021 Tamanna Dewangan</v>
      </c>
      <c r="J7" s="91"/>
    </row>
    <row r="8">
      <c r="B8" s="76" t="str">
        <f>IFERROR(__xludf.DUMMYFUNCTION("""COMPUTED_VALUE"""),"Discussion with Requester                                                                           ")</f>
        <v>Discussion with Requester                                                                           </v>
      </c>
      <c r="C8" s="82">
        <f>IFERROR(__xludf.DUMMYFUNCTION("""COMPUTED_VALUE"""),4966.0)</f>
        <v>4966</v>
      </c>
      <c r="D8" s="76" t="str">
        <f>IFERROR(__xludf.DUMMYFUNCTION("""COMPUTED_VALUE"""),"ENROLLMENT/REGISTRAION REPORT NEP")</f>
        <v>ENROLLMENT/REGISTRAION REPORT NEP</v>
      </c>
      <c r="E8" s="84">
        <f>IFERROR(__xludf.DUMMYFUNCTION("""COMPUTED_VALUE"""),46087.43819444445)</f>
        <v>46087.43819</v>
      </c>
      <c r="F8" s="86">
        <f>IFERROR(__xludf.DUMMYFUNCTION("""COMPUTED_VALUE"""),46086.70101788195)</f>
        <v>46086.70102</v>
      </c>
      <c r="G8" s="86" t="str">
        <f>IFERROR(__xludf.DUMMYFUNCTION("""COMPUTED_VALUE"""),"Done")</f>
        <v>Done</v>
      </c>
      <c r="H8" s="88">
        <f>IFERROR(__xludf.DUMMYFUNCTION("""COMPUTED_VALUE"""),0.0)</f>
        <v>0</v>
      </c>
      <c r="I8" s="90" t="str">
        <f>IFERROR(__xludf.DUMMYFUNCTION("""COMPUTED_VALUE"""),"EMP5009 Rup Kumar Mandal")</f>
        <v>EMP5009 Rup Kumar Mandal</v>
      </c>
      <c r="J8" s="91"/>
    </row>
    <row r="9">
      <c r="B9" s="76" t="str">
        <f>IFERROR(__xludf.DUMMYFUNCTION("""COMPUTED_VALUE"""),"Discussion with Requester                                                                           ")</f>
        <v>Discussion with Requester                                                                           </v>
      </c>
      <c r="C9" s="82">
        <f>IFERROR(__xludf.DUMMYFUNCTION("""COMPUTED_VALUE"""),4967.0)</f>
        <v>4967</v>
      </c>
      <c r="D9" s="76" t="str">
        <f>IFERROR(__xludf.DUMMYFUNCTION("""COMPUTED_VALUE"""),"TR REPORT")</f>
        <v>TR REPORT</v>
      </c>
      <c r="E9" s="84">
        <f>IFERROR(__xludf.DUMMYFUNCTION("""COMPUTED_VALUE"""),46087.44027777778)</f>
        <v>46087.44028</v>
      </c>
      <c r="F9" s="86">
        <f>IFERROR(__xludf.DUMMYFUNCTION("""COMPUTED_VALUE"""),46086.70103997685)</f>
        <v>46086.70104</v>
      </c>
      <c r="G9" s="86" t="str">
        <f>IFERROR(__xludf.DUMMYFUNCTION("""COMPUTED_VALUE"""),"Done")</f>
        <v>Done</v>
      </c>
      <c r="H9" s="88">
        <f>IFERROR(__xludf.DUMMYFUNCTION("""COMPUTED_VALUE"""),0.0)</f>
        <v>0</v>
      </c>
      <c r="I9" s="90" t="str">
        <f>IFERROR(__xludf.DUMMYFUNCTION("""COMPUTED_VALUE"""),"EMP5009 Rup Kumar Mandal")</f>
        <v>EMP5009 Rup Kumar Mandal</v>
      </c>
      <c r="J9" s="91"/>
    </row>
    <row r="10">
      <c r="B10" s="76" t="str">
        <f>IFERROR(__xludf.DUMMYFUNCTION("""COMPUTED_VALUE"""),"Discussion with Requester                                                                           ")</f>
        <v>Discussion with Requester                                                                           </v>
      </c>
      <c r="C10" s="82">
        <f>IFERROR(__xludf.DUMMYFUNCTION("""COMPUTED_VALUE"""),4968.0)</f>
        <v>4968</v>
      </c>
      <c r="D10" s="76" t="str">
        <f>IFERROR(__xludf.DUMMYFUNCTION("""COMPUTED_VALUE"""),"B.SC  2ND SEM REVAL MAY-2019 MARKSHEET BLANK")</f>
        <v>B.SC  2ND SEM REVAL MAY-2019 MARKSHEET BLANK</v>
      </c>
      <c r="E10" s="84">
        <f>IFERROR(__xludf.DUMMYFUNCTION("""COMPUTED_VALUE"""),46087.62372471065)</f>
        <v>46087.62372</v>
      </c>
      <c r="F10" s="86">
        <f>IFERROR(__xludf.DUMMYFUNCTION("""COMPUTED_VALUE"""),46087.47363854167)</f>
        <v>46087.47364</v>
      </c>
      <c r="G10" s="86" t="str">
        <f>IFERROR(__xludf.DUMMYFUNCTION("""COMPUTED_VALUE"""),"Done")</f>
        <v>Done</v>
      </c>
      <c r="H10" s="88">
        <f>IFERROR(__xludf.DUMMYFUNCTION("""COMPUTED_VALUE"""),0.0)</f>
        <v>0</v>
      </c>
      <c r="I10" s="90" t="str">
        <f>IFERROR(__xludf.DUMMYFUNCTION("""COMPUTED_VALUE"""),"EMP0042 HULESHWAR KUMAR SAHU")</f>
        <v>EMP0042 HULESHWAR KUMAR SAHU</v>
      </c>
      <c r="J10" s="91"/>
    </row>
    <row r="11">
      <c r="B11" s="76" t="str">
        <f>IFERROR(__xludf.DUMMYFUNCTION("""COMPUTED_VALUE"""),"Discussion with Requester                                                                           ")</f>
        <v>Discussion with Requester                                                                           </v>
      </c>
      <c r="C11" s="82">
        <f>IFERROR(__xludf.DUMMYFUNCTION("""COMPUTED_VALUE"""),4969.0)</f>
        <v>4969</v>
      </c>
      <c r="D11" s="76" t="str">
        <f>IFERROR(__xludf.DUMMYFUNCTION("""COMPUTED_VALUE"""),"GAU Generate Attendance Sheet BAMS MARCH 2026")</f>
        <v>GAU Generate Attendance Sheet BAMS MARCH 2026</v>
      </c>
      <c r="E11" s="84">
        <f>IFERROR(__xludf.DUMMYFUNCTION("""COMPUTED_VALUE"""),46087.80579266204)</f>
        <v>46087.80579</v>
      </c>
      <c r="F11" s="86">
        <f>IFERROR(__xludf.DUMMYFUNCTION("""COMPUTED_VALUE"""),46087.64044146991)</f>
        <v>46087.64044</v>
      </c>
      <c r="G11" s="86" t="str">
        <f>IFERROR(__xludf.DUMMYFUNCTION("""COMPUTED_VALUE"""),"Done")</f>
        <v>Done</v>
      </c>
      <c r="H11" s="88">
        <f>IFERROR(__xludf.DUMMYFUNCTION("""COMPUTED_VALUE"""),0.0)</f>
        <v>0</v>
      </c>
      <c r="I11" s="90" t="str">
        <f>IFERROR(__xludf.DUMMYFUNCTION("""COMPUTED_VALUE"""),"EMP0021 Tamanna Dewangan")</f>
        <v>EMP0021 Tamanna Dewangan</v>
      </c>
      <c r="J11" s="91"/>
    </row>
    <row r="12">
      <c r="B12" s="76" t="str">
        <f>IFERROR(__xludf.DUMMYFUNCTION("""COMPUTED_VALUE"""),"Discussion with Requester                                                                           ")</f>
        <v>Discussion with Requester                                                                           </v>
      </c>
      <c r="C12" s="82">
        <f>IFERROR(__xludf.DUMMYFUNCTION("""COMPUTED_VALUE"""),4970.0)</f>
        <v>4970</v>
      </c>
      <c r="D12" s="76" t="str">
        <f>IFERROR(__xludf.DUMMYFUNCTION("""COMPUTED_VALUE"""),"Marks Entry Report")</f>
        <v>Marks Entry Report</v>
      </c>
      <c r="E12" s="84">
        <f>IFERROR(__xludf.DUMMYFUNCTION("""COMPUTED_VALUE"""),46088.48263888889)</f>
        <v>46088.48264</v>
      </c>
      <c r="F12" s="86">
        <f>IFERROR(__xludf.DUMMYFUNCTION("""COMPUTED_VALUE"""),46087.735512673615)</f>
        <v>46087.73551</v>
      </c>
      <c r="G12" s="86" t="str">
        <f>IFERROR(__xludf.DUMMYFUNCTION("""COMPUTED_VALUE"""),"Done")</f>
        <v>Done</v>
      </c>
      <c r="H12" s="88">
        <f>IFERROR(__xludf.DUMMYFUNCTION("""COMPUTED_VALUE"""),0.0)</f>
        <v>0</v>
      </c>
      <c r="I12" s="90" t="str">
        <f>IFERROR(__xludf.DUMMYFUNCTION("""COMPUTED_VALUE"""),"EMP0042 HULESHWAR KUMAR SAHU")</f>
        <v>EMP0042 HULESHWAR KUMAR SAHU</v>
      </c>
      <c r="J12" s="91"/>
    </row>
    <row r="13">
      <c r="B13" s="76" t="str">
        <f>IFERROR(__xludf.DUMMYFUNCTION("""COMPUTED_VALUE"""),"Discussion with Requester                                                                           ")</f>
        <v>Discussion with Requester                                                                           </v>
      </c>
      <c r="C13" s="82">
        <f>IFERROR(__xludf.DUMMYFUNCTION("""COMPUTED_VALUE"""),4971.0)</f>
        <v>4971</v>
      </c>
      <c r="D13" s="76" t="str">
        <f>IFERROR(__xludf.DUMMYFUNCTION("""COMPUTED_VALUE"""),"exam time table repoort")</f>
        <v>exam time table repoort</v>
      </c>
      <c r="E13" s="84">
        <f>IFERROR(__xludf.DUMMYFUNCTION("""COMPUTED_VALUE"""),46088.52569444444)</f>
        <v>46088.52569</v>
      </c>
      <c r="F13" s="86">
        <f>IFERROR(__xludf.DUMMYFUNCTION("""COMPUTED_VALUE"""),46088.417496435184)</f>
        <v>46088.4175</v>
      </c>
      <c r="G13" s="86" t="str">
        <f>IFERROR(__xludf.DUMMYFUNCTION("""COMPUTED_VALUE"""),"Done")</f>
        <v>Done</v>
      </c>
      <c r="H13" s="88">
        <f>IFERROR(__xludf.DUMMYFUNCTION("""COMPUTED_VALUE"""),0.0)</f>
        <v>0</v>
      </c>
      <c r="I13" s="90" t="str">
        <f>IFERROR(__xludf.DUMMYFUNCTION("""COMPUTED_VALUE"""),"EMP0042 HULESHWAR KUMAR SAHU")</f>
        <v>EMP0042 HULESHWAR KUMAR SAHU</v>
      </c>
      <c r="J13" s="91"/>
    </row>
    <row r="14">
      <c r="B14" s="76" t="str">
        <f>IFERROR(__xludf.DUMMYFUNCTION("""COMPUTED_VALUE"""),"Discussion with Requester                                                                           ")</f>
        <v>Discussion with Requester                                                                           </v>
      </c>
      <c r="C14" s="82">
        <f>IFERROR(__xludf.DUMMYFUNCTION("""COMPUTED_VALUE"""),4972.0)</f>
        <v>4972</v>
      </c>
      <c r="D14" s="76" t="str">
        <f>IFERROR(__xludf.DUMMYFUNCTION("""COMPUTED_VALUE"""),"GAU Generate Attendance Sheet BAMS MARCH 2026 2nd LOT")</f>
        <v>GAU Generate Attendance Sheet BAMS MARCH 2026 2nd LOT</v>
      </c>
      <c r="E14" s="84">
        <f>IFERROR(__xludf.DUMMYFUNCTION("""COMPUTED_VALUE"""),46088.583680208336)</f>
        <v>46088.58368</v>
      </c>
      <c r="F14" s="86">
        <f>IFERROR(__xludf.DUMMYFUNCTION("""COMPUTED_VALUE"""),46088.41740287037)</f>
        <v>46088.4174</v>
      </c>
      <c r="G14" s="86" t="str">
        <f>IFERROR(__xludf.DUMMYFUNCTION("""COMPUTED_VALUE"""),"Done")</f>
        <v>Done</v>
      </c>
      <c r="H14" s="88">
        <f>IFERROR(__xludf.DUMMYFUNCTION("""COMPUTED_VALUE"""),0.0)</f>
        <v>0</v>
      </c>
      <c r="I14" s="90" t="str">
        <f>IFERROR(__xludf.DUMMYFUNCTION("""COMPUTED_VALUE"""),"EMP0021 Tamanna Dewangan")</f>
        <v>EMP0021 Tamanna Dewangan</v>
      </c>
      <c r="J14" s="91"/>
    </row>
    <row r="15">
      <c r="B15" s="76" t="str">
        <f>IFERROR(__xludf.DUMMYFUNCTION("""COMPUTED_VALUE"""),"Discussion with Requester                                                                           ")</f>
        <v>Discussion with Requester                                                                           </v>
      </c>
      <c r="C15" s="82">
        <f>IFERROR(__xludf.DUMMYFUNCTION("""COMPUTED_VALUE"""),4973.0)</f>
        <v>4973</v>
      </c>
      <c r="D15" s="76" t="str">
        <f>IFERROR(__xludf.DUMMYFUNCTION("""COMPUTED_VALUE"""),"Marks Sheet NEP")</f>
        <v>Marks Sheet NEP</v>
      </c>
      <c r="E15" s="84">
        <f>IFERROR(__xludf.DUMMYFUNCTION("""COMPUTED_VALUE"""),46088.60958484954)</f>
        <v>46088.60958</v>
      </c>
      <c r="F15" s="86">
        <f>IFERROR(__xludf.DUMMYFUNCTION("""COMPUTED_VALUE"""),46088.44853229166)</f>
        <v>46088.44853</v>
      </c>
      <c r="G15" s="86" t="str">
        <f>IFERROR(__xludf.DUMMYFUNCTION("""COMPUTED_VALUE"""),"Done")</f>
        <v>Done</v>
      </c>
      <c r="H15" s="88">
        <f>IFERROR(__xludf.DUMMYFUNCTION("""COMPUTED_VALUE"""),0.0)</f>
        <v>0</v>
      </c>
      <c r="I15" s="90" t="str">
        <f>IFERROR(__xludf.DUMMYFUNCTION("""COMPUTED_VALUE"""),"EMP0042 HULESHWAR KUMAR SAHU")</f>
        <v>EMP0042 HULESHWAR KUMAR SAHU</v>
      </c>
      <c r="J15" s="91"/>
    </row>
    <row r="16">
      <c r="B16" s="76" t="str">
        <f>IFERROR(__xludf.DUMMYFUNCTION("""COMPUTED_VALUE"""),"Discussion with Requester                                                                           ")</f>
        <v>Discussion with Requester                                                                           </v>
      </c>
      <c r="C16" s="82">
        <f>IFERROR(__xludf.DUMMYFUNCTION("""COMPUTED_VALUE"""),4974.0)</f>
        <v>4974</v>
      </c>
      <c r="D16" s="76" t="str">
        <f>IFERROR(__xludf.DUMMYFUNCTION("""COMPUTED_VALUE"""),"M.S.W 3RD SEM TR NO OF PAGES")</f>
        <v>M.S.W 3RD SEM TR NO OF PAGES</v>
      </c>
      <c r="E16" s="84">
        <f>IFERROR(__xludf.DUMMYFUNCTION("""COMPUTED_VALUE"""),46090.663026145834)</f>
        <v>46090.66303</v>
      </c>
      <c r="F16" s="86">
        <f>IFERROR(__xludf.DUMMYFUNCTION("""COMPUTED_VALUE"""),46090.519292094905)</f>
        <v>46090.51929</v>
      </c>
      <c r="G16" s="86" t="str">
        <f>IFERROR(__xludf.DUMMYFUNCTION("""COMPUTED_VALUE"""),"Done")</f>
        <v>Done</v>
      </c>
      <c r="H16" s="88">
        <f>IFERROR(__xludf.DUMMYFUNCTION("""COMPUTED_VALUE"""),0.0)</f>
        <v>0</v>
      </c>
      <c r="I16" s="90" t="str">
        <f>IFERROR(__xludf.DUMMYFUNCTION("""COMPUTED_VALUE"""),"EMP0042 HULESHWAR KUMAR SAHU")</f>
        <v>EMP0042 HULESHWAR KUMAR SAHU</v>
      </c>
      <c r="J16" s="91"/>
    </row>
    <row r="17">
      <c r="B17" s="76" t="str">
        <f>IFERROR(__xludf.DUMMYFUNCTION("""COMPUTED_VALUE"""),"Discussion with Requester                                                                           ")</f>
        <v>Discussion with Requester                                                                           </v>
      </c>
      <c r="C17" s="82">
        <f>IFERROR(__xludf.DUMMYFUNCTION("""COMPUTED_VALUE"""),4975.0)</f>
        <v>4975</v>
      </c>
      <c r="D17" s="76" t="str">
        <f>IFERROR(__xludf.DUMMYFUNCTION("""COMPUTED_VALUE"""),"Gold Medel Certificate Gnsu")</f>
        <v>Gold Medel Certificate Gnsu</v>
      </c>
      <c r="E17" s="84">
        <f>IFERROR(__xludf.DUMMYFUNCTION("""COMPUTED_VALUE"""),46090.70148818287)</f>
        <v>46090.70149</v>
      </c>
      <c r="F17" s="86">
        <f>IFERROR(__xludf.DUMMYFUNCTION("""COMPUTED_VALUE"""),46090.620326435186)</f>
        <v>46090.62033</v>
      </c>
      <c r="G17" s="86" t="str">
        <f>IFERROR(__xludf.DUMMYFUNCTION("""COMPUTED_VALUE"""),"Done")</f>
        <v>Done</v>
      </c>
      <c r="H17" s="88">
        <f>IFERROR(__xludf.DUMMYFUNCTION("""COMPUTED_VALUE"""),0.0)</f>
        <v>0</v>
      </c>
      <c r="I17" s="90" t="str">
        <f>IFERROR(__xludf.DUMMYFUNCTION("""COMPUTED_VALUE"""),"EMP0042 HULESHWAR KUMAR SAHU")</f>
        <v>EMP0042 HULESHWAR KUMAR SAHU</v>
      </c>
      <c r="J17" s="91"/>
    </row>
    <row r="18">
      <c r="B18" s="76" t="str">
        <f>IFERROR(__xludf.DUMMYFUNCTION("""COMPUTED_VALUE"""),"Discussion with Requester                                                                           ")</f>
        <v>Discussion with Requester                                                                           </v>
      </c>
      <c r="C18" s="82">
        <f>IFERROR(__xludf.DUMMYFUNCTION("""COMPUTED_VALUE"""),4976.0)</f>
        <v>4976</v>
      </c>
      <c r="D18" s="76" t="str">
        <f>IFERROR(__xludf.DUMMYFUNCTION("""COMPUTED_VALUE"""),"ADMIT CARD ")</f>
        <v>ADMIT CARD </v>
      </c>
      <c r="E18" s="84">
        <f>IFERROR(__xludf.DUMMYFUNCTION("""COMPUTED_VALUE"""),46090.704566886576)</f>
        <v>46090.70457</v>
      </c>
      <c r="F18" s="86">
        <f>IFERROR(__xludf.DUMMYFUNCTION("""COMPUTED_VALUE"""),46090.62026956018)</f>
        <v>46090.62027</v>
      </c>
      <c r="G18" s="86" t="str">
        <f>IFERROR(__xludf.DUMMYFUNCTION("""COMPUTED_VALUE"""),"Done")</f>
        <v>Done</v>
      </c>
      <c r="H18" s="88">
        <f>IFERROR(__xludf.DUMMYFUNCTION("""COMPUTED_VALUE"""),0.0)</f>
        <v>0</v>
      </c>
      <c r="I18" s="90" t="str">
        <f>IFERROR(__xludf.DUMMYFUNCTION("""COMPUTED_VALUE"""),"EMP0021 Tamanna Dewangan")</f>
        <v>EMP0021 Tamanna Dewangan</v>
      </c>
      <c r="J18" s="91"/>
    </row>
    <row r="19">
      <c r="B19" s="76" t="str">
        <f>IFERROR(__xludf.DUMMYFUNCTION("""COMPUTED_VALUE"""),"Discussion with Requester                                                                           ")</f>
        <v>Discussion with Requester                                                                           </v>
      </c>
      <c r="C19" s="82">
        <f>IFERROR(__xludf.DUMMYFUNCTION("""COMPUTED_VALUE"""),4977.0)</f>
        <v>4977</v>
      </c>
      <c r="D19" s="76" t="str">
        <f>IFERROR(__xludf.DUMMYFUNCTION("""COMPUTED_VALUE"""),"Enrolment/Exam form report")</f>
        <v>Enrolment/Exam form report</v>
      </c>
      <c r="E19" s="84">
        <f>IFERROR(__xludf.DUMMYFUNCTION("""COMPUTED_VALUE"""),46090.707014733794)</f>
        <v>46090.70701</v>
      </c>
      <c r="F19" s="86">
        <f>IFERROR(__xludf.DUMMYFUNCTION("""COMPUTED_VALUE"""),46090.54972958333)</f>
        <v>46090.54973</v>
      </c>
      <c r="G19" s="86" t="str">
        <f>IFERROR(__xludf.DUMMYFUNCTION("""COMPUTED_VALUE"""),"Done")</f>
        <v>Done</v>
      </c>
      <c r="H19" s="88">
        <f>IFERROR(__xludf.DUMMYFUNCTION("""COMPUTED_VALUE"""),0.0)</f>
        <v>0</v>
      </c>
      <c r="I19" s="90" t="str">
        <f>IFERROR(__xludf.DUMMYFUNCTION("""COMPUTED_VALUE"""),"EMP0237 Swarnendu Chakraborty")</f>
        <v>EMP0237 Swarnendu Chakraborty</v>
      </c>
      <c r="J19" s="91"/>
    </row>
    <row r="20">
      <c r="B20" s="76" t="str">
        <f>IFERROR(__xludf.DUMMYFUNCTION("""COMPUTED_VALUE"""),"Discussion with Requester                                                                           ")</f>
        <v>Discussion with Requester                                                                           </v>
      </c>
      <c r="C20" s="82">
        <f>IFERROR(__xludf.DUMMYFUNCTION("""COMPUTED_VALUE"""),4978.0)</f>
        <v>4978</v>
      </c>
      <c r="D20" s="76" t="str">
        <f>IFERROR(__xludf.DUMMYFUNCTION("""COMPUTED_VALUE"""),"MULTIPLE REPORT")</f>
        <v>MULTIPLE REPORT</v>
      </c>
      <c r="E20" s="84">
        <f>IFERROR(__xludf.DUMMYFUNCTION("""COMPUTED_VALUE"""),46090.74271519676)</f>
        <v>46090.74272</v>
      </c>
      <c r="F20" s="86">
        <f>IFERROR(__xludf.DUMMYFUNCTION("""COMPUTED_VALUE"""),46090.620428125)</f>
        <v>46090.62043</v>
      </c>
      <c r="G20" s="86" t="str">
        <f>IFERROR(__xludf.DUMMYFUNCTION("""COMPUTED_VALUE"""),"Done")</f>
        <v>Done</v>
      </c>
      <c r="H20" s="88">
        <f>IFERROR(__xludf.DUMMYFUNCTION("""COMPUTED_VALUE"""),0.0)</f>
        <v>0</v>
      </c>
      <c r="I20" s="90" t="str">
        <f>IFERROR(__xludf.DUMMYFUNCTION("""COMPUTED_VALUE"""),"EMP0042 HULESHWAR KUMAR SAHU")</f>
        <v>EMP0042 HULESHWAR KUMAR SAHU</v>
      </c>
      <c r="J20" s="91"/>
    </row>
    <row r="21">
      <c r="B21" s="76" t="str">
        <f>IFERROR(__xludf.DUMMYFUNCTION("""COMPUTED_VALUE"""),"Discussion with Requester                                                                           ")</f>
        <v>Discussion with Requester                                                                           </v>
      </c>
      <c r="C21" s="82">
        <f>IFERROR(__xludf.DUMMYFUNCTION("""COMPUTED_VALUE"""),4979.0)</f>
        <v>4979</v>
      </c>
      <c r="D21" s="76" t="str">
        <f>IFERROR(__xludf.DUMMYFUNCTION("""COMPUTED_VALUE"""),"Degree certificate correction")</f>
        <v>Degree certificate correction</v>
      </c>
      <c r="E21" s="84">
        <f>IFERROR(__xludf.DUMMYFUNCTION("""COMPUTED_VALUE"""),46091.76150151621)</f>
        <v>46091.7615</v>
      </c>
      <c r="F21" s="86">
        <f>IFERROR(__xludf.DUMMYFUNCTION("""COMPUTED_VALUE"""),46091.46802141203)</f>
        <v>46091.46802</v>
      </c>
      <c r="G21" s="86" t="str">
        <f>IFERROR(__xludf.DUMMYFUNCTION("""COMPUTED_VALUE"""),"Done")</f>
        <v>Done</v>
      </c>
      <c r="H21" s="88">
        <f>IFERROR(__xludf.DUMMYFUNCTION("""COMPUTED_VALUE"""),0.0)</f>
        <v>0</v>
      </c>
      <c r="I21" s="90" t="str">
        <f>IFERROR(__xludf.DUMMYFUNCTION("""COMPUTED_VALUE"""),"EMP0042 HULESHWAR KUMAR SAHU")</f>
        <v>EMP0042 HULESHWAR KUMAR SAHU</v>
      </c>
      <c r="J21" s="91"/>
    </row>
    <row r="22">
      <c r="B22" s="76" t="str">
        <f>IFERROR(__xludf.DUMMYFUNCTION("""COMPUTED_VALUE"""),"Discussion with Requester                                                                           ")</f>
        <v>Discussion with Requester                                                                           </v>
      </c>
      <c r="C22" s="82">
        <f>IFERROR(__xludf.DUMMYFUNCTION("""COMPUTED_VALUE"""),4980.0)</f>
        <v>4980</v>
      </c>
      <c r="D22" s="76" t="str">
        <f>IFERROR(__xludf.DUMMYFUNCTION("""COMPUTED_VALUE"""),"provisional certificate")</f>
        <v>provisional certificate</v>
      </c>
      <c r="E22" s="84">
        <f>IFERROR(__xludf.DUMMYFUNCTION("""COMPUTED_VALUE"""),46091.78534859954)</f>
        <v>46091.78535</v>
      </c>
      <c r="F22" s="86">
        <f>IFERROR(__xludf.DUMMYFUNCTION("""COMPUTED_VALUE"""),46091.62577023148)</f>
        <v>46091.62577</v>
      </c>
      <c r="G22" s="86" t="str">
        <f>IFERROR(__xludf.DUMMYFUNCTION("""COMPUTED_VALUE"""),"Done")</f>
        <v>Done</v>
      </c>
      <c r="H22" s="88">
        <f>IFERROR(__xludf.DUMMYFUNCTION("""COMPUTED_VALUE"""),0.0)</f>
        <v>0</v>
      </c>
      <c r="I22" s="90" t="str">
        <f>IFERROR(__xludf.DUMMYFUNCTION("""COMPUTED_VALUE"""),"EMP0021 Tamanna Dewangan")</f>
        <v>EMP0021 Tamanna Dewangan</v>
      </c>
      <c r="J22" s="91"/>
    </row>
    <row r="23">
      <c r="B23" s="76" t="str">
        <f>IFERROR(__xludf.DUMMYFUNCTION("""COMPUTED_VALUE"""),"Discussion with Requester                                                                           ")</f>
        <v>Discussion with Requester                                                                           </v>
      </c>
      <c r="C23" s="82">
        <f>IFERROR(__xludf.DUMMYFUNCTION("""COMPUTED_VALUE"""),4981.0)</f>
        <v>4981</v>
      </c>
      <c r="D23" s="76" t="str">
        <f>IFERROR(__xludf.DUMMYFUNCTION("""COMPUTED_VALUE"""),"COLLEGE WISE TIME TABLE")</f>
        <v>COLLEGE WISE TIME TABLE</v>
      </c>
      <c r="E23" s="84">
        <f>IFERROR(__xludf.DUMMYFUNCTION("""COMPUTED_VALUE"""),46091.78946299769)</f>
        <v>46091.78946</v>
      </c>
      <c r="F23" s="86">
        <f>IFERROR(__xludf.DUMMYFUNCTION("""COMPUTED_VALUE"""),46091.62574988426)</f>
        <v>46091.62575</v>
      </c>
      <c r="G23" s="86" t="str">
        <f>IFERROR(__xludf.DUMMYFUNCTION("""COMPUTED_VALUE"""),"Done")</f>
        <v>Done</v>
      </c>
      <c r="H23" s="88">
        <f>IFERROR(__xludf.DUMMYFUNCTION("""COMPUTED_VALUE"""),0.0)</f>
        <v>0</v>
      </c>
      <c r="I23" s="90" t="str">
        <f>IFERROR(__xludf.DUMMYFUNCTION("""COMPUTED_VALUE"""),"EMP0042 HULESHWAR KUMAR SAHU")</f>
        <v>EMP0042 HULESHWAR KUMAR SAHU</v>
      </c>
      <c r="J23" s="91"/>
    </row>
    <row r="24">
      <c r="B24" s="76" t="str">
        <f>IFERROR(__xludf.DUMMYFUNCTION("""COMPUTED_VALUE"""),"Discussion with Requester                                                                           ")</f>
        <v>Discussion with Requester                                                                           </v>
      </c>
      <c r="C24" s="82">
        <f>IFERROR(__xludf.DUMMYFUNCTION("""COMPUTED_VALUE"""),4982.0)</f>
        <v>4982</v>
      </c>
      <c r="D24" s="76" t="str">
        <f>IFERROR(__xludf.DUMMYFUNCTION("""COMPUTED_VALUE"""),"TR")</f>
        <v>TR</v>
      </c>
      <c r="E24" s="84">
        <f>IFERROR(__xludf.DUMMYFUNCTION("""COMPUTED_VALUE"""),46092.48819444445)</f>
        <v>46092.48819</v>
      </c>
      <c r="F24" s="86">
        <f>IFERROR(__xludf.DUMMYFUNCTION("""COMPUTED_VALUE"""),46091.776057627314)</f>
        <v>46091.77606</v>
      </c>
      <c r="G24" s="86" t="str">
        <f>IFERROR(__xludf.DUMMYFUNCTION("""COMPUTED_VALUE"""),"Done")</f>
        <v>Done</v>
      </c>
      <c r="H24" s="88">
        <f>IFERROR(__xludf.DUMMYFUNCTION("""COMPUTED_VALUE"""),0.0)</f>
        <v>0</v>
      </c>
      <c r="I24" s="90" t="str">
        <f>IFERROR(__xludf.DUMMYFUNCTION("""COMPUTED_VALUE"""),"EMP0042 HULESHWAR KUMAR SAHU")</f>
        <v>EMP0042 HULESHWAR KUMAR SAHU</v>
      </c>
      <c r="J24" s="91"/>
    </row>
    <row r="25">
      <c r="B25" s="76" t="str">
        <f>IFERROR(__xludf.DUMMYFUNCTION("""COMPUTED_VALUE"""),"Discussion with Requester                                                                           ")</f>
        <v>Discussion with Requester                                                                           </v>
      </c>
      <c r="C25" s="82">
        <f>IFERROR(__xludf.DUMMYFUNCTION("""COMPUTED_VALUE"""),4983.0)</f>
        <v>4983</v>
      </c>
      <c r="D25" s="76" t="str">
        <f>IFERROR(__xludf.DUMMYFUNCTION("""COMPUTED_VALUE"""),"3152")</f>
        <v>3152</v>
      </c>
      <c r="E25" s="84">
        <f>IFERROR(__xludf.DUMMYFUNCTION("""COMPUTED_VALUE"""),46092.5625)</f>
        <v>46092.5625</v>
      </c>
      <c r="F25" s="86">
        <f>IFERROR(__xludf.DUMMYFUNCTION("""COMPUTED_VALUE"""),46092.432100520826)</f>
        <v>46092.4321</v>
      </c>
      <c r="G25" s="86" t="str">
        <f>IFERROR(__xludf.DUMMYFUNCTION("""COMPUTED_VALUE"""),"Done")</f>
        <v>Done</v>
      </c>
      <c r="H25" s="88">
        <f>IFERROR(__xludf.DUMMYFUNCTION("""COMPUTED_VALUE"""),0.0)</f>
        <v>0</v>
      </c>
      <c r="I25" s="90" t="str">
        <f>IFERROR(__xludf.DUMMYFUNCTION("""COMPUTED_VALUE"""),"EMP5009 Rup Kumar Mandal")</f>
        <v>EMP5009 Rup Kumar Mandal</v>
      </c>
      <c r="J25" s="91"/>
    </row>
    <row r="26">
      <c r="B26" s="76" t="str">
        <f>IFERROR(__xludf.DUMMYFUNCTION("""COMPUTED_VALUE"""),"Discussion with Requester                                                                           ")</f>
        <v>Discussion with Requester                                                                           </v>
      </c>
      <c r="C26" s="82">
        <f>IFERROR(__xludf.DUMMYFUNCTION("""COMPUTED_VALUE"""),4984.0)</f>
        <v>4984</v>
      </c>
      <c r="D26" s="76" t="str">
        <f>IFERROR(__xludf.DUMMYFUNCTION("""COMPUTED_VALUE"""),"Upshastri TR not Download ")</f>
        <v>Upshastri TR not Download </v>
      </c>
      <c r="E26" s="84">
        <f>IFERROR(__xludf.DUMMYFUNCTION("""COMPUTED_VALUE"""),46092.80049664352)</f>
        <v>46092.8005</v>
      </c>
      <c r="F26" s="86">
        <f>IFERROR(__xludf.DUMMYFUNCTION("""COMPUTED_VALUE"""),46092.74087212962)</f>
        <v>46092.74087</v>
      </c>
      <c r="G26" s="86" t="str">
        <f>IFERROR(__xludf.DUMMYFUNCTION("""COMPUTED_VALUE"""),"Done")</f>
        <v>Done</v>
      </c>
      <c r="H26" s="88">
        <f>IFERROR(__xludf.DUMMYFUNCTION("""COMPUTED_VALUE"""),0.0)</f>
        <v>0</v>
      </c>
      <c r="I26" s="90" t="str">
        <f>IFERROR(__xludf.DUMMYFUNCTION("""COMPUTED_VALUE"""),"EMP0042 HULESHWAR KUMAR SAHU")</f>
        <v>EMP0042 HULESHWAR KUMAR SAHU</v>
      </c>
      <c r="J26" s="91"/>
    </row>
    <row r="27">
      <c r="B27" s="76" t="str">
        <f>IFERROR(__xludf.DUMMYFUNCTION("""COMPUTED_VALUE"""),"Discussion with Requester                                                                           ")</f>
        <v>Discussion with Requester                                                                           </v>
      </c>
      <c r="C27" s="82">
        <f>IFERROR(__xludf.DUMMYFUNCTION("""COMPUTED_VALUE"""),4985.0)</f>
        <v>4985</v>
      </c>
      <c r="D27" s="76" t="str">
        <f>IFERROR(__xludf.DUMMYFUNCTION("""COMPUTED_VALUE"""),"CBCS TR chnage the filter all and add collge wise")</f>
        <v>CBCS TR chnage the filter all and add collge wise</v>
      </c>
      <c r="E27" s="84">
        <f>IFERROR(__xludf.DUMMYFUNCTION("""COMPUTED_VALUE"""),46093.616392662036)</f>
        <v>46093.61639</v>
      </c>
      <c r="F27" s="86">
        <f>IFERROR(__xludf.DUMMYFUNCTION("""COMPUTED_VALUE"""),46093.52088109954)</f>
        <v>46093.52088</v>
      </c>
      <c r="G27" s="86" t="str">
        <f>IFERROR(__xludf.DUMMYFUNCTION("""COMPUTED_VALUE"""),"Done")</f>
        <v>Done</v>
      </c>
      <c r="H27" s="88">
        <f>IFERROR(__xludf.DUMMYFUNCTION("""COMPUTED_VALUE"""),0.0)</f>
        <v>0</v>
      </c>
      <c r="I27" s="90" t="str">
        <f>IFERROR(__xludf.DUMMYFUNCTION("""COMPUTED_VALUE"""),"EMP0021 Tamanna Dewangan")</f>
        <v>EMP0021 Tamanna Dewangan</v>
      </c>
      <c r="J27" s="91"/>
    </row>
    <row r="28">
      <c r="B28" s="76" t="str">
        <f>IFERROR(__xludf.DUMMYFUNCTION("""COMPUTED_VALUE"""),"Discussion with Requester                                                                           ")</f>
        <v>Discussion with Requester                                                                           </v>
      </c>
      <c r="C28" s="82">
        <f>IFERROR(__xludf.DUMMYFUNCTION("""COMPUTED_VALUE"""),4986.0)</f>
        <v>4986</v>
      </c>
      <c r="D28" s="76" t="str">
        <f>IFERROR(__xludf.DUMMYFUNCTION("""COMPUTED_VALUE"""),"Marksheet chnage the filter all and add collge wise")</f>
        <v>Marksheet chnage the filter all and add collge wise</v>
      </c>
      <c r="E28" s="84">
        <f>IFERROR(__xludf.DUMMYFUNCTION("""COMPUTED_VALUE"""),46093.61720386574)</f>
        <v>46093.6172</v>
      </c>
      <c r="F28" s="86">
        <f>IFERROR(__xludf.DUMMYFUNCTION("""COMPUTED_VALUE"""),46093.52091454861)</f>
        <v>46093.52091</v>
      </c>
      <c r="G28" s="86" t="str">
        <f>IFERROR(__xludf.DUMMYFUNCTION("""COMPUTED_VALUE"""),"Done")</f>
        <v>Done</v>
      </c>
      <c r="H28" s="88">
        <f>IFERROR(__xludf.DUMMYFUNCTION("""COMPUTED_VALUE"""),0.0)</f>
        <v>0</v>
      </c>
      <c r="I28" s="90" t="str">
        <f>IFERROR(__xludf.DUMMYFUNCTION("""COMPUTED_VALUE"""),"EMP5009 Rup Kumar Mandal")</f>
        <v>EMP5009 Rup Kumar Mandal</v>
      </c>
      <c r="J28" s="91"/>
    </row>
    <row r="29">
      <c r="B29" s="76" t="str">
        <f>IFERROR(__xludf.DUMMYFUNCTION("""COMPUTED_VALUE"""),"Discussion with Requester                                                                           ")</f>
        <v>Discussion with Requester                                                                           </v>
      </c>
      <c r="C29" s="82">
        <f>IFERROR(__xludf.DUMMYFUNCTION("""COMPUTED_VALUE"""),4987.0)</f>
        <v>4987</v>
      </c>
      <c r="D29" s="76" t="str">
        <f>IFERROR(__xludf.DUMMYFUNCTION("""COMPUTED_VALUE"""),"Marksheet OLD chnage the filter all and add collge wise")</f>
        <v>Marksheet OLD chnage the filter all and add collge wise</v>
      </c>
      <c r="E29" s="84">
        <f>IFERROR(__xludf.DUMMYFUNCTION("""COMPUTED_VALUE"""),46093.617864479165)</f>
        <v>46093.61786</v>
      </c>
      <c r="F29" s="86">
        <f>IFERROR(__xludf.DUMMYFUNCTION("""COMPUTED_VALUE"""),46093.52092725695)</f>
        <v>46093.52093</v>
      </c>
      <c r="G29" s="86" t="str">
        <f>IFERROR(__xludf.DUMMYFUNCTION("""COMPUTED_VALUE"""),"Done")</f>
        <v>Done</v>
      </c>
      <c r="H29" s="88">
        <f>IFERROR(__xludf.DUMMYFUNCTION("""COMPUTED_VALUE"""),0.0)</f>
        <v>0</v>
      </c>
      <c r="I29" s="90" t="str">
        <f>IFERROR(__xludf.DUMMYFUNCTION("""COMPUTED_VALUE"""),"EMP5009 Rup Kumar Mandal")</f>
        <v>EMP5009 Rup Kumar Mandal</v>
      </c>
      <c r="J29" s="91"/>
    </row>
    <row r="30">
      <c r="B30" s="76" t="str">
        <f>IFERROR(__xludf.DUMMYFUNCTION("""COMPUTED_VALUE"""),"Discussion with Requester                                                                           ")</f>
        <v>Discussion with Requester                                                                           </v>
      </c>
      <c r="C30" s="82">
        <f>IFERROR(__xludf.DUMMYFUNCTION("""COMPUTED_VALUE"""),4988.0)</f>
        <v>4988</v>
      </c>
      <c r="D30" s="76" t="str">
        <f>IFERROR(__xludf.DUMMYFUNCTION("""COMPUTED_VALUE"""),"Marksheet New chnage the filter all and add collge wise")</f>
        <v>Marksheet New chnage the filter all and add collge wise</v>
      </c>
      <c r="E30" s="84">
        <f>IFERROR(__xludf.DUMMYFUNCTION("""COMPUTED_VALUE"""),46093.61852520833)</f>
        <v>46093.61853</v>
      </c>
      <c r="F30" s="86">
        <f>IFERROR(__xludf.DUMMYFUNCTION("""COMPUTED_VALUE"""),46093.520944791664)</f>
        <v>46093.52094</v>
      </c>
      <c r="G30" s="86" t="str">
        <f>IFERROR(__xludf.DUMMYFUNCTION("""COMPUTED_VALUE"""),"Done")</f>
        <v>Done</v>
      </c>
      <c r="H30" s="88">
        <f>IFERROR(__xludf.DUMMYFUNCTION("""COMPUTED_VALUE"""),0.0)</f>
        <v>0</v>
      </c>
      <c r="I30" s="90" t="str">
        <f>IFERROR(__xludf.DUMMYFUNCTION("""COMPUTED_VALUE"""),"EMP5009 Rup Kumar Mandal")</f>
        <v>EMP5009 Rup Kumar Mandal</v>
      </c>
      <c r="J30" s="91"/>
    </row>
    <row r="31">
      <c r="B31" s="76" t="str">
        <f>IFERROR(__xludf.DUMMYFUNCTION("""COMPUTED_VALUE"""),"Discussion with Requester                                                                           ")</f>
        <v>Discussion with Requester                                                                           </v>
      </c>
      <c r="C31" s="82">
        <f>IFERROR(__xludf.DUMMYFUNCTION("""COMPUTED_VALUE"""),4989.0)</f>
        <v>4989</v>
      </c>
      <c r="D31" s="76" t="str">
        <f>IFERROR(__xludf.DUMMYFUNCTION("""COMPUTED_VALUE"""),"Student enrooment report")</f>
        <v>Student enrooment report</v>
      </c>
      <c r="E31" s="84">
        <f>IFERROR(__xludf.DUMMYFUNCTION("""COMPUTED_VALUE"""),46093.686915729166)</f>
        <v>46093.68692</v>
      </c>
      <c r="F31" s="86">
        <f>IFERROR(__xludf.DUMMYFUNCTION("""COMPUTED_VALUE"""),46093.52108796296)</f>
        <v>46093.52109</v>
      </c>
      <c r="G31" s="86" t="str">
        <f>IFERROR(__xludf.DUMMYFUNCTION("""COMPUTED_VALUE"""),"Done")</f>
        <v>Done</v>
      </c>
      <c r="H31" s="88">
        <f>IFERROR(__xludf.DUMMYFUNCTION("""COMPUTED_VALUE"""),0.0)</f>
        <v>0</v>
      </c>
      <c r="I31" s="90" t="str">
        <f>IFERROR(__xludf.DUMMYFUNCTION("""COMPUTED_VALUE"""),"EMP5009 Rup Kumar Mandal")</f>
        <v>EMP5009 Rup Kumar Mandal</v>
      </c>
      <c r="J31" s="91"/>
    </row>
    <row r="32">
      <c r="B32" s="76" t="str">
        <f>IFERROR(__xludf.DUMMYFUNCTION("""COMPUTED_VALUE"""),"Discussion with Requester                                                                           ")</f>
        <v>Discussion with Requester                                                                           </v>
      </c>
      <c r="C32" s="82">
        <f>IFERROR(__xludf.DUMMYFUNCTION("""COMPUTED_VALUE"""),4990.0)</f>
        <v>4990</v>
      </c>
      <c r="D32" s="76" t="str">
        <f>IFERROR(__xludf.DUMMYFUNCTION("""COMPUTED_VALUE"""),"Award Sheet Locked/Blank BMDCEM-201 - Baba Mohan Das College of Education, Motla Kalan, Rewari. PG MASTER OF EDUCATION ( M.ED) First Semester ( Sem - 1) Sessional Blank ENROLLMENTFORM_SE21")</f>
        <v>Award Sheet Locked/Blank BMDCEM-201 - Baba Mohan Das College of Education, Motla Kalan, Rewari. PG MASTER OF EDUCATION ( M.ED) First Semester ( Sem - 1) Sessional Blank ENROLLMENTFORM_SE21</v>
      </c>
      <c r="E32" s="84">
        <f>IFERROR(__xludf.DUMMYFUNCTION("""COMPUTED_VALUE"""),46093.720980740734)</f>
        <v>46093.72098</v>
      </c>
      <c r="F32" s="86">
        <f>IFERROR(__xludf.DUMMYFUNCTION("""COMPUTED_VALUE"""),46093.58230553241)</f>
        <v>46093.58231</v>
      </c>
      <c r="G32" s="86" t="str">
        <f>IFERROR(__xludf.DUMMYFUNCTION("""COMPUTED_VALUE"""),"Done")</f>
        <v>Done</v>
      </c>
      <c r="H32" s="88">
        <f>IFERROR(__xludf.DUMMYFUNCTION("""COMPUTED_VALUE"""),0.0)</f>
        <v>0</v>
      </c>
      <c r="I32" s="90" t="str">
        <f>IFERROR(__xludf.DUMMYFUNCTION("""COMPUTED_VALUE"""),"EMP0021 Tamanna Dewangan")</f>
        <v>EMP0021 Tamanna Dewangan</v>
      </c>
      <c r="J32" s="91"/>
    </row>
    <row r="33">
      <c r="B33" s="76" t="str">
        <f>IFERROR(__xludf.DUMMYFUNCTION("""COMPUTED_VALUE"""),"Discussion with Requester                                                                           ")</f>
        <v>Discussion with Requester                                                                           </v>
      </c>
      <c r="C33" s="82">
        <f>IFERROR(__xludf.DUMMYFUNCTION("""COMPUTED_VALUE"""),4991.0)</f>
        <v>4991</v>
      </c>
      <c r="D33" s="76" t="str">
        <f>IFERROR(__xludf.DUMMYFUNCTION("""COMPUTED_VALUE"""),"CERTIFICATE")</f>
        <v>CERTIFICATE</v>
      </c>
      <c r="E33" s="84">
        <f>IFERROR(__xludf.DUMMYFUNCTION("""COMPUTED_VALUE"""),46093.735798229165)</f>
        <v>46093.7358</v>
      </c>
      <c r="F33" s="86">
        <f>IFERROR(__xludf.DUMMYFUNCTION("""COMPUTED_VALUE"""),46093.582329467594)</f>
        <v>46093.58233</v>
      </c>
      <c r="G33" s="86" t="str">
        <f>IFERROR(__xludf.DUMMYFUNCTION("""COMPUTED_VALUE"""),"Done")</f>
        <v>Done</v>
      </c>
      <c r="H33" s="88">
        <f>IFERROR(__xludf.DUMMYFUNCTION("""COMPUTED_VALUE"""),0.0)</f>
        <v>0</v>
      </c>
      <c r="I33" s="90" t="str">
        <f>IFERROR(__xludf.DUMMYFUNCTION("""COMPUTED_VALUE"""),"EMP0042 HULESHWAR KUMAR SAHU")</f>
        <v>EMP0042 HULESHWAR KUMAR SAHU</v>
      </c>
      <c r="J33" s="91"/>
    </row>
    <row r="34">
      <c r="B34" s="76" t="str">
        <f>IFERROR(__xludf.DUMMYFUNCTION("""COMPUTED_VALUE"""),"Discussion with Requester                                                                           ")</f>
        <v>Discussion with Requester                                                                           </v>
      </c>
      <c r="C34" s="82">
        <f>IFERROR(__xludf.DUMMYFUNCTION("""COMPUTED_VALUE"""),4992.0)</f>
        <v>4992</v>
      </c>
      <c r="D34" s="76" t="str">
        <f>IFERROR(__xludf.DUMMYFUNCTION("""COMPUTED_VALUE"""),"PROVISIONAL CERTIFICATE")</f>
        <v>PROVISIONAL CERTIFICATE</v>
      </c>
      <c r="E34" s="84">
        <f>IFERROR(__xludf.DUMMYFUNCTION("""COMPUTED_VALUE"""),46093.812009664354)</f>
        <v>46093.81201</v>
      </c>
      <c r="F34" s="86">
        <f>IFERROR(__xludf.DUMMYFUNCTION("""COMPUTED_VALUE"""),46093.66872692129)</f>
        <v>46093.66873</v>
      </c>
      <c r="G34" s="86" t="str">
        <f>IFERROR(__xludf.DUMMYFUNCTION("""COMPUTED_VALUE"""),"Done")</f>
        <v>Done</v>
      </c>
      <c r="H34" s="88">
        <f>IFERROR(__xludf.DUMMYFUNCTION("""COMPUTED_VALUE"""),0.0)</f>
        <v>0</v>
      </c>
      <c r="I34" s="90" t="str">
        <f>IFERROR(__xludf.DUMMYFUNCTION("""COMPUTED_VALUE"""),"EMP0237 Swarnendu Chakraborty")</f>
        <v>EMP0237 Swarnendu Chakraborty</v>
      </c>
      <c r="J34" s="91"/>
    </row>
    <row r="35">
      <c r="B35" s="76" t="str">
        <f>IFERROR(__xludf.DUMMYFUNCTION("""COMPUTED_VALUE"""),"Discussion with Requester                                                                           ")</f>
        <v>Discussion with Requester                                                                           </v>
      </c>
      <c r="C35" s="82">
        <f>IFERROR(__xludf.DUMMYFUNCTION("""COMPUTED_VALUE"""),4993.0)</f>
        <v>4993</v>
      </c>
      <c r="D35" s="76" t="str">
        <f>IFERROR(__xludf.DUMMYFUNCTION("""COMPUTED_VALUE"""),"3152")</f>
        <v>3152</v>
      </c>
      <c r="E35" s="84">
        <f>IFERROR(__xludf.DUMMYFUNCTION("""COMPUTED_VALUE"""),46094.476388888885)</f>
        <v>46094.47639</v>
      </c>
      <c r="F35" s="86">
        <f>IFERROR(__xludf.DUMMYFUNCTION("""COMPUTED_VALUE"""),46093.74950506944)</f>
        <v>46093.74951</v>
      </c>
      <c r="G35" s="86" t="str">
        <f>IFERROR(__xludf.DUMMYFUNCTION("""COMPUTED_VALUE"""),"Done")</f>
        <v>Done</v>
      </c>
      <c r="H35" s="88">
        <f>IFERROR(__xludf.DUMMYFUNCTION("""COMPUTED_VALUE"""),0.0)</f>
        <v>0</v>
      </c>
      <c r="I35" s="90" t="str">
        <f>IFERROR(__xludf.DUMMYFUNCTION("""COMPUTED_VALUE"""),"EMP5009 Rup Kumar Mandal")</f>
        <v>EMP5009 Rup Kumar Mandal</v>
      </c>
      <c r="J35" s="91"/>
    </row>
    <row r="36">
      <c r="B36" s="76" t="str">
        <f>IFERROR(__xludf.DUMMYFUNCTION("""COMPUTED_VALUE"""),"Discussion with Requester                                                                           ")</f>
        <v>Discussion with Requester                                                                           </v>
      </c>
      <c r="C36" s="82">
        <f>IFERROR(__xludf.DUMMYFUNCTION("""COMPUTED_VALUE"""),4994.0)</f>
        <v>4994</v>
      </c>
      <c r="D36" s="76" t="str">
        <f>IFERROR(__xludf.DUMMYFUNCTION("""COMPUTED_VALUE"""),"TR REPORT")</f>
        <v>TR REPORT</v>
      </c>
      <c r="E36" s="84">
        <f>IFERROR(__xludf.DUMMYFUNCTION("""COMPUTED_VALUE"""),46094.48402777778)</f>
        <v>46094.48403</v>
      </c>
      <c r="F36" s="86">
        <f>IFERROR(__xludf.DUMMYFUNCTION("""COMPUTED_VALUE"""),46093.74953148148)</f>
        <v>46093.74953</v>
      </c>
      <c r="G36" s="86" t="str">
        <f>IFERROR(__xludf.DUMMYFUNCTION("""COMPUTED_VALUE"""),"Done")</f>
        <v>Done</v>
      </c>
      <c r="H36" s="88">
        <f>IFERROR(__xludf.DUMMYFUNCTION("""COMPUTED_VALUE"""),0.0)</f>
        <v>0</v>
      </c>
      <c r="I36" s="90" t="str">
        <f>IFERROR(__xludf.DUMMYFUNCTION("""COMPUTED_VALUE"""),"EMP5009 Rup Kumar Mandal")</f>
        <v>EMP5009 Rup Kumar Mandal</v>
      </c>
      <c r="J36" s="91"/>
    </row>
    <row r="37">
      <c r="B37" s="76" t="str">
        <f>IFERROR(__xludf.DUMMYFUNCTION("""COMPUTED_VALUE"""),"Discussion with Requester                                                                           ")</f>
        <v>Discussion with Requester                                                                           </v>
      </c>
      <c r="C37" s="82">
        <f>IFERROR(__xludf.DUMMYFUNCTION("""COMPUTED_VALUE"""),4995.0)</f>
        <v>4995</v>
      </c>
      <c r="D37" s="76" t="str">
        <f>IFERROR(__xludf.DUMMYFUNCTION("""COMPUTED_VALUE"""),"TR ")</f>
        <v>TR </v>
      </c>
      <c r="E37" s="84">
        <f>IFERROR(__xludf.DUMMYFUNCTION("""COMPUTED_VALUE"""),46094.61220346065)</f>
        <v>46094.6122</v>
      </c>
      <c r="F37" s="86">
        <f>IFERROR(__xludf.DUMMYFUNCTION("""COMPUTED_VALUE"""),46094.47668115741)</f>
        <v>46094.47668</v>
      </c>
      <c r="G37" s="86" t="str">
        <f>IFERROR(__xludf.DUMMYFUNCTION("""COMPUTED_VALUE"""),"Done")</f>
        <v>Done</v>
      </c>
      <c r="H37" s="88">
        <f>IFERROR(__xludf.DUMMYFUNCTION("""COMPUTED_VALUE"""),0.0)</f>
        <v>0</v>
      </c>
      <c r="I37" s="90" t="str">
        <f>IFERROR(__xludf.DUMMYFUNCTION("""COMPUTED_VALUE"""),"EMP0042 HULESHWAR KUMAR SAHU")</f>
        <v>EMP0042 HULESHWAR KUMAR SAHU</v>
      </c>
      <c r="J37" s="91"/>
    </row>
    <row r="38">
      <c r="B38" s="76" t="str">
        <f>IFERROR(__xludf.DUMMYFUNCTION("""COMPUTED_VALUE"""),"Discussion with Requester                                                                           ")</f>
        <v>Discussion with Requester                                                                           </v>
      </c>
      <c r="C38" s="82">
        <f>IFERROR(__xludf.DUMMYFUNCTION("""COMPUTED_VALUE"""),4996.0)</f>
        <v>4996</v>
      </c>
      <c r="D38" s="76" t="str">
        <f>IFERROR(__xludf.DUMMYFUNCTION("""COMPUTED_VALUE"""),"RESULT DATA")</f>
        <v>RESULT DATA</v>
      </c>
      <c r="E38" s="84">
        <f>IFERROR(__xludf.DUMMYFUNCTION("""COMPUTED_VALUE"""),46094.655727199075)</f>
        <v>46094.65573</v>
      </c>
      <c r="F38" s="86">
        <f>IFERROR(__xludf.DUMMYFUNCTION("""COMPUTED_VALUE"""),46094.50844622685)</f>
        <v>46094.50845</v>
      </c>
      <c r="G38" s="86" t="str">
        <f>IFERROR(__xludf.DUMMYFUNCTION("""COMPUTED_VALUE"""),"Done")</f>
        <v>Done</v>
      </c>
      <c r="H38" s="88">
        <f>IFERROR(__xludf.DUMMYFUNCTION("""COMPUTED_VALUE"""),0.0)</f>
        <v>0</v>
      </c>
      <c r="I38" s="90" t="str">
        <f>IFERROR(__xludf.DUMMYFUNCTION("""COMPUTED_VALUE"""),"EMP5009 Rup Kumar Mandal")</f>
        <v>EMP5009 Rup Kumar Mandal</v>
      </c>
      <c r="J38" s="91"/>
    </row>
    <row r="39">
      <c r="B39" s="76" t="str">
        <f>IFERROR(__xludf.DUMMYFUNCTION("""COMPUTED_VALUE"""),"Discussion with Requester                                                                           ")</f>
        <v>Discussion with Requester                                                                           </v>
      </c>
      <c r="C39" s="82">
        <f>IFERROR(__xludf.DUMMYFUNCTION("""COMPUTED_VALUE"""),4997.0)</f>
        <v>4997</v>
      </c>
      <c r="D39" s="76" t="str">
        <f>IFERROR(__xludf.DUMMYFUNCTION("""COMPUTED_VALUE"""),"Admit card")</f>
        <v>Admit card</v>
      </c>
      <c r="E39" s="84">
        <f>IFERROR(__xludf.DUMMYFUNCTION("""COMPUTED_VALUE"""),46094.6887283449)</f>
        <v>46094.68873</v>
      </c>
      <c r="F39" s="86">
        <f>IFERROR(__xludf.DUMMYFUNCTION("""COMPUTED_VALUE"""),46094.56219699074)</f>
        <v>46094.5622</v>
      </c>
      <c r="G39" s="86" t="str">
        <f>IFERROR(__xludf.DUMMYFUNCTION("""COMPUTED_VALUE"""),"Done")</f>
        <v>Done</v>
      </c>
      <c r="H39" s="88">
        <f>IFERROR(__xludf.DUMMYFUNCTION("""COMPUTED_VALUE"""),0.0)</f>
        <v>0</v>
      </c>
      <c r="I39" s="90" t="str">
        <f>IFERROR(__xludf.DUMMYFUNCTION("""COMPUTED_VALUE"""),"EMP5009 Rup Kumar Mandal")</f>
        <v>EMP5009 Rup Kumar Mandal</v>
      </c>
      <c r="J39" s="91"/>
    </row>
    <row r="40">
      <c r="B40" s="76" t="str">
        <f>IFERROR(__xludf.DUMMYFUNCTION("""COMPUTED_VALUE"""),"Discussion with Requester                                                                           ")</f>
        <v>Discussion with Requester                                                                           </v>
      </c>
      <c r="C40" s="82">
        <f>IFERROR(__xludf.DUMMYFUNCTION("""COMPUTED_VALUE"""),4998.0)</f>
        <v>4998</v>
      </c>
      <c r="D40" s="76" t="str">
        <f>IFERROR(__xludf.DUMMYFUNCTION("""COMPUTED_VALUE"""),"Attendance Report")</f>
        <v>Attendance Report</v>
      </c>
      <c r="E40" s="84">
        <f>IFERROR(__xludf.DUMMYFUNCTION("""COMPUTED_VALUE"""),46094.69072085647)</f>
        <v>46094.69072</v>
      </c>
      <c r="F40" s="86">
        <f>IFERROR(__xludf.DUMMYFUNCTION("""COMPUTED_VALUE"""),46094.56247756944)</f>
        <v>46094.56248</v>
      </c>
      <c r="G40" s="86" t="str">
        <f>IFERROR(__xludf.DUMMYFUNCTION("""COMPUTED_VALUE"""),"Done")</f>
        <v>Done</v>
      </c>
      <c r="H40" s="88">
        <f>IFERROR(__xludf.DUMMYFUNCTION("""COMPUTED_VALUE"""),0.0)</f>
        <v>0</v>
      </c>
      <c r="I40" s="90" t="str">
        <f>IFERROR(__xludf.DUMMYFUNCTION("""COMPUTED_VALUE"""),"EMP0237 Swarnendu Chakraborty")</f>
        <v>EMP0237 Swarnendu Chakraborty</v>
      </c>
      <c r="J40" s="91"/>
    </row>
    <row r="41">
      <c r="B41" s="76" t="str">
        <f>IFERROR(__xludf.DUMMYFUNCTION("""COMPUTED_VALUE"""),"Discussion with Requester                                                                           ")</f>
        <v>Discussion with Requester                                                                           </v>
      </c>
      <c r="C41" s="82">
        <f>IFERROR(__xludf.DUMMYFUNCTION("""COMPUTED_VALUE"""),4999.0)</f>
        <v>4999</v>
      </c>
      <c r="D41" s="76" t="str">
        <f>IFERROR(__xludf.DUMMYFUNCTION("""COMPUTED_VALUE"""),"Seating Plan")</f>
        <v>Seating Plan</v>
      </c>
      <c r="E41" s="84">
        <f>IFERROR(__xludf.DUMMYFUNCTION("""COMPUTED_VALUE"""),46095.41805555555)</f>
        <v>46095.41806</v>
      </c>
      <c r="F41" s="86">
        <f>IFERROR(__xludf.DUMMYFUNCTION("""COMPUTED_VALUE"""),46094.69931614583)</f>
        <v>46094.69932</v>
      </c>
      <c r="G41" s="86" t="str">
        <f>IFERROR(__xludf.DUMMYFUNCTION("""COMPUTED_VALUE"""),"Done")</f>
        <v>Done</v>
      </c>
      <c r="H41" s="88">
        <f>IFERROR(__xludf.DUMMYFUNCTION("""COMPUTED_VALUE"""),0.0)</f>
        <v>0</v>
      </c>
      <c r="I41" s="90" t="str">
        <f>IFERROR(__xludf.DUMMYFUNCTION("""COMPUTED_VALUE"""),"EMP0042 HULESHWAR KUMAR SAHU")</f>
        <v>EMP0042 HULESHWAR KUMAR SAHU</v>
      </c>
      <c r="J41" s="91"/>
    </row>
    <row r="42">
      <c r="B42" s="76" t="str">
        <f>IFERROR(__xludf.DUMMYFUNCTION("""COMPUTED_VALUE"""),"Discussion with Requester                                                                           ")</f>
        <v>Discussion with Requester                                                                           </v>
      </c>
      <c r="C42" s="82">
        <f>IFERROR(__xludf.DUMMYFUNCTION("""COMPUTED_VALUE"""),5000.0)</f>
        <v>5000</v>
      </c>
      <c r="D42" s="76" t="str">
        <f>IFERROR(__xludf.DUMMYFUNCTION("""COMPUTED_VALUE"""),"TR ")</f>
        <v>TR </v>
      </c>
      <c r="E42" s="84">
        <f>IFERROR(__xludf.DUMMYFUNCTION("""COMPUTED_VALUE"""),46095.48472222222)</f>
        <v>46095.48472</v>
      </c>
      <c r="F42" s="86">
        <f>IFERROR(__xludf.DUMMYFUNCTION("""COMPUTED_VALUE"""),46094.75612211806)</f>
        <v>46094.75612</v>
      </c>
      <c r="G42" s="86" t="str">
        <f>IFERROR(__xludf.DUMMYFUNCTION("""COMPUTED_VALUE"""),"Done")</f>
        <v>Done</v>
      </c>
      <c r="H42" s="88">
        <f>IFERROR(__xludf.DUMMYFUNCTION("""COMPUTED_VALUE"""),0.0)</f>
        <v>0</v>
      </c>
      <c r="I42" s="90" t="str">
        <f>IFERROR(__xludf.DUMMYFUNCTION("""COMPUTED_VALUE"""),"EMP0042 HULESHWAR KUMAR SAHU")</f>
        <v>EMP0042 HULESHWAR KUMAR SAHU</v>
      </c>
      <c r="J42" s="91"/>
    </row>
    <row r="43">
      <c r="B43" s="76" t="str">
        <f>IFERROR(__xludf.DUMMYFUNCTION("""COMPUTED_VALUE"""),"Discussion with Requester                                                                           ")</f>
        <v>Discussion with Requester                                                                           </v>
      </c>
      <c r="C43" s="82">
        <f>IFERROR(__xludf.DUMMYFUNCTION("""COMPUTED_VALUE"""),5001.0)</f>
        <v>5001</v>
      </c>
      <c r="D43" s="76" t="str">
        <f>IFERROR(__xludf.DUMMYFUNCTION("""COMPUTED_VALUE"""),"Please provide the practical Data for M.Ed. 1st &amp; 3rd Semester, Re-appear, Regular, Mercy Chance,")</f>
        <v>Please provide the practical Data for M.Ed. 1st &amp; 3rd Semester, Re-appear, Regular, Mercy Chance,</v>
      </c>
      <c r="E43" s="84">
        <f>IFERROR(__xludf.DUMMYFUNCTION("""COMPUTED_VALUE"""),46095.62642093749)</f>
        <v>46095.62642</v>
      </c>
      <c r="F43" s="86">
        <f>IFERROR(__xludf.DUMMYFUNCTION("""COMPUTED_VALUE"""),46095.52237733796)</f>
        <v>46095.52238</v>
      </c>
      <c r="G43" s="86" t="str">
        <f>IFERROR(__xludf.DUMMYFUNCTION("""COMPUTED_VALUE"""),"Done")</f>
        <v>Done</v>
      </c>
      <c r="H43" s="88">
        <f>IFERROR(__xludf.DUMMYFUNCTION("""COMPUTED_VALUE"""),0.0)</f>
        <v>0</v>
      </c>
      <c r="I43" s="90" t="str">
        <f>IFERROR(__xludf.DUMMYFUNCTION("""COMPUTED_VALUE"""),"EMP0042 HULESHWAR KUMAR SAHU")</f>
        <v>EMP0042 HULESHWAR KUMAR SAHU</v>
      </c>
      <c r="J43" s="91"/>
    </row>
    <row r="44">
      <c r="B44" s="76" t="str">
        <f>IFERROR(__xludf.DUMMYFUNCTION("""COMPUTED_VALUE"""),"Discussion with Requester                                                                           ")</f>
        <v>Discussion with Requester                                                                           </v>
      </c>
      <c r="C44" s="82">
        <f>IFERROR(__xludf.DUMMYFUNCTION("""COMPUTED_VALUE"""),5002.0)</f>
        <v>5002</v>
      </c>
      <c r="D44" s="76" t="str">
        <f>IFERROR(__xludf.DUMMYFUNCTION("""COMPUTED_VALUE"""),"OLD formate mrksheet correction")</f>
        <v>OLD formate mrksheet correction</v>
      </c>
      <c r="E44" s="84">
        <f>IFERROR(__xludf.DUMMYFUNCTION("""COMPUTED_VALUE"""),46097.447754629626)</f>
        <v>46097.44775</v>
      </c>
      <c r="F44" s="86">
        <f>IFERROR(__xludf.DUMMYFUNCTION("""COMPUTED_VALUE"""),46097.431970833335)</f>
        <v>46097.43197</v>
      </c>
      <c r="G44" s="86" t="str">
        <f>IFERROR(__xludf.DUMMYFUNCTION("""COMPUTED_VALUE"""),"Done")</f>
        <v>Done</v>
      </c>
      <c r="H44" s="88">
        <f>IFERROR(__xludf.DUMMYFUNCTION("""COMPUTED_VALUE"""),0.0)</f>
        <v>0</v>
      </c>
      <c r="I44" s="90" t="str">
        <f>IFERROR(__xludf.DUMMYFUNCTION("""COMPUTED_VALUE"""),"EMP0237 Swarnendu Chakraborty")</f>
        <v>EMP0237 Swarnendu Chakraborty</v>
      </c>
      <c r="J44" s="91"/>
    </row>
    <row r="45">
      <c r="B45" s="76" t="str">
        <f>IFERROR(__xludf.DUMMYFUNCTION("""COMPUTED_VALUE"""),"Discussion with Requester                                                                           ")</f>
        <v>Discussion with Requester                                                                           </v>
      </c>
      <c r="C45" s="82">
        <f>IFERROR(__xludf.DUMMYFUNCTION("""COMPUTED_VALUE"""),5003.0)</f>
        <v>5003</v>
      </c>
      <c r="D45" s="76" t="str">
        <f>IFERROR(__xludf.DUMMYFUNCTION("""COMPUTED_VALUE"""),"NEW formate mrksheet correction")</f>
        <v>NEW formate mrksheet correction</v>
      </c>
      <c r="E45" s="84">
        <f>IFERROR(__xludf.DUMMYFUNCTION("""COMPUTED_VALUE"""),46097.447754629626)</f>
        <v>46097.44775</v>
      </c>
      <c r="F45" s="86">
        <f>IFERROR(__xludf.DUMMYFUNCTION("""COMPUTED_VALUE"""),46097.4319934375)</f>
        <v>46097.43199</v>
      </c>
      <c r="G45" s="86" t="str">
        <f>IFERROR(__xludf.DUMMYFUNCTION("""COMPUTED_VALUE"""),"Done")</f>
        <v>Done</v>
      </c>
      <c r="H45" s="88">
        <f>IFERROR(__xludf.DUMMYFUNCTION("""COMPUTED_VALUE"""),0.0)</f>
        <v>0</v>
      </c>
      <c r="I45" s="90" t="str">
        <f>IFERROR(__xludf.DUMMYFUNCTION("""COMPUTED_VALUE"""),"EMP0237 Swarnendu Chakraborty")</f>
        <v>EMP0237 Swarnendu Chakraborty</v>
      </c>
      <c r="J45" s="91"/>
    </row>
    <row r="46">
      <c r="B46" s="76" t="str">
        <f>IFERROR(__xludf.DUMMYFUNCTION("""COMPUTED_VALUE"""),"Discussion with Requester                                                                           ")</f>
        <v>Discussion with Requester                                                                           </v>
      </c>
      <c r="C46" s="82">
        <f>IFERROR(__xludf.DUMMYFUNCTION("""COMPUTED_VALUE"""),5004.0)</f>
        <v>5004</v>
      </c>
      <c r="D46" s="76" t="str">
        <f>IFERROR(__xludf.DUMMYFUNCTION("""COMPUTED_VALUE"""),"FINAL CERTIFICATE")</f>
        <v>FINAL CERTIFICATE</v>
      </c>
      <c r="E46" s="84">
        <f>IFERROR(__xludf.DUMMYFUNCTION("""COMPUTED_VALUE"""),46097.68407541667)</f>
        <v>46097.68408</v>
      </c>
      <c r="F46" s="86">
        <f>IFERROR(__xludf.DUMMYFUNCTION("""COMPUTED_VALUE"""),46097.53585714121)</f>
        <v>46097.53586</v>
      </c>
      <c r="G46" s="86" t="str">
        <f>IFERROR(__xludf.DUMMYFUNCTION("""COMPUTED_VALUE"""),"Done")</f>
        <v>Done</v>
      </c>
      <c r="H46" s="88">
        <f>IFERROR(__xludf.DUMMYFUNCTION("""COMPUTED_VALUE"""),0.0)</f>
        <v>0</v>
      </c>
      <c r="I46" s="90" t="str">
        <f>IFERROR(__xludf.DUMMYFUNCTION("""COMPUTED_VALUE"""),"EMP5009 Rup Kumar Mandal")</f>
        <v>EMP5009 Rup Kumar Mandal</v>
      </c>
      <c r="J46" s="91"/>
    </row>
    <row r="47">
      <c r="B47" s="76" t="str">
        <f>IFERROR(__xludf.DUMMYFUNCTION("""COMPUTED_VALUE"""),"Discussion with Requester                                                                           ")</f>
        <v>Discussion with Requester                                                                           </v>
      </c>
      <c r="C47" s="82">
        <f>IFERROR(__xludf.DUMMYFUNCTION("""COMPUTED_VALUE"""),5005.0)</f>
        <v>5005</v>
      </c>
      <c r="D47" s="76" t="str">
        <f>IFERROR(__xludf.DUMMYFUNCTION("""COMPUTED_VALUE"""),"attendance sheet")</f>
        <v>attendance sheet</v>
      </c>
      <c r="E47" s="84">
        <f>IFERROR(__xludf.DUMMYFUNCTION("""COMPUTED_VALUE"""),46097.78322012732)</f>
        <v>46097.78322</v>
      </c>
      <c r="F47" s="86">
        <f>IFERROR(__xludf.DUMMYFUNCTION("""COMPUTED_VALUE"""),46097.67546165509)</f>
        <v>46097.67546</v>
      </c>
      <c r="G47" s="86" t="str">
        <f>IFERROR(__xludf.DUMMYFUNCTION("""COMPUTED_VALUE"""),"Done")</f>
        <v>Done</v>
      </c>
      <c r="H47" s="88">
        <f>IFERROR(__xludf.DUMMYFUNCTION("""COMPUTED_VALUE"""),0.0)</f>
        <v>0</v>
      </c>
      <c r="I47" s="90" t="str">
        <f>IFERROR(__xludf.DUMMYFUNCTION("""COMPUTED_VALUE"""),"EMP0021 Tamanna Dewangan")</f>
        <v>EMP0021 Tamanna Dewangan</v>
      </c>
      <c r="J47" s="91"/>
    </row>
    <row r="48">
      <c r="B48" s="76" t="str">
        <f>IFERROR(__xludf.DUMMYFUNCTION("""COMPUTED_VALUE"""),"Discussion with Requester                                                                           ")</f>
        <v>Discussion with Requester                                                                           </v>
      </c>
      <c r="C48" s="82">
        <f>IFERROR(__xludf.DUMMYFUNCTION("""COMPUTED_VALUE"""),5006.0)</f>
        <v>5006</v>
      </c>
      <c r="D48" s="76" t="str">
        <f>IFERROR(__xludf.DUMMYFUNCTION("""COMPUTED_VALUE"""),"NEP TR M.A HINDI &amp; SANSKRIT")</f>
        <v>NEP TR M.A HINDI &amp; SANSKRIT</v>
      </c>
      <c r="E48" s="84">
        <f>IFERROR(__xludf.DUMMYFUNCTION("""COMPUTED_VALUE"""),46099.47708333333)</f>
        <v>46099.47708</v>
      </c>
      <c r="F48" s="86">
        <f>IFERROR(__xludf.DUMMYFUNCTION("""COMPUTED_VALUE"""),46098.78930740741)</f>
        <v>46098.78931</v>
      </c>
      <c r="G48" s="86" t="str">
        <f>IFERROR(__xludf.DUMMYFUNCTION("""COMPUTED_VALUE"""),"Done")</f>
        <v>Done</v>
      </c>
      <c r="H48" s="88">
        <f>IFERROR(__xludf.DUMMYFUNCTION("""COMPUTED_VALUE"""),0.0)</f>
        <v>0</v>
      </c>
      <c r="I48" s="90" t="str">
        <f>IFERROR(__xludf.DUMMYFUNCTION("""COMPUTED_VALUE"""),"EMP0042 HULESHWAR KUMAR SAHU")</f>
        <v>EMP0042 HULESHWAR KUMAR SAHU</v>
      </c>
      <c r="J48" s="91"/>
    </row>
    <row r="49">
      <c r="B49" s="76" t="str">
        <f>IFERROR(__xludf.DUMMYFUNCTION("""COMPUTED_VALUE"""),"Discussion with Requester                                                                           ")</f>
        <v>Discussion with Requester                                                                           </v>
      </c>
      <c r="C49" s="82">
        <f>IFERROR(__xludf.DUMMYFUNCTION("""COMPUTED_VALUE"""),5007.0)</f>
        <v>5007</v>
      </c>
      <c r="D49" s="76" t="str">
        <f>IFERROR(__xludf.DUMMYFUNCTION("""COMPUTED_VALUE"""),"Grade Card (B.PHARMA)")</f>
        <v>Grade Card (B.PHARMA)</v>
      </c>
      <c r="E49" s="84">
        <f>IFERROR(__xludf.DUMMYFUNCTION("""COMPUTED_VALUE"""),46099.478472222225)</f>
        <v>46099.47847</v>
      </c>
      <c r="F49" s="86">
        <f>IFERROR(__xludf.DUMMYFUNCTION("""COMPUTED_VALUE"""),46098.78933353009)</f>
        <v>46098.78933</v>
      </c>
      <c r="G49" s="86" t="str">
        <f>IFERROR(__xludf.DUMMYFUNCTION("""COMPUTED_VALUE"""),"Done")</f>
        <v>Done</v>
      </c>
      <c r="H49" s="88">
        <f>IFERROR(__xludf.DUMMYFUNCTION("""COMPUTED_VALUE"""),0.0)</f>
        <v>0</v>
      </c>
      <c r="I49" s="90" t="str">
        <f>IFERROR(__xludf.DUMMYFUNCTION("""COMPUTED_VALUE"""),"EMP0042 HULESHWAR KUMAR SAHU")</f>
        <v>EMP0042 HULESHWAR KUMAR SAHU</v>
      </c>
      <c r="J49" s="91"/>
    </row>
    <row r="50">
      <c r="B50" s="76" t="str">
        <f>IFERROR(__xludf.DUMMYFUNCTION("""COMPUTED_VALUE"""),"Discussion with Requester                                                                           ")</f>
        <v>Discussion with Requester                                                                           </v>
      </c>
      <c r="C50" s="82">
        <f>IFERROR(__xludf.DUMMYFUNCTION("""COMPUTED_VALUE"""),5008.0)</f>
        <v>5008</v>
      </c>
      <c r="D50" s="76" t="str">
        <f>IFERROR(__xludf.DUMMYFUNCTION("""COMPUTED_VALUE"""),"NEP SUMMARY 3RD SEM M.A HINDI")</f>
        <v>NEP SUMMARY 3RD SEM M.A HINDI</v>
      </c>
      <c r="E50" s="84">
        <f>IFERROR(__xludf.DUMMYFUNCTION("""COMPUTED_VALUE"""),46099.48055555555)</f>
        <v>46099.48056</v>
      </c>
      <c r="F50" s="86">
        <f>IFERROR(__xludf.DUMMYFUNCTION("""COMPUTED_VALUE"""),46098.78933913194)</f>
        <v>46098.78934</v>
      </c>
      <c r="G50" s="86" t="str">
        <f>IFERROR(__xludf.DUMMYFUNCTION("""COMPUTED_VALUE"""),"Done")</f>
        <v>Done</v>
      </c>
      <c r="H50" s="88">
        <f>IFERROR(__xludf.DUMMYFUNCTION("""COMPUTED_VALUE"""),0.0)</f>
        <v>0</v>
      </c>
      <c r="I50" s="90" t="str">
        <f>IFERROR(__xludf.DUMMYFUNCTION("""COMPUTED_VALUE"""),"EMP0042 HULESHWAR KUMAR SAHU")</f>
        <v>EMP0042 HULESHWAR KUMAR SAHU</v>
      </c>
      <c r="J50" s="91"/>
    </row>
    <row r="51">
      <c r="B51" s="76" t="str">
        <f>IFERROR(__xludf.DUMMYFUNCTION("""COMPUTED_VALUE"""),"Discussion with Requester                                                                           ")</f>
        <v>Discussion with Requester                                                                           </v>
      </c>
      <c r="C51" s="82">
        <f>IFERROR(__xludf.DUMMYFUNCTION("""COMPUTED_VALUE"""),5009.0)</f>
        <v>5009</v>
      </c>
      <c r="D51" s="76" t="str">
        <f>IFERROR(__xludf.DUMMYFUNCTION("""COMPUTED_VALUE"""),"NEP SCHEMA M.A SANSKRIT")</f>
        <v>NEP SCHEMA M.A SANSKRIT</v>
      </c>
      <c r="E51" s="84">
        <f>IFERROR(__xludf.DUMMYFUNCTION("""COMPUTED_VALUE"""),46099.48402777778)</f>
        <v>46099.48403</v>
      </c>
      <c r="F51" s="86">
        <f>IFERROR(__xludf.DUMMYFUNCTION("""COMPUTED_VALUE"""),46098.789360821764)</f>
        <v>46098.78936</v>
      </c>
      <c r="G51" s="86" t="str">
        <f>IFERROR(__xludf.DUMMYFUNCTION("""COMPUTED_VALUE"""),"Done")</f>
        <v>Done</v>
      </c>
      <c r="H51" s="88">
        <f>IFERROR(__xludf.DUMMYFUNCTION("""COMPUTED_VALUE"""),0.0)</f>
        <v>0</v>
      </c>
      <c r="I51" s="90" t="str">
        <f>IFERROR(__xludf.DUMMYFUNCTION("""COMPUTED_VALUE"""),"EMP0042 HULESHWAR KUMAR SAHU")</f>
        <v>EMP0042 HULESHWAR KUMAR SAHU</v>
      </c>
      <c r="J51" s="91"/>
    </row>
    <row r="52">
      <c r="B52" s="76" t="str">
        <f>IFERROR(__xludf.DUMMYFUNCTION("""COMPUTED_VALUE"""),"Discussion with Requester                                                                           ")</f>
        <v>Discussion with Requester                                                                           </v>
      </c>
      <c r="C52" s="82">
        <f>IFERROR(__xludf.DUMMYFUNCTION("""COMPUTED_VALUE"""),5010.0)</f>
        <v>5010</v>
      </c>
      <c r="D52" s="76" t="str">
        <f>IFERROR(__xludf.DUMMYFUNCTION("""COMPUTED_VALUE"""),"NEP MA SANSKRIT 3RD SEM  MARKSHEET ")</f>
        <v>NEP MA SANSKRIT 3RD SEM  MARKSHEET </v>
      </c>
      <c r="E52" s="84">
        <f>IFERROR(__xludf.DUMMYFUNCTION("""COMPUTED_VALUE"""),46099.48611111111)</f>
        <v>46099.48611</v>
      </c>
      <c r="F52" s="86">
        <f>IFERROR(__xludf.DUMMYFUNCTION("""COMPUTED_VALUE"""),46098.7893975463)</f>
        <v>46098.7894</v>
      </c>
      <c r="G52" s="86" t="str">
        <f>IFERROR(__xludf.DUMMYFUNCTION("""COMPUTED_VALUE"""),"Done")</f>
        <v>Done</v>
      </c>
      <c r="H52" s="88">
        <f>IFERROR(__xludf.DUMMYFUNCTION("""COMPUTED_VALUE"""),0.0)</f>
        <v>0</v>
      </c>
      <c r="I52" s="90" t="str">
        <f>IFERROR(__xludf.DUMMYFUNCTION("""COMPUTED_VALUE"""),"EMP0021 Tamanna Dewangan")</f>
        <v>EMP0021 Tamanna Dewangan</v>
      </c>
      <c r="J52" s="91"/>
    </row>
    <row r="53">
      <c r="B53" s="76" t="str">
        <f>IFERROR(__xludf.DUMMYFUNCTION("""COMPUTED_VALUE"""),"Discussion with Requester                                                                           ")</f>
        <v>Discussion with Requester                                                                           </v>
      </c>
      <c r="C53" s="82">
        <f>IFERROR(__xludf.DUMMYFUNCTION("""COMPUTED_VALUE"""),5011.0)</f>
        <v>5011</v>
      </c>
      <c r="D53" s="76" t="str">
        <f>IFERROR(__xludf.DUMMYFUNCTION("""COMPUTED_VALUE"""),"Tabulation Report BPH (LE) 3rd sem")</f>
        <v>Tabulation Report BPH (LE) 3rd sem</v>
      </c>
      <c r="E53" s="84">
        <f>IFERROR(__xludf.DUMMYFUNCTION("""COMPUTED_VALUE"""),46099.62987134259)</f>
        <v>46099.62987</v>
      </c>
      <c r="F53" s="86">
        <f>IFERROR(__xludf.DUMMYFUNCTION("""COMPUTED_VALUE"""),46099.487293680555)</f>
        <v>46099.48729</v>
      </c>
      <c r="G53" s="86" t="str">
        <f>IFERROR(__xludf.DUMMYFUNCTION("""COMPUTED_VALUE"""),"Done")</f>
        <v>Done</v>
      </c>
      <c r="H53" s="88">
        <f>IFERROR(__xludf.DUMMYFUNCTION("""COMPUTED_VALUE"""),0.0)</f>
        <v>0</v>
      </c>
      <c r="I53" s="90" t="str">
        <f>IFERROR(__xludf.DUMMYFUNCTION("""COMPUTED_VALUE"""),"EMP5009 Rup Kumar Mandal")</f>
        <v>EMP5009 Rup Kumar Mandal</v>
      </c>
      <c r="J53" s="91"/>
    </row>
    <row r="54">
      <c r="B54" s="76" t="str">
        <f>IFERROR(__xludf.DUMMYFUNCTION("""COMPUTED_VALUE"""),"Discussion with Requester                                                                           ")</f>
        <v>Discussion with Requester                                                                           </v>
      </c>
      <c r="C54" s="82">
        <f>IFERROR(__xludf.DUMMYFUNCTION("""COMPUTED_VALUE"""),5012.0)</f>
        <v>5012</v>
      </c>
      <c r="D54" s="76" t="str">
        <f>IFERROR(__xludf.DUMMYFUNCTION("""COMPUTED_VALUE"""),"TR")</f>
        <v>TR</v>
      </c>
      <c r="E54" s="84">
        <f>IFERROR(__xludf.DUMMYFUNCTION("""COMPUTED_VALUE"""),46100.64092849537)</f>
        <v>46100.64093</v>
      </c>
      <c r="F54" s="86">
        <f>IFERROR(__xludf.DUMMYFUNCTION("""COMPUTED_VALUE"""),46100.61334966435)</f>
        <v>46100.61335</v>
      </c>
      <c r="G54" s="86" t="str">
        <f>IFERROR(__xludf.DUMMYFUNCTION("""COMPUTED_VALUE"""),"Done")</f>
        <v>Done</v>
      </c>
      <c r="H54" s="88">
        <f>IFERROR(__xludf.DUMMYFUNCTION("""COMPUTED_VALUE"""),0.0)</f>
        <v>0</v>
      </c>
      <c r="I54" s="90" t="str">
        <f>IFERROR(__xludf.DUMMYFUNCTION("""COMPUTED_VALUE"""),"EMP0042 HULESHWAR KUMAR SAHU")</f>
        <v>EMP0042 HULESHWAR KUMAR SAHU</v>
      </c>
      <c r="J54" s="91"/>
    </row>
    <row r="55">
      <c r="B55" s="76" t="str">
        <f>IFERROR(__xludf.DUMMYFUNCTION("""COMPUTED_VALUE"""),"Discussion with Requester                                                                           ")</f>
        <v>Discussion with Requester                                                                           </v>
      </c>
      <c r="C55" s="82">
        <f>IFERROR(__xludf.DUMMYFUNCTION("""COMPUTED_VALUE"""),5013.0)</f>
        <v>5013</v>
      </c>
      <c r="D55" s="76" t="str">
        <f>IFERROR(__xludf.DUMMYFUNCTION("""COMPUTED_VALUE"""),"Student wise data add new culum session")</f>
        <v>Student wise data add new culum session</v>
      </c>
      <c r="E55" s="84">
        <f>IFERROR(__xludf.DUMMYFUNCTION("""COMPUTED_VALUE"""),46100.80000700232)</f>
        <v>46100.80001</v>
      </c>
      <c r="F55" s="86">
        <f>IFERROR(__xludf.DUMMYFUNCTION("""COMPUTED_VALUE"""),46100.64535309027)</f>
        <v>46100.64535</v>
      </c>
      <c r="G55" s="86" t="str">
        <f>IFERROR(__xludf.DUMMYFUNCTION("""COMPUTED_VALUE"""),"Done")</f>
        <v>Done</v>
      </c>
      <c r="H55" s="88">
        <f>IFERROR(__xludf.DUMMYFUNCTION("""COMPUTED_VALUE"""),0.0)</f>
        <v>0</v>
      </c>
      <c r="I55" s="90" t="str">
        <f>IFERROR(__xludf.DUMMYFUNCTION("""COMPUTED_VALUE"""),"EMP5009 Rup Kumar Mandal")</f>
        <v>EMP5009 Rup Kumar Mandal</v>
      </c>
      <c r="J55" s="91"/>
    </row>
    <row r="56">
      <c r="B56" s="76" t="str">
        <f>IFERROR(__xludf.DUMMYFUNCTION("""COMPUTED_VALUE"""),"Discussion with Requester                                                                           ")</f>
        <v>Discussion with Requester                                                                           </v>
      </c>
      <c r="C56" s="82">
        <f>IFERROR(__xludf.DUMMYFUNCTION("""COMPUTED_VALUE"""),5014.0)</f>
        <v>5014</v>
      </c>
      <c r="D56" s="76" t="str">
        <f>IFERROR(__xludf.DUMMYFUNCTION("""COMPUTED_VALUE"""),"MULTIPLE REPORT")</f>
        <v>MULTIPLE REPORT</v>
      </c>
      <c r="E56" s="84">
        <f>IFERROR(__xludf.DUMMYFUNCTION("""COMPUTED_VALUE"""),46100.46527777778)</f>
        <v>46100.46528</v>
      </c>
      <c r="F56" s="86">
        <f>IFERROR(__xludf.DUMMYFUNCTION("""COMPUTED_VALUE"""),46100.459386574075)</f>
        <v>46100.45939</v>
      </c>
      <c r="G56" s="86" t="str">
        <f>IFERROR(__xludf.DUMMYFUNCTION("""COMPUTED_VALUE"""),"Done")</f>
        <v>Done</v>
      </c>
      <c r="H56" s="88">
        <f>IFERROR(__xludf.DUMMYFUNCTION("""COMPUTED_VALUE"""),0.0)</f>
        <v>0</v>
      </c>
      <c r="I56" s="90" t="str">
        <f>IFERROR(__xludf.DUMMYFUNCTION("""COMPUTED_VALUE"""),"EMP0042 HULESHWAR KUMAR SAHU")</f>
        <v>EMP0042 HULESHWAR KUMAR SAHU</v>
      </c>
      <c r="J56" s="91"/>
    </row>
    <row r="57">
      <c r="B57" s="76" t="str">
        <f>IFERROR(__xludf.DUMMYFUNCTION("""COMPUTED_VALUE"""),"Discussion with Requester                                                                           ")</f>
        <v>Discussion with Requester                                                                           </v>
      </c>
      <c r="C57" s="82">
        <f>IFERROR(__xludf.DUMMYFUNCTION("""COMPUTED_VALUE"""),5015.0)</f>
        <v>5015</v>
      </c>
      <c r="D57" s="76" t="str">
        <f>IFERROR(__xludf.DUMMYFUNCTION("""COMPUTED_VALUE"""),"ENROLLMENT REPORT")</f>
        <v>ENROLLMENT REPORT</v>
      </c>
      <c r="E57" s="84">
        <f>IFERROR(__xludf.DUMMYFUNCTION("""COMPUTED_VALUE"""),46101.79860706019)</f>
        <v>46101.79861</v>
      </c>
      <c r="F57" s="86">
        <f>IFERROR(__xludf.DUMMYFUNCTION("""COMPUTED_VALUE"""),46101.637593495376)</f>
        <v>46101.63759</v>
      </c>
      <c r="G57" s="86" t="str">
        <f>IFERROR(__xludf.DUMMYFUNCTION("""COMPUTED_VALUE"""),"Done")</f>
        <v>Done</v>
      </c>
      <c r="H57" s="88">
        <f>IFERROR(__xludf.DUMMYFUNCTION("""COMPUTED_VALUE"""),0.0)</f>
        <v>0</v>
      </c>
      <c r="I57" s="90" t="str">
        <f>IFERROR(__xludf.DUMMYFUNCTION("""COMPUTED_VALUE"""),"EMP0021 Tamanna Dewangan")</f>
        <v>EMP0021 Tamanna Dewangan</v>
      </c>
      <c r="J57" s="91"/>
    </row>
    <row r="58">
      <c r="B58" s="76" t="str">
        <f>IFERROR(__xludf.DUMMYFUNCTION("""COMPUTED_VALUE"""),"Discussion with Requester                                                                           ")</f>
        <v>Discussion with Requester                                                                           </v>
      </c>
      <c r="C58" s="82">
        <f>IFERROR(__xludf.DUMMYFUNCTION("""COMPUTED_VALUE"""),5016.0)</f>
        <v>5016</v>
      </c>
      <c r="D58" s="76" t="str">
        <f>IFERROR(__xludf.DUMMYFUNCTION("""COMPUTED_VALUE"""),"NEP MISSING REPORT STEP-5(PRE-PROCESSING ERROR)")</f>
        <v>NEP MISSING REPORT STEP-5(PRE-PROCESSING ERROR)</v>
      </c>
      <c r="E58" s="84">
        <f>IFERROR(__xludf.DUMMYFUNCTION("""COMPUTED_VALUE"""),46104.48402777778)</f>
        <v>46104.48403</v>
      </c>
      <c r="F58" s="86">
        <f>IFERROR(__xludf.DUMMYFUNCTION("""COMPUTED_VALUE"""),46101.73600091435)</f>
        <v>46101.736</v>
      </c>
      <c r="G58" s="86" t="str">
        <f>IFERROR(__xludf.DUMMYFUNCTION("""COMPUTED_VALUE"""),"Done")</f>
        <v>Done</v>
      </c>
      <c r="H58" s="88">
        <f>IFERROR(__xludf.DUMMYFUNCTION("""COMPUTED_VALUE"""),0.0)</f>
        <v>0</v>
      </c>
      <c r="I58" s="90" t="str">
        <f>IFERROR(__xludf.DUMMYFUNCTION("""COMPUTED_VALUE"""),"EMP0237 Swarnendu Chakraborty")</f>
        <v>EMP0237 Swarnendu Chakraborty</v>
      </c>
      <c r="J58" s="91"/>
    </row>
    <row r="59">
      <c r="B59" s="76" t="str">
        <f>IFERROR(__xludf.DUMMYFUNCTION("""COMPUTED_VALUE"""),"Discussion with Requester                                                                           ")</f>
        <v>Discussion with Requester                                                                           </v>
      </c>
      <c r="C59" s="82">
        <f>IFERROR(__xludf.DUMMYFUNCTION("""COMPUTED_VALUE"""),5017.0)</f>
        <v>5017</v>
      </c>
      <c r="D59" s="76" t="str">
        <f>IFERROR(__xludf.DUMMYFUNCTION("""COMPUTED_VALUE"""),"	CERTIFICATE")</f>
        <v>	CERTIFICATE</v>
      </c>
      <c r="E59" s="84">
        <f>IFERROR(__xludf.DUMMYFUNCTION("""COMPUTED_VALUE"""),46104.51666666666)</f>
        <v>46104.51667</v>
      </c>
      <c r="F59" s="86">
        <f>IFERROR(__xludf.DUMMYFUNCTION("""COMPUTED_VALUE"""),46101.77480398148)</f>
        <v>46101.7748</v>
      </c>
      <c r="G59" s="86" t="str">
        <f>IFERROR(__xludf.DUMMYFUNCTION("""COMPUTED_VALUE"""),"Done")</f>
        <v>Done</v>
      </c>
      <c r="H59" s="88">
        <f>IFERROR(__xludf.DUMMYFUNCTION("""COMPUTED_VALUE"""),0.0)</f>
        <v>0</v>
      </c>
      <c r="I59" s="90" t="str">
        <f>IFERROR(__xludf.DUMMYFUNCTION("""COMPUTED_VALUE"""),"EMP0237 Swarnendu Chakraborty")</f>
        <v>EMP0237 Swarnendu Chakraborty</v>
      </c>
      <c r="J59" s="91"/>
    </row>
    <row r="60">
      <c r="B60" s="76" t="str">
        <f>IFERROR(__xludf.DUMMYFUNCTION("""COMPUTED_VALUE"""),"Discussion with Requester                                                                           ")</f>
        <v>Discussion with Requester                                                                           </v>
      </c>
      <c r="C60" s="82">
        <f>IFERROR(__xludf.DUMMYFUNCTION("""COMPUTED_VALUE"""),5018.0)</f>
        <v>5018</v>
      </c>
      <c r="D60" s="76" t="str">
        <f>IFERROR(__xludf.DUMMYFUNCTION("""COMPUTED_VALUE"""),"CERTIFICATE")</f>
        <v>CERTIFICATE</v>
      </c>
      <c r="E60" s="84">
        <f>IFERROR(__xludf.DUMMYFUNCTION("""COMPUTED_VALUE"""),46104.807901099535)</f>
        <v>46104.8079</v>
      </c>
      <c r="F60" s="86">
        <f>IFERROR(__xludf.DUMMYFUNCTION("""COMPUTED_VALUE"""),46104.65289509259)</f>
        <v>46104.6529</v>
      </c>
      <c r="G60" s="86" t="str">
        <f>IFERROR(__xludf.DUMMYFUNCTION("""COMPUTED_VALUE"""),"Done")</f>
        <v>Done</v>
      </c>
      <c r="H60" s="88">
        <f>IFERROR(__xludf.DUMMYFUNCTION("""COMPUTED_VALUE"""),0.0)</f>
        <v>0</v>
      </c>
      <c r="I60" s="90" t="str">
        <f>IFERROR(__xludf.DUMMYFUNCTION("""COMPUTED_VALUE"""),"EMP0042 HULESHWAR KUMAR SAHU")</f>
        <v>EMP0042 HULESHWAR KUMAR SAHU</v>
      </c>
      <c r="J60" s="91"/>
    </row>
    <row r="61">
      <c r="B61" s="76" t="str">
        <f>IFERROR(__xludf.DUMMYFUNCTION("""COMPUTED_VALUE"""),"Discussion with Requester                                                                           ")</f>
        <v>Discussion with Requester                                                                           </v>
      </c>
      <c r="C61" s="82">
        <f>IFERROR(__xludf.DUMMYFUNCTION("""COMPUTED_VALUE"""),5019.0)</f>
        <v>5019</v>
      </c>
      <c r="D61" s="76" t="str">
        <f>IFERROR(__xludf.DUMMYFUNCTION("""COMPUTED_VALUE"""),"MARKSHEET DMC 05 INTEREGATED 6TH SEM")</f>
        <v>MARKSHEET DMC 05 INTEREGATED 6TH SEM</v>
      </c>
      <c r="E61" s="84">
        <f>IFERROR(__xludf.DUMMYFUNCTION("""COMPUTED_VALUE"""),46104.829440960646)</f>
        <v>46104.82944</v>
      </c>
      <c r="F61" s="86">
        <f>IFERROR(__xludf.DUMMYFUNCTION("""COMPUTED_VALUE"""),46104.73405170139)</f>
        <v>46104.73405</v>
      </c>
      <c r="G61" s="86" t="str">
        <f>IFERROR(__xludf.DUMMYFUNCTION("""COMPUTED_VALUE"""),"Done")</f>
        <v>Done</v>
      </c>
      <c r="H61" s="88">
        <f>IFERROR(__xludf.DUMMYFUNCTION("""COMPUTED_VALUE"""),0.0)</f>
        <v>0</v>
      </c>
      <c r="I61" s="90" t="str">
        <f>IFERROR(__xludf.DUMMYFUNCTION("""COMPUTED_VALUE"""),"EMP0237 Swarnendu Chakraborty")</f>
        <v>EMP0237 Swarnendu Chakraborty</v>
      </c>
      <c r="J61" s="91"/>
    </row>
    <row r="62">
      <c r="B62" s="76" t="str">
        <f>IFERROR(__xludf.DUMMYFUNCTION("""COMPUTED_VALUE"""),"Discussion with Requester                                                                           ")</f>
        <v>Discussion with Requester                                                                           </v>
      </c>
      <c r="C62" s="82">
        <f>IFERROR(__xludf.DUMMYFUNCTION("""COMPUTED_VALUE"""),5020.0)</f>
        <v>5020</v>
      </c>
      <c r="D62" s="76" t="str">
        <f>IFERROR(__xludf.DUMMYFUNCTION("""COMPUTED_VALUE"""),"Marksheet please upate the logo and signeture")</f>
        <v>Marksheet please upate the logo and signeture</v>
      </c>
      <c r="E62" s="84">
        <f>IFERROR(__xludf.DUMMYFUNCTION("""COMPUTED_VALUE"""),46105.46805555555)</f>
        <v>46105.46806</v>
      </c>
      <c r="F62" s="86">
        <f>IFERROR(__xludf.DUMMYFUNCTION("""COMPUTED_VALUE"""),46104.734054340275)</f>
        <v>46104.73405</v>
      </c>
      <c r="G62" s="86" t="str">
        <f>IFERROR(__xludf.DUMMYFUNCTION("""COMPUTED_VALUE"""),"Done")</f>
        <v>Done</v>
      </c>
      <c r="H62" s="88">
        <f>IFERROR(__xludf.DUMMYFUNCTION("""COMPUTED_VALUE"""),0.0)</f>
        <v>0</v>
      </c>
      <c r="I62" s="90" t="str">
        <f>IFERROR(__xludf.DUMMYFUNCTION("""COMPUTED_VALUE"""),"EMP5009 Rup Kumar Mandal")</f>
        <v>EMP5009 Rup Kumar Mandal</v>
      </c>
      <c r="J62" s="91"/>
    </row>
    <row r="63">
      <c r="B63" s="76" t="str">
        <f>IFERROR(__xludf.DUMMYFUNCTION("""COMPUTED_VALUE"""),"Discussion with Requester                                                                           ")</f>
        <v>Discussion with Requester                                                                           </v>
      </c>
      <c r="C63" s="82">
        <f>IFERROR(__xludf.DUMMYFUNCTION("""COMPUTED_VALUE"""),5021.0)</f>
        <v>5021</v>
      </c>
      <c r="D63" s="76" t="str">
        <f>IFERROR(__xludf.DUMMYFUNCTION("""COMPUTED_VALUE"""),"MArksheet correction acoding to atteched file and dicsuction")</f>
        <v>MArksheet correction acoding to atteched file and dicsuction</v>
      </c>
      <c r="E63" s="84">
        <f>IFERROR(__xludf.DUMMYFUNCTION("""COMPUTED_VALUE"""),46106.44305555556)</f>
        <v>46106.44306</v>
      </c>
      <c r="F63" s="86">
        <f>IFERROR(__xludf.DUMMYFUNCTION("""COMPUTED_VALUE"""),46105.69577037037)</f>
        <v>46105.69577</v>
      </c>
      <c r="G63" s="86" t="str">
        <f>IFERROR(__xludf.DUMMYFUNCTION("""COMPUTED_VALUE"""),"Done")</f>
        <v>Done</v>
      </c>
      <c r="H63" s="88">
        <f>IFERROR(__xludf.DUMMYFUNCTION("""COMPUTED_VALUE"""),0.0)</f>
        <v>0</v>
      </c>
      <c r="I63" s="90" t="str">
        <f>IFERROR(__xludf.DUMMYFUNCTION("""COMPUTED_VALUE"""),"EMP0237 Swarnendu Chakraborty")</f>
        <v>EMP0237 Swarnendu Chakraborty</v>
      </c>
      <c r="J63" s="91"/>
    </row>
    <row r="64">
      <c r="B64" s="76" t="str">
        <f>IFERROR(__xludf.DUMMYFUNCTION("""COMPUTED_VALUE"""),"Discussion with Requester                                                                           ")</f>
        <v>Discussion with Requester                                                                           </v>
      </c>
      <c r="C64" s="82">
        <f>IFERROR(__xludf.DUMMYFUNCTION("""COMPUTED_VALUE"""),5022.0)</f>
        <v>5022</v>
      </c>
      <c r="D64" s="76" t="str">
        <f>IFERROR(__xludf.DUMMYFUNCTION("""COMPUTED_VALUE"""),"TR")</f>
        <v>TR</v>
      </c>
      <c r="E64" s="84">
        <f>IFERROR(__xludf.DUMMYFUNCTION("""COMPUTED_VALUE"""),46106.62891695602)</f>
        <v>46106.62892</v>
      </c>
      <c r="F64" s="86">
        <f>IFERROR(__xludf.DUMMYFUNCTION("""COMPUTED_VALUE"""),46106.48441631944)</f>
        <v>46106.48442</v>
      </c>
      <c r="G64" s="86" t="str">
        <f>IFERROR(__xludf.DUMMYFUNCTION("""COMPUTED_VALUE"""),"Done")</f>
        <v>Done</v>
      </c>
      <c r="H64" s="88">
        <f>IFERROR(__xludf.DUMMYFUNCTION("""COMPUTED_VALUE"""),0.0)</f>
        <v>0</v>
      </c>
      <c r="I64" s="90" t="str">
        <f>IFERROR(__xludf.DUMMYFUNCTION("""COMPUTED_VALUE"""),"EMP0042 HULESHWAR KUMAR SAHU")</f>
        <v>EMP0042 HULESHWAR KUMAR SAHU</v>
      </c>
      <c r="J64" s="91"/>
    </row>
    <row r="65">
      <c r="B65" s="76" t="str">
        <f>IFERROR(__xludf.DUMMYFUNCTION("""COMPUTED_VALUE"""),"Discussion with Requester                                                                           ")</f>
        <v>Discussion with Requester                                                                           </v>
      </c>
      <c r="C65" s="82">
        <f>IFERROR(__xludf.DUMMYFUNCTION("""COMPUTED_VALUE"""),5023.0)</f>
        <v>5023</v>
      </c>
      <c r="D65" s="76" t="str">
        <f>IFERROR(__xludf.DUMMYFUNCTION("""COMPUTED_VALUE"""),"Mark Is Greater Than Max mark(Step 7) First Semester ( Sem - 1) BACHELOR OF COMMERCE B.COM_SE02")</f>
        <v>Mark Is Greater Than Max mark(Step 7) First Semester ( Sem - 1) BACHELOR OF COMMERCE B.COM_SE02</v>
      </c>
      <c r="E65" s="84">
        <f>IFERROR(__xludf.DUMMYFUNCTION("""COMPUTED_VALUE"""),46106.798992384254)</f>
        <v>46106.79899</v>
      </c>
      <c r="F65" s="86">
        <f>IFERROR(__xludf.DUMMYFUNCTION("""COMPUTED_VALUE"""),46106.636062418984)</f>
        <v>46106.63606</v>
      </c>
      <c r="G65" s="86" t="str">
        <f>IFERROR(__xludf.DUMMYFUNCTION("""COMPUTED_VALUE"""),"Done")</f>
        <v>Done</v>
      </c>
      <c r="H65" s="88">
        <f>IFERROR(__xludf.DUMMYFUNCTION("""COMPUTED_VALUE"""),0.0)</f>
        <v>0</v>
      </c>
      <c r="I65" s="90" t="str">
        <f>IFERROR(__xludf.DUMMYFUNCTION("""COMPUTED_VALUE"""),"EMP0237 Swarnendu Chakraborty")</f>
        <v>EMP0237 Swarnendu Chakraborty</v>
      </c>
      <c r="J65" s="91"/>
    </row>
    <row r="66">
      <c r="B66" s="76" t="str">
        <f>IFERROR(__xludf.DUMMYFUNCTION("""COMPUTED_VALUE"""),"Discussion with Requester                                                                           ")</f>
        <v>Discussion with Requester                                                                           </v>
      </c>
      <c r="C66" s="82">
        <f>IFERROR(__xludf.DUMMYFUNCTION("""COMPUTED_VALUE"""),5024.0)</f>
        <v>5024</v>
      </c>
      <c r="D66" s="76" t="str">
        <f>IFERROR(__xludf.DUMMYFUNCTION("""COMPUTED_VALUE"""),"Multiple reports ")</f>
        <v>Multiple reports </v>
      </c>
      <c r="E66" s="84">
        <f>IFERROR(__xludf.DUMMYFUNCTION("""COMPUTED_VALUE"""),46106.80328605325)</f>
        <v>46106.80329</v>
      </c>
      <c r="F66" s="86">
        <f>IFERROR(__xludf.DUMMYFUNCTION("""COMPUTED_VALUE"""),46106.683892291665)</f>
        <v>46106.68389</v>
      </c>
      <c r="G66" s="86" t="str">
        <f>IFERROR(__xludf.DUMMYFUNCTION("""COMPUTED_VALUE"""),"Done")</f>
        <v>Done</v>
      </c>
      <c r="H66" s="88">
        <f>IFERROR(__xludf.DUMMYFUNCTION("""COMPUTED_VALUE"""),0.0)</f>
        <v>0</v>
      </c>
      <c r="I66" s="90" t="str">
        <f>IFERROR(__xludf.DUMMYFUNCTION("""COMPUTED_VALUE"""),"EMP0042 HULESHWAR KUMAR SAHU")</f>
        <v>EMP0042 HULESHWAR KUMAR SAHU</v>
      </c>
      <c r="J66" s="91"/>
    </row>
    <row r="67">
      <c r="B67" s="76" t="str">
        <f>IFERROR(__xludf.DUMMYFUNCTION("""COMPUTED_VALUE"""),"Discussion with Requester                                                                           ")</f>
        <v>Discussion with Requester                                                                           </v>
      </c>
      <c r="C67" s="82">
        <f>IFERROR(__xludf.DUMMYFUNCTION("""COMPUTED_VALUE"""),5025.0)</f>
        <v>5025</v>
      </c>
      <c r="D67" s="76" t="str">
        <f>IFERROR(__xludf.DUMMYFUNCTION("""COMPUTED_VALUE"""),"TR Format (Grading / Non-Grading) ")</f>
        <v>TR Format (Grading / Non-Grading) </v>
      </c>
      <c r="E67" s="84">
        <f>IFERROR(__xludf.DUMMYFUNCTION("""COMPUTED_VALUE"""),46107.46041666667)</f>
        <v>46107.46042</v>
      </c>
      <c r="F67" s="86">
        <f>IFERROR(__xludf.DUMMYFUNCTION("""COMPUTED_VALUE"""),46106.75603193288)</f>
        <v>46106.75603</v>
      </c>
      <c r="G67" s="86" t="str">
        <f>IFERROR(__xludf.DUMMYFUNCTION("""COMPUTED_VALUE"""),"Done")</f>
        <v>Done</v>
      </c>
      <c r="H67" s="88">
        <f>IFERROR(__xludf.DUMMYFUNCTION("""COMPUTED_VALUE"""),0.0)</f>
        <v>0</v>
      </c>
      <c r="I67" s="90" t="str">
        <f>IFERROR(__xludf.DUMMYFUNCTION("""COMPUTED_VALUE"""),"EMP5009 Rup Kumar Mandal")</f>
        <v>EMP5009 Rup Kumar Mandal</v>
      </c>
      <c r="J67" s="91"/>
    </row>
    <row r="68">
      <c r="B68" s="76" t="str">
        <f>IFERROR(__xludf.DUMMYFUNCTION("""COMPUTED_VALUE"""),"Discussion with Requester                                                                           ")</f>
        <v>Discussion with Requester                                                                           </v>
      </c>
      <c r="C68" s="82">
        <f>IFERROR(__xludf.DUMMYFUNCTION("""COMPUTED_VALUE"""),5026.0)</f>
        <v>5026</v>
      </c>
      <c r="D68" s="76" t="str">
        <f>IFERROR(__xludf.DUMMYFUNCTION("""COMPUTED_VALUE"""),"	Grade Card NEP (PG) ")</f>
        <v>	Grade Card NEP (PG) </v>
      </c>
      <c r="E68" s="84">
        <f>IFERROR(__xludf.DUMMYFUNCTION("""COMPUTED_VALUE"""),46107.46805555555)</f>
        <v>46107.46806</v>
      </c>
      <c r="F68" s="86">
        <f>IFERROR(__xludf.DUMMYFUNCTION("""COMPUTED_VALUE"""),46106.756050648146)</f>
        <v>46106.75605</v>
      </c>
      <c r="G68" s="86" t="str">
        <f>IFERROR(__xludf.DUMMYFUNCTION("""COMPUTED_VALUE"""),"Done")</f>
        <v>Done</v>
      </c>
      <c r="H68" s="88">
        <f>IFERROR(__xludf.DUMMYFUNCTION("""COMPUTED_VALUE"""),0.0)</f>
        <v>0</v>
      </c>
      <c r="I68" s="90" t="str">
        <f>IFERROR(__xludf.DUMMYFUNCTION("""COMPUTED_VALUE"""),"EMP5009 Rup Kumar Mandal")</f>
        <v>EMP5009 Rup Kumar Mandal</v>
      </c>
      <c r="J68" s="91"/>
    </row>
    <row r="69">
      <c r="B69" s="76" t="str">
        <f>IFERROR(__xludf.DUMMYFUNCTION("""COMPUTED_VALUE"""),"Discussion with Requester                                                                           ")</f>
        <v>Discussion with Requester                                                                           </v>
      </c>
      <c r="C69" s="82">
        <f>IFERROR(__xludf.DUMMYFUNCTION("""COMPUTED_VALUE"""),5027.0)</f>
        <v>5027</v>
      </c>
      <c r="D69" s="76" t="str">
        <f>IFERROR(__xludf.DUMMYFUNCTION("""COMPUTED_VALUE"""),"Result Recomendation")</f>
        <v>Result Recomendation</v>
      </c>
      <c r="E69" s="84">
        <f>IFERROR(__xludf.DUMMYFUNCTION("""COMPUTED_VALUE"""),46107.647857488424)</f>
        <v>46107.64786</v>
      </c>
      <c r="F69" s="86">
        <f>IFERROR(__xludf.DUMMYFUNCTION("""COMPUTED_VALUE"""),46107.48782067129)</f>
        <v>46107.48782</v>
      </c>
      <c r="G69" s="86" t="str">
        <f>IFERROR(__xludf.DUMMYFUNCTION("""COMPUTED_VALUE"""),"Done")</f>
        <v>Done</v>
      </c>
      <c r="H69" s="88">
        <f>IFERROR(__xludf.DUMMYFUNCTION("""COMPUTED_VALUE"""),0.0)</f>
        <v>0</v>
      </c>
      <c r="I69" s="90" t="str">
        <f>IFERROR(__xludf.DUMMYFUNCTION("""COMPUTED_VALUE"""),"EMP0042 HULESHWAR KUMAR SAHU")</f>
        <v>EMP0042 HULESHWAR KUMAR SAHU</v>
      </c>
      <c r="J69" s="91"/>
    </row>
    <row r="70">
      <c r="B70" s="76" t="str">
        <f>IFERROR(__xludf.DUMMYFUNCTION("""COMPUTED_VALUE"""),"Discussion with Requester                                                                           ")</f>
        <v>Discussion with Requester                                                                           </v>
      </c>
      <c r="C70" s="82">
        <f>IFERROR(__xludf.DUMMYFUNCTION("""COMPUTED_VALUE"""),5028.0)</f>
        <v>5028</v>
      </c>
      <c r="D70" s="76" t="str">
        <f>IFERROR(__xludf.DUMMYFUNCTION("""COMPUTED_VALUE"""),"ENROLLMENT REPORT")</f>
        <v>ENROLLMENT REPORT</v>
      </c>
      <c r="E70" s="84">
        <f>IFERROR(__xludf.DUMMYFUNCTION("""COMPUTED_VALUE"""),46107.67117934028)</f>
        <v>46107.67118</v>
      </c>
      <c r="F70" s="86">
        <f>IFERROR(__xludf.DUMMYFUNCTION("""COMPUTED_VALUE"""),46107.584030555554)</f>
        <v>46107.58403</v>
      </c>
      <c r="G70" s="86" t="str">
        <f>IFERROR(__xludf.DUMMYFUNCTION("""COMPUTED_VALUE"""),"Done")</f>
        <v>Done</v>
      </c>
      <c r="H70" s="88">
        <f>IFERROR(__xludf.DUMMYFUNCTION("""COMPUTED_VALUE"""),0.0)</f>
        <v>0</v>
      </c>
      <c r="I70" s="90" t="str">
        <f>IFERROR(__xludf.DUMMYFUNCTION("""COMPUTED_VALUE"""),"EMP5009 Rup Kumar Mandal")</f>
        <v>EMP5009 Rup Kumar Mandal</v>
      </c>
      <c r="J70" s="91"/>
    </row>
    <row r="71">
      <c r="B71" s="76" t="str">
        <f>IFERROR(__xludf.DUMMYFUNCTION("""COMPUTED_VALUE"""),"Discussion with Requester                                                                           ")</f>
        <v>Discussion with Requester                                                                           </v>
      </c>
      <c r="C71" s="82">
        <f>IFERROR(__xludf.DUMMYFUNCTION("""COMPUTED_VALUE"""),5029.0)</f>
        <v>5029</v>
      </c>
      <c r="D71" s="76" t="str">
        <f>IFERROR(__xludf.DUMMYFUNCTION("""COMPUTED_VALUE"""),"ENROLLMENT REPORT")</f>
        <v>ENROLLMENT REPORT</v>
      </c>
      <c r="E71" s="84">
        <f>IFERROR(__xludf.DUMMYFUNCTION("""COMPUTED_VALUE"""),46107.67592548611)</f>
        <v>46107.67593</v>
      </c>
      <c r="F71" s="86">
        <f>IFERROR(__xludf.DUMMYFUNCTION("""COMPUTED_VALUE"""),46107.58406960648)</f>
        <v>46107.58407</v>
      </c>
      <c r="G71" s="86" t="str">
        <f>IFERROR(__xludf.DUMMYFUNCTION("""COMPUTED_VALUE"""),"Done")</f>
        <v>Done</v>
      </c>
      <c r="H71" s="88">
        <f>IFERROR(__xludf.DUMMYFUNCTION("""COMPUTED_VALUE"""),0.0)</f>
        <v>0</v>
      </c>
      <c r="I71" s="90" t="str">
        <f>IFERROR(__xludf.DUMMYFUNCTION("""COMPUTED_VALUE"""),"EMP5009 Rup Kumar Mandal")</f>
        <v>EMP5009 Rup Kumar Mandal</v>
      </c>
      <c r="J71" s="91"/>
    </row>
    <row r="72">
      <c r="B72" s="76" t="str">
        <f>IFERROR(__xludf.DUMMYFUNCTION("""COMPUTED_VALUE"""),"Discussion with Requester                                                                           ")</f>
        <v>Discussion with Requester                                                                           </v>
      </c>
      <c r="C72" s="82">
        <f>IFERROR(__xludf.DUMMYFUNCTION("""COMPUTED_VALUE"""),5030.0)</f>
        <v>5030</v>
      </c>
      <c r="D72" s="76" t="str">
        <f>IFERROR(__xludf.DUMMYFUNCTION("""COMPUTED_VALUE"""),"The course name should be taken from the main header in all result reports.")</f>
        <v>The course name should be taken from the main header in all result reports.</v>
      </c>
      <c r="E72" s="84">
        <f>IFERROR(__xludf.DUMMYFUNCTION("""COMPUTED_VALUE"""),46107.69916892361)</f>
        <v>46107.69917</v>
      </c>
      <c r="F72" s="86">
        <f>IFERROR(__xludf.DUMMYFUNCTION("""COMPUTED_VALUE"""),46107.5840900463)</f>
        <v>46107.58409</v>
      </c>
      <c r="G72" s="86" t="str">
        <f>IFERROR(__xludf.DUMMYFUNCTION("""COMPUTED_VALUE"""),"Done")</f>
        <v>Done</v>
      </c>
      <c r="H72" s="88">
        <f>IFERROR(__xludf.DUMMYFUNCTION("""COMPUTED_VALUE"""),0.0)</f>
        <v>0</v>
      </c>
      <c r="I72" s="90" t="str">
        <f>IFERROR(__xludf.DUMMYFUNCTION("""COMPUTED_VALUE"""),"EMP0237 Swarnendu Chakraborty")</f>
        <v>EMP0237 Swarnendu Chakraborty</v>
      </c>
      <c r="J72" s="91"/>
    </row>
    <row r="73">
      <c r="B73" s="76" t="str">
        <f>IFERROR(__xludf.DUMMYFUNCTION("""COMPUTED_VALUE"""),"Discussion with Requester                                                                           ")</f>
        <v>Discussion with Requester                                                                           </v>
      </c>
      <c r="C73" s="82">
        <f>IFERROR(__xludf.DUMMYFUNCTION("""COMPUTED_VALUE"""),5031.0)</f>
        <v>5031</v>
      </c>
      <c r="D73" s="76" t="str">
        <f>IFERROR(__xludf.DUMMYFUNCTION("""COMPUTED_VALUE"""),"STUDENTS REGISTRATION COUNT")</f>
        <v>STUDENTS REGISTRATION COUNT</v>
      </c>
      <c r="E73" s="84">
        <f>IFERROR(__xludf.DUMMYFUNCTION("""COMPUTED_VALUE"""),46107.736473634264)</f>
        <v>46107.73647</v>
      </c>
      <c r="F73" s="86">
        <f>IFERROR(__xludf.DUMMYFUNCTION("""COMPUTED_VALUE"""),46107.58409418982)</f>
        <v>46107.58409</v>
      </c>
      <c r="G73" s="86" t="str">
        <f>IFERROR(__xludf.DUMMYFUNCTION("""COMPUTED_VALUE"""),"Done")</f>
        <v>Done</v>
      </c>
      <c r="H73" s="88">
        <f>IFERROR(__xludf.DUMMYFUNCTION("""COMPUTED_VALUE"""),0.0)</f>
        <v>0</v>
      </c>
      <c r="I73" s="90" t="str">
        <f>IFERROR(__xludf.DUMMYFUNCTION("""COMPUTED_VALUE"""),"EMP0237 Swarnendu Chakraborty")</f>
        <v>EMP0237 Swarnendu Chakraborty</v>
      </c>
      <c r="J73" s="91"/>
    </row>
    <row r="74">
      <c r="B74" s="76" t="str">
        <f>IFERROR(__xludf.DUMMYFUNCTION("""COMPUTED_VALUE"""),"Discussion with Requester                                                                           ")</f>
        <v>Discussion with Requester                                                                           </v>
      </c>
      <c r="C74" s="82">
        <f>IFERROR(__xludf.DUMMYFUNCTION("""COMPUTED_VALUE"""),5032.0)</f>
        <v>5032</v>
      </c>
      <c r="D74" s="76" t="str">
        <f>IFERROR(__xludf.DUMMYFUNCTION("""COMPUTED_VALUE"""),"TR")</f>
        <v>TR</v>
      </c>
      <c r="E74" s="84">
        <f>IFERROR(__xludf.DUMMYFUNCTION("""COMPUTED_VALUE"""),46108.701215196765)</f>
        <v>46108.70122</v>
      </c>
      <c r="F74" s="86">
        <f>IFERROR(__xludf.DUMMYFUNCTION("""COMPUTED_VALUE"""),46108.61588518519)</f>
        <v>46108.61589</v>
      </c>
      <c r="G74" s="86" t="str">
        <f>IFERROR(__xludf.DUMMYFUNCTION("""COMPUTED_VALUE"""),"Done")</f>
        <v>Done</v>
      </c>
      <c r="H74" s="88">
        <f>IFERROR(__xludf.DUMMYFUNCTION("""COMPUTED_VALUE"""),0.0)</f>
        <v>0</v>
      </c>
      <c r="I74" s="90" t="str">
        <f>IFERROR(__xludf.DUMMYFUNCTION("""COMPUTED_VALUE"""),"EMP0042 HULESHWAR KUMAR SAHU")</f>
        <v>EMP0042 HULESHWAR KUMAR SAHU</v>
      </c>
      <c r="J74" s="91"/>
    </row>
    <row r="75">
      <c r="B75" s="76" t="str">
        <f>IFERROR(__xludf.DUMMYFUNCTION("""COMPUTED_VALUE"""),"Discussion with Requester                                                                           ")</f>
        <v>Discussion with Requester                                                                           </v>
      </c>
      <c r="C75" s="82">
        <f>IFERROR(__xludf.DUMMYFUNCTION("""COMPUTED_VALUE"""),5033.0)</f>
        <v>5033</v>
      </c>
      <c r="D75" s="76" t="str">
        <f>IFERROR(__xludf.DUMMYFUNCTION("""COMPUTED_VALUE"""),"NEP TR ")</f>
        <v>NEP TR </v>
      </c>
      <c r="E75" s="84">
        <f>IFERROR(__xludf.DUMMYFUNCTION("""COMPUTED_VALUE"""),46109.42361111111)</f>
        <v>46109.42361</v>
      </c>
      <c r="F75" s="86">
        <f>IFERROR(__xludf.DUMMYFUNCTION("""COMPUTED_VALUE"""),46108.78315993056)</f>
        <v>46108.78316</v>
      </c>
      <c r="G75" s="86" t="str">
        <f>IFERROR(__xludf.DUMMYFUNCTION("""COMPUTED_VALUE"""),"Done")</f>
        <v>Done</v>
      </c>
      <c r="H75" s="88">
        <f>IFERROR(__xludf.DUMMYFUNCTION("""COMPUTED_VALUE"""),0.0)</f>
        <v>0</v>
      </c>
      <c r="I75" s="90" t="str">
        <f>IFERROR(__xludf.DUMMYFUNCTION("""COMPUTED_VALUE"""),"EMP0042 HULESHWAR KUMAR SAHU")</f>
        <v>EMP0042 HULESHWAR KUMAR SAHU</v>
      </c>
      <c r="J75" s="91"/>
    </row>
    <row r="76">
      <c r="B76" s="76" t="str">
        <f>IFERROR(__xludf.DUMMYFUNCTION("""COMPUTED_VALUE"""),"Discussion with Requester                                                                           ")</f>
        <v>Discussion with Requester                                                                           </v>
      </c>
      <c r="C76" s="82">
        <f>IFERROR(__xludf.DUMMYFUNCTION("""COMPUTED_VALUE"""),5034.0)</f>
        <v>5034</v>
      </c>
      <c r="D76" s="76" t="str">
        <f>IFERROR(__xludf.DUMMYFUNCTION("""COMPUTED_VALUE"""),"PRE PROCESS ERROR STEP-7")</f>
        <v>PRE PROCESS ERROR STEP-7</v>
      </c>
      <c r="E76" s="84">
        <f>IFERROR(__xludf.DUMMYFUNCTION("""COMPUTED_VALUE"""),46109.45486111111)</f>
        <v>46109.45486</v>
      </c>
      <c r="F76" s="86">
        <f>IFERROR(__xludf.DUMMYFUNCTION("""COMPUTED_VALUE"""),46108.78315993056)</f>
        <v>46108.78316</v>
      </c>
      <c r="G76" s="86" t="str">
        <f>IFERROR(__xludf.DUMMYFUNCTION("""COMPUTED_VALUE"""),"Done")</f>
        <v>Done</v>
      </c>
      <c r="H76" s="88">
        <f>IFERROR(__xludf.DUMMYFUNCTION("""COMPUTED_VALUE"""),0.0)</f>
        <v>0</v>
      </c>
      <c r="I76" s="90" t="str">
        <f>IFERROR(__xludf.DUMMYFUNCTION("""COMPUTED_VALUE"""),"EMP0237 Swarnendu Chakraborty")</f>
        <v>EMP0237 Swarnendu Chakraborty</v>
      </c>
      <c r="J76" s="91"/>
    </row>
    <row r="77">
      <c r="B77" s="76" t="str">
        <f>IFERROR(__xludf.DUMMYFUNCTION("""COMPUTED_VALUE"""),"Discussion with Requester                                                                           ")</f>
        <v>Discussion with Requester                                                                           </v>
      </c>
      <c r="C77" s="82">
        <f>IFERROR(__xludf.DUMMYFUNCTION("""COMPUTED_VALUE"""),5035.0)</f>
        <v>5035</v>
      </c>
      <c r="D77" s="76" t="str">
        <f>IFERROR(__xludf.DUMMYFUNCTION("""COMPUTED_VALUE"""),"NEP ENROLLMENT/REGISTRATION REPORT")</f>
        <v>NEP ENROLLMENT/REGISTRATION REPORT</v>
      </c>
      <c r="E77" s="84">
        <f>IFERROR(__xludf.DUMMYFUNCTION("""COMPUTED_VALUE"""),46109.64266848379)</f>
        <v>46109.64267</v>
      </c>
      <c r="F77" s="86">
        <f>IFERROR(__xludf.DUMMYFUNCTION("""COMPUTED_VALUE"""),46109.47861413194)</f>
        <v>46109.47861</v>
      </c>
      <c r="G77" s="86" t="str">
        <f>IFERROR(__xludf.DUMMYFUNCTION("""COMPUTED_VALUE"""),"Done")</f>
        <v>Done</v>
      </c>
      <c r="H77" s="88">
        <f>IFERROR(__xludf.DUMMYFUNCTION("""COMPUTED_VALUE"""),0.0)</f>
        <v>0</v>
      </c>
      <c r="I77" s="90" t="str">
        <f>IFERROR(__xludf.DUMMYFUNCTION("""COMPUTED_VALUE"""),"EMP0042 HULESHWAR KUMAR SAHU")</f>
        <v>EMP0042 HULESHWAR KUMAR SAHU</v>
      </c>
      <c r="J77" s="91"/>
    </row>
    <row r="78">
      <c r="B78" s="76" t="str">
        <f>IFERROR(__xludf.DUMMYFUNCTION("""COMPUTED_VALUE"""),"Discussion with Requester                                                                           ")</f>
        <v>Discussion with Requester                                                                           </v>
      </c>
      <c r="C78" s="82">
        <f>IFERROR(__xludf.DUMMYFUNCTION("""COMPUTED_VALUE"""),5036.0)</f>
        <v>5036</v>
      </c>
      <c r="D78" s="76" t="str">
        <f>IFERROR(__xludf.DUMMYFUNCTION("""COMPUTED_VALUE"""),"MUTIPLE REPORT")</f>
        <v>MUTIPLE REPORT</v>
      </c>
      <c r="E78" s="84">
        <f>IFERROR(__xludf.DUMMYFUNCTION("""COMPUTED_VALUE"""),46109.6676000463)</f>
        <v>46109.6676</v>
      </c>
      <c r="F78" s="86">
        <f>IFERROR(__xludf.DUMMYFUNCTION("""COMPUTED_VALUE"""),46109.53091915509)</f>
        <v>46109.53092</v>
      </c>
      <c r="G78" s="86" t="str">
        <f>IFERROR(__xludf.DUMMYFUNCTION("""COMPUTED_VALUE"""),"Done")</f>
        <v>Done</v>
      </c>
      <c r="H78" s="88">
        <f>IFERROR(__xludf.DUMMYFUNCTION("""COMPUTED_VALUE"""),0.0)</f>
        <v>0</v>
      </c>
      <c r="I78" s="90" t="str">
        <f>IFERROR(__xludf.DUMMYFUNCTION("""COMPUTED_VALUE"""),"EMP0042 HULESHWAR KUMAR SAHU")</f>
        <v>EMP0042 HULESHWAR KUMAR SAHU</v>
      </c>
      <c r="J78" s="91"/>
    </row>
    <row r="79">
      <c r="B79" s="76" t="str">
        <f>IFERROR(__xludf.DUMMYFUNCTION("""COMPUTED_VALUE"""),"Discussion with Requester                                                                           ")</f>
        <v>Discussion with Requester                                                                           </v>
      </c>
      <c r="C79" s="82">
        <f>IFERROR(__xludf.DUMMYFUNCTION("""COMPUTED_VALUE"""),5037.0)</f>
        <v>5037</v>
      </c>
      <c r="D79" s="76" t="str">
        <f>IFERROR(__xludf.DUMMYFUNCTION("""COMPUTED_VALUE"""),"NEP M.A political1ST SEM TR ")</f>
        <v>NEP M.A political1ST SEM TR </v>
      </c>
      <c r="E79" s="84">
        <f>IFERROR(__xludf.DUMMYFUNCTION("""COMPUTED_VALUE"""),46109.6868951736)</f>
        <v>46109.6869</v>
      </c>
      <c r="F79" s="86">
        <f>IFERROR(__xludf.DUMMYFUNCTION("""COMPUTED_VALUE"""),46109.53101314815)</f>
        <v>46109.53101</v>
      </c>
      <c r="G79" s="86" t="str">
        <f>IFERROR(__xludf.DUMMYFUNCTION("""COMPUTED_VALUE"""),"Done")</f>
        <v>Done</v>
      </c>
      <c r="H79" s="88">
        <f>IFERROR(__xludf.DUMMYFUNCTION("""COMPUTED_VALUE"""),0.0)</f>
        <v>0</v>
      </c>
      <c r="I79" s="90" t="str">
        <f>IFERROR(__xludf.DUMMYFUNCTION("""COMPUTED_VALUE"""),"EMP0042 HULESHWAR KUMAR SAHU")</f>
        <v>EMP0042 HULESHWAR KUMAR SAHU</v>
      </c>
      <c r="J79" s="91"/>
    </row>
    <row r="80">
      <c r="B80" s="76" t="str">
        <f>IFERROR(__xludf.DUMMYFUNCTION("""COMPUTED_VALUE"""),"Discussion with Requester                                                                           ")</f>
        <v>Discussion with Requester                                                                           </v>
      </c>
      <c r="C80" s="82">
        <f>IFERROR(__xludf.DUMMYFUNCTION("""COMPUTED_VALUE"""),5038.0)</f>
        <v>5038</v>
      </c>
      <c r="D80" s="76" t="str">
        <f>IFERROR(__xludf.DUMMYFUNCTION("""COMPUTED_VALUE"""),"NEP SCHEMA REPORT")</f>
        <v>NEP SCHEMA REPORT</v>
      </c>
      <c r="E80" s="84">
        <f>IFERROR(__xludf.DUMMYFUNCTION("""COMPUTED_VALUE"""),46109.70387319444)</f>
        <v>46109.70387</v>
      </c>
      <c r="F80" s="86">
        <f>IFERROR(__xludf.DUMMYFUNCTION("""COMPUTED_VALUE"""),46109.54083630787)</f>
        <v>46109.54084</v>
      </c>
      <c r="G80" s="86" t="str">
        <f>IFERROR(__xludf.DUMMYFUNCTION("""COMPUTED_VALUE"""),"Done")</f>
        <v>Done</v>
      </c>
      <c r="H80" s="88">
        <f>IFERROR(__xludf.DUMMYFUNCTION("""COMPUTED_VALUE"""),0.0)</f>
        <v>0</v>
      </c>
      <c r="I80" s="90" t="str">
        <f>IFERROR(__xludf.DUMMYFUNCTION("""COMPUTED_VALUE"""),"EMP0042 HULESHWAR KUMAR SAHU")</f>
        <v>EMP0042 HULESHWAR KUMAR SAHU</v>
      </c>
      <c r="J80" s="91"/>
    </row>
    <row r="81">
      <c r="B81" s="76" t="str">
        <f>IFERROR(__xludf.DUMMYFUNCTION("""COMPUTED_VALUE"""),"Discussion with Requester                                                                           ")</f>
        <v>Discussion with Requester                                                                           </v>
      </c>
      <c r="C81" s="82">
        <f>IFERROR(__xludf.DUMMYFUNCTION("""COMPUTED_VALUE"""),5039.0)</f>
        <v>5039</v>
      </c>
      <c r="D81" s="76" t="str">
        <f>IFERROR(__xludf.DUMMYFUNCTION("""COMPUTED_VALUE"""),"NEP TR REPORT")</f>
        <v>NEP TR REPORT</v>
      </c>
      <c r="E81" s="84">
        <f>IFERROR(__xludf.DUMMYFUNCTION("""COMPUTED_VALUE"""),46109.70880994212)</f>
        <v>46109.70881</v>
      </c>
      <c r="F81" s="86">
        <f>IFERROR(__xludf.DUMMYFUNCTION("""COMPUTED_VALUE"""),46109.621856550926)</f>
        <v>46109.62186</v>
      </c>
      <c r="G81" s="86" t="str">
        <f>IFERROR(__xludf.DUMMYFUNCTION("""COMPUTED_VALUE"""),"Done")</f>
        <v>Done</v>
      </c>
      <c r="H81" s="88">
        <f>IFERROR(__xludf.DUMMYFUNCTION("""COMPUTED_VALUE"""),0.0)</f>
        <v>0</v>
      </c>
      <c r="I81" s="90" t="str">
        <f>IFERROR(__xludf.DUMMYFUNCTION("""COMPUTED_VALUE"""),"EMP0042 HULESHWAR KUMAR SAHU")</f>
        <v>EMP0042 HULESHWAR KUMAR SAHU</v>
      </c>
      <c r="J81" s="91"/>
    </row>
    <row r="82">
      <c r="B82" s="76" t="str">
        <f>IFERROR(__xludf.DUMMYFUNCTION("""COMPUTED_VALUE"""),"Discussion with Requester                                                                           ")</f>
        <v>Discussion with Requester                                                                           </v>
      </c>
      <c r="C82" s="82">
        <f>IFERROR(__xludf.DUMMYFUNCTION("""COMPUTED_VALUE"""),5040.0)</f>
        <v>5040</v>
      </c>
      <c r="D82" s="76" t="str">
        <f>IFERROR(__xludf.DUMMYFUNCTION("""COMPUTED_VALUE"""),"Correction in Calculation MD Anatomy,3rd year")</f>
        <v>Correction in Calculation MD Anatomy,3rd year</v>
      </c>
      <c r="E82" s="84">
        <f>IFERROR(__xludf.DUMMYFUNCTION("""COMPUTED_VALUE"""),46111.50113456019)</f>
        <v>46111.50113</v>
      </c>
      <c r="F82" s="86">
        <f>IFERROR(__xludf.DUMMYFUNCTION("""COMPUTED_VALUE"""),46109.67627130787)</f>
        <v>46109.67627</v>
      </c>
      <c r="G82" s="86" t="str">
        <f>IFERROR(__xludf.DUMMYFUNCTION("""COMPUTED_VALUE"""),"Done")</f>
        <v>Done</v>
      </c>
      <c r="H82" s="88">
        <f>IFERROR(__xludf.DUMMYFUNCTION("""COMPUTED_VALUE"""),0.0)</f>
        <v>0</v>
      </c>
      <c r="I82" s="90" t="str">
        <f>IFERROR(__xludf.DUMMYFUNCTION("""COMPUTED_VALUE"""),"EMP0042 HULESHWAR KUMAR SAHU")</f>
        <v>EMP0042 HULESHWAR KUMAR SAHU</v>
      </c>
      <c r="J82" s="91"/>
    </row>
    <row r="83">
      <c r="B83" s="76" t="str">
        <f>IFERROR(__xludf.DUMMYFUNCTION("""COMPUTED_VALUE"""),"Discussion with Requester                                                                           ")</f>
        <v>Discussion with Requester                                                                           </v>
      </c>
      <c r="C83" s="82">
        <f>IFERROR(__xludf.DUMMYFUNCTION("""COMPUTED_VALUE"""),5041.0)</f>
        <v>5041</v>
      </c>
      <c r="D83" s="76" t="str">
        <f>IFERROR(__xludf.DUMMYFUNCTION("""COMPUTED_VALUE"""),"result commetee")</f>
        <v>result commetee</v>
      </c>
      <c r="E83" s="84">
        <f>IFERROR(__xludf.DUMMYFUNCTION("""COMPUTED_VALUE"""),46111.50183728009)</f>
        <v>46111.50184</v>
      </c>
      <c r="F83" s="86">
        <f>IFERROR(__xludf.DUMMYFUNCTION("""COMPUTED_VALUE"""),46109.67633550926)</f>
        <v>46109.67634</v>
      </c>
      <c r="G83" s="86" t="str">
        <f>IFERROR(__xludf.DUMMYFUNCTION("""COMPUTED_VALUE"""),"Done")</f>
        <v>Done</v>
      </c>
      <c r="H83" s="88">
        <f>IFERROR(__xludf.DUMMYFUNCTION("""COMPUTED_VALUE"""),0.0)</f>
        <v>0</v>
      </c>
      <c r="I83" s="90" t="str">
        <f>IFERROR(__xludf.DUMMYFUNCTION("""COMPUTED_VALUE"""),"EMP0042 HULESHWAR KUMAR SAHU")</f>
        <v>EMP0042 HULESHWAR KUMAR SAHU</v>
      </c>
      <c r="J83" s="91"/>
    </row>
    <row r="84">
      <c r="B84" s="76" t="str">
        <f>IFERROR(__xludf.DUMMYFUNCTION("""COMPUTED_VALUE"""),"Discussion with Requester                                                                           ")</f>
        <v>Discussion with Requester                                                                           </v>
      </c>
      <c r="C84" s="82">
        <f>IFERROR(__xludf.DUMMYFUNCTION("""COMPUTED_VALUE"""),5042.0)</f>
        <v>5042</v>
      </c>
      <c r="D84" s="76" t="str">
        <f>IFERROR(__xludf.DUMMYFUNCTION("""COMPUTED_VALUE"""),"Correction in Calculation MD Physiology ,3rd year")</f>
        <v>Correction in Calculation MD Physiology ,3rd year</v>
      </c>
      <c r="E84" s="84">
        <f>IFERROR(__xludf.DUMMYFUNCTION("""COMPUTED_VALUE"""),46111.50292107639)</f>
        <v>46111.50292</v>
      </c>
      <c r="F84" s="86">
        <f>IFERROR(__xludf.DUMMYFUNCTION("""COMPUTED_VALUE"""),46109.67652465278)</f>
        <v>46109.67652</v>
      </c>
      <c r="G84" s="86" t="str">
        <f>IFERROR(__xludf.DUMMYFUNCTION("""COMPUTED_VALUE"""),"Done")</f>
        <v>Done</v>
      </c>
      <c r="H84" s="88">
        <f>IFERROR(__xludf.DUMMYFUNCTION("""COMPUTED_VALUE"""),0.0)</f>
        <v>0</v>
      </c>
      <c r="I84" s="90" t="str">
        <f>IFERROR(__xludf.DUMMYFUNCTION("""COMPUTED_VALUE"""),"EMP0042 HULESHWAR KUMAR SAHU")</f>
        <v>EMP0042 HULESHWAR KUMAR SAHU</v>
      </c>
      <c r="J84" s="91"/>
    </row>
    <row r="85">
      <c r="B85" s="76" t="str">
        <f>IFERROR(__xludf.DUMMYFUNCTION("""COMPUTED_VALUE"""),"Discussion with Requester                                                                           ")</f>
        <v>Discussion with Requester                                                                           </v>
      </c>
      <c r="C85" s="82">
        <f>IFERROR(__xludf.DUMMYFUNCTION("""COMPUTED_VALUE"""),5043.0)</f>
        <v>5043</v>
      </c>
      <c r="D85" s="76" t="str">
        <f>IFERROR(__xludf.DUMMYFUNCTION("""COMPUTED_VALUE"""),"TR ")</f>
        <v>TR </v>
      </c>
      <c r="E85" s="84">
        <f>IFERROR(__xludf.DUMMYFUNCTION("""COMPUTED_VALUE"""),46111.506411064816)</f>
        <v>46111.50641</v>
      </c>
      <c r="F85" s="86">
        <f>IFERROR(__xludf.DUMMYFUNCTION("""COMPUTED_VALUE"""),46109.676617986115)</f>
        <v>46109.67662</v>
      </c>
      <c r="G85" s="86" t="str">
        <f>IFERROR(__xludf.DUMMYFUNCTION("""COMPUTED_VALUE"""),"Done")</f>
        <v>Done</v>
      </c>
      <c r="H85" s="88">
        <f>IFERROR(__xludf.DUMMYFUNCTION("""COMPUTED_VALUE"""),0.0)</f>
        <v>0</v>
      </c>
      <c r="I85" s="90" t="str">
        <f>IFERROR(__xludf.DUMMYFUNCTION("""COMPUTED_VALUE"""),"EMP0042 HULESHWAR KUMAR SAHU")</f>
        <v>EMP0042 HULESHWAR KUMAR SAHU</v>
      </c>
      <c r="J85" s="91"/>
    </row>
    <row r="86">
      <c r="B86" s="76" t="str">
        <f>IFERROR(__xludf.DUMMYFUNCTION("""COMPUTED_VALUE"""),"Discussion with Requester                                                                           ")</f>
        <v>Discussion with Requester                                                                           </v>
      </c>
      <c r="C86" s="82">
        <f>IFERROR(__xludf.DUMMYFUNCTION("""COMPUTED_VALUE"""),5044.0)</f>
        <v>5044</v>
      </c>
      <c r="D86" s="76" t="str">
        <f>IFERROR(__xludf.DUMMYFUNCTION("""COMPUTED_VALUE"""),"ENROLLMENT REPORT (EXAMFORM REPORT ALL)")</f>
        <v>ENROLLMENT REPORT (EXAMFORM REPORT ALL)</v>
      </c>
      <c r="E86" s="84">
        <f>IFERROR(__xludf.DUMMYFUNCTION("""COMPUTED_VALUE"""),46111.69021721065)</f>
        <v>46111.69022</v>
      </c>
      <c r="F86" s="86">
        <f>IFERROR(__xludf.DUMMYFUNCTION("""COMPUTED_VALUE"""),46111.54600171296)</f>
        <v>46111.546</v>
      </c>
      <c r="G86" s="86" t="str">
        <f>IFERROR(__xludf.DUMMYFUNCTION("""COMPUTED_VALUE"""),"Done")</f>
        <v>Done</v>
      </c>
      <c r="H86" s="88">
        <f>IFERROR(__xludf.DUMMYFUNCTION("""COMPUTED_VALUE"""),0.0)</f>
        <v>0</v>
      </c>
      <c r="I86" s="90" t="str">
        <f>IFERROR(__xludf.DUMMYFUNCTION("""COMPUTED_VALUE"""),"EMP0237 Swarnendu Chakraborty")</f>
        <v>EMP0237 Swarnendu Chakraborty</v>
      </c>
      <c r="J86" s="91"/>
    </row>
    <row r="87">
      <c r="B87" s="76" t="str">
        <f>IFERROR(__xludf.DUMMYFUNCTION("""COMPUTED_VALUE"""),"Discussion with Requester                                                                           ")</f>
        <v>Discussion with Requester                                                                           </v>
      </c>
      <c r="C87" s="82">
        <f>IFERROR(__xludf.DUMMYFUNCTION("""COMPUTED_VALUE"""),5045.0)</f>
        <v>5045</v>
      </c>
      <c r="D87" s="76" t="str">
        <f>IFERROR(__xludf.DUMMYFUNCTION("""COMPUTED_VALUE"""),"TR REPORT")</f>
        <v>TR REPORT</v>
      </c>
      <c r="E87" s="84">
        <f>IFERROR(__xludf.DUMMYFUNCTION("""COMPUTED_VALUE"""),46111.756499166666)</f>
        <v>46111.7565</v>
      </c>
      <c r="F87" s="86">
        <f>IFERROR(__xludf.DUMMYFUNCTION("""COMPUTED_VALUE"""),46111.656170636576)</f>
        <v>46111.65617</v>
      </c>
      <c r="G87" s="86" t="str">
        <f>IFERROR(__xludf.DUMMYFUNCTION("""COMPUTED_VALUE"""),"Done")</f>
        <v>Done</v>
      </c>
      <c r="H87" s="88">
        <f>IFERROR(__xludf.DUMMYFUNCTION("""COMPUTED_VALUE"""),0.0)</f>
        <v>0</v>
      </c>
      <c r="I87" s="90" t="str">
        <f>IFERROR(__xludf.DUMMYFUNCTION("""COMPUTED_VALUE"""),"EMP5009 Rup Kumar Mandal")</f>
        <v>EMP5009 Rup Kumar Mandal</v>
      </c>
      <c r="J87" s="91"/>
    </row>
    <row r="88">
      <c r="B88" s="76" t="str">
        <f>IFERROR(__xludf.DUMMYFUNCTION("""COMPUTED_VALUE"""),"Discussion with Requester                                                                           ")</f>
        <v>Discussion with Requester                                                                           </v>
      </c>
      <c r="C88" s="82">
        <f>IFERROR(__xludf.DUMMYFUNCTION("""COMPUTED_VALUE"""),5046.0)</f>
        <v>5046</v>
      </c>
      <c r="D88" s="76" t="str">
        <f>IFERROR(__xludf.DUMMYFUNCTION("""COMPUTED_VALUE"""),"3629")</f>
        <v>3629</v>
      </c>
      <c r="E88" s="84">
        <f>IFERROR(__xludf.DUMMYFUNCTION("""COMPUTED_VALUE"""),46111.806225555556)</f>
        <v>46111.80623</v>
      </c>
      <c r="F88" s="86">
        <f>IFERROR(__xludf.DUMMYFUNCTION("""COMPUTED_VALUE"""),46111.65617724537)</f>
        <v>46111.65618</v>
      </c>
      <c r="G88" s="86" t="str">
        <f>IFERROR(__xludf.DUMMYFUNCTION("""COMPUTED_VALUE"""),"Done")</f>
        <v>Done</v>
      </c>
      <c r="H88" s="88">
        <f>IFERROR(__xludf.DUMMYFUNCTION("""COMPUTED_VALUE"""),0.0)</f>
        <v>0</v>
      </c>
      <c r="I88" s="90" t="str">
        <f>IFERROR(__xludf.DUMMYFUNCTION("""COMPUTED_VALUE"""),"EMP5009 Rup Kumar Mandal")</f>
        <v>EMP5009 Rup Kumar Mandal</v>
      </c>
      <c r="J88" s="91"/>
    </row>
    <row r="89">
      <c r="B89" s="76" t="str">
        <f>IFERROR(__xludf.DUMMYFUNCTION("""COMPUTED_VALUE"""),"Discussion with Requester                                                                           ")</f>
        <v>Discussion with Requester                                                                           </v>
      </c>
      <c r="C89" s="82">
        <f>IFERROR(__xludf.DUMMYFUNCTION("""COMPUTED_VALUE"""),5047.0)</f>
        <v>5047</v>
      </c>
      <c r="D89" s="76" t="str">
        <f>IFERROR(__xludf.DUMMYFUNCTION("""COMPUTED_VALUE"""),"3630")</f>
        <v>3630</v>
      </c>
      <c r="E89" s="84">
        <f>IFERROR(__xludf.DUMMYFUNCTION("""COMPUTED_VALUE"""),46111.80738493055)</f>
        <v>46111.80738</v>
      </c>
      <c r="F89" s="86">
        <f>IFERROR(__xludf.DUMMYFUNCTION("""COMPUTED_VALUE"""),46111.65618880787)</f>
        <v>46111.65619</v>
      </c>
      <c r="G89" s="86" t="str">
        <f>IFERROR(__xludf.DUMMYFUNCTION("""COMPUTED_VALUE"""),"Done")</f>
        <v>Done</v>
      </c>
      <c r="H89" s="88">
        <f>IFERROR(__xludf.DUMMYFUNCTION("""COMPUTED_VALUE"""),0.0)</f>
        <v>0</v>
      </c>
      <c r="I89" s="90" t="str">
        <f>IFERROR(__xludf.DUMMYFUNCTION("""COMPUTED_VALUE"""),"EMP5009 Rup Kumar Mandal")</f>
        <v>EMP5009 Rup Kumar Mandal</v>
      </c>
      <c r="J89" s="91"/>
    </row>
    <row r="90">
      <c r="B90" s="76" t="str">
        <f>IFERROR(__xludf.DUMMYFUNCTION("""COMPUTED_VALUE"""),"Discussion with Requester                                                                           ")</f>
        <v>Discussion with Requester                                                                           </v>
      </c>
      <c r="C90" s="82">
        <f>IFERROR(__xludf.DUMMYFUNCTION("""COMPUTED_VALUE"""),5048.0)</f>
        <v>5048</v>
      </c>
      <c r="D90" s="76" t="str">
        <f>IFERROR(__xludf.DUMMYFUNCTION("""COMPUTED_VALUE"""),"3629")</f>
        <v>3629</v>
      </c>
      <c r="E90" s="84">
        <f>IFERROR(__xludf.DUMMYFUNCTION("""COMPUTED_VALUE"""),46111.80812625)</f>
        <v>46111.80813</v>
      </c>
      <c r="F90" s="86">
        <f>IFERROR(__xludf.DUMMYFUNCTION("""COMPUTED_VALUE"""),46111.65618880787)</f>
        <v>46111.65619</v>
      </c>
      <c r="G90" s="86" t="str">
        <f>IFERROR(__xludf.DUMMYFUNCTION("""COMPUTED_VALUE"""),"Done")</f>
        <v>Done</v>
      </c>
      <c r="H90" s="88">
        <f>IFERROR(__xludf.DUMMYFUNCTION("""COMPUTED_VALUE"""),0.0)</f>
        <v>0</v>
      </c>
      <c r="I90" s="90" t="str">
        <f>IFERROR(__xludf.DUMMYFUNCTION("""COMPUTED_VALUE"""),"EMP5009 Rup Kumar Mandal")</f>
        <v>EMP5009 Rup Kumar Mandal</v>
      </c>
      <c r="J90" s="91"/>
    </row>
    <row r="91">
      <c r="B91" s="76" t="str">
        <f>IFERROR(__xludf.DUMMYFUNCTION("""COMPUTED_VALUE"""),"Discussion with Requester                                                                           ")</f>
        <v>Discussion with Requester                                                                           </v>
      </c>
      <c r="C91" s="82">
        <f>IFERROR(__xludf.DUMMYFUNCTION("""COMPUTED_VALUE"""),5049.0)</f>
        <v>5049</v>
      </c>
      <c r="D91" s="76" t="str">
        <f>IFERROR(__xludf.DUMMYFUNCTION("""COMPUTED_VALUE"""),"3630")</f>
        <v>3630</v>
      </c>
      <c r="E91" s="84">
        <f>IFERROR(__xludf.DUMMYFUNCTION("""COMPUTED_VALUE"""),46111.80935456018)</f>
        <v>46111.80935</v>
      </c>
      <c r="F91" s="86">
        <f>IFERROR(__xludf.DUMMYFUNCTION("""COMPUTED_VALUE"""),46111.65616625)</f>
        <v>46111.65617</v>
      </c>
      <c r="G91" s="86" t="str">
        <f>IFERROR(__xludf.DUMMYFUNCTION("""COMPUTED_VALUE"""),"Done")</f>
        <v>Done</v>
      </c>
      <c r="H91" s="88">
        <f>IFERROR(__xludf.DUMMYFUNCTION("""COMPUTED_VALUE"""),0.0)</f>
        <v>0</v>
      </c>
      <c r="I91" s="90" t="str">
        <f>IFERROR(__xludf.DUMMYFUNCTION("""COMPUTED_VALUE"""),"EMP5009 Rup Kumar Mandal")</f>
        <v>EMP5009 Rup Kumar Mandal</v>
      </c>
      <c r="J91" s="91"/>
    </row>
    <row r="92">
      <c r="B92" s="76" t="str">
        <f>IFERROR(__xludf.DUMMYFUNCTION("""COMPUTED_VALUE"""),"Discussion with Requester                                                                           ")</f>
        <v>Discussion with Requester                                                                           </v>
      </c>
      <c r="C92" s="82">
        <f>IFERROR(__xludf.DUMMYFUNCTION("""COMPUTED_VALUE"""),5050.0)</f>
        <v>5050</v>
      </c>
      <c r="D92" s="76" t="str">
        <f>IFERROR(__xludf.DUMMYFUNCTION("""COMPUTED_VALUE"""),"TR")</f>
        <v>TR</v>
      </c>
      <c r="E92" s="84">
        <f>IFERROR(__xludf.DUMMYFUNCTION("""COMPUTED_VALUE"""),46112.46805555555)</f>
        <v>46112.46806</v>
      </c>
      <c r="F92" s="86">
        <f>IFERROR(__xludf.DUMMYFUNCTION("""COMPUTED_VALUE"""),46111.72278486111)</f>
        <v>46111.72278</v>
      </c>
      <c r="G92" s="86" t="str">
        <f>IFERROR(__xludf.DUMMYFUNCTION("""COMPUTED_VALUE"""),"Done")</f>
        <v>Done</v>
      </c>
      <c r="H92" s="88">
        <f>IFERROR(__xludf.DUMMYFUNCTION("""COMPUTED_VALUE"""),0.0)</f>
        <v>0</v>
      </c>
      <c r="I92" s="90" t="str">
        <f>IFERROR(__xludf.DUMMYFUNCTION("""COMPUTED_VALUE"""),"EMP0042 HULESHWAR KUMAR SAHU")</f>
        <v>EMP0042 HULESHWAR KUMAR SAHU</v>
      </c>
      <c r="J92" s="91"/>
    </row>
    <row r="93">
      <c r="B93" s="76" t="str">
        <f>IFERROR(__xludf.DUMMYFUNCTION("""COMPUTED_VALUE"""),"Discussion with Requester                                                                           ")</f>
        <v>Discussion with Requester                                                                           </v>
      </c>
      <c r="C93" s="82">
        <f>IFERROR(__xludf.DUMMYFUNCTION("""COMPUTED_VALUE"""),5051.0)</f>
        <v>5051</v>
      </c>
      <c r="D93" s="76" t="str">
        <f>IFERROR(__xludf.DUMMYFUNCTION("""COMPUTED_VALUE"""),"Teacher entered  marks entry  [Theory Marks Entry (Teacher)]")</f>
        <v>Teacher entered  marks entry  [Theory Marks Entry (Teacher)]</v>
      </c>
      <c r="E93" s="84">
        <f>IFERROR(__xludf.DUMMYFUNCTION("""COMPUTED_VALUE"""),46112.65262689815)</f>
        <v>46112.65263</v>
      </c>
      <c r="F93" s="86">
        <f>IFERROR(__xludf.DUMMYFUNCTION("""COMPUTED_VALUE"""),46112.48974938658)</f>
        <v>46112.48975</v>
      </c>
      <c r="G93" s="86" t="str">
        <f>IFERROR(__xludf.DUMMYFUNCTION("""COMPUTED_VALUE"""),"Done")</f>
        <v>Done</v>
      </c>
      <c r="H93" s="88">
        <f>IFERROR(__xludf.DUMMYFUNCTION("""COMPUTED_VALUE"""),0.0)</f>
        <v>0</v>
      </c>
      <c r="I93" s="90" t="str">
        <f>IFERROR(__xludf.DUMMYFUNCTION("""COMPUTED_VALUE"""),"EMP5009 Rup Kumar Mandal")</f>
        <v>EMP5009 Rup Kumar Mandal</v>
      </c>
      <c r="J93" s="91"/>
    </row>
    <row r="94">
      <c r="B94" s="76" t="str">
        <f>IFERROR(__xludf.DUMMYFUNCTION("""COMPUTED_VALUE"""),"Discussion with Requester                                                                           ")</f>
        <v>Discussion with Requester                                                                           </v>
      </c>
      <c r="C94" s="82">
        <f>IFERROR(__xludf.DUMMYFUNCTION("""COMPUTED_VALUE"""),5052.0)</f>
        <v>5052</v>
      </c>
      <c r="D94" s="76" t="str">
        <f>IFERROR(__xludf.DUMMYFUNCTION("""COMPUTED_VALUE"""),"Marks entry report [theory marks entry]")</f>
        <v>Marks entry report [theory marks entry]</v>
      </c>
      <c r="E94" s="84">
        <f>IFERROR(__xludf.DUMMYFUNCTION("""COMPUTED_VALUE"""),46112.65520863426)</f>
        <v>46112.65521</v>
      </c>
      <c r="F94" s="86">
        <f>IFERROR(__xludf.DUMMYFUNCTION("""COMPUTED_VALUE"""),46112.48976511574)</f>
        <v>46112.48977</v>
      </c>
      <c r="G94" s="86" t="str">
        <f>IFERROR(__xludf.DUMMYFUNCTION("""COMPUTED_VALUE"""),"Done")</f>
        <v>Done</v>
      </c>
      <c r="H94" s="88">
        <f>IFERROR(__xludf.DUMMYFUNCTION("""COMPUTED_VALUE"""),0.0)</f>
        <v>0</v>
      </c>
      <c r="I94" s="90" t="str">
        <f>IFERROR(__xludf.DUMMYFUNCTION("""COMPUTED_VALUE"""),"EMP5009 Rup Kumar Mandal")</f>
        <v>EMP5009 Rup Kumar Mandal</v>
      </c>
      <c r="J94" s="91"/>
    </row>
    <row r="95">
      <c r="B95" s="76" t="str">
        <f>IFERROR(__xludf.DUMMYFUNCTION("""COMPUTED_VALUE"""),"Discussion with Requester                                                                           ")</f>
        <v>Discussion with Requester                                                                           </v>
      </c>
      <c r="C95" s="82">
        <f>IFERROR(__xludf.DUMMYFUNCTION("""COMPUTED_VALUE"""),5053.0)</f>
        <v>5053</v>
      </c>
      <c r="D95" s="76" t="str">
        <f>IFERROR(__xludf.DUMMYFUNCTION("""COMPUTED_VALUE"""),"TR_phd_NEW_FORMAT")</f>
        <v>TR_phd_NEW_FORMAT</v>
      </c>
      <c r="E95" s="84">
        <f>IFERROR(__xludf.DUMMYFUNCTION("""COMPUTED_VALUE"""),46113.63673456018)</f>
        <v>46113.63673</v>
      </c>
      <c r="F95" s="86">
        <f>IFERROR(__xludf.DUMMYFUNCTION("""COMPUTED_VALUE"""),46113.475449895835)</f>
        <v>46113.47545</v>
      </c>
      <c r="G95" s="86" t="str">
        <f>IFERROR(__xludf.DUMMYFUNCTION("""COMPUTED_VALUE"""),"Done")</f>
        <v>Done</v>
      </c>
      <c r="H95" s="88">
        <f>IFERROR(__xludf.DUMMYFUNCTION("""COMPUTED_VALUE"""),0.0)</f>
        <v>0</v>
      </c>
      <c r="I95" s="90" t="str">
        <f>IFERROR(__xludf.DUMMYFUNCTION("""COMPUTED_VALUE"""),"EMP0042 HULESHWAR KUMAR SAHU")</f>
        <v>EMP0042 HULESHWAR KUMAR SAHU</v>
      </c>
      <c r="J95" s="91"/>
    </row>
    <row r="96">
      <c r="B96" s="76" t="str">
        <f>IFERROR(__xludf.DUMMYFUNCTION("""COMPUTED_VALUE"""),"Discussion with Requester                                                                           ")</f>
        <v>Discussion with Requester                                                                           </v>
      </c>
      <c r="C96" s="82">
        <f>IFERROR(__xludf.DUMMYFUNCTION("""COMPUTED_VALUE"""),5054.0)</f>
        <v>5054</v>
      </c>
      <c r="D96" s="76" t="str">
        <f>IFERROR(__xludf.DUMMYFUNCTION("""COMPUTED_VALUE"""),"TR ")</f>
        <v>TR </v>
      </c>
      <c r="E96" s="84">
        <f>IFERROR(__xludf.DUMMYFUNCTION("""COMPUTED_VALUE"""),46113.68059730324)</f>
        <v>46113.6806</v>
      </c>
      <c r="F96" s="86">
        <f>IFERROR(__xludf.DUMMYFUNCTION("""COMPUTED_VALUE"""),46113.51529559028)</f>
        <v>46113.5153</v>
      </c>
      <c r="G96" s="86" t="str">
        <f>IFERROR(__xludf.DUMMYFUNCTION("""COMPUTED_VALUE"""),"Done")</f>
        <v>Done</v>
      </c>
      <c r="H96" s="88">
        <f>IFERROR(__xludf.DUMMYFUNCTION("""COMPUTED_VALUE"""),0.0)</f>
        <v>0</v>
      </c>
      <c r="I96" s="90" t="str">
        <f>IFERROR(__xludf.DUMMYFUNCTION("""COMPUTED_VALUE"""),"EMP0042 HULESHWAR KUMAR SAHU")</f>
        <v>EMP0042 HULESHWAR KUMAR SAHU</v>
      </c>
      <c r="J96" s="91"/>
    </row>
    <row r="97">
      <c r="B97" s="76" t="str">
        <f>IFERROR(__xludf.DUMMYFUNCTION("""COMPUTED_VALUE"""),"Discussion with Requester                                                                           ")</f>
        <v>Discussion with Requester                                                                           </v>
      </c>
      <c r="C97" s="82">
        <f>IFERROR(__xludf.DUMMYFUNCTION("""COMPUTED_VALUE"""),5055.0)</f>
        <v>5055</v>
      </c>
      <c r="D97" s="76" t="str">
        <f>IFERROR(__xludf.DUMMYFUNCTION("""COMPUTED_VALUE"""),"TR ")</f>
        <v>TR </v>
      </c>
      <c r="E97" s="84">
        <f>IFERROR(__xludf.DUMMYFUNCTION("""COMPUTED_VALUE"""),46113.69005696759)</f>
        <v>46113.69006</v>
      </c>
      <c r="F97" s="86">
        <f>IFERROR(__xludf.DUMMYFUNCTION("""COMPUTED_VALUE"""),46113.54996231481)</f>
        <v>46113.54996</v>
      </c>
      <c r="G97" s="86" t="str">
        <f>IFERROR(__xludf.DUMMYFUNCTION("""COMPUTED_VALUE"""),"Done")</f>
        <v>Done</v>
      </c>
      <c r="H97" s="88">
        <f>IFERROR(__xludf.DUMMYFUNCTION("""COMPUTED_VALUE"""),0.0)</f>
        <v>0</v>
      </c>
      <c r="I97" s="90" t="str">
        <f>IFERROR(__xludf.DUMMYFUNCTION("""COMPUTED_VALUE"""),"EMP0042 HULESHWAR KUMAR SAHU")</f>
        <v>EMP0042 HULESHWAR KUMAR SAHU</v>
      </c>
      <c r="J97" s="91"/>
    </row>
    <row r="98">
      <c r="B98" s="76" t="str">
        <f>IFERROR(__xludf.DUMMYFUNCTION("""COMPUTED_VALUE"""),"Discussion with Requester                                                                           ")</f>
        <v>Discussion with Requester                                                                           </v>
      </c>
      <c r="C98" s="82">
        <f>IFERROR(__xludf.DUMMYFUNCTION("""COMPUTED_VALUE"""),5056.0)</f>
        <v>5056</v>
      </c>
      <c r="D98" s="76" t="str">
        <f>IFERROR(__xludf.DUMMYFUNCTION("""COMPUTED_VALUE"""),"Provisional Certificate Sign change ")</f>
        <v>Provisional Certificate Sign change </v>
      </c>
      <c r="E98" s="84">
        <f>IFERROR(__xludf.DUMMYFUNCTION("""COMPUTED_VALUE"""),46113.698944432865)</f>
        <v>46113.69894</v>
      </c>
      <c r="F98" s="86">
        <f>IFERROR(__xludf.DUMMYFUNCTION("""COMPUTED_VALUE"""),46113.549177719906)</f>
        <v>46113.54918</v>
      </c>
      <c r="G98" s="86" t="str">
        <f>IFERROR(__xludf.DUMMYFUNCTION("""COMPUTED_VALUE"""),"Done")</f>
        <v>Done</v>
      </c>
      <c r="H98" s="88">
        <f>IFERROR(__xludf.DUMMYFUNCTION("""COMPUTED_VALUE"""),0.0)</f>
        <v>0</v>
      </c>
      <c r="I98" s="90" t="str">
        <f>IFERROR(__xludf.DUMMYFUNCTION("""COMPUTED_VALUE"""),"EMP0042 HULESHWAR KUMAR SAHU")</f>
        <v>EMP0042 HULESHWAR KUMAR SAHU</v>
      </c>
      <c r="J98" s="91"/>
    </row>
    <row r="99">
      <c r="B99" s="76" t="str">
        <f>IFERROR(__xludf.DUMMYFUNCTION("""COMPUTED_VALUE"""),"Discussion with Requester                                                                           ")</f>
        <v>Discussion with Requester                                                                           </v>
      </c>
      <c r="C99" s="82">
        <f>IFERROR(__xludf.DUMMYFUNCTION("""COMPUTED_VALUE"""),5057.0)</f>
        <v>5057</v>
      </c>
      <c r="D99" s="76" t="str">
        <f>IFERROR(__xludf.DUMMYFUNCTION("""COMPUTED_VALUE"""),"Marksheet MBBS New Format")</f>
        <v>Marksheet MBBS New Format</v>
      </c>
      <c r="E99" s="84">
        <f>IFERROR(__xludf.DUMMYFUNCTION("""COMPUTED_VALUE"""),46113.70049899306)</f>
        <v>46113.7005</v>
      </c>
      <c r="F99" s="86">
        <f>IFERROR(__xludf.DUMMYFUNCTION("""COMPUTED_VALUE"""),46113.54930370371)</f>
        <v>46113.5493</v>
      </c>
      <c r="G99" s="86" t="str">
        <f>IFERROR(__xludf.DUMMYFUNCTION("""COMPUTED_VALUE"""),"Done")</f>
        <v>Done</v>
      </c>
      <c r="H99" s="88">
        <f>IFERROR(__xludf.DUMMYFUNCTION("""COMPUTED_VALUE"""),0.0)</f>
        <v>0</v>
      </c>
      <c r="I99" s="90" t="str">
        <f>IFERROR(__xludf.DUMMYFUNCTION("""COMPUTED_VALUE"""),"EMP0042 HULESHWAR KUMAR SAHU")</f>
        <v>EMP0042 HULESHWAR KUMAR SAHU</v>
      </c>
      <c r="J99" s="91"/>
    </row>
    <row r="100">
      <c r="B100" s="76" t="str">
        <f>IFERROR(__xludf.DUMMYFUNCTION("""COMPUTED_VALUE"""),"Discussion with Requester                                                                           ")</f>
        <v>Discussion with Requester                                                                           </v>
      </c>
      <c r="C100" s="82">
        <f>IFERROR(__xludf.DUMMYFUNCTION("""COMPUTED_VALUE"""),5058.0)</f>
        <v>5058</v>
      </c>
      <c r="D100" s="76" t="str">
        <f>IFERROR(__xludf.DUMMYFUNCTION("""COMPUTED_VALUE"""),"TR_phd_NEW_FORMAT")</f>
        <v>TR_phd_NEW_FORMAT</v>
      </c>
      <c r="E100" s="84">
        <f>IFERROR(__xludf.DUMMYFUNCTION("""COMPUTED_VALUE"""),46113.70140194444)</f>
        <v>46113.7014</v>
      </c>
      <c r="F100" s="86">
        <f>IFERROR(__xludf.DUMMYFUNCTION("""COMPUTED_VALUE"""),46113.54943253472)</f>
        <v>46113.54943</v>
      </c>
      <c r="G100" s="86" t="str">
        <f>IFERROR(__xludf.DUMMYFUNCTION("""COMPUTED_VALUE"""),"Done")</f>
        <v>Done</v>
      </c>
      <c r="H100" s="88">
        <f>IFERROR(__xludf.DUMMYFUNCTION("""COMPUTED_VALUE"""),0.0)</f>
        <v>0</v>
      </c>
      <c r="I100" s="90" t="str">
        <f>IFERROR(__xludf.DUMMYFUNCTION("""COMPUTED_VALUE"""),"EMP0021 Tamanna Dewangan")</f>
        <v>EMP0021 Tamanna Dewangan</v>
      </c>
      <c r="J100" s="91"/>
    </row>
    <row r="101">
      <c r="B101" s="76" t="str">
        <f>IFERROR(__xludf.DUMMYFUNCTION("""COMPUTED_VALUE"""),"Discussion with Requester                                                                           ")</f>
        <v>Discussion with Requester                                                                           </v>
      </c>
      <c r="C101" s="82">
        <f>IFERROR(__xludf.DUMMYFUNCTION("""COMPUTED_VALUE"""),5059.0)</f>
        <v>5059</v>
      </c>
      <c r="D101" s="76" t="str">
        <f>IFERROR(__xludf.DUMMYFUNCTION("""COMPUTED_VALUE"""),"TR REPORT")</f>
        <v>TR REPORT</v>
      </c>
      <c r="E101" s="84">
        <f>IFERROR(__xludf.DUMMYFUNCTION("""COMPUTED_VALUE"""),46114.44305555556)</f>
        <v>46114.44306</v>
      </c>
      <c r="F101" s="86">
        <f>IFERROR(__xludf.DUMMYFUNCTION("""COMPUTED_VALUE"""),46113.78315429398)</f>
        <v>46113.78315</v>
      </c>
      <c r="G101" s="86" t="str">
        <f>IFERROR(__xludf.DUMMYFUNCTION("""COMPUTED_VALUE"""),"Done")</f>
        <v>Done</v>
      </c>
      <c r="H101" s="88">
        <f>IFERROR(__xludf.DUMMYFUNCTION("""COMPUTED_VALUE"""),0.0)</f>
        <v>0</v>
      </c>
      <c r="I101" s="90" t="str">
        <f>IFERROR(__xludf.DUMMYFUNCTION("""COMPUTED_VALUE"""),"EMP5009 Rup Kumar Mandal")</f>
        <v>EMP5009 Rup Kumar Mandal</v>
      </c>
      <c r="J101" s="91"/>
    </row>
    <row r="102">
      <c r="B102" s="76" t="str">
        <f>IFERROR(__xludf.DUMMYFUNCTION("""COMPUTED_VALUE"""),"Discussion with Requester                                                                           ")</f>
        <v>Discussion with Requester                                                                           </v>
      </c>
      <c r="C102" s="82">
        <f>IFERROR(__xludf.DUMMYFUNCTION("""COMPUTED_VALUE"""),5060.0)</f>
        <v>5060</v>
      </c>
      <c r="D102" s="76" t="str">
        <f>IFERROR(__xludf.DUMMYFUNCTION("""COMPUTED_VALUE"""),"RESULT DATA FORMATE")</f>
        <v>RESULT DATA FORMATE</v>
      </c>
      <c r="E102" s="84">
        <f>IFERROR(__xludf.DUMMYFUNCTION("""COMPUTED_VALUE"""),46114.445138888885)</f>
        <v>46114.44514</v>
      </c>
      <c r="F102" s="86">
        <f>IFERROR(__xludf.DUMMYFUNCTION("""COMPUTED_VALUE"""),46113.78315429398)</f>
        <v>46113.78315</v>
      </c>
      <c r="G102" s="86" t="str">
        <f>IFERROR(__xludf.DUMMYFUNCTION("""COMPUTED_VALUE"""),"Done")</f>
        <v>Done</v>
      </c>
      <c r="H102" s="88">
        <f>IFERROR(__xludf.DUMMYFUNCTION("""COMPUTED_VALUE"""),0.0)</f>
        <v>0</v>
      </c>
      <c r="I102" s="90" t="str">
        <f>IFERROR(__xludf.DUMMYFUNCTION("""COMPUTED_VALUE"""),"EMP5009 Rup Kumar Mandal")</f>
        <v>EMP5009 Rup Kumar Mandal</v>
      </c>
      <c r="J102" s="91"/>
    </row>
    <row r="103">
      <c r="B103" s="76" t="str">
        <f>IFERROR(__xludf.DUMMYFUNCTION("""COMPUTED_VALUE"""),"Discussion with Requester                                                                           ")</f>
        <v>Discussion with Requester                                                                           </v>
      </c>
      <c r="C103" s="82">
        <f>IFERROR(__xludf.DUMMYFUNCTION("""COMPUTED_VALUE"""),5061.0)</f>
        <v>5061</v>
      </c>
      <c r="D103" s="76" t="str">
        <f>IFERROR(__xludf.DUMMYFUNCTION("""COMPUTED_VALUE"""),"College filter change to all")</f>
        <v>College filter change to all</v>
      </c>
      <c r="E103" s="84">
        <f>IFERROR(__xludf.DUMMYFUNCTION("""COMPUTED_VALUE"""),46114.47083333333)</f>
        <v>46114.47083</v>
      </c>
      <c r="F103" s="86">
        <f>IFERROR(__xludf.DUMMYFUNCTION("""COMPUTED_VALUE"""),46113.78315429398)</f>
        <v>46113.78315</v>
      </c>
      <c r="G103" s="86" t="str">
        <f>IFERROR(__xludf.DUMMYFUNCTION("""COMPUTED_VALUE"""),"Done")</f>
        <v>Done</v>
      </c>
      <c r="H103" s="88">
        <f>IFERROR(__xludf.DUMMYFUNCTION("""COMPUTED_VALUE"""),0.0)</f>
        <v>0</v>
      </c>
      <c r="I103" s="90" t="str">
        <f>IFERROR(__xludf.DUMMYFUNCTION("""COMPUTED_VALUE"""),"EMP0021 Tamanna Dewangan")</f>
        <v>EMP0021 Tamanna Dewangan</v>
      </c>
      <c r="J103" s="91"/>
    </row>
    <row r="104">
      <c r="B104" s="76" t="str">
        <f>IFERROR(__xludf.DUMMYFUNCTION("""COMPUTED_VALUE"""),"Discussion with Requester                                                                           ")</f>
        <v>Discussion with Requester                                                                           </v>
      </c>
      <c r="C104" s="82">
        <f>IFERROR(__xludf.DUMMYFUNCTION("""COMPUTED_VALUE"""),5062.0)</f>
        <v>5062</v>
      </c>
      <c r="D104" s="76" t="str">
        <f>IFERROR(__xludf.DUMMYFUNCTION("""COMPUTED_VALUE"""),"download TR but downloaded marksheet but TR is not downloading")</f>
        <v>download TR but downloaded marksheet but TR is not downloading</v>
      </c>
      <c r="E104" s="84">
        <f>IFERROR(__xludf.DUMMYFUNCTION("""COMPUTED_VALUE"""),46114.48333333334)</f>
        <v>46114.48333</v>
      </c>
      <c r="F104" s="86">
        <f>IFERROR(__xludf.DUMMYFUNCTION("""COMPUTED_VALUE"""),46113.78315429398)</f>
        <v>46113.78315</v>
      </c>
      <c r="G104" s="86" t="str">
        <f>IFERROR(__xludf.DUMMYFUNCTION("""COMPUTED_VALUE"""),"Done")</f>
        <v>Done</v>
      </c>
      <c r="H104" s="88">
        <f>IFERROR(__xludf.DUMMYFUNCTION("""COMPUTED_VALUE"""),0.0)</f>
        <v>0</v>
      </c>
      <c r="I104" s="90" t="str">
        <f>IFERROR(__xludf.DUMMYFUNCTION("""COMPUTED_VALUE"""),"EMP0042 HULESHWAR KUMAR SAHU")</f>
        <v>EMP0042 HULESHWAR KUMAR SAHU</v>
      </c>
      <c r="J104" s="91"/>
    </row>
    <row r="105">
      <c r="B105" s="76" t="str">
        <f>IFERROR(__xludf.DUMMYFUNCTION("""COMPUTED_VALUE"""),"Discussion with Requester                                                                           ")</f>
        <v>Discussion with Requester                                                                           </v>
      </c>
      <c r="C105" s="82">
        <f>IFERROR(__xludf.DUMMYFUNCTION("""COMPUTED_VALUE"""),5063.0)</f>
        <v>5063</v>
      </c>
      <c r="D105" s="76" t="str">
        <f>IFERROR(__xludf.DUMMYFUNCTION("""COMPUTED_VALUE"""),"TR")</f>
        <v>TR</v>
      </c>
      <c r="E105" s="84">
        <f>IFERROR(__xludf.DUMMYFUNCTION("""COMPUTED_VALUE"""),46114.48611111111)</f>
        <v>46114.48611</v>
      </c>
      <c r="F105" s="86">
        <f>IFERROR(__xludf.DUMMYFUNCTION("""COMPUTED_VALUE"""),46113.784176932866)</f>
        <v>46113.78418</v>
      </c>
      <c r="G105" s="86" t="str">
        <f>IFERROR(__xludf.DUMMYFUNCTION("""COMPUTED_VALUE"""),"Done")</f>
        <v>Done</v>
      </c>
      <c r="H105" s="88">
        <f>IFERROR(__xludf.DUMMYFUNCTION("""COMPUTED_VALUE"""),0.0)</f>
        <v>0</v>
      </c>
      <c r="I105" s="90" t="str">
        <f>IFERROR(__xludf.DUMMYFUNCTION("""COMPUTED_VALUE"""),"EMP0042 HULESHWAR KUMAR SAHU")</f>
        <v>EMP0042 HULESHWAR KUMAR SAHU</v>
      </c>
      <c r="J105" s="91"/>
    </row>
    <row r="106">
      <c r="B106" s="76" t="str">
        <f>IFERROR(__xludf.DUMMYFUNCTION("""COMPUTED_VALUE"""),"Discussion with Requester                                                                           ")</f>
        <v>Discussion with Requester                                                                           </v>
      </c>
      <c r="C106" s="82">
        <f>IFERROR(__xludf.DUMMYFUNCTION("""COMPUTED_VALUE"""),5064.0)</f>
        <v>5064</v>
      </c>
      <c r="D106" s="76" t="str">
        <f>IFERROR(__xludf.DUMMYFUNCTION("""COMPUTED_VALUE"""),"Press Release")</f>
        <v>Press Release</v>
      </c>
      <c r="E106" s="84">
        <f>IFERROR(__xludf.DUMMYFUNCTION("""COMPUTED_VALUE"""),46114.486805555556)</f>
        <v>46114.48681</v>
      </c>
      <c r="F106" s="86">
        <f>IFERROR(__xludf.DUMMYFUNCTION("""COMPUTED_VALUE"""),46113.78319142361)</f>
        <v>46113.78319</v>
      </c>
      <c r="G106" s="86" t="str">
        <f>IFERROR(__xludf.DUMMYFUNCTION("""COMPUTED_VALUE"""),"Done")</f>
        <v>Done</v>
      </c>
      <c r="H106" s="88">
        <f>IFERROR(__xludf.DUMMYFUNCTION("""COMPUTED_VALUE"""),0.0)</f>
        <v>0</v>
      </c>
      <c r="I106" s="90" t="str">
        <f>IFERROR(__xludf.DUMMYFUNCTION("""COMPUTED_VALUE"""),"EMP0042 HULESHWAR KUMAR SAHU")</f>
        <v>EMP0042 HULESHWAR KUMAR SAHU</v>
      </c>
      <c r="J106" s="91"/>
    </row>
    <row r="107">
      <c r="B107" s="76" t="str">
        <f>IFERROR(__xludf.DUMMYFUNCTION("""COMPUTED_VALUE"""),"Discussion with Requester                                                                           ")</f>
        <v>Discussion with Requester                                                                           </v>
      </c>
      <c r="C107" s="82">
        <f>IFERROR(__xludf.DUMMYFUNCTION("""COMPUTED_VALUE"""),5065.0)</f>
        <v>5065</v>
      </c>
      <c r="D107" s="76" t="str">
        <f>IFERROR(__xludf.DUMMYFUNCTION("""COMPUTED_VALUE"""),"Pre Processing Error")</f>
        <v>Pre Processing Error</v>
      </c>
      <c r="E107" s="84">
        <f>IFERROR(__xludf.DUMMYFUNCTION("""COMPUTED_VALUE"""),46114.74144025463)</f>
        <v>46114.74144</v>
      </c>
      <c r="F107" s="86">
        <f>IFERROR(__xludf.DUMMYFUNCTION("""COMPUTED_VALUE"""),46114.614763460646)</f>
        <v>46114.61476</v>
      </c>
      <c r="G107" s="86" t="str">
        <f>IFERROR(__xludf.DUMMYFUNCTION("""COMPUTED_VALUE"""),"Done")</f>
        <v>Done</v>
      </c>
      <c r="H107" s="88">
        <f>IFERROR(__xludf.DUMMYFUNCTION("""COMPUTED_VALUE"""),0.0)</f>
        <v>0</v>
      </c>
      <c r="I107" s="90" t="str">
        <f>IFERROR(__xludf.DUMMYFUNCTION("""COMPUTED_VALUE"""),"EMP0237 Swarnendu Chakraborty")</f>
        <v>EMP0237 Swarnendu Chakraborty</v>
      </c>
      <c r="J107" s="91"/>
    </row>
    <row r="108">
      <c r="B108" s="76" t="str">
        <f>IFERROR(__xludf.DUMMYFUNCTION("""COMPUTED_VALUE"""),"Discussion with Requester                                                                           ")</f>
        <v>Discussion with Requester                                                                           </v>
      </c>
      <c r="C108" s="82">
        <f>IFERROR(__xludf.DUMMYFUNCTION("""COMPUTED_VALUE"""),5066.0)</f>
        <v>5066</v>
      </c>
      <c r="D108" s="76" t="str">
        <f>IFERROR(__xludf.DUMMYFUNCTION("""COMPUTED_VALUE"""),"Pre Processing Error ")</f>
        <v>Pre Processing Error </v>
      </c>
      <c r="E108" s="84">
        <f>IFERROR(__xludf.DUMMYFUNCTION("""COMPUTED_VALUE"""),46114.80386283565)</f>
        <v>46114.80386</v>
      </c>
      <c r="F108" s="86">
        <f>IFERROR(__xludf.DUMMYFUNCTION("""COMPUTED_VALUE"""),46114.614763460646)</f>
        <v>46114.61476</v>
      </c>
      <c r="G108" s="86" t="str">
        <f>IFERROR(__xludf.DUMMYFUNCTION("""COMPUTED_VALUE"""),"Done")</f>
        <v>Done</v>
      </c>
      <c r="H108" s="88">
        <f>IFERROR(__xludf.DUMMYFUNCTION("""COMPUTED_VALUE"""),0.0)</f>
        <v>0</v>
      </c>
      <c r="I108" s="90" t="str">
        <f>IFERROR(__xludf.DUMMYFUNCTION("""COMPUTED_VALUE"""),"EMP0237 Swarnendu Chakraborty")</f>
        <v>EMP0237 Swarnendu Chakraborty</v>
      </c>
      <c r="J108" s="91"/>
    </row>
    <row r="109">
      <c r="B109" s="76" t="str">
        <f>IFERROR(__xludf.DUMMYFUNCTION("""COMPUTED_VALUE"""),"Discussion with Requester                                                                           ")</f>
        <v>Discussion with Requester                                                                           </v>
      </c>
      <c r="C109" s="82">
        <f>IFERROR(__xludf.DUMMYFUNCTION("""COMPUTED_VALUE"""),5067.0)</f>
        <v>5067</v>
      </c>
      <c r="D109" s="76" t="str">
        <f>IFERROR(__xludf.DUMMYFUNCTION("""COMPUTED_VALUE"""),"REVEL FORM")</f>
        <v>REVEL FORM</v>
      </c>
      <c r="E109" s="84">
        <f>IFERROR(__xludf.DUMMYFUNCTION("""COMPUTED_VALUE"""),46115.42638888889)</f>
        <v>46115.42639</v>
      </c>
      <c r="F109" s="86">
        <f>IFERROR(__xludf.DUMMYFUNCTION("""COMPUTED_VALUE"""),46114.680011620374)</f>
        <v>46114.68001</v>
      </c>
      <c r="G109" s="86" t="str">
        <f>IFERROR(__xludf.DUMMYFUNCTION("""COMPUTED_VALUE"""),"Done")</f>
        <v>Done</v>
      </c>
      <c r="H109" s="88">
        <f>IFERROR(__xludf.DUMMYFUNCTION("""COMPUTED_VALUE"""),0.0)</f>
        <v>0</v>
      </c>
      <c r="I109" s="90" t="str">
        <f>IFERROR(__xludf.DUMMYFUNCTION("""COMPUTED_VALUE"""),"EMP0042 HULESHWAR KUMAR SAHU")</f>
        <v>EMP0042 HULESHWAR KUMAR SAHU</v>
      </c>
      <c r="J109" s="91"/>
    </row>
    <row r="110">
      <c r="B110" s="76" t="str">
        <f>IFERROR(__xludf.DUMMYFUNCTION("""COMPUTED_VALUE"""),"Discussion with Requester                                                                           ")</f>
        <v>Discussion with Requester                                                                           </v>
      </c>
      <c r="C110" s="82">
        <f>IFERROR(__xludf.DUMMYFUNCTION("""COMPUTED_VALUE"""),5068.0)</f>
        <v>5068</v>
      </c>
      <c r="D110" s="76" t="str">
        <f>IFERROR(__xludf.DUMMYFUNCTION("""COMPUTED_VALUE"""),"RESULT DATA")</f>
        <v>RESULT DATA</v>
      </c>
      <c r="E110" s="84">
        <f>IFERROR(__xludf.DUMMYFUNCTION("""COMPUTED_VALUE"""),46115.427777777775)</f>
        <v>46115.42778</v>
      </c>
      <c r="F110" s="86">
        <f>IFERROR(__xludf.DUMMYFUNCTION("""COMPUTED_VALUE"""),46114.68017364583)</f>
        <v>46114.68017</v>
      </c>
      <c r="G110" s="86" t="str">
        <f>IFERROR(__xludf.DUMMYFUNCTION("""COMPUTED_VALUE"""),"Done")</f>
        <v>Done</v>
      </c>
      <c r="H110" s="88">
        <f>IFERROR(__xludf.DUMMYFUNCTION("""COMPUTED_VALUE"""),0.0)</f>
        <v>0</v>
      </c>
      <c r="I110" s="90" t="str">
        <f>IFERROR(__xludf.DUMMYFUNCTION("""COMPUTED_VALUE"""),"EMP0042 HULESHWAR KUMAR SAHU")</f>
        <v>EMP0042 HULESHWAR KUMAR SAHU</v>
      </c>
      <c r="J110" s="91"/>
    </row>
    <row r="111">
      <c r="B111" s="76" t="str">
        <f>IFERROR(__xludf.DUMMYFUNCTION("""COMPUTED_VALUE"""),"Discussion with Requester                                                                           ")</f>
        <v>Discussion with Requester                                                                           </v>
      </c>
      <c r="C111" s="82">
        <f>IFERROR(__xludf.DUMMYFUNCTION("""COMPUTED_VALUE"""),5069.0)</f>
        <v>5069</v>
      </c>
      <c r="D111" s="76" t="str">
        <f>IFERROR(__xludf.DUMMYFUNCTION("""COMPUTED_VALUE"""),"CA/CIA MARK ENTRY")</f>
        <v>CA/CIA MARK ENTRY</v>
      </c>
      <c r="E111" s="84">
        <f>IFERROR(__xludf.DUMMYFUNCTION("""COMPUTED_VALUE"""),46115.63946085648)</f>
        <v>46115.63946</v>
      </c>
      <c r="F111" s="86">
        <f>IFERROR(__xludf.DUMMYFUNCTION("""COMPUTED_VALUE"""),46115.51588378473)</f>
        <v>46115.51588</v>
      </c>
      <c r="G111" s="86" t="str">
        <f>IFERROR(__xludf.DUMMYFUNCTION("""COMPUTED_VALUE"""),"Done")</f>
        <v>Done</v>
      </c>
      <c r="H111" s="88">
        <f>IFERROR(__xludf.DUMMYFUNCTION("""COMPUTED_VALUE"""),0.0)</f>
        <v>0</v>
      </c>
      <c r="I111" s="90" t="str">
        <f>IFERROR(__xludf.DUMMYFUNCTION("""COMPUTED_VALUE"""),"EMP5009 Rup Kumar Mandal")</f>
        <v>EMP5009 Rup Kumar Mandal</v>
      </c>
      <c r="J111" s="91"/>
    </row>
    <row r="112">
      <c r="B112" s="76" t="str">
        <f>IFERROR(__xludf.DUMMYFUNCTION("""COMPUTED_VALUE"""),"Discussion with Requester                                                                           ")</f>
        <v>Discussion with Requester                                                                           </v>
      </c>
      <c r="C112" s="82">
        <f>IFERROR(__xludf.DUMMYFUNCTION("""COMPUTED_VALUE"""),5070.0)</f>
        <v>5070</v>
      </c>
      <c r="D112" s="76" t="str">
        <f>IFERROR(__xludf.DUMMYFUNCTION("""COMPUTED_VALUE"""),"grade card pg")</f>
        <v>grade card pg</v>
      </c>
      <c r="E112" s="84">
        <f>IFERROR(__xludf.DUMMYFUNCTION("""COMPUTED_VALUE"""),46115.64567244213)</f>
        <v>46115.64567</v>
      </c>
      <c r="F112" s="86">
        <f>IFERROR(__xludf.DUMMYFUNCTION("""COMPUTED_VALUE"""),46115.51586253472)</f>
        <v>46115.51586</v>
      </c>
      <c r="G112" s="86" t="str">
        <f>IFERROR(__xludf.DUMMYFUNCTION("""COMPUTED_VALUE"""),"Done")</f>
        <v>Done</v>
      </c>
      <c r="H112" s="88">
        <f>IFERROR(__xludf.DUMMYFUNCTION("""COMPUTED_VALUE"""),0.0)</f>
        <v>0</v>
      </c>
      <c r="I112" s="90" t="str">
        <f>IFERROR(__xludf.DUMMYFUNCTION("""COMPUTED_VALUE"""),"EMP5009 Rup Kumar Mandal")</f>
        <v>EMP5009 Rup Kumar Mandal</v>
      </c>
      <c r="J112" s="91"/>
    </row>
    <row r="113">
      <c r="B113" s="76" t="str">
        <f>IFERROR(__xludf.DUMMYFUNCTION("""COMPUTED_VALUE"""),"Discussion with Requester                                                                           ")</f>
        <v>Discussion with Requester                                                                           </v>
      </c>
      <c r="C113" s="82">
        <f>IFERROR(__xludf.DUMMYFUNCTION("""COMPUTED_VALUE"""),5071.0)</f>
        <v>5071</v>
      </c>
      <c r="D113" s="76" t="str">
        <f>IFERROR(__xludf.DUMMYFUNCTION("""COMPUTED_VALUE"""),"TR Format (Grading / Non-Grading)")</f>
        <v>TR Format (Grading / Non-Grading)</v>
      </c>
      <c r="E113" s="84">
        <f>IFERROR(__xludf.DUMMYFUNCTION("""COMPUTED_VALUE"""),46115.64948545139)</f>
        <v>46115.64949</v>
      </c>
      <c r="F113" s="86">
        <f>IFERROR(__xludf.DUMMYFUNCTION("""COMPUTED_VALUE"""),46115.515877025464)</f>
        <v>46115.51588</v>
      </c>
      <c r="G113" s="86" t="str">
        <f>IFERROR(__xludf.DUMMYFUNCTION("""COMPUTED_VALUE"""),"Done")</f>
        <v>Done</v>
      </c>
      <c r="H113" s="88">
        <f>IFERROR(__xludf.DUMMYFUNCTION("""COMPUTED_VALUE"""),0.0)</f>
        <v>0</v>
      </c>
      <c r="I113" s="90" t="str">
        <f>IFERROR(__xludf.DUMMYFUNCTION("""COMPUTED_VALUE"""),"EMP0042 HULESHWAR KUMAR SAHU")</f>
        <v>EMP0042 HULESHWAR KUMAR SAHU</v>
      </c>
      <c r="J113" s="91"/>
    </row>
    <row r="114">
      <c r="B114" s="76" t="str">
        <f>IFERROR(__xludf.DUMMYFUNCTION("""COMPUTED_VALUE"""),"Discussion with Requester                                                                           ")</f>
        <v>Discussion with Requester                                                                           </v>
      </c>
      <c r="C114" s="82">
        <f>IFERROR(__xludf.DUMMYFUNCTION("""COMPUTED_VALUE"""),5072.0)</f>
        <v>5072</v>
      </c>
      <c r="D114" s="76" t="str">
        <f>IFERROR(__xludf.DUMMYFUNCTION("""COMPUTED_VALUE"""),"MULTIPLE REPOPRT")</f>
        <v>MULTIPLE REPOPRT</v>
      </c>
      <c r="E114" s="84">
        <f>IFERROR(__xludf.DUMMYFUNCTION("""COMPUTED_VALUE"""),46115.71160322917)</f>
        <v>46115.7116</v>
      </c>
      <c r="F114" s="86">
        <f>IFERROR(__xludf.DUMMYFUNCTION("""COMPUTED_VALUE"""),46115.54547137732)</f>
        <v>46115.54547</v>
      </c>
      <c r="G114" s="86" t="str">
        <f>IFERROR(__xludf.DUMMYFUNCTION("""COMPUTED_VALUE"""),"Done")</f>
        <v>Done</v>
      </c>
      <c r="H114" s="88">
        <f>IFERROR(__xludf.DUMMYFUNCTION("""COMPUTED_VALUE"""),0.0)</f>
        <v>0</v>
      </c>
      <c r="I114" s="90" t="str">
        <f>IFERROR(__xludf.DUMMYFUNCTION("""COMPUTED_VALUE"""),"EMP0042 HULESHWAR KUMAR SAHU")</f>
        <v>EMP0042 HULESHWAR KUMAR SAHU</v>
      </c>
      <c r="J114" s="91"/>
    </row>
    <row r="115">
      <c r="B115" s="76" t="str">
        <f>IFERROR(__xludf.DUMMYFUNCTION("""COMPUTED_VALUE"""),"Discussion with Requester                                                                           ")</f>
        <v>Discussion with Requester                                                                           </v>
      </c>
      <c r="C115" s="82">
        <f>IFERROR(__xludf.DUMMYFUNCTION("""COMPUTED_VALUE"""),5073.0)</f>
        <v>5073</v>
      </c>
      <c r="D115" s="76" t="str">
        <f>IFERROR(__xludf.DUMMYFUNCTION("""COMPUTED_VALUE"""),"TR ")</f>
        <v>TR </v>
      </c>
      <c r="E115" s="84">
        <f>IFERROR(__xludf.DUMMYFUNCTION("""COMPUTED_VALUE"""),46115.72409561343)</f>
        <v>46115.7241</v>
      </c>
      <c r="F115" s="86">
        <f>IFERROR(__xludf.DUMMYFUNCTION("""COMPUTED_VALUE"""),46115.65248546296)</f>
        <v>46115.65249</v>
      </c>
      <c r="G115" s="86" t="str">
        <f>IFERROR(__xludf.DUMMYFUNCTION("""COMPUTED_VALUE"""),"Done")</f>
        <v>Done</v>
      </c>
      <c r="H115" s="88">
        <f>IFERROR(__xludf.DUMMYFUNCTION("""COMPUTED_VALUE"""),0.0)</f>
        <v>0</v>
      </c>
      <c r="I115" s="90" t="str">
        <f>IFERROR(__xludf.DUMMYFUNCTION("""COMPUTED_VALUE"""),"EMP0042 HULESHWAR KUMAR SAHU")</f>
        <v>EMP0042 HULESHWAR KUMAR SAHU</v>
      </c>
      <c r="J115" s="91"/>
    </row>
    <row r="116">
      <c r="B116" s="76" t="str">
        <f>IFERROR(__xludf.DUMMYFUNCTION("""COMPUTED_VALUE"""),"Discussion with Requester                                                                           ")</f>
        <v>Discussion with Requester                                                                           </v>
      </c>
      <c r="C116" s="82">
        <f>IFERROR(__xludf.DUMMYFUNCTION("""COMPUTED_VALUE"""),5074.0)</f>
        <v>5074</v>
      </c>
      <c r="D116" s="76" t="str">
        <f>IFERROR(__xludf.DUMMYFUNCTION("""COMPUTED_VALUE"""),"TR REPORT")</f>
        <v>TR REPORT</v>
      </c>
      <c r="E116" s="84">
        <f>IFERROR(__xludf.DUMMYFUNCTION("""COMPUTED_VALUE"""),46115.783534016206)</f>
        <v>46115.78353</v>
      </c>
      <c r="F116" s="86">
        <f>IFERROR(__xludf.DUMMYFUNCTION("""COMPUTED_VALUE"""),46115.65282412037)</f>
        <v>46115.65282</v>
      </c>
      <c r="G116" s="86" t="str">
        <f>IFERROR(__xludf.DUMMYFUNCTION("""COMPUTED_VALUE"""),"Done")</f>
        <v>Done</v>
      </c>
      <c r="H116" s="88">
        <f>IFERROR(__xludf.DUMMYFUNCTION("""COMPUTED_VALUE"""),0.0)</f>
        <v>0</v>
      </c>
      <c r="I116" s="90" t="str">
        <f>IFERROR(__xludf.DUMMYFUNCTION("""COMPUTED_VALUE"""),"EMP5009 Rup Kumar Mandal")</f>
        <v>EMP5009 Rup Kumar Mandal</v>
      </c>
      <c r="J116" s="91"/>
    </row>
    <row r="117">
      <c r="B117" s="76" t="str">
        <f>IFERROR(__xludf.DUMMYFUNCTION("""COMPUTED_VALUE"""),"Discussion with Requester                                                                           ")</f>
        <v>Discussion with Requester                                                                           </v>
      </c>
      <c r="C117" s="82">
        <f>IFERROR(__xludf.DUMMYFUNCTION("""COMPUTED_VALUE"""),5075.0)</f>
        <v>5075</v>
      </c>
      <c r="D117" s="76" t="str">
        <f>IFERROR(__xludf.DUMMYFUNCTION("""COMPUTED_VALUE"""),"Packet Summary Report")</f>
        <v>Packet Summary Report</v>
      </c>
      <c r="E117" s="84">
        <f>IFERROR(__xludf.DUMMYFUNCTION("""COMPUTED_VALUE"""),46118.48677083333)</f>
        <v>46118.48677</v>
      </c>
      <c r="F117" s="86">
        <f>IFERROR(__xludf.DUMMYFUNCTION("""COMPUTED_VALUE"""),46116.67931658565)</f>
        <v>46116.67932</v>
      </c>
      <c r="G117" s="86" t="str">
        <f>IFERROR(__xludf.DUMMYFUNCTION("""COMPUTED_VALUE"""),"Done")</f>
        <v>Done</v>
      </c>
      <c r="H117" s="88">
        <f>IFERROR(__xludf.DUMMYFUNCTION("""COMPUTED_VALUE"""),0.0)</f>
        <v>0</v>
      </c>
      <c r="I117" s="90" t="str">
        <f>IFERROR(__xludf.DUMMYFUNCTION("""COMPUTED_VALUE"""),"EMP0042 HULESHWAR KUMAR SAHU")</f>
        <v>EMP0042 HULESHWAR KUMAR SAHU</v>
      </c>
      <c r="J117" s="91"/>
    </row>
    <row r="118">
      <c r="B118" s="76" t="str">
        <f>IFERROR(__xludf.DUMMYFUNCTION("""COMPUTED_VALUE"""),"Discussion with Requester                                                                           ")</f>
        <v>Discussion with Requester                                                                           </v>
      </c>
      <c r="C118" s="82">
        <f>IFERROR(__xludf.DUMMYFUNCTION("""COMPUTED_VALUE"""),5076.0)</f>
        <v>5076</v>
      </c>
      <c r="D118" s="76" t="str">
        <f>IFERROR(__xludf.DUMMYFUNCTION("""COMPUTED_VALUE"""),"PRE PROCESS ERROR STEP-7")</f>
        <v>PRE PROCESS ERROR STEP-7</v>
      </c>
      <c r="E118" s="84">
        <f>IFERROR(__xludf.DUMMYFUNCTION("""COMPUTED_VALUE"""),46118.64752273148)</f>
        <v>46118.64752</v>
      </c>
      <c r="F118" s="86">
        <f>IFERROR(__xludf.DUMMYFUNCTION("""COMPUTED_VALUE"""),46118.48839951389)</f>
        <v>46118.4884</v>
      </c>
      <c r="G118" s="86" t="str">
        <f>IFERROR(__xludf.DUMMYFUNCTION("""COMPUTED_VALUE"""),"Done")</f>
        <v>Done</v>
      </c>
      <c r="H118" s="88">
        <f>IFERROR(__xludf.DUMMYFUNCTION("""COMPUTED_VALUE"""),0.0)</f>
        <v>0</v>
      </c>
      <c r="I118" s="90" t="str">
        <f>IFERROR(__xludf.DUMMYFUNCTION("""COMPUTED_VALUE"""),"EMP0237 Swarnendu Chakraborty")</f>
        <v>EMP0237 Swarnendu Chakraborty</v>
      </c>
      <c r="J118" s="91"/>
    </row>
    <row r="119">
      <c r="B119" s="76" t="str">
        <f>IFERROR(__xludf.DUMMYFUNCTION("""COMPUTED_VALUE"""),"Discussion with Requester                                                                           ")</f>
        <v>Discussion with Requester                                                                           </v>
      </c>
      <c r="C119" s="82">
        <f>IFERROR(__xludf.DUMMYFUNCTION("""COMPUTED_VALUE"""),5077.0)</f>
        <v>5077</v>
      </c>
      <c r="D119" s="76" t="str">
        <f>IFERROR(__xludf.DUMMYFUNCTION("""COMPUTED_VALUE"""),"College wise Allotment List")</f>
        <v>College wise Allotment List</v>
      </c>
      <c r="E119" s="84">
        <f>IFERROR(__xludf.DUMMYFUNCTION("""COMPUTED_VALUE"""),46118.82678581018)</f>
        <v>46118.82679</v>
      </c>
      <c r="F119" s="86">
        <f>IFERROR(__xludf.DUMMYFUNCTION("""COMPUTED_VALUE"""),46118.67244203704)</f>
        <v>46118.67244</v>
      </c>
      <c r="G119" s="86" t="str">
        <f>IFERROR(__xludf.DUMMYFUNCTION("""COMPUTED_VALUE"""),"Done")</f>
        <v>Done</v>
      </c>
      <c r="H119" s="88">
        <f>IFERROR(__xludf.DUMMYFUNCTION("""COMPUTED_VALUE"""),0.0)</f>
        <v>0</v>
      </c>
      <c r="I119" s="90" t="str">
        <f>IFERROR(__xludf.DUMMYFUNCTION("""COMPUTED_VALUE"""),"EMP5009 Rup Kumar Mandal")</f>
        <v>EMP5009 Rup Kumar Mandal</v>
      </c>
      <c r="J119" s="91"/>
    </row>
    <row r="120">
      <c r="B120" s="76" t="str">
        <f>IFERROR(__xludf.DUMMYFUNCTION("""COMPUTED_VALUE"""),"Discussion with Requester                                                                           ")</f>
        <v>Discussion with Requester                                                                           </v>
      </c>
      <c r="C120" s="82">
        <f>IFERROR(__xludf.DUMMYFUNCTION("""COMPUTED_VALUE"""),5078.0)</f>
        <v>5078</v>
      </c>
      <c r="D120" s="76" t="str">
        <f>IFERROR(__xludf.DUMMYFUNCTION("""COMPUTED_VALUE"""),"NEP")</f>
        <v>NEP</v>
      </c>
      <c r="E120" s="84">
        <f>IFERROR(__xludf.DUMMYFUNCTION("""COMPUTED_VALUE"""),46119.486805555556)</f>
        <v>46119.48681</v>
      </c>
      <c r="F120" s="86">
        <f>IFERROR(__xludf.DUMMYFUNCTION("""COMPUTED_VALUE"""),46118.76158641204)</f>
        <v>46118.76159</v>
      </c>
      <c r="G120" s="86" t="str">
        <f>IFERROR(__xludf.DUMMYFUNCTION("""COMPUTED_VALUE"""),"Done")</f>
        <v>Done</v>
      </c>
      <c r="H120" s="88">
        <f>IFERROR(__xludf.DUMMYFUNCTION("""COMPUTED_VALUE"""),0.0)</f>
        <v>0</v>
      </c>
      <c r="I120" s="90" t="str">
        <f>IFERROR(__xludf.DUMMYFUNCTION("""COMPUTED_VALUE"""),"EMP0042 HULESHWAR KUMAR SAHU")</f>
        <v>EMP0042 HULESHWAR KUMAR SAHU</v>
      </c>
      <c r="J120" s="91"/>
    </row>
    <row r="121">
      <c r="B121" s="76" t="str">
        <f>IFERROR(__xludf.DUMMYFUNCTION("""COMPUTED_VALUE"""),"Discussion with Requester                                                                           ")</f>
        <v>Discussion with Requester                                                                           </v>
      </c>
      <c r="C121" s="82">
        <f>IFERROR(__xludf.DUMMYFUNCTION("""COMPUTED_VALUE"""),5079.0)</f>
        <v>5079</v>
      </c>
      <c r="D121" s="76" t="str">
        <f>IFERROR(__xludf.DUMMYFUNCTION("""COMPUTED_VALUE"""),"3rd Semester B.Sc. Nursing Examination 2025 (II)	Admit Card update	2024-25 (S)	REAPPER")</f>
        <v>3rd Semester B.Sc. Nursing Examination 2025 (II)	Admit Card update	2024-25 (S)	REAPPER</v>
      </c>
      <c r="E121" s="84">
        <f>IFERROR(__xludf.DUMMYFUNCTION("""COMPUTED_VALUE"""),46119.4875)</f>
        <v>46119.4875</v>
      </c>
      <c r="F121" s="86">
        <f>IFERROR(__xludf.DUMMYFUNCTION("""COMPUTED_VALUE"""),46118.761663749996)</f>
        <v>46118.76166</v>
      </c>
      <c r="G121" s="86" t="str">
        <f>IFERROR(__xludf.DUMMYFUNCTION("""COMPUTED_VALUE"""),"Done")</f>
        <v>Done</v>
      </c>
      <c r="H121" s="88">
        <f>IFERROR(__xludf.DUMMYFUNCTION("""COMPUTED_VALUE"""),0.0)</f>
        <v>0</v>
      </c>
      <c r="I121" s="90" t="str">
        <f>IFERROR(__xludf.DUMMYFUNCTION("""COMPUTED_VALUE"""),"EMP5009 Rup Kumar Mandal")</f>
        <v>EMP5009 Rup Kumar Mandal</v>
      </c>
      <c r="J121" s="91"/>
    </row>
    <row r="122">
      <c r="B122" s="76" t="str">
        <f>IFERROR(__xludf.DUMMYFUNCTION("""COMPUTED_VALUE"""),"Discussion with Requester                                                                           ")</f>
        <v>Discussion with Requester                                                                           </v>
      </c>
      <c r="C122" s="82">
        <f>IFERROR(__xludf.DUMMYFUNCTION("""COMPUTED_VALUE"""),5080.0)</f>
        <v>5080</v>
      </c>
      <c r="D122" s="76" t="str">
        <f>IFERROR(__xludf.DUMMYFUNCTION("""COMPUTED_VALUE"""),"3rd Year B.Sc. Nursing Examination 2025 (II)	Admit Card update	2024-25 (S)	REAPPER")</f>
        <v>3rd Year B.Sc. Nursing Examination 2025 (II)	Admit Card update	2024-25 (S)	REAPPER</v>
      </c>
      <c r="E122" s="84">
        <f>IFERROR(__xludf.DUMMYFUNCTION("""COMPUTED_VALUE"""),46119.48888888889)</f>
        <v>46119.48889</v>
      </c>
      <c r="F122" s="86">
        <f>IFERROR(__xludf.DUMMYFUNCTION("""COMPUTED_VALUE"""),46118.76168513889)</f>
        <v>46118.76169</v>
      </c>
      <c r="G122" s="86" t="str">
        <f>IFERROR(__xludf.DUMMYFUNCTION("""COMPUTED_VALUE"""),"Done")</f>
        <v>Done</v>
      </c>
      <c r="H122" s="88">
        <f>IFERROR(__xludf.DUMMYFUNCTION("""COMPUTED_VALUE"""),0.0)</f>
        <v>0</v>
      </c>
      <c r="I122" s="90" t="str">
        <f>IFERROR(__xludf.DUMMYFUNCTION("""COMPUTED_VALUE"""),"EMP0237 Swarnendu Chakraborty")</f>
        <v>EMP0237 Swarnendu Chakraborty</v>
      </c>
      <c r="J122" s="91"/>
    </row>
    <row r="123">
      <c r="B123" s="76" t="str">
        <f>IFERROR(__xludf.DUMMYFUNCTION("""COMPUTED_VALUE"""),"Discussion with Requester                                                                           ")</f>
        <v>Discussion with Requester                                                                           </v>
      </c>
      <c r="C123" s="82">
        <f>IFERROR(__xludf.DUMMYFUNCTION("""COMPUTED_VALUE"""),5081.0)</f>
        <v>5081</v>
      </c>
      <c r="D123" s="76" t="str">
        <f>IFERROR(__xludf.DUMMYFUNCTION("""COMPUTED_VALUE"""),"CUT LIST ")</f>
        <v>CUT LIST </v>
      </c>
      <c r="E123" s="84">
        <f>IFERROR(__xludf.DUMMYFUNCTION("""COMPUTED_VALUE"""),46119.63933839121)</f>
        <v>46119.63934</v>
      </c>
      <c r="F123" s="86">
        <f>IFERROR(__xludf.DUMMYFUNCTION("""COMPUTED_VALUE"""),46119.48468534722)</f>
        <v>46119.48469</v>
      </c>
      <c r="G123" s="86" t="str">
        <f>IFERROR(__xludf.DUMMYFUNCTION("""COMPUTED_VALUE"""),"Done")</f>
        <v>Done</v>
      </c>
      <c r="H123" s="88">
        <f>IFERROR(__xludf.DUMMYFUNCTION("""COMPUTED_VALUE"""),0.0)</f>
        <v>0</v>
      </c>
      <c r="I123" s="90" t="str">
        <f>IFERROR(__xludf.DUMMYFUNCTION("""COMPUTED_VALUE"""),"EMP0042 HULESHWAR KUMAR SAHU")</f>
        <v>EMP0042 HULESHWAR KUMAR SAHU</v>
      </c>
      <c r="J123" s="91"/>
    </row>
    <row r="124">
      <c r="B124" s="76" t="str">
        <f>IFERROR(__xludf.DUMMYFUNCTION("""COMPUTED_VALUE"""),"Discussion with Requester                                                                           ")</f>
        <v>Discussion with Requester                                                                           </v>
      </c>
      <c r="C124" s="82">
        <f>IFERROR(__xludf.DUMMYFUNCTION("""COMPUTED_VALUE"""),5082.0)</f>
        <v>5082</v>
      </c>
      <c r="D124" s="76" t="str">
        <f>IFERROR(__xludf.DUMMYFUNCTION("""COMPUTED_VALUE"""),"SCHEME")</f>
        <v>SCHEME</v>
      </c>
      <c r="E124" s="84">
        <f>IFERROR(__xludf.DUMMYFUNCTION("""COMPUTED_VALUE"""),46119.641379976856)</f>
        <v>46119.64138</v>
      </c>
      <c r="F124" s="86">
        <f>IFERROR(__xludf.DUMMYFUNCTION("""COMPUTED_VALUE"""),46119.48467157408)</f>
        <v>46119.48467</v>
      </c>
      <c r="G124" s="86" t="str">
        <f>IFERROR(__xludf.DUMMYFUNCTION("""COMPUTED_VALUE"""),"Done")</f>
        <v>Done</v>
      </c>
      <c r="H124" s="88">
        <f>IFERROR(__xludf.DUMMYFUNCTION("""COMPUTED_VALUE"""),0.0)</f>
        <v>0</v>
      </c>
      <c r="I124" s="90" t="str">
        <f>IFERROR(__xludf.DUMMYFUNCTION("""COMPUTED_VALUE"""),"EMP0042 HULESHWAR KUMAR SAHU")</f>
        <v>EMP0042 HULESHWAR KUMAR SAHU</v>
      </c>
      <c r="J124" s="91"/>
    </row>
    <row r="125">
      <c r="B125" s="76" t="str">
        <f>IFERROR(__xludf.DUMMYFUNCTION("""COMPUTED_VALUE"""),"Discussion with Requester                                                                           ")</f>
        <v>Discussion with Requester                                                                           </v>
      </c>
      <c r="C125" s="82">
        <f>IFERROR(__xludf.DUMMYFUNCTION("""COMPUTED_VALUE"""),5083.0)</f>
        <v>5083</v>
      </c>
      <c r="D125" s="76" t="str">
        <f>IFERROR(__xludf.DUMMYFUNCTION("""COMPUTED_VALUE"""),"College  course wise statistic")</f>
        <v>College  course wise statistic</v>
      </c>
      <c r="E125" s="84">
        <f>IFERROR(__xludf.DUMMYFUNCTION("""COMPUTED_VALUE"""),46119.67281202546)</f>
        <v>46119.67281</v>
      </c>
      <c r="F125" s="86">
        <f>IFERROR(__xludf.DUMMYFUNCTION("""COMPUTED_VALUE"""),46119.554117222215)</f>
        <v>46119.55412</v>
      </c>
      <c r="G125" s="86" t="str">
        <f>IFERROR(__xludf.DUMMYFUNCTION("""COMPUTED_VALUE"""),"Done")</f>
        <v>Done</v>
      </c>
      <c r="H125" s="88">
        <f>IFERROR(__xludf.DUMMYFUNCTION("""COMPUTED_VALUE"""),0.0)</f>
        <v>0</v>
      </c>
      <c r="I125" s="90" t="str">
        <f>IFERROR(__xludf.DUMMYFUNCTION("""COMPUTED_VALUE"""),"EMP0021 Tamanna Dewangan")</f>
        <v>EMP0021 Tamanna Dewangan</v>
      </c>
      <c r="J125" s="91"/>
    </row>
    <row r="126">
      <c r="B126" s="76" t="str">
        <f>IFERROR(__xludf.DUMMYFUNCTION("""COMPUTED_VALUE"""),"Discussion with Requester                                                                           ")</f>
        <v>Discussion with Requester                                                                           </v>
      </c>
      <c r="C126" s="82">
        <f>IFERROR(__xludf.DUMMYFUNCTION("""COMPUTED_VALUE"""),5084.0)</f>
        <v>5084</v>
      </c>
      <c r="D126" s="76" t="str">
        <f>IFERROR(__xludf.DUMMYFUNCTION("""COMPUTED_VALUE"""),"College statistic")</f>
        <v>College statistic</v>
      </c>
      <c r="E126" s="84">
        <f>IFERROR(__xludf.DUMMYFUNCTION("""COMPUTED_VALUE"""),46119.676994837966)</f>
        <v>46119.67699</v>
      </c>
      <c r="F126" s="86">
        <f>IFERROR(__xludf.DUMMYFUNCTION("""COMPUTED_VALUE"""),46119.61142099537)</f>
        <v>46119.61142</v>
      </c>
      <c r="G126" s="86" t="str">
        <f>IFERROR(__xludf.DUMMYFUNCTION("""COMPUTED_VALUE"""),"Done")</f>
        <v>Done</v>
      </c>
      <c r="H126" s="88">
        <f>IFERROR(__xludf.DUMMYFUNCTION("""COMPUTED_VALUE"""),0.0)</f>
        <v>0</v>
      </c>
      <c r="I126" s="90" t="str">
        <f>IFERROR(__xludf.DUMMYFUNCTION("""COMPUTED_VALUE"""),"EMP5009 Rup Kumar Mandal")</f>
        <v>EMP5009 Rup Kumar Mandal</v>
      </c>
      <c r="J126" s="91"/>
    </row>
    <row r="127">
      <c r="B127" s="76" t="str">
        <f>IFERROR(__xludf.DUMMYFUNCTION("""COMPUTED_VALUE"""),"Discussion with Requester                                                                           ")</f>
        <v>Discussion with Requester                                                                           </v>
      </c>
      <c r="C127" s="82">
        <f>IFERROR(__xludf.DUMMYFUNCTION("""COMPUTED_VALUE"""),5085.0)</f>
        <v>5085</v>
      </c>
      <c r="D127" s="76" t="str">
        <f>IFERROR(__xludf.DUMMYFUNCTION("""COMPUTED_VALUE"""),"Grade Card NEP (PG)")</f>
        <v>Grade Card NEP (PG)</v>
      </c>
      <c r="E127" s="84">
        <f>IFERROR(__xludf.DUMMYFUNCTION("""COMPUTED_VALUE"""),46119.69743796296)</f>
        <v>46119.69744</v>
      </c>
      <c r="F127" s="86">
        <f>IFERROR(__xludf.DUMMYFUNCTION("""COMPUTED_VALUE"""),46119.5540956713)</f>
        <v>46119.5541</v>
      </c>
      <c r="G127" s="86" t="str">
        <f>IFERROR(__xludf.DUMMYFUNCTION("""COMPUTED_VALUE"""),"Done")</f>
        <v>Done</v>
      </c>
      <c r="H127" s="88">
        <f>IFERROR(__xludf.DUMMYFUNCTION("""COMPUTED_VALUE"""),0.0)</f>
        <v>0</v>
      </c>
      <c r="I127" s="90" t="str">
        <f>IFERROR(__xludf.DUMMYFUNCTION("""COMPUTED_VALUE"""),"EMP5009 Rup Kumar Mandal")</f>
        <v>EMP5009 Rup Kumar Mandal</v>
      </c>
      <c r="J127" s="91"/>
    </row>
    <row r="128">
      <c r="B128" s="76" t="str">
        <f>IFERROR(__xludf.DUMMYFUNCTION("""COMPUTED_VALUE"""),"Discussion with Requester                                                                           ")</f>
        <v>Discussion with Requester                                                                           </v>
      </c>
      <c r="C128" s="82">
        <f>IFERROR(__xludf.DUMMYFUNCTION("""COMPUTED_VALUE"""),5086.0)</f>
        <v>5086</v>
      </c>
      <c r="D128" s="76" t="str">
        <f>IFERROR(__xludf.DUMMYFUNCTION("""COMPUTED_VALUE"""),"Multiple reports ")</f>
        <v>Multiple reports </v>
      </c>
      <c r="E128" s="84">
        <f>IFERROR(__xludf.DUMMYFUNCTION("""COMPUTED_VALUE"""),46120.45138888889)</f>
        <v>46120.45139</v>
      </c>
      <c r="F128" s="86">
        <f>IFERROR(__xludf.DUMMYFUNCTION("""COMPUTED_VALUE"""),46119.7087641088)</f>
        <v>46119.70876</v>
      </c>
      <c r="G128" s="86" t="str">
        <f>IFERROR(__xludf.DUMMYFUNCTION("""COMPUTED_VALUE"""),"Done")</f>
        <v>Done</v>
      </c>
      <c r="H128" s="88">
        <f>IFERROR(__xludf.DUMMYFUNCTION("""COMPUTED_VALUE"""),0.0)</f>
        <v>0</v>
      </c>
      <c r="I128" s="90" t="str">
        <f>IFERROR(__xludf.DUMMYFUNCTION("""COMPUTED_VALUE"""),"EMP0042 HULESHWAR KUMAR SAHU")</f>
        <v>EMP0042 HULESHWAR KUMAR SAHU</v>
      </c>
      <c r="J128" s="91"/>
    </row>
    <row r="129">
      <c r="B129" s="76" t="str">
        <f>IFERROR(__xludf.DUMMYFUNCTION("""COMPUTED_VALUE"""),"Discussion with Requester                                                                           ")</f>
        <v>Discussion with Requester                                                                           </v>
      </c>
      <c r="C129" s="82">
        <f>IFERROR(__xludf.DUMMYFUNCTION("""COMPUTED_VALUE"""),5087.0)</f>
        <v>5087</v>
      </c>
      <c r="D129" s="76" t="str">
        <f>IFERROR(__xludf.DUMMYFUNCTION("""COMPUTED_VALUE"""),"Multiple reports ")</f>
        <v>Multiple reports </v>
      </c>
      <c r="E129" s="84">
        <f>IFERROR(__xludf.DUMMYFUNCTION("""COMPUTED_VALUE"""),46120.46597222222)</f>
        <v>46120.46597</v>
      </c>
      <c r="F129" s="86">
        <f>IFERROR(__xludf.DUMMYFUNCTION("""COMPUTED_VALUE"""),46119.71910512732)</f>
        <v>46119.71911</v>
      </c>
      <c r="G129" s="86" t="str">
        <f>IFERROR(__xludf.DUMMYFUNCTION("""COMPUTED_VALUE"""),"Done")</f>
        <v>Done</v>
      </c>
      <c r="H129" s="88">
        <f>IFERROR(__xludf.DUMMYFUNCTION("""COMPUTED_VALUE"""),0.0)</f>
        <v>0</v>
      </c>
      <c r="I129" s="90" t="str">
        <f>IFERROR(__xludf.DUMMYFUNCTION("""COMPUTED_VALUE"""),"EMP0021 Tamanna Dewangan")</f>
        <v>EMP0021 Tamanna Dewangan</v>
      </c>
      <c r="J129" s="91"/>
    </row>
    <row r="130">
      <c r="B130" s="76" t="str">
        <f>IFERROR(__xludf.DUMMYFUNCTION("""COMPUTED_VALUE"""),"Discussion with Requester                                                                           ")</f>
        <v>Discussion with Requester                                                                           </v>
      </c>
      <c r="C130" s="82">
        <f>IFERROR(__xludf.DUMMYFUNCTION("""COMPUTED_VALUE"""),5088.0)</f>
        <v>5088</v>
      </c>
      <c r="D130" s="76" t="str">
        <f>IFERROR(__xludf.DUMMYFUNCTION("""COMPUTED_VALUE"""),"UPSHASTRI MARKSHEET")</f>
        <v>UPSHASTRI MARKSHEET</v>
      </c>
      <c r="E130" s="84">
        <f>IFERROR(__xludf.DUMMYFUNCTION("""COMPUTED_VALUE"""),46120.677687511576)</f>
        <v>46120.67769</v>
      </c>
      <c r="F130" s="86">
        <f>IFERROR(__xludf.DUMMYFUNCTION("""COMPUTED_VALUE"""),46120.62188453703)</f>
        <v>46120.62188</v>
      </c>
      <c r="G130" s="86" t="str">
        <f>IFERROR(__xludf.DUMMYFUNCTION("""COMPUTED_VALUE"""),"Done")</f>
        <v>Done</v>
      </c>
      <c r="H130" s="88">
        <f>IFERROR(__xludf.DUMMYFUNCTION("""COMPUTED_VALUE"""),0.0)</f>
        <v>0</v>
      </c>
      <c r="I130" s="90" t="str">
        <f>IFERROR(__xludf.DUMMYFUNCTION("""COMPUTED_VALUE"""),"EMP0237 Swarnendu Chakraborty")</f>
        <v>EMP0237 Swarnendu Chakraborty</v>
      </c>
      <c r="J130" s="91"/>
    </row>
    <row r="131">
      <c r="B131" s="76" t="str">
        <f>IFERROR(__xludf.DUMMYFUNCTION("""COMPUTED_VALUE"""),"Discussion with Requester                                                                           ")</f>
        <v>Discussion with Requester                                                                           </v>
      </c>
      <c r="C131" s="82">
        <f>IFERROR(__xludf.DUMMYFUNCTION("""COMPUTED_VALUE"""),5089.0)</f>
        <v>5089</v>
      </c>
      <c r="D131" s="76" t="str">
        <f>IFERROR(__xludf.DUMMYFUNCTION("""COMPUTED_VALUE"""),"Marksheet Paramedical")</f>
        <v>Marksheet Paramedical</v>
      </c>
      <c r="E131" s="84">
        <f>IFERROR(__xludf.DUMMYFUNCTION("""COMPUTED_VALUE"""),46120.70164883102)</f>
        <v>46120.70165</v>
      </c>
      <c r="F131" s="86">
        <f>IFERROR(__xludf.DUMMYFUNCTION("""COMPUTED_VALUE"""),46120.621900266204)</f>
        <v>46120.6219</v>
      </c>
      <c r="G131" s="86" t="str">
        <f>IFERROR(__xludf.DUMMYFUNCTION("""COMPUTED_VALUE"""),"Done")</f>
        <v>Done</v>
      </c>
      <c r="H131" s="88">
        <f>IFERROR(__xludf.DUMMYFUNCTION("""COMPUTED_VALUE"""),0.0)</f>
        <v>0</v>
      </c>
      <c r="I131" s="90" t="str">
        <f>IFERROR(__xludf.DUMMYFUNCTION("""COMPUTED_VALUE"""),"EMP0042 HULESHWAR KUMAR SAHU")</f>
        <v>EMP0042 HULESHWAR KUMAR SAHU</v>
      </c>
      <c r="J131" s="91"/>
    </row>
    <row r="132">
      <c r="B132" s="76" t="str">
        <f>IFERROR(__xludf.DUMMYFUNCTION("""COMPUTED_VALUE"""),"Discussion with Requester                                                                           ")</f>
        <v>Discussion with Requester                                                                           </v>
      </c>
      <c r="C132" s="82">
        <f>IFERROR(__xludf.DUMMYFUNCTION("""COMPUTED_VALUE"""),5090.0)</f>
        <v>5090</v>
      </c>
      <c r="D132" s="76" t="str">
        <f>IFERROR(__xludf.DUMMYFUNCTION("""COMPUTED_VALUE"""),"Methodology Deviation Report")</f>
        <v>Methodology Deviation Report</v>
      </c>
      <c r="E132" s="84">
        <f>IFERROR(__xludf.DUMMYFUNCTION("""COMPUTED_VALUE"""),46121.46736111111)</f>
        <v>46121.46736</v>
      </c>
      <c r="F132" s="86">
        <f>IFERROR(__xludf.DUMMYFUNCTION("""COMPUTED_VALUE"""),46120.73090890046)</f>
        <v>46120.73091</v>
      </c>
      <c r="G132" s="86" t="str">
        <f>IFERROR(__xludf.DUMMYFUNCTION("""COMPUTED_VALUE"""),"Done")</f>
        <v>Done</v>
      </c>
      <c r="H132" s="88">
        <f>IFERROR(__xludf.DUMMYFUNCTION("""COMPUTED_VALUE"""),0.0)</f>
        <v>0</v>
      </c>
      <c r="I132" s="90" t="str">
        <f>IFERROR(__xludf.DUMMYFUNCTION("""COMPUTED_VALUE"""),"EMP0042 HULESHWAR KUMAR SAHU")</f>
        <v>EMP0042 HULESHWAR KUMAR SAHU</v>
      </c>
      <c r="J132" s="91"/>
    </row>
    <row r="133">
      <c r="B133" s="76" t="str">
        <f>IFERROR(__xludf.DUMMYFUNCTION("""COMPUTED_VALUE"""),"Discussion with Requester                                                                           ")</f>
        <v>Discussion with Requester                                                                           </v>
      </c>
      <c r="C133" s="82">
        <f>IFERROR(__xludf.DUMMYFUNCTION("""COMPUTED_VALUE"""),5091.0)</f>
        <v>5091</v>
      </c>
      <c r="D133" s="76" t="str">
        <f>IFERROR(__xludf.DUMMYFUNCTION("""COMPUTED_VALUE"""),"TR")</f>
        <v>TR</v>
      </c>
      <c r="E133" s="84">
        <f>IFERROR(__xludf.DUMMYFUNCTION("""COMPUTED_VALUE"""),46121.476388888885)</f>
        <v>46121.47639</v>
      </c>
      <c r="F133" s="86">
        <f>IFERROR(__xludf.DUMMYFUNCTION("""COMPUTED_VALUE"""),46120.73103434027)</f>
        <v>46120.73103</v>
      </c>
      <c r="G133" s="86" t="str">
        <f>IFERROR(__xludf.DUMMYFUNCTION("""COMPUTED_VALUE"""),"Done")</f>
        <v>Done</v>
      </c>
      <c r="H133" s="88">
        <f>IFERROR(__xludf.DUMMYFUNCTION("""COMPUTED_VALUE"""),0.0)</f>
        <v>0</v>
      </c>
      <c r="I133" s="90" t="str">
        <f>IFERROR(__xludf.DUMMYFUNCTION("""COMPUTED_VALUE"""),"EMP0021 Tamanna Dewangan")</f>
        <v>EMP0021 Tamanna Dewangan</v>
      </c>
      <c r="J133" s="91"/>
    </row>
    <row r="134">
      <c r="B134" s="76" t="str">
        <f>IFERROR(__xludf.DUMMYFUNCTION("""COMPUTED_VALUE"""),"Discussion with Requester                                                                           ")</f>
        <v>Discussion with Requester                                                                           </v>
      </c>
      <c r="C134" s="82">
        <f>IFERROR(__xludf.DUMMYFUNCTION("""COMPUTED_VALUE"""),5092.0)</f>
        <v>5092</v>
      </c>
      <c r="D134" s="76" t="str">
        <f>IFERROR(__xludf.DUMMYFUNCTION("""COMPUTED_VALUE"""),"TR ")</f>
        <v>TR </v>
      </c>
      <c r="E134" s="84">
        <f>IFERROR(__xludf.DUMMYFUNCTION("""COMPUTED_VALUE"""),46121.47708333333)</f>
        <v>46121.47708</v>
      </c>
      <c r="F134" s="86">
        <f>IFERROR(__xludf.DUMMYFUNCTION("""COMPUTED_VALUE"""),46120.731156655085)</f>
        <v>46120.73116</v>
      </c>
      <c r="G134" s="86" t="str">
        <f>IFERROR(__xludf.DUMMYFUNCTION("""COMPUTED_VALUE"""),"Done")</f>
        <v>Done</v>
      </c>
      <c r="H134" s="88">
        <f>IFERROR(__xludf.DUMMYFUNCTION("""COMPUTED_VALUE"""),0.0)</f>
        <v>0</v>
      </c>
      <c r="I134" s="90" t="str">
        <f>IFERROR(__xludf.DUMMYFUNCTION("""COMPUTED_VALUE"""),"EMP0042 HULESHWAR KUMAR SAHU")</f>
        <v>EMP0042 HULESHWAR KUMAR SAHU</v>
      </c>
      <c r="J134" s="91"/>
    </row>
    <row r="135">
      <c r="B135" s="76" t="str">
        <f>IFERROR(__xludf.DUMMYFUNCTION("""COMPUTED_VALUE"""),"Discussion with Requester                                                                           ")</f>
        <v>Discussion with Requester                                                                           </v>
      </c>
      <c r="C135" s="82">
        <f>IFERROR(__xludf.DUMMYFUNCTION("""COMPUTED_VALUE"""),5093.0)</f>
        <v>5093</v>
      </c>
      <c r="D135" s="76" t="str">
        <f>IFERROR(__xludf.DUMMYFUNCTION("""COMPUTED_VALUE"""),"TR")</f>
        <v>TR</v>
      </c>
      <c r="E135" s="84">
        <f>IFERROR(__xludf.DUMMYFUNCTION("""COMPUTED_VALUE"""),46121.702689375)</f>
        <v>46121.70269</v>
      </c>
      <c r="F135" s="86">
        <f>IFERROR(__xludf.DUMMYFUNCTION("""COMPUTED_VALUE"""),46121.64437649306)</f>
        <v>46121.64438</v>
      </c>
      <c r="G135" s="86" t="str">
        <f>IFERROR(__xludf.DUMMYFUNCTION("""COMPUTED_VALUE"""),"Done")</f>
        <v>Done</v>
      </c>
      <c r="H135" s="88">
        <f>IFERROR(__xludf.DUMMYFUNCTION("""COMPUTED_VALUE"""),0.0)</f>
        <v>0</v>
      </c>
      <c r="I135" s="90" t="str">
        <f>IFERROR(__xludf.DUMMYFUNCTION("""COMPUTED_VALUE"""),"EMP5009 Rup Kumar Mandal")</f>
        <v>EMP5009 Rup Kumar Mandal</v>
      </c>
      <c r="J135" s="91"/>
    </row>
    <row r="136">
      <c r="B136" s="76" t="str">
        <f>IFERROR(__xludf.DUMMYFUNCTION("""COMPUTED_VALUE"""),"Discussion with Requester                                                                           ")</f>
        <v>Discussion with Requester                                                                           </v>
      </c>
      <c r="C136" s="82">
        <f>IFERROR(__xludf.DUMMYFUNCTION("""COMPUTED_VALUE"""),5094.0)</f>
        <v>5094</v>
      </c>
      <c r="D136" s="76" t="str">
        <f>IFERROR(__xludf.DUMMYFUNCTION("""COMPUTED_VALUE"""),"Result Data")</f>
        <v>Result Data</v>
      </c>
      <c r="E136" s="84">
        <f>IFERROR(__xludf.DUMMYFUNCTION("""COMPUTED_VALUE"""),46121.7372740162)</f>
        <v>46121.73727</v>
      </c>
      <c r="F136" s="86">
        <f>IFERROR(__xludf.DUMMYFUNCTION("""COMPUTED_VALUE"""),46121.64440519676)</f>
        <v>46121.64441</v>
      </c>
      <c r="G136" s="86" t="str">
        <f>IFERROR(__xludf.DUMMYFUNCTION("""COMPUTED_VALUE"""),"Done")</f>
        <v>Done</v>
      </c>
      <c r="H136" s="88">
        <f>IFERROR(__xludf.DUMMYFUNCTION("""COMPUTED_VALUE"""),0.0)</f>
        <v>0</v>
      </c>
      <c r="I136" s="90" t="str">
        <f>IFERROR(__xludf.DUMMYFUNCTION("""COMPUTED_VALUE"""),"EMP0237 Swarnendu Chakraborty")</f>
        <v>EMP0237 Swarnendu Chakraborty</v>
      </c>
      <c r="J136" s="91"/>
    </row>
    <row r="137">
      <c r="B137" s="76" t="str">
        <f>IFERROR(__xludf.DUMMYFUNCTION("""COMPUTED_VALUE"""),"Discussion with Requester                                                                           ")</f>
        <v>Discussion with Requester                                                                           </v>
      </c>
      <c r="C137" s="82">
        <f>IFERROR(__xludf.DUMMYFUNCTION("""COMPUTED_VALUE"""),5095.0)</f>
        <v>5095</v>
      </c>
      <c r="D137" s="76" t="str">
        <f>IFERROR(__xludf.DUMMYFUNCTION("""COMPUTED_VALUE"""),"TR semester (NEW)")</f>
        <v>TR semester (NEW)</v>
      </c>
      <c r="E137" s="84">
        <f>IFERROR(__xludf.DUMMYFUNCTION("""COMPUTED_VALUE"""),46121.81161628472)</f>
        <v>46121.81162</v>
      </c>
      <c r="F137" s="86">
        <f>IFERROR(__xludf.DUMMYFUNCTION("""COMPUTED_VALUE"""),46121.64512804398)</f>
        <v>46121.64513</v>
      </c>
      <c r="G137" s="86" t="str">
        <f>IFERROR(__xludf.DUMMYFUNCTION("""COMPUTED_VALUE"""),"Done")</f>
        <v>Done</v>
      </c>
      <c r="H137" s="88">
        <f>IFERROR(__xludf.DUMMYFUNCTION("""COMPUTED_VALUE"""),0.0)</f>
        <v>0</v>
      </c>
      <c r="I137" s="90" t="str">
        <f>IFERROR(__xludf.DUMMYFUNCTION("""COMPUTED_VALUE"""),"EMP5009 Rup Kumar Mandal")</f>
        <v>EMP5009 Rup Kumar Mandal</v>
      </c>
      <c r="J137" s="91"/>
    </row>
    <row r="138">
      <c r="B138" s="76" t="str">
        <f>IFERROR(__xludf.DUMMYFUNCTION("""COMPUTED_VALUE"""),"Discussion with Requester                                                                           ")</f>
        <v>Discussion with Requester                                                                           </v>
      </c>
      <c r="C138" s="82">
        <f>IFERROR(__xludf.DUMMYFUNCTION("""COMPUTED_VALUE"""),5096.0)</f>
        <v>5096</v>
      </c>
      <c r="D138" s="76" t="str">
        <f>IFERROR(__xludf.DUMMYFUNCTION("""COMPUTED_VALUE"""),"Grade Carde B.Tech")</f>
        <v>Grade Carde B.Tech</v>
      </c>
      <c r="E138" s="84">
        <f>IFERROR(__xludf.DUMMYFUNCTION("""COMPUTED_VALUE"""),46121.81607422454)</f>
        <v>46121.81607</v>
      </c>
      <c r="F138" s="86">
        <f>IFERROR(__xludf.DUMMYFUNCTION("""COMPUTED_VALUE"""),46121.69097325231)</f>
        <v>46121.69097</v>
      </c>
      <c r="G138" s="86" t="str">
        <f>IFERROR(__xludf.DUMMYFUNCTION("""COMPUTED_VALUE"""),"Done")</f>
        <v>Done</v>
      </c>
      <c r="H138" s="88">
        <f>IFERROR(__xludf.DUMMYFUNCTION("""COMPUTED_VALUE"""),0.0)</f>
        <v>0</v>
      </c>
      <c r="I138" s="90" t="str">
        <f>IFERROR(__xludf.DUMMYFUNCTION("""COMPUTED_VALUE"""),"EMP0042 HULESHWAR KUMAR SAHU")</f>
        <v>EMP0042 HULESHWAR KUMAR SAHU</v>
      </c>
      <c r="J138" s="91"/>
    </row>
    <row r="139">
      <c r="B139" s="76" t="str">
        <f>IFERROR(__xludf.DUMMYFUNCTION("""COMPUTED_VALUE"""),"Discussion with Requester                                                                           ")</f>
        <v>Discussion with Requester                                                                           </v>
      </c>
      <c r="C139" s="82">
        <f>IFERROR(__xludf.DUMMYFUNCTION("""COMPUTED_VALUE"""),5097.0)</f>
        <v>5097</v>
      </c>
      <c r="D139" s="76" t="str">
        <f>IFERROR(__xludf.DUMMYFUNCTION("""COMPUTED_VALUE"""),"Shastri Semester Marksheet publication date to current date change")</f>
        <v>Shastri Semester Marksheet publication date to current date change</v>
      </c>
      <c r="E139" s="84">
        <f>IFERROR(__xludf.DUMMYFUNCTION("""COMPUTED_VALUE"""),46122.74356717592)</f>
        <v>46122.74357</v>
      </c>
      <c r="F139" s="86">
        <f>IFERROR(__xludf.DUMMYFUNCTION("""COMPUTED_VALUE"""),46122.607656099535)</f>
        <v>46122.60766</v>
      </c>
      <c r="G139" s="86" t="str">
        <f>IFERROR(__xludf.DUMMYFUNCTION("""COMPUTED_VALUE"""),"Done")</f>
        <v>Done</v>
      </c>
      <c r="H139" s="88">
        <f>IFERROR(__xludf.DUMMYFUNCTION("""COMPUTED_VALUE"""),0.0)</f>
        <v>0</v>
      </c>
      <c r="I139" s="90" t="str">
        <f>IFERROR(__xludf.DUMMYFUNCTION("""COMPUTED_VALUE"""),"EMP0021 Tamanna Dewangan")</f>
        <v>EMP0021 Tamanna Dewangan</v>
      </c>
      <c r="J139" s="91"/>
    </row>
    <row r="140">
      <c r="B140" s="76" t="str">
        <f>IFERROR(__xludf.DUMMYFUNCTION("""COMPUTED_VALUE"""),"Discussion with Requester                                                                           ")</f>
        <v>Discussion with Requester                                                                           </v>
      </c>
      <c r="C140" s="82">
        <f>IFERROR(__xludf.DUMMYFUNCTION("""COMPUTED_VALUE"""),5098.0)</f>
        <v>5098</v>
      </c>
      <c r="D140" s="76" t="str">
        <f>IFERROR(__xludf.DUMMYFUNCTION("""COMPUTED_VALUE"""),"GRADE CARD AGRICULTURE")</f>
        <v>GRADE CARD AGRICULTURE</v>
      </c>
      <c r="E140" s="84">
        <f>IFERROR(__xludf.DUMMYFUNCTION("""COMPUTED_VALUE"""),46126.44375)</f>
        <v>46126.44375</v>
      </c>
      <c r="F140" s="86">
        <f>IFERROR(__xludf.DUMMYFUNCTION("""COMPUTED_VALUE"""),46125.71877013888)</f>
        <v>46125.71877</v>
      </c>
      <c r="G140" s="86" t="str">
        <f>IFERROR(__xludf.DUMMYFUNCTION("""COMPUTED_VALUE"""),"Done")</f>
        <v>Done</v>
      </c>
      <c r="H140" s="88">
        <f>IFERROR(__xludf.DUMMYFUNCTION("""COMPUTED_VALUE"""),0.0)</f>
        <v>0</v>
      </c>
      <c r="I140" s="90" t="str">
        <f>IFERROR(__xludf.DUMMYFUNCTION("""COMPUTED_VALUE"""),"EMP0042 HULESHWAR KUMAR SAHU")</f>
        <v>EMP0042 HULESHWAR KUMAR SAHU</v>
      </c>
      <c r="J140" s="91"/>
    </row>
    <row r="141">
      <c r="B141" s="76" t="str">
        <f>IFERROR(__xludf.DUMMYFUNCTION("""COMPUTED_VALUE"""),"Discussion with Requester                                                                           ")</f>
        <v>Discussion with Requester                                                                           </v>
      </c>
      <c r="C141" s="82">
        <f>IFERROR(__xludf.DUMMYFUNCTION("""COMPUTED_VALUE"""),5099.0)</f>
        <v>5099</v>
      </c>
      <c r="D141" s="76" t="str">
        <f>IFERROR(__xludf.DUMMYFUNCTION("""COMPUTED_VALUE"""),"TR_phd_NEW_FORMAT")</f>
        <v>TR_phd_NEW_FORMAT</v>
      </c>
      <c r="E141" s="84">
        <f>IFERROR(__xludf.DUMMYFUNCTION("""COMPUTED_VALUE"""),46126.444444444445)</f>
        <v>46126.44444</v>
      </c>
      <c r="F141" s="86">
        <f>IFERROR(__xludf.DUMMYFUNCTION("""COMPUTED_VALUE"""),46125.718795057874)</f>
        <v>46125.7188</v>
      </c>
      <c r="G141" s="86" t="str">
        <f>IFERROR(__xludf.DUMMYFUNCTION("""COMPUTED_VALUE"""),"Done")</f>
        <v>Done</v>
      </c>
      <c r="H141" s="88">
        <f>IFERROR(__xludf.DUMMYFUNCTION("""COMPUTED_VALUE"""),0.0)</f>
        <v>0</v>
      </c>
      <c r="I141" s="90" t="str">
        <f>IFERROR(__xludf.DUMMYFUNCTION("""COMPUTED_VALUE"""),"EMP0042 HULESHWAR KUMAR SAHU")</f>
        <v>EMP0042 HULESHWAR KUMAR SAHU</v>
      </c>
      <c r="J141" s="91"/>
    </row>
    <row r="142">
      <c r="B142" s="76" t="str">
        <f>IFERROR(__xludf.DUMMYFUNCTION("""COMPUTED_VALUE"""),"Discussion with Requester                                                                           ")</f>
        <v>Discussion with Requester                                                                           </v>
      </c>
      <c r="C142" s="82">
        <f>IFERROR(__xludf.DUMMYFUNCTION("""COMPUTED_VALUE"""),5100.0)</f>
        <v>5100</v>
      </c>
      <c r="D142" s="76" t="str">
        <f>IFERROR(__xludf.DUMMYFUNCTION("""COMPUTED_VALUE"""),"Session - 2024-25 (S), MBBS ,SUPPLEMENTARY. 1st Professional MBBS Examination 2025 (II), correction in the  supplementary marksheet.")</f>
        <v>Session - 2024-25 (S), MBBS ,SUPPLEMENTARY. 1st Professional MBBS Examination 2025 (II), correction in the  supplementary marksheet.</v>
      </c>
      <c r="E142" s="84">
        <f>IFERROR(__xludf.DUMMYFUNCTION("""COMPUTED_VALUE"""),46127.43472222222)</f>
        <v>46127.43472</v>
      </c>
      <c r="F142" s="86">
        <f>IFERROR(__xludf.DUMMYFUNCTION("""COMPUTED_VALUE"""),46126.78085811342)</f>
        <v>46126.78086</v>
      </c>
      <c r="G142" s="86" t="str">
        <f>IFERROR(__xludf.DUMMYFUNCTION("""COMPUTED_VALUE"""),"Done")</f>
        <v>Done</v>
      </c>
      <c r="H142" s="88">
        <f>IFERROR(__xludf.DUMMYFUNCTION("""COMPUTED_VALUE"""),0.0)</f>
        <v>0</v>
      </c>
      <c r="I142" s="90" t="str">
        <f>IFERROR(__xludf.DUMMYFUNCTION("""COMPUTED_VALUE"""),"EMP0042 HULESHWAR KUMAR SAHU")</f>
        <v>EMP0042 HULESHWAR KUMAR SAHU</v>
      </c>
      <c r="J142" s="91"/>
    </row>
    <row r="143">
      <c r="B143" s="76" t="str">
        <f>IFERROR(__xludf.DUMMYFUNCTION("""COMPUTED_VALUE"""),"Discussion with Requester                                                                           ")</f>
        <v>Discussion with Requester                                                                           </v>
      </c>
      <c r="C143" s="82">
        <f>IFERROR(__xludf.DUMMYFUNCTION("""COMPUTED_VALUE"""),5101.0)</f>
        <v>5101</v>
      </c>
      <c r="D143" s="76" t="str">
        <f>IFERROR(__xludf.DUMMYFUNCTION("""COMPUTED_VALUE"""),"Upshastri marksheet not downloading SE23")</f>
        <v>Upshastri marksheet not downloading SE23</v>
      </c>
      <c r="E143" s="84">
        <f>IFERROR(__xludf.DUMMYFUNCTION("""COMPUTED_VALUE"""),46127.72888729167)</f>
        <v>46127.72889</v>
      </c>
      <c r="F143" s="86">
        <f>IFERROR(__xludf.DUMMYFUNCTION("""COMPUTED_VALUE"""),46127.61640590278)</f>
        <v>46127.61641</v>
      </c>
      <c r="G143" s="86" t="str">
        <f>IFERROR(__xludf.DUMMYFUNCTION("""COMPUTED_VALUE"""),"Done")</f>
        <v>Done</v>
      </c>
      <c r="H143" s="88">
        <f>IFERROR(__xludf.DUMMYFUNCTION("""COMPUTED_VALUE"""),0.0)</f>
        <v>0</v>
      </c>
      <c r="I143" s="90" t="str">
        <f>IFERROR(__xludf.DUMMYFUNCTION("""COMPUTED_VALUE"""),"EMP0021 Tamanna Dewangan")</f>
        <v>EMP0021 Tamanna Dewangan</v>
      </c>
      <c r="J143" s="91"/>
    </row>
    <row r="144">
      <c r="B144" s="76" t="str">
        <f>IFERROR(__xludf.DUMMYFUNCTION("""COMPUTED_VALUE"""),"Discussion with Requester                                                                           ")</f>
        <v>Discussion with Requester                                                                           </v>
      </c>
      <c r="C144" s="82">
        <f>IFERROR(__xludf.DUMMYFUNCTION("""COMPUTED_VALUE"""),5102.0)</f>
        <v>5102</v>
      </c>
      <c r="D144" s="76" t="str">
        <f>IFERROR(__xludf.DUMMYFUNCTION("""COMPUTED_VALUE"""),"Marksheet cumulative nep major minor")</f>
        <v>Marksheet cumulative nep major minor</v>
      </c>
      <c r="E144" s="84">
        <f>IFERROR(__xludf.DUMMYFUNCTION("""COMPUTED_VALUE"""),46128.65086680556)</f>
        <v>46128.65087</v>
      </c>
      <c r="F144" s="86">
        <f>IFERROR(__xludf.DUMMYFUNCTION("""COMPUTED_VALUE"""),46128.493555706016)</f>
        <v>46128.49356</v>
      </c>
      <c r="G144" s="86" t="str">
        <f>IFERROR(__xludf.DUMMYFUNCTION("""COMPUTED_VALUE"""),"Done")</f>
        <v>Done</v>
      </c>
      <c r="H144" s="88">
        <f>IFERROR(__xludf.DUMMYFUNCTION("""COMPUTED_VALUE"""),0.0)</f>
        <v>0</v>
      </c>
      <c r="I144" s="90" t="str">
        <f>IFERROR(__xludf.DUMMYFUNCTION("""COMPUTED_VALUE"""),"EMP0042 HULESHWAR KUMAR SAHU")</f>
        <v>EMP0042 HULESHWAR KUMAR SAHU</v>
      </c>
      <c r="J144" s="91"/>
    </row>
    <row r="145">
      <c r="B145" s="76" t="str">
        <f>IFERROR(__xludf.DUMMYFUNCTION("""COMPUTED_VALUE"""),"Discussion with Requester                                                                           ")</f>
        <v>Discussion with Requester                                                                           </v>
      </c>
      <c r="C145" s="82">
        <f>IFERROR(__xludf.DUMMYFUNCTION("""COMPUTED_VALUE"""),5103.0)</f>
        <v>5103</v>
      </c>
      <c r="D145" s="76" t="str">
        <f>IFERROR(__xludf.DUMMYFUNCTION("""COMPUTED_VALUE"""),"Multiple Report ")</f>
        <v>Multiple Report </v>
      </c>
      <c r="E145" s="84">
        <f>IFERROR(__xludf.DUMMYFUNCTION("""COMPUTED_VALUE"""),46128.66913018518)</f>
        <v>46128.66913</v>
      </c>
      <c r="F145" s="86">
        <f>IFERROR(__xludf.DUMMYFUNCTION("""COMPUTED_VALUE"""),46128.516247025465)</f>
        <v>46128.51625</v>
      </c>
      <c r="G145" s="86" t="str">
        <f>IFERROR(__xludf.DUMMYFUNCTION("""COMPUTED_VALUE"""),"Done")</f>
        <v>Done</v>
      </c>
      <c r="H145" s="88">
        <f>IFERROR(__xludf.DUMMYFUNCTION("""COMPUTED_VALUE"""),0.0)</f>
        <v>0</v>
      </c>
      <c r="I145" s="90" t="str">
        <f>IFERROR(__xludf.DUMMYFUNCTION("""COMPUTED_VALUE"""),"EMP0042 HULESHWAR KUMAR SAHU")</f>
        <v>EMP0042 HULESHWAR KUMAR SAHU</v>
      </c>
      <c r="J145" s="91"/>
    </row>
    <row r="146">
      <c r="B146" s="76" t="str">
        <f>IFERROR(__xludf.DUMMYFUNCTION("""COMPUTED_VALUE"""),"Discussion with Requester                                                                           ")</f>
        <v>Discussion with Requester                                                                           </v>
      </c>
      <c r="C146" s="82">
        <f>IFERROR(__xludf.DUMMYFUNCTION("""COMPUTED_VALUE"""),5104.0)</f>
        <v>5104</v>
      </c>
      <c r="D146" s="76" t="str">
        <f>IFERROR(__xludf.DUMMYFUNCTION("""COMPUTED_VALUE"""),"TR")</f>
        <v>TR</v>
      </c>
      <c r="E146" s="84">
        <f>IFERROR(__xludf.DUMMYFUNCTION("""COMPUTED_VALUE"""),46128.822332719916)</f>
        <v>46128.82233</v>
      </c>
      <c r="F146" s="86">
        <f>IFERROR(__xludf.DUMMYFUNCTION("""COMPUTED_VALUE"""),46128.69164788195)</f>
        <v>46128.69165</v>
      </c>
      <c r="G146" s="86" t="str">
        <f>IFERROR(__xludf.DUMMYFUNCTION("""COMPUTED_VALUE"""),"Done")</f>
        <v>Done</v>
      </c>
      <c r="H146" s="88">
        <f>IFERROR(__xludf.DUMMYFUNCTION("""COMPUTED_VALUE"""),0.0)</f>
        <v>0</v>
      </c>
      <c r="I146" s="90" t="str">
        <f>IFERROR(__xludf.DUMMYFUNCTION("""COMPUTED_VALUE"""),"EMP0042 HULESHWAR KUMAR SAHU")</f>
        <v>EMP0042 HULESHWAR KUMAR SAHU</v>
      </c>
      <c r="J146" s="91"/>
    </row>
    <row r="147">
      <c r="B147" s="76" t="str">
        <f>IFERROR(__xludf.DUMMYFUNCTION("""COMPUTED_VALUE"""),"Discussion with Requester                                                                           ")</f>
        <v>Discussion with Requester                                                                           </v>
      </c>
      <c r="C147" s="82">
        <f>IFERROR(__xludf.DUMMYFUNCTION("""COMPUTED_VALUE"""),5105.0)</f>
        <v>5105</v>
      </c>
      <c r="D147" s="76" t="str">
        <f>IFERROR(__xludf.DUMMYFUNCTION("""COMPUTED_VALUE"""),"Grade Carde B.Tech")</f>
        <v>Grade Carde B.Tech</v>
      </c>
      <c r="E147" s="84">
        <f>IFERROR(__xludf.DUMMYFUNCTION("""COMPUTED_VALUE"""),46129.63959370371)</f>
        <v>46129.63959</v>
      </c>
      <c r="F147" s="86">
        <f>IFERROR(__xludf.DUMMYFUNCTION("""COMPUTED_VALUE"""),46129.51047303241)</f>
        <v>46129.51047</v>
      </c>
      <c r="G147" s="86" t="str">
        <f>IFERROR(__xludf.DUMMYFUNCTION("""COMPUTED_VALUE"""),"Done")</f>
        <v>Done</v>
      </c>
      <c r="H147" s="88">
        <f>IFERROR(__xludf.DUMMYFUNCTION("""COMPUTED_VALUE"""),0.0)</f>
        <v>0</v>
      </c>
      <c r="I147" s="90" t="str">
        <f>IFERROR(__xludf.DUMMYFUNCTION("""COMPUTED_VALUE"""),"EMP5009 Rup Kumar Mandal")</f>
        <v>EMP5009 Rup Kumar Mandal</v>
      </c>
      <c r="J147" s="91"/>
    </row>
    <row r="148">
      <c r="B148" s="76" t="str">
        <f>IFERROR(__xludf.DUMMYFUNCTION("""COMPUTED_VALUE"""),"Discussion with Requester                                                                           ")</f>
        <v>Discussion with Requester                                                                           </v>
      </c>
      <c r="C148" s="82">
        <f>IFERROR(__xludf.DUMMYFUNCTION("""COMPUTED_VALUE"""),5106.0)</f>
        <v>5106</v>
      </c>
      <c r="D148" s="76" t="str">
        <f>IFERROR(__xludf.DUMMYFUNCTION("""COMPUTED_VALUE"""),"TR.....&amp; ALL REPORTS")</f>
        <v>TR.....&amp; ALL REPORTS</v>
      </c>
      <c r="E148" s="84">
        <f>IFERROR(__xludf.DUMMYFUNCTION("""COMPUTED_VALUE"""),46129.73921881944)</f>
        <v>46129.73922</v>
      </c>
      <c r="F148" s="86">
        <f>IFERROR(__xludf.DUMMYFUNCTION("""COMPUTED_VALUE"""),46129.606294375)</f>
        <v>46129.60629</v>
      </c>
      <c r="G148" s="86" t="str">
        <f>IFERROR(__xludf.DUMMYFUNCTION("""COMPUTED_VALUE"""),"Done")</f>
        <v>Done</v>
      </c>
      <c r="H148" s="88">
        <f>IFERROR(__xludf.DUMMYFUNCTION("""COMPUTED_VALUE"""),0.0)</f>
        <v>0</v>
      </c>
      <c r="I148" s="90" t="str">
        <f>IFERROR(__xludf.DUMMYFUNCTION("""COMPUTED_VALUE"""),"EMP5009 Rup Kumar Mandal")</f>
        <v>EMP5009 Rup Kumar Mandal</v>
      </c>
      <c r="J148" s="91"/>
    </row>
    <row r="149">
      <c r="B149" s="76" t="str">
        <f>IFERROR(__xludf.DUMMYFUNCTION("""COMPUTED_VALUE"""),"Discussion with Requester                                                                           ")</f>
        <v>Discussion with Requester                                                                           </v>
      </c>
      <c r="C149" s="82">
        <f>IFERROR(__xludf.DUMMYFUNCTION("""COMPUTED_VALUE"""),5107.0)</f>
        <v>5107</v>
      </c>
      <c r="D149" s="76" t="str">
        <f>IFERROR(__xludf.DUMMYFUNCTION("""COMPUTED_VALUE"""),"TR.....&amp; all reports")</f>
        <v>TR.....&amp; all reports</v>
      </c>
      <c r="E149" s="84">
        <f>IFERROR(__xludf.DUMMYFUNCTION("""COMPUTED_VALUE"""),46129.74135149305)</f>
        <v>46129.74135</v>
      </c>
      <c r="F149" s="86">
        <f>IFERROR(__xludf.DUMMYFUNCTION("""COMPUTED_VALUE"""),46129.606312592594)</f>
        <v>46129.60631</v>
      </c>
      <c r="G149" s="86" t="str">
        <f>IFERROR(__xludf.DUMMYFUNCTION("""COMPUTED_VALUE"""),"Done")</f>
        <v>Done</v>
      </c>
      <c r="H149" s="88">
        <f>IFERROR(__xludf.DUMMYFUNCTION("""COMPUTED_VALUE"""),0.0)</f>
        <v>0</v>
      </c>
      <c r="I149" s="90" t="str">
        <f>IFERROR(__xludf.DUMMYFUNCTION("""COMPUTED_VALUE"""),"EMP5009 Rup Kumar Mandal")</f>
        <v>EMP5009 Rup Kumar Mandal</v>
      </c>
      <c r="J149" s="91"/>
    </row>
    <row r="150">
      <c r="B150" s="76" t="str">
        <f>IFERROR(__xludf.DUMMYFUNCTION("""COMPUTED_VALUE"""),"Discussion with Requester                                                                           ")</f>
        <v>Discussion with Requester                                                                           </v>
      </c>
      <c r="C150" s="82">
        <f>IFERROR(__xludf.DUMMYFUNCTION("""COMPUTED_VALUE"""),5108.0)</f>
        <v>5108</v>
      </c>
      <c r="D150" s="76" t="str">
        <f>IFERROR(__xludf.DUMMYFUNCTION("""COMPUTED_VALUE"""),"Mark Entry")</f>
        <v>Mark Entry</v>
      </c>
      <c r="E150" s="84">
        <f>IFERROR(__xludf.DUMMYFUNCTION("""COMPUTED_VALUE"""),46132.69259737268)</f>
        <v>46132.6926</v>
      </c>
      <c r="F150" s="86">
        <f>IFERROR(__xludf.DUMMYFUNCTION("""COMPUTED_VALUE"""),46132.62796440972)</f>
        <v>46132.62796</v>
      </c>
      <c r="G150" s="86" t="str">
        <f>IFERROR(__xludf.DUMMYFUNCTION("""COMPUTED_VALUE"""),"Done")</f>
        <v>Done</v>
      </c>
      <c r="H150" s="88">
        <f>IFERROR(__xludf.DUMMYFUNCTION("""COMPUTED_VALUE"""),0.0)</f>
        <v>0</v>
      </c>
      <c r="I150" s="90" t="str">
        <f>IFERROR(__xludf.DUMMYFUNCTION("""COMPUTED_VALUE"""),"EMP0237 Swarnendu Chakraborty")</f>
        <v>EMP0237 Swarnendu Chakraborty</v>
      </c>
      <c r="J150" s="91"/>
    </row>
    <row r="151">
      <c r="B151" s="76" t="str">
        <f>IFERROR(__xludf.DUMMYFUNCTION("""COMPUTED_VALUE"""),"Discussion with Requester                                                                           ")</f>
        <v>Discussion with Requester                                                                           </v>
      </c>
      <c r="C151" s="82">
        <f>IFERROR(__xludf.DUMMYFUNCTION("""COMPUTED_VALUE"""),5109.0)</f>
        <v>5109</v>
      </c>
      <c r="D151" s="76" t="str">
        <f>IFERROR(__xludf.DUMMYFUNCTION("""COMPUTED_VALUE"""),"Mark Entry")</f>
        <v>Mark Entry</v>
      </c>
      <c r="E151" s="84">
        <f>IFERROR(__xludf.DUMMYFUNCTION("""COMPUTED_VALUE"""),46132.6942296875)</f>
        <v>46132.69423</v>
      </c>
      <c r="F151" s="86">
        <f>IFERROR(__xludf.DUMMYFUNCTION("""COMPUTED_VALUE"""),46132.6282003588)</f>
        <v>46132.6282</v>
      </c>
      <c r="G151" s="86" t="str">
        <f>IFERROR(__xludf.DUMMYFUNCTION("""COMPUTED_VALUE"""),"Done")</f>
        <v>Done</v>
      </c>
      <c r="H151" s="88">
        <f>IFERROR(__xludf.DUMMYFUNCTION("""COMPUTED_VALUE"""),0.0)</f>
        <v>0</v>
      </c>
      <c r="I151" s="90" t="str">
        <f>IFERROR(__xludf.DUMMYFUNCTION("""COMPUTED_VALUE"""),"EMP5009 Rup Kumar Mandal")</f>
        <v>EMP5009 Rup Kumar Mandal</v>
      </c>
      <c r="J151" s="91"/>
    </row>
    <row r="152">
      <c r="B152" s="76" t="str">
        <f>IFERROR(__xludf.DUMMYFUNCTION("""COMPUTED_VALUE"""),"Discussion with Requester                                                                           ")</f>
        <v>Discussion with Requester                                                                           </v>
      </c>
      <c r="C152" s="82">
        <f>IFERROR(__xludf.DUMMYFUNCTION("""COMPUTED_VALUE"""),5110.0)</f>
        <v>5110</v>
      </c>
      <c r="D152" s="76" t="str">
        <f>IFERROR(__xludf.DUMMYFUNCTION("""COMPUTED_VALUE"""),"RR ENROLLMENT FEES OVERALL")</f>
        <v>RR ENROLLMENT FEES OVERALL</v>
      </c>
      <c r="E152" s="84">
        <f>IFERROR(__xludf.DUMMYFUNCTION("""COMPUTED_VALUE"""),46133.47222222222)</f>
        <v>46133.47222</v>
      </c>
      <c r="F152" s="86">
        <f>IFERROR(__xludf.DUMMYFUNCTION("""COMPUTED_VALUE"""),46132.72809133102)</f>
        <v>46132.72809</v>
      </c>
      <c r="G152" s="86" t="str">
        <f>IFERROR(__xludf.DUMMYFUNCTION("""COMPUTED_VALUE"""),"Done")</f>
        <v>Done</v>
      </c>
      <c r="H152" s="88">
        <f>IFERROR(__xludf.DUMMYFUNCTION("""COMPUTED_VALUE"""),0.0)</f>
        <v>0</v>
      </c>
      <c r="I152" s="90" t="str">
        <f>IFERROR(__xludf.DUMMYFUNCTION("""COMPUTED_VALUE"""),"EMP0042 HULESHWAR KUMAR SAHU")</f>
        <v>EMP0042 HULESHWAR KUMAR SAHU</v>
      </c>
      <c r="J152" s="91"/>
    </row>
    <row r="153">
      <c r="B153" s="76" t="str">
        <f>IFERROR(__xludf.DUMMYFUNCTION("""COMPUTED_VALUE"""),"Discussion with Requester                                                                           ")</f>
        <v>Discussion with Requester                                                                           </v>
      </c>
      <c r="C153" s="82">
        <f>IFERROR(__xludf.DUMMYFUNCTION("""COMPUTED_VALUE"""),5111.0)</f>
        <v>5111</v>
      </c>
      <c r="D153" s="76" t="str">
        <f>IFERROR(__xludf.DUMMYFUNCTION("""COMPUTED_VALUE"""),"3386")</f>
        <v>3386</v>
      </c>
      <c r="E153" s="84">
        <f>IFERROR(__xludf.DUMMYFUNCTION("""COMPUTED_VALUE"""),46133.56458333333)</f>
        <v>46133.56458</v>
      </c>
      <c r="F153" s="86">
        <f>IFERROR(__xludf.DUMMYFUNCTION("""COMPUTED_VALUE"""),46132.83240726852)</f>
        <v>46132.83241</v>
      </c>
      <c r="G153" s="86" t="str">
        <f>IFERROR(__xludf.DUMMYFUNCTION("""COMPUTED_VALUE"""),"Done")</f>
        <v>Done</v>
      </c>
      <c r="H153" s="88">
        <f>IFERROR(__xludf.DUMMYFUNCTION("""COMPUTED_VALUE"""),0.0)</f>
        <v>0</v>
      </c>
      <c r="I153" s="90" t="str">
        <f>IFERROR(__xludf.DUMMYFUNCTION("""COMPUTED_VALUE"""),"EMP0021 Tamanna Dewangan")</f>
        <v>EMP0021 Tamanna Dewangan</v>
      </c>
      <c r="J153" s="91"/>
    </row>
    <row r="154">
      <c r="B154" s="76" t="str">
        <f>IFERROR(__xludf.DUMMYFUNCTION("""COMPUTED_VALUE"""),"Discussion with Requester                                                                           ")</f>
        <v>Discussion with Requester                                                                           </v>
      </c>
      <c r="C154" s="82">
        <f>IFERROR(__xludf.DUMMYFUNCTION("""COMPUTED_VALUE"""),5112.0)</f>
        <v>5112</v>
      </c>
      <c r="D154" s="76" t="str">
        <f>IFERROR(__xludf.DUMMYFUNCTION("""COMPUTED_VALUE"""),"Admit Card")</f>
        <v>Admit Card</v>
      </c>
      <c r="E154" s="84">
        <f>IFERROR(__xludf.DUMMYFUNCTION("""COMPUTED_VALUE"""),46134.478472222225)</f>
        <v>46134.47847</v>
      </c>
      <c r="F154" s="86">
        <f>IFERROR(__xludf.DUMMYFUNCTION("""COMPUTED_VALUE"""),46133.77962472223)</f>
        <v>46133.77962</v>
      </c>
      <c r="G154" s="86" t="str">
        <f>IFERROR(__xludf.DUMMYFUNCTION("""COMPUTED_VALUE"""),"Done")</f>
        <v>Done</v>
      </c>
      <c r="H154" s="88">
        <f>IFERROR(__xludf.DUMMYFUNCTION("""COMPUTED_VALUE"""),0.0)</f>
        <v>0</v>
      </c>
      <c r="I154" s="90" t="str">
        <f>IFERROR(__xludf.DUMMYFUNCTION("""COMPUTED_VALUE"""),"EMP5009 Rup Kumar Mandal")</f>
        <v>EMP5009 Rup Kumar Mandal</v>
      </c>
      <c r="J154" s="91"/>
    </row>
    <row r="155">
      <c r="B155" s="76" t="str">
        <f>IFERROR(__xludf.DUMMYFUNCTION("""COMPUTED_VALUE"""),"Discussion with Requester                                                                           ")</f>
        <v>Discussion with Requester                                                                           </v>
      </c>
      <c r="C155" s="82">
        <f>IFERROR(__xludf.DUMMYFUNCTION("""COMPUTED_VALUE"""),5113.0)</f>
        <v>5113</v>
      </c>
      <c r="D155" s="76" t="str">
        <f>IFERROR(__xludf.DUMMYFUNCTION("""COMPUTED_VALUE"""),"Marks Sheet NEP")</f>
        <v>Marks Sheet NEP</v>
      </c>
      <c r="E155" s="84">
        <f>IFERROR(__xludf.DUMMYFUNCTION("""COMPUTED_VALUE"""),46135.618172002316)</f>
        <v>46135.61817</v>
      </c>
      <c r="F155" s="86">
        <f>IFERROR(__xludf.DUMMYFUNCTION("""COMPUTED_VALUE"""),46135.544342002315)</f>
        <v>46135.54434</v>
      </c>
      <c r="G155" s="86" t="str">
        <f>IFERROR(__xludf.DUMMYFUNCTION("""COMPUTED_VALUE"""),"Done")</f>
        <v>Done</v>
      </c>
      <c r="H155" s="88">
        <f>IFERROR(__xludf.DUMMYFUNCTION("""COMPUTED_VALUE"""),0.0)</f>
        <v>0</v>
      </c>
      <c r="I155" s="90" t="str">
        <f>IFERROR(__xludf.DUMMYFUNCTION("""COMPUTED_VALUE"""),"EMP0042 HULESHWAR KUMAR SAHU")</f>
        <v>EMP0042 HULESHWAR KUMAR SAHU</v>
      </c>
      <c r="J155" s="91"/>
    </row>
    <row r="156">
      <c r="B156" s="76" t="str">
        <f>IFERROR(__xludf.DUMMYFUNCTION("""COMPUTED_VALUE"""),"Discussion with Requester                                                                           ")</f>
        <v>Discussion with Requester                                                                           </v>
      </c>
      <c r="C156" s="82">
        <f>IFERROR(__xludf.DUMMYFUNCTION("""COMPUTED_VALUE"""),5114.0)</f>
        <v>5114</v>
      </c>
      <c r="D156" s="76" t="str">
        <f>IFERROR(__xludf.DUMMYFUNCTION("""COMPUTED_VALUE"""),"Marks Sheet Old")</f>
        <v>Marks Sheet Old</v>
      </c>
      <c r="E156" s="84">
        <f>IFERROR(__xludf.DUMMYFUNCTION("""COMPUTED_VALUE"""),46135.61875111111)</f>
        <v>46135.61875</v>
      </c>
      <c r="F156" s="86">
        <f>IFERROR(__xludf.DUMMYFUNCTION("""COMPUTED_VALUE"""),46135.55308565972)</f>
        <v>46135.55309</v>
      </c>
      <c r="G156" s="86" t="str">
        <f>IFERROR(__xludf.DUMMYFUNCTION("""COMPUTED_VALUE"""),"Done")</f>
        <v>Done</v>
      </c>
      <c r="H156" s="88">
        <f>IFERROR(__xludf.DUMMYFUNCTION("""COMPUTED_VALUE"""),0.0)</f>
        <v>0</v>
      </c>
      <c r="I156" s="90" t="str">
        <f>IFERROR(__xludf.DUMMYFUNCTION("""COMPUTED_VALUE"""),"EMP0042 HULESHWAR KUMAR SAHU")</f>
        <v>EMP0042 HULESHWAR KUMAR SAHU</v>
      </c>
      <c r="J156" s="91"/>
    </row>
    <row r="157">
      <c r="B157" s="76" t="str">
        <f>IFERROR(__xludf.DUMMYFUNCTION("""COMPUTED_VALUE"""),"Discussion with Requester                                                                           ")</f>
        <v>Discussion with Requester                                                                           </v>
      </c>
      <c r="C157" s="82">
        <f>IFERROR(__xludf.DUMMYFUNCTION("""COMPUTED_VALUE"""),5115.0)</f>
        <v>5115</v>
      </c>
      <c r="D157" s="76" t="str">
        <f>IFERROR(__xludf.DUMMYFUNCTION("""COMPUTED_VALUE"""),"admitcard")</f>
        <v>admitcard</v>
      </c>
      <c r="E157" s="84">
        <f>IFERROR(__xludf.DUMMYFUNCTION("""COMPUTED_VALUE"""),46135.68555876157)</f>
        <v>46135.68556</v>
      </c>
      <c r="F157" s="86">
        <f>IFERROR(__xludf.DUMMYFUNCTION("""COMPUTED_VALUE"""),46135.55312773148)</f>
        <v>46135.55313</v>
      </c>
      <c r="G157" s="86" t="str">
        <f>IFERROR(__xludf.DUMMYFUNCTION("""COMPUTED_VALUE"""),"Done")</f>
        <v>Done</v>
      </c>
      <c r="H157" s="88">
        <f>IFERROR(__xludf.DUMMYFUNCTION("""COMPUTED_VALUE"""),0.0)</f>
        <v>0</v>
      </c>
      <c r="I157" s="90" t="str">
        <f>IFERROR(__xludf.DUMMYFUNCTION("""COMPUTED_VALUE"""),"EMP5009 Rup Kumar Mandal")</f>
        <v>EMP5009 Rup Kumar Mandal</v>
      </c>
      <c r="J157" s="91"/>
    </row>
    <row r="158">
      <c r="B158" s="76" t="str">
        <f>IFERROR(__xludf.DUMMYFUNCTION("""COMPUTED_VALUE"""),"Discussion with Requester                                                                           ")</f>
        <v>Discussion with Requester                                                                           </v>
      </c>
      <c r="C158" s="82">
        <f>IFERROR(__xludf.DUMMYFUNCTION("""COMPUTED_VALUE"""),5116.0)</f>
        <v>5116</v>
      </c>
      <c r="D158" s="76" t="str">
        <f>IFERROR(__xludf.DUMMYFUNCTION("""COMPUTED_VALUE"""),"grade-card-nep")</f>
        <v>grade-card-nep</v>
      </c>
      <c r="E158" s="84">
        <f>IFERROR(__xludf.DUMMYFUNCTION("""COMPUTED_VALUE"""),46135.68902424768)</f>
        <v>46135.68902</v>
      </c>
      <c r="F158" s="86">
        <f>IFERROR(__xludf.DUMMYFUNCTION("""COMPUTED_VALUE"""),46135.55326340278)</f>
        <v>46135.55326</v>
      </c>
      <c r="G158" s="86" t="str">
        <f>IFERROR(__xludf.DUMMYFUNCTION("""COMPUTED_VALUE"""),"Done")</f>
        <v>Done</v>
      </c>
      <c r="H158" s="88">
        <f>IFERROR(__xludf.DUMMYFUNCTION("""COMPUTED_VALUE"""),0.0)</f>
        <v>0</v>
      </c>
      <c r="I158" s="90" t="str">
        <f>IFERROR(__xludf.DUMMYFUNCTION("""COMPUTED_VALUE"""),"EMP0021 Tamanna Dewangan")</f>
        <v>EMP0021 Tamanna Dewangan</v>
      </c>
      <c r="J158" s="91"/>
    </row>
    <row r="159">
      <c r="B159" s="76" t="str">
        <f>IFERROR(__xludf.DUMMYFUNCTION("""COMPUTED_VALUE"""),"Discussion with Requester                                                                           ")</f>
        <v>Discussion with Requester                                                                           </v>
      </c>
      <c r="C159" s="82">
        <f>IFERROR(__xludf.DUMMYFUNCTION("""COMPUTED_VALUE"""),5117.0)</f>
        <v>5117</v>
      </c>
      <c r="D159" s="76" t="str">
        <f>IFERROR(__xludf.DUMMYFUNCTION("""COMPUTED_VALUE"""),"Regarding BA/BCom-6th Sem Practical/Sessional Award Sheet")</f>
        <v>Regarding BA/BCom-6th Sem Practical/Sessional Award Sheet</v>
      </c>
      <c r="E159" s="84">
        <f>IFERROR(__xludf.DUMMYFUNCTION("""COMPUTED_VALUE"""),46135.780821643515)</f>
        <v>46135.78082</v>
      </c>
      <c r="F159" s="86">
        <f>IFERROR(__xludf.DUMMYFUNCTION("""COMPUTED_VALUE"""),46135.63326368056)</f>
        <v>46135.63326</v>
      </c>
      <c r="G159" s="86" t="str">
        <f>IFERROR(__xludf.DUMMYFUNCTION("""COMPUTED_VALUE"""),"Done")</f>
        <v>Done</v>
      </c>
      <c r="H159" s="88">
        <f>IFERROR(__xludf.DUMMYFUNCTION("""COMPUTED_VALUE"""),0.0)</f>
        <v>0</v>
      </c>
      <c r="I159" s="90" t="str">
        <f>IFERROR(__xludf.DUMMYFUNCTION("""COMPUTED_VALUE"""),"EMP0237 Swarnendu Chakraborty")</f>
        <v>EMP0237 Swarnendu Chakraborty</v>
      </c>
      <c r="J159" s="91"/>
    </row>
    <row r="160">
      <c r="B160" s="76" t="str">
        <f>IFERROR(__xludf.DUMMYFUNCTION("""COMPUTED_VALUE"""),"Discussion with Requester                                                                           ")</f>
        <v>Discussion with Requester                                                                           </v>
      </c>
      <c r="C160" s="82">
        <f>IFERROR(__xludf.DUMMYFUNCTION("""COMPUTED_VALUE"""),5118.0)</f>
        <v>5118</v>
      </c>
      <c r="D160" s="76" t="str">
        <f>IFERROR(__xludf.DUMMYFUNCTION("""COMPUTED_VALUE"""),"TR semester (NEW)")</f>
        <v>TR semester (NEW)</v>
      </c>
      <c r="E160" s="84">
        <f>IFERROR(__xludf.DUMMYFUNCTION("""COMPUTED_VALUE"""),46135.80855239583)</f>
        <v>46135.80855</v>
      </c>
      <c r="F160" s="86">
        <f>IFERROR(__xludf.DUMMYFUNCTION("""COMPUTED_VALUE"""),46135.655980428244)</f>
        <v>46135.65598</v>
      </c>
      <c r="G160" s="86" t="str">
        <f>IFERROR(__xludf.DUMMYFUNCTION("""COMPUTED_VALUE"""),"Done")</f>
        <v>Done</v>
      </c>
      <c r="H160" s="88">
        <f>IFERROR(__xludf.DUMMYFUNCTION("""COMPUTED_VALUE"""),0.0)</f>
        <v>0</v>
      </c>
      <c r="I160" s="90" t="str">
        <f>IFERROR(__xludf.DUMMYFUNCTION("""COMPUTED_VALUE"""),"EMP5009 Rup Kumar Mandal")</f>
        <v>EMP5009 Rup Kumar Mandal</v>
      </c>
      <c r="J160" s="91"/>
    </row>
    <row r="161">
      <c r="B161" s="76" t="str">
        <f>IFERROR(__xludf.DUMMYFUNCTION("""COMPUTED_VALUE"""),"Discussion with Requester                                                                           ")</f>
        <v>Discussion with Requester                                                                           </v>
      </c>
      <c r="C161" s="82">
        <f>IFERROR(__xludf.DUMMYFUNCTION("""COMPUTED_VALUE"""),5119.0)</f>
        <v>5119</v>
      </c>
      <c r="D161" s="76" t="str">
        <f>IFERROR(__xludf.DUMMYFUNCTION("""COMPUTED_VALUE"""),"Old marksheet report data not correcte please check as discus ")</f>
        <v>Old marksheet report data not correcte please check as discus </v>
      </c>
      <c r="E161" s="84">
        <f>IFERROR(__xludf.DUMMYFUNCTION("""COMPUTED_VALUE"""),46136.686830081024)</f>
        <v>46136.68683</v>
      </c>
      <c r="F161" s="86">
        <f>IFERROR(__xludf.DUMMYFUNCTION("""COMPUTED_VALUE"""),46136.527164513886)</f>
        <v>46136.52716</v>
      </c>
      <c r="G161" s="86" t="str">
        <f>IFERROR(__xludf.DUMMYFUNCTION("""COMPUTED_VALUE"""),"Done")</f>
        <v>Done</v>
      </c>
      <c r="H161" s="88">
        <f>IFERROR(__xludf.DUMMYFUNCTION("""COMPUTED_VALUE"""),0.0)</f>
        <v>0</v>
      </c>
      <c r="I161" s="90" t="str">
        <f>IFERROR(__xludf.DUMMYFUNCTION("""COMPUTED_VALUE"""),"EMP0237 Swarnendu Chakraborty")</f>
        <v>EMP0237 Swarnendu Chakraborty</v>
      </c>
      <c r="J161" s="91"/>
    </row>
    <row r="162">
      <c r="B162" s="76" t="str">
        <f>IFERROR(__xludf.DUMMYFUNCTION("""COMPUTED_VALUE"""),"Discussion with Requester                                                                           ")</f>
        <v>Discussion with Requester                                                                           </v>
      </c>
      <c r="C162" s="82">
        <f>IFERROR(__xludf.DUMMYFUNCTION("""COMPUTED_VALUE"""),5120.0)</f>
        <v>5120</v>
      </c>
      <c r="D162" s="76" t="str">
        <f>IFERROR(__xludf.DUMMYFUNCTION("""COMPUTED_VALUE"""),"NEP TR REPORT")</f>
        <v>NEP TR REPORT</v>
      </c>
      <c r="E162" s="84">
        <f>IFERROR(__xludf.DUMMYFUNCTION("""COMPUTED_VALUE"""),46136.68811873843)</f>
        <v>46136.68812</v>
      </c>
      <c r="F162" s="86">
        <f>IFERROR(__xludf.DUMMYFUNCTION("""COMPUTED_VALUE"""),46136.52692600695)</f>
        <v>46136.52693</v>
      </c>
      <c r="G162" s="86" t="str">
        <f>IFERROR(__xludf.DUMMYFUNCTION("""COMPUTED_VALUE"""),"Done")</f>
        <v>Done</v>
      </c>
      <c r="H162" s="88">
        <f>IFERROR(__xludf.DUMMYFUNCTION("""COMPUTED_VALUE"""),0.0)</f>
        <v>0</v>
      </c>
      <c r="I162" s="90" t="str">
        <f>IFERROR(__xludf.DUMMYFUNCTION("""COMPUTED_VALUE"""),"EMP5009 Rup Kumar Mandal")</f>
        <v>EMP5009 Rup Kumar Mandal</v>
      </c>
      <c r="J162" s="91"/>
    </row>
    <row r="163">
      <c r="B163" s="76" t="str">
        <f>IFERROR(__xludf.DUMMYFUNCTION("""COMPUTED_VALUE"""),"Discussion with Requester                                                                           ")</f>
        <v>Discussion with Requester                                                                           </v>
      </c>
      <c r="C163" s="82">
        <f>IFERROR(__xludf.DUMMYFUNCTION("""COMPUTED_VALUE"""),5121.0)</f>
        <v>5121</v>
      </c>
      <c r="D163" s="76" t="str">
        <f>IFERROR(__xludf.DUMMYFUNCTION("""COMPUTED_VALUE"""),"TR REPORT NEP")</f>
        <v>TR REPORT NEP</v>
      </c>
      <c r="E163" s="84">
        <f>IFERROR(__xludf.DUMMYFUNCTION("""COMPUTED_VALUE"""),46136.69031373842)</f>
        <v>46136.69031</v>
      </c>
      <c r="F163" s="86">
        <f>IFERROR(__xludf.DUMMYFUNCTION("""COMPUTED_VALUE"""),46136.5269314699)</f>
        <v>46136.52693</v>
      </c>
      <c r="G163" s="86" t="str">
        <f>IFERROR(__xludf.DUMMYFUNCTION("""COMPUTED_VALUE"""),"Done")</f>
        <v>Done</v>
      </c>
      <c r="H163" s="88">
        <f>IFERROR(__xludf.DUMMYFUNCTION("""COMPUTED_VALUE"""),0.0)</f>
        <v>0</v>
      </c>
      <c r="I163" s="90" t="str">
        <f>IFERROR(__xludf.DUMMYFUNCTION("""COMPUTED_VALUE"""),"EMP5009 Rup Kumar Mandal")</f>
        <v>EMP5009 Rup Kumar Mandal</v>
      </c>
      <c r="J163" s="91"/>
    </row>
    <row r="164">
      <c r="B164" s="76" t="str">
        <f>IFERROR(__xludf.DUMMYFUNCTION("""COMPUTED_VALUE"""),"Discussion with Requester                                                                           ")</f>
        <v>Discussion with Requester                                                                           </v>
      </c>
      <c r="C164" s="82">
        <f>IFERROR(__xludf.DUMMYFUNCTION("""COMPUTED_VALUE"""),5122.0)</f>
        <v>5122</v>
      </c>
      <c r="D164" s="76" t="str">
        <f>IFERROR(__xludf.DUMMYFUNCTION("""COMPUTED_VALUE"""),"TR REPORT NON-NEP")</f>
        <v>TR REPORT NON-NEP</v>
      </c>
      <c r="E164" s="84">
        <f>IFERROR(__xludf.DUMMYFUNCTION("""COMPUTED_VALUE"""),46136.70683079861)</f>
        <v>46136.70683</v>
      </c>
      <c r="F164" s="86">
        <f>IFERROR(__xludf.DUMMYFUNCTION("""COMPUTED_VALUE"""),46136.5451287037)</f>
        <v>46136.54513</v>
      </c>
      <c r="G164" s="86" t="str">
        <f>IFERROR(__xludf.DUMMYFUNCTION("""COMPUTED_VALUE"""),"Done")</f>
        <v>Done</v>
      </c>
      <c r="H164" s="88">
        <f>IFERROR(__xludf.DUMMYFUNCTION("""COMPUTED_VALUE"""),0.0)</f>
        <v>0</v>
      </c>
      <c r="I164" s="90" t="str">
        <f>IFERROR(__xludf.DUMMYFUNCTION("""COMPUTED_VALUE"""),"EMP5009 Rup Kumar Mandal")</f>
        <v>EMP5009 Rup Kumar Mandal</v>
      </c>
      <c r="J164" s="91"/>
    </row>
    <row r="165">
      <c r="B165" s="76" t="str">
        <f>IFERROR(__xludf.DUMMYFUNCTION("""COMPUTED_VALUE"""),"Discussion with Requester                                                                           ")</f>
        <v>Discussion with Requester                                                                           </v>
      </c>
      <c r="C165" s="82">
        <f>IFERROR(__xludf.DUMMYFUNCTION("""COMPUTED_VALUE"""),5123.0)</f>
        <v>5123</v>
      </c>
      <c r="D165" s="76" t="str">
        <f>IFERROR(__xludf.DUMMYFUNCTION("""COMPUTED_VALUE"""),"quick sight anaylisys report")</f>
        <v>quick sight anaylisys report</v>
      </c>
      <c r="E165" s="84">
        <f>IFERROR(__xludf.DUMMYFUNCTION("""COMPUTED_VALUE"""),46139.68402060185)</f>
        <v>46139.68402</v>
      </c>
      <c r="F165" s="86">
        <f>IFERROR(__xludf.DUMMYFUNCTION("""COMPUTED_VALUE"""),46139.54267685185)</f>
        <v>46139.54268</v>
      </c>
      <c r="G165" s="86" t="str">
        <f>IFERROR(__xludf.DUMMYFUNCTION("""COMPUTED_VALUE"""),"Done")</f>
        <v>Done</v>
      </c>
      <c r="H165" s="88">
        <f>IFERROR(__xludf.DUMMYFUNCTION("""COMPUTED_VALUE"""),0.0)</f>
        <v>0</v>
      </c>
      <c r="I165" s="90" t="str">
        <f>IFERROR(__xludf.DUMMYFUNCTION("""COMPUTED_VALUE"""),"EMP0021 Tamanna Dewangan")</f>
        <v>EMP0021 Tamanna Dewangan</v>
      </c>
      <c r="J165" s="91"/>
    </row>
    <row r="166">
      <c r="B166" s="76" t="str">
        <f>IFERROR(__xludf.DUMMYFUNCTION("""COMPUTED_VALUE"""),"Discussion with Requester                                                                           ")</f>
        <v>Discussion with Requester                                                                           </v>
      </c>
      <c r="C166" s="82">
        <f>IFERROR(__xludf.DUMMYFUNCTION("""COMPUTED_VALUE"""),5124.0)</f>
        <v>5124</v>
      </c>
      <c r="D166" s="76" t="str">
        <f>IFERROR(__xludf.DUMMYFUNCTION("""COMPUTED_VALUE"""),"NURSING GRADE CARD")</f>
        <v>NURSING GRADE CARD</v>
      </c>
      <c r="E166" s="84">
        <f>IFERROR(__xludf.DUMMYFUNCTION("""COMPUTED_VALUE"""),46139.70564586805)</f>
        <v>46139.70565</v>
      </c>
      <c r="F166" s="86">
        <f>IFERROR(__xludf.DUMMYFUNCTION("""COMPUTED_VALUE"""),46139.61749239583)</f>
        <v>46139.61749</v>
      </c>
      <c r="G166" s="86" t="str">
        <f>IFERROR(__xludf.DUMMYFUNCTION("""COMPUTED_VALUE"""),"Done")</f>
        <v>Done</v>
      </c>
      <c r="H166" s="88">
        <f>IFERROR(__xludf.DUMMYFUNCTION("""COMPUTED_VALUE"""),0.0)</f>
        <v>0</v>
      </c>
      <c r="I166" s="90" t="str">
        <f>IFERROR(__xludf.DUMMYFUNCTION("""COMPUTED_VALUE"""),"EMP0042 HULESHWAR KUMAR SAHU")</f>
        <v>EMP0042 HULESHWAR KUMAR SAHU</v>
      </c>
      <c r="J166" s="91"/>
    </row>
    <row r="167">
      <c r="B167" s="76" t="str">
        <f>IFERROR(__xludf.DUMMYFUNCTION("""COMPUTED_VALUE"""),"Discussion with Requester                                                                           ")</f>
        <v>Discussion with Requester                                                                           </v>
      </c>
      <c r="C167" s="82">
        <f>IFERROR(__xludf.DUMMYFUNCTION("""COMPUTED_VALUE"""),5125.0)</f>
        <v>5125</v>
      </c>
      <c r="D167" s="76" t="str">
        <f>IFERROR(__xludf.DUMMYFUNCTION("""COMPUTED_VALUE"""),"ADMITCARD")</f>
        <v>ADMITCARD</v>
      </c>
      <c r="E167" s="84">
        <f>IFERROR(__xludf.DUMMYFUNCTION("""COMPUTED_VALUE"""),46140.49722222222)</f>
        <v>46140.49722</v>
      </c>
      <c r="F167" s="86">
        <f>IFERROR(__xludf.DUMMYFUNCTION("""COMPUTED_VALUE"""),46139.768956817126)</f>
        <v>46139.76896</v>
      </c>
      <c r="G167" s="86" t="str">
        <f>IFERROR(__xludf.DUMMYFUNCTION("""COMPUTED_VALUE"""),"Done")</f>
        <v>Done</v>
      </c>
      <c r="H167" s="88">
        <f>IFERROR(__xludf.DUMMYFUNCTION("""COMPUTED_VALUE"""),0.0)</f>
        <v>0</v>
      </c>
      <c r="I167" s="90" t="str">
        <f>IFERROR(__xludf.DUMMYFUNCTION("""COMPUTED_VALUE"""),"EMP5009 Rup Kumar Mandal")</f>
        <v>EMP5009 Rup Kumar Mandal</v>
      </c>
      <c r="J167" s="91"/>
    </row>
    <row r="168">
      <c r="B168" s="76" t="str">
        <f>IFERROR(__xludf.DUMMYFUNCTION("""COMPUTED_VALUE"""),"Discussion with Requester                                                                           ")</f>
        <v>Discussion with Requester                                                                           </v>
      </c>
      <c r="C168" s="82">
        <f>IFERROR(__xludf.DUMMYFUNCTION("""COMPUTED_VALUE"""),5126.0)</f>
        <v>5126</v>
      </c>
      <c r="D168" s="76" t="str">
        <f>IFERROR(__xludf.DUMMYFUNCTION("""COMPUTED_VALUE"""),"ROLL LIST")</f>
        <v>ROLL LIST</v>
      </c>
      <c r="E168" s="84">
        <f>IFERROR(__xludf.DUMMYFUNCTION("""COMPUTED_VALUE"""),46140.49791666667)</f>
        <v>46140.49792</v>
      </c>
      <c r="F168" s="86">
        <f>IFERROR(__xludf.DUMMYFUNCTION("""COMPUTED_VALUE"""),46139.76898298611)</f>
        <v>46139.76898</v>
      </c>
      <c r="G168" s="86" t="str">
        <f>IFERROR(__xludf.DUMMYFUNCTION("""COMPUTED_VALUE"""),"Done")</f>
        <v>Done</v>
      </c>
      <c r="H168" s="88">
        <f>IFERROR(__xludf.DUMMYFUNCTION("""COMPUTED_VALUE"""),0.0)</f>
        <v>0</v>
      </c>
      <c r="I168" s="90" t="str">
        <f>IFERROR(__xludf.DUMMYFUNCTION("""COMPUTED_VALUE"""),"EMP5009 Rup Kumar Mandal")</f>
        <v>EMP5009 Rup Kumar Mandal</v>
      </c>
      <c r="J168" s="91"/>
    </row>
    <row r="169">
      <c r="B169" s="76" t="str">
        <f>IFERROR(__xludf.DUMMYFUNCTION("""COMPUTED_VALUE"""),"Discussion with Requester                                                                           ")</f>
        <v>Discussion with Requester                                                                           </v>
      </c>
      <c r="C169" s="82">
        <f>IFERROR(__xludf.DUMMYFUNCTION("""COMPUTED_VALUE"""),5127.0)</f>
        <v>5127</v>
      </c>
      <c r="D169" s="76" t="str">
        <f>IFERROR(__xludf.DUMMYFUNCTION("""COMPUTED_VALUE"""),"The details of Total Credits, Grade Point Average, and Total Credit Earned will be available shortly. please update this mgs in student result section if any semester SGPA/AGPA missing")</f>
        <v>The details of Total Credits, Grade Point Average, and Total Credit Earned will be available shortly. please update this mgs in student result section if any semester SGPA/AGPA missing</v>
      </c>
      <c r="E169" s="84">
        <f>IFERROR(__xludf.DUMMYFUNCTION("""COMPUTED_VALUE"""),46142.69905966435)</f>
        <v>46142.69906</v>
      </c>
      <c r="F169" s="86">
        <f>IFERROR(__xludf.DUMMYFUNCTION("""COMPUTED_VALUE"""),46142.5394421875)</f>
        <v>46142.53944</v>
      </c>
      <c r="G169" s="86" t="str">
        <f>IFERROR(__xludf.DUMMYFUNCTION("""COMPUTED_VALUE"""),"Done")</f>
        <v>Done</v>
      </c>
      <c r="H169" s="88">
        <f>IFERROR(__xludf.DUMMYFUNCTION("""COMPUTED_VALUE"""),0.0)</f>
        <v>0</v>
      </c>
      <c r="I169" s="90" t="str">
        <f>IFERROR(__xludf.DUMMYFUNCTION("""COMPUTED_VALUE"""),"EMP0237 Swarnendu Chakraborty")</f>
        <v>EMP0237 Swarnendu Chakraborty</v>
      </c>
      <c r="J169" s="91"/>
    </row>
    <row r="170">
      <c r="B170" s="76" t="str">
        <f>IFERROR(__xludf.DUMMYFUNCTION("""COMPUTED_VALUE"""),"Discussion with Requester                                                                           ")</f>
        <v>Discussion with Requester                                                                           </v>
      </c>
      <c r="C170" s="82">
        <f>IFERROR(__xludf.DUMMYFUNCTION("""COMPUTED_VALUE"""),5128.0)</f>
        <v>5128</v>
      </c>
      <c r="D170" s="76" t="str">
        <f>IFERROR(__xludf.DUMMYFUNCTION("""COMPUTED_VALUE"""),"Marks Sheet NEP")</f>
        <v>Marks Sheet NEP</v>
      </c>
      <c r="E170" s="84">
        <f>IFERROR(__xludf.DUMMYFUNCTION("""COMPUTED_VALUE"""),46143.70894037037)</f>
        <v>46143.70894</v>
      </c>
      <c r="F170" s="86">
        <f>IFERROR(__xludf.DUMMYFUNCTION("""COMPUTED_VALUE"""),46143.615031215275)</f>
        <v>46143.61503</v>
      </c>
      <c r="G170" s="86" t="str">
        <f>IFERROR(__xludf.DUMMYFUNCTION("""COMPUTED_VALUE"""),"Done")</f>
        <v>Done</v>
      </c>
      <c r="H170" s="88">
        <f>IFERROR(__xludf.DUMMYFUNCTION("""COMPUTED_VALUE"""),0.0)</f>
        <v>0</v>
      </c>
      <c r="I170" s="90" t="str">
        <f>IFERROR(__xludf.DUMMYFUNCTION("""COMPUTED_VALUE"""),"EMP0042 HULESHWAR KUMAR SAHU")</f>
        <v>EMP0042 HULESHWAR KUMAR SAHU</v>
      </c>
      <c r="J170" s="91"/>
    </row>
    <row r="171">
      <c r="B171" s="76" t="str">
        <f>IFERROR(__xludf.DUMMYFUNCTION("""COMPUTED_VALUE"""),"Discussion with Requester                                                                           ")</f>
        <v>Discussion with Requester                                                                           </v>
      </c>
      <c r="C171" s="82">
        <f>IFERROR(__xludf.DUMMYFUNCTION("""COMPUTED_VALUE"""),5129.0)</f>
        <v>5129</v>
      </c>
      <c r="D171" s="76" t="str">
        <f>IFERROR(__xludf.DUMMYFUNCTION("""COMPUTED_VALUE"""),"GAU BARCODE GENERATE")</f>
        <v>GAU BARCODE GENERATE</v>
      </c>
      <c r="E171" s="84">
        <f>IFERROR(__xludf.DUMMYFUNCTION("""COMPUTED_VALUE"""),46143.78129733796)</f>
        <v>46143.7813</v>
      </c>
      <c r="F171" s="86">
        <f>IFERROR(__xludf.DUMMYFUNCTION("""COMPUTED_VALUE"""),46143.61504806713)</f>
        <v>46143.61505</v>
      </c>
      <c r="G171" s="86" t="str">
        <f>IFERROR(__xludf.DUMMYFUNCTION("""COMPUTED_VALUE"""),"Done")</f>
        <v>Done</v>
      </c>
      <c r="H171" s="88">
        <f>IFERROR(__xludf.DUMMYFUNCTION("""COMPUTED_VALUE"""),0.0)</f>
        <v>0</v>
      </c>
      <c r="I171" s="90" t="str">
        <f>IFERROR(__xludf.DUMMYFUNCTION("""COMPUTED_VALUE"""),"EMP0021 Tamanna Dewangan")</f>
        <v>EMP0021 Tamanna Dewangan</v>
      </c>
      <c r="J171" s="91"/>
    </row>
    <row r="172">
      <c r="B172" s="76" t="str">
        <f>IFERROR(__xludf.DUMMYFUNCTION("""COMPUTED_VALUE"""),"Discussion with Requester                                                                           ")</f>
        <v>Discussion with Requester                                                                           </v>
      </c>
      <c r="C172" s="82">
        <f>IFERROR(__xludf.DUMMYFUNCTION("""COMPUTED_VALUE"""),5130.0)</f>
        <v>5130</v>
      </c>
      <c r="D172" s="76" t="str">
        <f>IFERROR(__xludf.DUMMYFUNCTION("""COMPUTED_VALUE"""),"Marks Sheet Old")</f>
        <v>Marks Sheet Old</v>
      </c>
      <c r="E172" s="84">
        <f>IFERROR(__xludf.DUMMYFUNCTION("""COMPUTED_VALUE"""),46143.81113483796)</f>
        <v>46143.81113</v>
      </c>
      <c r="F172" s="86">
        <f>IFERROR(__xludf.DUMMYFUNCTION("""COMPUTED_VALUE"""),46143.66634364583)</f>
        <v>46143.66634</v>
      </c>
      <c r="G172" s="86" t="str">
        <f>IFERROR(__xludf.DUMMYFUNCTION("""COMPUTED_VALUE"""),"Done")</f>
        <v>Done</v>
      </c>
      <c r="H172" s="88">
        <f>IFERROR(__xludf.DUMMYFUNCTION("""COMPUTED_VALUE"""),0.0)</f>
        <v>0</v>
      </c>
      <c r="I172" s="90" t="str">
        <f>IFERROR(__xludf.DUMMYFUNCTION("""COMPUTED_VALUE"""),"EMP0042 HULESHWAR KUMAR SAHU")</f>
        <v>EMP0042 HULESHWAR KUMAR SAHU</v>
      </c>
      <c r="J172" s="91"/>
    </row>
    <row r="173">
      <c r="B173" s="76" t="str">
        <f>IFERROR(__xludf.DUMMYFUNCTION("""COMPUTED_VALUE"""),"Discussion with Requester                                                                           ")</f>
        <v>Discussion with Requester                                                                           </v>
      </c>
      <c r="C173" s="82">
        <f>IFERROR(__xludf.DUMMYFUNCTION("""COMPUTED_VALUE"""),5131.0)</f>
        <v>5131</v>
      </c>
      <c r="D173" s="76" t="str">
        <f>IFERROR(__xludf.DUMMYFUNCTION("""COMPUTED_VALUE"""),"roll list PG")</f>
        <v>roll list PG</v>
      </c>
      <c r="E173" s="84">
        <f>IFERROR(__xludf.DUMMYFUNCTION("""COMPUTED_VALUE"""),46144.455555555556)</f>
        <v>46144.45556</v>
      </c>
      <c r="F173" s="86">
        <f>IFERROR(__xludf.DUMMYFUNCTION("""COMPUTED_VALUE"""),46143.77840005787)</f>
        <v>46143.7784</v>
      </c>
      <c r="G173" s="86" t="str">
        <f>IFERROR(__xludf.DUMMYFUNCTION("""COMPUTED_VALUE"""),"Done")</f>
        <v>Done</v>
      </c>
      <c r="H173" s="88">
        <f>IFERROR(__xludf.DUMMYFUNCTION("""COMPUTED_VALUE"""),0.0)</f>
        <v>0</v>
      </c>
      <c r="I173" s="90" t="str">
        <f>IFERROR(__xludf.DUMMYFUNCTION("""COMPUTED_VALUE"""),"EMP0237 Swarnendu Chakraborty")</f>
        <v>EMP0237 Swarnendu Chakraborty</v>
      </c>
      <c r="J173" s="91"/>
    </row>
    <row r="174">
      <c r="B174" s="76" t="str">
        <f>IFERROR(__xludf.DUMMYFUNCTION("""COMPUTED_VALUE"""),"Discussion with Requester                                                                           ")</f>
        <v>Discussion with Requester                                                                           </v>
      </c>
      <c r="C174" s="82">
        <f>IFERROR(__xludf.DUMMYFUNCTION("""COMPUTED_VALUE"""),5132.0)</f>
        <v>5132</v>
      </c>
      <c r="D174" s="76" t="str">
        <f>IFERROR(__xludf.DUMMYFUNCTION("""COMPUTED_VALUE"""),"Old Marks sheet")</f>
        <v>Old Marks sheet</v>
      </c>
      <c r="E174" s="84">
        <f>IFERROR(__xludf.DUMMYFUNCTION("""COMPUTED_VALUE"""),46144.65639739584)</f>
        <v>46144.6564</v>
      </c>
      <c r="F174" s="86">
        <f>IFERROR(__xludf.DUMMYFUNCTION("""COMPUTED_VALUE"""),46144.576519201386)</f>
        <v>46144.57652</v>
      </c>
      <c r="G174" s="86" t="str">
        <f>IFERROR(__xludf.DUMMYFUNCTION("""COMPUTED_VALUE"""),"Done")</f>
        <v>Done</v>
      </c>
      <c r="H174" s="88">
        <f>IFERROR(__xludf.DUMMYFUNCTION("""COMPUTED_VALUE"""),0.0)</f>
        <v>0</v>
      </c>
      <c r="I174" s="90" t="str">
        <f>IFERROR(__xludf.DUMMYFUNCTION("""COMPUTED_VALUE"""),"EMP0042 HULESHWAR KUMAR SAHU")</f>
        <v>EMP0042 HULESHWAR KUMAR SAHU</v>
      </c>
      <c r="J174" s="91"/>
    </row>
    <row r="175">
      <c r="B175" s="76" t="str">
        <f>IFERROR(__xludf.DUMMYFUNCTION("""COMPUTED_VALUE"""),"Discussion with Requester                                                                           ")</f>
        <v>Discussion with Requester                                                                           </v>
      </c>
      <c r="C175" s="82">
        <f>IFERROR(__xludf.DUMMYFUNCTION("""COMPUTED_VALUE"""),5133.0)</f>
        <v>5133</v>
      </c>
      <c r="D175" s="76" t="str">
        <f>IFERROR(__xludf.DUMMYFUNCTION("""COMPUTED_VALUE"""),"Attendance report")</f>
        <v>Attendance report</v>
      </c>
      <c r="E175" s="84">
        <f>IFERROR(__xludf.DUMMYFUNCTION("""COMPUTED_VALUE"""),46144.68893819444)</f>
        <v>46144.68894</v>
      </c>
      <c r="F175" s="86">
        <f>IFERROR(__xludf.DUMMYFUNCTION("""COMPUTED_VALUE"""),46144.576350057876)</f>
        <v>46144.57635</v>
      </c>
      <c r="G175" s="86" t="str">
        <f>IFERROR(__xludf.DUMMYFUNCTION("""COMPUTED_VALUE"""),"Done")</f>
        <v>Done</v>
      </c>
      <c r="H175" s="88">
        <f>IFERROR(__xludf.DUMMYFUNCTION("""COMPUTED_VALUE"""),0.0)</f>
        <v>0</v>
      </c>
      <c r="I175" s="90" t="str">
        <f>IFERROR(__xludf.DUMMYFUNCTION("""COMPUTED_VALUE"""),"EMP0237 Swarnendu Chakraborty")</f>
        <v>EMP0237 Swarnendu Chakraborty</v>
      </c>
      <c r="J175" s="91"/>
    </row>
    <row r="176">
      <c r="B176" s="76" t="str">
        <f>IFERROR(__xludf.DUMMYFUNCTION("""COMPUTED_VALUE"""),"Discussion with Requester                                                                           ")</f>
        <v>Discussion with Requester                                                                           </v>
      </c>
      <c r="C176" s="82">
        <f>IFERROR(__xludf.DUMMYFUNCTION("""COMPUTED_VALUE"""),5134.0)</f>
        <v>5134</v>
      </c>
      <c r="D176" s="76" t="str">
        <f>IFERROR(__xludf.DUMMYFUNCTION("""COMPUTED_VALUE"""),"subject_wise_report_rsos")</f>
        <v>subject_wise_report_rsos</v>
      </c>
      <c r="E176" s="84">
        <f>IFERROR(__xludf.DUMMYFUNCTION("""COMPUTED_VALUE"""),46144.73147572916)</f>
        <v>46144.73148</v>
      </c>
      <c r="F176" s="86">
        <f>IFERROR(__xludf.DUMMYFUNCTION("""COMPUTED_VALUE"""),46144.57693045138)</f>
        <v>46144.57693</v>
      </c>
      <c r="G176" s="86" t="str">
        <f>IFERROR(__xludf.DUMMYFUNCTION("""COMPUTED_VALUE"""),"Done")</f>
        <v>Done</v>
      </c>
      <c r="H176" s="88">
        <f>IFERROR(__xludf.DUMMYFUNCTION("""COMPUTED_VALUE"""),0.0)</f>
        <v>0</v>
      </c>
      <c r="I176" s="90" t="str">
        <f>IFERROR(__xludf.DUMMYFUNCTION("""COMPUTED_VALUE"""),"EMP0021 Tamanna Dewangan")</f>
        <v>EMP0021 Tamanna Dewangan</v>
      </c>
      <c r="J176" s="91"/>
    </row>
    <row r="177">
      <c r="B177" s="76" t="str">
        <f>IFERROR(__xludf.DUMMYFUNCTION("""COMPUTED_VALUE"""),"Discussion with Requester                                                                           ")</f>
        <v>Discussion with Requester                                                                           </v>
      </c>
      <c r="C177" s="82">
        <f>IFERROR(__xludf.DUMMYFUNCTION("""COMPUTED_VALUE"""),5135.0)</f>
        <v>5135</v>
      </c>
      <c r="D177" s="76" t="str">
        <f>IFERROR(__xludf.DUMMYFUNCTION("""COMPUTED_VALUE"""),"Packet_Issue_Receive_Report.jasper")</f>
        <v>Packet_Issue_Receive_Report.jasper</v>
      </c>
      <c r="E177" s="84">
        <f>IFERROR(__xludf.DUMMYFUNCTION("""COMPUTED_VALUE"""),46146.805182847216)</f>
        <v>46146.80518</v>
      </c>
      <c r="F177" s="86">
        <f>IFERROR(__xludf.DUMMYFUNCTION("""COMPUTED_VALUE"""),46146.64668299768)</f>
        <v>46146.64668</v>
      </c>
      <c r="G177" s="86" t="str">
        <f>IFERROR(__xludf.DUMMYFUNCTION("""COMPUTED_VALUE"""),"Done")</f>
        <v>Done</v>
      </c>
      <c r="H177" s="88">
        <f>IFERROR(__xludf.DUMMYFUNCTION("""COMPUTED_VALUE"""),0.0)</f>
        <v>0</v>
      </c>
      <c r="I177" s="90" t="str">
        <f>IFERROR(__xludf.DUMMYFUNCTION("""COMPUTED_VALUE"""),"EMP0042 HULESHWAR KUMAR SAHU")</f>
        <v>EMP0042 HULESHWAR KUMAR SAHU</v>
      </c>
      <c r="J177" s="91"/>
    </row>
    <row r="178">
      <c r="B178" s="76" t="str">
        <f>IFERROR(__xludf.DUMMYFUNCTION("""COMPUTED_VALUE"""),"Discussion with Requester                                                                           ")</f>
        <v>Discussion with Requester                                                                           </v>
      </c>
      <c r="C178" s="82">
        <f>IFERROR(__xludf.DUMMYFUNCTION("""COMPUTED_VALUE"""),5136.0)</f>
        <v>5136</v>
      </c>
      <c r="D178" s="76" t="str">
        <f>IFERROR(__xludf.DUMMYFUNCTION("""COMPUTED_VALUE"""),"Marksheet nep camulative Nep Major miner")</f>
        <v>Marksheet nep camulative Nep Major miner</v>
      </c>
      <c r="E178" s="84">
        <f>IFERROR(__xludf.DUMMYFUNCTION("""COMPUTED_VALUE"""),46147.43819444445)</f>
        <v>46147.43819</v>
      </c>
      <c r="F178" s="86">
        <f>IFERROR(__xludf.DUMMYFUNCTION("""COMPUTED_VALUE"""),46146.71610637732)</f>
        <v>46146.71611</v>
      </c>
      <c r="G178" s="86" t="str">
        <f>IFERROR(__xludf.DUMMYFUNCTION("""COMPUTED_VALUE"""),"Done")</f>
        <v>Done</v>
      </c>
      <c r="H178" s="88">
        <f>IFERROR(__xludf.DUMMYFUNCTION("""COMPUTED_VALUE"""),0.0)</f>
        <v>0</v>
      </c>
      <c r="I178" s="90" t="str">
        <f>IFERROR(__xludf.DUMMYFUNCTION("""COMPUTED_VALUE"""),"EMP0021 Tamanna Dewangan")</f>
        <v>EMP0021 Tamanna Dewangan</v>
      </c>
      <c r="J178" s="91"/>
    </row>
    <row r="179">
      <c r="B179" s="76" t="str">
        <f>IFERROR(__xludf.DUMMYFUNCTION("""COMPUTED_VALUE"""),"Discussion with Requester                                                                           ")</f>
        <v>Discussion with Requester                                                                           </v>
      </c>
      <c r="C179" s="82">
        <f>IFERROR(__xludf.DUMMYFUNCTION("""COMPUTED_VALUE"""),5137.0)</f>
        <v>5137</v>
      </c>
      <c r="D179" s="76" t="str">
        <f>IFERROR(__xludf.DUMMYFUNCTION("""COMPUTED_VALUE"""),"NURSING GRADE CARD")</f>
        <v>NURSING GRADE CARD</v>
      </c>
      <c r="E179" s="84">
        <f>IFERROR(__xludf.DUMMYFUNCTION("""COMPUTED_VALUE"""),46147.46805555555)</f>
        <v>46147.46806</v>
      </c>
      <c r="F179" s="86">
        <f>IFERROR(__xludf.DUMMYFUNCTION("""COMPUTED_VALUE"""),46146.75003333334)</f>
        <v>46146.75003</v>
      </c>
      <c r="G179" s="86" t="str">
        <f>IFERROR(__xludf.DUMMYFUNCTION("""COMPUTED_VALUE"""),"Done")</f>
        <v>Done</v>
      </c>
      <c r="H179" s="88">
        <f>IFERROR(__xludf.DUMMYFUNCTION("""COMPUTED_VALUE"""),0.0)</f>
        <v>0</v>
      </c>
      <c r="I179" s="90" t="str">
        <f>IFERROR(__xludf.DUMMYFUNCTION("""COMPUTED_VALUE"""),"EMP0042 HULESHWAR KUMAR SAHU")</f>
        <v>EMP0042 HULESHWAR KUMAR SAHU</v>
      </c>
      <c r="J179" s="91"/>
    </row>
    <row r="180">
      <c r="B180" s="76" t="str">
        <f>IFERROR(__xludf.DUMMYFUNCTION("""COMPUTED_VALUE"""),"Discussion with Requester                                                                           ")</f>
        <v>Discussion with Requester                                                                           </v>
      </c>
      <c r="C180" s="82">
        <f>IFERROR(__xludf.DUMMYFUNCTION("""COMPUTED_VALUE"""),5138.0)</f>
        <v>5138</v>
      </c>
      <c r="D180" s="76" t="str">
        <f>IFERROR(__xludf.DUMMYFUNCTION("""COMPUTED_VALUE"""),"	TR PHD Nursing")</f>
        <v>	TR PHD Nursing</v>
      </c>
      <c r="E180" s="84">
        <f>IFERROR(__xludf.DUMMYFUNCTION("""COMPUTED_VALUE"""),46147.64866767361)</f>
        <v>46147.64867</v>
      </c>
      <c r="F180" s="86">
        <f>IFERROR(__xludf.DUMMYFUNCTION("""COMPUTED_VALUE"""),46147.49460003472)</f>
        <v>46147.4946</v>
      </c>
      <c r="G180" s="86" t="str">
        <f>IFERROR(__xludf.DUMMYFUNCTION("""COMPUTED_VALUE"""),"Done")</f>
        <v>Done</v>
      </c>
      <c r="H180" s="88">
        <f>IFERROR(__xludf.DUMMYFUNCTION("""COMPUTED_VALUE"""),0.0)</f>
        <v>0</v>
      </c>
      <c r="I180" s="90" t="str">
        <f>IFERROR(__xludf.DUMMYFUNCTION("""COMPUTED_VALUE"""),"EMP0021 Tamanna Dewangan")</f>
        <v>EMP0021 Tamanna Dewangan</v>
      </c>
      <c r="J180" s="91"/>
    </row>
    <row r="181">
      <c r="B181" s="76" t="str">
        <f>IFERROR(__xludf.DUMMYFUNCTION("""COMPUTED_VALUE"""),"Discussion with Requester                                                                           ")</f>
        <v>Discussion with Requester                                                                           </v>
      </c>
      <c r="C181" s="82">
        <f>IFERROR(__xludf.DUMMYFUNCTION("""COMPUTED_VALUE"""),5139.0)</f>
        <v>5139</v>
      </c>
      <c r="D181" s="76" t="str">
        <f>IFERROR(__xludf.DUMMYFUNCTION("""COMPUTED_VALUE"""),"MARKSHEET 4SEM")</f>
        <v>MARKSHEET 4SEM</v>
      </c>
      <c r="E181" s="84">
        <f>IFERROR(__xludf.DUMMYFUNCTION("""COMPUTED_VALUE"""),46148.72219319444)</f>
        <v>46148.72219</v>
      </c>
      <c r="F181" s="86">
        <f>IFERROR(__xludf.DUMMYFUNCTION("""COMPUTED_VALUE"""),46148.63930930555)</f>
        <v>46148.63931</v>
      </c>
      <c r="G181" s="86" t="str">
        <f>IFERROR(__xludf.DUMMYFUNCTION("""COMPUTED_VALUE"""),"Done")</f>
        <v>Done</v>
      </c>
      <c r="H181" s="88">
        <f>IFERROR(__xludf.DUMMYFUNCTION("""COMPUTED_VALUE"""),0.0)</f>
        <v>0</v>
      </c>
      <c r="I181" s="90" t="str">
        <f>IFERROR(__xludf.DUMMYFUNCTION("""COMPUTED_VALUE"""),"EMP5009 Rup Kumar Mandal")</f>
        <v>EMP5009 Rup Kumar Mandal</v>
      </c>
      <c r="J181" s="91"/>
    </row>
    <row r="182">
      <c r="B182" s="76" t="str">
        <f>IFERROR(__xludf.DUMMYFUNCTION("""COMPUTED_VALUE"""),"Discussion with Requester                                                                           ")</f>
        <v>Discussion with Requester                                                                           </v>
      </c>
      <c r="C182" s="82">
        <f>IFERROR(__xludf.DUMMYFUNCTION("""COMPUTED_VALUE"""),5140.0)</f>
        <v>5140</v>
      </c>
      <c r="D182" s="76" t="str">
        <f>IFERROR(__xludf.DUMMYFUNCTION("""COMPUTED_VALUE"""),"Multiple Report:ICR marksheet: marksheet llb")</f>
        <v>Multiple Report:ICR marksheet: marksheet llb</v>
      </c>
      <c r="E182" s="84">
        <f>IFERROR(__xludf.DUMMYFUNCTION("""COMPUTED_VALUE"""),46149.450694444444)</f>
        <v>46149.45069</v>
      </c>
      <c r="F182" s="86">
        <f>IFERROR(__xludf.DUMMYFUNCTION("""COMPUTED_VALUE"""),46148.72007010417)</f>
        <v>46148.72007</v>
      </c>
      <c r="G182" s="86" t="str">
        <f>IFERROR(__xludf.DUMMYFUNCTION("""COMPUTED_VALUE"""),"Done")</f>
        <v>Done</v>
      </c>
      <c r="H182" s="88">
        <f>IFERROR(__xludf.DUMMYFUNCTION("""COMPUTED_VALUE"""),0.0)</f>
        <v>0</v>
      </c>
      <c r="I182" s="90" t="str">
        <f>IFERROR(__xludf.DUMMYFUNCTION("""COMPUTED_VALUE"""),"EMP0042 HULESHWAR KUMAR SAHU")</f>
        <v>EMP0042 HULESHWAR KUMAR SAHU</v>
      </c>
      <c r="J182" s="91"/>
    </row>
    <row r="183">
      <c r="B183" s="76" t="str">
        <f>IFERROR(__xludf.DUMMYFUNCTION("""COMPUTED_VALUE"""),"Discussion with Requester                                                                           ")</f>
        <v>Discussion with Requester                                                                           </v>
      </c>
      <c r="C183" s="82">
        <f>IFERROR(__xludf.DUMMYFUNCTION("""COMPUTED_VALUE"""),5141.0)</f>
        <v>5141</v>
      </c>
      <c r="D183" s="76" t="str">
        <f>IFERROR(__xludf.DUMMYFUNCTION("""COMPUTED_VALUE"""),"gradecard")</f>
        <v>gradecard</v>
      </c>
      <c r="E183" s="84">
        <f>IFERROR(__xludf.DUMMYFUNCTION("""COMPUTED_VALUE"""),46150.42222222222)</f>
        <v>46150.42222</v>
      </c>
      <c r="F183" s="86">
        <f>IFERROR(__xludf.DUMMYFUNCTION("""COMPUTED_VALUE"""),46149.94422758102)</f>
        <v>46149.94423</v>
      </c>
      <c r="G183" s="86" t="str">
        <f>IFERROR(__xludf.DUMMYFUNCTION("""COMPUTED_VALUE"""),"Done")</f>
        <v>Done</v>
      </c>
      <c r="H183" s="88">
        <f>IFERROR(__xludf.DUMMYFUNCTION("""COMPUTED_VALUE"""),0.0)</f>
        <v>0</v>
      </c>
      <c r="I183" s="90" t="str">
        <f>IFERROR(__xludf.DUMMYFUNCTION("""COMPUTED_VALUE"""),"EMP0021 Tamanna Dewangan")</f>
        <v>EMP0021 Tamanna Dewangan</v>
      </c>
      <c r="J183" s="91"/>
    </row>
    <row r="184">
      <c r="B184" s="76" t="str">
        <f>IFERROR(__xludf.DUMMYFUNCTION("""COMPUTED_VALUE"""),"Discussion with Requester                                                                           ")</f>
        <v>Discussion with Requester                                                                           </v>
      </c>
      <c r="C184" s="82">
        <f>IFERROR(__xludf.DUMMYFUNCTION("""COMPUTED_VALUE"""),5142.0)</f>
        <v>5142</v>
      </c>
      <c r="D184" s="76" t="str">
        <f>IFERROR(__xludf.DUMMYFUNCTION("""COMPUTED_VALUE"""),"GRADE CARD AGRICULTURE")</f>
        <v>GRADE CARD AGRICULTURE</v>
      </c>
      <c r="E184" s="84">
        <f>IFERROR(__xludf.DUMMYFUNCTION("""COMPUTED_VALUE"""),46150.45277777778)</f>
        <v>46150.45278</v>
      </c>
      <c r="F184" s="86">
        <f>IFERROR(__xludf.DUMMYFUNCTION("""COMPUTED_VALUE"""),46149.94425422454)</f>
        <v>46149.94425</v>
      </c>
      <c r="G184" s="86" t="str">
        <f>IFERROR(__xludf.DUMMYFUNCTION("""COMPUTED_VALUE"""),"Done")</f>
        <v>Done</v>
      </c>
      <c r="H184" s="88">
        <f>IFERROR(__xludf.DUMMYFUNCTION("""COMPUTED_VALUE"""),0.0)</f>
        <v>0</v>
      </c>
      <c r="I184" s="90" t="str">
        <f>IFERROR(__xludf.DUMMYFUNCTION("""COMPUTED_VALUE"""),"EMP0042 HULESHWAR KUMAR SAHU")</f>
        <v>EMP0042 HULESHWAR KUMAR SAHU</v>
      </c>
      <c r="J184" s="91"/>
    </row>
    <row r="185">
      <c r="B185" s="76" t="str">
        <f>IFERROR(__xludf.DUMMYFUNCTION("""COMPUTED_VALUE"""),"Discussion with Requester                                                                           ")</f>
        <v>Discussion with Requester                                                                           </v>
      </c>
      <c r="C185" s="82">
        <f>IFERROR(__xludf.DUMMYFUNCTION("""COMPUTED_VALUE"""),5143.0)</f>
        <v>5143</v>
      </c>
      <c r="D185" s="76" t="str">
        <f>IFERROR(__xludf.DUMMYFUNCTION("""COMPUTED_VALUE"""),"SATISH KUMAR")</f>
        <v>SATISH KUMAR</v>
      </c>
      <c r="E185" s="84">
        <f>IFERROR(__xludf.DUMMYFUNCTION("""COMPUTED_VALUE"""),46151.48611111111)</f>
        <v>46151.48611</v>
      </c>
      <c r="F185" s="86">
        <f>IFERROR(__xludf.DUMMYFUNCTION("""COMPUTED_VALUE"""),46151.45458355324)</f>
        <v>46151.45458</v>
      </c>
      <c r="G185" s="86" t="str">
        <f>IFERROR(__xludf.DUMMYFUNCTION("""COMPUTED_VALUE"""),"Done")</f>
        <v>Done</v>
      </c>
      <c r="H185" s="88">
        <f>IFERROR(__xludf.DUMMYFUNCTION("""COMPUTED_VALUE"""),0.0)</f>
        <v>0</v>
      </c>
      <c r="I185" s="90" t="str">
        <f>IFERROR(__xludf.DUMMYFUNCTION("""COMPUTED_VALUE"""),"EMP0042 HULESHWAR KUMAR SAHU")</f>
        <v>EMP0042 HULESHWAR KUMAR SAHU</v>
      </c>
      <c r="J185" s="91"/>
    </row>
    <row r="186">
      <c r="B186" s="76" t="str">
        <f>IFERROR(__xludf.DUMMYFUNCTION("""COMPUTED_VALUE"""),"Discussion with Requester                                                                           ")</f>
        <v>Discussion with Requester                                                                           </v>
      </c>
      <c r="C186" s="82">
        <f>IFERROR(__xludf.DUMMYFUNCTION("""COMPUTED_VALUE"""),5144.0)</f>
        <v>5144</v>
      </c>
      <c r="D186" s="76" t="str">
        <f>IFERROR(__xludf.DUMMYFUNCTION("""COMPUTED_VALUE"""),"SATISH KUMAR")</f>
        <v>SATISH KUMAR</v>
      </c>
      <c r="E186" s="84">
        <f>IFERROR(__xludf.DUMMYFUNCTION("""COMPUTED_VALUE"""),46151.486805555556)</f>
        <v>46151.48681</v>
      </c>
      <c r="F186" s="86">
        <f>IFERROR(__xludf.DUMMYFUNCTION("""COMPUTED_VALUE"""),46151.45458355324)</f>
        <v>46151.45458</v>
      </c>
      <c r="G186" s="86" t="str">
        <f>IFERROR(__xludf.DUMMYFUNCTION("""COMPUTED_VALUE"""),"Done")</f>
        <v>Done</v>
      </c>
      <c r="H186" s="88">
        <f>IFERROR(__xludf.DUMMYFUNCTION("""COMPUTED_VALUE"""),0.0)</f>
        <v>0</v>
      </c>
      <c r="I186" s="90" t="str">
        <f>IFERROR(__xludf.DUMMYFUNCTION("""COMPUTED_VALUE"""),"EMP0042 HULESHWAR KUMAR SAHU")</f>
        <v>EMP0042 HULESHWAR KUMAR SAHU</v>
      </c>
      <c r="J186" s="91"/>
    </row>
    <row r="187">
      <c r="B187" s="76" t="str">
        <f>IFERROR(__xludf.DUMMYFUNCTION("""COMPUTED_VALUE"""),"Discussion with Requester                                                                           ")</f>
        <v>Discussion with Requester                                                                           </v>
      </c>
      <c r="C187" s="82">
        <f>IFERROR(__xludf.DUMMYFUNCTION("""COMPUTED_VALUE"""),5145.0)</f>
        <v>5145</v>
      </c>
      <c r="D187" s="76" t="str">
        <f>IFERROR(__xludf.DUMMYFUNCTION("""COMPUTED_VALUE"""),"STUDENT_ATTENDANCE")</f>
        <v>STUDENT_ATTENDANCE</v>
      </c>
      <c r="E187" s="84">
        <f>IFERROR(__xludf.DUMMYFUNCTION("""COMPUTED_VALUE"""),46151.78247533565)</f>
        <v>46151.78248</v>
      </c>
      <c r="F187" s="86">
        <f>IFERROR(__xludf.DUMMYFUNCTION("""COMPUTED_VALUE"""),46151.62563598379)</f>
        <v>46151.62564</v>
      </c>
      <c r="G187" s="86" t="str">
        <f>IFERROR(__xludf.DUMMYFUNCTION("""COMPUTED_VALUE"""),"Done")</f>
        <v>Done</v>
      </c>
      <c r="H187" s="88">
        <f>IFERROR(__xludf.DUMMYFUNCTION("""COMPUTED_VALUE"""),0.0)</f>
        <v>0</v>
      </c>
      <c r="I187" s="90" t="str">
        <f>IFERROR(__xludf.DUMMYFUNCTION("""COMPUTED_VALUE"""),"EMP5009 Rup Kumar Mandal")</f>
        <v>EMP5009 Rup Kumar Mandal</v>
      </c>
      <c r="J187" s="91"/>
    </row>
    <row r="188">
      <c r="B188" s="76" t="str">
        <f>IFERROR(__xludf.DUMMYFUNCTION("""COMPUTED_VALUE"""),"Discussion with Requester                                                                           ")</f>
        <v>Discussion with Requester                                                                           </v>
      </c>
      <c r="C188" s="82">
        <f>IFERROR(__xludf.DUMMYFUNCTION("""COMPUTED_VALUE"""),5146.0)</f>
        <v>5146</v>
      </c>
      <c r="D188" s="76" t="str">
        <f>IFERROR(__xludf.DUMMYFUNCTION("""COMPUTED_VALUE"""),"STUDENT_ATTENDANCE ")</f>
        <v>STUDENT_ATTENDANCE </v>
      </c>
      <c r="E188" s="84">
        <f>IFERROR(__xludf.DUMMYFUNCTION("""COMPUTED_VALUE"""),46151.78390200232)</f>
        <v>46151.7839</v>
      </c>
      <c r="F188" s="86">
        <f>IFERROR(__xludf.DUMMYFUNCTION("""COMPUTED_VALUE"""),46151.62563598379)</f>
        <v>46151.62564</v>
      </c>
      <c r="G188" s="86" t="str">
        <f>IFERROR(__xludf.DUMMYFUNCTION("""COMPUTED_VALUE"""),"Done")</f>
        <v>Done</v>
      </c>
      <c r="H188" s="88">
        <f>IFERROR(__xludf.DUMMYFUNCTION("""COMPUTED_VALUE"""),0.0)</f>
        <v>0</v>
      </c>
      <c r="I188" s="90" t="str">
        <f>IFERROR(__xludf.DUMMYFUNCTION("""COMPUTED_VALUE"""),"EMP5009 Rup Kumar Mandal")</f>
        <v>EMP5009 Rup Kumar Mandal</v>
      </c>
      <c r="J188" s="91"/>
    </row>
    <row r="189">
      <c r="B189" s="76" t="str">
        <f>IFERROR(__xludf.DUMMYFUNCTION("""COMPUTED_VALUE"""),"Discussion with Requester                                                                           ")</f>
        <v>Discussion with Requester                                                                           </v>
      </c>
      <c r="C189" s="82">
        <f>IFERROR(__xludf.DUMMYFUNCTION("""COMPUTED_VALUE"""),5147.0)</f>
        <v>5147</v>
      </c>
      <c r="D189" s="76" t="str">
        <f>IFERROR(__xludf.DUMMYFUNCTION("""COMPUTED_VALUE"""),"	TR NEW AGRICULTURE AND ALL")</f>
        <v>	TR NEW AGRICULTURE AND ALL</v>
      </c>
      <c r="E189" s="84">
        <f>IFERROR(__xludf.DUMMYFUNCTION("""COMPUTED_VALUE"""),46153.45694444445)</f>
        <v>46153.45694</v>
      </c>
      <c r="F189" s="86">
        <f>IFERROR(__xludf.DUMMYFUNCTION("""COMPUTED_VALUE"""),46153.44402101852)</f>
        <v>46153.44402</v>
      </c>
      <c r="G189" s="86" t="str">
        <f>IFERROR(__xludf.DUMMYFUNCTION("""COMPUTED_VALUE"""),"Done")</f>
        <v>Done</v>
      </c>
      <c r="H189" s="88">
        <f>IFERROR(__xludf.DUMMYFUNCTION("""COMPUTED_VALUE"""),0.0)</f>
        <v>0</v>
      </c>
      <c r="I189" s="90" t="str">
        <f>IFERROR(__xludf.DUMMYFUNCTION("""COMPUTED_VALUE"""),"EMP0042 HULESHWAR KUMAR SAHU")</f>
        <v>EMP0042 HULESHWAR KUMAR SAHU</v>
      </c>
      <c r="J189" s="91"/>
    </row>
    <row r="190">
      <c r="B190" s="76" t="str">
        <f>IFERROR(__xludf.DUMMYFUNCTION("""COMPUTED_VALUE"""),"Discussion with Requester                                                                           ")</f>
        <v>Discussion with Requester                                                                           </v>
      </c>
      <c r="C190" s="82">
        <f>IFERROR(__xludf.DUMMYFUNCTION("""COMPUTED_VALUE"""),5148.0)</f>
        <v>5148</v>
      </c>
      <c r="D190" s="76" t="str">
        <f>IFERROR(__xludf.DUMMYFUNCTION("""COMPUTED_VALUE"""),"2019-20 BATCHES BA COURSE MATHAMTICS SUBJECT NOT SHOWING UNIT PARTS IN DMC")</f>
        <v>2019-20 BATCHES BA COURSE MATHAMTICS SUBJECT NOT SHOWING UNIT PARTS IN DMC</v>
      </c>
      <c r="E190" s="84">
        <f>IFERROR(__xludf.DUMMYFUNCTION("""COMPUTED_VALUE"""),46153.66074040509)</f>
        <v>46153.66074</v>
      </c>
      <c r="F190" s="86">
        <f>IFERROR(__xludf.DUMMYFUNCTION("""COMPUTED_VALUE"""),46153.65225694445)</f>
        <v>46153.65226</v>
      </c>
      <c r="G190" s="86" t="str">
        <f>IFERROR(__xludf.DUMMYFUNCTION("""COMPUTED_VALUE"""),"Done")</f>
        <v>Done</v>
      </c>
      <c r="H190" s="88">
        <f>IFERROR(__xludf.DUMMYFUNCTION("""COMPUTED_VALUE"""),0.0)</f>
        <v>0</v>
      </c>
      <c r="I190" s="90" t="str">
        <f>IFERROR(__xludf.DUMMYFUNCTION("""COMPUTED_VALUE"""),"EMP0237 Swarnendu Chakraborty")</f>
        <v>EMP0237 Swarnendu Chakraborty</v>
      </c>
      <c r="J190" s="91"/>
    </row>
    <row r="191">
      <c r="B191" s="76" t="str">
        <f>IFERROR(__xludf.DUMMYFUNCTION("""COMPUTED_VALUE"""),"Discussion with Requester                                                                           ")</f>
        <v>Discussion with Requester                                                                           </v>
      </c>
      <c r="C191" s="82">
        <f>IFERROR(__xludf.DUMMYFUNCTION("""COMPUTED_VALUE"""),5149.0)</f>
        <v>5149</v>
      </c>
      <c r="D191" s="76" t="str">
        <f>IFERROR(__xludf.DUMMYFUNCTION("""COMPUTED_VALUE"""),"	Marksheet MBBS New Format")</f>
        <v>	Marksheet MBBS New Format</v>
      </c>
      <c r="E191" s="84">
        <f>IFERROR(__xludf.DUMMYFUNCTION("""COMPUTED_VALUE"""),46154.814396863425)</f>
        <v>46154.8144</v>
      </c>
      <c r="F191" s="86">
        <f>IFERROR(__xludf.DUMMYFUNCTION("""COMPUTED_VALUE"""),46154.66729531251)</f>
        <v>46154.6673</v>
      </c>
      <c r="G191" s="86" t="str">
        <f>IFERROR(__xludf.DUMMYFUNCTION("""COMPUTED_VALUE"""),"Done")</f>
        <v>Done</v>
      </c>
      <c r="H191" s="88">
        <f>IFERROR(__xludf.DUMMYFUNCTION("""COMPUTED_VALUE"""),0.0)</f>
        <v>0</v>
      </c>
      <c r="I191" s="90" t="str">
        <f>IFERROR(__xludf.DUMMYFUNCTION("""COMPUTED_VALUE"""),"EMP0042 HULESHWAR KUMAR SAHU")</f>
        <v>EMP0042 HULESHWAR KUMAR SAHU</v>
      </c>
      <c r="J191" s="91"/>
    </row>
    <row r="192">
      <c r="B192" s="76" t="str">
        <f>IFERROR(__xludf.DUMMYFUNCTION("""COMPUTED_VALUE"""),"Discussion with Requester                                                                           ")</f>
        <v>Discussion with Requester                                                                           </v>
      </c>
      <c r="C192" s="82">
        <f>IFERROR(__xludf.DUMMYFUNCTION("""COMPUTED_VALUE"""),5150.0)</f>
        <v>5150</v>
      </c>
      <c r="D192" s="76" t="str">
        <f>IFERROR(__xludf.DUMMYFUNCTION("""COMPUTED_VALUE"""),"Transcript PG")</f>
        <v>Transcript PG</v>
      </c>
      <c r="E192" s="84">
        <f>IFERROR(__xludf.DUMMYFUNCTION("""COMPUTED_VALUE"""),46154.81740479167)</f>
        <v>46154.8174</v>
      </c>
      <c r="F192" s="86">
        <f>IFERROR(__xludf.DUMMYFUNCTION("""COMPUTED_VALUE"""),46154.667295254636)</f>
        <v>46154.6673</v>
      </c>
      <c r="G192" s="86" t="str">
        <f>IFERROR(__xludf.DUMMYFUNCTION("""COMPUTED_VALUE"""),"Done")</f>
        <v>Done</v>
      </c>
      <c r="H192" s="88">
        <f>IFERROR(__xludf.DUMMYFUNCTION("""COMPUTED_VALUE"""),0.0)</f>
        <v>0</v>
      </c>
      <c r="I192" s="90" t="str">
        <f>IFERROR(__xludf.DUMMYFUNCTION("""COMPUTED_VALUE"""),"EMP0042 HULESHWAR KUMAR SAHU")</f>
        <v>EMP0042 HULESHWAR KUMAR SAHU</v>
      </c>
      <c r="J192" s="91"/>
    </row>
    <row r="193">
      <c r="B193" s="76" t="str">
        <f>IFERROR(__xludf.DUMMYFUNCTION("""COMPUTED_VALUE"""),"Discussion with Requester                                                                           ")</f>
        <v>Discussion with Requester                                                                           </v>
      </c>
      <c r="C193" s="82">
        <f>IFERROR(__xludf.DUMMYFUNCTION("""COMPUTED_VALUE"""),5151.0)</f>
        <v>5151</v>
      </c>
      <c r="D193" s="76" t="str">
        <f>IFERROR(__xludf.DUMMYFUNCTION("""COMPUTED_VALUE"""),"Marksheet LLB")</f>
        <v>Marksheet LLB</v>
      </c>
      <c r="E193" s="84">
        <f>IFERROR(__xludf.DUMMYFUNCTION("""COMPUTED_VALUE"""),46155.45277777778)</f>
        <v>46155.45278</v>
      </c>
      <c r="F193" s="86">
        <f>IFERROR(__xludf.DUMMYFUNCTION("""COMPUTED_VALUE"""),46155.43822916667)</f>
        <v>46155.43823</v>
      </c>
      <c r="G193" s="86" t="str">
        <f>IFERROR(__xludf.DUMMYFUNCTION("""COMPUTED_VALUE"""),"Done")</f>
        <v>Done</v>
      </c>
      <c r="H193" s="88">
        <f>IFERROR(__xludf.DUMMYFUNCTION("""COMPUTED_VALUE"""),0.0)</f>
        <v>0</v>
      </c>
      <c r="I193" s="90" t="str">
        <f>IFERROR(__xludf.DUMMYFUNCTION("""COMPUTED_VALUE"""),"EMP0042 HULESHWAR KUMAR SAHU")</f>
        <v>EMP0042 HULESHWAR KUMAR SAHU</v>
      </c>
      <c r="J193" s="91"/>
    </row>
    <row r="194">
      <c r="B194" s="76" t="str">
        <f>IFERROR(__xludf.DUMMYFUNCTION("""COMPUTED_VALUE"""),"Discussion with Requester                                                                           ")</f>
        <v>Discussion with Requester                                                                           </v>
      </c>
      <c r="C194" s="82">
        <f>IFERROR(__xludf.DUMMYFUNCTION("""COMPUTED_VALUE"""),5152.0)</f>
        <v>5152</v>
      </c>
      <c r="D194" s="76" t="str">
        <f>IFERROR(__xludf.DUMMYFUNCTION("""COMPUTED_VALUE"""),"NEP Marksheet")</f>
        <v>NEP Marksheet</v>
      </c>
      <c r="E194" s="84">
        <f>IFERROR(__xludf.DUMMYFUNCTION("""COMPUTED_VALUE"""),46157.42638888889)</f>
        <v>46157.42639</v>
      </c>
      <c r="F194" s="86">
        <f>IFERROR(__xludf.DUMMYFUNCTION("""COMPUTED_VALUE"""),46156.68101962963)</f>
        <v>46156.68102</v>
      </c>
      <c r="G194" s="86" t="str">
        <f>IFERROR(__xludf.DUMMYFUNCTION("""COMPUTED_VALUE"""),"Done")</f>
        <v>Done</v>
      </c>
      <c r="H194" s="88">
        <f>IFERROR(__xludf.DUMMYFUNCTION("""COMPUTED_VALUE"""),0.0)</f>
        <v>0</v>
      </c>
      <c r="I194" s="90" t="str">
        <f>IFERROR(__xludf.DUMMYFUNCTION("""COMPUTED_VALUE"""),"EMP0042 HULESHWAR KUMAR SAHU")</f>
        <v>EMP0042 HULESHWAR KUMAR SAHU</v>
      </c>
      <c r="J194" s="91"/>
    </row>
    <row r="195">
      <c r="B195" s="76" t="str">
        <f>IFERROR(__xludf.DUMMYFUNCTION("""COMPUTED_VALUE"""),"Discussion with Requester                                                                           ")</f>
        <v>Discussion with Requester                                                                           </v>
      </c>
      <c r="C195" s="82">
        <f>IFERROR(__xludf.DUMMYFUNCTION("""COMPUTED_VALUE"""),5153.0)</f>
        <v>5153</v>
      </c>
      <c r="D195" s="76" t="str">
        <f>IFERROR(__xludf.DUMMYFUNCTION("""COMPUTED_VALUE"""),"OLD Marksheet")</f>
        <v>OLD Marksheet</v>
      </c>
      <c r="E195" s="84">
        <f>IFERROR(__xludf.DUMMYFUNCTION("""COMPUTED_VALUE"""),46157.42847222222)</f>
        <v>46157.42847</v>
      </c>
      <c r="F195" s="86">
        <f>IFERROR(__xludf.DUMMYFUNCTION("""COMPUTED_VALUE"""),46156.68105452546)</f>
        <v>46156.68105</v>
      </c>
      <c r="G195" s="86" t="str">
        <f>IFERROR(__xludf.DUMMYFUNCTION("""COMPUTED_VALUE"""),"Done")</f>
        <v>Done</v>
      </c>
      <c r="H195" s="88">
        <f>IFERROR(__xludf.DUMMYFUNCTION("""COMPUTED_VALUE"""),0.0)</f>
        <v>0</v>
      </c>
      <c r="I195" s="90" t="str">
        <f>IFERROR(__xludf.DUMMYFUNCTION("""COMPUTED_VALUE"""),"EMP0021 Tamanna Dewangan")</f>
        <v>EMP0021 Tamanna Dewangan</v>
      </c>
      <c r="J195" s="91"/>
    </row>
    <row r="196">
      <c r="B196" s="76" t="str">
        <f>IFERROR(__xludf.DUMMYFUNCTION("""COMPUTED_VALUE"""),"Discussion with Requester                                                                           ")</f>
        <v>Discussion with Requester                                                                           </v>
      </c>
      <c r="C196" s="82">
        <f>IFERROR(__xludf.DUMMYFUNCTION("""COMPUTED_VALUE"""),5154.0)</f>
        <v>5154</v>
      </c>
      <c r="D196" s="76" t="str">
        <f>IFERROR(__xludf.DUMMYFUNCTION("""COMPUTED_VALUE"""),"TR Report")</f>
        <v>TR Report</v>
      </c>
      <c r="E196" s="84">
        <f>IFERROR(__xludf.DUMMYFUNCTION("""COMPUTED_VALUE"""),46157.45138888889)</f>
        <v>46157.45139</v>
      </c>
      <c r="F196" s="86">
        <f>IFERROR(__xludf.DUMMYFUNCTION("""COMPUTED_VALUE"""),46156.7173687037)</f>
        <v>46156.71737</v>
      </c>
      <c r="G196" s="86" t="str">
        <f>IFERROR(__xludf.DUMMYFUNCTION("""COMPUTED_VALUE"""),"Done")</f>
        <v>Done</v>
      </c>
      <c r="H196" s="88">
        <f>IFERROR(__xludf.DUMMYFUNCTION("""COMPUTED_VALUE"""),0.0)</f>
        <v>0</v>
      </c>
      <c r="I196" s="90" t="str">
        <f>IFERROR(__xludf.DUMMYFUNCTION("""COMPUTED_VALUE"""),"EMP0021 Tamanna Dewangan")</f>
        <v>EMP0021 Tamanna Dewangan</v>
      </c>
      <c r="J196" s="91"/>
    </row>
    <row r="197">
      <c r="B197" s="76" t="str">
        <f>IFERROR(__xludf.DUMMYFUNCTION("""COMPUTED_VALUE"""),"Discussion with Requester                                                                           ")</f>
        <v>Discussion with Requester                                                                           </v>
      </c>
      <c r="C197" s="82">
        <f>IFERROR(__xludf.DUMMYFUNCTION("""COMPUTED_VALUE"""),5155.0)</f>
        <v>5155</v>
      </c>
      <c r="D197" s="76" t="str">
        <f>IFERROR(__xludf.DUMMYFUNCTION("""COMPUTED_VALUE"""),"Marksheet LLB(Absorption)")</f>
        <v>Marksheet LLB(Absorption)</v>
      </c>
      <c r="E197" s="84">
        <f>IFERROR(__xludf.DUMMYFUNCTION("""COMPUTED_VALUE"""),46157.45277777778)</f>
        <v>46157.45278</v>
      </c>
      <c r="F197" s="86">
        <f>IFERROR(__xludf.DUMMYFUNCTION("""COMPUTED_VALUE"""),46156.717022951394)</f>
        <v>46156.71702</v>
      </c>
      <c r="G197" s="86" t="str">
        <f>IFERROR(__xludf.DUMMYFUNCTION("""COMPUTED_VALUE"""),"Done")</f>
        <v>Done</v>
      </c>
      <c r="H197" s="88">
        <f>IFERROR(__xludf.DUMMYFUNCTION("""COMPUTED_VALUE"""),0.0)</f>
        <v>0</v>
      </c>
      <c r="I197" s="90" t="str">
        <f>IFERROR(__xludf.DUMMYFUNCTION("""COMPUTED_VALUE"""),"EMP0042 HULESHWAR KUMAR SAHU")</f>
        <v>EMP0042 HULESHWAR KUMAR SAHU</v>
      </c>
      <c r="J197" s="91"/>
    </row>
    <row r="198">
      <c r="B198" s="76" t="str">
        <f>IFERROR(__xludf.DUMMYFUNCTION("""COMPUTED_VALUE"""),"Discussion with Requester                                                                           ")</f>
        <v>Discussion with Requester                                                                           </v>
      </c>
      <c r="C198" s="82">
        <f>IFERROR(__xludf.DUMMYFUNCTION("""COMPUTED_VALUE"""),5156.0)</f>
        <v>5156</v>
      </c>
      <c r="D198" s="76" t="str">
        <f>IFERROR(__xludf.DUMMYFUNCTION("""COMPUTED_VALUE"""),"MISCELLEROUS REPORT IN FILED ADD ")</f>
        <v>MISCELLEROUS REPORT IN FILED ADD </v>
      </c>
      <c r="E198" s="84">
        <f>IFERROR(__xludf.DUMMYFUNCTION("""COMPUTED_VALUE"""),46158.6732905324)</f>
        <v>46158.67329</v>
      </c>
      <c r="F198" s="86">
        <f>IFERROR(__xludf.DUMMYFUNCTION("""COMPUTED_VALUE"""),46158.516039918984)</f>
        <v>46158.51604</v>
      </c>
      <c r="G198" s="86" t="str">
        <f>IFERROR(__xludf.DUMMYFUNCTION("""COMPUTED_VALUE"""),"Done")</f>
        <v>Done</v>
      </c>
      <c r="H198" s="88">
        <f>IFERROR(__xludf.DUMMYFUNCTION("""COMPUTED_VALUE"""),0.0)</f>
        <v>0</v>
      </c>
      <c r="I198" s="90" t="str">
        <f>IFERROR(__xludf.DUMMYFUNCTION("""COMPUTED_VALUE"""),"EMP0237 Swarnendu Chakraborty")</f>
        <v>EMP0237 Swarnendu Chakraborty</v>
      </c>
      <c r="J198" s="91"/>
    </row>
    <row r="199">
      <c r="B199" s="76" t="str">
        <f>IFERROR(__xludf.DUMMYFUNCTION("""COMPUTED_VALUE"""),"Discussion with Requester                                                                           ")</f>
        <v>Discussion with Requester                                                                           </v>
      </c>
      <c r="C199" s="82">
        <f>IFERROR(__xludf.DUMMYFUNCTION("""COMPUTED_VALUE"""),5157.0)</f>
        <v>5157</v>
      </c>
      <c r="D199" s="76" t="str">
        <f>IFERROR(__xludf.DUMMYFUNCTION("""COMPUTED_VALUE"""),"Student Checklist")</f>
        <v>Student Checklist</v>
      </c>
      <c r="E199" s="84">
        <f>IFERROR(__xludf.DUMMYFUNCTION("""COMPUTED_VALUE"""),46158.76576278935)</f>
        <v>46158.76576</v>
      </c>
      <c r="F199" s="86">
        <f>IFERROR(__xludf.DUMMYFUNCTION("""COMPUTED_VALUE"""),46158.61087724537)</f>
        <v>46158.61088</v>
      </c>
      <c r="G199" s="86" t="str">
        <f>IFERROR(__xludf.DUMMYFUNCTION("""COMPUTED_VALUE"""),"Done")</f>
        <v>Done</v>
      </c>
      <c r="H199" s="88">
        <f>IFERROR(__xludf.DUMMYFUNCTION("""COMPUTED_VALUE"""),0.0)</f>
        <v>0</v>
      </c>
      <c r="I199" s="90" t="str">
        <f>IFERROR(__xludf.DUMMYFUNCTION("""COMPUTED_VALUE"""),"EMP5009 Rup Kumar Mandal")</f>
        <v>EMP5009 Rup Kumar Mandal</v>
      </c>
      <c r="J199" s="91"/>
    </row>
    <row r="200">
      <c r="B200" s="76" t="str">
        <f>IFERROR(__xludf.DUMMYFUNCTION("""COMPUTED_VALUE"""),"Discussion with Requester                                                                           ")</f>
        <v>Discussion with Requester                                                                           </v>
      </c>
      <c r="C200" s="82">
        <f>IFERROR(__xludf.DUMMYFUNCTION("""COMPUTED_VALUE"""),5158.0)</f>
        <v>5158</v>
      </c>
      <c r="D200" s="76" t="str">
        <f>IFERROR(__xludf.DUMMYFUNCTION("""COMPUTED_VALUE"""),"ADMIT")</f>
        <v>ADMIT</v>
      </c>
      <c r="E200" s="84">
        <f>IFERROR(__xludf.DUMMYFUNCTION("""COMPUTED_VALUE"""),46158.76864172454)</f>
        <v>46158.76864</v>
      </c>
      <c r="F200" s="86">
        <f>IFERROR(__xludf.DUMMYFUNCTION("""COMPUTED_VALUE"""),46158.61087724537)</f>
        <v>46158.61088</v>
      </c>
      <c r="G200" s="86" t="str">
        <f>IFERROR(__xludf.DUMMYFUNCTION("""COMPUTED_VALUE"""),"Done")</f>
        <v>Done</v>
      </c>
      <c r="H200" s="88">
        <f>IFERROR(__xludf.DUMMYFUNCTION("""COMPUTED_VALUE"""),0.0)</f>
        <v>0</v>
      </c>
      <c r="I200" s="90" t="str">
        <f>IFERROR(__xludf.DUMMYFUNCTION("""COMPUTED_VALUE"""),"EMP5009 Rup Kumar Mandal")</f>
        <v>EMP5009 Rup Kumar Mandal</v>
      </c>
      <c r="J200" s="91"/>
    </row>
    <row r="201">
      <c r="B201" s="76" t="str">
        <f>IFERROR(__xludf.DUMMYFUNCTION("""COMPUTED_VALUE"""),"Discussion with Requester                                                                           ")</f>
        <v>Discussion with Requester                                                                           </v>
      </c>
      <c r="C201" s="82">
        <f>IFERROR(__xludf.DUMMYFUNCTION("""COMPUTED_VALUE"""),5159.0)</f>
        <v>5159</v>
      </c>
      <c r="D201" s="76" t="str">
        <f>IFERROR(__xludf.DUMMYFUNCTION("""COMPUTED_VALUE"""),"ATTENDANCE (AR/DR)")</f>
        <v>ATTENDANCE (AR/DR)</v>
      </c>
      <c r="E201" s="84">
        <f>IFERROR(__xludf.DUMMYFUNCTION("""COMPUTED_VALUE"""),46158.769648981484)</f>
        <v>46158.76965</v>
      </c>
      <c r="F201" s="86">
        <f>IFERROR(__xludf.DUMMYFUNCTION("""COMPUTED_VALUE"""),46158.610886145834)</f>
        <v>46158.61089</v>
      </c>
      <c r="G201" s="86" t="str">
        <f>IFERROR(__xludf.DUMMYFUNCTION("""COMPUTED_VALUE"""),"Done")</f>
        <v>Done</v>
      </c>
      <c r="H201" s="88">
        <f>IFERROR(__xludf.DUMMYFUNCTION("""COMPUTED_VALUE"""),0.0)</f>
        <v>0</v>
      </c>
      <c r="I201" s="90" t="str">
        <f>IFERROR(__xludf.DUMMYFUNCTION("""COMPUTED_VALUE"""),"EMP5009 Rup Kumar Mandal")</f>
        <v>EMP5009 Rup Kumar Mandal</v>
      </c>
      <c r="J201" s="91"/>
    </row>
    <row r="202">
      <c r="B202" s="76" t="str">
        <f>IFERROR(__xludf.DUMMYFUNCTION("""COMPUTED_VALUE"""),"Discussion with Requester                                                                           ")</f>
        <v>Discussion with Requester                                                                           </v>
      </c>
      <c r="C202" s="82">
        <f>IFERROR(__xludf.DUMMYFUNCTION("""COMPUTED_VALUE"""),5160.0)</f>
        <v>5160</v>
      </c>
      <c r="D202" s="76" t="str">
        <f>IFERROR(__xludf.DUMMYFUNCTION("""COMPUTED_VALUE"""),"TOP SHEET (BEFORE)")</f>
        <v>TOP SHEET (BEFORE)</v>
      </c>
      <c r="E202" s="84">
        <f>IFERROR(__xludf.DUMMYFUNCTION("""COMPUTED_VALUE"""),46158.771244791664)</f>
        <v>46158.77124</v>
      </c>
      <c r="F202" s="86">
        <f>IFERROR(__xludf.DUMMYFUNCTION("""COMPUTED_VALUE"""),46158.61090137731)</f>
        <v>46158.6109</v>
      </c>
      <c r="G202" s="86" t="str">
        <f>IFERROR(__xludf.DUMMYFUNCTION("""COMPUTED_VALUE"""),"Done")</f>
        <v>Done</v>
      </c>
      <c r="H202" s="88">
        <f>IFERROR(__xludf.DUMMYFUNCTION("""COMPUTED_VALUE"""),0.0)</f>
        <v>0</v>
      </c>
      <c r="I202" s="90" t="str">
        <f>IFERROR(__xludf.DUMMYFUNCTION("""COMPUTED_VALUE"""),"EMP5009 Rup Kumar Mandal")</f>
        <v>EMP5009 Rup Kumar Mandal</v>
      </c>
      <c r="J202" s="91"/>
    </row>
    <row r="203">
      <c r="B203" s="76" t="str">
        <f>IFERROR(__xludf.DUMMYFUNCTION("""COMPUTED_VALUE"""),"Discussion with Requester                                                                           ")</f>
        <v>Discussion with Requester                                                                           </v>
      </c>
      <c r="C203" s="82">
        <f>IFERROR(__xludf.DUMMYFUNCTION("""COMPUTED_VALUE"""),5161.0)</f>
        <v>5161</v>
      </c>
      <c r="D203" s="76" t="str">
        <f>IFERROR(__xludf.DUMMYFUNCTION("""COMPUTED_VALUE"""),"PREVIOUS ")</f>
        <v>PREVIOUS </v>
      </c>
      <c r="E203" s="84">
        <f>IFERROR(__xludf.DUMMYFUNCTION("""COMPUTED_VALUE"""),46158.77221429399)</f>
        <v>46158.77221</v>
      </c>
      <c r="F203" s="86">
        <f>IFERROR(__xludf.DUMMYFUNCTION("""COMPUTED_VALUE"""),46158.61090137731)</f>
        <v>46158.6109</v>
      </c>
      <c r="G203" s="86" t="str">
        <f>IFERROR(__xludf.DUMMYFUNCTION("""COMPUTED_VALUE"""),"Done")</f>
        <v>Done</v>
      </c>
      <c r="H203" s="88">
        <f>IFERROR(__xludf.DUMMYFUNCTION("""COMPUTED_VALUE"""),0.0)</f>
        <v>0</v>
      </c>
      <c r="I203" s="90" t="str">
        <f>IFERROR(__xludf.DUMMYFUNCTION("""COMPUTED_VALUE"""),"EMP5009 Rup Kumar Mandal")</f>
        <v>EMP5009 Rup Kumar Mandal</v>
      </c>
      <c r="J203" s="91"/>
    </row>
    <row r="204">
      <c r="B204" s="76" t="str">
        <f>IFERROR(__xludf.DUMMYFUNCTION("""COMPUTED_VALUE"""),"Discussion with Requester                                                                           ")</f>
        <v>Discussion with Requester                                                                           </v>
      </c>
      <c r="C204" s="82">
        <f>IFERROR(__xludf.DUMMYFUNCTION("""COMPUTED_VALUE"""),5162.0)</f>
        <v>5162</v>
      </c>
      <c r="D204" s="76" t="str">
        <f>IFERROR(__xludf.DUMMYFUNCTION("""COMPUTED_VALUE"""),"Marks Entry Report")</f>
        <v>Marks Entry Report</v>
      </c>
      <c r="E204" s="84">
        <f>IFERROR(__xludf.DUMMYFUNCTION("""COMPUTED_VALUE"""),46160.71619145833)</f>
        <v>46160.71619</v>
      </c>
      <c r="F204" s="86">
        <f>IFERROR(__xludf.DUMMYFUNCTION("""COMPUTED_VALUE"""),46160.62245579861)</f>
        <v>46160.62246</v>
      </c>
      <c r="G204" s="86" t="str">
        <f>IFERROR(__xludf.DUMMYFUNCTION("""COMPUTED_VALUE"""),"Done")</f>
        <v>Done</v>
      </c>
      <c r="H204" s="88">
        <f>IFERROR(__xludf.DUMMYFUNCTION("""COMPUTED_VALUE"""),0.0)</f>
        <v>0</v>
      </c>
      <c r="I204" s="90" t="str">
        <f>IFERROR(__xludf.DUMMYFUNCTION("""COMPUTED_VALUE"""),"EMP0042 HULESHWAR KUMAR SAHU")</f>
        <v>EMP0042 HULESHWAR KUMAR SAHU</v>
      </c>
      <c r="J204" s="91"/>
    </row>
    <row r="205">
      <c r="B205" s="76" t="str">
        <f>IFERROR(__xludf.DUMMYFUNCTION("""COMPUTED_VALUE"""),"Discussion with Requester                                                                           ")</f>
        <v>Discussion with Requester                                                                           </v>
      </c>
      <c r="C205" s="82">
        <f>IFERROR(__xludf.DUMMYFUNCTION("""COMPUTED_VALUE"""),5163.0)</f>
        <v>5163</v>
      </c>
      <c r="D205" s="76" t="str">
        <f>IFERROR(__xludf.DUMMYFUNCTION("""COMPUTED_VALUE"""),"Seat Allotment Paper List/DATE WISE SUBJECT LIST")</f>
        <v>Seat Allotment Paper List/DATE WISE SUBJECT LIST</v>
      </c>
      <c r="E205" s="84">
        <f>IFERROR(__xludf.DUMMYFUNCTION("""COMPUTED_VALUE"""),46161.48333333334)</f>
        <v>46161.48333</v>
      </c>
      <c r="F205" s="86">
        <f>IFERROR(__xludf.DUMMYFUNCTION("""COMPUTED_VALUE"""),46160.73612207176)</f>
        <v>46160.73612</v>
      </c>
      <c r="G205" s="86" t="str">
        <f>IFERROR(__xludf.DUMMYFUNCTION("""COMPUTED_VALUE"""),"Done")</f>
        <v>Done</v>
      </c>
      <c r="H205" s="88">
        <f>IFERROR(__xludf.DUMMYFUNCTION("""COMPUTED_VALUE"""),0.0)</f>
        <v>0</v>
      </c>
      <c r="I205" s="90" t="str">
        <f>IFERROR(__xludf.DUMMYFUNCTION("""COMPUTED_VALUE"""),"EMP0042 HULESHWAR KUMAR SAHU")</f>
        <v>EMP0042 HULESHWAR KUMAR SAHU</v>
      </c>
      <c r="J205" s="91"/>
    </row>
    <row r="206">
      <c r="B206" s="76" t="str">
        <f>IFERROR(__xludf.DUMMYFUNCTION("""COMPUTED_VALUE"""),"Discussion with Requester                                                                           ")</f>
        <v>Discussion with Requester                                                                           </v>
      </c>
      <c r="C206" s="82">
        <f>IFERROR(__xludf.DUMMYFUNCTION("""COMPUTED_VALUE"""),5164.0)</f>
        <v>5164</v>
      </c>
      <c r="D206" s="76" t="str">
        <f>IFERROR(__xludf.DUMMYFUNCTION("""COMPUTED_VALUE"""),"	DESK SLIP")</f>
        <v>	DESK SLIP</v>
      </c>
      <c r="E206" s="84">
        <f>IFERROR(__xludf.DUMMYFUNCTION("""COMPUTED_VALUE"""),46161.48402777778)</f>
        <v>46161.48403</v>
      </c>
      <c r="F206" s="86">
        <f>IFERROR(__xludf.DUMMYFUNCTION("""COMPUTED_VALUE"""),46160.73700989583)</f>
        <v>46160.73701</v>
      </c>
      <c r="G206" s="86" t="str">
        <f>IFERROR(__xludf.DUMMYFUNCTION("""COMPUTED_VALUE"""),"Done")</f>
        <v>Done</v>
      </c>
      <c r="H206" s="88">
        <f>IFERROR(__xludf.DUMMYFUNCTION("""COMPUTED_VALUE"""),0.0)</f>
        <v>0</v>
      </c>
      <c r="I206" s="90" t="str">
        <f>IFERROR(__xludf.DUMMYFUNCTION("""COMPUTED_VALUE"""),"EMP0042 HULESHWAR KUMAR SAHU")</f>
        <v>EMP0042 HULESHWAR KUMAR SAHU</v>
      </c>
      <c r="J206" s="91"/>
    </row>
    <row r="207">
      <c r="B207" s="76" t="str">
        <f>IFERROR(__xludf.DUMMYFUNCTION("""COMPUTED_VALUE"""),"Discussion with Requester                                                                           ")</f>
        <v>Discussion with Requester                                                                           </v>
      </c>
      <c r="C207" s="82">
        <f>IFERROR(__xludf.DUMMYFUNCTION("""COMPUTED_VALUE"""),5165.0)</f>
        <v>5165</v>
      </c>
      <c r="D207" s="76" t="str">
        <f>IFERROR(__xludf.DUMMYFUNCTION("""COMPUTED_VALUE"""),"Marks Sheet")</f>
        <v>Marks Sheet</v>
      </c>
      <c r="E207" s="84">
        <f>IFERROR(__xludf.DUMMYFUNCTION("""COMPUTED_VALUE"""),46161.50069444445)</f>
        <v>46161.50069</v>
      </c>
      <c r="F207" s="86">
        <f>IFERROR(__xludf.DUMMYFUNCTION("""COMPUTED_VALUE"""),46160.75249068287)</f>
        <v>46160.75249</v>
      </c>
      <c r="G207" s="86" t="str">
        <f>IFERROR(__xludf.DUMMYFUNCTION("""COMPUTED_VALUE"""),"Done")</f>
        <v>Done</v>
      </c>
      <c r="H207" s="88">
        <f>IFERROR(__xludf.DUMMYFUNCTION("""COMPUTED_VALUE"""),0.0)</f>
        <v>0</v>
      </c>
      <c r="I207" s="90" t="str">
        <f>IFERROR(__xludf.DUMMYFUNCTION("""COMPUTED_VALUE"""),"EMP0042 HULESHWAR KUMAR SAHU")</f>
        <v>EMP0042 HULESHWAR KUMAR SAHU</v>
      </c>
      <c r="J207" s="91"/>
    </row>
    <row r="208">
      <c r="B208" s="76" t="str">
        <f>IFERROR(__xludf.DUMMYFUNCTION("""COMPUTED_VALUE"""),"Discussion with Requester                                                                           ")</f>
        <v>Discussion with Requester                                                                           </v>
      </c>
      <c r="C208" s="82">
        <f>IFERROR(__xludf.DUMMYFUNCTION("""COMPUTED_VALUE"""),5166.0)</f>
        <v>5166</v>
      </c>
      <c r="D208" s="76" t="str">
        <f>IFERROR(__xludf.DUMMYFUNCTION("""COMPUTED_VALUE"""),"TR Report")</f>
        <v>TR Report</v>
      </c>
      <c r="E208" s="84">
        <f>IFERROR(__xludf.DUMMYFUNCTION("""COMPUTED_VALUE"""),46161.63096199075)</f>
        <v>46161.63096</v>
      </c>
      <c r="F208" s="86">
        <f>IFERROR(__xludf.DUMMYFUNCTION("""COMPUTED_VALUE"""),46161.49453944445)</f>
        <v>46161.49454</v>
      </c>
      <c r="G208" s="86" t="str">
        <f>IFERROR(__xludf.DUMMYFUNCTION("""COMPUTED_VALUE"""),"Done")</f>
        <v>Done</v>
      </c>
      <c r="H208" s="88">
        <f>IFERROR(__xludf.DUMMYFUNCTION("""COMPUTED_VALUE"""),0.0)</f>
        <v>0</v>
      </c>
      <c r="I208" s="90" t="str">
        <f>IFERROR(__xludf.DUMMYFUNCTION("""COMPUTED_VALUE"""),"EMP0237 Swarnendu Chakraborty")</f>
        <v>EMP0237 Swarnendu Chakraborty</v>
      </c>
      <c r="J208" s="91"/>
    </row>
    <row r="209">
      <c r="B209" s="76" t="str">
        <f>IFERROR(__xludf.DUMMYFUNCTION("""COMPUTED_VALUE"""),"Discussion with Requester                                                                           ")</f>
        <v>Discussion with Requester                                                                           </v>
      </c>
      <c r="C209" s="82">
        <f>IFERROR(__xludf.DUMMYFUNCTION("""COMPUTED_VALUE"""),5167.0)</f>
        <v>5167</v>
      </c>
      <c r="D209" s="76" t="str">
        <f>IFERROR(__xludf.DUMMYFUNCTION("""COMPUTED_VALUE"""),"TR")</f>
        <v>TR</v>
      </c>
      <c r="E209" s="84">
        <f>IFERROR(__xludf.DUMMYFUNCTION("""COMPUTED_VALUE"""),46161.685280682876)</f>
        <v>46161.68528</v>
      </c>
      <c r="F209" s="86">
        <f>IFERROR(__xludf.DUMMYFUNCTION("""COMPUTED_VALUE"""),46161.5190977662)</f>
        <v>46161.5191</v>
      </c>
      <c r="G209" s="86" t="str">
        <f>IFERROR(__xludf.DUMMYFUNCTION("""COMPUTED_VALUE"""),"Done")</f>
        <v>Done</v>
      </c>
      <c r="H209" s="88">
        <f>IFERROR(__xludf.DUMMYFUNCTION("""COMPUTED_VALUE"""),0.0)</f>
        <v>0</v>
      </c>
      <c r="I209" s="90" t="str">
        <f>IFERROR(__xludf.DUMMYFUNCTION("""COMPUTED_VALUE"""),"EMP0042 HULESHWAR KUMAR SAHU")</f>
        <v>EMP0042 HULESHWAR KUMAR SAHU</v>
      </c>
      <c r="J209" s="91"/>
    </row>
    <row r="210">
      <c r="B210" s="76" t="str">
        <f>IFERROR(__xludf.DUMMYFUNCTION("""COMPUTED_VALUE"""),"Discussion with Requester                                                                           ")</f>
        <v>Discussion with Requester                                                                           </v>
      </c>
      <c r="C210" s="82">
        <f>IFERROR(__xludf.DUMMYFUNCTION("""COMPUTED_VALUE"""),5168.0)</f>
        <v>5168</v>
      </c>
      <c r="D210" s="76" t="str">
        <f>IFERROR(__xludf.DUMMYFUNCTION("""COMPUTED_VALUE"""),"NEP UG TR COLLEGEWISE")</f>
        <v>NEP UG TR COLLEGEWISE</v>
      </c>
      <c r="E210" s="84">
        <f>IFERROR(__xludf.DUMMYFUNCTION("""COMPUTED_VALUE"""),46161.70078831018)</f>
        <v>46161.70079</v>
      </c>
      <c r="F210" s="86">
        <f>IFERROR(__xludf.DUMMYFUNCTION("""COMPUTED_VALUE"""),46161.61566030092)</f>
        <v>46161.61566</v>
      </c>
      <c r="G210" s="86" t="str">
        <f>IFERROR(__xludf.DUMMYFUNCTION("""COMPUTED_VALUE"""),"Done")</f>
        <v>Done</v>
      </c>
      <c r="H210" s="88">
        <f>IFERROR(__xludf.DUMMYFUNCTION("""COMPUTED_VALUE"""),0.0)</f>
        <v>0</v>
      </c>
      <c r="I210" s="90" t="str">
        <f>IFERROR(__xludf.DUMMYFUNCTION("""COMPUTED_VALUE"""),"EMP0042 HULESHWAR KUMAR SAHU")</f>
        <v>EMP0042 HULESHWAR KUMAR SAHU</v>
      </c>
      <c r="J210" s="91"/>
    </row>
    <row r="211">
      <c r="B211" s="76" t="str">
        <f>IFERROR(__xludf.DUMMYFUNCTION("""COMPUTED_VALUE"""),"Discussion with Requester                                                                           ")</f>
        <v>Discussion with Requester                                                                           </v>
      </c>
      <c r="C211" s="82">
        <f>IFERROR(__xludf.DUMMYFUNCTION("""COMPUTED_VALUE"""),5169.0)</f>
        <v>5169</v>
      </c>
      <c r="D211" s="76" t="str">
        <f>IFERROR(__xludf.DUMMYFUNCTION("""COMPUTED_VALUE"""),"Marks Sheet Old")</f>
        <v>Marks Sheet Old</v>
      </c>
      <c r="E211" s="84">
        <f>IFERROR(__xludf.DUMMYFUNCTION("""COMPUTED_VALUE"""),46161.810449398145)</f>
        <v>46161.81045</v>
      </c>
      <c r="F211" s="86">
        <f>IFERROR(__xludf.DUMMYFUNCTION("""COMPUTED_VALUE"""),46161.70339909722)</f>
        <v>46161.7034</v>
      </c>
      <c r="G211" s="86" t="str">
        <f>IFERROR(__xludf.DUMMYFUNCTION("""COMPUTED_VALUE"""),"Done")</f>
        <v>Done</v>
      </c>
      <c r="H211" s="88">
        <f>IFERROR(__xludf.DUMMYFUNCTION("""COMPUTED_VALUE"""),0.0)</f>
        <v>0</v>
      </c>
      <c r="I211" s="90" t="str">
        <f>IFERROR(__xludf.DUMMYFUNCTION("""COMPUTED_VALUE"""),"EMP0042 HULESHWAR KUMAR SAHU")</f>
        <v>EMP0042 HULESHWAR KUMAR SAHU</v>
      </c>
      <c r="J211" s="91"/>
    </row>
    <row r="212">
      <c r="B212" s="76" t="str">
        <f>IFERROR(__xludf.DUMMYFUNCTION("""COMPUTED_VALUE"""),"Discussion with Requester                                                                           ")</f>
        <v>Discussion with Requester                                                                           </v>
      </c>
      <c r="C212" s="82">
        <f>IFERROR(__xludf.DUMMYFUNCTION("""COMPUTED_VALUE"""),5170.0)</f>
        <v>5170</v>
      </c>
      <c r="D212" s="76" t="str">
        <f>IFERROR(__xludf.DUMMYFUNCTION("""COMPUTED_VALUE"""),"NEP M.A HISTRIY ADMIT CARD ERROR SOLVED ")</f>
        <v>NEP M.A HISTRIY ADMIT CARD ERROR SOLVED </v>
      </c>
      <c r="E212" s="84">
        <f>IFERROR(__xludf.DUMMYFUNCTION("""COMPUTED_VALUE"""),46162.493055555555)</f>
        <v>46162.49306</v>
      </c>
      <c r="F212" s="86">
        <f>IFERROR(__xludf.DUMMYFUNCTION("""COMPUTED_VALUE"""),46162.47816726851)</f>
        <v>46162.47817</v>
      </c>
      <c r="G212" s="86" t="str">
        <f>IFERROR(__xludf.DUMMYFUNCTION("""COMPUTED_VALUE"""),"Done")</f>
        <v>Done</v>
      </c>
      <c r="H212" s="88">
        <f>IFERROR(__xludf.DUMMYFUNCTION("""COMPUTED_VALUE"""),0.0)</f>
        <v>0</v>
      </c>
      <c r="I212" s="90" t="str">
        <f>IFERROR(__xludf.DUMMYFUNCTION("""COMPUTED_VALUE"""),"EMP0042 HULESHWAR KUMAR SAHU")</f>
        <v>EMP0042 HULESHWAR KUMAR SAHU</v>
      </c>
      <c r="J212" s="91"/>
    </row>
    <row r="213">
      <c r="B213" s="76" t="str">
        <f>IFERROR(__xludf.DUMMYFUNCTION("""COMPUTED_VALUE"""),"Discussion with Requester                                                                           ")</f>
        <v>Discussion with Requester                                                                           </v>
      </c>
      <c r="C213" s="82">
        <f>IFERROR(__xludf.DUMMYFUNCTION("""COMPUTED_VALUE"""),5171.0)</f>
        <v>5171</v>
      </c>
      <c r="D213" s="76" t="str">
        <f>IFERROR(__xludf.DUMMYFUNCTION("""COMPUTED_VALUE"""),"Multiple Report")</f>
        <v>Multiple Report</v>
      </c>
      <c r="E213" s="84">
        <f>IFERROR(__xludf.DUMMYFUNCTION("""COMPUTED_VALUE"""),46163.46319444444)</f>
        <v>46163.46319</v>
      </c>
      <c r="F213" s="86">
        <f>IFERROR(__xludf.DUMMYFUNCTION("""COMPUTED_VALUE"""),46163.43177461805)</f>
        <v>46163.43177</v>
      </c>
      <c r="G213" s="86" t="str">
        <f>IFERROR(__xludf.DUMMYFUNCTION("""COMPUTED_VALUE"""),"Done")</f>
        <v>Done</v>
      </c>
      <c r="H213" s="88">
        <f>IFERROR(__xludf.DUMMYFUNCTION("""COMPUTED_VALUE"""),0.0)</f>
        <v>0</v>
      </c>
      <c r="I213" s="90" t="str">
        <f>IFERROR(__xludf.DUMMYFUNCTION("""COMPUTED_VALUE"""),"EMP5009 Rup Kumar Mandal")</f>
        <v>EMP5009 Rup Kumar Mandal</v>
      </c>
      <c r="J213" s="91"/>
    </row>
    <row r="214">
      <c r="B214" s="76" t="str">
        <f>IFERROR(__xludf.DUMMYFUNCTION("""COMPUTED_VALUE"""),"Discussion with Requester                                                                           ")</f>
        <v>Discussion with Requester                                                                           </v>
      </c>
      <c r="C214" s="82">
        <f>IFERROR(__xludf.DUMMYFUNCTION("""COMPUTED_VALUE"""),5172.0)</f>
        <v>5172</v>
      </c>
      <c r="D214" s="76" t="str">
        <f>IFERROR(__xludf.DUMMYFUNCTION("""COMPUTED_VALUE"""),"ppr/pps report")</f>
        <v>ppr/pps report</v>
      </c>
      <c r="E214" s="84">
        <f>IFERROR(__xludf.DUMMYFUNCTION("""COMPUTED_VALUE"""),46163.62847486111)</f>
        <v>46163.62847</v>
      </c>
      <c r="F214" s="86">
        <f>IFERROR(__xludf.DUMMYFUNCTION("""COMPUTED_VALUE"""),46163.52292459491)</f>
        <v>46163.52292</v>
      </c>
      <c r="G214" s="86" t="str">
        <f>IFERROR(__xludf.DUMMYFUNCTION("""COMPUTED_VALUE"""),"Done")</f>
        <v>Done</v>
      </c>
      <c r="H214" s="88">
        <f>IFERROR(__xludf.DUMMYFUNCTION("""COMPUTED_VALUE"""),0.0)</f>
        <v>0</v>
      </c>
      <c r="I214" s="90" t="str">
        <f>IFERROR(__xludf.DUMMYFUNCTION("""COMPUTED_VALUE"""),"EMP0237 Swarnendu Chakraborty")</f>
        <v>EMP0237 Swarnendu Chakraborty</v>
      </c>
      <c r="J214" s="91"/>
    </row>
    <row r="215">
      <c r="B215" s="76" t="str">
        <f>IFERROR(__xludf.DUMMYFUNCTION("""COMPUTED_VALUE"""),"Discussion with Requester                                                                           ")</f>
        <v>Discussion with Requester                                                                           </v>
      </c>
      <c r="C215" s="82">
        <f>IFERROR(__xludf.DUMMYFUNCTION("""COMPUTED_VALUE"""),5173.0)</f>
        <v>5173</v>
      </c>
      <c r="D215" s="76" t="str">
        <f>IFERROR(__xludf.DUMMYFUNCTION("""COMPUTED_VALUE"""),"SMKV")</f>
        <v>SMKV</v>
      </c>
      <c r="E215" s="84">
        <f>IFERROR(__xludf.DUMMYFUNCTION("""COMPUTED_VALUE"""),46163.6937687963)</f>
        <v>46163.69377</v>
      </c>
      <c r="F215" s="86">
        <f>IFERROR(__xludf.DUMMYFUNCTION("""COMPUTED_VALUE"""),46163.557006898154)</f>
        <v>46163.55701</v>
      </c>
      <c r="G215" s="86" t="str">
        <f>IFERROR(__xludf.DUMMYFUNCTION("""COMPUTED_VALUE"""),"Done")</f>
        <v>Done</v>
      </c>
      <c r="H215" s="88">
        <f>IFERROR(__xludf.DUMMYFUNCTION("""COMPUTED_VALUE"""),0.0)</f>
        <v>0</v>
      </c>
      <c r="I215" s="90" t="str">
        <f>IFERROR(__xludf.DUMMYFUNCTION("""COMPUTED_VALUE"""),"EMP0042 HULESHWAR KUMAR SAHU")</f>
        <v>EMP0042 HULESHWAR KUMAR SAHU</v>
      </c>
      <c r="J215" s="91"/>
    </row>
    <row r="216">
      <c r="B216" s="76" t="str">
        <f>IFERROR(__xludf.DUMMYFUNCTION("""COMPUTED_VALUE"""),"Discussion with Requester                                                                           ")</f>
        <v>Discussion with Requester                                                                           </v>
      </c>
      <c r="C216" s="82">
        <f>IFERROR(__xludf.DUMMYFUNCTION("""COMPUTED_VALUE"""),5174.0)</f>
        <v>5174</v>
      </c>
      <c r="D216" s="76" t="str">
        <f>IFERROR(__xludf.DUMMYFUNCTION("""COMPUTED_VALUE"""),"Marks Sheet NEP")</f>
        <v>Marks Sheet NEP</v>
      </c>
      <c r="E216" s="84">
        <f>IFERROR(__xludf.DUMMYFUNCTION("""COMPUTED_VALUE"""),46163.70753893519)</f>
        <v>46163.70754</v>
      </c>
      <c r="F216" s="86">
        <f>IFERROR(__xludf.DUMMYFUNCTION("""COMPUTED_VALUE"""),46163.557034861115)</f>
        <v>46163.55703</v>
      </c>
      <c r="G216" s="86" t="str">
        <f>IFERROR(__xludf.DUMMYFUNCTION("""COMPUTED_VALUE"""),"Done")</f>
        <v>Done</v>
      </c>
      <c r="H216" s="88">
        <f>IFERROR(__xludf.DUMMYFUNCTION("""COMPUTED_VALUE"""),0.0)</f>
        <v>0</v>
      </c>
      <c r="I216" s="90" t="str">
        <f>IFERROR(__xludf.DUMMYFUNCTION("""COMPUTED_VALUE"""),"EMP0042 HULESHWAR KUMAR SAHU")</f>
        <v>EMP0042 HULESHWAR KUMAR SAHU</v>
      </c>
      <c r="J216" s="91"/>
    </row>
    <row r="217">
      <c r="B217" s="76" t="str">
        <f>IFERROR(__xludf.DUMMYFUNCTION("""COMPUTED_VALUE"""),"Discussion with Requester                                                                           ")</f>
        <v>Discussion with Requester                                                                           </v>
      </c>
      <c r="C217" s="82">
        <f>IFERROR(__xludf.DUMMYFUNCTION("""COMPUTED_VALUE"""),5175.0)</f>
        <v>5175</v>
      </c>
      <c r="D217" s="76" t="str">
        <f>IFERROR(__xludf.DUMMYFUNCTION("""COMPUTED_VALUE"""),"Marksheet")</f>
        <v>Marksheet</v>
      </c>
      <c r="E217" s="84">
        <f>IFERROR(__xludf.DUMMYFUNCTION("""COMPUTED_VALUE"""),46163.71682987269)</f>
        <v>46163.71683</v>
      </c>
      <c r="F217" s="86">
        <f>IFERROR(__xludf.DUMMYFUNCTION("""COMPUTED_VALUE"""),46163.55721028935)</f>
        <v>46163.55721</v>
      </c>
      <c r="G217" s="86" t="str">
        <f>IFERROR(__xludf.DUMMYFUNCTION("""COMPUTED_VALUE"""),"Done")</f>
        <v>Done</v>
      </c>
      <c r="H217" s="88">
        <f>IFERROR(__xludf.DUMMYFUNCTION("""COMPUTED_VALUE"""),0.0)</f>
        <v>0</v>
      </c>
      <c r="I217" s="90" t="str">
        <f>IFERROR(__xludf.DUMMYFUNCTION("""COMPUTED_VALUE"""),"EMP0237 Swarnendu Chakraborty")</f>
        <v>EMP0237 Swarnendu Chakraborty</v>
      </c>
      <c r="J217" s="91"/>
    </row>
    <row r="218">
      <c r="B218" s="76" t="str">
        <f>IFERROR(__xludf.DUMMYFUNCTION("""COMPUTED_VALUE"""),"Discussion with Requester                                                                           ")</f>
        <v>Discussion with Requester                                                                           </v>
      </c>
      <c r="C218" s="82">
        <f>IFERROR(__xludf.DUMMYFUNCTION("""COMPUTED_VALUE"""),5176.0)</f>
        <v>5176</v>
      </c>
      <c r="D218" s="76" t="str">
        <f>IFERROR(__xludf.DUMMYFUNCTION("""COMPUTED_VALUE"""),"Tr hosting ug nep tr ")</f>
        <v>Tr hosting ug nep tr </v>
      </c>
      <c r="E218" s="84">
        <f>IFERROR(__xludf.DUMMYFUNCTION("""COMPUTED_VALUE"""),46163.717038229166)</f>
        <v>46163.71704</v>
      </c>
      <c r="F218" s="86">
        <f>IFERROR(__xludf.DUMMYFUNCTION("""COMPUTED_VALUE"""),46163.55735351852)</f>
        <v>46163.55735</v>
      </c>
      <c r="G218" s="86" t="str">
        <f>IFERROR(__xludf.DUMMYFUNCTION("""COMPUTED_VALUE"""),"Done")</f>
        <v>Done</v>
      </c>
      <c r="H218" s="88">
        <f>IFERROR(__xludf.DUMMYFUNCTION("""COMPUTED_VALUE"""),0.0)</f>
        <v>0</v>
      </c>
      <c r="I218" s="90" t="str">
        <f>IFERROR(__xludf.DUMMYFUNCTION("""COMPUTED_VALUE"""),"EMP0042 HULESHWAR KUMAR SAHU")</f>
        <v>EMP0042 HULESHWAR KUMAR SAHU</v>
      </c>
      <c r="J218" s="91"/>
    </row>
    <row r="219">
      <c r="B219" s="76" t="str">
        <f>IFERROR(__xludf.DUMMYFUNCTION("""COMPUTED_VALUE"""),"Discussion with Requester                                                                           ")</f>
        <v>Discussion with Requester                                                                           </v>
      </c>
      <c r="C219" s="82">
        <f>IFERROR(__xludf.DUMMYFUNCTION("""COMPUTED_VALUE"""),5177.0)</f>
        <v>5177</v>
      </c>
      <c r="D219" s="76" t="str">
        <f>IFERROR(__xludf.DUMMYFUNCTION("""COMPUTED_VALUE"""),"ADMIT CARD")</f>
        <v>ADMIT CARD</v>
      </c>
      <c r="E219" s="84">
        <f>IFERROR(__xludf.DUMMYFUNCTION("""COMPUTED_VALUE"""),46164.43402777778)</f>
        <v>46164.43403</v>
      </c>
      <c r="F219" s="86">
        <f>IFERROR(__xludf.DUMMYFUNCTION("""COMPUTED_VALUE"""),46163.70153856482)</f>
        <v>46163.70154</v>
      </c>
      <c r="G219" s="86" t="str">
        <f>IFERROR(__xludf.DUMMYFUNCTION("""COMPUTED_VALUE"""),"Done")</f>
        <v>Done</v>
      </c>
      <c r="H219" s="88">
        <f>IFERROR(__xludf.DUMMYFUNCTION("""COMPUTED_VALUE"""),0.0)</f>
        <v>0</v>
      </c>
      <c r="I219" s="90" t="str">
        <f>IFERROR(__xludf.DUMMYFUNCTION("""COMPUTED_VALUE"""),"EMP5009 Rup Kumar Mandal")</f>
        <v>EMP5009 Rup Kumar Mandal</v>
      </c>
      <c r="J219" s="91"/>
    </row>
    <row r="220">
      <c r="B220" s="76" t="str">
        <f>IFERROR(__xludf.DUMMYFUNCTION("""COMPUTED_VALUE"""),"Discussion with Requester                                                                           ")</f>
        <v>Discussion with Requester                                                                           </v>
      </c>
      <c r="C220" s="82">
        <f>IFERROR(__xludf.DUMMYFUNCTION("""COMPUTED_VALUE"""),5178.0)</f>
        <v>5178</v>
      </c>
      <c r="D220" s="76" t="str">
        <f>IFERROR(__xludf.DUMMYFUNCTION("""COMPUTED_VALUE"""),"ADMIT CARD ROLL WISE")</f>
        <v>ADMIT CARD ROLL WISE</v>
      </c>
      <c r="E220" s="84">
        <f>IFERROR(__xludf.DUMMYFUNCTION("""COMPUTED_VALUE"""),46164.43541666667)</f>
        <v>46164.43542</v>
      </c>
      <c r="F220" s="86">
        <f>IFERROR(__xludf.DUMMYFUNCTION("""COMPUTED_VALUE"""),46163.70154789352)</f>
        <v>46163.70155</v>
      </c>
      <c r="G220" s="86" t="str">
        <f>IFERROR(__xludf.DUMMYFUNCTION("""COMPUTED_VALUE"""),"Done")</f>
        <v>Done</v>
      </c>
      <c r="H220" s="88">
        <f>IFERROR(__xludf.DUMMYFUNCTION("""COMPUTED_VALUE"""),0.0)</f>
        <v>0</v>
      </c>
      <c r="I220" s="90" t="str">
        <f>IFERROR(__xludf.DUMMYFUNCTION("""COMPUTED_VALUE"""),"EMP5009 Rup Kumar Mandal")</f>
        <v>EMP5009 Rup Kumar Mandal</v>
      </c>
      <c r="J220" s="91"/>
    </row>
    <row r="221">
      <c r="B221" s="76" t="str">
        <f>IFERROR(__xludf.DUMMYFUNCTION("""COMPUTED_VALUE"""),"Discussion with Requester                                                                           ")</f>
        <v>Discussion with Requester                                                                           </v>
      </c>
      <c r="C221" s="82">
        <f>IFERROR(__xludf.DUMMYFUNCTION("""COMPUTED_VALUE"""),5179.0)</f>
        <v>5179</v>
      </c>
      <c r="D221" s="76" t="str">
        <f>IFERROR(__xludf.DUMMYFUNCTION("""COMPUTED_VALUE"""),"Schedule IV")</f>
        <v>Schedule IV</v>
      </c>
      <c r="E221" s="84">
        <f>IFERROR(__xludf.DUMMYFUNCTION("""COMPUTED_VALUE"""),46164.455555555556)</f>
        <v>46164.45556</v>
      </c>
      <c r="F221" s="86">
        <f>IFERROR(__xludf.DUMMYFUNCTION("""COMPUTED_VALUE"""),46163.746767743054)</f>
        <v>46163.74677</v>
      </c>
      <c r="G221" s="86" t="str">
        <f>IFERROR(__xludf.DUMMYFUNCTION("""COMPUTED_VALUE"""),"Done")</f>
        <v>Done</v>
      </c>
      <c r="H221" s="88">
        <f>IFERROR(__xludf.DUMMYFUNCTION("""COMPUTED_VALUE"""),0.0)</f>
        <v>0</v>
      </c>
      <c r="I221" s="90" t="str">
        <f>IFERROR(__xludf.DUMMYFUNCTION("""COMPUTED_VALUE"""),"EMP0042 HULESHWAR KUMAR SAHU")</f>
        <v>EMP0042 HULESHWAR KUMAR SAHU</v>
      </c>
      <c r="J221" s="91"/>
    </row>
    <row r="222">
      <c r="B222" s="76" t="str">
        <f>IFERROR(__xludf.DUMMYFUNCTION("""COMPUTED_VALUE"""),"Discussion with Requester                                                                           ")</f>
        <v>Discussion with Requester                                                                           </v>
      </c>
      <c r="C222" s="82">
        <f>IFERROR(__xludf.DUMMYFUNCTION("""COMPUTED_VALUE"""),5180.0)</f>
        <v>5180</v>
      </c>
      <c r="D222" s="76" t="str">
        <f>IFERROR(__xludf.DUMMYFUNCTION("""COMPUTED_VALUE"""),"packet upload report.")</f>
        <v>packet upload report.</v>
      </c>
      <c r="E222" s="84">
        <f>IFERROR(__xludf.DUMMYFUNCTION("""COMPUTED_VALUE"""),46164.506944444445)</f>
        <v>46164.50694</v>
      </c>
      <c r="F222" s="86">
        <f>IFERROR(__xludf.DUMMYFUNCTION("""COMPUTED_VALUE"""),46163.79924601852)</f>
        <v>46163.79925</v>
      </c>
      <c r="G222" s="86" t="str">
        <f>IFERROR(__xludf.DUMMYFUNCTION("""COMPUTED_VALUE"""),"Done")</f>
        <v>Done</v>
      </c>
      <c r="H222" s="88">
        <f>IFERROR(__xludf.DUMMYFUNCTION("""COMPUTED_VALUE"""),0.0)</f>
        <v>0</v>
      </c>
      <c r="I222" s="90" t="str">
        <f>IFERROR(__xludf.DUMMYFUNCTION("""COMPUTED_VALUE"""),"EMP5009 Rup Kumar Mandal")</f>
        <v>EMP5009 Rup Kumar Mandal</v>
      </c>
      <c r="J222" s="91"/>
    </row>
    <row r="223">
      <c r="B223" s="76" t="str">
        <f>IFERROR(__xludf.DUMMYFUNCTION("""COMPUTED_VALUE"""),"Discussion with Requester                                                                           ")</f>
        <v>Discussion with Requester                                                                           </v>
      </c>
      <c r="C223" s="82">
        <f>IFERROR(__xludf.DUMMYFUNCTION("""COMPUTED_VALUE"""),5181.0)</f>
        <v>5181</v>
      </c>
      <c r="D223" s="76" t="str">
        <f>IFERROR(__xludf.DUMMYFUNCTION("""COMPUTED_VALUE"""),"M.COM HONS 6TH SEM NEW GRADING MARKSHEET ERROR SOLVED")</f>
        <v>M.COM HONS 6TH SEM NEW GRADING MARKSHEET ERROR SOLVED</v>
      </c>
      <c r="E223" s="84">
        <f>IFERROR(__xludf.DUMMYFUNCTION("""COMPUTED_VALUE"""),46164.544444444444)</f>
        <v>46164.54444</v>
      </c>
      <c r="F223" s="86">
        <f>IFERROR(__xludf.DUMMYFUNCTION("""COMPUTED_VALUE"""),46163.80794952546)</f>
        <v>46163.80795</v>
      </c>
      <c r="G223" s="86" t="str">
        <f>IFERROR(__xludf.DUMMYFUNCTION("""COMPUTED_VALUE"""),"Done")</f>
        <v>Done</v>
      </c>
      <c r="H223" s="88">
        <f>IFERROR(__xludf.DUMMYFUNCTION("""COMPUTED_VALUE"""),0.0)</f>
        <v>0</v>
      </c>
      <c r="I223" s="90" t="str">
        <f>IFERROR(__xludf.DUMMYFUNCTION("""COMPUTED_VALUE"""),"EMP0042 HULESHWAR KUMAR SAHU")</f>
        <v>EMP0042 HULESHWAR KUMAR SAHU</v>
      </c>
      <c r="J223" s="91"/>
    </row>
    <row r="224">
      <c r="B224" s="76" t="str">
        <f>IFERROR(__xludf.DUMMYFUNCTION("""COMPUTED_VALUE"""),"Discussion with Requester                                                                           ")</f>
        <v>Discussion with Requester                                                                           </v>
      </c>
      <c r="C224" s="82">
        <f>IFERROR(__xludf.DUMMYFUNCTION("""COMPUTED_VALUE"""),5182.0)</f>
        <v>5182</v>
      </c>
      <c r="D224" s="76" t="str">
        <f>IFERROR(__xludf.DUMMYFUNCTION("""COMPUTED_VALUE"""),"Marksheet")</f>
        <v>Marksheet</v>
      </c>
      <c r="E224" s="84">
        <f>IFERROR(__xludf.DUMMYFUNCTION("""COMPUTED_VALUE"""),46164.66656158565)</f>
        <v>46164.66656</v>
      </c>
      <c r="F224" s="86">
        <f>IFERROR(__xludf.DUMMYFUNCTION("""COMPUTED_VALUE"""),46164.60374734954)</f>
        <v>46164.60375</v>
      </c>
      <c r="G224" s="86" t="str">
        <f>IFERROR(__xludf.DUMMYFUNCTION("""COMPUTED_VALUE"""),"Done")</f>
        <v>Done</v>
      </c>
      <c r="H224" s="88">
        <f>IFERROR(__xludf.DUMMYFUNCTION("""COMPUTED_VALUE"""),0.0)</f>
        <v>0</v>
      </c>
      <c r="I224" s="90" t="str">
        <f>IFERROR(__xludf.DUMMYFUNCTION("""COMPUTED_VALUE"""),"EMP0237 Swarnendu Chakraborty")</f>
        <v>EMP0237 Swarnendu Chakraborty</v>
      </c>
      <c r="J224" s="91"/>
    </row>
    <row r="225">
      <c r="B225" s="76" t="str">
        <f>IFERROR(__xludf.DUMMYFUNCTION("""COMPUTED_VALUE"""),"Discussion with Requester                                                                           ")</f>
        <v>Discussion with Requester                                                                           </v>
      </c>
      <c r="C225" s="82">
        <f>IFERROR(__xludf.DUMMYFUNCTION("""COMPUTED_VALUE"""),5183.0)</f>
        <v>5183</v>
      </c>
      <c r="D225" s="76" t="str">
        <f>IFERROR(__xludf.DUMMYFUNCTION("""COMPUTED_VALUE"""),"	Grade Card (OTHERS)")</f>
        <v>	Grade Card (OTHERS)</v>
      </c>
      <c r="E225" s="84">
        <f>IFERROR(__xludf.DUMMYFUNCTION("""COMPUTED_VALUE"""),46164.81773700232)</f>
        <v>46164.81774</v>
      </c>
      <c r="F225" s="86">
        <f>IFERROR(__xludf.DUMMYFUNCTION("""COMPUTED_VALUE"""),46164.755703055554)</f>
        <v>46164.7557</v>
      </c>
      <c r="G225" s="86" t="str">
        <f>IFERROR(__xludf.DUMMYFUNCTION("""COMPUTED_VALUE"""),"Done")</f>
        <v>Done</v>
      </c>
      <c r="H225" s="88">
        <f>IFERROR(__xludf.DUMMYFUNCTION("""COMPUTED_VALUE"""),0.0)</f>
        <v>0</v>
      </c>
      <c r="I225" s="90" t="str">
        <f>IFERROR(__xludf.DUMMYFUNCTION("""COMPUTED_VALUE"""),"EMP0042 HULESHWAR KUMAR SAHU")</f>
        <v>EMP0042 HULESHWAR KUMAR SAHU</v>
      </c>
      <c r="J225" s="91"/>
    </row>
    <row r="226">
      <c r="B226" s="76" t="str">
        <f>IFERROR(__xludf.DUMMYFUNCTION("""COMPUTED_VALUE"""),"Discussion with Requester                                                                           ")</f>
        <v>Discussion with Requester                                                                           </v>
      </c>
      <c r="C226" s="82">
        <f>IFERROR(__xludf.DUMMYFUNCTION("""COMPUTED_VALUE"""),5184.0)</f>
        <v>5184</v>
      </c>
      <c r="D226" s="76" t="str">
        <f>IFERROR(__xludf.DUMMYFUNCTION("""COMPUTED_VALUE"""),"Lable")</f>
        <v>Lable</v>
      </c>
      <c r="E226" s="84">
        <f>IFERROR(__xludf.DUMMYFUNCTION("""COMPUTED_VALUE"""),46164.83024833333)</f>
        <v>46164.83025</v>
      </c>
      <c r="F226" s="86">
        <f>IFERROR(__xludf.DUMMYFUNCTION("""COMPUTED_VALUE"""),46164.6908425463)</f>
        <v>46164.69084</v>
      </c>
      <c r="G226" s="86" t="str">
        <f>IFERROR(__xludf.DUMMYFUNCTION("""COMPUTED_VALUE"""),"Done")</f>
        <v>Done</v>
      </c>
      <c r="H226" s="88">
        <f>IFERROR(__xludf.DUMMYFUNCTION("""COMPUTED_VALUE"""),0.0)</f>
        <v>0</v>
      </c>
      <c r="I226" s="90" t="str">
        <f>IFERROR(__xludf.DUMMYFUNCTION("""COMPUTED_VALUE"""),"EMP5009 Rup Kumar Mandal")</f>
        <v>EMP5009 Rup Kumar Mandal</v>
      </c>
      <c r="J226" s="91"/>
    </row>
    <row r="227">
      <c r="B227" s="76" t="str">
        <f>IFERROR(__xludf.DUMMYFUNCTION("""COMPUTED_VALUE"""),"Discussion with Requester                                                                           ")</f>
        <v>Discussion with Requester                                                                           </v>
      </c>
      <c r="C227" s="82">
        <f>IFERROR(__xludf.DUMMYFUNCTION("""COMPUTED_VALUE"""),5185.0)</f>
        <v>5185</v>
      </c>
      <c r="D227" s="76" t="str">
        <f>IFERROR(__xludf.DUMMYFUNCTION("""COMPUTED_VALUE"""),"Mark sheet")</f>
        <v>Mark sheet</v>
      </c>
      <c r="E227" s="84">
        <f>IFERROR(__xludf.DUMMYFUNCTION("""COMPUTED_VALUE"""),46164.83193699073)</f>
        <v>46164.83194</v>
      </c>
      <c r="F227" s="86">
        <f>IFERROR(__xludf.DUMMYFUNCTION("""COMPUTED_VALUE"""),46164.69085648148)</f>
        <v>46164.69086</v>
      </c>
      <c r="G227" s="86" t="str">
        <f>IFERROR(__xludf.DUMMYFUNCTION("""COMPUTED_VALUE"""),"Done")</f>
        <v>Done</v>
      </c>
      <c r="H227" s="88">
        <f>IFERROR(__xludf.DUMMYFUNCTION("""COMPUTED_VALUE"""),0.0)</f>
        <v>0</v>
      </c>
      <c r="I227" s="90" t="str">
        <f>IFERROR(__xludf.DUMMYFUNCTION("""COMPUTED_VALUE"""),"EMP5009 Rup Kumar Mandal")</f>
        <v>EMP5009 Rup Kumar Mandal</v>
      </c>
      <c r="J227" s="91"/>
    </row>
    <row r="228">
      <c r="B228" s="76" t="str">
        <f>IFERROR(__xludf.DUMMYFUNCTION("""COMPUTED_VALUE"""),"Discussion with Requester                                                                           ")</f>
        <v>Discussion with Requester                                                                           </v>
      </c>
      <c r="C228" s="82">
        <f>IFERROR(__xludf.DUMMYFUNCTION("""COMPUTED_VALUE"""),5186.0)</f>
        <v>5186</v>
      </c>
      <c r="D228" s="76" t="str">
        <f>IFERROR(__xludf.DUMMYFUNCTION("""COMPUTED_VALUE"""),"LABEL ")</f>
        <v>LABEL </v>
      </c>
      <c r="E228" s="84">
        <f>IFERROR(__xludf.DUMMYFUNCTION("""COMPUTED_VALUE"""),46164.83250365741)</f>
        <v>46164.8325</v>
      </c>
      <c r="F228" s="86">
        <f>IFERROR(__xludf.DUMMYFUNCTION("""COMPUTED_VALUE"""),46164.690869895836)</f>
        <v>46164.69087</v>
      </c>
      <c r="G228" s="86" t="str">
        <f>IFERROR(__xludf.DUMMYFUNCTION("""COMPUTED_VALUE"""),"Done")</f>
        <v>Done</v>
      </c>
      <c r="H228" s="88">
        <f>IFERROR(__xludf.DUMMYFUNCTION("""COMPUTED_VALUE"""),0.0)</f>
        <v>0</v>
      </c>
      <c r="I228" s="90" t="str">
        <f>IFERROR(__xludf.DUMMYFUNCTION("""COMPUTED_VALUE"""),"EMP5009 Rup Kumar Mandal")</f>
        <v>EMP5009 Rup Kumar Mandal</v>
      </c>
      <c r="J228" s="91"/>
    </row>
    <row r="229">
      <c r="B229" s="76" t="str">
        <f>IFERROR(__xludf.DUMMYFUNCTION("""COMPUTED_VALUE"""),"Discussion with Requester                                                                           ")</f>
        <v>Discussion with Requester                                                                           </v>
      </c>
      <c r="C229" s="82">
        <f>IFERROR(__xludf.DUMMYFUNCTION("""COMPUTED_VALUE"""),5187.0)</f>
        <v>5187</v>
      </c>
      <c r="D229" s="76" t="str">
        <f>IFERROR(__xludf.DUMMYFUNCTION("""COMPUTED_VALUE"""),"Attendance Register (DR-AR)")</f>
        <v>Attendance Register (DR-AR)</v>
      </c>
      <c r="E229" s="84">
        <f>IFERROR(__xludf.DUMMYFUNCTION("""COMPUTED_VALUE"""),46165.419444444444)</f>
        <v>46165.41944</v>
      </c>
      <c r="F229" s="86">
        <f>IFERROR(__xludf.DUMMYFUNCTION("""COMPUTED_VALUE"""),46164.690869895836)</f>
        <v>46164.69087</v>
      </c>
      <c r="G229" s="86" t="str">
        <f>IFERROR(__xludf.DUMMYFUNCTION("""COMPUTED_VALUE"""),"Done")</f>
        <v>Done</v>
      </c>
      <c r="H229" s="88">
        <f>IFERROR(__xludf.DUMMYFUNCTION("""COMPUTED_VALUE"""),0.0)</f>
        <v>0</v>
      </c>
      <c r="I229" s="90" t="str">
        <f>IFERROR(__xludf.DUMMYFUNCTION("""COMPUTED_VALUE"""),"EMP5009 Rup Kumar Mandal")</f>
        <v>EMP5009 Rup Kumar Mandal</v>
      </c>
      <c r="J229" s="91"/>
    </row>
    <row r="230">
      <c r="B230" s="76" t="str">
        <f>IFERROR(__xludf.DUMMYFUNCTION("""COMPUTED_VALUE"""),"Discussion with Requester                                                                           ")</f>
        <v>Discussion with Requester                                                                           </v>
      </c>
      <c r="C230" s="82">
        <f>IFERROR(__xludf.DUMMYFUNCTION("""COMPUTED_VALUE"""),5188.0)</f>
        <v>5188</v>
      </c>
      <c r="D230" s="76" t="str">
        <f>IFERROR(__xludf.DUMMYFUNCTION("""COMPUTED_VALUE"""),"Attendance Register (DR-AR)")</f>
        <v>Attendance Register (DR-AR)</v>
      </c>
      <c r="E230" s="84">
        <f>IFERROR(__xludf.DUMMYFUNCTION("""COMPUTED_VALUE"""),46165.42152777778)</f>
        <v>46165.42153</v>
      </c>
      <c r="F230" s="86">
        <f>IFERROR(__xludf.DUMMYFUNCTION("""COMPUTED_VALUE"""),46164.690869895836)</f>
        <v>46164.69087</v>
      </c>
      <c r="G230" s="86" t="str">
        <f>IFERROR(__xludf.DUMMYFUNCTION("""COMPUTED_VALUE"""),"Done")</f>
        <v>Done</v>
      </c>
      <c r="H230" s="88">
        <f>IFERROR(__xludf.DUMMYFUNCTION("""COMPUTED_VALUE"""),0.0)</f>
        <v>0</v>
      </c>
      <c r="I230" s="90" t="str">
        <f>IFERROR(__xludf.DUMMYFUNCTION("""COMPUTED_VALUE"""),"EMP5009 Rup Kumar Mandal")</f>
        <v>EMP5009 Rup Kumar Mandal</v>
      </c>
      <c r="J230" s="91"/>
    </row>
    <row r="231">
      <c r="B231" s="76" t="str">
        <f>IFERROR(__xludf.DUMMYFUNCTION("""COMPUTED_VALUE"""),"Discussion with Requester                                                                           ")</f>
        <v>Discussion with Requester                                                                           </v>
      </c>
      <c r="C231" s="82">
        <f>IFERROR(__xludf.DUMMYFUNCTION("""COMPUTED_VALUE"""),5189.0)</f>
        <v>5189</v>
      </c>
      <c r="D231" s="76" t="str">
        <f>IFERROR(__xludf.DUMMYFUNCTION("""COMPUTED_VALUE"""),"ADMIT")</f>
        <v>ADMIT</v>
      </c>
      <c r="E231" s="84">
        <f>IFERROR(__xludf.DUMMYFUNCTION("""COMPUTED_VALUE"""),46165.42361111111)</f>
        <v>46165.42361</v>
      </c>
      <c r="F231" s="86">
        <f>IFERROR(__xludf.DUMMYFUNCTION("""COMPUTED_VALUE"""),46164.690869895836)</f>
        <v>46164.69087</v>
      </c>
      <c r="G231" s="86" t="str">
        <f>IFERROR(__xludf.DUMMYFUNCTION("""COMPUTED_VALUE"""),"Done")</f>
        <v>Done</v>
      </c>
      <c r="H231" s="88">
        <f>IFERROR(__xludf.DUMMYFUNCTION("""COMPUTED_VALUE"""),0.0)</f>
        <v>0</v>
      </c>
      <c r="I231" s="90" t="str">
        <f>IFERROR(__xludf.DUMMYFUNCTION("""COMPUTED_VALUE"""),"EMP5009 Rup Kumar Mandal")</f>
        <v>EMP5009 Rup Kumar Mandal</v>
      </c>
      <c r="J231" s="91"/>
    </row>
    <row r="232">
      <c r="B232" s="76" t="str">
        <f>IFERROR(__xludf.DUMMYFUNCTION("""COMPUTED_VALUE"""),"Discussion with Requester                                                                           ")</f>
        <v>Discussion with Requester                                                                           </v>
      </c>
      <c r="C232" s="82">
        <f>IFERROR(__xludf.DUMMYFUNCTION("""COMPUTED_VALUE"""),5190.0)</f>
        <v>5190</v>
      </c>
      <c r="D232" s="76" t="str">
        <f>IFERROR(__xludf.DUMMYFUNCTION("""COMPUTED_VALUE"""),"Top sheet  before attendance sheet")</f>
        <v>Top sheet  before attendance sheet</v>
      </c>
      <c r="E232" s="84">
        <f>IFERROR(__xludf.DUMMYFUNCTION("""COMPUTED_VALUE"""),46165.430555555555)</f>
        <v>46165.43056</v>
      </c>
      <c r="F232" s="86">
        <f>IFERROR(__xludf.DUMMYFUNCTION("""COMPUTED_VALUE"""),46164.69088552084)</f>
        <v>46164.69089</v>
      </c>
      <c r="G232" s="86" t="str">
        <f>IFERROR(__xludf.DUMMYFUNCTION("""COMPUTED_VALUE"""),"Done")</f>
        <v>Done</v>
      </c>
      <c r="H232" s="88">
        <f>IFERROR(__xludf.DUMMYFUNCTION("""COMPUTED_VALUE"""),0.0)</f>
        <v>0</v>
      </c>
      <c r="I232" s="90" t="str">
        <f>IFERROR(__xludf.DUMMYFUNCTION("""COMPUTED_VALUE"""),"EMP5009 Rup Kumar Mandal")</f>
        <v>EMP5009 Rup Kumar Mandal</v>
      </c>
      <c r="J232" s="91"/>
    </row>
    <row r="233">
      <c r="B233" s="76" t="str">
        <f>IFERROR(__xludf.DUMMYFUNCTION("""COMPUTED_VALUE"""),"Discussion with Requester                                                                           ")</f>
        <v>Discussion with Requester                                                                           </v>
      </c>
      <c r="C233" s="82">
        <f>IFERROR(__xludf.DUMMYFUNCTION("""COMPUTED_VALUE"""),5191.0)</f>
        <v>5191</v>
      </c>
      <c r="D233" s="76" t="str">
        <f>IFERROR(__xludf.DUMMYFUNCTION("""COMPUTED_VALUE"""),"Top sheet  after attendance sheet")</f>
        <v>Top sheet  after attendance sheet</v>
      </c>
      <c r="E233" s="84">
        <f>IFERROR(__xludf.DUMMYFUNCTION("""COMPUTED_VALUE"""),46165.43194444444)</f>
        <v>46165.43194</v>
      </c>
      <c r="F233" s="86">
        <f>IFERROR(__xludf.DUMMYFUNCTION("""COMPUTED_VALUE"""),46164.69089398148)</f>
        <v>46164.69089</v>
      </c>
      <c r="G233" s="86" t="str">
        <f>IFERROR(__xludf.DUMMYFUNCTION("""COMPUTED_VALUE"""),"Done")</f>
        <v>Done</v>
      </c>
      <c r="H233" s="88">
        <f>IFERROR(__xludf.DUMMYFUNCTION("""COMPUTED_VALUE"""),0.0)</f>
        <v>0</v>
      </c>
      <c r="I233" s="90" t="str">
        <f>IFERROR(__xludf.DUMMYFUNCTION("""COMPUTED_VALUE"""),"EMP5009 Rup Kumar Mandal")</f>
        <v>EMP5009 Rup Kumar Mandal</v>
      </c>
      <c r="J233" s="91"/>
    </row>
    <row r="234">
      <c r="B234" s="76" t="str">
        <f>IFERROR(__xludf.DUMMYFUNCTION("""COMPUTED_VALUE"""),"Discussion with Requester                                                                           ")</f>
        <v>Discussion with Requester                                                                           </v>
      </c>
      <c r="C234" s="82">
        <f>IFERROR(__xludf.DUMMYFUNCTION("""COMPUTED_VALUE"""),5192.0)</f>
        <v>5192</v>
      </c>
      <c r="D234" s="76" t="str">
        <f>IFERROR(__xludf.DUMMYFUNCTION("""COMPUTED_VALUE"""),"LABLE")</f>
        <v>LABLE</v>
      </c>
      <c r="E234" s="84">
        <f>IFERROR(__xludf.DUMMYFUNCTION("""COMPUTED_VALUE"""),46165.433333333334)</f>
        <v>46165.43333</v>
      </c>
      <c r="F234" s="86">
        <f>IFERROR(__xludf.DUMMYFUNCTION("""COMPUTED_VALUE"""),46164.69090271991)</f>
        <v>46164.6909</v>
      </c>
      <c r="G234" s="86" t="str">
        <f>IFERROR(__xludf.DUMMYFUNCTION("""COMPUTED_VALUE"""),"Done")</f>
        <v>Done</v>
      </c>
      <c r="H234" s="88">
        <f>IFERROR(__xludf.DUMMYFUNCTION("""COMPUTED_VALUE"""),0.0)</f>
        <v>0</v>
      </c>
      <c r="I234" s="90" t="str">
        <f>IFERROR(__xludf.DUMMYFUNCTION("""COMPUTED_VALUE"""),"EMP5009 Rup Kumar Mandal")</f>
        <v>EMP5009 Rup Kumar Mandal</v>
      </c>
      <c r="J234" s="91"/>
    </row>
    <row r="235">
      <c r="B235" s="76" t="str">
        <f>IFERROR(__xludf.DUMMYFUNCTION("""COMPUTED_VALUE"""),"Discussion with Requester                                                                           ")</f>
        <v>Discussion with Requester                                                                           </v>
      </c>
      <c r="C235" s="82">
        <f>IFERROR(__xludf.DUMMYFUNCTION("""COMPUTED_VALUE"""),5193.0)</f>
        <v>5193</v>
      </c>
      <c r="D235" s="76" t="str">
        <f>IFERROR(__xludf.DUMMYFUNCTION("""COMPUTED_VALUE"""),"BBA sem III NEP W-25 Marksheet Correction ")</f>
        <v>BBA sem III NEP W-25 Marksheet Correction </v>
      </c>
      <c r="E235" s="84">
        <f>IFERROR(__xludf.DUMMYFUNCTION("""COMPUTED_VALUE"""),46165.45763888889)</f>
        <v>46165.45764</v>
      </c>
      <c r="F235" s="86">
        <f>IFERROR(__xludf.DUMMYFUNCTION("""COMPUTED_VALUE"""),46164.742656574075)</f>
        <v>46164.74266</v>
      </c>
      <c r="G235" s="86" t="str">
        <f>IFERROR(__xludf.DUMMYFUNCTION("""COMPUTED_VALUE"""),"Done")</f>
        <v>Done</v>
      </c>
      <c r="H235" s="88">
        <f>IFERROR(__xludf.DUMMYFUNCTION("""COMPUTED_VALUE"""),0.0)</f>
        <v>0</v>
      </c>
      <c r="I235" s="90" t="str">
        <f>IFERROR(__xludf.DUMMYFUNCTION("""COMPUTED_VALUE"""),"EMP0042 HULESHWAR KUMAR SAHU")</f>
        <v>EMP0042 HULESHWAR KUMAR SAHU</v>
      </c>
      <c r="J235" s="91"/>
    </row>
    <row r="236">
      <c r="B236" s="76" t="str">
        <f>IFERROR(__xludf.DUMMYFUNCTION("""COMPUTED_VALUE"""),"Discussion with Requester                                                                           ")</f>
        <v>Discussion with Requester                                                                           </v>
      </c>
      <c r="C236" s="82">
        <f>IFERROR(__xludf.DUMMYFUNCTION("""COMPUTED_VALUE"""),5194.0)</f>
        <v>5194</v>
      </c>
      <c r="D236" s="76" t="str">
        <f>IFERROR(__xludf.DUMMYFUNCTION("""COMPUTED_VALUE"""),"College summary")</f>
        <v>College summary</v>
      </c>
      <c r="E236" s="84">
        <f>IFERROR(__xludf.DUMMYFUNCTION("""COMPUTED_VALUE"""),46165.46597222222)</f>
        <v>46165.46597</v>
      </c>
      <c r="F236" s="86">
        <f>IFERROR(__xludf.DUMMYFUNCTION("""COMPUTED_VALUE"""),46164.74267346065)</f>
        <v>46164.74267</v>
      </c>
      <c r="G236" s="86" t="str">
        <f>IFERROR(__xludf.DUMMYFUNCTION("""COMPUTED_VALUE"""),"Done")</f>
        <v>Done</v>
      </c>
      <c r="H236" s="88">
        <f>IFERROR(__xludf.DUMMYFUNCTION("""COMPUTED_VALUE"""),0.0)</f>
        <v>0</v>
      </c>
      <c r="I236" s="90" t="str">
        <f>IFERROR(__xludf.DUMMYFUNCTION("""COMPUTED_VALUE"""),"EMP5009 Rup Kumar Mandal")</f>
        <v>EMP5009 Rup Kumar Mandal</v>
      </c>
      <c r="J236" s="91"/>
    </row>
    <row r="237">
      <c r="B237" s="76" t="str">
        <f>IFERROR(__xludf.DUMMYFUNCTION("""COMPUTED_VALUE"""),"Discussion with Requester                                                                           ")</f>
        <v>Discussion with Requester                                                                           </v>
      </c>
      <c r="C237" s="82">
        <f>IFERROR(__xludf.DUMMYFUNCTION("""COMPUTED_VALUE"""),5195.0)</f>
        <v>5195</v>
      </c>
      <c r="D237" s="76" t="str">
        <f>IFERROR(__xludf.DUMMYFUNCTION("""COMPUTED_VALUE"""),"RE-APPEAR")</f>
        <v>RE-APPEAR</v>
      </c>
      <c r="E237" s="84">
        <f>IFERROR(__xludf.DUMMYFUNCTION("""COMPUTED_VALUE"""),46165.47430555556)</f>
        <v>46165.47431</v>
      </c>
      <c r="F237" s="86">
        <f>IFERROR(__xludf.DUMMYFUNCTION("""COMPUTED_VALUE"""),46164.74271090278)</f>
        <v>46164.74271</v>
      </c>
      <c r="G237" s="86" t="str">
        <f>IFERROR(__xludf.DUMMYFUNCTION("""COMPUTED_VALUE"""),"Done")</f>
        <v>Done</v>
      </c>
      <c r="H237" s="88">
        <f>IFERROR(__xludf.DUMMYFUNCTION("""COMPUTED_VALUE"""),0.0)</f>
        <v>0</v>
      </c>
      <c r="I237" s="90" t="str">
        <f>IFERROR(__xludf.DUMMYFUNCTION("""COMPUTED_VALUE"""),"EMP5009 Rup Kumar Mandal")</f>
        <v>EMP5009 Rup Kumar Mandal</v>
      </c>
      <c r="J237" s="91"/>
    </row>
    <row r="238">
      <c r="B238" s="76" t="str">
        <f>IFERROR(__xludf.DUMMYFUNCTION("""COMPUTED_VALUE"""),"Discussion with Requester                                                                           ")</f>
        <v>Discussion with Requester                                                                           </v>
      </c>
      <c r="C238" s="82">
        <f>IFERROR(__xludf.DUMMYFUNCTION("""COMPUTED_VALUE"""),5196.0)</f>
        <v>5196</v>
      </c>
      <c r="D238" s="76" t="str">
        <f>IFERROR(__xludf.DUMMYFUNCTION("""COMPUTED_VALUE"""),"GRADE CARD OTHERS")</f>
        <v>GRADE CARD OTHERS</v>
      </c>
      <c r="E238" s="84">
        <f>IFERROR(__xludf.DUMMYFUNCTION("""COMPUTED_VALUE"""),46165.55423724537)</f>
        <v>46165.55424</v>
      </c>
      <c r="F238" s="86">
        <f>IFERROR(__xludf.DUMMYFUNCTION("""COMPUTED_VALUE"""),46165.46217777778)</f>
        <v>46165.46218</v>
      </c>
      <c r="G238" s="86" t="str">
        <f>IFERROR(__xludf.DUMMYFUNCTION("""COMPUTED_VALUE"""),"Done")</f>
        <v>Done</v>
      </c>
      <c r="H238" s="88">
        <f>IFERROR(__xludf.DUMMYFUNCTION("""COMPUTED_VALUE"""),0.0)</f>
        <v>0</v>
      </c>
      <c r="I238" s="90" t="str">
        <f>IFERROR(__xludf.DUMMYFUNCTION("""COMPUTED_VALUE"""),"EMP0042 HULESHWAR KUMAR SAHU")</f>
        <v>EMP0042 HULESHWAR KUMAR SAHU</v>
      </c>
      <c r="J238" s="91"/>
    </row>
    <row r="239">
      <c r="B239" s="76" t="str">
        <f>IFERROR(__xludf.DUMMYFUNCTION("""COMPUTED_VALUE"""),"Discussion with Requester                                                                           ")</f>
        <v>Discussion with Requester                                                                           </v>
      </c>
      <c r="C239" s="82">
        <f>IFERROR(__xludf.DUMMYFUNCTION("""COMPUTED_VALUE"""),5197.0)</f>
        <v>5197</v>
      </c>
      <c r="D239" s="76" t="str">
        <f>IFERROR(__xludf.DUMMYFUNCTION("""COMPUTED_VALUE"""),"Multiple Report ")</f>
        <v>Multiple Report </v>
      </c>
      <c r="E239" s="84">
        <f>IFERROR(__xludf.DUMMYFUNCTION("""COMPUTED_VALUE"""),46167.4712037037)</f>
        <v>46167.4712</v>
      </c>
      <c r="F239" s="86">
        <f>IFERROR(__xludf.DUMMYFUNCTION("""COMPUTED_VALUE"""),46165.672244803245)</f>
        <v>46165.67224</v>
      </c>
      <c r="G239" s="86" t="str">
        <f>IFERROR(__xludf.DUMMYFUNCTION("""COMPUTED_VALUE"""),"Done")</f>
        <v>Done</v>
      </c>
      <c r="H239" s="88">
        <f>IFERROR(__xludf.DUMMYFUNCTION("""COMPUTED_VALUE"""),0.0)</f>
        <v>0</v>
      </c>
      <c r="I239" s="90" t="str">
        <f>IFERROR(__xludf.DUMMYFUNCTION("""COMPUTED_VALUE"""),"EMP0042 HULESHWAR KUMAR SAHU")</f>
        <v>EMP0042 HULESHWAR KUMAR SAHU</v>
      </c>
      <c r="J239" s="91"/>
    </row>
    <row r="240">
      <c r="B240" s="76" t="str">
        <f>IFERROR(__xludf.DUMMYFUNCTION("""COMPUTED_VALUE"""),"Discussion with Requester                                                                           ")</f>
        <v>Discussion with Requester                                                                           </v>
      </c>
      <c r="C240" s="82">
        <f>IFERROR(__xludf.DUMMYFUNCTION("""COMPUTED_VALUE"""),5198.0)</f>
        <v>5198</v>
      </c>
      <c r="D240" s="76" t="str">
        <f>IFERROR(__xludf.DUMMYFUNCTION("""COMPUTED_VALUE"""),"TR NEP COLLEGE WISE")</f>
        <v>TR NEP COLLEGE WISE</v>
      </c>
      <c r="E240" s="84">
        <f>IFERROR(__xludf.DUMMYFUNCTION("""COMPUTED_VALUE"""),46167.67369265046)</f>
        <v>46167.67369</v>
      </c>
      <c r="F240" s="86">
        <f>IFERROR(__xludf.DUMMYFUNCTION("""COMPUTED_VALUE"""),46167.554792476854)</f>
        <v>46167.55479</v>
      </c>
      <c r="G240" s="86" t="str">
        <f>IFERROR(__xludf.DUMMYFUNCTION("""COMPUTED_VALUE"""),"Done")</f>
        <v>Done</v>
      </c>
      <c r="H240" s="88">
        <f>IFERROR(__xludf.DUMMYFUNCTION("""COMPUTED_VALUE"""),0.0)</f>
        <v>0</v>
      </c>
      <c r="I240" s="90" t="str">
        <f>IFERROR(__xludf.DUMMYFUNCTION("""COMPUTED_VALUE"""),"EMP0042 HULESHWAR KUMAR SAHU")</f>
        <v>EMP0042 HULESHWAR KUMAR SAHU</v>
      </c>
      <c r="J240" s="91"/>
    </row>
    <row r="241">
      <c r="B241" s="76" t="str">
        <f>IFERROR(__xludf.DUMMYFUNCTION("""COMPUTED_VALUE"""),"Discussion with Requester                                                                           ")</f>
        <v>Discussion with Requester                                                                           </v>
      </c>
      <c r="C241" s="82">
        <f>IFERROR(__xludf.DUMMYFUNCTION("""COMPUTED_VALUE"""),5199.0)</f>
        <v>5199</v>
      </c>
      <c r="D241" s="76" t="str">
        <f>IFERROR(__xludf.DUMMYFUNCTION("""COMPUTED_VALUE"""),"Transcript PG")</f>
        <v>Transcript PG</v>
      </c>
      <c r="E241" s="84">
        <f>IFERROR(__xludf.DUMMYFUNCTION("""COMPUTED_VALUE"""),46168.45486111111)</f>
        <v>46168.45486</v>
      </c>
      <c r="F241" s="86">
        <f>IFERROR(__xludf.DUMMYFUNCTION("""COMPUTED_VALUE"""),46167.72818637732)</f>
        <v>46167.72819</v>
      </c>
      <c r="G241" s="86" t="str">
        <f>IFERROR(__xludf.DUMMYFUNCTION("""COMPUTED_VALUE"""),"Done")</f>
        <v>Done</v>
      </c>
      <c r="H241" s="88">
        <f>IFERROR(__xludf.DUMMYFUNCTION("""COMPUTED_VALUE"""),0.0)</f>
        <v>0</v>
      </c>
      <c r="I241" s="90" t="str">
        <f>IFERROR(__xludf.DUMMYFUNCTION("""COMPUTED_VALUE"""),"EMP0042 HULESHWAR KUMAR SAHU")</f>
        <v>EMP0042 HULESHWAR KUMAR SAHU</v>
      </c>
      <c r="J241" s="91"/>
    </row>
    <row r="242">
      <c r="B242" s="76" t="str">
        <f>IFERROR(__xludf.DUMMYFUNCTION("""COMPUTED_VALUE"""),"Discussion with Requester                                                                           ")</f>
        <v>Discussion with Requester                                                                           </v>
      </c>
      <c r="C242" s="82">
        <f>IFERROR(__xludf.DUMMYFUNCTION("""COMPUTED_VALUE"""),5200.0)</f>
        <v>5200</v>
      </c>
      <c r="D242" s="76" t="str">
        <f>IFERROR(__xludf.DUMMYFUNCTION("""COMPUTED_VALUE"""),"P.G 4sem Attandance &amp; roll sheet correction Examination -2024 to Examination -2026")</f>
        <v>P.G 4sem Attandance &amp; roll sheet correction Examination -2024 to Examination -2026</v>
      </c>
      <c r="E242" s="84">
        <f>IFERROR(__xludf.DUMMYFUNCTION("""COMPUTED_VALUE"""),46168.46388888889)</f>
        <v>46168.46389</v>
      </c>
      <c r="F242" s="86">
        <f>IFERROR(__xludf.DUMMYFUNCTION("""COMPUTED_VALUE"""),46167.72820915509)</f>
        <v>46167.72821</v>
      </c>
      <c r="G242" s="86" t="str">
        <f>IFERROR(__xludf.DUMMYFUNCTION("""COMPUTED_VALUE"""),"Done")</f>
        <v>Done</v>
      </c>
      <c r="H242" s="88">
        <f>IFERROR(__xludf.DUMMYFUNCTION("""COMPUTED_VALUE"""),0.0)</f>
        <v>0</v>
      </c>
      <c r="I242" s="90" t="str">
        <f>IFERROR(__xludf.DUMMYFUNCTION("""COMPUTED_VALUE"""),"EMP5009 Rup Kumar Mandal")</f>
        <v>EMP5009 Rup Kumar Mandal</v>
      </c>
      <c r="J242" s="91"/>
    </row>
    <row r="243">
      <c r="B243" s="76" t="str">
        <f>IFERROR(__xludf.DUMMYFUNCTION("""COMPUTED_VALUE"""),"Discussion with Requester                                                                           ")</f>
        <v>Discussion with Requester                                                                           </v>
      </c>
      <c r="C243" s="82">
        <f>IFERROR(__xludf.DUMMYFUNCTION("""COMPUTED_VALUE"""),5201.0)</f>
        <v>5201</v>
      </c>
      <c r="D243" s="76" t="str">
        <f>IFERROR(__xludf.DUMMYFUNCTION("""COMPUTED_VALUE"""),"grade card")</f>
        <v>grade card</v>
      </c>
      <c r="E243" s="84">
        <f>IFERROR(__xludf.DUMMYFUNCTION("""COMPUTED_VALUE"""),46168.47430555556)</f>
        <v>46168.47431</v>
      </c>
      <c r="F243" s="86">
        <f>IFERROR(__xludf.DUMMYFUNCTION("""COMPUTED_VALUE"""),46167.728173912044)</f>
        <v>46167.72817</v>
      </c>
      <c r="G243" s="86" t="str">
        <f>IFERROR(__xludf.DUMMYFUNCTION("""COMPUTED_VALUE"""),"Done")</f>
        <v>Done</v>
      </c>
      <c r="H243" s="88">
        <f>IFERROR(__xludf.DUMMYFUNCTION("""COMPUTED_VALUE"""),0.0)</f>
        <v>0</v>
      </c>
      <c r="I243" s="90" t="str">
        <f>IFERROR(__xludf.DUMMYFUNCTION("""COMPUTED_VALUE"""),"EMP5009 Rup Kumar Mandal")</f>
        <v>EMP5009 Rup Kumar Mandal</v>
      </c>
      <c r="J243" s="91"/>
    </row>
    <row r="244">
      <c r="B244" s="76" t="str">
        <f>IFERROR(__xludf.DUMMYFUNCTION("""COMPUTED_VALUE"""),"Discussion with Requester                                                                           ")</f>
        <v>Discussion with Requester                                                                           </v>
      </c>
      <c r="C244" s="82">
        <f>IFERROR(__xludf.DUMMYFUNCTION("""COMPUTED_VALUE"""),5202.0)</f>
        <v>5202</v>
      </c>
      <c r="D244" s="76" t="str">
        <f>IFERROR(__xludf.DUMMYFUNCTION("""COMPUTED_VALUE"""),"grade card")</f>
        <v>grade card</v>
      </c>
      <c r="E244" s="84">
        <f>IFERROR(__xludf.DUMMYFUNCTION("""COMPUTED_VALUE"""),46168.476388888885)</f>
        <v>46168.47639</v>
      </c>
      <c r="F244" s="86">
        <f>IFERROR(__xludf.DUMMYFUNCTION("""COMPUTED_VALUE"""),46167.728173912044)</f>
        <v>46167.72817</v>
      </c>
      <c r="G244" s="86" t="str">
        <f>IFERROR(__xludf.DUMMYFUNCTION("""COMPUTED_VALUE"""),"Done")</f>
        <v>Done</v>
      </c>
      <c r="H244" s="88">
        <f>IFERROR(__xludf.DUMMYFUNCTION("""COMPUTED_VALUE"""),0.0)</f>
        <v>0</v>
      </c>
      <c r="I244" s="90" t="str">
        <f>IFERROR(__xludf.DUMMYFUNCTION("""COMPUTED_VALUE"""),"EMP5009 Rup Kumar Mandal")</f>
        <v>EMP5009 Rup Kumar Mandal</v>
      </c>
      <c r="J244" s="91"/>
    </row>
    <row r="245">
      <c r="B245" s="76" t="str">
        <f>IFERROR(__xludf.DUMMYFUNCTION("""COMPUTED_VALUE"""),"Discussion with Requester                                                                           ")</f>
        <v>Discussion with Requester                                                                           </v>
      </c>
      <c r="C245" s="82">
        <f>IFERROR(__xludf.DUMMYFUNCTION("""COMPUTED_VALUE"""),5203.0)</f>
        <v>5203</v>
      </c>
      <c r="D245" s="76" t="str">
        <f>IFERROR(__xludf.DUMMYFUNCTION("""COMPUTED_VALUE"""),"Admit Card (PG Section)")</f>
        <v>Admit Card (PG Section)</v>
      </c>
      <c r="E245" s="84">
        <f>IFERROR(__xludf.DUMMYFUNCTION("""COMPUTED_VALUE"""),46168.48611111111)</f>
        <v>46168.48611</v>
      </c>
      <c r="F245" s="86">
        <f>IFERROR(__xludf.DUMMYFUNCTION("""COMPUTED_VALUE"""),46167.7409350463)</f>
        <v>46167.74094</v>
      </c>
      <c r="G245" s="86" t="str">
        <f>IFERROR(__xludf.DUMMYFUNCTION("""COMPUTED_VALUE"""),"Done")</f>
        <v>Done</v>
      </c>
      <c r="H245" s="88">
        <f>IFERROR(__xludf.DUMMYFUNCTION("""COMPUTED_VALUE"""),0.0)</f>
        <v>0</v>
      </c>
      <c r="I245" s="90" t="str">
        <f>IFERROR(__xludf.DUMMYFUNCTION("""COMPUTED_VALUE"""),"EMP5009 Rup Kumar Mandal")</f>
        <v>EMP5009 Rup Kumar Mandal</v>
      </c>
      <c r="J245" s="91"/>
    </row>
    <row r="246">
      <c r="B246" s="76" t="str">
        <f>IFERROR(__xludf.DUMMYFUNCTION("""COMPUTED_VALUE"""),"Discussion with Requester                                                                           ")</f>
        <v>Discussion with Requester                                                                           </v>
      </c>
      <c r="C246" s="82">
        <f>IFERROR(__xludf.DUMMYFUNCTION("""COMPUTED_VALUE"""),5204.0)</f>
        <v>5204</v>
      </c>
      <c r="D246" s="76" t="str">
        <f>IFERROR(__xludf.DUMMYFUNCTION("""COMPUTED_VALUE"""),"5231")</f>
        <v>5231</v>
      </c>
      <c r="E246" s="84">
        <f>IFERROR(__xludf.DUMMYFUNCTION("""COMPUTED_VALUE"""),46168.53055555555)</f>
        <v>46168.53056</v>
      </c>
      <c r="F246" s="86">
        <f>IFERROR(__xludf.DUMMYFUNCTION("""COMPUTED_VALUE"""),46168.445531585654)</f>
        <v>46168.44553</v>
      </c>
      <c r="G246" s="86" t="str">
        <f>IFERROR(__xludf.DUMMYFUNCTION("""COMPUTED_VALUE"""),"Done")</f>
        <v>Done</v>
      </c>
      <c r="H246" s="88">
        <f>IFERROR(__xludf.DUMMYFUNCTION("""COMPUTED_VALUE"""),0.0)</f>
        <v>0</v>
      </c>
      <c r="I246" s="90" t="str">
        <f>IFERROR(__xludf.DUMMYFUNCTION("""COMPUTED_VALUE"""),"EMP5009 Rup Kumar Mandal")</f>
        <v>EMP5009 Rup Kumar Mandal</v>
      </c>
      <c r="J246" s="91"/>
    </row>
    <row r="247">
      <c r="B247" s="76" t="str">
        <f>IFERROR(__xludf.DUMMYFUNCTION("""COMPUTED_VALUE"""),"Discussion with Requester                                                                           ")</f>
        <v>Discussion with Requester                                                                           </v>
      </c>
      <c r="C247" s="82">
        <f>IFERROR(__xludf.DUMMYFUNCTION("""COMPUTED_VALUE"""),5205.0)</f>
        <v>5205</v>
      </c>
      <c r="D247" s="76" t="str">
        <f>IFERROR(__xludf.DUMMYFUNCTION("""COMPUTED_VALUE"""),"5190")</f>
        <v>5190</v>
      </c>
      <c r="E247" s="84">
        <f>IFERROR(__xludf.DUMMYFUNCTION("""COMPUTED_VALUE"""),46168.53125)</f>
        <v>46168.53125</v>
      </c>
      <c r="F247" s="86">
        <f>IFERROR(__xludf.DUMMYFUNCTION("""COMPUTED_VALUE"""),46168.445531585654)</f>
        <v>46168.44553</v>
      </c>
      <c r="G247" s="86" t="str">
        <f>IFERROR(__xludf.DUMMYFUNCTION("""COMPUTED_VALUE"""),"Done")</f>
        <v>Done</v>
      </c>
      <c r="H247" s="88">
        <f>IFERROR(__xludf.DUMMYFUNCTION("""COMPUTED_VALUE"""),0.0)</f>
        <v>0</v>
      </c>
      <c r="I247" s="90" t="str">
        <f>IFERROR(__xludf.DUMMYFUNCTION("""COMPUTED_VALUE"""),"EMP5009 Rup Kumar Mandal")</f>
        <v>EMP5009 Rup Kumar Mandal</v>
      </c>
      <c r="J247" s="91"/>
    </row>
    <row r="248">
      <c r="B248" s="76" t="str">
        <f>IFERROR(__xludf.DUMMYFUNCTION("""COMPUTED_VALUE"""),"Discussion with Requester                                                                           ")</f>
        <v>Discussion with Requester                                                                           </v>
      </c>
      <c r="C248" s="82">
        <f>IFERROR(__xludf.DUMMYFUNCTION("""COMPUTED_VALUE"""),5206.0)</f>
        <v>5206</v>
      </c>
      <c r="D248" s="76" t="str">
        <f>IFERROR(__xludf.DUMMYFUNCTION("""COMPUTED_VALUE"""),"5189")</f>
        <v>5189</v>
      </c>
      <c r="E248" s="84">
        <f>IFERROR(__xludf.DUMMYFUNCTION("""COMPUTED_VALUE"""),46168.53263888889)</f>
        <v>46168.53264</v>
      </c>
      <c r="F248" s="86">
        <f>IFERROR(__xludf.DUMMYFUNCTION("""COMPUTED_VALUE"""),46168.44554137732)</f>
        <v>46168.44554</v>
      </c>
      <c r="G248" s="86" t="str">
        <f>IFERROR(__xludf.DUMMYFUNCTION("""COMPUTED_VALUE"""),"Done")</f>
        <v>Done</v>
      </c>
      <c r="H248" s="88">
        <f>IFERROR(__xludf.DUMMYFUNCTION("""COMPUTED_VALUE"""),0.0)</f>
        <v>0</v>
      </c>
      <c r="I248" s="90" t="str">
        <f>IFERROR(__xludf.DUMMYFUNCTION("""COMPUTED_VALUE"""),"EMP5009 Rup Kumar Mandal")</f>
        <v>EMP5009 Rup Kumar Mandal</v>
      </c>
      <c r="J248" s="91"/>
    </row>
    <row r="249">
      <c r="B249" s="76" t="str">
        <f>IFERROR(__xludf.DUMMYFUNCTION("""COMPUTED_VALUE"""),"Discussion with Requester                                                                           ")</f>
        <v>Discussion with Requester                                                                           </v>
      </c>
      <c r="C249" s="82">
        <f>IFERROR(__xludf.DUMMYFUNCTION("""COMPUTED_VALUE"""),5207.0)</f>
        <v>5207</v>
      </c>
      <c r="D249" s="76" t="str">
        <f>IFERROR(__xludf.DUMMYFUNCTION("""COMPUTED_VALUE"""),"Roll List (PG Section)")</f>
        <v>Roll List (PG Section)</v>
      </c>
      <c r="E249" s="84">
        <f>IFERROR(__xludf.DUMMYFUNCTION("""COMPUTED_VALUE"""),46169.429861111115)</f>
        <v>46169.42986</v>
      </c>
      <c r="F249" s="86">
        <f>IFERROR(__xludf.DUMMYFUNCTION("""COMPUTED_VALUE"""),46168.68581084491)</f>
        <v>46168.68581</v>
      </c>
      <c r="G249" s="86" t="str">
        <f>IFERROR(__xludf.DUMMYFUNCTION("""COMPUTED_VALUE"""),"Done")</f>
        <v>Done</v>
      </c>
      <c r="H249" s="88">
        <f>IFERROR(__xludf.DUMMYFUNCTION("""COMPUTED_VALUE"""),0.0)</f>
        <v>0</v>
      </c>
      <c r="I249" s="90" t="str">
        <f>IFERROR(__xludf.DUMMYFUNCTION("""COMPUTED_VALUE"""),"EMP5009 Rup Kumar Mandal")</f>
        <v>EMP5009 Rup Kumar Mandal</v>
      </c>
      <c r="J249" s="91"/>
    </row>
    <row r="250">
      <c r="B250" s="76" t="str">
        <f>IFERROR(__xludf.DUMMYFUNCTION("""COMPUTED_VALUE"""),"Discussion with Requester                                                                           ")</f>
        <v>Discussion with Requester                                                                           </v>
      </c>
      <c r="C250" s="82">
        <f>IFERROR(__xludf.DUMMYFUNCTION("""COMPUTED_VALUE"""),5208.0)</f>
        <v>5208</v>
      </c>
      <c r="D250" s="76" t="str">
        <f>IFERROR(__xludf.DUMMYFUNCTION("""COMPUTED_VALUE"""),"admit cad corretion")</f>
        <v>admit cad corretion</v>
      </c>
      <c r="E250" s="84">
        <f>IFERROR(__xludf.DUMMYFUNCTION("""COMPUTED_VALUE"""),46169.67677745371)</f>
        <v>46169.67678</v>
      </c>
      <c r="F250" s="86">
        <f>IFERROR(__xludf.DUMMYFUNCTION("""COMPUTED_VALUE"""),46169.53720892361)</f>
        <v>46169.53721</v>
      </c>
      <c r="G250" s="86" t="str">
        <f>IFERROR(__xludf.DUMMYFUNCTION("""COMPUTED_VALUE"""),"Done")</f>
        <v>Done</v>
      </c>
      <c r="H250" s="88">
        <f>IFERROR(__xludf.DUMMYFUNCTION("""COMPUTED_VALUE"""),0.0)</f>
        <v>0</v>
      </c>
      <c r="I250" s="90" t="str">
        <f>IFERROR(__xludf.DUMMYFUNCTION("""COMPUTED_VALUE"""),"EMP0042 HULESHWAR KUMAR SAHU")</f>
        <v>EMP0042 HULESHWAR KUMAR SAHU</v>
      </c>
      <c r="J250" s="91"/>
    </row>
    <row r="251">
      <c r="B251" s="76" t="str">
        <f>IFERROR(__xludf.DUMMYFUNCTION("""COMPUTED_VALUE"""),"Discussion with Requester                                                                           ")</f>
        <v>Discussion with Requester                                                                           </v>
      </c>
      <c r="C251" s="82">
        <f>IFERROR(__xludf.DUMMYFUNCTION("""COMPUTED_VALUE"""),5209.0)</f>
        <v>5209</v>
      </c>
      <c r="D251" s="76" t="str">
        <f>IFERROR(__xludf.DUMMYFUNCTION("""COMPUTED_VALUE"""),"attendance sheet")</f>
        <v>attendance sheet</v>
      </c>
      <c r="E251" s="84">
        <f>IFERROR(__xludf.DUMMYFUNCTION("""COMPUTED_VALUE"""),46169.819052280094)</f>
        <v>46169.81905</v>
      </c>
      <c r="F251" s="86">
        <f>IFERROR(__xludf.DUMMYFUNCTION("""COMPUTED_VALUE"""),46169.73813858796)</f>
        <v>46169.73814</v>
      </c>
      <c r="G251" s="86" t="str">
        <f>IFERROR(__xludf.DUMMYFUNCTION("""COMPUTED_VALUE"""),"Done")</f>
        <v>Done</v>
      </c>
      <c r="H251" s="88">
        <f>IFERROR(__xludf.DUMMYFUNCTION("""COMPUTED_VALUE"""),0.0)</f>
        <v>0</v>
      </c>
      <c r="I251" s="90" t="str">
        <f>IFERROR(__xludf.DUMMYFUNCTION("""COMPUTED_VALUE"""),"EMP5009 Rup Kumar Mandal")</f>
        <v>EMP5009 Rup Kumar Mandal</v>
      </c>
      <c r="J251" s="91"/>
    </row>
    <row r="252">
      <c r="B252" s="76" t="str">
        <f>IFERROR(__xludf.DUMMYFUNCTION("""COMPUTED_VALUE"""),"Discussion with Requester                                                                           ")</f>
        <v>Discussion with Requester                                                                           </v>
      </c>
      <c r="C252" s="82">
        <f>IFERROR(__xludf.DUMMYFUNCTION("""COMPUTED_VALUE"""),5210.0)</f>
        <v>5210</v>
      </c>
      <c r="D252" s="76" t="str">
        <f>IFERROR(__xludf.DUMMYFUNCTION("""COMPUTED_VALUE"""),"packet wise marks entry report")</f>
        <v>packet wise marks entry report</v>
      </c>
      <c r="E252" s="84">
        <f>IFERROR(__xludf.DUMMYFUNCTION("""COMPUTED_VALUE"""),46170.47916666667)</f>
        <v>46170.47917</v>
      </c>
      <c r="F252" s="86">
        <f>IFERROR(__xludf.DUMMYFUNCTION("""COMPUTED_VALUE"""),46169.7381171875)</f>
        <v>46169.73812</v>
      </c>
      <c r="G252" s="86" t="str">
        <f>IFERROR(__xludf.DUMMYFUNCTION("""COMPUTED_VALUE"""),"Done")</f>
        <v>Done</v>
      </c>
      <c r="H252" s="88">
        <f>IFERROR(__xludf.DUMMYFUNCTION("""COMPUTED_VALUE"""),0.0)</f>
        <v>0</v>
      </c>
      <c r="I252" s="90" t="str">
        <f>IFERROR(__xludf.DUMMYFUNCTION("""COMPUTED_VALUE"""),"EMP0021 Tamanna Dewangan")</f>
        <v>EMP0021 Tamanna Dewangan</v>
      </c>
      <c r="J252" s="91"/>
    </row>
    <row r="253">
      <c r="B253" s="76" t="str">
        <f>IFERROR(__xludf.DUMMYFUNCTION("""COMPUTED_VALUE"""),"Discussion with Requester                                                                           ")</f>
        <v>Discussion with Requester                                                                           </v>
      </c>
      <c r="C253" s="82">
        <f>IFERROR(__xludf.DUMMYFUNCTION("""COMPUTED_VALUE"""),5211.0)</f>
        <v>5211</v>
      </c>
      <c r="D253" s="76" t="str">
        <f>IFERROR(__xludf.DUMMYFUNCTION("""COMPUTED_VALUE"""),"TR")</f>
        <v>TR</v>
      </c>
      <c r="E253" s="84">
        <f>IFERROR(__xludf.DUMMYFUNCTION("""COMPUTED_VALUE"""),46170.48055555555)</f>
        <v>46170.48056</v>
      </c>
      <c r="F253" s="86">
        <f>IFERROR(__xludf.DUMMYFUNCTION("""COMPUTED_VALUE"""),46169.73810449074)</f>
        <v>46169.7381</v>
      </c>
      <c r="G253" s="86" t="str">
        <f>IFERROR(__xludf.DUMMYFUNCTION("""COMPUTED_VALUE"""),"Done")</f>
        <v>Done</v>
      </c>
      <c r="H253" s="88">
        <f>IFERROR(__xludf.DUMMYFUNCTION("""COMPUTED_VALUE"""),0.0)</f>
        <v>0</v>
      </c>
      <c r="I253" s="90" t="str">
        <f>IFERROR(__xludf.DUMMYFUNCTION("""COMPUTED_VALUE"""),"EMP0042 HULESHWAR KUMAR SAHU")</f>
        <v>EMP0042 HULESHWAR KUMAR SAHU</v>
      </c>
      <c r="J253" s="91"/>
    </row>
    <row r="254">
      <c r="B254" s="76" t="str">
        <f>IFERROR(__xludf.DUMMYFUNCTION("""COMPUTED_VALUE"""),"Discussion with Requester                                                                           ")</f>
        <v>Discussion with Requester                                                                           </v>
      </c>
      <c r="C254" s="82">
        <f>IFERROR(__xludf.DUMMYFUNCTION("""COMPUTED_VALUE"""),5212.0)</f>
        <v>5212</v>
      </c>
      <c r="D254" s="76" t="str">
        <f>IFERROR(__xludf.DUMMYFUNCTION("""COMPUTED_VALUE"""),"Examination Report")</f>
        <v>Examination Report</v>
      </c>
      <c r="E254" s="84">
        <f>IFERROR(__xludf.DUMMYFUNCTION("""COMPUTED_VALUE"""),46170.70333071759)</f>
        <v>46170.70333</v>
      </c>
      <c r="F254" s="86">
        <f>IFERROR(__xludf.DUMMYFUNCTION("""COMPUTED_VALUE"""),46170.58869836806)</f>
        <v>46170.5887</v>
      </c>
      <c r="G254" s="86" t="str">
        <f>IFERROR(__xludf.DUMMYFUNCTION("""COMPUTED_VALUE"""),"Done")</f>
        <v>Done</v>
      </c>
      <c r="H254" s="88">
        <f>IFERROR(__xludf.DUMMYFUNCTION("""COMPUTED_VALUE"""),0.0)</f>
        <v>0</v>
      </c>
      <c r="I254" s="90" t="str">
        <f>IFERROR(__xludf.DUMMYFUNCTION("""COMPUTED_VALUE"""),"EMP0042 HULESHWAR KUMAR SAHU")</f>
        <v>EMP0042 HULESHWAR KUMAR SAHU</v>
      </c>
      <c r="J254" s="91"/>
    </row>
    <row r="255">
      <c r="B255" s="76" t="str">
        <f>IFERROR(__xludf.DUMMYFUNCTION("""COMPUTED_VALUE"""),"Discussion with Requester                                                                           ")</f>
        <v>Discussion with Requester                                                                           </v>
      </c>
      <c r="C255" s="82">
        <f>IFERROR(__xludf.DUMMYFUNCTION("""COMPUTED_VALUE"""),5213.0)</f>
        <v>5213</v>
      </c>
      <c r="D255" s="76" t="str">
        <f>IFERROR(__xludf.DUMMYFUNCTION("""COMPUTED_VALUE"""),"Attestation Sheet")</f>
        <v>Attestation Sheet</v>
      </c>
      <c r="E255" s="84">
        <f>IFERROR(__xludf.DUMMYFUNCTION("""COMPUTED_VALUE"""),46170.78692369213)</f>
        <v>46170.78692</v>
      </c>
      <c r="F255" s="86">
        <f>IFERROR(__xludf.DUMMYFUNCTION("""COMPUTED_VALUE"""),46170.66955385417)</f>
        <v>46170.66955</v>
      </c>
      <c r="G255" s="86" t="str">
        <f>IFERROR(__xludf.DUMMYFUNCTION("""COMPUTED_VALUE"""),"Done")</f>
        <v>Done</v>
      </c>
      <c r="H255" s="88">
        <f>IFERROR(__xludf.DUMMYFUNCTION("""COMPUTED_VALUE"""),0.0)</f>
        <v>0</v>
      </c>
      <c r="I255" s="90" t="str">
        <f>IFERROR(__xludf.DUMMYFUNCTION("""COMPUTED_VALUE"""),"EMP5009 Rup Kumar Mandal")</f>
        <v>EMP5009 Rup Kumar Mandal</v>
      </c>
      <c r="J255" s="91"/>
    </row>
    <row r="256">
      <c r="B256" s="76" t="str">
        <f>IFERROR(__xludf.DUMMYFUNCTION("""COMPUTED_VALUE"""),"Discussion with Requester                                                                           ")</f>
        <v>Discussion with Requester                                                                           </v>
      </c>
      <c r="C256" s="82">
        <f>IFERROR(__xludf.DUMMYFUNCTION("""COMPUTED_VALUE"""),5214.0)</f>
        <v>5214</v>
      </c>
      <c r="D256" s="76" t="str">
        <f>IFERROR(__xludf.DUMMYFUNCTION("""COMPUTED_VALUE"""),"seating plan report")</f>
        <v>seating plan report</v>
      </c>
      <c r="E256" s="84">
        <f>IFERROR(__xludf.DUMMYFUNCTION("""COMPUTED_VALUE"""),46170.78793673611)</f>
        <v>46170.78794</v>
      </c>
      <c r="F256" s="86">
        <f>IFERROR(__xludf.DUMMYFUNCTION("""COMPUTED_VALUE"""),46170.66959333334)</f>
        <v>46170.66959</v>
      </c>
      <c r="G256" s="86" t="str">
        <f>IFERROR(__xludf.DUMMYFUNCTION("""COMPUTED_VALUE"""),"Done")</f>
        <v>Done</v>
      </c>
      <c r="H256" s="88">
        <f>IFERROR(__xludf.DUMMYFUNCTION("""COMPUTED_VALUE"""),0.0)</f>
        <v>0</v>
      </c>
      <c r="I256" s="90" t="str">
        <f>IFERROR(__xludf.DUMMYFUNCTION("""COMPUTED_VALUE"""),"EMP5009 Rup Kumar Mandal")</f>
        <v>EMP5009 Rup Kumar Mandal</v>
      </c>
      <c r="J256" s="91"/>
    </row>
    <row r="257">
      <c r="B257" s="76" t="str">
        <f>IFERROR(__xludf.DUMMYFUNCTION("""COMPUTED_VALUE"""),"Discussion with Requester                                                                           ")</f>
        <v>Discussion with Requester                                                                           </v>
      </c>
      <c r="C257" s="82">
        <f>IFERROR(__xludf.DUMMYFUNCTION("""COMPUTED_VALUE"""),5215.0)</f>
        <v>5215</v>
      </c>
      <c r="D257" s="76" t="str">
        <f>IFERROR(__xludf.DUMMYFUNCTION("""COMPUTED_VALUE"""),"admit card")</f>
        <v>admit card</v>
      </c>
      <c r="E257" s="84">
        <f>IFERROR(__xludf.DUMMYFUNCTION("""COMPUTED_VALUE"""),46170.78871865741)</f>
        <v>46170.78872</v>
      </c>
      <c r="F257" s="86">
        <f>IFERROR(__xludf.DUMMYFUNCTION("""COMPUTED_VALUE"""),46170.6704921875)</f>
        <v>46170.67049</v>
      </c>
      <c r="G257" s="86" t="str">
        <f>IFERROR(__xludf.DUMMYFUNCTION("""COMPUTED_VALUE"""),"Done")</f>
        <v>Done</v>
      </c>
      <c r="H257" s="88">
        <f>IFERROR(__xludf.DUMMYFUNCTION("""COMPUTED_VALUE"""),0.0)</f>
        <v>0</v>
      </c>
      <c r="I257" s="90" t="str">
        <f>IFERROR(__xludf.DUMMYFUNCTION("""COMPUTED_VALUE"""),"EMP0021 Tamanna Dewangan")</f>
        <v>EMP0021 Tamanna Dewangan</v>
      </c>
      <c r="J257" s="91"/>
    </row>
    <row r="258">
      <c r="B258" s="76" t="str">
        <f>IFERROR(__xludf.DUMMYFUNCTION("""COMPUTED_VALUE"""),"Discussion with Requester                                                                           ")</f>
        <v>Discussion with Requester                                                                           </v>
      </c>
      <c r="C258" s="82">
        <f>IFERROR(__xludf.DUMMYFUNCTION("""COMPUTED_VALUE"""),5216.0)</f>
        <v>5216</v>
      </c>
      <c r="D258" s="76" t="str">
        <f>IFERROR(__xludf.DUMMYFUNCTION("""COMPUTED_VALUE"""),"Table Sticker")</f>
        <v>Table Sticker</v>
      </c>
      <c r="E258" s="84">
        <f>IFERROR(__xludf.DUMMYFUNCTION("""COMPUTED_VALUE"""),46170.81943679398)</f>
        <v>46170.81944</v>
      </c>
      <c r="F258" s="86">
        <f>IFERROR(__xludf.DUMMYFUNCTION("""COMPUTED_VALUE"""),46170.669613252314)</f>
        <v>46170.66961</v>
      </c>
      <c r="G258" s="86" t="str">
        <f>IFERROR(__xludf.DUMMYFUNCTION("""COMPUTED_VALUE"""),"Done")</f>
        <v>Done</v>
      </c>
      <c r="H258" s="88">
        <f>IFERROR(__xludf.DUMMYFUNCTION("""COMPUTED_VALUE"""),0.0)</f>
        <v>0</v>
      </c>
      <c r="I258" s="90" t="str">
        <f>IFERROR(__xludf.DUMMYFUNCTION("""COMPUTED_VALUE"""),"EMP0042 HULESHWAR KUMAR SAHU")</f>
        <v>EMP0042 HULESHWAR KUMAR SAHU</v>
      </c>
      <c r="J258" s="91"/>
    </row>
    <row r="259">
      <c r="B259" s="76" t="str">
        <f>IFERROR(__xludf.DUMMYFUNCTION("""COMPUTED_VALUE"""),"Discussion with Requester                                                                           ")</f>
        <v>Discussion with Requester                                                                           </v>
      </c>
      <c r="C259" s="82">
        <f>IFERROR(__xludf.DUMMYFUNCTION("""COMPUTED_VALUE"""),5217.0)</f>
        <v>5217</v>
      </c>
      <c r="D259" s="76" t="str">
        <f>IFERROR(__xludf.DUMMYFUNCTION("""COMPUTED_VALUE"""),"DISPATCH_CHALLAN")</f>
        <v>DISPATCH_CHALLAN</v>
      </c>
      <c r="E259" s="84">
        <f>IFERROR(__xludf.DUMMYFUNCTION("""COMPUTED_VALUE"""),46171.45486111111)</f>
        <v>46171.45486</v>
      </c>
      <c r="F259" s="86">
        <f>IFERROR(__xludf.DUMMYFUNCTION("""COMPUTED_VALUE"""),46170.72411729167)</f>
        <v>46170.72412</v>
      </c>
      <c r="G259" s="86" t="str">
        <f>IFERROR(__xludf.DUMMYFUNCTION("""COMPUTED_VALUE"""),"Done")</f>
        <v>Done</v>
      </c>
      <c r="H259" s="88">
        <f>IFERROR(__xludf.DUMMYFUNCTION("""COMPUTED_VALUE"""),0.0)</f>
        <v>0</v>
      </c>
      <c r="I259" s="90" t="str">
        <f>IFERROR(__xludf.DUMMYFUNCTION("""COMPUTED_VALUE"""),"EMP5009 Rup Kumar Mandal")</f>
        <v>EMP5009 Rup Kumar Mandal</v>
      </c>
      <c r="J259" s="91"/>
    </row>
    <row r="260">
      <c r="B260" s="76" t="str">
        <f>IFERROR(__xludf.DUMMYFUNCTION("""COMPUTED_VALUE"""),"Discussion with Requester                                                                           ")</f>
        <v>Discussion with Requester                                                                           </v>
      </c>
      <c r="C260" s="82">
        <f>IFERROR(__xludf.DUMMYFUNCTION("""COMPUTED_VALUE"""),5218.0)</f>
        <v>5218</v>
      </c>
      <c r="D260" s="76" t="str">
        <f>IFERROR(__xludf.DUMMYFUNCTION("""COMPUTED_VALUE"""),"Top sheet after attendance entry")</f>
        <v>Top sheet after attendance entry</v>
      </c>
      <c r="E260" s="84">
        <f>IFERROR(__xludf.DUMMYFUNCTION("""COMPUTED_VALUE"""),46171.45763888889)</f>
        <v>46171.45764</v>
      </c>
      <c r="F260" s="86">
        <f>IFERROR(__xludf.DUMMYFUNCTION("""COMPUTED_VALUE"""),46170.72411729167)</f>
        <v>46170.72412</v>
      </c>
      <c r="G260" s="86" t="str">
        <f>IFERROR(__xludf.DUMMYFUNCTION("""COMPUTED_VALUE"""),"Done")</f>
        <v>Done</v>
      </c>
      <c r="H260" s="88">
        <f>IFERROR(__xludf.DUMMYFUNCTION("""COMPUTED_VALUE"""),0.0)</f>
        <v>0</v>
      </c>
      <c r="I260" s="90" t="str">
        <f>IFERROR(__xludf.DUMMYFUNCTION("""COMPUTED_VALUE"""),"EMP5009 Rup Kumar Mandal")</f>
        <v>EMP5009 Rup Kumar Mandal</v>
      </c>
      <c r="J260" s="91"/>
    </row>
    <row r="261">
      <c r="B261" s="76" t="str">
        <f>IFERROR(__xludf.DUMMYFUNCTION("""COMPUTED_VALUE"""),"Discussion with Requester                                                                           ")</f>
        <v>Discussion with Requester                                                                           </v>
      </c>
      <c r="C261" s="82">
        <f>IFERROR(__xludf.DUMMYFUNCTION("""COMPUTED_VALUE"""),5219.0)</f>
        <v>5219</v>
      </c>
      <c r="D261" s="76" t="str">
        <f>IFERROR(__xludf.DUMMYFUNCTION("""COMPUTED_VALUE"""),"Top sheet before attendance sheet")</f>
        <v>Top sheet before attendance sheet</v>
      </c>
      <c r="E261" s="84">
        <f>IFERROR(__xludf.DUMMYFUNCTION("""COMPUTED_VALUE"""),46171.45972222222)</f>
        <v>46171.45972</v>
      </c>
      <c r="F261" s="86">
        <f>IFERROR(__xludf.DUMMYFUNCTION("""COMPUTED_VALUE"""),46170.72414792824)</f>
        <v>46170.72415</v>
      </c>
      <c r="G261" s="86" t="str">
        <f>IFERROR(__xludf.DUMMYFUNCTION("""COMPUTED_VALUE"""),"Done")</f>
        <v>Done</v>
      </c>
      <c r="H261" s="88">
        <f>IFERROR(__xludf.DUMMYFUNCTION("""COMPUTED_VALUE"""),0.0)</f>
        <v>0</v>
      </c>
      <c r="I261" s="90" t="str">
        <f>IFERROR(__xludf.DUMMYFUNCTION("""COMPUTED_VALUE"""),"EMP5009 Rup Kumar Mandal")</f>
        <v>EMP5009 Rup Kumar Mandal</v>
      </c>
      <c r="J261" s="91"/>
    </row>
    <row r="262">
      <c r="B262" s="76" t="str">
        <f>IFERROR(__xludf.DUMMYFUNCTION("""COMPUTED_VALUE"""),"Discussion with Requester                                                                           ")</f>
        <v>Discussion with Requester                                                                           </v>
      </c>
      <c r="C262" s="82">
        <f>IFERROR(__xludf.DUMMYFUNCTION("""COMPUTED_VALUE"""),5220.0)</f>
        <v>5220</v>
      </c>
      <c r="D262" s="76" t="str">
        <f>IFERROR(__xludf.DUMMYFUNCTION("""COMPUTED_VALUE"""),"B.Pharm 4th Semester Examination 2025 (II), Medicinal Chemistry I – Practical ( BP406P ) students marks missing. Session - 2024-25 (S),")</f>
        <v>B.Pharm 4th Semester Examination 2025 (II), Medicinal Chemistry I – Practical ( BP406P ) students marks missing. Session - 2024-25 (S),</v>
      </c>
      <c r="E262" s="84">
        <f>IFERROR(__xludf.DUMMYFUNCTION("""COMPUTED_VALUE"""),46171.538888888885)</f>
        <v>46171.53889</v>
      </c>
      <c r="F262" s="86">
        <f>IFERROR(__xludf.DUMMYFUNCTION("""COMPUTED_VALUE"""),46171.458450983795)</f>
        <v>46171.45845</v>
      </c>
      <c r="G262" s="86" t="str">
        <f>IFERROR(__xludf.DUMMYFUNCTION("""COMPUTED_VALUE"""),"Done")</f>
        <v>Done</v>
      </c>
      <c r="H262" s="88">
        <f>IFERROR(__xludf.DUMMYFUNCTION("""COMPUTED_VALUE"""),0.0)</f>
        <v>0</v>
      </c>
      <c r="I262" s="90" t="str">
        <f>IFERROR(__xludf.DUMMYFUNCTION("""COMPUTED_VALUE"""),"EMP0021 Tamanna Dewangan")</f>
        <v>EMP0021 Tamanna Dewangan</v>
      </c>
      <c r="J262" s="91"/>
    </row>
    <row r="263">
      <c r="B263" s="76" t="str">
        <f>IFERROR(__xludf.DUMMYFUNCTION("""COMPUTED_VALUE"""),"Discussion with Requester                                                                           ")</f>
        <v>Discussion with Requester                                                                           </v>
      </c>
      <c r="C263" s="82">
        <f>IFERROR(__xludf.DUMMYFUNCTION("""COMPUTED_VALUE"""),5221.0)</f>
        <v>5221</v>
      </c>
      <c r="D263" s="76" t="str">
        <f>IFERROR(__xludf.DUMMYFUNCTION("""COMPUTED_VALUE"""),"TR REPORT NEP")</f>
        <v>TR REPORT NEP</v>
      </c>
      <c r="E263" s="84">
        <f>IFERROR(__xludf.DUMMYFUNCTION("""COMPUTED_VALUE"""),46171.63341809027)</f>
        <v>46171.63342</v>
      </c>
      <c r="F263" s="86">
        <f>IFERROR(__xludf.DUMMYFUNCTION("""COMPUTED_VALUE"""),46171.47692677084)</f>
        <v>46171.47693</v>
      </c>
      <c r="G263" s="86" t="str">
        <f>IFERROR(__xludf.DUMMYFUNCTION("""COMPUTED_VALUE"""),"Done")</f>
        <v>Done</v>
      </c>
      <c r="H263" s="88">
        <f>IFERROR(__xludf.DUMMYFUNCTION("""COMPUTED_VALUE"""),0.0)</f>
        <v>0</v>
      </c>
      <c r="I263" s="90" t="str">
        <f>IFERROR(__xludf.DUMMYFUNCTION("""COMPUTED_VALUE"""),"EMP5009 Rup Kumar Mandal")</f>
        <v>EMP5009 Rup Kumar Mandal</v>
      </c>
      <c r="J263" s="91"/>
    </row>
    <row r="264">
      <c r="B264" s="76" t="str">
        <f>IFERROR(__xludf.DUMMYFUNCTION("""COMPUTED_VALUE"""),"Discussion with Requester                                                                           ")</f>
        <v>Discussion with Requester                                                                           </v>
      </c>
      <c r="C264" s="82">
        <f>IFERROR(__xludf.DUMMYFUNCTION("""COMPUTED_VALUE"""),5222.0)</f>
        <v>5222</v>
      </c>
      <c r="D264" s="76" t="str">
        <f>IFERROR(__xludf.DUMMYFUNCTION("""COMPUTED_VALUE"""),"COLLAGE WISE COURSE WILSE FORM LIVE")</f>
        <v>COLLAGE WISE COURSE WILSE FORM LIVE</v>
      </c>
      <c r="E264" s="84">
        <f>IFERROR(__xludf.DUMMYFUNCTION("""COMPUTED_VALUE"""),46171.66030728009)</f>
        <v>46171.66031</v>
      </c>
      <c r="F264" s="86">
        <f>IFERROR(__xludf.DUMMYFUNCTION("""COMPUTED_VALUE"""),46171.52664614583)</f>
        <v>46171.52665</v>
      </c>
      <c r="G264" s="86" t="str">
        <f>IFERROR(__xludf.DUMMYFUNCTION("""COMPUTED_VALUE"""),"Done")</f>
        <v>Done</v>
      </c>
      <c r="H264" s="88">
        <f>IFERROR(__xludf.DUMMYFUNCTION("""COMPUTED_VALUE"""),0.0)</f>
        <v>0</v>
      </c>
      <c r="I264" s="90" t="str">
        <f>IFERROR(__xludf.DUMMYFUNCTION("""COMPUTED_VALUE"""),"EMP5009 Rup Kumar Mandal")</f>
        <v>EMP5009 Rup Kumar Mandal</v>
      </c>
      <c r="J264" s="91"/>
    </row>
    <row r="265">
      <c r="B265" s="76" t="str">
        <f>IFERROR(__xludf.DUMMYFUNCTION("""COMPUTED_VALUE"""),"Discussion with Requester                                                                           ")</f>
        <v>Discussion with Requester                                                                           </v>
      </c>
      <c r="C265" s="82">
        <f>IFERROR(__xludf.DUMMYFUNCTION("""COMPUTED_VALUE"""),5223.0)</f>
        <v>5223</v>
      </c>
      <c r="D265" s="76" t="str">
        <f>IFERROR(__xludf.DUMMYFUNCTION("""COMPUTED_VALUE"""),"CBCS EARN CREDIT REPORT")</f>
        <v>CBCS EARN CREDIT REPORT</v>
      </c>
      <c r="E265" s="84">
        <f>IFERROR(__xludf.DUMMYFUNCTION("""COMPUTED_VALUE"""),46171.81084486112)</f>
        <v>46171.81084</v>
      </c>
      <c r="F265" s="86">
        <f>IFERROR(__xludf.DUMMYFUNCTION("""COMPUTED_VALUE"""),46171.662059027774)</f>
        <v>46171.66206</v>
      </c>
      <c r="G265" s="86" t="str">
        <f>IFERROR(__xludf.DUMMYFUNCTION("""COMPUTED_VALUE"""),"Done")</f>
        <v>Done</v>
      </c>
      <c r="H265" s="88">
        <f>IFERROR(__xludf.DUMMYFUNCTION("""COMPUTED_VALUE"""),0.0)</f>
        <v>0</v>
      </c>
      <c r="I265" s="90" t="str">
        <f>IFERROR(__xludf.DUMMYFUNCTION("""COMPUTED_VALUE"""),"EMP0042 HULESHWAR KUMAR SAHU")</f>
        <v>EMP0042 HULESHWAR KUMAR SAHU</v>
      </c>
      <c r="J265" s="91"/>
    </row>
    <row r="266">
      <c r="B266" s="76" t="str">
        <f>IFERROR(__xludf.DUMMYFUNCTION("""COMPUTED_VALUE"""),"Discussion with Requester                                                                           ")</f>
        <v>Discussion with Requester                                                                           </v>
      </c>
      <c r="C266" s="82">
        <f>IFERROR(__xludf.DUMMYFUNCTION("""COMPUTED_VALUE"""),5224.0)</f>
        <v>5224</v>
      </c>
      <c r="D266" s="76" t="str">
        <f>IFERROR(__xludf.DUMMYFUNCTION("""COMPUTED_VALUE"""),"Bachelor of Pharmacy (LATERAL ENTRY) 7th sem. report generated problem.")</f>
        <v>Bachelor of Pharmacy (LATERAL ENTRY) 7th sem. report generated problem.</v>
      </c>
      <c r="E266" s="84">
        <f>IFERROR(__xludf.DUMMYFUNCTION("""COMPUTED_VALUE"""),46172.43472222222)</f>
        <v>46172.43472</v>
      </c>
      <c r="F266" s="86">
        <f>IFERROR(__xludf.DUMMYFUNCTION("""COMPUTED_VALUE"""),46171.736904143516)</f>
        <v>46171.7369</v>
      </c>
      <c r="G266" s="86" t="str">
        <f>IFERROR(__xludf.DUMMYFUNCTION("""COMPUTED_VALUE"""),"Done")</f>
        <v>Done</v>
      </c>
      <c r="H266" s="88">
        <f>IFERROR(__xludf.DUMMYFUNCTION("""COMPUTED_VALUE"""),0.0)</f>
        <v>0</v>
      </c>
      <c r="I266" s="90" t="str">
        <f>IFERROR(__xludf.DUMMYFUNCTION("""COMPUTED_VALUE"""),"EMP5009 Rup Kumar Mandal")</f>
        <v>EMP5009 Rup Kumar Mandal</v>
      </c>
      <c r="J266" s="91"/>
    </row>
    <row r="267">
      <c r="B267" s="76" t="str">
        <f>IFERROR(__xludf.DUMMYFUNCTION("""COMPUTED_VALUE"""),"Discussion with Requester                                                                           ")</f>
        <v>Discussion with Requester                                                                           </v>
      </c>
      <c r="C267" s="82">
        <f>IFERROR(__xludf.DUMMYFUNCTION("""COMPUTED_VALUE"""),5225.0)</f>
        <v>5225</v>
      </c>
      <c r="D267" s="76" t="str">
        <f>IFERROR(__xludf.DUMMYFUNCTION("""COMPUTED_VALUE"""),"Question Paper Packet slip Date Wise")</f>
        <v>Question Paper Packet slip Date Wise</v>
      </c>
      <c r="E267" s="84">
        <f>IFERROR(__xludf.DUMMYFUNCTION("""COMPUTED_VALUE"""),46174.653947314815)</f>
        <v>46174.65395</v>
      </c>
      <c r="F267" s="86">
        <f>IFERROR(__xludf.DUMMYFUNCTION("""COMPUTED_VALUE"""),46174.62059027777)</f>
        <v>46174.62059</v>
      </c>
      <c r="G267" s="86" t="str">
        <f>IFERROR(__xludf.DUMMYFUNCTION("""COMPUTED_VALUE"""),"Done")</f>
        <v>Done</v>
      </c>
      <c r="H267" s="88">
        <f>IFERROR(__xludf.DUMMYFUNCTION("""COMPUTED_VALUE"""),0.0)</f>
        <v>0</v>
      </c>
      <c r="I267" s="90" t="str">
        <f>IFERROR(__xludf.DUMMYFUNCTION("""COMPUTED_VALUE"""),"EMP0237 Swarnendu Chakraborty")</f>
        <v>EMP0237 Swarnendu Chakraborty</v>
      </c>
      <c r="J267" s="91"/>
    </row>
    <row r="268">
      <c r="B268" s="76" t="str">
        <f>IFERROR(__xludf.DUMMYFUNCTION("""COMPUTED_VALUE"""),"Discussion with Requester                                                                           ")</f>
        <v>Discussion with Requester                                                                           </v>
      </c>
      <c r="C268" s="82">
        <f>IFERROR(__xludf.DUMMYFUNCTION("""COMPUTED_VALUE"""),5226.0)</f>
        <v>5226</v>
      </c>
      <c r="D268" s="76" t="str">
        <f>IFERROR(__xludf.DUMMYFUNCTION("""COMPUTED_VALUE"""),"MULTIPLE REPORT")</f>
        <v>MULTIPLE REPORT</v>
      </c>
      <c r="E268" s="84">
        <f>IFERROR(__xludf.DUMMYFUNCTION("""COMPUTED_VALUE"""),46174.67741028935)</f>
        <v>46174.67741</v>
      </c>
      <c r="F268" s="86">
        <f>IFERROR(__xludf.DUMMYFUNCTION("""COMPUTED_VALUE"""),46174.62059027777)</f>
        <v>46174.62059</v>
      </c>
      <c r="G268" s="86" t="str">
        <f>IFERROR(__xludf.DUMMYFUNCTION("""COMPUTED_VALUE"""),"Done")</f>
        <v>Done</v>
      </c>
      <c r="H268" s="88">
        <f>IFERROR(__xludf.DUMMYFUNCTION("""COMPUTED_VALUE"""),0.0)</f>
        <v>0</v>
      </c>
      <c r="I268" s="90" t="str">
        <f>IFERROR(__xludf.DUMMYFUNCTION("""COMPUTED_VALUE"""),"EMP0237 Swarnendu Chakraborty")</f>
        <v>EMP0237 Swarnendu Chakraborty</v>
      </c>
      <c r="J268" s="91"/>
    </row>
    <row r="269">
      <c r="B269" s="76" t="str">
        <f>IFERROR(__xludf.DUMMYFUNCTION("""COMPUTED_VALUE"""),"Discussion with Requester                                                                           ")</f>
        <v>Discussion with Requester                                                                           </v>
      </c>
      <c r="C269" s="82">
        <f>IFERROR(__xludf.DUMMYFUNCTION("""COMPUTED_VALUE"""),5227.0)</f>
        <v>5227</v>
      </c>
      <c r="D269" s="76" t="str">
        <f>IFERROR(__xludf.DUMMYFUNCTION("""COMPUTED_VALUE"""),"B.COM 1ST SEM REAPPEAR  DATA NOT SHOWN IN TR")</f>
        <v>B.COM 1ST SEM REAPPEAR  DATA NOT SHOWN IN TR</v>
      </c>
      <c r="E269" s="84">
        <f>IFERROR(__xludf.DUMMYFUNCTION("""COMPUTED_VALUE"""),46175.82341306713)</f>
        <v>46175.82341</v>
      </c>
      <c r="F269" s="86">
        <f>IFERROR(__xludf.DUMMYFUNCTION("""COMPUTED_VALUE"""),46175.667029606484)</f>
        <v>46175.66703</v>
      </c>
      <c r="G269" s="86" t="str">
        <f>IFERROR(__xludf.DUMMYFUNCTION("""COMPUTED_VALUE"""),"Done")</f>
        <v>Done</v>
      </c>
      <c r="H269" s="88">
        <f>IFERROR(__xludf.DUMMYFUNCTION("""COMPUTED_VALUE"""),0.0)</f>
        <v>0</v>
      </c>
      <c r="I269" s="90" t="str">
        <f>IFERROR(__xludf.DUMMYFUNCTION("""COMPUTED_VALUE"""),"EMP5009 Rup Kumar Mandal")</f>
        <v>EMP5009 Rup Kumar Mandal</v>
      </c>
      <c r="J269" s="91"/>
    </row>
    <row r="270">
      <c r="B270" s="76" t="str">
        <f>IFERROR(__xludf.DUMMYFUNCTION("""COMPUTED_VALUE"""),"Discussion with Requester                                                                           ")</f>
        <v>Discussion with Requester                                                                           </v>
      </c>
      <c r="C270" s="82">
        <f>IFERROR(__xludf.DUMMYFUNCTION("""COMPUTED_VALUE"""),5228.0)</f>
        <v>5228</v>
      </c>
      <c r="D270" s="76" t="str">
        <f>IFERROR(__xludf.DUMMYFUNCTION("""COMPUTED_VALUE"""),"pattern status report.")</f>
        <v>pattern status report.</v>
      </c>
      <c r="E270" s="84">
        <f>IFERROR(__xludf.DUMMYFUNCTION("""COMPUTED_VALUE"""),46176.42013888889)</f>
        <v>46176.42014</v>
      </c>
      <c r="F270" s="86">
        <f>IFERROR(__xludf.DUMMYFUNCTION("""COMPUTED_VALUE"""),46175.67672747685)</f>
        <v>46175.67673</v>
      </c>
      <c r="G270" s="86" t="str">
        <f>IFERROR(__xludf.DUMMYFUNCTION("""COMPUTED_VALUE"""),"Done")</f>
        <v>Done</v>
      </c>
      <c r="H270" s="88">
        <f>IFERROR(__xludf.DUMMYFUNCTION("""COMPUTED_VALUE"""),0.0)</f>
        <v>0</v>
      </c>
      <c r="I270" s="90" t="str">
        <f>IFERROR(__xludf.DUMMYFUNCTION("""COMPUTED_VALUE"""),"EMP5009 Rup Kumar Mandal")</f>
        <v>EMP5009 Rup Kumar Mandal</v>
      </c>
      <c r="J270" s="91"/>
    </row>
    <row r="271">
      <c r="B271" s="76" t="str">
        <f>IFERROR(__xludf.DUMMYFUNCTION("""COMPUTED_VALUE"""),"Discussion with Requester                                                                           ")</f>
        <v>Discussion with Requester                                                                           </v>
      </c>
      <c r="C271" s="82">
        <f>IFERROR(__xludf.DUMMYFUNCTION("""COMPUTED_VALUE"""),5229.0)</f>
        <v>5229</v>
      </c>
      <c r="D271" s="76" t="str">
        <f>IFERROR(__xludf.DUMMYFUNCTION("""COMPUTED_VALUE"""),"correctuon in marksheet")</f>
        <v>correctuon in marksheet</v>
      </c>
      <c r="E271" s="84">
        <f>IFERROR(__xludf.DUMMYFUNCTION("""COMPUTED_VALUE"""),46176.42291666666)</f>
        <v>46176.42292</v>
      </c>
      <c r="F271" s="86">
        <f>IFERROR(__xludf.DUMMYFUNCTION("""COMPUTED_VALUE"""),46175.67672597222)</f>
        <v>46175.67673</v>
      </c>
      <c r="G271" s="86" t="str">
        <f>IFERROR(__xludf.DUMMYFUNCTION("""COMPUTED_VALUE"""),"Done")</f>
        <v>Done</v>
      </c>
      <c r="H271" s="88">
        <f>IFERROR(__xludf.DUMMYFUNCTION("""COMPUTED_VALUE"""),0.0)</f>
        <v>0</v>
      </c>
      <c r="I271" s="90" t="str">
        <f>IFERROR(__xludf.DUMMYFUNCTION("""COMPUTED_VALUE"""),"EMP0237 Swarnendu Chakraborty")</f>
        <v>EMP0237 Swarnendu Chakraborty</v>
      </c>
      <c r="J271" s="91"/>
    </row>
    <row r="272">
      <c r="B272" s="76" t="str">
        <f>IFERROR(__xludf.DUMMYFUNCTION("""COMPUTED_VALUE"""),"Discussion with Requester                                                                           ")</f>
        <v>Discussion with Requester                                                                           </v>
      </c>
      <c r="C272" s="82">
        <f>IFERROR(__xludf.DUMMYFUNCTION("""COMPUTED_VALUE"""),5230.0)</f>
        <v>5230</v>
      </c>
      <c r="D272" s="76" t="str">
        <f>IFERROR(__xludf.DUMMYFUNCTION("""COMPUTED_VALUE"""),"TR")</f>
        <v>TR</v>
      </c>
      <c r="E272" s="84">
        <f>IFERROR(__xludf.DUMMYFUNCTION("""COMPUTED_VALUE"""),46176.662736990744)</f>
        <v>46176.66274</v>
      </c>
      <c r="F272" s="86">
        <f>IFERROR(__xludf.DUMMYFUNCTION("""COMPUTED_VALUE"""),46176.508048749994)</f>
        <v>46176.50805</v>
      </c>
      <c r="G272" s="86" t="str">
        <f>IFERROR(__xludf.DUMMYFUNCTION("""COMPUTED_VALUE"""),"Done")</f>
        <v>Done</v>
      </c>
      <c r="H272" s="88">
        <f>IFERROR(__xludf.DUMMYFUNCTION("""COMPUTED_VALUE"""),0.0)</f>
        <v>0</v>
      </c>
      <c r="I272" s="90" t="str">
        <f>IFERROR(__xludf.DUMMYFUNCTION("""COMPUTED_VALUE"""),"EMP0021 Tamanna Dewangan")</f>
        <v>EMP0021 Tamanna Dewangan</v>
      </c>
      <c r="J272" s="91"/>
    </row>
    <row r="273">
      <c r="B273" s="76" t="str">
        <f>IFERROR(__xludf.DUMMYFUNCTION("""COMPUTED_VALUE"""),"Discussion with Requester                                                                           ")</f>
        <v>Discussion with Requester                                                                           </v>
      </c>
      <c r="C273" s="82">
        <f>IFERROR(__xludf.DUMMYFUNCTION("""COMPUTED_VALUE"""),5231.0)</f>
        <v>5231</v>
      </c>
      <c r="D273" s="76" t="str">
        <f>IFERROR(__xludf.DUMMYFUNCTION("""COMPUTED_VALUE"""),"ADMIT CARD")</f>
        <v>ADMIT CARD</v>
      </c>
      <c r="E273" s="84">
        <f>IFERROR(__xludf.DUMMYFUNCTION("""COMPUTED_VALUE"""),46177.44375)</f>
        <v>46177.44375</v>
      </c>
      <c r="F273" s="86">
        <f>IFERROR(__xludf.DUMMYFUNCTION("""COMPUTED_VALUE"""),46176.74629353009)</f>
        <v>46176.74629</v>
      </c>
      <c r="G273" s="86" t="str">
        <f>IFERROR(__xludf.DUMMYFUNCTION("""COMPUTED_VALUE"""),"Done")</f>
        <v>Done</v>
      </c>
      <c r="H273" s="88">
        <f>IFERROR(__xludf.DUMMYFUNCTION("""COMPUTED_VALUE"""),0.0)</f>
        <v>0</v>
      </c>
      <c r="I273" s="90" t="str">
        <f>IFERROR(__xludf.DUMMYFUNCTION("""COMPUTED_VALUE"""),"EMP0042 HULESHWAR KUMAR SAHU")</f>
        <v>EMP0042 HULESHWAR KUMAR SAHU</v>
      </c>
      <c r="J273" s="91"/>
    </row>
    <row r="274">
      <c r="B274" s="76" t="str">
        <f>IFERROR(__xludf.DUMMYFUNCTION("""COMPUTED_VALUE"""),"Discussion with Requester                                                                           ")</f>
        <v>Discussion with Requester                                                                           </v>
      </c>
      <c r="C274" s="82">
        <f>IFERROR(__xludf.DUMMYFUNCTION("""COMPUTED_VALUE"""),5232.0)</f>
        <v>5232</v>
      </c>
      <c r="D274" s="76" t="str">
        <f>IFERROR(__xludf.DUMMYFUNCTION("""COMPUTED_VALUE"""),"Marksheet Paramedical")</f>
        <v>Marksheet Paramedical</v>
      </c>
      <c r="E274" s="84">
        <f>IFERROR(__xludf.DUMMYFUNCTION("""COMPUTED_VALUE"""),46177.44652777778)</f>
        <v>46177.44653</v>
      </c>
      <c r="F274" s="86">
        <f>IFERROR(__xludf.DUMMYFUNCTION("""COMPUTED_VALUE"""),46176.746371203706)</f>
        <v>46176.74637</v>
      </c>
      <c r="G274" s="86" t="str">
        <f>IFERROR(__xludf.DUMMYFUNCTION("""COMPUTED_VALUE"""),"Done")</f>
        <v>Done</v>
      </c>
      <c r="H274" s="88">
        <f>IFERROR(__xludf.DUMMYFUNCTION("""COMPUTED_VALUE"""),0.0)</f>
        <v>0</v>
      </c>
      <c r="I274" s="90" t="str">
        <f>IFERROR(__xludf.DUMMYFUNCTION("""COMPUTED_VALUE"""),"EMP0042 HULESHWAR KUMAR SAHU")</f>
        <v>EMP0042 HULESHWAR KUMAR SAHU</v>
      </c>
      <c r="J274" s="91"/>
    </row>
    <row r="275">
      <c r="B275" s="76" t="str">
        <f>IFERROR(__xludf.DUMMYFUNCTION("""COMPUTED_VALUE"""),"Discussion with Requester                                                                           ")</f>
        <v>Discussion with Requester                                                                           </v>
      </c>
      <c r="C275" s="82">
        <f>IFERROR(__xludf.DUMMYFUNCTION("""COMPUTED_VALUE"""),5233.0)</f>
        <v>5233</v>
      </c>
      <c r="D275" s="76" t="str">
        <f>IFERROR(__xludf.DUMMYFUNCTION("""COMPUTED_VALUE"""),"GRADE CARD AGRICULTURE")</f>
        <v>GRADE CARD AGRICULTURE</v>
      </c>
      <c r="E275" s="84">
        <f>IFERROR(__xludf.DUMMYFUNCTION("""COMPUTED_VALUE"""),46177.45416666666)</f>
        <v>46177.45417</v>
      </c>
      <c r="F275" s="86">
        <f>IFERROR(__xludf.DUMMYFUNCTION("""COMPUTED_VALUE"""),46176.74647474537)</f>
        <v>46176.74647</v>
      </c>
      <c r="G275" s="86" t="str">
        <f>IFERROR(__xludf.DUMMYFUNCTION("""COMPUTED_VALUE"""),"Done")</f>
        <v>Done</v>
      </c>
      <c r="H275" s="88">
        <f>IFERROR(__xludf.DUMMYFUNCTION("""COMPUTED_VALUE"""),0.0)</f>
        <v>0</v>
      </c>
      <c r="I275" s="90" t="str">
        <f>IFERROR(__xludf.DUMMYFUNCTION("""COMPUTED_VALUE"""),"EMP0237 Swarnendu Chakraborty")</f>
        <v>EMP0237 Swarnendu Chakraborty</v>
      </c>
      <c r="J275" s="91"/>
    </row>
    <row r="276">
      <c r="B276" s="76" t="str">
        <f>IFERROR(__xludf.DUMMYFUNCTION("""COMPUTED_VALUE"""),"Discussion with Requester                                                                           ")</f>
        <v>Discussion with Requester                                                                           </v>
      </c>
      <c r="C276" s="82">
        <f>IFERROR(__xludf.DUMMYFUNCTION("""COMPUTED_VALUE"""),5234.0)</f>
        <v>5234</v>
      </c>
      <c r="D276" s="76" t="str">
        <f>IFERROR(__xludf.DUMMYFUNCTION("""COMPUTED_VALUE"""),"Continuous Assesment Marks (PG Section)")</f>
        <v>Continuous Assesment Marks (PG Section)</v>
      </c>
      <c r="E276" s="84">
        <f>IFERROR(__xludf.DUMMYFUNCTION("""COMPUTED_VALUE"""),46177.8136413426)</f>
        <v>46177.81364</v>
      </c>
      <c r="F276" s="86">
        <f>IFERROR(__xludf.DUMMYFUNCTION("""COMPUTED_VALUE"""),46177.687169571764)</f>
        <v>46177.68717</v>
      </c>
      <c r="G276" s="86" t="str">
        <f>IFERROR(__xludf.DUMMYFUNCTION("""COMPUTED_VALUE"""),"Done")</f>
        <v>Done</v>
      </c>
      <c r="H276" s="88">
        <f>IFERROR(__xludf.DUMMYFUNCTION("""COMPUTED_VALUE"""),0.0)</f>
        <v>0</v>
      </c>
      <c r="I276" s="90" t="str">
        <f>IFERROR(__xludf.DUMMYFUNCTION("""COMPUTED_VALUE"""),"EMP0021 Tamanna Dewangan")</f>
        <v>EMP0021 Tamanna Dewangan</v>
      </c>
      <c r="J276" s="91"/>
    </row>
    <row r="277">
      <c r="B277" s="76" t="str">
        <f>IFERROR(__xludf.DUMMYFUNCTION("""COMPUTED_VALUE"""),"Discussion with Requester                                                                           ")</f>
        <v>Discussion with Requester                                                                           </v>
      </c>
      <c r="C277" s="82">
        <f>IFERROR(__xludf.DUMMYFUNCTION("""COMPUTED_VALUE"""),5235.0)</f>
        <v>5235</v>
      </c>
      <c r="D277" s="76" t="str">
        <f>IFERROR(__xludf.DUMMYFUNCTION("""COMPUTED_VALUE"""),"Multiple Report ")</f>
        <v>Multiple Report </v>
      </c>
      <c r="E277" s="84">
        <f>IFERROR(__xludf.DUMMYFUNCTION("""COMPUTED_VALUE"""),46178.641065902775)</f>
        <v>46178.64107</v>
      </c>
      <c r="F277" s="86">
        <f>IFERROR(__xludf.DUMMYFUNCTION("""COMPUTED_VALUE"""),46178.507214027784)</f>
        <v>46178.50721</v>
      </c>
      <c r="G277" s="86" t="str">
        <f>IFERROR(__xludf.DUMMYFUNCTION("""COMPUTED_VALUE"""),"Done")</f>
        <v>Done</v>
      </c>
      <c r="H277" s="88">
        <f>IFERROR(__xludf.DUMMYFUNCTION("""COMPUTED_VALUE"""),0.0)</f>
        <v>0</v>
      </c>
      <c r="I277" s="90" t="str">
        <f>IFERROR(__xludf.DUMMYFUNCTION("""COMPUTED_VALUE"""),"EMP0042 HULESHWAR KUMAR SAHU")</f>
        <v>EMP0042 HULESHWAR KUMAR SAHU</v>
      </c>
      <c r="J277" s="91"/>
    </row>
    <row r="278">
      <c r="B278" s="76" t="str">
        <f>IFERROR(__xludf.DUMMYFUNCTION("""COMPUTED_VALUE"""),"Discussion with Requester                                                                           ")</f>
        <v>Discussion with Requester                                                                           </v>
      </c>
      <c r="C278" s="82">
        <f>IFERROR(__xludf.DUMMYFUNCTION("""COMPUTED_VALUE"""),5236.0)</f>
        <v>5236</v>
      </c>
      <c r="D278" s="76" t="str">
        <f>IFERROR(__xludf.DUMMYFUNCTION("""COMPUTED_VALUE"""),"DESPATCH CHALLAN")</f>
        <v>DESPATCH CHALLAN</v>
      </c>
      <c r="E278" s="84">
        <f>IFERROR(__xludf.DUMMYFUNCTION("""COMPUTED_VALUE"""),46179.424305555556)</f>
        <v>46179.42431</v>
      </c>
      <c r="F278" s="86">
        <f>IFERROR(__xludf.DUMMYFUNCTION("""COMPUTED_VALUE"""),46178.72100986111)</f>
        <v>46178.72101</v>
      </c>
      <c r="G278" s="86" t="str">
        <f>IFERROR(__xludf.DUMMYFUNCTION("""COMPUTED_VALUE"""),"Done")</f>
        <v>Done</v>
      </c>
      <c r="H278" s="88">
        <f>IFERROR(__xludf.DUMMYFUNCTION("""COMPUTED_VALUE"""),0.0)</f>
        <v>0</v>
      </c>
      <c r="I278" s="90" t="str">
        <f>IFERROR(__xludf.DUMMYFUNCTION("""COMPUTED_VALUE"""),"EMP0021 Tamanna Dewangan")</f>
        <v>EMP0021 Tamanna Dewangan</v>
      </c>
      <c r="J278" s="91"/>
    </row>
    <row r="279">
      <c r="B279" s="76" t="str">
        <f>IFERROR(__xludf.DUMMYFUNCTION("""COMPUTED_VALUE"""),"Discussion with Requester                                                                           ")</f>
        <v>Discussion with Requester                                                                           </v>
      </c>
      <c r="C279" s="82">
        <f>IFERROR(__xludf.DUMMYFUNCTION("""COMPUTED_VALUE"""),5237.0)</f>
        <v>5237</v>
      </c>
      <c r="D279" s="76" t="str">
        <f>IFERROR(__xludf.DUMMYFUNCTION("""COMPUTED_VALUE"""),"Top sheet after attendance entry ")</f>
        <v>Top sheet after attendance entry </v>
      </c>
      <c r="E279" s="84">
        <f>IFERROR(__xludf.DUMMYFUNCTION("""COMPUTED_VALUE"""),46179.427777777775)</f>
        <v>46179.42778</v>
      </c>
      <c r="F279" s="86">
        <f>IFERROR(__xludf.DUMMYFUNCTION("""COMPUTED_VALUE"""),46178.7210272338)</f>
        <v>46178.72103</v>
      </c>
      <c r="G279" s="86" t="str">
        <f>IFERROR(__xludf.DUMMYFUNCTION("""COMPUTED_VALUE"""),"Done")</f>
        <v>Done</v>
      </c>
      <c r="H279" s="88">
        <f>IFERROR(__xludf.DUMMYFUNCTION("""COMPUTED_VALUE"""),0.0)</f>
        <v>0</v>
      </c>
      <c r="I279" s="90" t="str">
        <f>IFERROR(__xludf.DUMMYFUNCTION("""COMPUTED_VALUE"""),"EMP5009 Rup Kumar Mandal")</f>
        <v>EMP5009 Rup Kumar Mandal</v>
      </c>
      <c r="J279" s="91"/>
    </row>
    <row r="280">
      <c r="B280" s="76" t="str">
        <f>IFERROR(__xludf.DUMMYFUNCTION("""COMPUTED_VALUE"""),"Discussion with Requester                                                                           ")</f>
        <v>Discussion with Requester                                                                           </v>
      </c>
      <c r="C280" s="82">
        <f>IFERROR(__xludf.DUMMYFUNCTION("""COMPUTED_VALUE"""),5238.0)</f>
        <v>5238</v>
      </c>
      <c r="D280" s="76" t="str">
        <f>IFERROR(__xludf.DUMMYFUNCTION("""COMPUTED_VALUE"""),"TR")</f>
        <v>TR</v>
      </c>
      <c r="E280" s="84">
        <f>IFERROR(__xludf.DUMMYFUNCTION("""COMPUTED_VALUE"""),46181.42638888889)</f>
        <v>46181.42639</v>
      </c>
      <c r="F280" s="86">
        <f>IFERROR(__xludf.DUMMYFUNCTION("""COMPUTED_VALUE"""),46179.68797653935)</f>
        <v>46179.68798</v>
      </c>
      <c r="G280" s="86" t="str">
        <f>IFERROR(__xludf.DUMMYFUNCTION("""COMPUTED_VALUE"""),"Done")</f>
        <v>Done</v>
      </c>
      <c r="H280" s="88">
        <f>IFERROR(__xludf.DUMMYFUNCTION("""COMPUTED_VALUE"""),0.0)</f>
        <v>0</v>
      </c>
      <c r="I280" s="90" t="str">
        <f>IFERROR(__xludf.DUMMYFUNCTION("""COMPUTED_VALUE"""),"EMP5009 Rup Kumar Mandal")</f>
        <v>EMP5009 Rup Kumar Mandal</v>
      </c>
      <c r="J280" s="91"/>
    </row>
    <row r="281">
      <c r="B281" s="76" t="str">
        <f>IFERROR(__xludf.DUMMYFUNCTION("""COMPUTED_VALUE"""),"Discussion with Requester                                                                           ")</f>
        <v>Discussion with Requester                                                                           </v>
      </c>
      <c r="C281" s="82">
        <f>IFERROR(__xludf.DUMMYFUNCTION("""COMPUTED_VALUE"""),5239.0)</f>
        <v>5239</v>
      </c>
      <c r="D281" s="76" t="str">
        <f>IFERROR(__xludf.DUMMYFUNCTION("""COMPUTED_VALUE"""),"TR NEW AGRICULTURE AND ALL")</f>
        <v>TR NEW AGRICULTURE AND ALL</v>
      </c>
      <c r="E281" s="84">
        <f>IFERROR(__xludf.DUMMYFUNCTION("""COMPUTED_VALUE"""),46182.42013888889)</f>
        <v>46182.42014</v>
      </c>
      <c r="F281" s="86">
        <f>IFERROR(__xludf.DUMMYFUNCTION("""COMPUTED_VALUE"""),46181.67971234954)</f>
        <v>46181.67971</v>
      </c>
      <c r="G281" s="86" t="str">
        <f>IFERROR(__xludf.DUMMYFUNCTION("""COMPUTED_VALUE"""),"Done")</f>
        <v>Done</v>
      </c>
      <c r="H281" s="88">
        <f>IFERROR(__xludf.DUMMYFUNCTION("""COMPUTED_VALUE"""),0.0)</f>
        <v>0</v>
      </c>
      <c r="I281" s="90" t="str">
        <f>IFERROR(__xludf.DUMMYFUNCTION("""COMPUTED_VALUE"""),"EMP0042 HULESHWAR KUMAR SAHU")</f>
        <v>EMP0042 HULESHWAR KUMAR SAHU</v>
      </c>
      <c r="J281" s="91"/>
    </row>
    <row r="282">
      <c r="B282" s="76" t="str">
        <f>IFERROR(__xludf.DUMMYFUNCTION("""COMPUTED_VALUE"""),"Discussion with Requester                                                                           ")</f>
        <v>Discussion with Requester                                                                           </v>
      </c>
      <c r="C282" s="82">
        <f>IFERROR(__xludf.DUMMYFUNCTION("""COMPUTED_VALUE"""),5240.0)</f>
        <v>5240</v>
      </c>
      <c r="D282" s="76" t="str">
        <f>IFERROR(__xludf.DUMMYFUNCTION("""COMPUTED_VALUE"""),"TR REPORT")</f>
        <v>TR REPORT</v>
      </c>
      <c r="E282" s="84">
        <f>IFERROR(__xludf.DUMMYFUNCTION("""COMPUTED_VALUE"""),46182.48958333333)</f>
        <v>46182.48958</v>
      </c>
      <c r="F282" s="86">
        <f>IFERROR(__xludf.DUMMYFUNCTION("""COMPUTED_VALUE"""),46182.452400173606)</f>
        <v>46182.4524</v>
      </c>
      <c r="G282" s="86" t="str">
        <f>IFERROR(__xludf.DUMMYFUNCTION("""COMPUTED_VALUE"""),"Done")</f>
        <v>Done</v>
      </c>
      <c r="H282" s="88">
        <f>IFERROR(__xludf.DUMMYFUNCTION("""COMPUTED_VALUE"""),0.0)</f>
        <v>0</v>
      </c>
      <c r="I282" s="90" t="str">
        <f>IFERROR(__xludf.DUMMYFUNCTION("""COMPUTED_VALUE"""),"EMP0042 HULESHWAR KUMAR SAHU")</f>
        <v>EMP0042 HULESHWAR KUMAR SAHU</v>
      </c>
      <c r="J282" s="91"/>
    </row>
    <row r="283">
      <c r="B283" s="76" t="str">
        <f>IFERROR(__xludf.DUMMYFUNCTION("""COMPUTED_VALUE"""),"Discussion with Requester                                                                           ")</f>
        <v>Discussion with Requester                                                                           </v>
      </c>
      <c r="C283" s="82">
        <f>IFERROR(__xludf.DUMMYFUNCTION("""COMPUTED_VALUE"""),5241.0)</f>
        <v>5241</v>
      </c>
      <c r="D283" s="76" t="str">
        <f>IFERROR(__xludf.DUMMYFUNCTION("""COMPUTED_VALUE"""),"5coltrsem8_bfa.")</f>
        <v>5coltrsem8_bfa.</v>
      </c>
      <c r="E283" s="84">
        <f>IFERROR(__xludf.DUMMYFUNCTION("""COMPUTED_VALUE"""),46182.79559642361)</f>
        <v>46182.7956</v>
      </c>
      <c r="F283" s="86">
        <f>IFERROR(__xludf.DUMMYFUNCTION("""COMPUTED_VALUE"""),46182.71803679398)</f>
        <v>46182.71804</v>
      </c>
      <c r="G283" s="86" t="str">
        <f>IFERROR(__xludf.DUMMYFUNCTION("""COMPUTED_VALUE"""),"Done")</f>
        <v>Done</v>
      </c>
      <c r="H283" s="88">
        <f>IFERROR(__xludf.DUMMYFUNCTION("""COMPUTED_VALUE"""),0.0)</f>
        <v>0</v>
      </c>
      <c r="I283" s="90" t="str">
        <f>IFERROR(__xludf.DUMMYFUNCTION("""COMPUTED_VALUE"""),"EMP0021 Tamanna Dewangan")</f>
        <v>EMP0021 Tamanna Dewangan</v>
      </c>
      <c r="J283" s="91"/>
    </row>
    <row r="284">
      <c r="B284" s="76" t="str">
        <f>IFERROR(__xludf.DUMMYFUNCTION("""COMPUTED_VALUE"""),"Discussion with Requester                                                                           ")</f>
        <v>Discussion with Requester                                                                           </v>
      </c>
      <c r="C284" s="82">
        <f>IFERROR(__xludf.DUMMYFUNCTION("""COMPUTED_VALUE"""),5242.0)</f>
        <v>5242</v>
      </c>
      <c r="D284" s="76" t="str">
        <f>IFERROR(__xludf.DUMMYFUNCTION("""COMPUTED_VALUE"""),"ATTENDENCE SHEET , MEMO REPORT , ADMIT CARD , CENTER WISE SUBJECT WISE STUDENTS DETALIS")</f>
        <v>ATTENDENCE SHEET , MEMO REPORT , ADMIT CARD , CENTER WISE SUBJECT WISE STUDENTS DETALIS</v>
      </c>
      <c r="E284" s="84">
        <f>IFERROR(__xludf.DUMMYFUNCTION("""COMPUTED_VALUE"""),46183.42152777778)</f>
        <v>46183.42153</v>
      </c>
      <c r="F284" s="86">
        <f>IFERROR(__xludf.DUMMYFUNCTION("""COMPUTED_VALUE"""),46182.718111678245)</f>
        <v>46182.71811</v>
      </c>
      <c r="G284" s="86" t="str">
        <f>IFERROR(__xludf.DUMMYFUNCTION("""COMPUTED_VALUE"""),"Done")</f>
        <v>Done</v>
      </c>
      <c r="H284" s="88">
        <f>IFERROR(__xludf.DUMMYFUNCTION("""COMPUTED_VALUE"""),0.0)</f>
        <v>0</v>
      </c>
      <c r="I284" s="90" t="str">
        <f>IFERROR(__xludf.DUMMYFUNCTION("""COMPUTED_VALUE"""),"EMP0021 Tamanna Dewangan")</f>
        <v>EMP0021 Tamanna Dewangan</v>
      </c>
      <c r="J284" s="91"/>
    </row>
    <row r="285">
      <c r="B285" s="76" t="str">
        <f>IFERROR(__xludf.DUMMYFUNCTION("""COMPUTED_VALUE"""),"Discussion with Requester                                                                           ")</f>
        <v>Discussion with Requester                                                                           </v>
      </c>
      <c r="C285" s="82">
        <f>IFERROR(__xludf.DUMMYFUNCTION("""COMPUTED_VALUE"""),5243.0)</f>
        <v>5243</v>
      </c>
      <c r="D285" s="76" t="str">
        <f>IFERROR(__xludf.DUMMYFUNCTION("""COMPUTED_VALUE"""),"GRADECARD10")</f>
        <v>GRADECARD10</v>
      </c>
      <c r="E285" s="84">
        <f>IFERROR(__xludf.DUMMYFUNCTION("""COMPUTED_VALUE"""),46183.61766649306)</f>
        <v>46183.61767</v>
      </c>
      <c r="F285" s="86">
        <f>IFERROR(__xludf.DUMMYFUNCTION("""COMPUTED_VALUE"""),46183.465343923606)</f>
        <v>46183.46534</v>
      </c>
      <c r="G285" s="86" t="str">
        <f>IFERROR(__xludf.DUMMYFUNCTION("""COMPUTED_VALUE"""),"Done")</f>
        <v>Done</v>
      </c>
      <c r="H285" s="88">
        <f>IFERROR(__xludf.DUMMYFUNCTION("""COMPUTED_VALUE"""),0.0)</f>
        <v>0</v>
      </c>
      <c r="I285" s="90" t="str">
        <f>IFERROR(__xludf.DUMMYFUNCTION("""COMPUTED_VALUE"""),"EMP0021 Tamanna Dewangan")</f>
        <v>EMP0021 Tamanna Dewangan</v>
      </c>
      <c r="J285" s="91"/>
    </row>
    <row r="286">
      <c r="B286" s="76" t="str">
        <f>IFERROR(__xludf.DUMMYFUNCTION("""COMPUTED_VALUE"""),"Discussion with Requester                                                                           ")</f>
        <v>Discussion with Requester                                                                           </v>
      </c>
      <c r="C286" s="82">
        <f>IFERROR(__xludf.DUMMYFUNCTION("""COMPUTED_VALUE"""),5244.0)</f>
        <v>5244</v>
      </c>
      <c r="D286" s="76" t="str">
        <f>IFERROR(__xludf.DUMMYFUNCTION("""COMPUTED_VALUE"""),"	TR (NURSING)")</f>
        <v>	TR (NURSING)</v>
      </c>
      <c r="E286" s="84">
        <f>IFERROR(__xludf.DUMMYFUNCTION("""COMPUTED_VALUE"""),46183.673278993054)</f>
        <v>46183.67328</v>
      </c>
      <c r="F286" s="86">
        <f>IFERROR(__xludf.DUMMYFUNCTION("""COMPUTED_VALUE"""),46183.56470721065)</f>
        <v>46183.56471</v>
      </c>
      <c r="G286" s="86" t="str">
        <f>IFERROR(__xludf.DUMMYFUNCTION("""COMPUTED_VALUE"""),"Done")</f>
        <v>Done</v>
      </c>
      <c r="H286" s="88">
        <f>IFERROR(__xludf.DUMMYFUNCTION("""COMPUTED_VALUE"""),0.0)</f>
        <v>0</v>
      </c>
      <c r="I286" s="90" t="str">
        <f>IFERROR(__xludf.DUMMYFUNCTION("""COMPUTED_VALUE"""),"EMP0042 HULESHWAR KUMAR SAHU")</f>
        <v>EMP0042 HULESHWAR KUMAR SAHU</v>
      </c>
      <c r="J286" s="91"/>
    </row>
    <row r="287">
      <c r="B287" s="76" t="str">
        <f>IFERROR(__xludf.DUMMYFUNCTION("""COMPUTED_VALUE"""),"Discussion with Requester                                                                           ")</f>
        <v>Discussion with Requester                                                                           </v>
      </c>
      <c r="C287" s="82">
        <f>IFERROR(__xludf.DUMMYFUNCTION("""COMPUTED_VALUE"""),5245.0)</f>
        <v>5245</v>
      </c>
      <c r="D287" s="76" t="str">
        <f>IFERROR(__xludf.DUMMYFUNCTION("""COMPUTED_VALUE"""),"Marksheet B.Sc Nursing")</f>
        <v>Marksheet B.Sc Nursing</v>
      </c>
      <c r="E287" s="84">
        <f>IFERROR(__xludf.DUMMYFUNCTION("""COMPUTED_VALUE"""),46183.6743243287)</f>
        <v>46183.67432</v>
      </c>
      <c r="F287" s="86">
        <f>IFERROR(__xludf.DUMMYFUNCTION("""COMPUTED_VALUE"""),46183.56472408564)</f>
        <v>46183.56472</v>
      </c>
      <c r="G287" s="86" t="str">
        <f>IFERROR(__xludf.DUMMYFUNCTION("""COMPUTED_VALUE"""),"Done")</f>
        <v>Done</v>
      </c>
      <c r="H287" s="88">
        <f>IFERROR(__xludf.DUMMYFUNCTION("""COMPUTED_VALUE"""),0.0)</f>
        <v>0</v>
      </c>
      <c r="I287" s="90" t="str">
        <f>IFERROR(__xludf.DUMMYFUNCTION("""COMPUTED_VALUE"""),"EMP0042 HULESHWAR KUMAR SAHU")</f>
        <v>EMP0042 HULESHWAR KUMAR SAHU</v>
      </c>
      <c r="J287" s="91"/>
    </row>
    <row r="288">
      <c r="B288" s="76" t="str">
        <f>IFERROR(__xludf.DUMMYFUNCTION("""COMPUTED_VALUE"""),"Discussion with Requester                                                                           ")</f>
        <v>Discussion with Requester                                                                           </v>
      </c>
      <c r="C288" s="82">
        <f>IFERROR(__xludf.DUMMYFUNCTION("""COMPUTED_VALUE"""),5246.0)</f>
        <v>5246</v>
      </c>
      <c r="D288" s="76" t="str">
        <f>IFERROR(__xludf.DUMMYFUNCTION("""COMPUTED_VALUE"""),"Grade Carde B.Tech")</f>
        <v>Grade Carde B.Tech</v>
      </c>
      <c r="E288" s="84">
        <f>IFERROR(__xludf.DUMMYFUNCTION("""COMPUTED_VALUE"""),46183.68628495371)</f>
        <v>46183.68628</v>
      </c>
      <c r="F288" s="86">
        <f>IFERROR(__xludf.DUMMYFUNCTION("""COMPUTED_VALUE"""),46183.564752349535)</f>
        <v>46183.56475</v>
      </c>
      <c r="G288" s="86" t="str">
        <f>IFERROR(__xludf.DUMMYFUNCTION("""COMPUTED_VALUE"""),"Done")</f>
        <v>Done</v>
      </c>
      <c r="H288" s="88">
        <f>IFERROR(__xludf.DUMMYFUNCTION("""COMPUTED_VALUE"""),0.0)</f>
        <v>0</v>
      </c>
      <c r="I288" s="90" t="str">
        <f>IFERROR(__xludf.DUMMYFUNCTION("""COMPUTED_VALUE"""),"EMP0042 HULESHWAR KUMAR SAHU")</f>
        <v>EMP0042 HULESHWAR KUMAR SAHU</v>
      </c>
      <c r="J288" s="91"/>
    </row>
    <row r="289">
      <c r="B289" s="76" t="str">
        <f>IFERROR(__xludf.DUMMYFUNCTION("""COMPUTED_VALUE"""),"Discussion with Requester                                                                           ")</f>
        <v>Discussion with Requester                                                                           </v>
      </c>
      <c r="C289" s="82">
        <f>IFERROR(__xludf.DUMMYFUNCTION("""COMPUTED_VALUE"""),5247.0)</f>
        <v>5247</v>
      </c>
      <c r="D289" s="76" t="str">
        <f>IFERROR(__xludf.DUMMYFUNCTION("""COMPUTED_VALUE"""),"attendance sheet ")</f>
        <v>attendance sheet </v>
      </c>
      <c r="E289" s="84">
        <f>IFERROR(__xludf.DUMMYFUNCTION("""COMPUTED_VALUE"""),46183.733544375)</f>
        <v>46183.73354</v>
      </c>
      <c r="F289" s="86">
        <f>IFERROR(__xludf.DUMMYFUNCTION("""COMPUTED_VALUE"""),46183.76053328704)</f>
        <v>46183.76053</v>
      </c>
      <c r="G289" s="86" t="str">
        <f>IFERROR(__xludf.DUMMYFUNCTION("""COMPUTED_VALUE"""),"Done")</f>
        <v>Done</v>
      </c>
      <c r="H289" s="88">
        <f>IFERROR(__xludf.DUMMYFUNCTION("""COMPUTED_VALUE"""),0.026988912039087154)</f>
        <v>0.02698891204</v>
      </c>
      <c r="I289" s="90" t="str">
        <f>IFERROR(__xludf.DUMMYFUNCTION("""COMPUTED_VALUE"""),"EMP0042 HULESHWAR KUMAR SAHU")</f>
        <v>EMP0042 HULESHWAR KUMAR SAHU</v>
      </c>
      <c r="J289" s="91"/>
    </row>
    <row r="290">
      <c r="B290" s="76" t="str">
        <f>IFERROR(__xludf.DUMMYFUNCTION("""COMPUTED_VALUE"""),"Discussion with Requester                                                                           ")</f>
        <v>Discussion with Requester                                                                           </v>
      </c>
      <c r="C290" s="82">
        <f>IFERROR(__xludf.DUMMYFUNCTION("""COMPUTED_VALUE"""),5248.0)</f>
        <v>5248</v>
      </c>
      <c r="D290" s="76" t="str">
        <f>IFERROR(__xludf.DUMMYFUNCTION("""COMPUTED_VALUE"""),"ADMIT CARD ")</f>
        <v>ADMIT CARD </v>
      </c>
      <c r="E290" s="84">
        <f>IFERROR(__xludf.DUMMYFUNCTION("""COMPUTED_VALUE"""),46183.77031923611)</f>
        <v>46183.77032</v>
      </c>
      <c r="F290" s="86">
        <f>IFERROR(__xludf.DUMMYFUNCTION("""COMPUTED_VALUE"""),46183.760561793984)</f>
        <v>46183.76056</v>
      </c>
      <c r="G290" s="86" t="str">
        <f>IFERROR(__xludf.DUMMYFUNCTION("""COMPUTED_VALUE"""),"Done")</f>
        <v>Done</v>
      </c>
      <c r="H290" s="88">
        <f>IFERROR(__xludf.DUMMYFUNCTION("""COMPUTED_VALUE"""),0.0)</f>
        <v>0</v>
      </c>
      <c r="I290" s="90" t="str">
        <f>IFERROR(__xludf.DUMMYFUNCTION("""COMPUTED_VALUE"""),"EMP5009 Rup Kumar Mandal")</f>
        <v>EMP5009 Rup Kumar Mandal</v>
      </c>
      <c r="J290" s="91"/>
    </row>
    <row r="291">
      <c r="B291" s="76" t="str">
        <f>IFERROR(__xludf.DUMMYFUNCTION("""COMPUTED_VALUE"""),"Discussion with Requester                                                                           ")</f>
        <v>Discussion with Requester                                                                           </v>
      </c>
      <c r="C291" s="82">
        <f>IFERROR(__xludf.DUMMYFUNCTION("""COMPUTED_VALUE"""),5249.0)</f>
        <v>5249</v>
      </c>
      <c r="D291" s="76" t="str">
        <f>IFERROR(__xludf.DUMMYFUNCTION("""COMPUTED_VALUE"""),"SHASTRI RESULT SHEET")</f>
        <v>SHASTRI RESULT SHEET</v>
      </c>
      <c r="E291" s="84">
        <f>IFERROR(__xludf.DUMMYFUNCTION("""COMPUTED_VALUE"""),46185.79201380788)</f>
        <v>46185.79201</v>
      </c>
      <c r="F291" s="86">
        <f>IFERROR(__xludf.DUMMYFUNCTION("""COMPUTED_VALUE"""),46185.72223)</f>
        <v>46185.72223</v>
      </c>
      <c r="G291" s="86" t="str">
        <f>IFERROR(__xludf.DUMMYFUNCTION("""COMPUTED_VALUE"""),"Done")</f>
        <v>Done</v>
      </c>
      <c r="H291" s="88">
        <f>IFERROR(__xludf.DUMMYFUNCTION("""COMPUTED_VALUE"""),0.0)</f>
        <v>0</v>
      </c>
      <c r="I291" s="90" t="str">
        <f>IFERROR(__xludf.DUMMYFUNCTION("""COMPUTED_VALUE"""),"EMP0042 HULESHWAR KUMAR SAHU")</f>
        <v>EMP0042 HULESHWAR KUMAR SAHU</v>
      </c>
      <c r="J291" s="91"/>
    </row>
    <row r="292">
      <c r="B292" s="76" t="str">
        <f>IFERROR(__xludf.DUMMYFUNCTION("""COMPUTED_VALUE"""),"Discussion with Requester                                                                           ")</f>
        <v>Discussion with Requester                                                                           </v>
      </c>
      <c r="C292" s="82">
        <f>IFERROR(__xludf.DUMMYFUNCTION("""COMPUTED_VALUE"""),5250.0)</f>
        <v>5250</v>
      </c>
      <c r="D292" s="76" t="str">
        <f>IFERROR(__xludf.DUMMYFUNCTION("""COMPUTED_VALUE"""),"SHASTRI TR")</f>
        <v>SHASTRI TR</v>
      </c>
      <c r="E292" s="84">
        <f>IFERROR(__xludf.DUMMYFUNCTION("""COMPUTED_VALUE"""),46185.79280396991)</f>
        <v>46185.7928</v>
      </c>
      <c r="F292" s="86">
        <f>IFERROR(__xludf.DUMMYFUNCTION("""COMPUTED_VALUE"""),46185.75891203704)</f>
        <v>46185.75891</v>
      </c>
      <c r="G292" s="86" t="str">
        <f>IFERROR(__xludf.DUMMYFUNCTION("""COMPUTED_VALUE"""),"Done")</f>
        <v>Done</v>
      </c>
      <c r="H292" s="88">
        <f>IFERROR(__xludf.DUMMYFUNCTION("""COMPUTED_VALUE"""),0.0)</f>
        <v>0</v>
      </c>
      <c r="I292" s="90" t="str">
        <f>IFERROR(__xludf.DUMMYFUNCTION("""COMPUTED_VALUE"""),"EMP0042 HULESHWAR KUMAR SAHU")</f>
        <v>EMP0042 HULESHWAR KUMAR SAHU</v>
      </c>
      <c r="J292" s="91"/>
    </row>
    <row r="293">
      <c r="B293" s="76" t="str">
        <f>IFERROR(__xludf.DUMMYFUNCTION("""COMPUTED_VALUE"""),"Discussion with Requester                                                                           ")</f>
        <v>Discussion with Requester                                                                           </v>
      </c>
      <c r="C293" s="82">
        <f>IFERROR(__xludf.DUMMYFUNCTION("""COMPUTED_VALUE"""),5251.0)</f>
        <v>5251</v>
      </c>
      <c r="D293" s="76" t="str">
        <f>IFERROR(__xludf.DUMMYFUNCTION("""COMPUTED_VALUE"""),"REGISTRATION FORM")</f>
        <v>REGISTRATION FORM</v>
      </c>
      <c r="E293" s="84">
        <f>IFERROR(__xludf.DUMMYFUNCTION("""COMPUTED_VALUE"""),46186.455555555556)</f>
        <v>46186.45556</v>
      </c>
      <c r="F293" s="86">
        <f>IFERROR(__xludf.DUMMYFUNCTION("""COMPUTED_VALUE"""),46185.72224524306)</f>
        <v>46185.72225</v>
      </c>
      <c r="G293" s="86" t="str">
        <f>IFERROR(__xludf.DUMMYFUNCTION("""COMPUTED_VALUE"""),"Done")</f>
        <v>Done</v>
      </c>
      <c r="H293" s="88">
        <f>IFERROR(__xludf.DUMMYFUNCTION("""COMPUTED_VALUE"""),0.0)</f>
        <v>0</v>
      </c>
      <c r="I293" s="90" t="str">
        <f>IFERROR(__xludf.DUMMYFUNCTION("""COMPUTED_VALUE"""),"EMP0042 HULESHWAR KUMAR SAHU")</f>
        <v>EMP0042 HULESHWAR KUMAR SAHU</v>
      </c>
      <c r="J293" s="91"/>
    </row>
    <row r="294">
      <c r="B294" s="76" t="str">
        <f>IFERROR(__xludf.DUMMYFUNCTION("""COMPUTED_VALUE"""),"Discussion with Requester                                                                           ")</f>
        <v>Discussion with Requester                                                                           </v>
      </c>
      <c r="C294" s="82">
        <f>IFERROR(__xludf.DUMMYFUNCTION("""COMPUTED_VALUE"""),5252.0)</f>
        <v>5252</v>
      </c>
      <c r="D294" s="76" t="str">
        <f>IFERROR(__xludf.DUMMYFUNCTION("""COMPUTED_VALUE"""),"Template NEP")</f>
        <v>Template NEP</v>
      </c>
      <c r="E294" s="84">
        <f>IFERROR(__xludf.DUMMYFUNCTION("""COMPUTED_VALUE"""),46186.66893490741)</f>
        <v>46186.66893</v>
      </c>
      <c r="F294" s="86">
        <f>IFERROR(__xludf.DUMMYFUNCTION("""COMPUTED_VALUE"""),46186.51332290509)</f>
        <v>46186.51332</v>
      </c>
      <c r="G294" s="86" t="str">
        <f>IFERROR(__xludf.DUMMYFUNCTION("""COMPUTED_VALUE"""),"Done")</f>
        <v>Done</v>
      </c>
      <c r="H294" s="88">
        <f>IFERROR(__xludf.DUMMYFUNCTION("""COMPUTED_VALUE"""),0.0)</f>
        <v>0</v>
      </c>
      <c r="I294" s="90" t="str">
        <f>IFERROR(__xludf.DUMMYFUNCTION("""COMPUTED_VALUE"""),"EMP5009 Rup Kumar Mandal")</f>
        <v>EMP5009 Rup Kumar Mandal</v>
      </c>
      <c r="J294" s="91"/>
    </row>
    <row r="295">
      <c r="B295" s="76" t="str">
        <f>IFERROR(__xludf.DUMMYFUNCTION("""COMPUTED_VALUE"""),"Discussion with Requester                                                                           ")</f>
        <v>Discussion with Requester                                                                           </v>
      </c>
      <c r="C295" s="82">
        <f>IFERROR(__xludf.DUMMYFUNCTION("""COMPUTED_VALUE"""),5253.0)</f>
        <v>5253</v>
      </c>
      <c r="D295" s="76" t="str">
        <f>IFERROR(__xludf.DUMMYFUNCTION("""COMPUTED_VALUE"""),"Multiple Report ")</f>
        <v>Multiple Report </v>
      </c>
      <c r="E295" s="84">
        <f>IFERROR(__xludf.DUMMYFUNCTION("""COMPUTED_VALUE"""),46186.72426604167)</f>
        <v>46186.72427</v>
      </c>
      <c r="F295" s="86">
        <f>IFERROR(__xludf.DUMMYFUNCTION("""COMPUTED_VALUE"""),46186.55878979166)</f>
        <v>46186.55879</v>
      </c>
      <c r="G295" s="86" t="str">
        <f>IFERROR(__xludf.DUMMYFUNCTION("""COMPUTED_VALUE"""),"Done")</f>
        <v>Done</v>
      </c>
      <c r="H295" s="88">
        <f>IFERROR(__xludf.DUMMYFUNCTION("""COMPUTED_VALUE"""),0.0)</f>
        <v>0</v>
      </c>
      <c r="I295" s="90" t="str">
        <f>IFERROR(__xludf.DUMMYFUNCTION("""COMPUTED_VALUE"""),"EMP0237 Swarnendu Chakraborty")</f>
        <v>EMP0237 Swarnendu Chakraborty</v>
      </c>
      <c r="J295" s="91"/>
    </row>
    <row r="296">
      <c r="B296" s="76" t="str">
        <f>IFERROR(__xludf.DUMMYFUNCTION("""COMPUTED_VALUE"""),"Discussion with Requester                                                                           ")</f>
        <v>Discussion with Requester                                                                           </v>
      </c>
      <c r="C296" s="82">
        <f>IFERROR(__xludf.DUMMYFUNCTION("""COMPUTED_VALUE"""),5254.0)</f>
        <v>5254</v>
      </c>
      <c r="D296" s="76" t="str">
        <f>IFERROR(__xludf.DUMMYFUNCTION("""COMPUTED_VALUE"""),"Multiple Report ")</f>
        <v>Multiple Report </v>
      </c>
      <c r="E296" s="84">
        <f>IFERROR(__xludf.DUMMYFUNCTION("""COMPUTED_VALUE"""),46186.72758236112)</f>
        <v>46186.72758</v>
      </c>
      <c r="F296" s="86">
        <f>IFERROR(__xludf.DUMMYFUNCTION("""COMPUTED_VALUE"""),46186.60767596065)</f>
        <v>46186.60768</v>
      </c>
      <c r="G296" s="86" t="str">
        <f>IFERROR(__xludf.DUMMYFUNCTION("""COMPUTED_VALUE"""),"Done")</f>
        <v>Done</v>
      </c>
      <c r="H296" s="88">
        <f>IFERROR(__xludf.DUMMYFUNCTION("""COMPUTED_VALUE"""),0.0)</f>
        <v>0</v>
      </c>
      <c r="I296" s="90" t="str">
        <f>IFERROR(__xludf.DUMMYFUNCTION("""COMPUTED_VALUE"""),"EMP0237 Swarnendu Chakraborty")</f>
        <v>EMP0237 Swarnendu Chakraborty</v>
      </c>
      <c r="J296" s="91"/>
    </row>
    <row r="297">
      <c r="B297" s="76" t="str">
        <f>IFERROR(__xludf.DUMMYFUNCTION("""COMPUTED_VALUE"""),"Discussion with Requester                                                                           ")</f>
        <v>Discussion with Requester                                                                           </v>
      </c>
      <c r="C297" s="82">
        <f>IFERROR(__xludf.DUMMYFUNCTION("""COMPUTED_VALUE"""),5255.0)</f>
        <v>5255</v>
      </c>
      <c r="D297" s="76" t="str">
        <f>IFERROR(__xludf.DUMMYFUNCTION("""COMPUTED_VALUE"""),"Multiple Report ")</f>
        <v>Multiple Report </v>
      </c>
      <c r="E297" s="84">
        <f>IFERROR(__xludf.DUMMYFUNCTION("""COMPUTED_VALUE"""),46186.7298834838)</f>
        <v>46186.72988</v>
      </c>
      <c r="F297" s="86">
        <f>IFERROR(__xludf.DUMMYFUNCTION("""COMPUTED_VALUE"""),46186.607712627316)</f>
        <v>46186.60771</v>
      </c>
      <c r="G297" s="86" t="str">
        <f>IFERROR(__xludf.DUMMYFUNCTION("""COMPUTED_VALUE"""),"Done")</f>
        <v>Done</v>
      </c>
      <c r="H297" s="88">
        <f>IFERROR(__xludf.DUMMYFUNCTION("""COMPUTED_VALUE"""),0.0)</f>
        <v>0</v>
      </c>
      <c r="I297" s="90" t="str">
        <f>IFERROR(__xludf.DUMMYFUNCTION("""COMPUTED_VALUE"""),"EMP5009 Rup Kumar Mandal")</f>
        <v>EMP5009 Rup Kumar Mandal</v>
      </c>
      <c r="J297" s="91"/>
    </row>
    <row r="298">
      <c r="B298" s="76" t="str">
        <f>IFERROR(__xludf.DUMMYFUNCTION("""COMPUTED_VALUE"""),"Discussion with Requester                                                                           ")</f>
        <v>Discussion with Requester                                                                           </v>
      </c>
      <c r="C298" s="82">
        <f>IFERROR(__xludf.DUMMYFUNCTION("""COMPUTED_VALUE"""),5256.0)</f>
        <v>5256</v>
      </c>
      <c r="D298" s="76" t="str">
        <f>IFERROR(__xludf.DUMMYFUNCTION("""COMPUTED_VALUE"""),"Multiple Report ")</f>
        <v>Multiple Report </v>
      </c>
      <c r="E298" s="84">
        <f>IFERROR(__xludf.DUMMYFUNCTION("""COMPUTED_VALUE"""),46186.73301766204)</f>
        <v>46186.73302</v>
      </c>
      <c r="F298" s="86">
        <f>IFERROR(__xludf.DUMMYFUNCTION("""COMPUTED_VALUE"""),46186.60772628472)</f>
        <v>46186.60773</v>
      </c>
      <c r="G298" s="86" t="str">
        <f>IFERROR(__xludf.DUMMYFUNCTION("""COMPUTED_VALUE"""),"Done")</f>
        <v>Done</v>
      </c>
      <c r="H298" s="88">
        <f>IFERROR(__xludf.DUMMYFUNCTION("""COMPUTED_VALUE"""),0.0)</f>
        <v>0</v>
      </c>
      <c r="I298" s="90" t="str">
        <f>IFERROR(__xludf.DUMMYFUNCTION("""COMPUTED_VALUE"""),"EMP5009 Rup Kumar Mandal")</f>
        <v>EMP5009 Rup Kumar Mandal</v>
      </c>
      <c r="J298" s="91"/>
    </row>
    <row r="299">
      <c r="B299" s="76" t="str">
        <f>IFERROR(__xludf.DUMMYFUNCTION("""COMPUTED_VALUE"""),"Discussion with Requester                                                                           ")</f>
        <v>Discussion with Requester                                                                           </v>
      </c>
      <c r="C299" s="82">
        <f>IFERROR(__xludf.DUMMYFUNCTION("""COMPUTED_VALUE"""),5257.0)</f>
        <v>5257</v>
      </c>
      <c r="D299" s="76" t="str">
        <f>IFERROR(__xludf.DUMMYFUNCTION("""COMPUTED_VALUE"""),"Multiple Report ")</f>
        <v>Multiple Report </v>
      </c>
      <c r="E299" s="84">
        <f>IFERROR(__xludf.DUMMYFUNCTION("""COMPUTED_VALUE"""),46186.7370102662)</f>
        <v>46186.73701</v>
      </c>
      <c r="F299" s="86">
        <f>IFERROR(__xludf.DUMMYFUNCTION("""COMPUTED_VALUE"""),46186.60775069445)</f>
        <v>46186.60775</v>
      </c>
      <c r="G299" s="86" t="str">
        <f>IFERROR(__xludf.DUMMYFUNCTION("""COMPUTED_VALUE"""),"Done")</f>
        <v>Done</v>
      </c>
      <c r="H299" s="88">
        <f>IFERROR(__xludf.DUMMYFUNCTION("""COMPUTED_VALUE"""),0.0)</f>
        <v>0</v>
      </c>
      <c r="I299" s="90" t="str">
        <f>IFERROR(__xludf.DUMMYFUNCTION("""COMPUTED_VALUE"""),"EMP0237 Swarnendu Chakraborty")</f>
        <v>EMP0237 Swarnendu Chakraborty</v>
      </c>
      <c r="J299" s="91"/>
    </row>
    <row r="300">
      <c r="B300" s="76" t="str">
        <f>IFERROR(__xludf.DUMMYFUNCTION("""COMPUTED_VALUE"""),"Discussion with Requester                                                                           ")</f>
        <v>Discussion with Requester                                                                           </v>
      </c>
      <c r="C300" s="82">
        <f>IFERROR(__xludf.DUMMYFUNCTION("""COMPUTED_VALUE"""),5258.0)</f>
        <v>5258</v>
      </c>
      <c r="D300" s="76" t="str">
        <f>IFERROR(__xludf.DUMMYFUNCTION("""COMPUTED_VALUE"""),"Multiple Report ")</f>
        <v>Multiple Report </v>
      </c>
      <c r="E300" s="84">
        <f>IFERROR(__xludf.DUMMYFUNCTION("""COMPUTED_VALUE"""),46186.74030606482)</f>
        <v>46186.74031</v>
      </c>
      <c r="F300" s="86">
        <f>IFERROR(__xludf.DUMMYFUNCTION("""COMPUTED_VALUE"""),46186.60777961806)</f>
        <v>46186.60778</v>
      </c>
      <c r="G300" s="86" t="str">
        <f>IFERROR(__xludf.DUMMYFUNCTION("""COMPUTED_VALUE"""),"Done")</f>
        <v>Done</v>
      </c>
      <c r="H300" s="88">
        <f>IFERROR(__xludf.DUMMYFUNCTION("""COMPUTED_VALUE"""),0.0)</f>
        <v>0</v>
      </c>
      <c r="I300" s="90" t="str">
        <f>IFERROR(__xludf.DUMMYFUNCTION("""COMPUTED_VALUE"""),"EMP0042 HULESHWAR KUMAR SAHU")</f>
        <v>EMP0042 HULESHWAR KUMAR SAHU</v>
      </c>
      <c r="J300" s="91"/>
    </row>
    <row r="301">
      <c r="B301" s="76" t="str">
        <f>IFERROR(__xludf.DUMMYFUNCTION("""COMPUTED_VALUE"""),"Discussion with Requester                                                                           ")</f>
        <v>Discussion with Requester                                                                           </v>
      </c>
      <c r="C301" s="82">
        <f>IFERROR(__xludf.DUMMYFUNCTION("""COMPUTED_VALUE"""),5259.0)</f>
        <v>5259</v>
      </c>
      <c r="D301" s="76" t="str">
        <f>IFERROR(__xludf.DUMMYFUNCTION("""COMPUTED_VALUE"""),"TR BCA Clg wise")</f>
        <v>TR BCA Clg wise</v>
      </c>
      <c r="E301" s="84">
        <f>IFERROR(__xludf.DUMMYFUNCTION("""COMPUTED_VALUE"""),46186.74329747685)</f>
        <v>46186.7433</v>
      </c>
      <c r="F301" s="86">
        <f>IFERROR(__xludf.DUMMYFUNCTION("""COMPUTED_VALUE"""),46186.60779923611)</f>
        <v>46186.6078</v>
      </c>
      <c r="G301" s="86" t="str">
        <f>IFERROR(__xludf.DUMMYFUNCTION("""COMPUTED_VALUE"""),"Done")</f>
        <v>Done</v>
      </c>
      <c r="H301" s="88">
        <f>IFERROR(__xludf.DUMMYFUNCTION("""COMPUTED_VALUE"""),0.0)</f>
        <v>0</v>
      </c>
      <c r="I301" s="90" t="str">
        <f>IFERROR(__xludf.DUMMYFUNCTION("""COMPUTED_VALUE"""),"EMP0042 HULESHWAR KUMAR SAHU")</f>
        <v>EMP0042 HULESHWAR KUMAR SAHU</v>
      </c>
      <c r="J301" s="91"/>
    </row>
    <row r="302">
      <c r="B302" s="76" t="str">
        <f>IFERROR(__xludf.DUMMYFUNCTION("""COMPUTED_VALUE"""),"Discussion with Requester                                                                           ")</f>
        <v>Discussion with Requester                                                                           </v>
      </c>
      <c r="C302" s="82">
        <f>IFERROR(__xludf.DUMMYFUNCTION("""COMPUTED_VALUE"""),5260.0)</f>
        <v>5260</v>
      </c>
      <c r="D302" s="76" t="str">
        <f>IFERROR(__xludf.DUMMYFUNCTION("""COMPUTED_VALUE"""),"Attendance Sheet First Semester ( Sem - 1) GCKN-103 - S.K. Govt. College, Kanwali (Rewari) PG undefined RE-APPEAR_SE03")</f>
        <v>Attendance Sheet First Semester ( Sem - 1) GCKN-103 - S.K. Govt. College, Kanwali (Rewari) PG undefined RE-APPEAR_SE03</v>
      </c>
      <c r="E302" s="84">
        <f>IFERROR(__xludf.DUMMYFUNCTION("""COMPUTED_VALUE"""),46188.559628229166)</f>
        <v>46188.55963</v>
      </c>
      <c r="F302" s="86">
        <f>IFERROR(__xludf.DUMMYFUNCTION("""COMPUTED_VALUE"""),46188.46219983796)</f>
        <v>46188.4622</v>
      </c>
      <c r="G302" s="86" t="str">
        <f>IFERROR(__xludf.DUMMYFUNCTION("""COMPUTED_VALUE"""),"Done")</f>
        <v>Done</v>
      </c>
      <c r="H302" s="88">
        <f>IFERROR(__xludf.DUMMYFUNCTION("""COMPUTED_VALUE"""),0.0)</f>
        <v>0</v>
      </c>
      <c r="I302" s="90" t="str">
        <f>IFERROR(__xludf.DUMMYFUNCTION("""COMPUTED_VALUE"""),"EMP0042 HULESHWAR KUMAR SAHU")</f>
        <v>EMP0042 HULESHWAR KUMAR SAHU</v>
      </c>
      <c r="J302" s="91"/>
    </row>
    <row r="303">
      <c r="B303" s="76" t="str">
        <f>IFERROR(__xludf.DUMMYFUNCTION("""COMPUTED_VALUE"""),"Discussion with Requester                                                                           ")</f>
        <v>Discussion with Requester                                                                           </v>
      </c>
      <c r="C303" s="82">
        <f>IFERROR(__xludf.DUMMYFUNCTION("""COMPUTED_VALUE"""),5261.0)</f>
        <v>5261</v>
      </c>
      <c r="D303" s="76" t="str">
        <f>IFERROR(__xludf.DUMMYFUNCTION("""COMPUTED_VALUE"""),"Mark Foil for Teacher")</f>
        <v>Mark Foil for Teacher</v>
      </c>
      <c r="E303" s="84">
        <f>IFERROR(__xludf.DUMMYFUNCTION("""COMPUTED_VALUE"""),46188.62541729166)</f>
        <v>46188.62542</v>
      </c>
      <c r="F303" s="86">
        <f>IFERROR(__xludf.DUMMYFUNCTION("""COMPUTED_VALUE"""),46188.46222649306)</f>
        <v>46188.46223</v>
      </c>
      <c r="G303" s="86" t="str">
        <f>IFERROR(__xludf.DUMMYFUNCTION("""COMPUTED_VALUE"""),"Done")</f>
        <v>Done</v>
      </c>
      <c r="H303" s="88">
        <f>IFERROR(__xludf.DUMMYFUNCTION("""COMPUTED_VALUE"""),0.0)</f>
        <v>0</v>
      </c>
      <c r="I303" s="90" t="str">
        <f>IFERROR(__xludf.DUMMYFUNCTION("""COMPUTED_VALUE"""),"EMP0042 HULESHWAR KUMAR SAHU")</f>
        <v>EMP0042 HULESHWAR KUMAR SAHU</v>
      </c>
      <c r="J303" s="91"/>
    </row>
    <row r="304">
      <c r="B304" s="76" t="str">
        <f>IFERROR(__xludf.DUMMYFUNCTION("""COMPUTED_VALUE"""),"Discussion with Requester                                                                           ")</f>
        <v>Discussion with Requester                                                                           </v>
      </c>
      <c r="C304" s="82">
        <f>IFERROR(__xludf.DUMMYFUNCTION("""COMPUTED_VALUE"""),5262.0)</f>
        <v>5262</v>
      </c>
      <c r="D304" s="76" t="str">
        <f>IFERROR(__xludf.DUMMYFUNCTION("""COMPUTED_VALUE"""),"Marksheet old")</f>
        <v>Marksheet old</v>
      </c>
      <c r="E304" s="84">
        <f>IFERROR(__xludf.DUMMYFUNCTION("""COMPUTED_VALUE"""),46189.623024629625)</f>
        <v>46189.62302</v>
      </c>
      <c r="F304" s="86">
        <f>IFERROR(__xludf.DUMMYFUNCTION("""COMPUTED_VALUE"""),46189.48472337963)</f>
        <v>46189.48472</v>
      </c>
      <c r="G304" s="86" t="str">
        <f>IFERROR(__xludf.DUMMYFUNCTION("""COMPUTED_VALUE"""),"Done")</f>
        <v>Done</v>
      </c>
      <c r="H304" s="88">
        <f>IFERROR(__xludf.DUMMYFUNCTION("""COMPUTED_VALUE"""),0.0)</f>
        <v>0</v>
      </c>
      <c r="I304" s="90" t="str">
        <f>IFERROR(__xludf.DUMMYFUNCTION("""COMPUTED_VALUE"""),"EMP0237 Swarnendu Chakraborty")</f>
        <v>EMP0237 Swarnendu Chakraborty</v>
      </c>
      <c r="J304" s="91"/>
    </row>
    <row r="305">
      <c r="B305" s="76" t="str">
        <f>IFERROR(__xludf.DUMMYFUNCTION("""COMPUTED_VALUE"""),"Discussion with Requester                                                                           ")</f>
        <v>Discussion with Requester                                                                           </v>
      </c>
      <c r="C305" s="82">
        <f>IFERROR(__xludf.DUMMYFUNCTION("""COMPUTED_VALUE"""),5263.0)</f>
        <v>5263</v>
      </c>
      <c r="D305" s="76" t="str">
        <f>IFERROR(__xludf.DUMMYFUNCTION("""COMPUTED_VALUE"""),"marksheet new")</f>
        <v>marksheet new</v>
      </c>
      <c r="E305" s="84">
        <f>IFERROR(__xludf.DUMMYFUNCTION("""COMPUTED_VALUE"""),46189.62380967593)</f>
        <v>46189.62381</v>
      </c>
      <c r="F305" s="86">
        <f>IFERROR(__xludf.DUMMYFUNCTION("""COMPUTED_VALUE"""),46189.484747939816)</f>
        <v>46189.48475</v>
      </c>
      <c r="G305" s="86" t="str">
        <f>IFERROR(__xludf.DUMMYFUNCTION("""COMPUTED_VALUE"""),"Done")</f>
        <v>Done</v>
      </c>
      <c r="H305" s="88">
        <f>IFERROR(__xludf.DUMMYFUNCTION("""COMPUTED_VALUE"""),0.0)</f>
        <v>0</v>
      </c>
      <c r="I305" s="90" t="str">
        <f>IFERROR(__xludf.DUMMYFUNCTION("""COMPUTED_VALUE"""),"EMP0237 Swarnendu Chakraborty")</f>
        <v>EMP0237 Swarnendu Chakraborty</v>
      </c>
      <c r="J305" s="91"/>
    </row>
    <row r="306">
      <c r="B306" s="76" t="str">
        <f>IFERROR(__xludf.DUMMYFUNCTION("""COMPUTED_VALUE"""),"Discussion with Requester                                                                           ")</f>
        <v>Discussion with Requester                                                                           </v>
      </c>
      <c r="C306" s="82">
        <f>IFERROR(__xludf.DUMMYFUNCTION("""COMPUTED_VALUE"""),5264.0)</f>
        <v>5264</v>
      </c>
      <c r="D306" s="76" t="str">
        <f>IFERROR(__xludf.DUMMYFUNCTION("""COMPUTED_VALUE"""),"Marksheet")</f>
        <v>Marksheet</v>
      </c>
      <c r="E306" s="84">
        <f>IFERROR(__xludf.DUMMYFUNCTION("""COMPUTED_VALUE"""),46189.62571667824)</f>
        <v>46189.62572</v>
      </c>
      <c r="F306" s="86">
        <f>IFERROR(__xludf.DUMMYFUNCTION("""COMPUTED_VALUE"""),46189.48483611111)</f>
        <v>46189.48484</v>
      </c>
      <c r="G306" s="86" t="str">
        <f>IFERROR(__xludf.DUMMYFUNCTION("""COMPUTED_VALUE"""),"Done")</f>
        <v>Done</v>
      </c>
      <c r="H306" s="88">
        <f>IFERROR(__xludf.DUMMYFUNCTION("""COMPUTED_VALUE"""),0.0)</f>
        <v>0</v>
      </c>
      <c r="I306" s="90" t="str">
        <f>IFERROR(__xludf.DUMMYFUNCTION("""COMPUTED_VALUE"""),"EMP5009 Rup Kumar Mandal")</f>
        <v>EMP5009 Rup Kumar Mandal</v>
      </c>
      <c r="J306" s="91"/>
    </row>
    <row r="307">
      <c r="B307" s="76" t="str">
        <f>IFERROR(__xludf.DUMMYFUNCTION("""COMPUTED_VALUE"""),"Discussion with Requester                                                                           ")</f>
        <v>Discussion with Requester                                                                           </v>
      </c>
      <c r="C307" s="82">
        <f>IFERROR(__xludf.DUMMYFUNCTION("""COMPUTED_VALUE"""),5265.0)</f>
        <v>5265</v>
      </c>
      <c r="D307" s="76" t="str">
        <f>IFERROR(__xludf.DUMMYFUNCTION("""COMPUTED_VALUE"""),"payment report")</f>
        <v>payment report</v>
      </c>
      <c r="E307" s="84">
        <f>IFERROR(__xludf.DUMMYFUNCTION("""COMPUTED_VALUE"""),46189.62797835648)</f>
        <v>46189.62798</v>
      </c>
      <c r="F307" s="86">
        <f>IFERROR(__xludf.DUMMYFUNCTION("""COMPUTED_VALUE"""),46189.48845642361)</f>
        <v>46189.48846</v>
      </c>
      <c r="G307" s="86" t="str">
        <f>IFERROR(__xludf.DUMMYFUNCTION("""COMPUTED_VALUE"""),"Done")</f>
        <v>Done</v>
      </c>
      <c r="H307" s="88">
        <f>IFERROR(__xludf.DUMMYFUNCTION("""COMPUTED_VALUE"""),0.0)</f>
        <v>0</v>
      </c>
      <c r="I307" s="90" t="str">
        <f>IFERROR(__xludf.DUMMYFUNCTION("""COMPUTED_VALUE"""),"EMP5009 Rup Kumar Mandal")</f>
        <v>EMP5009 Rup Kumar Mandal</v>
      </c>
      <c r="J307" s="91"/>
    </row>
    <row r="308">
      <c r="B308" s="76" t="str">
        <f>IFERROR(__xludf.DUMMYFUNCTION("""COMPUTED_VALUE"""),"Discussion with Requester                                                                           ")</f>
        <v>Discussion with Requester                                                                           </v>
      </c>
      <c r="C308" s="82">
        <f>IFERROR(__xludf.DUMMYFUNCTION("""COMPUTED_VALUE"""),5266.0)</f>
        <v>5266</v>
      </c>
      <c r="D308" s="76" t="str">
        <f>IFERROR(__xludf.DUMMYFUNCTION("""COMPUTED_VALUE"""),"B.Pharm 4th Semester  Session - 2024-25 (S) TR correction.")</f>
        <v>B.Pharm 4th Semester  Session - 2024-25 (S) TR correction.</v>
      </c>
      <c r="E308" s="84">
        <f>IFERROR(__xludf.DUMMYFUNCTION("""COMPUTED_VALUE"""),46189.76797594908)</f>
        <v>46189.76798</v>
      </c>
      <c r="F308" s="86">
        <f>IFERROR(__xludf.DUMMYFUNCTION("""COMPUTED_VALUE"""),46189.625551655095)</f>
        <v>46189.62555</v>
      </c>
      <c r="G308" s="86" t="str">
        <f>IFERROR(__xludf.DUMMYFUNCTION("""COMPUTED_VALUE"""),"Done")</f>
        <v>Done</v>
      </c>
      <c r="H308" s="88">
        <f>IFERROR(__xludf.DUMMYFUNCTION("""COMPUTED_VALUE"""),0.0)</f>
        <v>0</v>
      </c>
      <c r="I308" s="90" t="str">
        <f>IFERROR(__xludf.DUMMYFUNCTION("""COMPUTED_VALUE"""),"EMP5009 Rup Kumar Mandal")</f>
        <v>EMP5009 Rup Kumar Mandal</v>
      </c>
      <c r="J308" s="91"/>
    </row>
    <row r="309">
      <c r="B309" s="76" t="str">
        <f>IFERROR(__xludf.DUMMYFUNCTION("""COMPUTED_VALUE"""),"Discussion with Requester                                                                           ")</f>
        <v>Discussion with Requester                                                                           </v>
      </c>
      <c r="C309" s="82">
        <f>IFERROR(__xludf.DUMMYFUNCTION("""COMPUTED_VALUE"""),5267.0)</f>
        <v>5267</v>
      </c>
      <c r="D309" s="76" t="str">
        <f>IFERROR(__xludf.DUMMYFUNCTION("""COMPUTED_VALUE"""),"	NURSING GRADE CARD")</f>
        <v>	NURSING GRADE CARD</v>
      </c>
      <c r="E309" s="84">
        <f>IFERROR(__xludf.DUMMYFUNCTION("""COMPUTED_VALUE"""),46190.44305555556)</f>
        <v>46190.44306</v>
      </c>
      <c r="F309" s="86">
        <f>IFERROR(__xludf.DUMMYFUNCTION("""COMPUTED_VALUE"""),46189.81911773148)</f>
        <v>46189.81912</v>
      </c>
      <c r="G309" s="86" t="str">
        <f>IFERROR(__xludf.DUMMYFUNCTION("""COMPUTED_VALUE"""),"Done")</f>
        <v>Done</v>
      </c>
      <c r="H309" s="88">
        <f>IFERROR(__xludf.DUMMYFUNCTION("""COMPUTED_VALUE"""),0.0)</f>
        <v>0</v>
      </c>
      <c r="I309" s="90" t="str">
        <f>IFERROR(__xludf.DUMMYFUNCTION("""COMPUTED_VALUE"""),"EMP0042 HULESHWAR KUMAR SAHU")</f>
        <v>EMP0042 HULESHWAR KUMAR SAHU</v>
      </c>
      <c r="J309" s="91"/>
    </row>
    <row r="310">
      <c r="B310" s="76" t="str">
        <f>IFERROR(__xludf.DUMMYFUNCTION("""COMPUTED_VALUE"""),"Discussion with Requester                                                                           ")</f>
        <v>Discussion with Requester                                                                           </v>
      </c>
      <c r="C310" s="82">
        <f>IFERROR(__xludf.DUMMYFUNCTION("""COMPUTED_VALUE"""),5268.0)</f>
        <v>5268</v>
      </c>
      <c r="D310" s="76" t="str">
        <f>IFERROR(__xludf.DUMMYFUNCTION("""COMPUTED_VALUE"""),"Mark Foil for Teacher")</f>
        <v>Mark Foil for Teacher</v>
      </c>
      <c r="E310" s="84">
        <f>IFERROR(__xludf.DUMMYFUNCTION("""COMPUTED_VALUE"""),46190.649326307874)</f>
        <v>46190.64933</v>
      </c>
      <c r="F310" s="86">
        <f>IFERROR(__xludf.DUMMYFUNCTION("""COMPUTED_VALUE"""),46190.5109540625)</f>
        <v>46190.51095</v>
      </c>
      <c r="G310" s="86" t="str">
        <f>IFERROR(__xludf.DUMMYFUNCTION("""COMPUTED_VALUE"""),"Done")</f>
        <v>Done</v>
      </c>
      <c r="H310" s="88">
        <f>IFERROR(__xludf.DUMMYFUNCTION("""COMPUTED_VALUE"""),0.0)</f>
        <v>0</v>
      </c>
      <c r="I310" s="90" t="str">
        <f>IFERROR(__xludf.DUMMYFUNCTION("""COMPUTED_VALUE"""),"EMP0042 HULESHWAR KUMAR SAHU")</f>
        <v>EMP0042 HULESHWAR KUMAR SAHU</v>
      </c>
      <c r="J310" s="91"/>
    </row>
    <row r="311">
      <c r="B311" s="76" t="str">
        <f>IFERROR(__xludf.DUMMYFUNCTION("""COMPUTED_VALUE"""),"Discussion with Requester                                                                           ")</f>
        <v>Discussion with Requester                                                                           </v>
      </c>
      <c r="C311" s="82">
        <f>IFERROR(__xludf.DUMMYFUNCTION("""COMPUTED_VALUE"""),5269.0)</f>
        <v>5269</v>
      </c>
      <c r="D311" s="76" t="str">
        <f>IFERROR(__xludf.DUMMYFUNCTION("""COMPUTED_VALUE"""),"30,013,382")</f>
        <v>30,013,382</v>
      </c>
      <c r="E311" s="84">
        <f>IFERROR(__xludf.DUMMYFUNCTION("""COMPUTED_VALUE"""),46190.78487065972)</f>
        <v>46190.78487</v>
      </c>
      <c r="F311" s="86">
        <f>IFERROR(__xludf.DUMMYFUNCTION("""COMPUTED_VALUE"""),46190.72489045139)</f>
        <v>46190.72489</v>
      </c>
      <c r="G311" s="86" t="str">
        <f>IFERROR(__xludf.DUMMYFUNCTION("""COMPUTED_VALUE"""),"Done")</f>
        <v>Done</v>
      </c>
      <c r="H311" s="88">
        <f>IFERROR(__xludf.DUMMYFUNCTION("""COMPUTED_VALUE"""),0.0)</f>
        <v>0</v>
      </c>
      <c r="I311" s="90" t="str">
        <f>IFERROR(__xludf.DUMMYFUNCTION("""COMPUTED_VALUE"""),"EMP0042 HULESHWAR KUMAR SAHU")</f>
        <v>EMP0042 HULESHWAR KUMAR SAHU</v>
      </c>
      <c r="J311" s="91"/>
    </row>
    <row r="312">
      <c r="B312" s="76" t="str">
        <f>IFERROR(__xludf.DUMMYFUNCTION("""COMPUTED_VALUE"""),"Discussion with Requester                                                                           ")</f>
        <v>Discussion with Requester                                                                           </v>
      </c>
      <c r="C312" s="82">
        <f>IFERROR(__xludf.DUMMYFUNCTION("""COMPUTED_VALUE"""),5270.0)</f>
        <v>5270</v>
      </c>
      <c r="D312" s="76" t="str">
        <f>IFERROR(__xludf.DUMMYFUNCTION("""COMPUTED_VALUE"""),"NEP DIGI LOCKER DATA CORRECTION")</f>
        <v>NEP DIGI LOCKER DATA CORRECTION</v>
      </c>
      <c r="E312" s="84">
        <f>IFERROR(__xludf.DUMMYFUNCTION("""COMPUTED_VALUE"""),46190.819607013895)</f>
        <v>46190.81961</v>
      </c>
      <c r="F312" s="86">
        <f>IFERROR(__xludf.DUMMYFUNCTION("""COMPUTED_VALUE"""),46190.724920243054)</f>
        <v>46190.72492</v>
      </c>
      <c r="G312" s="86" t="str">
        <f>IFERROR(__xludf.DUMMYFUNCTION("""COMPUTED_VALUE"""),"Done")</f>
        <v>Done</v>
      </c>
      <c r="H312" s="88">
        <f>IFERROR(__xludf.DUMMYFUNCTION("""COMPUTED_VALUE"""),0.0)</f>
        <v>0</v>
      </c>
      <c r="I312" s="90" t="str">
        <f>IFERROR(__xludf.DUMMYFUNCTION("""COMPUTED_VALUE"""),"EMP0042 HULESHWAR KUMAR SAHU")</f>
        <v>EMP0042 HULESHWAR KUMAR SAHU</v>
      </c>
      <c r="J312" s="91"/>
    </row>
    <row r="313">
      <c r="B313" s="76" t="str">
        <f>IFERROR(__xludf.DUMMYFUNCTION("""COMPUTED_VALUE"""),"Discussion with Requester                                                                           ")</f>
        <v>Discussion with Requester                                                                           </v>
      </c>
      <c r="C313" s="82">
        <f>IFERROR(__xludf.DUMMYFUNCTION("""COMPUTED_VALUE"""),5271.0)</f>
        <v>5271</v>
      </c>
      <c r="D313" s="76" t="str">
        <f>IFERROR(__xludf.DUMMYFUNCTION("""COMPUTED_VALUE"""),"NAD ")</f>
        <v>NAD </v>
      </c>
      <c r="E313" s="84">
        <f>IFERROR(__xludf.DUMMYFUNCTION("""COMPUTED_VALUE"""),46191.67890063658)</f>
        <v>46191.6789</v>
      </c>
      <c r="F313" s="86">
        <f>IFERROR(__xludf.DUMMYFUNCTION("""COMPUTED_VALUE"""),46191.513196099535)</f>
        <v>46191.5132</v>
      </c>
      <c r="G313" s="86" t="str">
        <f>IFERROR(__xludf.DUMMYFUNCTION("""COMPUTED_VALUE"""),"Done")</f>
        <v>Done</v>
      </c>
      <c r="H313" s="88">
        <f>IFERROR(__xludf.DUMMYFUNCTION("""COMPUTED_VALUE"""),0.0)</f>
        <v>0</v>
      </c>
      <c r="I313" s="90" t="str">
        <f>IFERROR(__xludf.DUMMYFUNCTION("""COMPUTED_VALUE"""),"EMP5009 Rup Kumar Mandal")</f>
        <v>EMP5009 Rup Kumar Mandal</v>
      </c>
      <c r="J313" s="91"/>
    </row>
    <row r="314">
      <c r="B314" s="76" t="str">
        <f>IFERROR(__xludf.DUMMYFUNCTION("""COMPUTED_VALUE"""),"Discussion with Requester                                                                           ")</f>
        <v>Discussion with Requester                                                                           </v>
      </c>
      <c r="C314" s="82">
        <f>IFERROR(__xludf.DUMMYFUNCTION("""COMPUTED_VALUE"""),5272.0)</f>
        <v>5272</v>
      </c>
      <c r="D314" s="76" t="str">
        <f>IFERROR(__xludf.DUMMYFUNCTION("""COMPUTED_VALUE"""),"students data")</f>
        <v>students data</v>
      </c>
      <c r="E314" s="84">
        <f>IFERROR(__xludf.DUMMYFUNCTION("""COMPUTED_VALUE"""),46191.68488363426)</f>
        <v>46191.68488</v>
      </c>
      <c r="F314" s="86">
        <f>IFERROR(__xludf.DUMMYFUNCTION("""COMPUTED_VALUE"""),46191.521009780095)</f>
        <v>46191.52101</v>
      </c>
      <c r="G314" s="86" t="str">
        <f>IFERROR(__xludf.DUMMYFUNCTION("""COMPUTED_VALUE"""),"Done")</f>
        <v>Done</v>
      </c>
      <c r="H314" s="88">
        <f>IFERROR(__xludf.DUMMYFUNCTION("""COMPUTED_VALUE"""),0.0)</f>
        <v>0</v>
      </c>
      <c r="I314" s="90" t="str">
        <f>IFERROR(__xludf.DUMMYFUNCTION("""COMPUTED_VALUE"""),"EMP0042 HULESHWAR KUMAR SAHU")</f>
        <v>EMP0042 HULESHWAR KUMAR SAHU</v>
      </c>
      <c r="J314" s="91"/>
    </row>
    <row r="315">
      <c r="B315" s="76" t="str">
        <f>IFERROR(__xludf.DUMMYFUNCTION("""COMPUTED_VALUE"""),"Discussion with Requester                                                                           ")</f>
        <v>Discussion with Requester                                                                           </v>
      </c>
      <c r="C315" s="82">
        <f>IFERROR(__xludf.DUMMYFUNCTION("""COMPUTED_VALUE"""),5273.0)</f>
        <v>5273</v>
      </c>
      <c r="D315" s="76" t="str">
        <f>IFERROR(__xludf.DUMMYFUNCTION("""COMPUTED_VALUE"""),"P.G 2nd Sem Attendance Sheet Blank Session-2025-2027")</f>
        <v>P.G 2nd Sem Attendance Sheet Blank Session-2025-2027</v>
      </c>
      <c r="E315" s="84">
        <f>IFERROR(__xludf.DUMMYFUNCTION("""COMPUTED_VALUE"""),46192.64722222222)</f>
        <v>46192.64722</v>
      </c>
      <c r="F315" s="86">
        <f>IFERROR(__xludf.DUMMYFUNCTION("""COMPUTED_VALUE"""),46192.49039790509)</f>
        <v>46192.4904</v>
      </c>
      <c r="G315" s="86" t="str">
        <f>IFERROR(__xludf.DUMMYFUNCTION("""COMPUTED_VALUE"""),"Done")</f>
        <v>Done</v>
      </c>
      <c r="H315" s="88">
        <f>IFERROR(__xludf.DUMMYFUNCTION("""COMPUTED_VALUE"""),0.0)</f>
        <v>0</v>
      </c>
      <c r="I315" s="90" t="str">
        <f>IFERROR(__xludf.DUMMYFUNCTION("""COMPUTED_VALUE"""),"EMP5009 Rup Kumar Mandal")</f>
        <v>EMP5009 Rup Kumar Mandal</v>
      </c>
      <c r="J315" s="91"/>
    </row>
    <row r="316">
      <c r="B316" s="76" t="str">
        <f>IFERROR(__xludf.DUMMYFUNCTION("""COMPUTED_VALUE"""),"Discussion with Requester                                                                           ")</f>
        <v>Discussion with Requester                                                                           </v>
      </c>
      <c r="C316" s="82">
        <f>IFERROR(__xludf.DUMMYFUNCTION("""COMPUTED_VALUE"""),5274.0)</f>
        <v>5274</v>
      </c>
      <c r="D316" s="76" t="str">
        <f>IFERROR(__xludf.DUMMYFUNCTION("""COMPUTED_VALUE"""),"studnet subject mapping ")</f>
        <v>studnet subject mapping </v>
      </c>
      <c r="E316" s="84">
        <f>IFERROR(__xludf.DUMMYFUNCTION("""COMPUTED_VALUE"""),46192.778720752314)</f>
        <v>46192.77872</v>
      </c>
      <c r="F316" s="86">
        <f>IFERROR(__xludf.DUMMYFUNCTION("""COMPUTED_VALUE"""),46192.61469681713)</f>
        <v>46192.6147</v>
      </c>
      <c r="G316" s="86" t="str">
        <f>IFERROR(__xludf.DUMMYFUNCTION("""COMPUTED_VALUE"""),"Done")</f>
        <v>Done</v>
      </c>
      <c r="H316" s="88">
        <f>IFERROR(__xludf.DUMMYFUNCTION("""COMPUTED_VALUE"""),0.0)</f>
        <v>0</v>
      </c>
      <c r="I316" s="90" t="str">
        <f>IFERROR(__xludf.DUMMYFUNCTION("""COMPUTED_VALUE"""),"EMP0042 HULESHWAR KUMAR SAHU")</f>
        <v>EMP0042 HULESHWAR KUMAR SAHU</v>
      </c>
      <c r="J316" s="91"/>
    </row>
    <row r="317">
      <c r="B317" s="76" t="str">
        <f>IFERROR(__xludf.DUMMYFUNCTION("""COMPUTED_VALUE"""),"Discussion with Requester                                                                           ")</f>
        <v>Discussion with Requester                                                                           </v>
      </c>
      <c r="C317" s="82">
        <f>IFERROR(__xludf.DUMMYFUNCTION("""COMPUTED_VALUE"""),5275.0)</f>
        <v>5275</v>
      </c>
      <c r="D317" s="76" t="str">
        <f>IFERROR(__xludf.DUMMYFUNCTION("""COMPUTED_VALUE"""),"NEP DIGI LOCKER CORRECTION")</f>
        <v>NEP DIGI LOCKER CORRECTION</v>
      </c>
      <c r="E317" s="84">
        <f>IFERROR(__xludf.DUMMYFUNCTION("""COMPUTED_VALUE"""),46193.44930555555)</f>
        <v>46193.44931</v>
      </c>
      <c r="F317" s="86">
        <f>IFERROR(__xludf.DUMMYFUNCTION("""COMPUTED_VALUE"""),46192.75037886574)</f>
        <v>46192.75038</v>
      </c>
      <c r="G317" s="86" t="str">
        <f>IFERROR(__xludf.DUMMYFUNCTION("""COMPUTED_VALUE"""),"Done")</f>
        <v>Done</v>
      </c>
      <c r="H317" s="88">
        <f>IFERROR(__xludf.DUMMYFUNCTION("""COMPUTED_VALUE"""),0.0)</f>
        <v>0</v>
      </c>
      <c r="I317" s="90" t="str">
        <f>IFERROR(__xludf.DUMMYFUNCTION("""COMPUTED_VALUE"""),"EMP0042 HULESHWAR KUMAR SAHU")</f>
        <v>EMP0042 HULESHWAR KUMAR SAHU</v>
      </c>
      <c r="J317" s="91"/>
    </row>
    <row r="318">
      <c r="B318" s="76" t="str">
        <f>IFERROR(__xludf.DUMMYFUNCTION("""COMPUTED_VALUE"""),"Discussion with Requester                                                                           ")</f>
        <v>Discussion with Requester                                                                           </v>
      </c>
      <c r="C318" s="82">
        <f>IFERROR(__xludf.DUMMYFUNCTION("""COMPUTED_VALUE"""),5276.0)</f>
        <v>5276</v>
      </c>
      <c r="D318" s="76" t="str">
        <f>IFERROR(__xludf.DUMMYFUNCTION("""COMPUTED_VALUE"""),"	TR PARAMEDICAL Old Logic")</f>
        <v>	TR PARAMEDICAL Old Logic</v>
      </c>
      <c r="E318" s="84">
        <f>IFERROR(__xludf.DUMMYFUNCTION("""COMPUTED_VALUE"""),46193.475694444445)</f>
        <v>46193.47569</v>
      </c>
      <c r="F318" s="86">
        <f>IFERROR(__xludf.DUMMYFUNCTION("""COMPUTED_VALUE"""),46192.75040523148)</f>
        <v>46192.75041</v>
      </c>
      <c r="G318" s="86" t="str">
        <f>IFERROR(__xludf.DUMMYFUNCTION("""COMPUTED_VALUE"""),"Done")</f>
        <v>Done</v>
      </c>
      <c r="H318" s="88">
        <f>IFERROR(__xludf.DUMMYFUNCTION("""COMPUTED_VALUE"""),0.0)</f>
        <v>0</v>
      </c>
      <c r="I318" s="90" t="str">
        <f>IFERROR(__xludf.DUMMYFUNCTION("""COMPUTED_VALUE"""),"EMP0042 HULESHWAR KUMAR SAHU")</f>
        <v>EMP0042 HULESHWAR KUMAR SAHU</v>
      </c>
      <c r="J318" s="91"/>
    </row>
    <row r="319">
      <c r="B319" s="76" t="str">
        <f>IFERROR(__xludf.DUMMYFUNCTION("""COMPUTED_VALUE"""),"Discussion with Requester                                                                           ")</f>
        <v>Discussion with Requester                                                                           </v>
      </c>
      <c r="C319" s="82">
        <f>IFERROR(__xludf.DUMMYFUNCTION("""COMPUTED_VALUE"""),5277.0)</f>
        <v>5277</v>
      </c>
      <c r="D319" s="76" t="str">
        <f>IFERROR(__xludf.DUMMYFUNCTION("""COMPUTED_VALUE"""),"packet_detail_report.jasper")</f>
        <v>packet_detail_report.jasper</v>
      </c>
      <c r="E319" s="84">
        <f>IFERROR(__xludf.DUMMYFUNCTION("""COMPUTED_VALUE"""),46193.71199113426)</f>
        <v>46193.71199</v>
      </c>
      <c r="F319" s="86">
        <f>IFERROR(__xludf.DUMMYFUNCTION("""COMPUTED_VALUE"""),46193.55734378472)</f>
        <v>46193.55734</v>
      </c>
      <c r="G319" s="86" t="str">
        <f>IFERROR(__xludf.DUMMYFUNCTION("""COMPUTED_VALUE"""),"Done")</f>
        <v>Done</v>
      </c>
      <c r="H319" s="88">
        <f>IFERROR(__xludf.DUMMYFUNCTION("""COMPUTED_VALUE"""),0.0)</f>
        <v>0</v>
      </c>
      <c r="I319" s="90" t="str">
        <f>IFERROR(__xludf.DUMMYFUNCTION("""COMPUTED_VALUE"""),"EMP5009 Rup Kumar Mandal")</f>
        <v>EMP5009 Rup Kumar Mandal</v>
      </c>
      <c r="J319" s="91"/>
    </row>
    <row r="320">
      <c r="B320" s="76" t="str">
        <f>IFERROR(__xludf.DUMMYFUNCTION("""COMPUTED_VALUE"""),"Discussion with Requester                                                                           ")</f>
        <v>Discussion with Requester                                                                           </v>
      </c>
      <c r="C320" s="82">
        <f>IFERROR(__xludf.DUMMYFUNCTION("""COMPUTED_VALUE"""),5278.0)</f>
        <v>5278</v>
      </c>
      <c r="D320" s="76" t="str">
        <f>IFERROR(__xludf.DUMMYFUNCTION("""COMPUTED_VALUE"""),"Evaluation report anna.")</f>
        <v>Evaluation report anna.</v>
      </c>
      <c r="E320" s="84">
        <f>IFERROR(__xludf.DUMMYFUNCTION("""COMPUTED_VALUE"""),46193.72749322916)</f>
        <v>46193.72749</v>
      </c>
      <c r="F320" s="86">
        <f>IFERROR(__xludf.DUMMYFUNCTION("""COMPUTED_VALUE"""),46193.6525017824)</f>
        <v>46193.6525</v>
      </c>
      <c r="G320" s="86" t="str">
        <f>IFERROR(__xludf.DUMMYFUNCTION("""COMPUTED_VALUE"""),"Done")</f>
        <v>Done</v>
      </c>
      <c r="H320" s="88">
        <f>IFERROR(__xludf.DUMMYFUNCTION("""COMPUTED_VALUE"""),0.0)</f>
        <v>0</v>
      </c>
      <c r="I320" s="90" t="str">
        <f>IFERROR(__xludf.DUMMYFUNCTION("""COMPUTED_VALUE"""),"EMP5009 Rup Kumar Mandal")</f>
        <v>EMP5009 Rup Kumar Mandal</v>
      </c>
      <c r="J320" s="91"/>
    </row>
    <row r="321">
      <c r="B321" s="76" t="str">
        <f>IFERROR(__xludf.DUMMYFUNCTION("""COMPUTED_VALUE"""),"Discussion with Requester                                                                           ")</f>
        <v>Discussion with Requester                                                                           </v>
      </c>
      <c r="C321" s="82">
        <f>IFERROR(__xludf.DUMMYFUNCTION("""COMPUTED_VALUE"""),5279.0)</f>
        <v>5279</v>
      </c>
      <c r="D321" s="76" t="str">
        <f>IFERROR(__xludf.DUMMYFUNCTION("""COMPUTED_VALUE"""),"SMKV")</f>
        <v>SMKV</v>
      </c>
      <c r="E321" s="84">
        <f>IFERROR(__xludf.DUMMYFUNCTION("""COMPUTED_VALUE"""),46193.82745263889)</f>
        <v>46193.82745</v>
      </c>
      <c r="F321" s="86">
        <f>IFERROR(__xludf.DUMMYFUNCTION("""COMPUTED_VALUE"""),46193.69802855324)</f>
        <v>46193.69803</v>
      </c>
      <c r="G321" s="86" t="str">
        <f>IFERROR(__xludf.DUMMYFUNCTION("""COMPUTED_VALUE"""),"Done")</f>
        <v>Done</v>
      </c>
      <c r="H321" s="88">
        <f>IFERROR(__xludf.DUMMYFUNCTION("""COMPUTED_VALUE"""),0.0)</f>
        <v>0</v>
      </c>
      <c r="I321" s="90" t="str">
        <f>IFERROR(__xludf.DUMMYFUNCTION("""COMPUTED_VALUE"""),"EMP0042 HULESHWAR KUMAR SAHU")</f>
        <v>EMP0042 HULESHWAR KUMAR SAHU</v>
      </c>
      <c r="J321" s="91"/>
    </row>
    <row r="322">
      <c r="B322" s="76" t="str">
        <f>IFERROR(__xludf.DUMMYFUNCTION("""COMPUTED_VALUE"""),"Discussion with Requester                                                                           ")</f>
        <v>Discussion with Requester                                                                           </v>
      </c>
      <c r="C322" s="82">
        <f>IFERROR(__xludf.DUMMYFUNCTION("""COMPUTED_VALUE"""),5280.0)</f>
        <v>5280</v>
      </c>
      <c r="D322" s="76" t="str">
        <f>IFERROR(__xludf.DUMMYFUNCTION("""COMPUTED_VALUE"""),"SMKV ")</f>
        <v>SMKV </v>
      </c>
      <c r="E322" s="84">
        <f>IFERROR(__xludf.DUMMYFUNCTION("""COMPUTED_VALUE"""),46193.82826954861)</f>
        <v>46193.82827</v>
      </c>
      <c r="F322" s="86">
        <f>IFERROR(__xludf.DUMMYFUNCTION("""COMPUTED_VALUE"""),46193.69805071759)</f>
        <v>46193.69805</v>
      </c>
      <c r="G322" s="86" t="str">
        <f>IFERROR(__xludf.DUMMYFUNCTION("""COMPUTED_VALUE"""),"Done")</f>
        <v>Done</v>
      </c>
      <c r="H322" s="88">
        <f>IFERROR(__xludf.DUMMYFUNCTION("""COMPUTED_VALUE"""),0.0)</f>
        <v>0</v>
      </c>
      <c r="I322" s="90" t="str">
        <f>IFERROR(__xludf.DUMMYFUNCTION("""COMPUTED_VALUE"""),"EMP0042 HULESHWAR KUMAR SAHU")</f>
        <v>EMP0042 HULESHWAR KUMAR SAHU</v>
      </c>
      <c r="J322" s="91"/>
    </row>
    <row r="323">
      <c r="B323" s="76" t="str">
        <f>IFERROR(__xludf.DUMMYFUNCTION("""COMPUTED_VALUE"""),"Discussion with Requester                                                                           ")</f>
        <v>Discussion with Requester                                                                           </v>
      </c>
      <c r="C323" s="82">
        <f>IFERROR(__xludf.DUMMYFUNCTION("""COMPUTED_VALUE"""),5281.0)</f>
        <v>5281</v>
      </c>
      <c r="D323" s="76" t="str">
        <f>IFERROR(__xludf.DUMMYFUNCTION("""COMPUTED_VALUE"""),"SMKV")</f>
        <v>SMKV</v>
      </c>
      <c r="E323" s="84">
        <f>IFERROR(__xludf.DUMMYFUNCTION("""COMPUTED_VALUE"""),46193.8291290625)</f>
        <v>46193.82913</v>
      </c>
      <c r="F323" s="86">
        <f>IFERROR(__xludf.DUMMYFUNCTION("""COMPUTED_VALUE"""),46193.69806954861)</f>
        <v>46193.69807</v>
      </c>
      <c r="G323" s="86" t="str">
        <f>IFERROR(__xludf.DUMMYFUNCTION("""COMPUTED_VALUE"""),"Done")</f>
        <v>Done</v>
      </c>
      <c r="H323" s="88">
        <f>IFERROR(__xludf.DUMMYFUNCTION("""COMPUTED_VALUE"""),0.0)</f>
        <v>0</v>
      </c>
      <c r="I323" s="90" t="str">
        <f>IFERROR(__xludf.DUMMYFUNCTION("""COMPUTED_VALUE"""),"EMP0042 HULESHWAR KUMAR SAHU")</f>
        <v>EMP0042 HULESHWAR KUMAR SAHU</v>
      </c>
      <c r="J323" s="91"/>
    </row>
    <row r="324">
      <c r="B324" s="76" t="str">
        <f>IFERROR(__xludf.DUMMYFUNCTION("""COMPUTED_VALUE"""),"Discussion with Requester                                                                           ")</f>
        <v>Discussion with Requester                                                                           </v>
      </c>
      <c r="C324" s="82">
        <f>IFERROR(__xludf.DUMMYFUNCTION("""COMPUTED_VALUE"""),5282.0)</f>
        <v>5282</v>
      </c>
      <c r="D324" s="76" t="str">
        <f>IFERROR(__xludf.DUMMYFUNCTION("""COMPUTED_VALUE"""),"Manual_Cash_Counter")</f>
        <v>Manual_Cash_Counter</v>
      </c>
      <c r="E324" s="84">
        <f>IFERROR(__xludf.DUMMYFUNCTION("""COMPUTED_VALUE"""),46195.691083749996)</f>
        <v>46195.69108</v>
      </c>
      <c r="F324" s="86">
        <f>IFERROR(__xludf.DUMMYFUNCTION("""COMPUTED_VALUE"""),46195.61792831018)</f>
        <v>46195.61793</v>
      </c>
      <c r="G324" s="86" t="str">
        <f>IFERROR(__xludf.DUMMYFUNCTION("""COMPUTED_VALUE"""),"Done")</f>
        <v>Done</v>
      </c>
      <c r="H324" s="88">
        <f>IFERROR(__xludf.DUMMYFUNCTION("""COMPUTED_VALUE"""),0.0)</f>
        <v>0</v>
      </c>
      <c r="I324" s="90" t="str">
        <f>IFERROR(__xludf.DUMMYFUNCTION("""COMPUTED_VALUE"""),"EMP5009 Rup Kumar Mandal")</f>
        <v>EMP5009 Rup Kumar Mandal</v>
      </c>
      <c r="J324" s="91"/>
    </row>
    <row r="325">
      <c r="B325" s="76" t="str">
        <f>IFERROR(__xludf.DUMMYFUNCTION("""COMPUTED_VALUE"""),"Discussion with Requester                                                                           ")</f>
        <v>Discussion with Requester                                                                           </v>
      </c>
      <c r="C325" s="82">
        <f>IFERROR(__xludf.DUMMYFUNCTION("""COMPUTED_VALUE"""),5283.0)</f>
        <v>5283</v>
      </c>
      <c r="D325" s="76" t="str">
        <f>IFERROR(__xludf.DUMMYFUNCTION("""COMPUTED_VALUE"""),"Studentwise Cash Counter")</f>
        <v>Studentwise Cash Counter</v>
      </c>
      <c r="E325" s="84">
        <f>IFERROR(__xludf.DUMMYFUNCTION("""COMPUTED_VALUE"""),46195.69201704861)</f>
        <v>46195.69202</v>
      </c>
      <c r="F325" s="86">
        <f>IFERROR(__xludf.DUMMYFUNCTION("""COMPUTED_VALUE"""),46195.617928541666)</f>
        <v>46195.61793</v>
      </c>
      <c r="G325" s="86" t="str">
        <f>IFERROR(__xludf.DUMMYFUNCTION("""COMPUTED_VALUE"""),"Done")</f>
        <v>Done</v>
      </c>
      <c r="H325" s="88">
        <f>IFERROR(__xludf.DUMMYFUNCTION("""COMPUTED_VALUE"""),0.0)</f>
        <v>0</v>
      </c>
      <c r="I325" s="90" t="str">
        <f>IFERROR(__xludf.DUMMYFUNCTION("""COMPUTED_VALUE"""),"EMP5009 Rup Kumar Mandal")</f>
        <v>EMP5009 Rup Kumar Mandal</v>
      </c>
      <c r="J325" s="91"/>
    </row>
    <row r="326">
      <c r="B326" s="76" t="str">
        <f>IFERROR(__xludf.DUMMYFUNCTION("""COMPUTED_VALUE"""),"Discussion with Requester                                                                           ")</f>
        <v>Discussion with Requester                                                                           </v>
      </c>
      <c r="C326" s="82">
        <f>IFERROR(__xludf.DUMMYFUNCTION("""COMPUTED_VALUE"""),5284.0)</f>
        <v>5284</v>
      </c>
      <c r="D326" s="76" t="str">
        <f>IFERROR(__xludf.DUMMYFUNCTION("""COMPUTED_VALUE"""),"evaluation report anna.")</f>
        <v>evaluation report anna.</v>
      </c>
      <c r="E326" s="84">
        <f>IFERROR(__xludf.DUMMYFUNCTION("""COMPUTED_VALUE"""),46195.81782945602)</f>
        <v>46195.81783</v>
      </c>
      <c r="F326" s="86">
        <f>IFERROR(__xludf.DUMMYFUNCTION("""COMPUTED_VALUE"""),46195.718242696756)</f>
        <v>46195.71824</v>
      </c>
      <c r="G326" s="86" t="str">
        <f>IFERROR(__xludf.DUMMYFUNCTION("""COMPUTED_VALUE"""),"Done")</f>
        <v>Done</v>
      </c>
      <c r="H326" s="88">
        <f>IFERROR(__xludf.DUMMYFUNCTION("""COMPUTED_VALUE"""),0.0)</f>
        <v>0</v>
      </c>
      <c r="I326" s="90" t="str">
        <f>IFERROR(__xludf.DUMMYFUNCTION("""COMPUTED_VALUE"""),"EMP5009 Rup Kumar Mandal")</f>
        <v>EMP5009 Rup Kumar Mandal</v>
      </c>
      <c r="J326" s="91"/>
    </row>
    <row r="327">
      <c r="B327" s="76" t="str">
        <f>IFERROR(__xludf.DUMMYFUNCTION("""COMPUTED_VALUE"""),"Discussion with Requester                                                                           ")</f>
        <v>Discussion with Requester                                                                           </v>
      </c>
      <c r="C327" s="82">
        <f>IFERROR(__xludf.DUMMYFUNCTION("""COMPUTED_VALUE"""),5285.0)</f>
        <v>5285</v>
      </c>
      <c r="D327" s="76" t="str">
        <f>IFERROR(__xludf.DUMMYFUNCTION("""COMPUTED_VALUE"""),"MULTIPLE REPORT")</f>
        <v>MULTIPLE REPORT</v>
      </c>
      <c r="E327" s="84">
        <f>IFERROR(__xludf.DUMMYFUNCTION("""COMPUTED_VALUE"""),46196.42291666666)</f>
        <v>46196.42292</v>
      </c>
      <c r="F327" s="86">
        <f>IFERROR(__xludf.DUMMYFUNCTION("""COMPUTED_VALUE"""),46195.71825232639)</f>
        <v>46195.71825</v>
      </c>
      <c r="G327" s="86" t="str">
        <f>IFERROR(__xludf.DUMMYFUNCTION("""COMPUTED_VALUE"""),"Done")</f>
        <v>Done</v>
      </c>
      <c r="H327" s="88">
        <f>IFERROR(__xludf.DUMMYFUNCTION("""COMPUTED_VALUE"""),0.0)</f>
        <v>0</v>
      </c>
      <c r="I327" s="90" t="str">
        <f>IFERROR(__xludf.DUMMYFUNCTION("""COMPUTED_VALUE"""),"EMP0042 HULESHWAR KUMAR SAHU")</f>
        <v>EMP0042 HULESHWAR KUMAR SAHU</v>
      </c>
      <c r="J327" s="91"/>
    </row>
    <row r="328">
      <c r="B328" s="76" t="str">
        <f>IFERROR(__xludf.DUMMYFUNCTION("""COMPUTED_VALUE"""),"Discussion with Requester                                                                           ")</f>
        <v>Discussion with Requester                                                                           </v>
      </c>
      <c r="C328" s="82">
        <f>IFERROR(__xludf.DUMMYFUNCTION("""COMPUTED_VALUE"""),5286.0)</f>
        <v>5286</v>
      </c>
      <c r="D328" s="76" t="str">
        <f>IFERROR(__xludf.DUMMYFUNCTION("""COMPUTED_VALUE"""),"2781")</f>
        <v>2781</v>
      </c>
      <c r="E328" s="84">
        <f>IFERROR(__xludf.DUMMYFUNCTION("""COMPUTED_VALUE"""),46196.755902731486)</f>
        <v>46196.7559</v>
      </c>
      <c r="F328" s="86">
        <f>IFERROR(__xludf.DUMMYFUNCTION("""COMPUTED_VALUE"""),46196.77794758102)</f>
        <v>46196.77795</v>
      </c>
      <c r="G328" s="86" t="str">
        <f>IFERROR(__xludf.DUMMYFUNCTION("""COMPUTED_VALUE"""),"Done")</f>
        <v>Done</v>
      </c>
      <c r="H328" s="88">
        <f>IFERROR(__xludf.DUMMYFUNCTION("""COMPUTED_VALUE"""),0.02204484954563668)</f>
        <v>0.02204484955</v>
      </c>
      <c r="I328" s="90" t="str">
        <f>IFERROR(__xludf.DUMMYFUNCTION("""COMPUTED_VALUE"""),"EMP5009 Rup Kumar Mandal")</f>
        <v>EMP5009 Rup Kumar Mandal</v>
      </c>
      <c r="J328" s="91"/>
    </row>
    <row r="329">
      <c r="B329" s="76" t="str">
        <f>IFERROR(__xludf.DUMMYFUNCTION("""COMPUTED_VALUE"""),"Discussion with Requester                                                                           ")</f>
        <v>Discussion with Requester                                                                           </v>
      </c>
      <c r="C329" s="82">
        <f>IFERROR(__xludf.DUMMYFUNCTION("""COMPUTED_VALUE"""),5287.0)</f>
        <v>5287</v>
      </c>
      <c r="D329" s="76" t="str">
        <f>IFERROR(__xludf.DUMMYFUNCTION("""COMPUTED_VALUE"""),"TR REPORT")</f>
        <v>TR REPORT</v>
      </c>
      <c r="E329" s="84">
        <f>IFERROR(__xludf.DUMMYFUNCTION("""COMPUTED_VALUE"""),46197.65346195601)</f>
        <v>46197.65346</v>
      </c>
      <c r="F329" s="86">
        <f>IFERROR(__xludf.DUMMYFUNCTION("""COMPUTED_VALUE"""),46197.490100532406)</f>
        <v>46197.4901</v>
      </c>
      <c r="G329" s="86" t="str">
        <f>IFERROR(__xludf.DUMMYFUNCTION("""COMPUTED_VALUE"""),"Done")</f>
        <v>Done</v>
      </c>
      <c r="H329" s="88">
        <f>IFERROR(__xludf.DUMMYFUNCTION("""COMPUTED_VALUE"""),0.0)</f>
        <v>0</v>
      </c>
      <c r="I329" s="90" t="str">
        <f>IFERROR(__xludf.DUMMYFUNCTION("""COMPUTED_VALUE"""),"EMP0237 Swarnendu Chakraborty")</f>
        <v>EMP0237 Swarnendu Chakraborty</v>
      </c>
      <c r="J329" s="91"/>
    </row>
    <row r="330">
      <c r="B330" s="76" t="str">
        <f>IFERROR(__xludf.DUMMYFUNCTION("""COMPUTED_VALUE"""),"Discussion with Requester                                                                           ")</f>
        <v>Discussion with Requester                                                                           </v>
      </c>
      <c r="C330" s="82">
        <f>IFERROR(__xludf.DUMMYFUNCTION("""COMPUTED_VALUE"""),5288.0)</f>
        <v>5288</v>
      </c>
      <c r="D330" s="76" t="str">
        <f>IFERROR(__xludf.DUMMYFUNCTION("""COMPUTED_VALUE"""),"5coltrsem6sem_elective_back_")</f>
        <v>5coltrsem6sem_elective_back_</v>
      </c>
      <c r="E330" s="84">
        <f>IFERROR(__xludf.DUMMYFUNCTION("""COMPUTED_VALUE"""),46197.683339490744)</f>
        <v>46197.68334</v>
      </c>
      <c r="F330" s="86">
        <f>IFERROR(__xludf.DUMMYFUNCTION("""COMPUTED_VALUE"""),46197.51777659722)</f>
        <v>46197.51778</v>
      </c>
      <c r="G330" s="86" t="str">
        <f>IFERROR(__xludf.DUMMYFUNCTION("""COMPUTED_VALUE"""),"Done")</f>
        <v>Done</v>
      </c>
      <c r="H330" s="88">
        <f>IFERROR(__xludf.DUMMYFUNCTION("""COMPUTED_VALUE"""),0.0)</f>
        <v>0</v>
      </c>
      <c r="I330" s="90" t="str">
        <f>IFERROR(__xludf.DUMMYFUNCTION("""COMPUTED_VALUE"""),"EMP0042 HULESHWAR KUMAR SAHU")</f>
        <v>EMP0042 HULESHWAR KUMAR SAHU</v>
      </c>
      <c r="J330" s="91"/>
    </row>
    <row r="331">
      <c r="B331" s="76" t="str">
        <f>IFERROR(__xludf.DUMMYFUNCTION("""COMPUTED_VALUE"""),"Discussion with Requester                                                                           ")</f>
        <v>Discussion with Requester                                                                           </v>
      </c>
      <c r="C331" s="82">
        <f>IFERROR(__xludf.DUMMYFUNCTION("""COMPUTED_VALUE"""),5289.0)</f>
        <v>5289</v>
      </c>
      <c r="D331" s="76" t="str">
        <f>IFERROR(__xludf.DUMMYFUNCTION("""COMPUTED_VALUE"""),"Marksheet (D.PHARMA)")</f>
        <v>Marksheet (D.PHARMA)</v>
      </c>
      <c r="E331" s="84">
        <f>IFERROR(__xludf.DUMMYFUNCTION("""COMPUTED_VALUE"""),46197.69233966435)</f>
        <v>46197.69234</v>
      </c>
      <c r="F331" s="86">
        <f>IFERROR(__xludf.DUMMYFUNCTION("""COMPUTED_VALUE"""),46197.54557239584)</f>
        <v>46197.54557</v>
      </c>
      <c r="G331" s="86" t="str">
        <f>IFERROR(__xludf.DUMMYFUNCTION("""COMPUTED_VALUE"""),"Done")</f>
        <v>Done</v>
      </c>
      <c r="H331" s="88">
        <f>IFERROR(__xludf.DUMMYFUNCTION("""COMPUTED_VALUE"""),0.0)</f>
        <v>0</v>
      </c>
      <c r="I331" s="90" t="str">
        <f>IFERROR(__xludf.DUMMYFUNCTION("""COMPUTED_VALUE"""),"EMP0042 HULESHWAR KUMAR SAHU")</f>
        <v>EMP0042 HULESHWAR KUMAR SAHU</v>
      </c>
      <c r="J331" s="91"/>
    </row>
    <row r="332">
      <c r="B332" s="76" t="str">
        <f>IFERROR(__xludf.DUMMYFUNCTION("""COMPUTED_VALUE"""),"Discussion with Requester                                                                           ")</f>
        <v>Discussion with Requester                                                                           </v>
      </c>
      <c r="C332" s="82">
        <f>IFERROR(__xludf.DUMMYFUNCTION("""COMPUTED_VALUE"""),5290.0)</f>
        <v>5290</v>
      </c>
      <c r="D332" s="76" t="str">
        <f>IFERROR(__xludf.DUMMYFUNCTION("""COMPUTED_VALUE"""),"gradaecard4-btech")</f>
        <v>gradaecard4-btech</v>
      </c>
      <c r="E332" s="84">
        <f>IFERROR(__xludf.DUMMYFUNCTION("""COMPUTED_VALUE"""),46197.70661082176)</f>
        <v>46197.70661</v>
      </c>
      <c r="F332" s="86">
        <f>IFERROR(__xludf.DUMMYFUNCTION("""COMPUTED_VALUE"""),46197.54561087963)</f>
        <v>46197.54561</v>
      </c>
      <c r="G332" s="86" t="str">
        <f>IFERROR(__xludf.DUMMYFUNCTION("""COMPUTED_VALUE"""),"Done")</f>
        <v>Done</v>
      </c>
      <c r="H332" s="88">
        <f>IFERROR(__xludf.DUMMYFUNCTION("""COMPUTED_VALUE"""),0.0)</f>
        <v>0</v>
      </c>
      <c r="I332" s="90" t="str">
        <f>IFERROR(__xludf.DUMMYFUNCTION("""COMPUTED_VALUE"""),"EMP0042 HULESHWAR KUMAR SAHU")</f>
        <v>EMP0042 HULESHWAR KUMAR SAHU</v>
      </c>
      <c r="J332" s="91"/>
    </row>
    <row r="333">
      <c r="B333" s="76" t="str">
        <f>IFERROR(__xludf.DUMMYFUNCTION("""COMPUTED_VALUE"""),"Discussion with Requester                                                                           ")</f>
        <v>Discussion with Requester                                                                           </v>
      </c>
      <c r="C333" s="82">
        <f>IFERROR(__xludf.DUMMYFUNCTION("""COMPUTED_VALUE"""),5291.0)</f>
        <v>5291</v>
      </c>
      <c r="D333" s="76" t="str">
        <f>IFERROR(__xludf.DUMMYFUNCTION("""COMPUTED_VALUE"""),"Student wise form report")</f>
        <v>Student wise form report</v>
      </c>
      <c r="E333" s="84">
        <f>IFERROR(__xludf.DUMMYFUNCTION("""COMPUTED_VALUE"""),46197.71871027778)</f>
        <v>46197.71871</v>
      </c>
      <c r="F333" s="86">
        <f>IFERROR(__xludf.DUMMYFUNCTION("""COMPUTED_VALUE"""),46197.56126699074)</f>
        <v>46197.56127</v>
      </c>
      <c r="G333" s="86" t="str">
        <f>IFERROR(__xludf.DUMMYFUNCTION("""COMPUTED_VALUE"""),"Done")</f>
        <v>Done</v>
      </c>
      <c r="H333" s="88">
        <f>IFERROR(__xludf.DUMMYFUNCTION("""COMPUTED_VALUE"""),0.0)</f>
        <v>0</v>
      </c>
      <c r="I333" s="90" t="str">
        <f>IFERROR(__xludf.DUMMYFUNCTION("""COMPUTED_VALUE"""),"EMP0237 Swarnendu Chakraborty")</f>
        <v>EMP0237 Swarnendu Chakraborty</v>
      </c>
      <c r="J333" s="91"/>
    </row>
    <row r="334">
      <c r="B334" s="76" t="str">
        <f>IFERROR(__xludf.DUMMYFUNCTION("""COMPUTED_VALUE"""),"Discussion with Requester                                                                           ")</f>
        <v>Discussion with Requester                                                                           </v>
      </c>
      <c r="C334" s="82">
        <f>IFERROR(__xludf.DUMMYFUNCTION("""COMPUTED_VALUE"""),5292.0)</f>
        <v>5292</v>
      </c>
      <c r="D334" s="76" t="str">
        <f>IFERROR(__xludf.DUMMYFUNCTION("""COMPUTED_VALUE"""),"SESSION WISE RESULT SUMMARY ")</f>
        <v>SESSION WISE RESULT SUMMARY </v>
      </c>
      <c r="E334" s="84">
        <f>IFERROR(__xludf.DUMMYFUNCTION("""COMPUTED_VALUE"""),46197.726081423614)</f>
        <v>46197.72608</v>
      </c>
      <c r="F334" s="86">
        <f>IFERROR(__xludf.DUMMYFUNCTION("""COMPUTED_VALUE"""),46197.56128840278)</f>
        <v>46197.56129</v>
      </c>
      <c r="G334" s="86" t="str">
        <f>IFERROR(__xludf.DUMMYFUNCTION("""COMPUTED_VALUE"""),"Done")</f>
        <v>Done</v>
      </c>
      <c r="H334" s="88">
        <f>IFERROR(__xludf.DUMMYFUNCTION("""COMPUTED_VALUE"""),0.0)</f>
        <v>0</v>
      </c>
      <c r="I334" s="90" t="str">
        <f>IFERROR(__xludf.DUMMYFUNCTION("""COMPUTED_VALUE"""),"EMP0237 Swarnendu Chakraborty")</f>
        <v>EMP0237 Swarnendu Chakraborty</v>
      </c>
      <c r="J334" s="91"/>
    </row>
    <row r="335">
      <c r="B335" s="76" t="str">
        <f>IFERROR(__xludf.DUMMYFUNCTION("""COMPUTED_VALUE"""),"Discussion with Requester                                                                           ")</f>
        <v>Discussion with Requester                                                                           </v>
      </c>
      <c r="C335" s="82">
        <f>IFERROR(__xludf.DUMMYFUNCTION("""COMPUTED_VALUE"""),5293.0)</f>
        <v>5293</v>
      </c>
      <c r="D335" s="76" t="str">
        <f>IFERROR(__xludf.DUMMYFUNCTION("""COMPUTED_VALUE"""),"Analytics Deshbord report")</f>
        <v>Analytics Deshbord report</v>
      </c>
      <c r="E335" s="84">
        <f>IFERROR(__xludf.DUMMYFUNCTION("""COMPUTED_VALUE"""),46198.444444444445)</f>
        <v>46198.44444</v>
      </c>
      <c r="F335" s="86">
        <f>IFERROR(__xludf.DUMMYFUNCTION("""COMPUTED_VALUE"""),46197.80331004629)</f>
        <v>46197.80331</v>
      </c>
      <c r="G335" s="86" t="str">
        <f>IFERROR(__xludf.DUMMYFUNCTION("""COMPUTED_VALUE"""),"Done")</f>
        <v>Done</v>
      </c>
      <c r="H335" s="88">
        <f>IFERROR(__xludf.DUMMYFUNCTION("""COMPUTED_VALUE"""),0.0)</f>
        <v>0</v>
      </c>
      <c r="I335" s="90" t="str">
        <f>IFERROR(__xludf.DUMMYFUNCTION("""COMPUTED_VALUE"""),"EMP0237 Swarnendu Chakraborty")</f>
        <v>EMP0237 Swarnendu Chakraborty</v>
      </c>
      <c r="J335" s="91"/>
    </row>
    <row r="336">
      <c r="B336" s="76" t="str">
        <f>IFERROR(__xludf.DUMMYFUNCTION("""COMPUTED_VALUE"""),"Discussion with Requester                                                                           ")</f>
        <v>Discussion with Requester                                                                           </v>
      </c>
      <c r="C336" s="82">
        <f>IFERROR(__xludf.DUMMYFUNCTION("""COMPUTED_VALUE"""),5294.0)</f>
        <v>5294</v>
      </c>
      <c r="D336" s="76" t="str">
        <f>IFERROR(__xludf.DUMMYFUNCTION("""COMPUTED_VALUE"""),"TR MBA 4th sem( With division )")</f>
        <v>TR MBA 4th sem( With division )</v>
      </c>
      <c r="E336" s="84">
        <f>IFERROR(__xludf.DUMMYFUNCTION("""COMPUTED_VALUE"""),46198.64252945602)</f>
        <v>46198.64253</v>
      </c>
      <c r="F336" s="86">
        <f>IFERROR(__xludf.DUMMYFUNCTION("""COMPUTED_VALUE"""),46198.47623784722)</f>
        <v>46198.47624</v>
      </c>
      <c r="G336" s="86" t="str">
        <f>IFERROR(__xludf.DUMMYFUNCTION("""COMPUTED_VALUE"""),"Done")</f>
        <v>Done</v>
      </c>
      <c r="H336" s="88">
        <f>IFERROR(__xludf.DUMMYFUNCTION("""COMPUTED_VALUE"""),0.0)</f>
        <v>0</v>
      </c>
      <c r="I336" s="90" t="str">
        <f>IFERROR(__xludf.DUMMYFUNCTION("""COMPUTED_VALUE"""),"EMP0042 HULESHWAR KUMAR SAHU")</f>
        <v>EMP0042 HULESHWAR KUMAR SAHU</v>
      </c>
      <c r="J336" s="91"/>
    </row>
    <row r="337">
      <c r="B337" s="76" t="str">
        <f>IFERROR(__xludf.DUMMYFUNCTION("""COMPUTED_VALUE"""),"Discussion with Requester                                                                           ")</f>
        <v>Discussion with Requester                                                                           </v>
      </c>
      <c r="C337" s="82">
        <f>IFERROR(__xludf.DUMMYFUNCTION("""COMPUTED_VALUE"""),5295.0)</f>
        <v>5295</v>
      </c>
      <c r="D337" s="76" t="str">
        <f>IFERROR(__xludf.DUMMYFUNCTION("""COMPUTED_VALUE"""),"NAD DATA")</f>
        <v>NAD DATA</v>
      </c>
      <c r="E337" s="84">
        <f>IFERROR(__xludf.DUMMYFUNCTION("""COMPUTED_VALUE"""),46198.66934563657)</f>
        <v>46198.66935</v>
      </c>
      <c r="F337" s="86">
        <f>IFERROR(__xludf.DUMMYFUNCTION("""COMPUTED_VALUE"""),46198.605956064814)</f>
        <v>46198.60596</v>
      </c>
      <c r="G337" s="86" t="str">
        <f>IFERROR(__xludf.DUMMYFUNCTION("""COMPUTED_VALUE"""),"Done")</f>
        <v>Done</v>
      </c>
      <c r="H337" s="88">
        <f>IFERROR(__xludf.DUMMYFUNCTION("""COMPUTED_VALUE"""),0.0)</f>
        <v>0</v>
      </c>
      <c r="I337" s="90" t="str">
        <f>IFERROR(__xludf.DUMMYFUNCTION("""COMPUTED_VALUE"""),"EMP0237 Swarnendu Chakraborty")</f>
        <v>EMP0237 Swarnendu Chakraborty</v>
      </c>
      <c r="J337" s="91"/>
    </row>
    <row r="338">
      <c r="B338" s="76" t="str">
        <f>IFERROR(__xludf.DUMMYFUNCTION("""COMPUTED_VALUE"""),"Discussion with Requester                                                                           ")</f>
        <v>Discussion with Requester                                                                           </v>
      </c>
      <c r="C338" s="82">
        <f>IFERROR(__xludf.DUMMYFUNCTION("""COMPUTED_VALUE"""),5296.0)</f>
        <v>5296</v>
      </c>
      <c r="D338" s="76" t="str">
        <f>IFERROR(__xludf.DUMMYFUNCTION("""COMPUTED_VALUE"""),"ATTESTATION SHEET ")</f>
        <v>ATTESTATION SHEET </v>
      </c>
      <c r="E338" s="84">
        <f>IFERROR(__xludf.DUMMYFUNCTION("""COMPUTED_VALUE"""),46198.682239421294)</f>
        <v>46198.68224</v>
      </c>
      <c r="F338" s="86">
        <f>IFERROR(__xludf.DUMMYFUNCTION("""COMPUTED_VALUE"""),46198.605956064814)</f>
        <v>46198.60596</v>
      </c>
      <c r="G338" s="86" t="str">
        <f>IFERROR(__xludf.DUMMYFUNCTION("""COMPUTED_VALUE"""),"Done")</f>
        <v>Done</v>
      </c>
      <c r="H338" s="88">
        <f>IFERROR(__xludf.DUMMYFUNCTION("""COMPUTED_VALUE"""),0.0)</f>
        <v>0</v>
      </c>
      <c r="I338" s="90" t="str">
        <f>IFERROR(__xludf.DUMMYFUNCTION("""COMPUTED_VALUE"""),"EMP5009 Rup Kumar Mandal")</f>
        <v>EMP5009 Rup Kumar Mandal</v>
      </c>
      <c r="J338" s="91"/>
    </row>
    <row r="339">
      <c r="B339" s="76" t="str">
        <f>IFERROR(__xludf.DUMMYFUNCTION("""COMPUTED_VALUE"""),"Discussion with Requester                                                                           ")</f>
        <v>Discussion with Requester                                                                           </v>
      </c>
      <c r="C339" s="82">
        <f>IFERROR(__xludf.DUMMYFUNCTION("""COMPUTED_VALUE"""),5297.0)</f>
        <v>5297</v>
      </c>
      <c r="D339" s="76" t="str">
        <f>IFERROR(__xludf.DUMMYFUNCTION("""COMPUTED_VALUE"""),"NAD data ")</f>
        <v>NAD data </v>
      </c>
      <c r="E339" s="84">
        <f>IFERROR(__xludf.DUMMYFUNCTION("""COMPUTED_VALUE"""),46199.50833333333)</f>
        <v>46199.50833</v>
      </c>
      <c r="F339" s="86">
        <f>IFERROR(__xludf.DUMMYFUNCTION("""COMPUTED_VALUE"""),46198.762278263894)</f>
        <v>46198.76228</v>
      </c>
      <c r="G339" s="86" t="str">
        <f>IFERROR(__xludf.DUMMYFUNCTION("""COMPUTED_VALUE"""),"Done")</f>
        <v>Done</v>
      </c>
      <c r="H339" s="88">
        <f>IFERROR(__xludf.DUMMYFUNCTION("""COMPUTED_VALUE"""),0.0)</f>
        <v>0</v>
      </c>
      <c r="I339" s="90" t="str">
        <f>IFERROR(__xludf.DUMMYFUNCTION("""COMPUTED_VALUE"""),"EMP5009 Rup Kumar Mandal")</f>
        <v>EMP5009 Rup Kumar Mandal</v>
      </c>
      <c r="J339" s="91"/>
    </row>
    <row r="340">
      <c r="B340" s="76" t="str">
        <f>IFERROR(__xludf.DUMMYFUNCTION("""COMPUTED_VALUE"""),"Discussion with Requester                                                                           ")</f>
        <v>Discussion with Requester                                                                           </v>
      </c>
      <c r="C340" s="82">
        <f>IFERROR(__xludf.DUMMYFUNCTION("""COMPUTED_VALUE"""),5298.0)</f>
        <v>5298</v>
      </c>
      <c r="D340" s="76" t="str">
        <f>IFERROR(__xludf.DUMMYFUNCTION("""COMPUTED_VALUE"""),"Attendance Sheet PG &amp; PHD")</f>
        <v>Attendance Sheet PG &amp; PHD</v>
      </c>
      <c r="E340" s="84">
        <f>IFERROR(__xludf.DUMMYFUNCTION("""COMPUTED_VALUE"""),46199.55)</f>
        <v>46199.55</v>
      </c>
      <c r="F340" s="86">
        <f>IFERROR(__xludf.DUMMYFUNCTION("""COMPUTED_VALUE"""),46198.802314236105)</f>
        <v>46198.80231</v>
      </c>
      <c r="G340" s="86" t="str">
        <f>IFERROR(__xludf.DUMMYFUNCTION("""COMPUTED_VALUE"""),"Done")</f>
        <v>Done</v>
      </c>
      <c r="H340" s="88">
        <f>IFERROR(__xludf.DUMMYFUNCTION("""COMPUTED_VALUE"""),0.0)</f>
        <v>0</v>
      </c>
      <c r="I340" s="90" t="str">
        <f>IFERROR(__xludf.DUMMYFUNCTION("""COMPUTED_VALUE"""),"EMP0021 Tamanna Dewangan")</f>
        <v>EMP0021 Tamanna Dewangan</v>
      </c>
      <c r="J340" s="91"/>
    </row>
    <row r="341">
      <c r="B341" s="76" t="str">
        <f>IFERROR(__xludf.DUMMYFUNCTION("""COMPUTED_VALUE"""),"Discussion with Requester                                                                           ")</f>
        <v>Discussion with Requester                                                                           </v>
      </c>
      <c r="C341" s="82">
        <f>IFERROR(__xludf.DUMMYFUNCTION("""COMPUTED_VALUE"""),5299.0)</f>
        <v>5299</v>
      </c>
      <c r="D341" s="76" t="str">
        <f>IFERROR(__xludf.DUMMYFUNCTION("""COMPUTED_VALUE"""),"Summary For PG/PHD")</f>
        <v>Summary For PG/PHD</v>
      </c>
      <c r="E341" s="84">
        <f>IFERROR(__xludf.DUMMYFUNCTION("""COMPUTED_VALUE"""),46199.55138888889)</f>
        <v>46199.55139</v>
      </c>
      <c r="F341" s="86">
        <f>IFERROR(__xludf.DUMMYFUNCTION("""COMPUTED_VALUE"""),46198.802349641206)</f>
        <v>46198.80235</v>
      </c>
      <c r="G341" s="86" t="str">
        <f>IFERROR(__xludf.DUMMYFUNCTION("""COMPUTED_VALUE"""),"Done")</f>
        <v>Done</v>
      </c>
      <c r="H341" s="88">
        <f>IFERROR(__xludf.DUMMYFUNCTION("""COMPUTED_VALUE"""),0.0)</f>
        <v>0</v>
      </c>
      <c r="I341" s="90" t="str">
        <f>IFERROR(__xludf.DUMMYFUNCTION("""COMPUTED_VALUE"""),"EMP0021 Tamanna Dewangan")</f>
        <v>EMP0021 Tamanna Dewangan</v>
      </c>
      <c r="J341" s="91"/>
    </row>
    <row r="342">
      <c r="B342" s="76" t="str">
        <f>IFERROR(__xludf.DUMMYFUNCTION("""COMPUTED_VALUE"""),"Discussion with Requester                                                                           ")</f>
        <v>Discussion with Requester                                                                           </v>
      </c>
      <c r="C342" s="82">
        <f>IFERROR(__xludf.DUMMYFUNCTION("""COMPUTED_VALUE"""),5300.0)</f>
        <v>5300</v>
      </c>
      <c r="D342" s="76" t="str">
        <f>IFERROR(__xludf.DUMMYFUNCTION("""COMPUTED_VALUE"""),"Cover Page")</f>
        <v>Cover Page</v>
      </c>
      <c r="E342" s="84">
        <f>IFERROR(__xludf.DUMMYFUNCTION("""COMPUTED_VALUE"""),46199.552777777775)</f>
        <v>46199.55278</v>
      </c>
      <c r="F342" s="86">
        <f>IFERROR(__xludf.DUMMYFUNCTION("""COMPUTED_VALUE"""),46198.80347324074)</f>
        <v>46198.80347</v>
      </c>
      <c r="G342" s="86" t="str">
        <f>IFERROR(__xludf.DUMMYFUNCTION("""COMPUTED_VALUE"""),"Done")</f>
        <v>Done</v>
      </c>
      <c r="H342" s="88">
        <f>IFERROR(__xludf.DUMMYFUNCTION("""COMPUTED_VALUE"""),0.0)</f>
        <v>0</v>
      </c>
      <c r="I342" s="90" t="str">
        <f>IFERROR(__xludf.DUMMYFUNCTION("""COMPUTED_VALUE"""),"EMP0021 Tamanna Dewangan")</f>
        <v>EMP0021 Tamanna Dewangan</v>
      </c>
      <c r="J342" s="91"/>
    </row>
    <row r="343">
      <c r="B343" s="76" t="str">
        <f>IFERROR(__xludf.DUMMYFUNCTION("""COMPUTED_VALUE"""),"Discussion with Requester                                                                           ")</f>
        <v>Discussion with Requester                                                                           </v>
      </c>
      <c r="C343" s="82">
        <f>IFERROR(__xludf.DUMMYFUNCTION("""COMPUTED_VALUE"""),5301.0)</f>
        <v>5301</v>
      </c>
      <c r="D343" s="76" t="str">
        <f>IFERROR(__xludf.DUMMYFUNCTION("""COMPUTED_VALUE"""),"Analysis report")</f>
        <v>Analysis report</v>
      </c>
      <c r="E343" s="84">
        <f>IFERROR(__xludf.DUMMYFUNCTION("""COMPUTED_VALUE"""),46199.55902777778)</f>
        <v>46199.55903</v>
      </c>
      <c r="F343" s="86">
        <f>IFERROR(__xludf.DUMMYFUNCTION("""COMPUTED_VALUE"""),46199.38168274305)</f>
        <v>46199.38168</v>
      </c>
      <c r="G343" s="86" t="str">
        <f>IFERROR(__xludf.DUMMYFUNCTION("""COMPUTED_VALUE"""),"Done")</f>
        <v>Done</v>
      </c>
      <c r="H343" s="88">
        <f>IFERROR(__xludf.DUMMYFUNCTION("""COMPUTED_VALUE"""),0.0)</f>
        <v>0</v>
      </c>
      <c r="I343" s="90" t="str">
        <f>IFERROR(__xludf.DUMMYFUNCTION("""COMPUTED_VALUE"""),"EMP0021 Tamanna Dewangan")</f>
        <v>EMP0021 Tamanna Dewangan</v>
      </c>
      <c r="J343" s="91"/>
    </row>
    <row r="344">
      <c r="B344" s="76" t="str">
        <f>IFERROR(__xludf.DUMMYFUNCTION("""COMPUTED_VALUE"""),"Discussion with Requester                                                                           ")</f>
        <v>Discussion with Requester                                                                           </v>
      </c>
      <c r="C344" s="82">
        <f>IFERROR(__xludf.DUMMYFUNCTION("""COMPUTED_VALUE"""),5302.0)</f>
        <v>5302</v>
      </c>
      <c r="D344" s="76" t="str">
        <f>IFERROR(__xludf.DUMMYFUNCTION("""COMPUTED_VALUE"""),"Analytics report")</f>
        <v>Analytics report</v>
      </c>
      <c r="E344" s="84">
        <f>IFERROR(__xludf.DUMMYFUNCTION("""COMPUTED_VALUE"""),46199.55972222222)</f>
        <v>46199.55972</v>
      </c>
      <c r="F344" s="86">
        <f>IFERROR(__xludf.DUMMYFUNCTION("""COMPUTED_VALUE"""),46199.381717847216)</f>
        <v>46199.38172</v>
      </c>
      <c r="G344" s="86" t="str">
        <f>IFERROR(__xludf.DUMMYFUNCTION("""COMPUTED_VALUE"""),"Done")</f>
        <v>Done</v>
      </c>
      <c r="H344" s="88">
        <f>IFERROR(__xludf.DUMMYFUNCTION("""COMPUTED_VALUE"""),0.0)</f>
        <v>0</v>
      </c>
      <c r="I344" s="90" t="str">
        <f>IFERROR(__xludf.DUMMYFUNCTION("""COMPUTED_VALUE"""),"EMP0021 Tamanna Dewangan")</f>
        <v>EMP0021 Tamanna Dewangan</v>
      </c>
      <c r="J344" s="91"/>
    </row>
    <row r="345">
      <c r="B345" s="76" t="str">
        <f>IFERROR(__xludf.DUMMYFUNCTION("""COMPUTED_VALUE"""),"Discussion with Requester                                                                           ")</f>
        <v>Discussion with Requester                                                                           </v>
      </c>
      <c r="C345" s="82">
        <f>IFERROR(__xludf.DUMMYFUNCTION("""COMPUTED_VALUE"""),5303.0)</f>
        <v>5303</v>
      </c>
      <c r="D345" s="76" t="str">
        <f>IFERROR(__xludf.DUMMYFUNCTION("""COMPUTED_VALUE"""),"otal Student and all matrix count mismatch Eg:999 College")</f>
        <v>otal Student and all matrix count mismatch Eg:999 College</v>
      </c>
      <c r="E345" s="84">
        <f>IFERROR(__xludf.DUMMYFUNCTION("""COMPUTED_VALUE"""),46199.56041666667)</f>
        <v>46199.56042</v>
      </c>
      <c r="F345" s="86">
        <f>IFERROR(__xludf.DUMMYFUNCTION("""COMPUTED_VALUE"""),46199.38177456019)</f>
        <v>46199.38177</v>
      </c>
      <c r="G345" s="86" t="str">
        <f>IFERROR(__xludf.DUMMYFUNCTION("""COMPUTED_VALUE"""),"Done")</f>
        <v>Done</v>
      </c>
      <c r="H345" s="88">
        <f>IFERROR(__xludf.DUMMYFUNCTION("""COMPUTED_VALUE"""),0.0)</f>
        <v>0</v>
      </c>
      <c r="I345" s="90" t="str">
        <f>IFERROR(__xludf.DUMMYFUNCTION("""COMPUTED_VALUE"""),"EMP0021 Tamanna Dewangan")</f>
        <v>EMP0021 Tamanna Dewangan</v>
      </c>
      <c r="J345" s="91"/>
    </row>
    <row r="346">
      <c r="B346" s="76" t="str">
        <f>IFERROR(__xludf.DUMMYFUNCTION("""COMPUTED_VALUE"""),"Discussion with Requester                                                                           ")</f>
        <v>Discussion with Requester                                                                           </v>
      </c>
      <c r="C346" s="82">
        <f>IFERROR(__xludf.DUMMYFUNCTION("""COMPUTED_VALUE"""),5304.0)</f>
        <v>5304</v>
      </c>
      <c r="D346" s="76" t="str">
        <f>IFERROR(__xludf.DUMMYFUNCTION("""COMPUTED_VALUE"""),"otal Student and all matrix count mismatch Eg:999 College")</f>
        <v>otal Student and all matrix count mismatch Eg:999 College</v>
      </c>
      <c r="E346" s="84">
        <f>IFERROR(__xludf.DUMMYFUNCTION("""COMPUTED_VALUE"""),46199.56180555555)</f>
        <v>46199.56181</v>
      </c>
      <c r="F346" s="86">
        <f>IFERROR(__xludf.DUMMYFUNCTION("""COMPUTED_VALUE"""),46199.38254572917)</f>
        <v>46199.38255</v>
      </c>
      <c r="G346" s="86" t="str">
        <f>IFERROR(__xludf.DUMMYFUNCTION("""COMPUTED_VALUE"""),"Done")</f>
        <v>Done</v>
      </c>
      <c r="H346" s="88">
        <f>IFERROR(__xludf.DUMMYFUNCTION("""COMPUTED_VALUE"""),0.0)</f>
        <v>0</v>
      </c>
      <c r="I346" s="90" t="str">
        <f>IFERROR(__xludf.DUMMYFUNCTION("""COMPUTED_VALUE"""),"EMP0021 Tamanna Dewangan")</f>
        <v>EMP0021 Tamanna Dewangan</v>
      </c>
      <c r="J346" s="91"/>
    </row>
    <row r="347">
      <c r="B347" s="76" t="str">
        <f>IFERROR(__xludf.DUMMYFUNCTION("""COMPUTED_VALUE"""),"Discussion with Requester                                                                           ")</f>
        <v>Discussion with Requester                                                                           </v>
      </c>
      <c r="C347" s="82">
        <f>IFERROR(__xludf.DUMMYFUNCTION("""COMPUTED_VALUE"""),5305.0)</f>
        <v>5305</v>
      </c>
      <c r="D347" s="76" t="str">
        <f>IFERROR(__xludf.DUMMYFUNCTION("""COMPUTED_VALUE"""),"fee details")</f>
        <v>fee details</v>
      </c>
      <c r="E347" s="84">
        <f>IFERROR(__xludf.DUMMYFUNCTION("""COMPUTED_VALUE"""),46199.56319444445)</f>
        <v>46199.56319</v>
      </c>
      <c r="F347" s="86">
        <f>IFERROR(__xludf.DUMMYFUNCTION("""COMPUTED_VALUE"""),46199.38258125001)</f>
        <v>46199.38258</v>
      </c>
      <c r="G347" s="86" t="str">
        <f>IFERROR(__xludf.DUMMYFUNCTION("""COMPUTED_VALUE"""),"Done")</f>
        <v>Done</v>
      </c>
      <c r="H347" s="88">
        <f>IFERROR(__xludf.DUMMYFUNCTION("""COMPUTED_VALUE"""),0.0)</f>
        <v>0</v>
      </c>
      <c r="I347" s="90" t="str">
        <f>IFERROR(__xludf.DUMMYFUNCTION("""COMPUTED_VALUE"""),"EMP0021 Tamanna Dewangan")</f>
        <v>EMP0021 Tamanna Dewangan</v>
      </c>
      <c r="J347" s="91"/>
    </row>
    <row r="348">
      <c r="B348" s="76" t="str">
        <f>IFERROR(__xludf.DUMMYFUNCTION("""COMPUTED_VALUE"""),"Discussion with Requester                                                                           ")</f>
        <v>Discussion with Requester                                                                           </v>
      </c>
      <c r="C348" s="82">
        <f>IFERROR(__xludf.DUMMYFUNCTION("""COMPUTED_VALUE"""),5306.0)</f>
        <v>5306</v>
      </c>
      <c r="D348" s="76" t="str">
        <f>IFERROR(__xludf.DUMMYFUNCTION("""COMPUTED_VALUE"""),"DIGI LOKER Data new")</f>
        <v>DIGI LOKER Data new</v>
      </c>
      <c r="E348" s="84">
        <f>IFERROR(__xludf.DUMMYFUNCTION("""COMPUTED_VALUE"""),46199.61425126157)</f>
        <v>46199.61425</v>
      </c>
      <c r="F348" s="86">
        <f>IFERROR(__xludf.DUMMYFUNCTION("""COMPUTED_VALUE"""),46199.46730736111)</f>
        <v>46199.46731</v>
      </c>
      <c r="G348" s="86" t="str">
        <f>IFERROR(__xludf.DUMMYFUNCTION("""COMPUTED_VALUE"""),"Done")</f>
        <v>Done</v>
      </c>
      <c r="H348" s="88">
        <f>IFERROR(__xludf.DUMMYFUNCTION("""COMPUTED_VALUE"""),0.0)</f>
        <v>0</v>
      </c>
      <c r="I348" s="90" t="str">
        <f>IFERROR(__xludf.DUMMYFUNCTION("""COMPUTED_VALUE"""),"EMP5009 Rup Kumar Mandal")</f>
        <v>EMP5009 Rup Kumar Mandal</v>
      </c>
      <c r="J348" s="91"/>
    </row>
    <row r="349">
      <c r="B349" s="76" t="str">
        <f>IFERROR(__xludf.DUMMYFUNCTION("""COMPUTED_VALUE"""),"Discussion with Requester                                                                           ")</f>
        <v>Discussion with Requester                                                                           </v>
      </c>
      <c r="C349" s="82">
        <f>IFERROR(__xludf.DUMMYFUNCTION("""COMPUTED_VALUE"""),5307.0)</f>
        <v>5307</v>
      </c>
      <c r="D349" s="76" t="str">
        <f>IFERROR(__xludf.DUMMYFUNCTION("""COMPUTED_VALUE"""),"TR BCA ")</f>
        <v>TR BCA </v>
      </c>
      <c r="E349" s="84">
        <f>IFERROR(__xludf.DUMMYFUNCTION("""COMPUTED_VALUE"""),46200.48611111111)</f>
        <v>46200.48611</v>
      </c>
      <c r="F349" s="86">
        <f>IFERROR(__xludf.DUMMYFUNCTION("""COMPUTED_VALUE"""),46199.76846528935)</f>
        <v>46199.76847</v>
      </c>
      <c r="G349" s="86" t="str">
        <f>IFERROR(__xludf.DUMMYFUNCTION("""COMPUTED_VALUE"""),"Done")</f>
        <v>Done</v>
      </c>
      <c r="H349" s="88">
        <f>IFERROR(__xludf.DUMMYFUNCTION("""COMPUTED_VALUE"""),0.0)</f>
        <v>0</v>
      </c>
      <c r="I349" s="90" t="str">
        <f>IFERROR(__xludf.DUMMYFUNCTION("""COMPUTED_VALUE"""),"EMP0237 Swarnendu Chakraborty")</f>
        <v>EMP0237 Swarnendu Chakraborty</v>
      </c>
      <c r="J349" s="91"/>
    </row>
    <row r="350">
      <c r="B350" s="76" t="str">
        <f>IFERROR(__xludf.DUMMYFUNCTION("""COMPUTED_VALUE"""),"Discussion with Requester                                                                           ")</f>
        <v>Discussion with Requester                                                                           </v>
      </c>
      <c r="C350" s="82">
        <f>IFERROR(__xludf.DUMMYFUNCTION("""COMPUTED_VALUE"""),5308.0)</f>
        <v>5308</v>
      </c>
      <c r="D350" s="76" t="str">
        <f>IFERROR(__xludf.DUMMYFUNCTION("""COMPUTED_VALUE"""),"MULTIPLE REPORT ")</f>
        <v>MULTIPLE REPORT </v>
      </c>
      <c r="E350" s="84">
        <f>IFERROR(__xludf.DUMMYFUNCTION("""COMPUTED_VALUE"""),46200.50486111111)</f>
        <v>46200.50486</v>
      </c>
      <c r="F350" s="86">
        <f>IFERROR(__xludf.DUMMYFUNCTION("""COMPUTED_VALUE"""),46199.76848170139)</f>
        <v>46199.76848</v>
      </c>
      <c r="G350" s="86" t="str">
        <f>IFERROR(__xludf.DUMMYFUNCTION("""COMPUTED_VALUE"""),"Done")</f>
        <v>Done</v>
      </c>
      <c r="H350" s="88">
        <f>IFERROR(__xludf.DUMMYFUNCTION("""COMPUTED_VALUE"""),0.0)</f>
        <v>0</v>
      </c>
      <c r="I350" s="90" t="str">
        <f>IFERROR(__xludf.DUMMYFUNCTION("""COMPUTED_VALUE"""),"EMP0042 HULESHWAR KUMAR SAHU")</f>
        <v>EMP0042 HULESHWAR KUMAR SAHU</v>
      </c>
      <c r="J350" s="91"/>
    </row>
    <row r="351">
      <c r="B351" s="76" t="str">
        <f>IFERROR(__xludf.DUMMYFUNCTION("""COMPUTED_VALUE"""),"Discussion with Requester                                                                           ")</f>
        <v>Discussion with Requester                                                                           </v>
      </c>
      <c r="C351" s="82">
        <f>IFERROR(__xludf.DUMMYFUNCTION("""COMPUTED_VALUE"""),5309.0)</f>
        <v>5309</v>
      </c>
      <c r="D351" s="76" t="str">
        <f>IFERROR(__xludf.DUMMYFUNCTION("""COMPUTED_VALUE"""),"MULTIPLE REPORT")</f>
        <v>MULTIPLE REPORT</v>
      </c>
      <c r="E351" s="84">
        <f>IFERROR(__xludf.DUMMYFUNCTION("""COMPUTED_VALUE"""),46200.6314075926)</f>
        <v>46200.63141</v>
      </c>
      <c r="F351" s="86">
        <f>IFERROR(__xludf.DUMMYFUNCTION("""COMPUTED_VALUE"""),46200.49773836806)</f>
        <v>46200.49774</v>
      </c>
      <c r="G351" s="86" t="str">
        <f>IFERROR(__xludf.DUMMYFUNCTION("""COMPUTED_VALUE"""),"Done")</f>
        <v>Done</v>
      </c>
      <c r="H351" s="88">
        <f>IFERROR(__xludf.DUMMYFUNCTION("""COMPUTED_VALUE"""),0.0)</f>
        <v>0</v>
      </c>
      <c r="I351" s="90" t="str">
        <f>IFERROR(__xludf.DUMMYFUNCTION("""COMPUTED_VALUE"""),"EMP0042 HULESHWAR KUMAR SAHU")</f>
        <v>EMP0042 HULESHWAR KUMAR SAHU</v>
      </c>
      <c r="J351" s="91"/>
    </row>
    <row r="352">
      <c r="B352" s="76" t="str">
        <f>IFERROR(__xludf.DUMMYFUNCTION("""COMPUTED_VALUE"""),"Discussion with Requester                                                                           ")</f>
        <v>Discussion with Requester                                                                           </v>
      </c>
      <c r="C352" s="82">
        <f>IFERROR(__xludf.DUMMYFUNCTION("""COMPUTED_VALUE"""),5310.0)</f>
        <v>5310</v>
      </c>
      <c r="D352" s="76" t="str">
        <f>IFERROR(__xludf.DUMMYFUNCTION("""COMPUTED_VALUE"""),"TR/Result hosting -new cbcs tr ")</f>
        <v>TR/Result hosting -new cbcs tr </v>
      </c>
      <c r="E352" s="84">
        <f>IFERROR(__xludf.DUMMYFUNCTION("""COMPUTED_VALUE"""),46200.647343495366)</f>
        <v>46200.64734</v>
      </c>
      <c r="F352" s="86">
        <f>IFERROR(__xludf.DUMMYFUNCTION("""COMPUTED_VALUE"""),46200.49784600694)</f>
        <v>46200.49785</v>
      </c>
      <c r="G352" s="86" t="str">
        <f>IFERROR(__xludf.DUMMYFUNCTION("""COMPUTED_VALUE"""),"Done")</f>
        <v>Done</v>
      </c>
      <c r="H352" s="88">
        <f>IFERROR(__xludf.DUMMYFUNCTION("""COMPUTED_VALUE"""),0.0)</f>
        <v>0</v>
      </c>
      <c r="I352" s="90" t="str">
        <f>IFERROR(__xludf.DUMMYFUNCTION("""COMPUTED_VALUE"""),"EMP0237 Swarnendu Chakraborty")</f>
        <v>EMP0237 Swarnendu Chakraborty</v>
      </c>
      <c r="J352" s="91"/>
    </row>
    <row r="353">
      <c r="B353" s="76" t="str">
        <f>IFERROR(__xludf.DUMMYFUNCTION("""COMPUTED_VALUE"""),"Discussion with Requester                                                                           ")</f>
        <v>Discussion with Requester                                                                           </v>
      </c>
      <c r="C353" s="82">
        <f>IFERROR(__xludf.DUMMYFUNCTION("""COMPUTED_VALUE"""),5311.0)</f>
        <v>5311</v>
      </c>
      <c r="D353" s="76" t="str">
        <f>IFERROR(__xludf.DUMMYFUNCTION("""COMPUTED_VALUE"""),"nad")</f>
        <v>nad</v>
      </c>
      <c r="E353" s="84">
        <f>IFERROR(__xludf.DUMMYFUNCTION("""COMPUTED_VALUE"""),46202.50833333333)</f>
        <v>46202.50833</v>
      </c>
      <c r="F353" s="86">
        <f>IFERROR(__xludf.DUMMYFUNCTION("""COMPUTED_VALUE"""),46202.4576756713)</f>
        <v>46202.45768</v>
      </c>
      <c r="G353" s="86" t="str">
        <f>IFERROR(__xludf.DUMMYFUNCTION("""COMPUTED_VALUE"""),"Done")</f>
        <v>Done</v>
      </c>
      <c r="H353" s="88">
        <f>IFERROR(__xludf.DUMMYFUNCTION("""COMPUTED_VALUE"""),0.0)</f>
        <v>0</v>
      </c>
      <c r="I353" s="90" t="str">
        <f>IFERROR(__xludf.DUMMYFUNCTION("""COMPUTED_VALUE"""),"EMP5009 Rup Kumar Mandal")</f>
        <v>EMP5009 Rup Kumar Mandal</v>
      </c>
      <c r="J353" s="91"/>
    </row>
    <row r="354">
      <c r="B354" s="76" t="str">
        <f>IFERROR(__xludf.DUMMYFUNCTION("""COMPUTED_VALUE"""),"Discussion with Requester                                                                           ")</f>
        <v>Discussion with Requester                                                                           </v>
      </c>
      <c r="C354" s="82">
        <f>IFERROR(__xludf.DUMMYFUNCTION("""COMPUTED_VALUE"""),5312.0)</f>
        <v>5312</v>
      </c>
      <c r="D354" s="76" t="str">
        <f>IFERROR(__xludf.DUMMYFUNCTION("""COMPUTED_VALUE"""),"tr result new")</f>
        <v>tr result new</v>
      </c>
      <c r="E354" s="84">
        <f>IFERROR(__xludf.DUMMYFUNCTION("""COMPUTED_VALUE"""),46202.65425809028)</f>
        <v>46202.65426</v>
      </c>
      <c r="F354" s="86">
        <f>IFERROR(__xludf.DUMMYFUNCTION("""COMPUTED_VALUE"""),46202.51188986111)</f>
        <v>46202.51189</v>
      </c>
      <c r="G354" s="86" t="str">
        <f>IFERROR(__xludf.DUMMYFUNCTION("""COMPUTED_VALUE"""),"Done")</f>
        <v>Done</v>
      </c>
      <c r="H354" s="88">
        <f>IFERROR(__xludf.DUMMYFUNCTION("""COMPUTED_VALUE"""),0.0)</f>
        <v>0</v>
      </c>
      <c r="I354" s="90" t="str">
        <f>IFERROR(__xludf.DUMMYFUNCTION("""COMPUTED_VALUE"""),"EMP0042 HULESHWAR KUMAR SAHU")</f>
        <v>EMP0042 HULESHWAR KUMAR SAHU</v>
      </c>
      <c r="J354" s="91"/>
    </row>
    <row r="355">
      <c r="B355" s="76" t="str">
        <f>IFERROR(__xludf.DUMMYFUNCTION("""COMPUTED_VALUE"""),"Discussion with Requester                                                                           ")</f>
        <v>Discussion with Requester                                                                           </v>
      </c>
      <c r="C355" s="82">
        <f>IFERROR(__xludf.DUMMYFUNCTION("""COMPUTED_VALUE"""),5313.0)</f>
        <v>5313</v>
      </c>
      <c r="D355" s="76" t="str">
        <f>IFERROR(__xludf.DUMMYFUNCTION("""COMPUTED_VALUE"""),"Exam Programme")</f>
        <v>Exam Programme</v>
      </c>
      <c r="E355" s="84">
        <f>IFERROR(__xludf.DUMMYFUNCTION("""COMPUTED_VALUE"""),46202.83032347222)</f>
        <v>46202.83032</v>
      </c>
      <c r="F355" s="86">
        <f>IFERROR(__xludf.DUMMYFUNCTION("""COMPUTED_VALUE"""),46202.68745797454)</f>
        <v>46202.68746</v>
      </c>
      <c r="G355" s="86" t="str">
        <f>IFERROR(__xludf.DUMMYFUNCTION("""COMPUTED_VALUE"""),"Done")</f>
        <v>Done</v>
      </c>
      <c r="H355" s="88">
        <f>IFERROR(__xludf.DUMMYFUNCTION("""COMPUTED_VALUE"""),0.0)</f>
        <v>0</v>
      </c>
      <c r="I355" s="90" t="str">
        <f>IFERROR(__xludf.DUMMYFUNCTION("""COMPUTED_VALUE"""),"EMP0042 HULESHWAR KUMAR SAHU")</f>
        <v>EMP0042 HULESHWAR KUMAR SAHU</v>
      </c>
      <c r="J355" s="91"/>
    </row>
    <row r="356">
      <c r="B356" s="76" t="str">
        <f>IFERROR(__xludf.DUMMYFUNCTION("""COMPUTED_VALUE"""),"Discussion with Requester                                                                           ")</f>
        <v>Discussion with Requester                                                                           </v>
      </c>
      <c r="C356" s="82">
        <f>IFERROR(__xludf.DUMMYFUNCTION("""COMPUTED_VALUE"""),5314.0)</f>
        <v>5314</v>
      </c>
      <c r="D356" s="76" t="str">
        <f>IFERROR(__xludf.DUMMYFUNCTION("""COMPUTED_VALUE"""),"student data")</f>
        <v>student data</v>
      </c>
      <c r="E356" s="84">
        <f>IFERROR(__xludf.DUMMYFUNCTION("""COMPUTED_VALUE"""),46203.65584181713)</f>
        <v>46203.65584</v>
      </c>
      <c r="F356" s="86">
        <f>IFERROR(__xludf.DUMMYFUNCTION("""COMPUTED_VALUE"""),46203.54985304399)</f>
        <v>46203.54985</v>
      </c>
      <c r="G356" s="86" t="str">
        <f>IFERROR(__xludf.DUMMYFUNCTION("""COMPUTED_VALUE"""),"Done")</f>
        <v>Done</v>
      </c>
      <c r="H356" s="88">
        <f>IFERROR(__xludf.DUMMYFUNCTION("""COMPUTED_VALUE"""),0.0)</f>
        <v>0</v>
      </c>
      <c r="I356" s="90" t="str">
        <f>IFERROR(__xludf.DUMMYFUNCTION("""COMPUTED_VALUE"""),"EMP0042 HULESHWAR KUMAR SAHU")</f>
        <v>EMP0042 HULESHWAR KUMAR SAHU</v>
      </c>
      <c r="J356" s="91"/>
    </row>
    <row r="357">
      <c r="B357" s="76" t="str">
        <f>IFERROR(__xludf.DUMMYFUNCTION("""COMPUTED_VALUE"""),"Discussion with Requester                                                                           ")</f>
        <v>Discussion with Requester                                                                           </v>
      </c>
      <c r="C357" s="82">
        <f>IFERROR(__xludf.DUMMYFUNCTION("""COMPUTED_VALUE"""),5315.0)</f>
        <v>5315</v>
      </c>
      <c r="D357" s="76" t="str">
        <f>IFERROR(__xludf.DUMMYFUNCTION("""COMPUTED_VALUE"""),"Result Datils ")</f>
        <v>Result Datils </v>
      </c>
      <c r="E357" s="84">
        <f>IFERROR(__xludf.DUMMYFUNCTION("""COMPUTED_VALUE"""),46203.67378351852)</f>
        <v>46203.67378</v>
      </c>
      <c r="F357" s="86">
        <f>IFERROR(__xludf.DUMMYFUNCTION("""COMPUTED_VALUE"""),46203.54987065972)</f>
        <v>46203.54987</v>
      </c>
      <c r="G357" s="86" t="str">
        <f>IFERROR(__xludf.DUMMYFUNCTION("""COMPUTED_VALUE"""),"Done")</f>
        <v>Done</v>
      </c>
      <c r="H357" s="88">
        <f>IFERROR(__xludf.DUMMYFUNCTION("""COMPUTED_VALUE"""),0.0)</f>
        <v>0</v>
      </c>
      <c r="I357" s="90" t="str">
        <f>IFERROR(__xludf.DUMMYFUNCTION("""COMPUTED_VALUE"""),"EMP0237 Swarnendu Chakraborty")</f>
        <v>EMP0237 Swarnendu Chakraborty</v>
      </c>
      <c r="J357" s="91"/>
    </row>
    <row r="358">
      <c r="B358" s="76" t="str">
        <f>IFERROR(__xludf.DUMMYFUNCTION("""COMPUTED_VALUE"""),"Discussion with Requester                                                                           ")</f>
        <v>Discussion with Requester                                                                           </v>
      </c>
      <c r="C358" s="82">
        <f>IFERROR(__xludf.DUMMYFUNCTION("""COMPUTED_VALUE"""),5316.0)</f>
        <v>5316</v>
      </c>
      <c r="D358" s="76" t="str">
        <f>IFERROR(__xludf.DUMMYFUNCTION("""COMPUTED_VALUE"""),"mark entery  report")</f>
        <v>mark entery  report</v>
      </c>
      <c r="E358" s="84">
        <f>IFERROR(__xludf.DUMMYFUNCTION("""COMPUTED_VALUE"""),46203.77165103009)</f>
        <v>46203.77165</v>
      </c>
      <c r="F358" s="86">
        <f>IFERROR(__xludf.DUMMYFUNCTION("""COMPUTED_VALUE"""),46203.67329938658)</f>
        <v>46203.6733</v>
      </c>
      <c r="G358" s="86" t="str">
        <f>IFERROR(__xludf.DUMMYFUNCTION("""COMPUTED_VALUE"""),"Done")</f>
        <v>Done</v>
      </c>
      <c r="H358" s="88">
        <f>IFERROR(__xludf.DUMMYFUNCTION("""COMPUTED_VALUE"""),0.0)</f>
        <v>0</v>
      </c>
      <c r="I358" s="90" t="str">
        <f>IFERROR(__xludf.DUMMYFUNCTION("""COMPUTED_VALUE"""),"EMP0042 HULESHWAR KUMAR SAHU")</f>
        <v>EMP0042 HULESHWAR KUMAR SAHU</v>
      </c>
      <c r="J358" s="91"/>
    </row>
    <row r="359">
      <c r="B359" s="76" t="str">
        <f>IFERROR(__xludf.DUMMYFUNCTION("""COMPUTED_VALUE"""),"Discussion with Requester                                                                           ")</f>
        <v>Discussion with Requester                                                                           </v>
      </c>
      <c r="C359" s="82">
        <f>IFERROR(__xludf.DUMMYFUNCTION("""COMPUTED_VALUE"""),5317.0)</f>
        <v>5317</v>
      </c>
      <c r="D359" s="76" t="str">
        <f>IFERROR(__xludf.DUMMYFUNCTION("""COMPUTED_VALUE"""),"TR PARAMEDICAL NEW LOGIC")</f>
        <v>TR PARAMEDICAL NEW LOGIC</v>
      </c>
      <c r="E359" s="84">
        <f>IFERROR(__xludf.DUMMYFUNCTION("""COMPUTED_VALUE"""),46203.81306299769)</f>
        <v>46203.81306</v>
      </c>
      <c r="F359" s="86">
        <f>IFERROR(__xludf.DUMMYFUNCTION("""COMPUTED_VALUE"""),46203.67480444445)</f>
        <v>46203.6748</v>
      </c>
      <c r="G359" s="86" t="str">
        <f>IFERROR(__xludf.DUMMYFUNCTION("""COMPUTED_VALUE"""),"Done")</f>
        <v>Done</v>
      </c>
      <c r="H359" s="88">
        <f>IFERROR(__xludf.DUMMYFUNCTION("""COMPUTED_VALUE"""),0.0)</f>
        <v>0</v>
      </c>
      <c r="I359" s="90" t="str">
        <f>IFERROR(__xludf.DUMMYFUNCTION("""COMPUTED_VALUE"""),"EMP0042 HULESHWAR KUMAR SAHU")</f>
        <v>EMP0042 HULESHWAR KUMAR SAHU</v>
      </c>
      <c r="J359" s="91"/>
    </row>
    <row r="360">
      <c r="B360" s="76" t="str">
        <f>IFERROR(__xludf.DUMMYFUNCTION("""COMPUTED_VALUE"""),"Discussion with Requester                                                                           ")</f>
        <v>Discussion with Requester                                                                           </v>
      </c>
      <c r="C360" s="82">
        <f>IFERROR(__xludf.DUMMYFUNCTION("""COMPUTED_VALUE"""),5318.0)</f>
        <v>5318</v>
      </c>
      <c r="D360" s="76" t="str">
        <f>IFERROR(__xludf.DUMMYFUNCTION("""COMPUTED_VALUE"""),"Multiple Report (Transcript)")</f>
        <v>Multiple Report (Transcript)</v>
      </c>
      <c r="E360" s="84">
        <f>IFERROR(__xludf.DUMMYFUNCTION("""COMPUTED_VALUE"""),46204.43402777778)</f>
        <v>46204.43403</v>
      </c>
      <c r="F360" s="86">
        <f>IFERROR(__xludf.DUMMYFUNCTION("""COMPUTED_VALUE"""),46203.720708912035)</f>
        <v>46203.72071</v>
      </c>
      <c r="G360" s="86" t="str">
        <f>IFERROR(__xludf.DUMMYFUNCTION("""COMPUTED_VALUE"""),"Done")</f>
        <v>Done</v>
      </c>
      <c r="H360" s="88">
        <f>IFERROR(__xludf.DUMMYFUNCTION("""COMPUTED_VALUE"""),0.0)</f>
        <v>0</v>
      </c>
      <c r="I360" s="90" t="str">
        <f>IFERROR(__xludf.DUMMYFUNCTION("""COMPUTED_VALUE"""),"EMP0237 Swarnendu Chakraborty")</f>
        <v>EMP0237 Swarnendu Chakraborty</v>
      </c>
      <c r="J360" s="91"/>
    </row>
    <row r="361">
      <c r="B361" s="76" t="str">
        <f>IFERROR(__xludf.DUMMYFUNCTION("""COMPUTED_VALUE"""),"Discussion with Requester                                                                           ")</f>
        <v>Discussion with Requester                                                                           </v>
      </c>
      <c r="C361" s="82">
        <f>IFERROR(__xludf.DUMMYFUNCTION("""COMPUTED_VALUE"""),5319.0)</f>
        <v>5319</v>
      </c>
      <c r="D361" s="76" t="str">
        <f>IFERROR(__xludf.DUMMYFUNCTION("""COMPUTED_VALUE"""),"2577")</f>
        <v>2577</v>
      </c>
      <c r="E361" s="84">
        <f>IFERROR(__xludf.DUMMYFUNCTION("""COMPUTED_VALUE"""),46204.60277777778)</f>
        <v>46204.60278</v>
      </c>
      <c r="F361" s="86">
        <f>IFERROR(__xludf.DUMMYFUNCTION("""COMPUTED_VALUE"""),46204.439402094904)</f>
        <v>46204.4394</v>
      </c>
      <c r="G361" s="86" t="str">
        <f>IFERROR(__xludf.DUMMYFUNCTION("""COMPUTED_VALUE"""),"Done")</f>
        <v>Done</v>
      </c>
      <c r="H361" s="88">
        <f>IFERROR(__xludf.DUMMYFUNCTION("""COMPUTED_VALUE"""),0.0)</f>
        <v>0</v>
      </c>
      <c r="I361" s="90" t="str">
        <f>IFERROR(__xludf.DUMMYFUNCTION("""COMPUTED_VALUE"""),"EMP5009 Rup Kumar Mandal")</f>
        <v>EMP5009 Rup Kumar Mandal</v>
      </c>
      <c r="J361" s="91"/>
    </row>
    <row r="362">
      <c r="B362" s="76" t="str">
        <f>IFERROR(__xludf.DUMMYFUNCTION("""COMPUTED_VALUE"""),"Discussion with Requester                                                                           ")</f>
        <v>Discussion with Requester                                                                           </v>
      </c>
      <c r="C362" s="82">
        <f>IFERROR(__xludf.DUMMYFUNCTION("""COMPUTED_VALUE"""),5320.0)</f>
        <v>5320</v>
      </c>
      <c r="D362" s="76" t="str">
        <f>IFERROR(__xludf.DUMMYFUNCTION("""COMPUTED_VALUE"""),"Analysis")</f>
        <v>Analysis</v>
      </c>
      <c r="E362" s="84">
        <f>IFERROR(__xludf.DUMMYFUNCTION("""COMPUTED_VALUE"""),46204.798972557874)</f>
        <v>46204.79897</v>
      </c>
      <c r="F362" s="86">
        <f>IFERROR(__xludf.DUMMYFUNCTION("""COMPUTED_VALUE"""),46204.64060878471)</f>
        <v>46204.64061</v>
      </c>
      <c r="G362" s="86" t="str">
        <f>IFERROR(__xludf.DUMMYFUNCTION("""COMPUTED_VALUE"""),"Done")</f>
        <v>Done</v>
      </c>
      <c r="H362" s="88">
        <f>IFERROR(__xludf.DUMMYFUNCTION("""COMPUTED_VALUE"""),0.0)</f>
        <v>0</v>
      </c>
      <c r="I362" s="90" t="str">
        <f>IFERROR(__xludf.DUMMYFUNCTION("""COMPUTED_VALUE"""),"EMP0021 Tamanna Dewangan")</f>
        <v>EMP0021 Tamanna Dewangan</v>
      </c>
      <c r="J362" s="91"/>
    </row>
    <row r="363">
      <c r="B363" s="76" t="str">
        <f>IFERROR(__xludf.DUMMYFUNCTION("""COMPUTED_VALUE"""),"Discussion with Requester                                                                           ")</f>
        <v>Discussion with Requester                                                                           </v>
      </c>
      <c r="C363" s="82">
        <f>IFERROR(__xludf.DUMMYFUNCTION("""COMPUTED_VALUE"""),5321.0)</f>
        <v>5321</v>
      </c>
      <c r="D363" s="76" t="str">
        <f>IFERROR(__xludf.DUMMYFUNCTION("""COMPUTED_VALUE"""),"Analysis")</f>
        <v>Analysis</v>
      </c>
      <c r="E363" s="84">
        <f>IFERROR(__xludf.DUMMYFUNCTION("""COMPUTED_VALUE"""),46204.80028510416)</f>
        <v>46204.80029</v>
      </c>
      <c r="F363" s="86">
        <f>IFERROR(__xludf.DUMMYFUNCTION("""COMPUTED_VALUE"""),46204.640819050925)</f>
        <v>46204.64082</v>
      </c>
      <c r="G363" s="86" t="str">
        <f>IFERROR(__xludf.DUMMYFUNCTION("""COMPUTED_VALUE"""),"Done")</f>
        <v>Done</v>
      </c>
      <c r="H363" s="88">
        <f>IFERROR(__xludf.DUMMYFUNCTION("""COMPUTED_VALUE"""),0.0)</f>
        <v>0</v>
      </c>
      <c r="I363" s="90" t="str">
        <f>IFERROR(__xludf.DUMMYFUNCTION("""COMPUTED_VALUE"""),"EMP0021 Tamanna Dewangan")</f>
        <v>EMP0021 Tamanna Dewangan</v>
      </c>
      <c r="J363" s="91"/>
    </row>
    <row r="364">
      <c r="B364" s="76" t="str">
        <f>IFERROR(__xludf.DUMMYFUNCTION("""COMPUTED_VALUE"""),"Discussion with Requester                                                                           ")</f>
        <v>Discussion with Requester                                                                           </v>
      </c>
      <c r="C364" s="82">
        <f>IFERROR(__xludf.DUMMYFUNCTION("""COMPUTED_VALUE"""),5322.0)</f>
        <v>5322</v>
      </c>
      <c r="D364" s="76" t="str">
        <f>IFERROR(__xludf.DUMMYFUNCTION("""COMPUTED_VALUE"""),"Analysis")</f>
        <v>Analysis</v>
      </c>
      <c r="E364" s="84">
        <f>IFERROR(__xludf.DUMMYFUNCTION("""COMPUTED_VALUE"""),46204.80133115741)</f>
        <v>46204.80133</v>
      </c>
      <c r="F364" s="86">
        <f>IFERROR(__xludf.DUMMYFUNCTION("""COMPUTED_VALUE"""),46204.64091417824)</f>
        <v>46204.64091</v>
      </c>
      <c r="G364" s="86" t="str">
        <f>IFERROR(__xludf.DUMMYFUNCTION("""COMPUTED_VALUE"""),"Done")</f>
        <v>Done</v>
      </c>
      <c r="H364" s="88">
        <f>IFERROR(__xludf.DUMMYFUNCTION("""COMPUTED_VALUE"""),0.0)</f>
        <v>0</v>
      </c>
      <c r="I364" s="90" t="str">
        <f>IFERROR(__xludf.DUMMYFUNCTION("""COMPUTED_VALUE"""),"EMP0021 Tamanna Dewangan")</f>
        <v>EMP0021 Tamanna Dewangan</v>
      </c>
      <c r="J364" s="91"/>
    </row>
    <row r="365">
      <c r="B365" s="76" t="str">
        <f>IFERROR(__xludf.DUMMYFUNCTION("""COMPUTED_VALUE"""),"Discussion with Requester                                                                           ")</f>
        <v>Discussion with Requester                                                                           </v>
      </c>
      <c r="C365" s="82">
        <f>IFERROR(__xludf.DUMMYFUNCTION("""COMPUTED_VALUE"""),5323.0)</f>
        <v>5323</v>
      </c>
      <c r="D365" s="76" t="str">
        <f>IFERROR(__xludf.DUMMYFUNCTION("""COMPUTED_VALUE"""),"TR AGRICULTURE 1st To 8th sem supply")</f>
        <v>TR AGRICULTURE 1st To 8th sem supply</v>
      </c>
      <c r="E365" s="84">
        <f>IFERROR(__xludf.DUMMYFUNCTION("""COMPUTED_VALUE"""),46204.804288252315)</f>
        <v>46204.80429</v>
      </c>
      <c r="F365" s="86">
        <f>IFERROR(__xludf.DUMMYFUNCTION("""COMPUTED_VALUE"""),46204.641109502314)</f>
        <v>46204.64111</v>
      </c>
      <c r="G365" s="86" t="str">
        <f>IFERROR(__xludf.DUMMYFUNCTION("""COMPUTED_VALUE"""),"Done")</f>
        <v>Done</v>
      </c>
      <c r="H365" s="88">
        <f>IFERROR(__xludf.DUMMYFUNCTION("""COMPUTED_VALUE"""),0.0)</f>
        <v>0</v>
      </c>
      <c r="I365" s="90" t="str">
        <f>IFERROR(__xludf.DUMMYFUNCTION("""COMPUTED_VALUE"""),"EMP0042 HULESHWAR KUMAR SAHU")</f>
        <v>EMP0042 HULESHWAR KUMAR SAHU</v>
      </c>
      <c r="J365" s="91"/>
    </row>
    <row r="366">
      <c r="B366" s="76" t="str">
        <f>IFERROR(__xludf.DUMMYFUNCTION("""COMPUTED_VALUE"""),"Discussion with Requester                                                                           ")</f>
        <v>Discussion with Requester                                                                           </v>
      </c>
      <c r="C366" s="82">
        <f>IFERROR(__xludf.DUMMYFUNCTION("""COMPUTED_VALUE"""),5324.0)</f>
        <v>5324</v>
      </c>
      <c r="D366" s="76" t="str">
        <f>IFERROR(__xludf.DUMMYFUNCTION("""COMPUTED_VALUE"""),"OLD DMC REPORT")</f>
        <v>OLD DMC REPORT</v>
      </c>
      <c r="E366" s="84">
        <f>IFERROR(__xludf.DUMMYFUNCTION("""COMPUTED_VALUE"""),46205.42361111111)</f>
        <v>46205.42361</v>
      </c>
      <c r="F366" s="86">
        <f>IFERROR(__xludf.DUMMYFUNCTION("""COMPUTED_VALUE"""),46204.68552344907)</f>
        <v>46204.68552</v>
      </c>
      <c r="G366" s="86" t="str">
        <f>IFERROR(__xludf.DUMMYFUNCTION("""COMPUTED_VALUE"""),"Done")</f>
        <v>Done</v>
      </c>
      <c r="H366" s="88">
        <f>IFERROR(__xludf.DUMMYFUNCTION("""COMPUTED_VALUE"""),0.0)</f>
        <v>0</v>
      </c>
      <c r="I366" s="90" t="str">
        <f>IFERROR(__xludf.DUMMYFUNCTION("""COMPUTED_VALUE"""),"EMP0237 Swarnendu Chakraborty")</f>
        <v>EMP0237 Swarnendu Chakraborty</v>
      </c>
      <c r="J366" s="91"/>
    </row>
    <row r="367">
      <c r="B367" s="76" t="str">
        <f>IFERROR(__xludf.DUMMYFUNCTION("""COMPUTED_VALUE"""),"Discussion with Requester                                                                           ")</f>
        <v>Discussion with Requester                                                                           </v>
      </c>
      <c r="C367" s="82">
        <f>IFERROR(__xludf.DUMMYFUNCTION("""COMPUTED_VALUE"""),5325.0)</f>
        <v>5325</v>
      </c>
      <c r="D367" s="76" t="str">
        <f>IFERROR(__xludf.DUMMYFUNCTION("""COMPUTED_VALUE"""),"REVEL")</f>
        <v>REVEL</v>
      </c>
      <c r="E367" s="84">
        <f>IFERROR(__xludf.DUMMYFUNCTION("""COMPUTED_VALUE"""),46206.50138888889)</f>
        <v>46206.50139</v>
      </c>
      <c r="F367" s="86">
        <f>IFERROR(__xludf.DUMMYFUNCTION("""COMPUTED_VALUE"""),46205.75881033565)</f>
        <v>46205.75881</v>
      </c>
      <c r="G367" s="86" t="str">
        <f>IFERROR(__xludf.DUMMYFUNCTION("""COMPUTED_VALUE"""),"Done")</f>
        <v>Done</v>
      </c>
      <c r="H367" s="88">
        <f>IFERROR(__xludf.DUMMYFUNCTION("""COMPUTED_VALUE"""),0.0)</f>
        <v>0</v>
      </c>
      <c r="I367" s="90" t="str">
        <f>IFERROR(__xludf.DUMMYFUNCTION("""COMPUTED_VALUE"""),"EMP0042 HULESHWAR KUMAR SAHU")</f>
        <v>EMP0042 HULESHWAR KUMAR SAHU</v>
      </c>
      <c r="J367" s="91"/>
    </row>
    <row r="368">
      <c r="B368" s="76" t="str">
        <f>IFERROR(__xludf.DUMMYFUNCTION("""COMPUTED_VALUE"""),"Discussion with Requester                                                                           ")</f>
        <v>Discussion with Requester                                                                           </v>
      </c>
      <c r="C368" s="82">
        <f>IFERROR(__xludf.DUMMYFUNCTION("""COMPUTED_VALUE"""),5326.0)</f>
        <v>5326</v>
      </c>
      <c r="D368" s="76" t="str">
        <f>IFERROR(__xludf.DUMMYFUNCTION("""COMPUTED_VALUE"""),"Attendance Sheet Re Appear HCEK-203 - Happy College of Education, Railway Station, Kosli (Rewari) Annual ( Annual) UG (B.ED(ADDI))-BACHELOR OF EDUCATION(additional)_SE22")</f>
        <v>Attendance Sheet Re Appear HCEK-203 - Happy College of Education, Railway Station, Kosli (Rewari) Annual ( Annual) UG (B.ED(ADDI))-BACHELOR OF EDUCATION(additional)_SE22</v>
      </c>
      <c r="E368" s="84">
        <f>IFERROR(__xludf.DUMMYFUNCTION("""COMPUTED_VALUE"""),46206.63598229167)</f>
        <v>46206.63598</v>
      </c>
      <c r="F368" s="86">
        <f>IFERROR(__xludf.DUMMYFUNCTION("""COMPUTED_VALUE"""),46206.46963554398)</f>
        <v>46206.46964</v>
      </c>
      <c r="G368" s="86" t="str">
        <f>IFERROR(__xludf.DUMMYFUNCTION("""COMPUTED_VALUE"""),"Done")</f>
        <v>Done</v>
      </c>
      <c r="H368" s="88">
        <f>IFERROR(__xludf.DUMMYFUNCTION("""COMPUTED_VALUE"""),0.0)</f>
        <v>0</v>
      </c>
      <c r="I368" s="90" t="str">
        <f>IFERROR(__xludf.DUMMYFUNCTION("""COMPUTED_VALUE"""),"EMP0042 HULESHWAR KUMAR SAHU")</f>
        <v>EMP0042 HULESHWAR KUMAR SAHU</v>
      </c>
      <c r="J368" s="91"/>
    </row>
    <row r="369">
      <c r="B369" s="76" t="str">
        <f>IFERROR(__xludf.DUMMYFUNCTION("""COMPUTED_VALUE"""),"Discussion with Requester                                                                           ")</f>
        <v>Discussion with Requester                                                                           </v>
      </c>
      <c r="C369" s="82">
        <f>IFERROR(__xludf.DUMMYFUNCTION("""COMPUTED_VALUE"""),5327.0)</f>
        <v>5327</v>
      </c>
      <c r="D369" s="76" t="str">
        <f>IFERROR(__xludf.DUMMYFUNCTION("""COMPUTED_VALUE"""),"Theory Attendance Sheet SCEM-188 - Saraswati College of Education, Majra Kalan, Mohindergarh Annual ( Annual) UG BACHELOR OF EDUCATION(additional) ( B.ED(ADDI))_SE22")</f>
        <v>Theory Attendance Sheet SCEM-188 - Saraswati College of Education, Majra Kalan, Mohindergarh Annual ( Annual) UG BACHELOR OF EDUCATION(additional) ( B.ED(ADDI))_SE22</v>
      </c>
      <c r="E369" s="84">
        <f>IFERROR(__xludf.DUMMYFUNCTION("""COMPUTED_VALUE"""),46206.63760033565)</f>
        <v>46206.6376</v>
      </c>
      <c r="F369" s="86">
        <f>IFERROR(__xludf.DUMMYFUNCTION("""COMPUTED_VALUE"""),46206.480920243055)</f>
        <v>46206.48092</v>
      </c>
      <c r="G369" s="86" t="str">
        <f>IFERROR(__xludf.DUMMYFUNCTION("""COMPUTED_VALUE"""),"Done")</f>
        <v>Done</v>
      </c>
      <c r="H369" s="88">
        <f>IFERROR(__xludf.DUMMYFUNCTION("""COMPUTED_VALUE"""),0.0)</f>
        <v>0</v>
      </c>
      <c r="I369" s="90" t="str">
        <f>IFERROR(__xludf.DUMMYFUNCTION("""COMPUTED_VALUE"""),"EMP0021 Tamanna Dewangan")</f>
        <v>EMP0021 Tamanna Dewangan</v>
      </c>
      <c r="J369" s="91"/>
    </row>
    <row r="370">
      <c r="B370" s="76" t="str">
        <f>IFERROR(__xludf.DUMMYFUNCTION("""COMPUTED_VALUE"""),"Discussion with Requester                                                                           ")</f>
        <v>Discussion with Requester                                                                           </v>
      </c>
      <c r="C370" s="82">
        <f>IFERROR(__xludf.DUMMYFUNCTION("""COMPUTED_VALUE"""),5328.0)</f>
        <v>5328</v>
      </c>
      <c r="D370" s="76" t="str">
        <f>IFERROR(__xludf.DUMMYFUNCTION("""COMPUTED_VALUE"""),"CBCS AND CGP 8th SEM (FINAL TR COMBINED) Eighth Semester ( Sem - 8) UG BACHELOR OF HOTEL MANAGEMENT &amp; CATERING TECHNOLOGY (B.H.M.C.T) ( B.H.M.C.T)_SE22")</f>
        <v>CBCS AND CGP 8th SEM (FINAL TR COMBINED) Eighth Semester ( Sem - 8) UG BACHELOR OF HOTEL MANAGEMENT &amp; CATERING TECHNOLOGY (B.H.M.C.T) ( B.H.M.C.T)_SE22</v>
      </c>
      <c r="E370" s="84">
        <f>IFERROR(__xludf.DUMMYFUNCTION("""COMPUTED_VALUE"""),46206.658121099535)</f>
        <v>46206.65812</v>
      </c>
      <c r="F370" s="86">
        <f>IFERROR(__xludf.DUMMYFUNCTION("""COMPUTED_VALUE"""),46206.49674068287)</f>
        <v>46206.49674</v>
      </c>
      <c r="G370" s="86" t="str">
        <f>IFERROR(__xludf.DUMMYFUNCTION("""COMPUTED_VALUE"""),"Done")</f>
        <v>Done</v>
      </c>
      <c r="H370" s="88">
        <f>IFERROR(__xludf.DUMMYFUNCTION("""COMPUTED_VALUE"""),0.0)</f>
        <v>0</v>
      </c>
      <c r="I370" s="90" t="str">
        <f>IFERROR(__xludf.DUMMYFUNCTION("""COMPUTED_VALUE"""),"EMP0042 HULESHWAR KUMAR SAHU")</f>
        <v>EMP0042 HULESHWAR KUMAR SAHU</v>
      </c>
      <c r="J370" s="91"/>
    </row>
    <row r="371">
      <c r="B371" s="76" t="str">
        <f>IFERROR(__xludf.DUMMYFUNCTION("""COMPUTED_VALUE"""),"Discussion with Requester                                                                           ")</f>
        <v>Discussion with Requester                                                                           </v>
      </c>
      <c r="C371" s="82">
        <f>IFERROR(__xludf.DUMMYFUNCTION("""COMPUTED_VALUE"""),5329.0)</f>
        <v>5329</v>
      </c>
      <c r="D371" s="76" t="str">
        <f>IFERROR(__xludf.DUMMYFUNCTION("""COMPUTED_VALUE"""),"TR NEW AGRICULTURE AND ALL")</f>
        <v>TR NEW AGRICULTURE AND ALL</v>
      </c>
      <c r="E371" s="84">
        <f>IFERROR(__xludf.DUMMYFUNCTION("""COMPUTED_VALUE"""),46206.717498136575)</f>
        <v>46206.7175</v>
      </c>
      <c r="F371" s="86">
        <f>IFERROR(__xludf.DUMMYFUNCTION("""COMPUTED_VALUE"""),46206.55207167825)</f>
        <v>46206.55207</v>
      </c>
      <c r="G371" s="86" t="str">
        <f>IFERROR(__xludf.DUMMYFUNCTION("""COMPUTED_VALUE"""),"Done")</f>
        <v>Done</v>
      </c>
      <c r="H371" s="88">
        <f>IFERROR(__xludf.DUMMYFUNCTION("""COMPUTED_VALUE"""),0.0)</f>
        <v>0</v>
      </c>
      <c r="I371" s="90" t="str">
        <f>IFERROR(__xludf.DUMMYFUNCTION("""COMPUTED_VALUE"""),"EMP0042 HULESHWAR KUMAR SAHU")</f>
        <v>EMP0042 HULESHWAR KUMAR SAHU</v>
      </c>
      <c r="J371" s="91"/>
    </row>
    <row r="372">
      <c r="B372" s="76" t="str">
        <f>IFERROR(__xludf.DUMMYFUNCTION("""COMPUTED_VALUE"""),"Discussion with Requester                                                                           ")</f>
        <v>Discussion with Requester                                                                           </v>
      </c>
      <c r="C372" s="82">
        <f>IFERROR(__xludf.DUMMYFUNCTION("""COMPUTED_VALUE"""),5330.0)</f>
        <v>5330</v>
      </c>
      <c r="D372" s="76" t="str">
        <f>IFERROR(__xludf.DUMMYFUNCTION("""COMPUTED_VALUE"""),"B.ED ADDITIONAL ANNUAL ATTENDENCE SHEET  RESOLVED ")</f>
        <v>B.ED ADDITIONAL ANNUAL ATTENDENCE SHEET  RESOLVED </v>
      </c>
      <c r="E372" s="84">
        <f>IFERROR(__xludf.DUMMYFUNCTION("""COMPUTED_VALUE"""),46207.45)</f>
        <v>46207.45</v>
      </c>
      <c r="F372" s="86">
        <f>IFERROR(__xludf.DUMMYFUNCTION("""COMPUTED_VALUE"""),46206.74919074074)</f>
        <v>46206.74919</v>
      </c>
      <c r="G372" s="86" t="str">
        <f>IFERROR(__xludf.DUMMYFUNCTION("""COMPUTED_VALUE"""),"Done")</f>
        <v>Done</v>
      </c>
      <c r="H372" s="88">
        <f>IFERROR(__xludf.DUMMYFUNCTION("""COMPUTED_VALUE"""),0.0)</f>
        <v>0</v>
      </c>
      <c r="I372" s="90" t="str">
        <f>IFERROR(__xludf.DUMMYFUNCTION("""COMPUTED_VALUE"""),"EMP5009 Rup Kumar Mandal")</f>
        <v>EMP5009 Rup Kumar Mandal</v>
      </c>
      <c r="J372" s="91"/>
    </row>
    <row r="373">
      <c r="B373" s="76" t="str">
        <f>IFERROR(__xludf.DUMMYFUNCTION("""COMPUTED_VALUE"""),"Discussion with Requester                                                                           ")</f>
        <v>Discussion with Requester                                                                           </v>
      </c>
      <c r="C373" s="82">
        <f>IFERROR(__xludf.DUMMYFUNCTION("""COMPUTED_VALUE"""),5331.0)</f>
        <v>5331</v>
      </c>
      <c r="D373" s="76" t="str">
        <f>IFERROR(__xludf.DUMMYFUNCTION("""COMPUTED_VALUE"""),"Correction")</f>
        <v>Correction</v>
      </c>
      <c r="E373" s="84">
        <f>IFERROR(__xludf.DUMMYFUNCTION("""COMPUTED_VALUE"""),46207.50555555556)</f>
        <v>46207.50556</v>
      </c>
      <c r="F373" s="86">
        <f>IFERROR(__xludf.DUMMYFUNCTION("""COMPUTED_VALUE"""),46206.80368108797)</f>
        <v>46206.80368</v>
      </c>
      <c r="G373" s="86" t="str">
        <f>IFERROR(__xludf.DUMMYFUNCTION("""COMPUTED_VALUE"""),"Done")</f>
        <v>Done</v>
      </c>
      <c r="H373" s="88">
        <f>IFERROR(__xludf.DUMMYFUNCTION("""COMPUTED_VALUE"""),0.0)</f>
        <v>0</v>
      </c>
      <c r="I373" s="90" t="str">
        <f>IFERROR(__xludf.DUMMYFUNCTION("""COMPUTED_VALUE"""),"EMP5009 Rup Kumar Mandal")</f>
        <v>EMP5009 Rup Kumar Mandal</v>
      </c>
      <c r="J373" s="91"/>
    </row>
    <row r="374">
      <c r="B374" s="76" t="str">
        <f>IFERROR(__xludf.DUMMYFUNCTION("""COMPUTED_VALUE"""),"Discussion with Requester                                                                           ")</f>
        <v>Discussion with Requester                                                                           </v>
      </c>
      <c r="C374" s="82">
        <f>IFERROR(__xludf.DUMMYFUNCTION("""COMPUTED_VALUE"""),5332.0)</f>
        <v>5332</v>
      </c>
      <c r="D374" s="76" t="str">
        <f>IFERROR(__xludf.DUMMYFUNCTION("""COMPUTED_VALUE"""),"Same students double entry correction in TR")</f>
        <v>Same students double entry correction in TR</v>
      </c>
      <c r="E374" s="84">
        <f>IFERROR(__xludf.DUMMYFUNCTION("""COMPUTED_VALUE"""),46213.486783842585)</f>
        <v>46213.48678</v>
      </c>
      <c r="F374" s="86">
        <f>IFERROR(__xludf.DUMMYFUNCTION("""COMPUTED_VALUE"""),46209.4296800463)</f>
        <v>46209.42968</v>
      </c>
      <c r="G374" s="86" t="str">
        <f>IFERROR(__xludf.DUMMYFUNCTION("""COMPUTED_VALUE"""),"Done")</f>
        <v>Done</v>
      </c>
      <c r="H374" s="88">
        <f>IFERROR(__xludf.DUMMYFUNCTION("""COMPUTED_VALUE"""),0.0)</f>
        <v>0</v>
      </c>
      <c r="I374" s="90" t="str">
        <f>IFERROR(__xludf.DUMMYFUNCTION("""COMPUTED_VALUE"""),"EMP5009 Rup Kumar Mandal")</f>
        <v>EMP5009 Rup Kumar Mandal</v>
      </c>
      <c r="J374" s="91"/>
    </row>
    <row r="375">
      <c r="B375" s="76" t="str">
        <f>IFERROR(__xludf.DUMMYFUNCTION("""COMPUTED_VALUE"""),"Discussion with Requester                                                                           ")</f>
        <v>Discussion with Requester                                                                           </v>
      </c>
      <c r="C375" s="82">
        <f>IFERROR(__xludf.DUMMYFUNCTION("""COMPUTED_VALUE"""),5333.0)</f>
        <v>5333</v>
      </c>
      <c r="D375" s="76" t="str">
        <f>IFERROR(__xludf.DUMMYFUNCTION("""COMPUTED_VALUE"""),"plaease update the fee report")</f>
        <v>plaease update the fee report</v>
      </c>
      <c r="E375" s="84">
        <f>IFERROR(__xludf.DUMMYFUNCTION("""COMPUTED_VALUE"""),46209.523611111115)</f>
        <v>46209.52361</v>
      </c>
      <c r="F375" s="86">
        <f>IFERROR(__xludf.DUMMYFUNCTION("""COMPUTED_VALUE"""),46209.42971490741)</f>
        <v>46209.42971</v>
      </c>
      <c r="G375" s="86" t="str">
        <f>IFERROR(__xludf.DUMMYFUNCTION("""COMPUTED_VALUE"""),"Done")</f>
        <v>Done</v>
      </c>
      <c r="H375" s="88">
        <f>IFERROR(__xludf.DUMMYFUNCTION("""COMPUTED_VALUE"""),0.0)</f>
        <v>0</v>
      </c>
      <c r="I375" s="90" t="str">
        <f>IFERROR(__xludf.DUMMYFUNCTION("""COMPUTED_VALUE"""),"EMP5009 Rup Kumar Mandal")</f>
        <v>EMP5009 Rup Kumar Mandal</v>
      </c>
      <c r="J375" s="91"/>
    </row>
    <row r="376">
      <c r="B376" s="76" t="str">
        <f>IFERROR(__xludf.DUMMYFUNCTION("""COMPUTED_VALUE"""),"Discussion with Requester                                                                           ")</f>
        <v>Discussion with Requester                                                                           </v>
      </c>
      <c r="C376" s="82">
        <f>IFERROR(__xludf.DUMMYFUNCTION("""COMPUTED_VALUE"""),5334.0)</f>
        <v>5334</v>
      </c>
      <c r="D376" s="76" t="str">
        <f>IFERROR(__xludf.DUMMYFUNCTION("""COMPUTED_VALUE"""),"Admit Card")</f>
        <v>Admit Card</v>
      </c>
      <c r="E376" s="84">
        <f>IFERROR(__xludf.DUMMYFUNCTION("""COMPUTED_VALUE"""),46209.61183577546)</f>
        <v>46209.61184</v>
      </c>
      <c r="F376" s="86">
        <f>IFERROR(__xludf.DUMMYFUNCTION("""COMPUTED_VALUE"""),46209.48327420139)</f>
        <v>46209.48327</v>
      </c>
      <c r="G376" s="86" t="str">
        <f>IFERROR(__xludf.DUMMYFUNCTION("""COMPUTED_VALUE"""),"Done")</f>
        <v>Done</v>
      </c>
      <c r="H376" s="88">
        <f>IFERROR(__xludf.DUMMYFUNCTION("""COMPUTED_VALUE"""),0.0)</f>
        <v>0</v>
      </c>
      <c r="I376" s="90" t="str">
        <f>IFERROR(__xludf.DUMMYFUNCTION("""COMPUTED_VALUE"""),"EMP0042 HULESHWAR KUMAR SAHU")</f>
        <v>EMP0042 HULESHWAR KUMAR SAHU</v>
      </c>
      <c r="J376" s="91"/>
    </row>
    <row r="377">
      <c r="B377" s="76" t="str">
        <f>IFERROR(__xludf.DUMMYFUNCTION("""COMPUTED_VALUE"""),"Discussion with Requester                                                                           ")</f>
        <v>Discussion with Requester                                                                           </v>
      </c>
      <c r="C377" s="82">
        <f>IFERROR(__xludf.DUMMYFUNCTION("""COMPUTED_VALUE"""),5335.0)</f>
        <v>5335</v>
      </c>
      <c r="D377" s="76" t="str">
        <f>IFERROR(__xludf.DUMMYFUNCTION("""COMPUTED_VALUE"""),"TR PARAMEDICAL NEW LOGIC")</f>
        <v>TR PARAMEDICAL NEW LOGIC</v>
      </c>
      <c r="E377" s="84">
        <f>IFERROR(__xludf.DUMMYFUNCTION("""COMPUTED_VALUE"""),46209.65279609954)</f>
        <v>46209.6528</v>
      </c>
      <c r="F377" s="86">
        <f>IFERROR(__xludf.DUMMYFUNCTION("""COMPUTED_VALUE"""),46209.497089930555)</f>
        <v>46209.49709</v>
      </c>
      <c r="G377" s="86" t="str">
        <f>IFERROR(__xludf.DUMMYFUNCTION("""COMPUTED_VALUE"""),"Done")</f>
        <v>Done</v>
      </c>
      <c r="H377" s="88">
        <f>IFERROR(__xludf.DUMMYFUNCTION("""COMPUTED_VALUE"""),0.0)</f>
        <v>0</v>
      </c>
      <c r="I377" s="90" t="str">
        <f>IFERROR(__xludf.DUMMYFUNCTION("""COMPUTED_VALUE"""),"EMP0042 HULESHWAR KUMAR SAHU")</f>
        <v>EMP0042 HULESHWAR KUMAR SAHU</v>
      </c>
      <c r="J377" s="91"/>
    </row>
    <row r="378">
      <c r="B378" s="76" t="str">
        <f>IFERROR(__xludf.DUMMYFUNCTION("""COMPUTED_VALUE"""),"Discussion with Requester                                                                           ")</f>
        <v>Discussion with Requester                                                                           </v>
      </c>
      <c r="C378" s="82">
        <f>IFERROR(__xludf.DUMMYFUNCTION("""COMPUTED_VALUE"""),5336.0)</f>
        <v>5336</v>
      </c>
      <c r="D378" s="76" t="str">
        <f>IFERROR(__xludf.DUMMYFUNCTION("""COMPUTED_VALUE"""),"Date Wise filter")</f>
        <v>Date Wise filter</v>
      </c>
      <c r="E378" s="84">
        <f>IFERROR(__xludf.DUMMYFUNCTION("""COMPUTED_VALUE"""),46209.693168564816)</f>
        <v>46209.69317</v>
      </c>
      <c r="F378" s="86">
        <f>IFERROR(__xludf.DUMMYFUNCTION("""COMPUTED_VALUE"""),46209.587876840276)</f>
        <v>46209.58788</v>
      </c>
      <c r="G378" s="86" t="str">
        <f>IFERROR(__xludf.DUMMYFUNCTION("""COMPUTED_VALUE"""),"Done")</f>
        <v>Done</v>
      </c>
      <c r="H378" s="88">
        <f>IFERROR(__xludf.DUMMYFUNCTION("""COMPUTED_VALUE"""),0.0)</f>
        <v>0</v>
      </c>
      <c r="I378" s="90" t="str">
        <f>IFERROR(__xludf.DUMMYFUNCTION("""COMPUTED_VALUE"""),"EMP5009 Rup Kumar Mandal")</f>
        <v>EMP5009 Rup Kumar Mandal</v>
      </c>
      <c r="J378" s="91"/>
    </row>
    <row r="379">
      <c r="B379" s="76" t="str">
        <f>IFERROR(__xludf.DUMMYFUNCTION("""COMPUTED_VALUE"""),"Discussion with Requester                                                                           ")</f>
        <v>Discussion with Requester                                                                           </v>
      </c>
      <c r="C379" s="82">
        <f>IFERROR(__xludf.DUMMYFUNCTION("""COMPUTED_VALUE"""),5337.0)</f>
        <v>5337</v>
      </c>
      <c r="D379" s="76" t="str">
        <f>IFERROR(__xludf.DUMMYFUNCTION("""COMPUTED_VALUE"""),"ALL PROVISIONAL FILES")</f>
        <v>ALL PROVISIONAL FILES</v>
      </c>
      <c r="E379" s="84">
        <f>IFERROR(__xludf.DUMMYFUNCTION("""COMPUTED_VALUE"""),46209.75285592592)</f>
        <v>46209.75286</v>
      </c>
      <c r="F379" s="86">
        <f>IFERROR(__xludf.DUMMYFUNCTION("""COMPUTED_VALUE"""),46209.587885844914)</f>
        <v>46209.58789</v>
      </c>
      <c r="G379" s="86" t="str">
        <f>IFERROR(__xludf.DUMMYFUNCTION("""COMPUTED_VALUE"""),"Done")</f>
        <v>Done</v>
      </c>
      <c r="H379" s="88">
        <f>IFERROR(__xludf.DUMMYFUNCTION("""COMPUTED_VALUE"""),0.0)</f>
        <v>0</v>
      </c>
      <c r="I379" s="90" t="str">
        <f>IFERROR(__xludf.DUMMYFUNCTION("""COMPUTED_VALUE"""),"EMP0042 HULESHWAR KUMAR SAHU")</f>
        <v>EMP0042 HULESHWAR KUMAR SAHU</v>
      </c>
      <c r="J379" s="91"/>
    </row>
    <row r="380">
      <c r="B380" s="76" t="str">
        <f>IFERROR(__xludf.DUMMYFUNCTION("""COMPUTED_VALUE"""),"Discussion with Requester                                                                           ")</f>
        <v>Discussion with Requester                                                                           </v>
      </c>
      <c r="C380" s="82">
        <f>IFERROR(__xludf.DUMMYFUNCTION("""COMPUTED_VALUE"""),5338.0)</f>
        <v>5338</v>
      </c>
      <c r="D380" s="76" t="str">
        <f>IFERROR(__xludf.DUMMYFUNCTION("""COMPUTED_VALUE"""),"Drop Down Selection")</f>
        <v>Drop Down Selection</v>
      </c>
      <c r="E380" s="84">
        <f>IFERROR(__xludf.DUMMYFUNCTION("""COMPUTED_VALUE"""),46210.45806712963)</f>
        <v>46210.45807</v>
      </c>
      <c r="F380" s="86">
        <f>IFERROR(__xludf.DUMMYFUNCTION("""COMPUTED_VALUE"""),46209.72742420139)</f>
        <v>46209.72742</v>
      </c>
      <c r="G380" s="86" t="str">
        <f>IFERROR(__xludf.DUMMYFUNCTION("""COMPUTED_VALUE"""),"Done")</f>
        <v>Done</v>
      </c>
      <c r="H380" s="88">
        <f>IFERROR(__xludf.DUMMYFUNCTION("""COMPUTED_VALUE"""),0.0)</f>
        <v>0</v>
      </c>
      <c r="I380" s="90" t="str">
        <f>IFERROR(__xludf.DUMMYFUNCTION("""COMPUTED_VALUE"""),"EMP0237 Swarnendu Chakraborty")</f>
        <v>EMP0237 Swarnendu Chakraborty</v>
      </c>
      <c r="J380" s="91"/>
    </row>
    <row r="381">
      <c r="B381" s="76" t="str">
        <f>IFERROR(__xludf.DUMMYFUNCTION("""COMPUTED_VALUE"""),"Discussion with Requester                                                                           ")</f>
        <v>Discussion with Requester                                                                           </v>
      </c>
      <c r="C381" s="82">
        <f>IFERROR(__xludf.DUMMYFUNCTION("""COMPUTED_VALUE"""),5339.0)</f>
        <v>5339</v>
      </c>
      <c r="D381" s="76" t="str">
        <f>IFERROR(__xludf.DUMMYFUNCTION("""COMPUTED_VALUE"""),"	Packet_Slip_Date_Wise")</f>
        <v>	Packet_Slip_Date_Wise</v>
      </c>
      <c r="E381" s="84">
        <f>IFERROR(__xludf.DUMMYFUNCTION("""COMPUTED_VALUE"""),46210.450694444444)</f>
        <v>46210.45069</v>
      </c>
      <c r="F381" s="86">
        <f>IFERROR(__xludf.DUMMYFUNCTION("""COMPUTED_VALUE"""),46209.72860538194)</f>
        <v>46209.72861</v>
      </c>
      <c r="G381" s="86" t="str">
        <f>IFERROR(__xludf.DUMMYFUNCTION("""COMPUTED_VALUE"""),"Done")</f>
        <v>Done</v>
      </c>
      <c r="H381" s="88">
        <f>IFERROR(__xludf.DUMMYFUNCTION("""COMPUTED_VALUE"""),0.0)</f>
        <v>0</v>
      </c>
      <c r="I381" s="90" t="str">
        <f>IFERROR(__xludf.DUMMYFUNCTION("""COMPUTED_VALUE"""),"EMP0042 HULESHWAR KUMAR SAHU")</f>
        <v>EMP0042 HULESHWAR KUMAR SAHU</v>
      </c>
      <c r="J381" s="91"/>
    </row>
    <row r="382">
      <c r="B382" s="76" t="str">
        <f>IFERROR(__xludf.DUMMYFUNCTION("""COMPUTED_VALUE"""),"Discussion with Requester                                                                           ")</f>
        <v>Discussion with Requester                                                                           </v>
      </c>
      <c r="C382" s="82">
        <f>IFERROR(__xludf.DUMMYFUNCTION("""COMPUTED_VALUE"""),5340.0)</f>
        <v>5340</v>
      </c>
      <c r="D382" s="76" t="str">
        <f>IFERROR(__xludf.DUMMYFUNCTION("""COMPUTED_VALUE"""),"TR-REPORT")</f>
        <v>TR-REPORT</v>
      </c>
      <c r="E382" s="84">
        <f>IFERROR(__xludf.DUMMYFUNCTION("""COMPUTED_VALUE"""),46210.69559671296)</f>
        <v>46210.6956</v>
      </c>
      <c r="F382" s="86">
        <f>IFERROR(__xludf.DUMMYFUNCTION("""COMPUTED_VALUE"""),46210.61863622685)</f>
        <v>46210.61864</v>
      </c>
      <c r="G382" s="86" t="str">
        <f>IFERROR(__xludf.DUMMYFUNCTION("""COMPUTED_VALUE"""),"Done")</f>
        <v>Done</v>
      </c>
      <c r="H382" s="88">
        <f>IFERROR(__xludf.DUMMYFUNCTION("""COMPUTED_VALUE"""),0.0)</f>
        <v>0</v>
      </c>
      <c r="I382" s="90" t="str">
        <f>IFERROR(__xludf.DUMMYFUNCTION("""COMPUTED_VALUE"""),"EMP0042 HULESHWAR KUMAR SAHU")</f>
        <v>EMP0042 HULESHWAR KUMAR SAHU</v>
      </c>
      <c r="J382" s="91"/>
    </row>
    <row r="383">
      <c r="B383" s="76" t="str">
        <f>IFERROR(__xludf.DUMMYFUNCTION("""COMPUTED_VALUE"""),"Discussion with Requester                                                                           ")</f>
        <v>Discussion with Requester                                                                           </v>
      </c>
      <c r="C383" s="82">
        <f>IFERROR(__xludf.DUMMYFUNCTION("""COMPUTED_VALUE"""),5341.0)</f>
        <v>5341</v>
      </c>
      <c r="D383" s="76" t="str">
        <f>IFERROR(__xludf.DUMMYFUNCTION("""COMPUTED_VALUE"""),"Attendance Report")</f>
        <v>Attendance Report</v>
      </c>
      <c r="E383" s="84">
        <f>IFERROR(__xludf.DUMMYFUNCTION("""COMPUTED_VALUE"""),46211.64894693287)</f>
        <v>46211.64895</v>
      </c>
      <c r="F383" s="86">
        <f>IFERROR(__xludf.DUMMYFUNCTION("""COMPUTED_VALUE"""),46211.526876331016)</f>
        <v>46211.52688</v>
      </c>
      <c r="G383" s="86" t="str">
        <f>IFERROR(__xludf.DUMMYFUNCTION("""COMPUTED_VALUE"""),"Done")</f>
        <v>Done</v>
      </c>
      <c r="H383" s="88">
        <f>IFERROR(__xludf.DUMMYFUNCTION("""COMPUTED_VALUE"""),0.0)</f>
        <v>0</v>
      </c>
      <c r="I383" s="90" t="str">
        <f>IFERROR(__xludf.DUMMYFUNCTION("""COMPUTED_VALUE"""),"EMP0237 Swarnendu Chakraborty")</f>
        <v>EMP0237 Swarnendu Chakraborty</v>
      </c>
      <c r="J383" s="91"/>
    </row>
    <row r="384">
      <c r="B384" s="76" t="str">
        <f>IFERROR(__xludf.DUMMYFUNCTION("""COMPUTED_VALUE"""),"Discussion with Requester                                                                           ")</f>
        <v>Discussion with Requester                                                                           </v>
      </c>
      <c r="C384" s="82">
        <f>IFERROR(__xludf.DUMMYFUNCTION("""COMPUTED_VALUE"""),5342.0)</f>
        <v>5342</v>
      </c>
      <c r="D384" s="76" t="str">
        <f>IFERROR(__xludf.DUMMYFUNCTION("""COMPUTED_VALUE"""),"Merit List")</f>
        <v>Merit List</v>
      </c>
      <c r="E384" s="84">
        <f>IFERROR(__xludf.DUMMYFUNCTION("""COMPUTED_VALUE"""),46211.722617141204)</f>
        <v>46211.72262</v>
      </c>
      <c r="F384" s="86">
        <f>IFERROR(__xludf.DUMMYFUNCTION("""COMPUTED_VALUE"""),46211.64642983796)</f>
        <v>46211.64643</v>
      </c>
      <c r="G384" s="86" t="str">
        <f>IFERROR(__xludf.DUMMYFUNCTION("""COMPUTED_VALUE"""),"Done")</f>
        <v>Done</v>
      </c>
      <c r="H384" s="88">
        <f>IFERROR(__xludf.DUMMYFUNCTION("""COMPUTED_VALUE"""),0.0)</f>
        <v>0</v>
      </c>
      <c r="I384" s="90" t="str">
        <f>IFERROR(__xludf.DUMMYFUNCTION("""COMPUTED_VALUE"""),"EMP0042 HULESHWAR KUMAR SAHU")</f>
        <v>EMP0042 HULESHWAR KUMAR SAHU</v>
      </c>
      <c r="J384" s="91"/>
    </row>
    <row r="385">
      <c r="B385" s="76" t="str">
        <f>IFERROR(__xludf.DUMMYFUNCTION("""COMPUTED_VALUE"""),"Discussion with Requester                                                                           ")</f>
        <v>Discussion with Requester                                                                           </v>
      </c>
      <c r="C385" s="82">
        <f>IFERROR(__xludf.DUMMYFUNCTION("""COMPUTED_VALUE"""),5343.0)</f>
        <v>5343</v>
      </c>
      <c r="D385" s="76" t="str">
        <f>IFERROR(__xludf.DUMMYFUNCTION("""COMPUTED_VALUE"""),"Multiple Report Bcom MS")</f>
        <v>Multiple Report Bcom MS</v>
      </c>
      <c r="E385" s="84">
        <f>IFERROR(__xludf.DUMMYFUNCTION("""COMPUTED_VALUE"""),46211.76186371528)</f>
        <v>46211.76186</v>
      </c>
      <c r="F385" s="86">
        <f>IFERROR(__xludf.DUMMYFUNCTION("""COMPUTED_VALUE"""),46211.64646356481)</f>
        <v>46211.64646</v>
      </c>
      <c r="G385" s="86" t="str">
        <f>IFERROR(__xludf.DUMMYFUNCTION("""COMPUTED_VALUE"""),"Done")</f>
        <v>Done</v>
      </c>
      <c r="H385" s="88">
        <f>IFERROR(__xludf.DUMMYFUNCTION("""COMPUTED_VALUE"""),0.0)</f>
        <v>0</v>
      </c>
      <c r="I385" s="90" t="str">
        <f>IFERROR(__xludf.DUMMYFUNCTION("""COMPUTED_VALUE"""),"EMP0042 HULESHWAR KUMAR SAHU")</f>
        <v>EMP0042 HULESHWAR KUMAR SAHU</v>
      </c>
      <c r="J385" s="91"/>
    </row>
    <row r="386">
      <c r="B386" s="76" t="str">
        <f>IFERROR(__xludf.DUMMYFUNCTION("""COMPUTED_VALUE"""),"Discussion with Requester                                                                           ")</f>
        <v>Discussion with Requester                                                                           </v>
      </c>
      <c r="C386" s="82">
        <f>IFERROR(__xludf.DUMMYFUNCTION("""COMPUTED_VALUE"""),5344.0)</f>
        <v>5344</v>
      </c>
      <c r="D386" s="76" t="str">
        <f>IFERROR(__xludf.DUMMYFUNCTION("""COMPUTED_VALUE"""),"GAU Attendancesheet")</f>
        <v>GAU Attendancesheet</v>
      </c>
      <c r="E386" s="84">
        <f>IFERROR(__xludf.DUMMYFUNCTION("""COMPUTED_VALUE"""),46212.475694444445)</f>
        <v>46212.47569</v>
      </c>
      <c r="F386" s="86">
        <f>IFERROR(__xludf.DUMMYFUNCTION("""COMPUTED_VALUE"""),46211.72734082176)</f>
        <v>46211.72734</v>
      </c>
      <c r="G386" s="86" t="str">
        <f>IFERROR(__xludf.DUMMYFUNCTION("""COMPUTED_VALUE"""),"Done")</f>
        <v>Done</v>
      </c>
      <c r="H386" s="88">
        <f>IFERROR(__xludf.DUMMYFUNCTION("""COMPUTED_VALUE"""),0.0)</f>
        <v>0</v>
      </c>
      <c r="I386" s="90" t="str">
        <f>IFERROR(__xludf.DUMMYFUNCTION("""COMPUTED_VALUE"""),"EMP0021 Tamanna Dewangan")</f>
        <v>EMP0021 Tamanna Dewangan</v>
      </c>
      <c r="J386" s="91"/>
    </row>
    <row r="387">
      <c r="B387" s="76" t="str">
        <f>IFERROR(__xludf.DUMMYFUNCTION("""COMPUTED_VALUE"""),"Discussion with Requester                                                                           ")</f>
        <v>Discussion with Requester                                                                           </v>
      </c>
      <c r="C387" s="82">
        <f>IFERROR(__xludf.DUMMYFUNCTION("""COMPUTED_VALUE"""),5345.0)</f>
        <v>5345</v>
      </c>
      <c r="D387" s="76" t="str">
        <f>IFERROR(__xludf.DUMMYFUNCTION("""COMPUTED_VALUE"""),"UG Attendance Sheet")</f>
        <v>UG Attendance Sheet</v>
      </c>
      <c r="E387" s="84">
        <f>IFERROR(__xludf.DUMMYFUNCTION("""COMPUTED_VALUE"""),46212.48472222222)</f>
        <v>46212.48472</v>
      </c>
      <c r="F387" s="86">
        <f>IFERROR(__xludf.DUMMYFUNCTION("""COMPUTED_VALUE"""),46211.73889502315)</f>
        <v>46211.7389</v>
      </c>
      <c r="G387" s="86" t="str">
        <f>IFERROR(__xludf.DUMMYFUNCTION("""COMPUTED_VALUE"""),"Done")</f>
        <v>Done</v>
      </c>
      <c r="H387" s="88">
        <f>IFERROR(__xludf.DUMMYFUNCTION("""COMPUTED_VALUE"""),0.0)</f>
        <v>0</v>
      </c>
      <c r="I387" s="90" t="str">
        <f>IFERROR(__xludf.DUMMYFUNCTION("""COMPUTED_VALUE"""),"EMP0021 Tamanna Dewangan")</f>
        <v>EMP0021 Tamanna Dewangan</v>
      </c>
      <c r="J387" s="91"/>
    </row>
    <row r="388">
      <c r="B388" s="76" t="str">
        <f>IFERROR(__xludf.DUMMYFUNCTION("""COMPUTED_VALUE"""),"Discussion with Requester                                                                           ")</f>
        <v>Discussion with Requester                                                                           </v>
      </c>
      <c r="C388" s="82">
        <f>IFERROR(__xludf.DUMMYFUNCTION("""COMPUTED_VALUE"""),5346.0)</f>
        <v>5346</v>
      </c>
      <c r="D388" s="76" t="str">
        <f>IFERROR(__xludf.DUMMYFUNCTION("""COMPUTED_VALUE"""),"Summary For UG")</f>
        <v>Summary For UG</v>
      </c>
      <c r="E388" s="84">
        <f>IFERROR(__xludf.DUMMYFUNCTION("""COMPUTED_VALUE"""),46212.486805555556)</f>
        <v>46212.48681</v>
      </c>
      <c r="F388" s="86">
        <f>IFERROR(__xludf.DUMMYFUNCTION("""COMPUTED_VALUE"""),46211.73894155093)</f>
        <v>46211.73894</v>
      </c>
      <c r="G388" s="86" t="str">
        <f>IFERROR(__xludf.DUMMYFUNCTION("""COMPUTED_VALUE"""),"Done")</f>
        <v>Done</v>
      </c>
      <c r="H388" s="88">
        <f>IFERROR(__xludf.DUMMYFUNCTION("""COMPUTED_VALUE"""),0.0)</f>
        <v>0</v>
      </c>
      <c r="I388" s="90" t="str">
        <f>IFERROR(__xludf.DUMMYFUNCTION("""COMPUTED_VALUE"""),"EMP0021 Tamanna Dewangan")</f>
        <v>EMP0021 Tamanna Dewangan</v>
      </c>
      <c r="J388" s="91"/>
    </row>
    <row r="389">
      <c r="B389" s="76" t="str">
        <f>IFERROR(__xludf.DUMMYFUNCTION("""COMPUTED_VALUE"""),"Discussion with Requester                                                                           ")</f>
        <v>Discussion with Requester                                                                           </v>
      </c>
      <c r="C389" s="82">
        <f>IFERROR(__xludf.DUMMYFUNCTION("""COMPUTED_VALUE"""),5347.0)</f>
        <v>5347</v>
      </c>
      <c r="D389" s="76" t="str">
        <f>IFERROR(__xludf.DUMMYFUNCTION("""COMPUTED_VALUE"""),"Cover Page")</f>
        <v>Cover Page</v>
      </c>
      <c r="E389" s="84">
        <f>IFERROR(__xludf.DUMMYFUNCTION("""COMPUTED_VALUE"""),46212.48819444445)</f>
        <v>46212.48819</v>
      </c>
      <c r="F389" s="86">
        <f>IFERROR(__xludf.DUMMYFUNCTION("""COMPUTED_VALUE"""),46211.73901449075)</f>
        <v>46211.73901</v>
      </c>
      <c r="G389" s="86" t="str">
        <f>IFERROR(__xludf.DUMMYFUNCTION("""COMPUTED_VALUE"""),"Done")</f>
        <v>Done</v>
      </c>
      <c r="H389" s="88">
        <f>IFERROR(__xludf.DUMMYFUNCTION("""COMPUTED_VALUE"""),0.0)</f>
        <v>0</v>
      </c>
      <c r="I389" s="90" t="str">
        <f>IFERROR(__xludf.DUMMYFUNCTION("""COMPUTED_VALUE"""),"EMP0021 Tamanna Dewangan")</f>
        <v>EMP0021 Tamanna Dewangan</v>
      </c>
      <c r="J389" s="91"/>
    </row>
    <row r="390">
      <c r="B390" s="76" t="str">
        <f>IFERROR(__xludf.DUMMYFUNCTION("""COMPUTED_VALUE"""),"Discussion with Requester                                                                           ")</f>
        <v>Discussion with Requester                                                                           </v>
      </c>
      <c r="C390" s="82">
        <f>IFERROR(__xludf.DUMMYFUNCTION("""COMPUTED_VALUE"""),5348.0)</f>
        <v>5348</v>
      </c>
      <c r="D390" s="76" t="str">
        <f>IFERROR(__xludf.DUMMYFUNCTION("""COMPUTED_VALUE"""),"inside Analysis report the fee detail is not working")</f>
        <v>inside Analysis report the fee detail is not working</v>
      </c>
      <c r="E390" s="84">
        <f>IFERROR(__xludf.DUMMYFUNCTION("""COMPUTED_VALUE"""),46212.597878865745)</f>
        <v>46212.59788</v>
      </c>
      <c r="F390" s="86">
        <f>IFERROR(__xludf.DUMMYFUNCTION("""COMPUTED_VALUE"""),46212.44942355324)</f>
        <v>46212.44942</v>
      </c>
      <c r="G390" s="86" t="str">
        <f>IFERROR(__xludf.DUMMYFUNCTION("""COMPUTED_VALUE"""),"Done")</f>
        <v>Done</v>
      </c>
      <c r="H390" s="88">
        <f>IFERROR(__xludf.DUMMYFUNCTION("""COMPUTED_VALUE"""),0.0)</f>
        <v>0</v>
      </c>
      <c r="I390" s="90" t="str">
        <f>IFERROR(__xludf.DUMMYFUNCTION("""COMPUTED_VALUE"""),"EMP0042 HULESHWAR KUMAR SAHU")</f>
        <v>EMP0042 HULESHWAR KUMAR SAHU</v>
      </c>
      <c r="J390" s="91"/>
    </row>
    <row r="391">
      <c r="B391" s="76" t="str">
        <f>IFERROR(__xludf.DUMMYFUNCTION("""COMPUTED_VALUE"""),"Discussion with Requester                                                                           ")</f>
        <v>Discussion with Requester                                                                           </v>
      </c>
      <c r="C391" s="82">
        <f>IFERROR(__xludf.DUMMYFUNCTION("""COMPUTED_VALUE"""),5349.0)</f>
        <v>5349</v>
      </c>
      <c r="D391" s="76" t="str">
        <f>IFERROR(__xludf.DUMMYFUNCTION("""COMPUTED_VALUE"""),"Challenge revaluation me RV show ho rha")</f>
        <v>Challenge revaluation me RV show ho rha</v>
      </c>
      <c r="E391" s="84">
        <f>IFERROR(__xludf.DUMMYFUNCTION("""COMPUTED_VALUE"""),46212.600820555555)</f>
        <v>46212.60082</v>
      </c>
      <c r="F391" s="86">
        <f>IFERROR(__xludf.DUMMYFUNCTION("""COMPUTED_VALUE"""),46212.449443668986)</f>
        <v>46212.44944</v>
      </c>
      <c r="G391" s="86" t="str">
        <f>IFERROR(__xludf.DUMMYFUNCTION("""COMPUTED_VALUE"""),"Done")</f>
        <v>Done</v>
      </c>
      <c r="H391" s="88">
        <f>IFERROR(__xludf.DUMMYFUNCTION("""COMPUTED_VALUE"""),0.0)</f>
        <v>0</v>
      </c>
      <c r="I391" s="90" t="str">
        <f>IFERROR(__xludf.DUMMYFUNCTION("""COMPUTED_VALUE"""),"EMP5009 Rup Kumar Mandal")</f>
        <v>EMP5009 Rup Kumar Mandal</v>
      </c>
      <c r="J391" s="91"/>
    </row>
    <row r="392">
      <c r="B392" s="76" t="str">
        <f>IFERROR(__xludf.DUMMYFUNCTION("""COMPUTED_VALUE"""),"Discussion with Requester                                                                           ")</f>
        <v>Discussion with Requester                                                                           </v>
      </c>
      <c r="C392" s="82">
        <f>IFERROR(__xludf.DUMMYFUNCTION("""COMPUTED_VALUE"""),5350.0)</f>
        <v>5350</v>
      </c>
      <c r="D392" s="76" t="str">
        <f>IFERROR(__xludf.DUMMYFUNCTION("""COMPUTED_VALUE"""),"Transcript")</f>
        <v>Transcript</v>
      </c>
      <c r="E392" s="84">
        <f>IFERROR(__xludf.DUMMYFUNCTION("""COMPUTED_VALUE"""),46212.6116887963)</f>
        <v>46212.61169</v>
      </c>
      <c r="F392" s="86">
        <f>IFERROR(__xludf.DUMMYFUNCTION("""COMPUTED_VALUE"""),46212.449467175924)</f>
        <v>46212.44947</v>
      </c>
      <c r="G392" s="86" t="str">
        <f>IFERROR(__xludf.DUMMYFUNCTION("""COMPUTED_VALUE"""),"Done")</f>
        <v>Done</v>
      </c>
      <c r="H392" s="88">
        <f>IFERROR(__xludf.DUMMYFUNCTION("""COMPUTED_VALUE"""),0.0)</f>
        <v>0</v>
      </c>
      <c r="I392" s="90" t="str">
        <f>IFERROR(__xludf.DUMMYFUNCTION("""COMPUTED_VALUE"""),"EMP0042 HULESHWAR KUMAR SAHU")</f>
        <v>EMP0042 HULESHWAR KUMAR SAHU</v>
      </c>
      <c r="J392" s="91"/>
    </row>
    <row r="393">
      <c r="B393" s="76" t="str">
        <f>IFERROR(__xludf.DUMMYFUNCTION("""COMPUTED_VALUE"""),"Discussion with Requester                                                                           ")</f>
        <v>Discussion with Requester                                                                           </v>
      </c>
      <c r="C393" s="82">
        <f>IFERROR(__xludf.DUMMYFUNCTION("""COMPUTED_VALUE"""),5351.0)</f>
        <v>5351</v>
      </c>
      <c r="D393" s="76" t="str">
        <f>IFERROR(__xludf.DUMMYFUNCTION("""COMPUTED_VALUE"""),"ATTANDANCE SHEET")</f>
        <v>ATTANDANCE SHEET</v>
      </c>
      <c r="E393" s="84">
        <f>IFERROR(__xludf.DUMMYFUNCTION("""COMPUTED_VALUE"""),46213.70730414352)</f>
        <v>46213.7073</v>
      </c>
      <c r="F393" s="86">
        <f>IFERROR(__xludf.DUMMYFUNCTION("""COMPUTED_VALUE"""),46213.622243969905)</f>
        <v>46213.62224</v>
      </c>
      <c r="G393" s="86" t="str">
        <f>IFERROR(__xludf.DUMMYFUNCTION("""COMPUTED_VALUE"""),"Done")</f>
        <v>Done</v>
      </c>
      <c r="H393" s="88">
        <f>IFERROR(__xludf.DUMMYFUNCTION("""COMPUTED_VALUE"""),0.0)</f>
        <v>0</v>
      </c>
      <c r="I393" s="90" t="str">
        <f>IFERROR(__xludf.DUMMYFUNCTION("""COMPUTED_VALUE"""),"EMP0042 HULESHWAR KUMAR SAHU")</f>
        <v>EMP0042 HULESHWAR KUMAR SAHU</v>
      </c>
      <c r="J393" s="91"/>
    </row>
    <row r="394">
      <c r="B394" s="76" t="str">
        <f>IFERROR(__xludf.DUMMYFUNCTION("""COMPUTED_VALUE"""),"Discussion with Requester                                                                           ")</f>
        <v>Discussion with Requester                                                                           </v>
      </c>
      <c r="C394" s="82">
        <f>IFERROR(__xludf.DUMMYFUNCTION("""COMPUTED_VALUE"""),5352.0)</f>
        <v>5352</v>
      </c>
      <c r="D394" s="76" t="str">
        <f>IFERROR(__xludf.DUMMYFUNCTION("""COMPUTED_VALUE"""),"Grade Card NEP (PG)")</f>
        <v>Grade Card NEP (PG)</v>
      </c>
      <c r="E394" s="84">
        <f>IFERROR(__xludf.DUMMYFUNCTION("""COMPUTED_VALUE"""),46213.73897208334)</f>
        <v>46213.73897</v>
      </c>
      <c r="F394" s="86">
        <f>IFERROR(__xludf.DUMMYFUNCTION("""COMPUTED_VALUE"""),46213.62228123842)</f>
        <v>46213.62228</v>
      </c>
      <c r="G394" s="86" t="str">
        <f>IFERROR(__xludf.DUMMYFUNCTION("""COMPUTED_VALUE"""),"Done")</f>
        <v>Done</v>
      </c>
      <c r="H394" s="88">
        <f>IFERROR(__xludf.DUMMYFUNCTION("""COMPUTED_VALUE"""),0.0)</f>
        <v>0</v>
      </c>
      <c r="I394" s="90" t="str">
        <f>IFERROR(__xludf.DUMMYFUNCTION("""COMPUTED_VALUE"""),"EMP5009 Rup Kumar Mandal")</f>
        <v>EMP5009 Rup Kumar Mandal</v>
      </c>
      <c r="J394" s="91"/>
    </row>
    <row r="395">
      <c r="B395" s="76" t="str">
        <f>IFERROR(__xludf.DUMMYFUNCTION("""COMPUTED_VALUE"""),"Discussion with Requester                                                                           ")</f>
        <v>Discussion with Requester                                                                           </v>
      </c>
      <c r="C395" s="82">
        <f>IFERROR(__xludf.DUMMYFUNCTION("""COMPUTED_VALUE"""),5353.0)</f>
        <v>5353</v>
      </c>
      <c r="D395" s="76" t="str">
        <f>IFERROR(__xludf.DUMMYFUNCTION("""COMPUTED_VALUE"""),"TR Format (Grading / Non-Grading)")</f>
        <v>TR Format (Grading / Non-Grading)</v>
      </c>
      <c r="E395" s="84">
        <f>IFERROR(__xludf.DUMMYFUNCTION("""COMPUTED_VALUE"""),46213.81123162037)</f>
        <v>46213.81123</v>
      </c>
      <c r="F395" s="86">
        <f>IFERROR(__xludf.DUMMYFUNCTION("""COMPUTED_VALUE"""),46213.648518009264)</f>
        <v>46213.64852</v>
      </c>
      <c r="G395" s="86" t="str">
        <f>IFERROR(__xludf.DUMMYFUNCTION("""COMPUTED_VALUE"""),"Done")</f>
        <v>Done</v>
      </c>
      <c r="H395" s="88">
        <f>IFERROR(__xludf.DUMMYFUNCTION("""COMPUTED_VALUE"""),0.0)</f>
        <v>0</v>
      </c>
      <c r="I395" s="90" t="str">
        <f>IFERROR(__xludf.DUMMYFUNCTION("""COMPUTED_VALUE"""),"EMP5009 Rup Kumar Mandal")</f>
        <v>EMP5009 Rup Kumar Mandal</v>
      </c>
      <c r="J395" s="91"/>
    </row>
    <row r="396">
      <c r="B396" s="76" t="str">
        <f>IFERROR(__xludf.DUMMYFUNCTION("""COMPUTED_VALUE"""),"Discussion with Requester                                                                           ")</f>
        <v>Discussion with Requester                                                                           </v>
      </c>
      <c r="C396" s="82">
        <f>IFERROR(__xludf.DUMMYFUNCTION("""COMPUTED_VALUE"""),5354.0)</f>
        <v>5354</v>
      </c>
      <c r="D396" s="76" t="str">
        <f>IFERROR(__xludf.DUMMYFUNCTION("""COMPUTED_VALUE"""),"Please update in scheme report for subject type, credits")</f>
        <v>Please update in scheme report for subject type, credits</v>
      </c>
      <c r="E396" s="84">
        <f>IFERROR(__xludf.DUMMYFUNCTION("""COMPUTED_VALUE"""),46214.66002116898)</f>
        <v>46214.66002</v>
      </c>
      <c r="F396" s="86">
        <f>IFERROR(__xludf.DUMMYFUNCTION("""COMPUTED_VALUE"""),46214.498421805554)</f>
        <v>46214.49842</v>
      </c>
      <c r="G396" s="86" t="str">
        <f>IFERROR(__xludf.DUMMYFUNCTION("""COMPUTED_VALUE"""),"Done")</f>
        <v>Done</v>
      </c>
      <c r="H396" s="88">
        <f>IFERROR(__xludf.DUMMYFUNCTION("""COMPUTED_VALUE"""),0.0)</f>
        <v>0</v>
      </c>
      <c r="I396" s="90" t="str">
        <f>IFERROR(__xludf.DUMMYFUNCTION("""COMPUTED_VALUE"""),"EMP0042 HULESHWAR KUMAR SAHU")</f>
        <v>EMP0042 HULESHWAR KUMAR SAHU</v>
      </c>
      <c r="J396" s="91"/>
    </row>
    <row r="397">
      <c r="B397" s="76" t="str">
        <f>IFERROR(__xludf.DUMMYFUNCTION("""COMPUTED_VALUE"""),"Discussion with Requester                                                                           ")</f>
        <v>Discussion with Requester                                                                           </v>
      </c>
      <c r="C397" s="82">
        <f>IFERROR(__xludf.DUMMYFUNCTION("""COMPUTED_VALUE"""),5355.0)</f>
        <v>5355</v>
      </c>
      <c r="D397" s="76" t="str">
        <f>IFERROR(__xludf.DUMMYFUNCTION("""COMPUTED_VALUE"""),"TR LLB NEW")</f>
        <v>TR LLB NEW</v>
      </c>
      <c r="E397" s="84">
        <f>IFERROR(__xludf.DUMMYFUNCTION("""COMPUTED_VALUE"""),46214.67842815973)</f>
        <v>46214.67843</v>
      </c>
      <c r="F397" s="86">
        <f>IFERROR(__xludf.DUMMYFUNCTION("""COMPUTED_VALUE"""),46214.72270813657)</f>
        <v>46214.72271</v>
      </c>
      <c r="G397" s="86" t="str">
        <f>IFERROR(__xludf.DUMMYFUNCTION("""COMPUTED_VALUE"""),"Done")</f>
        <v>Done</v>
      </c>
      <c r="H397" s="88">
        <f>IFERROR(__xludf.DUMMYFUNCTION("""COMPUTED_VALUE"""),0.044279976849793456)</f>
        <v>0.04427997685</v>
      </c>
      <c r="I397" s="90" t="str">
        <f>IFERROR(__xludf.DUMMYFUNCTION("""COMPUTED_VALUE"""),"EMP0042 HULESHWAR KUMAR SAHU")</f>
        <v>EMP0042 HULESHWAR KUMAR SAHU</v>
      </c>
      <c r="J397" s="91"/>
    </row>
    <row r="398">
      <c r="B398" s="76" t="str">
        <f>IFERROR(__xludf.DUMMYFUNCTION("""COMPUTED_VALUE"""),"Discussion with Requester                                                                           ")</f>
        <v>Discussion with Requester                                                                           </v>
      </c>
      <c r="C398" s="82">
        <f>IFERROR(__xludf.DUMMYFUNCTION("""COMPUTED_VALUE"""),5356.0)</f>
        <v>5356</v>
      </c>
      <c r="D398" s="76" t="str">
        <f>IFERROR(__xludf.DUMMYFUNCTION("""COMPUTED_VALUE"""),"Multiple Report ")</f>
        <v>Multiple Report </v>
      </c>
      <c r="E398" s="84">
        <f>IFERROR(__xludf.DUMMYFUNCTION("""COMPUTED_VALUE"""),46216.424305555556)</f>
        <v>46216.42431</v>
      </c>
      <c r="F398" s="86">
        <f>IFERROR(__xludf.DUMMYFUNCTION("""COMPUTED_VALUE"""),46214.72273378472)</f>
        <v>46214.72273</v>
      </c>
      <c r="G398" s="86" t="str">
        <f>IFERROR(__xludf.DUMMYFUNCTION("""COMPUTED_VALUE"""),"Done")</f>
        <v>Done</v>
      </c>
      <c r="H398" s="88">
        <f>IFERROR(__xludf.DUMMYFUNCTION("""COMPUTED_VALUE"""),0.0)</f>
        <v>0</v>
      </c>
      <c r="I398" s="90" t="str">
        <f>IFERROR(__xludf.DUMMYFUNCTION("""COMPUTED_VALUE"""),"EMP0042 HULESHWAR KUMAR SAHU")</f>
        <v>EMP0042 HULESHWAR KUMAR SAHU</v>
      </c>
      <c r="J398" s="91"/>
    </row>
    <row r="399">
      <c r="B399" s="76" t="str">
        <f>IFERROR(__xludf.DUMMYFUNCTION("""COMPUTED_VALUE"""),"Discussion with Requester                                                                           ")</f>
        <v>Discussion with Requester                                                                           </v>
      </c>
      <c r="C399" s="82">
        <f>IFERROR(__xludf.DUMMYFUNCTION("""COMPUTED_VALUE"""),5357.0)</f>
        <v>5357</v>
      </c>
      <c r="D399" s="76" t="str">
        <f>IFERROR(__xludf.DUMMYFUNCTION("""COMPUTED_VALUE"""),"TR")</f>
        <v>TR</v>
      </c>
      <c r="E399" s="84">
        <f>IFERROR(__xludf.DUMMYFUNCTION("""COMPUTED_VALUE"""),46216.651229664356)</f>
        <v>46216.65123</v>
      </c>
      <c r="F399" s="86">
        <f>IFERROR(__xludf.DUMMYFUNCTION("""COMPUTED_VALUE"""),46216.501617361115)</f>
        <v>46216.50162</v>
      </c>
      <c r="G399" s="86" t="str">
        <f>IFERROR(__xludf.DUMMYFUNCTION("""COMPUTED_VALUE"""),"Done")</f>
        <v>Done</v>
      </c>
      <c r="H399" s="88">
        <f>IFERROR(__xludf.DUMMYFUNCTION("""COMPUTED_VALUE"""),0.0)</f>
        <v>0</v>
      </c>
      <c r="I399" s="90" t="str">
        <f>IFERROR(__xludf.DUMMYFUNCTION("""COMPUTED_VALUE"""),"EMP0042 HULESHWAR KUMAR SAHU")</f>
        <v>EMP0042 HULESHWAR KUMAR SAHU</v>
      </c>
      <c r="J399" s="91"/>
    </row>
    <row r="400">
      <c r="B400" s="76" t="str">
        <f>IFERROR(__xludf.DUMMYFUNCTION("""COMPUTED_VALUE"""),"Discussion with Requester                                                                           ")</f>
        <v>Discussion with Requester                                                                           </v>
      </c>
      <c r="C400" s="82">
        <f>IFERROR(__xludf.DUMMYFUNCTION("""COMPUTED_VALUE"""),5358.0)</f>
        <v>5358</v>
      </c>
      <c r="D400" s="76" t="str">
        <f>IFERROR(__xludf.DUMMYFUNCTION("""COMPUTED_VALUE"""),"PRE EXAM REPORT")</f>
        <v>PRE EXAM REPORT</v>
      </c>
      <c r="E400" s="84">
        <f>IFERROR(__xludf.DUMMYFUNCTION("""COMPUTED_VALUE"""),46216.706391064814)</f>
        <v>46216.70639</v>
      </c>
      <c r="F400" s="86">
        <f>IFERROR(__xludf.DUMMYFUNCTION("""COMPUTED_VALUE"""),46216.55227166666)</f>
        <v>46216.55227</v>
      </c>
      <c r="G400" s="86" t="str">
        <f>IFERROR(__xludf.DUMMYFUNCTION("""COMPUTED_VALUE"""),"Done")</f>
        <v>Done</v>
      </c>
      <c r="H400" s="88">
        <f>IFERROR(__xludf.DUMMYFUNCTION("""COMPUTED_VALUE"""),0.0)</f>
        <v>0</v>
      </c>
      <c r="I400" s="90" t="str">
        <f>IFERROR(__xludf.DUMMYFUNCTION("""COMPUTED_VALUE"""),"EMP0237 Swarnendu Chakraborty")</f>
        <v>EMP0237 Swarnendu Chakraborty</v>
      </c>
      <c r="J400" s="91"/>
    </row>
    <row r="401">
      <c r="B401" s="76" t="str">
        <f>IFERROR(__xludf.DUMMYFUNCTION("""COMPUTED_VALUE"""),"Discussion with Requester                                                                           ")</f>
        <v>Discussion with Requester                                                                           </v>
      </c>
      <c r="C401" s="82">
        <f>IFERROR(__xludf.DUMMYFUNCTION("""COMPUTED_VALUE"""),5359.0)</f>
        <v>5359</v>
      </c>
      <c r="D401" s="76" t="str">
        <f>IFERROR(__xludf.DUMMYFUNCTION("""COMPUTED_VALUE"""),"TRANSCRIPT")</f>
        <v>TRANSCRIPT</v>
      </c>
      <c r="E401" s="84">
        <f>IFERROR(__xludf.DUMMYFUNCTION("""COMPUTED_VALUE"""),46216.742351817134)</f>
        <v>46216.74235</v>
      </c>
      <c r="F401" s="86">
        <f>IFERROR(__xludf.DUMMYFUNCTION("""COMPUTED_VALUE"""),46216.64601337963)</f>
        <v>46216.64601</v>
      </c>
      <c r="G401" s="86" t="str">
        <f>IFERROR(__xludf.DUMMYFUNCTION("""COMPUTED_VALUE"""),"Done")</f>
        <v>Done</v>
      </c>
      <c r="H401" s="88">
        <f>IFERROR(__xludf.DUMMYFUNCTION("""COMPUTED_VALUE"""),0.0)</f>
        <v>0</v>
      </c>
      <c r="I401" s="90" t="str">
        <f>IFERROR(__xludf.DUMMYFUNCTION("""COMPUTED_VALUE"""),"EMP0042 HULESHWAR KUMAR SAHU")</f>
        <v>EMP0042 HULESHWAR KUMAR SAHU</v>
      </c>
      <c r="J401" s="91"/>
    </row>
    <row r="402">
      <c r="B402" s="76" t="str">
        <f>IFERROR(__xludf.DUMMYFUNCTION("""COMPUTED_VALUE"""),"Discussion with Requester                                                                           ")</f>
        <v>Discussion with Requester                                                                           </v>
      </c>
      <c r="C402" s="82">
        <f>IFERROR(__xludf.DUMMYFUNCTION("""COMPUTED_VALUE"""),5360.0)</f>
        <v>5360</v>
      </c>
      <c r="D402" s="76" t="str">
        <f>IFERROR(__xludf.DUMMYFUNCTION("""COMPUTED_VALUE"""),"TR REPORT ")</f>
        <v>TR REPORT </v>
      </c>
      <c r="E402" s="84">
        <f>IFERROR(__xludf.DUMMYFUNCTION("""COMPUTED_VALUE"""),46217.45486111111)</f>
        <v>46217.45486</v>
      </c>
      <c r="F402" s="86">
        <f>IFERROR(__xludf.DUMMYFUNCTION("""COMPUTED_VALUE"""),46216.7518857176)</f>
        <v>46216.75189</v>
      </c>
      <c r="G402" s="86" t="str">
        <f>IFERROR(__xludf.DUMMYFUNCTION("""COMPUTED_VALUE"""),"Done")</f>
        <v>Done</v>
      </c>
      <c r="H402" s="88">
        <f>IFERROR(__xludf.DUMMYFUNCTION("""COMPUTED_VALUE"""),0.0)</f>
        <v>0</v>
      </c>
      <c r="I402" s="90" t="str">
        <f>IFERROR(__xludf.DUMMYFUNCTION("""COMPUTED_VALUE"""),"EMP0237 Swarnendu Chakraborty")</f>
        <v>EMP0237 Swarnendu Chakraborty</v>
      </c>
      <c r="J402" s="91"/>
    </row>
    <row r="403">
      <c r="B403" s="76" t="str">
        <f>IFERROR(__xludf.DUMMYFUNCTION("""COMPUTED_VALUE"""),"Discussion with Requester                                                                           ")</f>
        <v>Discussion with Requester                                                                           </v>
      </c>
      <c r="C403" s="82">
        <f>IFERROR(__xludf.DUMMYFUNCTION("""COMPUTED_VALUE"""),5361.0)</f>
        <v>5361</v>
      </c>
      <c r="D403" s="76" t="str">
        <f>IFERROR(__xludf.DUMMYFUNCTION("""COMPUTED_VALUE"""),"Grade Card")</f>
        <v>Grade Card</v>
      </c>
      <c r="E403" s="84">
        <f>IFERROR(__xludf.DUMMYFUNCTION("""COMPUTED_VALUE"""),46217.68263888889)</f>
        <v>46217.68264</v>
      </c>
      <c r="F403" s="86">
        <f>IFERROR(__xludf.DUMMYFUNCTION("""COMPUTED_VALUE"""),46217.45329819444)</f>
        <v>46217.4533</v>
      </c>
      <c r="G403" s="86" t="str">
        <f>IFERROR(__xludf.DUMMYFUNCTION("""COMPUTED_VALUE"""),"Done")</f>
        <v>Done</v>
      </c>
      <c r="H403" s="88">
        <f>IFERROR(__xludf.DUMMYFUNCTION("""COMPUTED_VALUE"""),0.0)</f>
        <v>0</v>
      </c>
      <c r="I403" s="90" t="str">
        <f>IFERROR(__xludf.DUMMYFUNCTION("""COMPUTED_VALUE"""),"EMP5009 Rup Kumar Mandal")</f>
        <v>EMP5009 Rup Kumar Mandal</v>
      </c>
      <c r="J403" s="91"/>
    </row>
    <row r="404">
      <c r="B404" s="76" t="str">
        <f>IFERROR(__xludf.DUMMYFUNCTION("""COMPUTED_VALUE"""),"Discussion with Requester                                                                           ")</f>
        <v>Discussion with Requester                                                                           </v>
      </c>
      <c r="C404" s="82">
        <f>IFERROR(__xludf.DUMMYFUNCTION("""COMPUTED_VALUE"""),5362.0)</f>
        <v>5362</v>
      </c>
      <c r="D404" s="76" t="str">
        <f>IFERROR(__xludf.DUMMYFUNCTION("""COMPUTED_VALUE"""),"3443")</f>
        <v>3443</v>
      </c>
      <c r="E404" s="84">
        <f>IFERROR(__xludf.DUMMYFUNCTION("""COMPUTED_VALUE"""),46217.68819444445)</f>
        <v>46217.68819</v>
      </c>
      <c r="F404" s="86">
        <f>IFERROR(__xludf.DUMMYFUNCTION("""COMPUTED_VALUE"""),46217.45330825232)</f>
        <v>46217.45331</v>
      </c>
      <c r="G404" s="86" t="str">
        <f>IFERROR(__xludf.DUMMYFUNCTION("""COMPUTED_VALUE"""),"Done")</f>
        <v>Done</v>
      </c>
      <c r="H404" s="88">
        <f>IFERROR(__xludf.DUMMYFUNCTION("""COMPUTED_VALUE"""),0.0)</f>
        <v>0</v>
      </c>
      <c r="I404" s="90" t="str">
        <f>IFERROR(__xludf.DUMMYFUNCTION("""COMPUTED_VALUE"""),"EMP5009 Rup Kumar Mandal")</f>
        <v>EMP5009 Rup Kumar Mandal</v>
      </c>
      <c r="J404" s="91"/>
    </row>
    <row r="405">
      <c r="B405" s="76" t="str">
        <f>IFERROR(__xludf.DUMMYFUNCTION("""COMPUTED_VALUE"""),"Discussion with Requester                                                                           ")</f>
        <v>Discussion with Requester                                                                           </v>
      </c>
      <c r="C405" s="82">
        <f>IFERROR(__xludf.DUMMYFUNCTION("""COMPUTED_VALUE"""),5363.0)</f>
        <v>5363</v>
      </c>
      <c r="D405" s="76" t="str">
        <f>IFERROR(__xludf.DUMMYFUNCTION("""COMPUTED_VALUE"""),"3386")</f>
        <v>3386</v>
      </c>
      <c r="E405" s="84">
        <f>IFERROR(__xludf.DUMMYFUNCTION("""COMPUTED_VALUE"""),46217.69027777778)</f>
        <v>46217.69028</v>
      </c>
      <c r="F405" s="86">
        <f>IFERROR(__xludf.DUMMYFUNCTION("""COMPUTED_VALUE"""),46217.453263414354)</f>
        <v>46217.45326</v>
      </c>
      <c r="G405" s="86" t="str">
        <f>IFERROR(__xludf.DUMMYFUNCTION("""COMPUTED_VALUE"""),"Done")</f>
        <v>Done</v>
      </c>
      <c r="H405" s="88">
        <f>IFERROR(__xludf.DUMMYFUNCTION("""COMPUTED_VALUE"""),0.0)</f>
        <v>0</v>
      </c>
      <c r="I405" s="90" t="str">
        <f>IFERROR(__xludf.DUMMYFUNCTION("""COMPUTED_VALUE"""),"EMP5009 Rup Kumar Mandal")</f>
        <v>EMP5009 Rup Kumar Mandal</v>
      </c>
      <c r="J405" s="91"/>
    </row>
    <row r="406">
      <c r="B406" s="76" t="str">
        <f>IFERROR(__xludf.DUMMYFUNCTION("""COMPUTED_VALUE"""),"Discussion with Requester                                                                           ")</f>
        <v>Discussion with Requester                                                                           </v>
      </c>
      <c r="C406" s="82">
        <f>IFERROR(__xludf.DUMMYFUNCTION("""COMPUTED_VALUE"""),5364.0)</f>
        <v>5364</v>
      </c>
      <c r="D406" s="76" t="str">
        <f>IFERROR(__xludf.DUMMYFUNCTION("""COMPUTED_VALUE"""),"3285")</f>
        <v>3285</v>
      </c>
      <c r="E406" s="84">
        <f>IFERROR(__xludf.DUMMYFUNCTION("""COMPUTED_VALUE"""),46217.69305555556)</f>
        <v>46217.69306</v>
      </c>
      <c r="F406" s="86">
        <f>IFERROR(__xludf.DUMMYFUNCTION("""COMPUTED_VALUE"""),46217.45343990741)</f>
        <v>46217.45344</v>
      </c>
      <c r="G406" s="86" t="str">
        <f>IFERROR(__xludf.DUMMYFUNCTION("""COMPUTED_VALUE"""),"Done")</f>
        <v>Done</v>
      </c>
      <c r="H406" s="88">
        <f>IFERROR(__xludf.DUMMYFUNCTION("""COMPUTED_VALUE"""),0.0)</f>
        <v>0</v>
      </c>
      <c r="I406" s="90" t="str">
        <f>IFERROR(__xludf.DUMMYFUNCTION("""COMPUTED_VALUE"""),"EMP5009 Rup Kumar Mandal")</f>
        <v>EMP5009 Rup Kumar Mandal</v>
      </c>
      <c r="J406" s="91"/>
    </row>
    <row r="407">
      <c r="B407" s="76" t="str">
        <f>IFERROR(__xludf.DUMMYFUNCTION("""COMPUTED_VALUE"""),"Discussion with Requester                                                                           ")</f>
        <v>Discussion with Requester                                                                           </v>
      </c>
      <c r="C407" s="82">
        <f>IFERROR(__xludf.DUMMYFUNCTION("""COMPUTED_VALUE"""),5365.0)</f>
        <v>5365</v>
      </c>
      <c r="D407" s="76" t="str">
        <f>IFERROR(__xludf.DUMMYFUNCTION("""COMPUTED_VALUE"""),"3285")</f>
        <v>3285</v>
      </c>
      <c r="E407" s="84">
        <f>IFERROR(__xludf.DUMMYFUNCTION("""COMPUTED_VALUE"""),46217.694444444445)</f>
        <v>46217.69444</v>
      </c>
      <c r="F407" s="86">
        <f>IFERROR(__xludf.DUMMYFUNCTION("""COMPUTED_VALUE"""),46217.45345244213)</f>
        <v>46217.45345</v>
      </c>
      <c r="G407" s="86" t="str">
        <f>IFERROR(__xludf.DUMMYFUNCTION("""COMPUTED_VALUE"""),"Done")</f>
        <v>Done</v>
      </c>
      <c r="H407" s="88">
        <f>IFERROR(__xludf.DUMMYFUNCTION("""COMPUTED_VALUE"""),0.0)</f>
        <v>0</v>
      </c>
      <c r="I407" s="90" t="str">
        <f>IFERROR(__xludf.DUMMYFUNCTION("""COMPUTED_VALUE"""),"EMP5009 Rup Kumar Mandal")</f>
        <v>EMP5009 Rup Kumar Mandal</v>
      </c>
      <c r="J407" s="91"/>
    </row>
    <row r="408">
      <c r="B408" s="76" t="str">
        <f>IFERROR(__xludf.DUMMYFUNCTION("""COMPUTED_VALUE"""),"Discussion with Requester                                                                           ")</f>
        <v>Discussion with Requester                                                                           </v>
      </c>
      <c r="C408" s="82">
        <f>IFERROR(__xludf.DUMMYFUNCTION("""COMPUTED_VALUE"""),5366.0)</f>
        <v>5366</v>
      </c>
      <c r="D408" s="76" t="str">
        <f>IFERROR(__xludf.DUMMYFUNCTION("""COMPUTED_VALUE"""),"2577")</f>
        <v>2577</v>
      </c>
      <c r="E408" s="84">
        <f>IFERROR(__xludf.DUMMYFUNCTION("""COMPUTED_VALUE"""),46217.69583333333)</f>
        <v>46217.69583</v>
      </c>
      <c r="F408" s="86">
        <f>IFERROR(__xludf.DUMMYFUNCTION("""COMPUTED_VALUE"""),46217.45346696759)</f>
        <v>46217.45347</v>
      </c>
      <c r="G408" s="86" t="str">
        <f>IFERROR(__xludf.DUMMYFUNCTION("""COMPUTED_VALUE"""),"Done")</f>
        <v>Done</v>
      </c>
      <c r="H408" s="88">
        <f>IFERROR(__xludf.DUMMYFUNCTION("""COMPUTED_VALUE"""),0.0)</f>
        <v>0</v>
      </c>
      <c r="I408" s="90" t="str">
        <f>IFERROR(__xludf.DUMMYFUNCTION("""COMPUTED_VALUE"""),"EMP5009 Rup Kumar Mandal")</f>
        <v>EMP5009 Rup Kumar Mandal</v>
      </c>
      <c r="J408" s="91"/>
    </row>
    <row r="409">
      <c r="B409" s="76" t="str">
        <f>IFERROR(__xludf.DUMMYFUNCTION("""COMPUTED_VALUE"""),"Discussion with Requester                                                                           ")</f>
        <v>Discussion with Requester                                                                           </v>
      </c>
      <c r="C409" s="82">
        <f>IFERROR(__xludf.DUMMYFUNCTION("""COMPUTED_VALUE"""),5367.0)</f>
        <v>5367</v>
      </c>
      <c r="D409" s="76" t="str">
        <f>IFERROR(__xludf.DUMMYFUNCTION("""COMPUTED_VALUE"""),"2781")</f>
        <v>2781</v>
      </c>
      <c r="E409" s="84">
        <f>IFERROR(__xludf.DUMMYFUNCTION("""COMPUTED_VALUE"""),46217.69861111111)</f>
        <v>46217.69861</v>
      </c>
      <c r="F409" s="86">
        <f>IFERROR(__xludf.DUMMYFUNCTION("""COMPUTED_VALUE"""),46217.45348362269)</f>
        <v>46217.45348</v>
      </c>
      <c r="G409" s="86" t="str">
        <f>IFERROR(__xludf.DUMMYFUNCTION("""COMPUTED_VALUE"""),"Done")</f>
        <v>Done</v>
      </c>
      <c r="H409" s="88">
        <f>IFERROR(__xludf.DUMMYFUNCTION("""COMPUTED_VALUE"""),0.0)</f>
        <v>0</v>
      </c>
      <c r="I409" s="90" t="str">
        <f>IFERROR(__xludf.DUMMYFUNCTION("""COMPUTED_VALUE"""),"EMP5009 Rup Kumar Mandal")</f>
        <v>EMP5009 Rup Kumar Mandal</v>
      </c>
      <c r="J409" s="91"/>
    </row>
    <row r="410">
      <c r="B410" s="76" t="str">
        <f>IFERROR(__xludf.DUMMYFUNCTION("""COMPUTED_VALUE"""),"Discussion with Requester                                                                           ")</f>
        <v>Discussion with Requester                                                                           </v>
      </c>
      <c r="C410" s="82">
        <f>IFERROR(__xludf.DUMMYFUNCTION("""COMPUTED_VALUE"""),5368.0)</f>
        <v>5368</v>
      </c>
      <c r="D410" s="76" t="str">
        <f>IFERROR(__xludf.DUMMYFUNCTION("""COMPUTED_VALUE"""),"3361")</f>
        <v>3361</v>
      </c>
      <c r="E410" s="84">
        <f>IFERROR(__xludf.DUMMYFUNCTION("""COMPUTED_VALUE"""),46217.7)</f>
        <v>46217.7</v>
      </c>
      <c r="F410" s="86">
        <f>IFERROR(__xludf.DUMMYFUNCTION("""COMPUTED_VALUE"""),46217.45350643519)</f>
        <v>46217.45351</v>
      </c>
      <c r="G410" s="86" t="str">
        <f>IFERROR(__xludf.DUMMYFUNCTION("""COMPUTED_VALUE"""),"Done")</f>
        <v>Done</v>
      </c>
      <c r="H410" s="88">
        <f>IFERROR(__xludf.DUMMYFUNCTION("""COMPUTED_VALUE"""),0.0)</f>
        <v>0</v>
      </c>
      <c r="I410" s="90" t="str">
        <f>IFERROR(__xludf.DUMMYFUNCTION("""COMPUTED_VALUE"""),"EMP5009 Rup Kumar Mandal")</f>
        <v>EMP5009 Rup Kumar Mandal</v>
      </c>
      <c r="J410" s="91"/>
    </row>
    <row r="411">
      <c r="B411" s="76" t="str">
        <f>IFERROR(__xludf.DUMMYFUNCTION("""COMPUTED_VALUE"""),"Discussion with Requester                                                                           ")</f>
        <v>Discussion with Requester                                                                           </v>
      </c>
      <c r="C411" s="82">
        <f>IFERROR(__xludf.DUMMYFUNCTION("""COMPUTED_VALUE"""),5369.0)</f>
        <v>5369</v>
      </c>
      <c r="D411" s="76" t="str">
        <f>IFERROR(__xludf.DUMMYFUNCTION("""COMPUTED_VALUE"""),"33,083,375")</f>
        <v>33,083,375</v>
      </c>
      <c r="E411" s="84">
        <f>IFERROR(__xludf.DUMMYFUNCTION("""COMPUTED_VALUE"""),46217.70208333334)</f>
        <v>46217.70208</v>
      </c>
      <c r="F411" s="86">
        <f>IFERROR(__xludf.DUMMYFUNCTION("""COMPUTED_VALUE"""),46217.45352789352)</f>
        <v>46217.45353</v>
      </c>
      <c r="G411" s="86" t="str">
        <f>IFERROR(__xludf.DUMMYFUNCTION("""COMPUTED_VALUE"""),"Done")</f>
        <v>Done</v>
      </c>
      <c r="H411" s="88">
        <f>IFERROR(__xludf.DUMMYFUNCTION("""COMPUTED_VALUE"""),0.0)</f>
        <v>0</v>
      </c>
      <c r="I411" s="90" t="str">
        <f>IFERROR(__xludf.DUMMYFUNCTION("""COMPUTED_VALUE"""),"EMP5009 Rup Kumar Mandal")</f>
        <v>EMP5009 Rup Kumar Mandal</v>
      </c>
      <c r="J411" s="91"/>
    </row>
    <row r="412">
      <c r="B412" s="76" t="str">
        <f>IFERROR(__xludf.DUMMYFUNCTION("""COMPUTED_VALUE"""),"Discussion with Requester                                                                           ")</f>
        <v>Discussion with Requester                                                                           </v>
      </c>
      <c r="C412" s="82">
        <f>IFERROR(__xludf.DUMMYFUNCTION("""COMPUTED_VALUE"""),5370.0)</f>
        <v>5370</v>
      </c>
      <c r="D412" s="76" t="str">
        <f>IFERROR(__xludf.DUMMYFUNCTION("""COMPUTED_VALUE"""),"2782")</f>
        <v>2782</v>
      </c>
      <c r="E412" s="84">
        <f>IFERROR(__xludf.DUMMYFUNCTION("""COMPUTED_VALUE"""),46217.70347222222)</f>
        <v>46217.70347</v>
      </c>
      <c r="F412" s="86">
        <f>IFERROR(__xludf.DUMMYFUNCTION("""COMPUTED_VALUE"""),46217.453559270834)</f>
        <v>46217.45356</v>
      </c>
      <c r="G412" s="86" t="str">
        <f>IFERROR(__xludf.DUMMYFUNCTION("""COMPUTED_VALUE"""),"Done")</f>
        <v>Done</v>
      </c>
      <c r="H412" s="88">
        <f>IFERROR(__xludf.DUMMYFUNCTION("""COMPUTED_VALUE"""),0.0)</f>
        <v>0</v>
      </c>
      <c r="I412" s="90" t="str">
        <f>IFERROR(__xludf.DUMMYFUNCTION("""COMPUTED_VALUE"""),"EMP5009 Rup Kumar Mandal")</f>
        <v>EMP5009 Rup Kumar Mandal</v>
      </c>
      <c r="J412" s="91"/>
    </row>
    <row r="413">
      <c r="B413" s="76" t="str">
        <f>IFERROR(__xludf.DUMMYFUNCTION("""COMPUTED_VALUE"""),"Discussion with Requester                                                                           ")</f>
        <v>Discussion with Requester                                                                           </v>
      </c>
      <c r="C413" s="82">
        <f>IFERROR(__xludf.DUMMYFUNCTION("""COMPUTED_VALUE"""),5371.0)</f>
        <v>5371</v>
      </c>
      <c r="D413" s="76" t="str">
        <f>IFERROR(__xludf.DUMMYFUNCTION("""COMPUTED_VALUE"""),"MAR ENTRY")</f>
        <v>MAR ENTRY</v>
      </c>
      <c r="E413" s="84">
        <f>IFERROR(__xludf.DUMMYFUNCTION("""COMPUTED_VALUE"""),46217.72612736111)</f>
        <v>46217.72613</v>
      </c>
      <c r="F413" s="86">
        <f>IFERROR(__xludf.DUMMYFUNCTION("""COMPUTED_VALUE"""),46217.61666626157)</f>
        <v>46217.61667</v>
      </c>
      <c r="G413" s="86" t="str">
        <f>IFERROR(__xludf.DUMMYFUNCTION("""COMPUTED_VALUE"""),"Done")</f>
        <v>Done</v>
      </c>
      <c r="H413" s="88">
        <f>IFERROR(__xludf.DUMMYFUNCTION("""COMPUTED_VALUE"""),0.0)</f>
        <v>0</v>
      </c>
      <c r="I413" s="90" t="str">
        <f>IFERROR(__xludf.DUMMYFUNCTION("""COMPUTED_VALUE"""),"EMP5009 Rup Kumar Mandal")</f>
        <v>EMP5009 Rup Kumar Mandal</v>
      </c>
      <c r="J413" s="91"/>
    </row>
    <row r="414">
      <c r="B414" s="76" t="str">
        <f>IFERROR(__xludf.DUMMYFUNCTION("""COMPUTED_VALUE"""),"Discussion with Requester                                                                           ")</f>
        <v>Discussion with Requester                                                                           </v>
      </c>
      <c r="C414" s="82">
        <f>IFERROR(__xludf.DUMMYFUNCTION("""COMPUTED_VALUE"""),5372.0)</f>
        <v>5372</v>
      </c>
      <c r="D414" s="76" t="str">
        <f>IFERROR(__xludf.DUMMYFUNCTION("""COMPUTED_VALUE"""),"TR/HOSTING-UG NEP TR ")</f>
        <v>TR/HOSTING-UG NEP TR </v>
      </c>
      <c r="E414" s="84">
        <f>IFERROR(__xludf.DUMMYFUNCTION("""COMPUTED_VALUE"""),46218.49930555555)</f>
        <v>46218.49931</v>
      </c>
      <c r="F414" s="86">
        <f>IFERROR(__xludf.DUMMYFUNCTION("""COMPUTED_VALUE"""),46217.81752716435)</f>
        <v>46217.81753</v>
      </c>
      <c r="G414" s="86" t="str">
        <f>IFERROR(__xludf.DUMMYFUNCTION("""COMPUTED_VALUE"""),"Done")</f>
        <v>Done</v>
      </c>
      <c r="H414" s="88">
        <f>IFERROR(__xludf.DUMMYFUNCTION("""COMPUTED_VALUE"""),0.0)</f>
        <v>0</v>
      </c>
      <c r="I414" s="90" t="str">
        <f>IFERROR(__xludf.DUMMYFUNCTION("""COMPUTED_VALUE"""),"EMP0042 HULESHWAR KUMAR SAHU")</f>
        <v>EMP0042 HULESHWAR KUMAR SAHU</v>
      </c>
      <c r="J414" s="91"/>
    </row>
    <row r="415">
      <c r="B415" s="76" t="str">
        <f>IFERROR(__xludf.DUMMYFUNCTION("""COMPUTED_VALUE"""),"Discussion with Requester                                                                           ")</f>
        <v>Discussion with Requester                                                                           </v>
      </c>
      <c r="C415" s="82">
        <f>IFERROR(__xludf.DUMMYFUNCTION("""COMPUTED_VALUE"""),5373.0)</f>
        <v>5373</v>
      </c>
      <c r="D415" s="76" t="str">
        <f>IFERROR(__xludf.DUMMYFUNCTION("""COMPUTED_VALUE"""),"TRANSCRIPT ")</f>
        <v>TRANSCRIPT </v>
      </c>
      <c r="E415" s="84">
        <f>IFERROR(__xludf.DUMMYFUNCTION("""COMPUTED_VALUE"""),46218.66253012731)</f>
        <v>46218.66253</v>
      </c>
      <c r="F415" s="86">
        <f>IFERROR(__xludf.DUMMYFUNCTION("""COMPUTED_VALUE"""),46218.503333078705)</f>
        <v>46218.50333</v>
      </c>
      <c r="G415" s="86" t="str">
        <f>IFERROR(__xludf.DUMMYFUNCTION("""COMPUTED_VALUE"""),"Done")</f>
        <v>Done</v>
      </c>
      <c r="H415" s="88">
        <f>IFERROR(__xludf.DUMMYFUNCTION("""COMPUTED_VALUE"""),0.0)</f>
        <v>0</v>
      </c>
      <c r="I415" s="90" t="str">
        <f>IFERROR(__xludf.DUMMYFUNCTION("""COMPUTED_VALUE"""),"EMP0021 Tamanna Dewangan")</f>
        <v>EMP0021 Tamanna Dewangan</v>
      </c>
      <c r="J415" s="91"/>
    </row>
    <row r="416">
      <c r="B416" s="76" t="str">
        <f>IFERROR(__xludf.DUMMYFUNCTION("""COMPUTED_VALUE"""),"Discussion with Requester                                                                           ")</f>
        <v>Discussion with Requester                                                                           </v>
      </c>
      <c r="C416" s="82">
        <f>IFERROR(__xludf.DUMMYFUNCTION("""COMPUTED_VALUE"""),5374.0)</f>
        <v>5374</v>
      </c>
      <c r="D416" s="76" t="str">
        <f>IFERROR(__xludf.DUMMYFUNCTION("""COMPUTED_VALUE"""),"TR HOSTING -UG NEP TR ")</f>
        <v>TR HOSTING -UG NEP TR </v>
      </c>
      <c r="E416" s="84">
        <f>IFERROR(__xludf.DUMMYFUNCTION("""COMPUTED_VALUE"""),46218.68052743055)</f>
        <v>46218.68053</v>
      </c>
      <c r="F416" s="86">
        <f>IFERROR(__xludf.DUMMYFUNCTION("""COMPUTED_VALUE"""),46218.53204796296)</f>
        <v>46218.53205</v>
      </c>
      <c r="G416" s="86" t="str">
        <f>IFERROR(__xludf.DUMMYFUNCTION("""COMPUTED_VALUE"""),"Done")</f>
        <v>Done</v>
      </c>
      <c r="H416" s="88">
        <f>IFERROR(__xludf.DUMMYFUNCTION("""COMPUTED_VALUE"""),0.0)</f>
        <v>0</v>
      </c>
      <c r="I416" s="90" t="str">
        <f>IFERROR(__xludf.DUMMYFUNCTION("""COMPUTED_VALUE"""),"EMP0237 Swarnendu Chakraborty")</f>
        <v>EMP0237 Swarnendu Chakraborty</v>
      </c>
      <c r="J416" s="91"/>
    </row>
    <row r="417">
      <c r="B417" s="76" t="str">
        <f>IFERROR(__xludf.DUMMYFUNCTION("""COMPUTED_VALUE"""),"Discussion with Requester                                                                           ")</f>
        <v>Discussion with Requester                                                                           </v>
      </c>
      <c r="C417" s="82">
        <f>IFERROR(__xludf.DUMMYFUNCTION("""COMPUTED_VALUE"""),5375.0)</f>
        <v>5375</v>
      </c>
      <c r="D417" s="76" t="str">
        <f>IFERROR(__xludf.DUMMYFUNCTION("""COMPUTED_VALUE"""),"Migration certificate 241741105043_SE22")</f>
        <v>Migration certificate 241741105043_SE22</v>
      </c>
      <c r="E417" s="84">
        <f>IFERROR(__xludf.DUMMYFUNCTION("""COMPUTED_VALUE"""),46218.74444362269)</f>
        <v>46218.74444</v>
      </c>
      <c r="F417" s="86">
        <f>IFERROR(__xludf.DUMMYFUNCTION("""COMPUTED_VALUE"""),46218.640498773144)</f>
        <v>46218.6405</v>
      </c>
      <c r="G417" s="86" t="str">
        <f>IFERROR(__xludf.DUMMYFUNCTION("""COMPUTED_VALUE"""),"Done")</f>
        <v>Done</v>
      </c>
      <c r="H417" s="88">
        <f>IFERROR(__xludf.DUMMYFUNCTION("""COMPUTED_VALUE"""),0.0)</f>
        <v>0</v>
      </c>
      <c r="I417" s="90" t="str">
        <f>IFERROR(__xludf.DUMMYFUNCTION("""COMPUTED_VALUE"""),"EMP0042 HULESHWAR KUMAR SAHU")</f>
        <v>EMP0042 HULESHWAR KUMAR SAHU</v>
      </c>
      <c r="J417" s="91"/>
    </row>
    <row r="418">
      <c r="B418" s="76" t="str">
        <f>IFERROR(__xludf.DUMMYFUNCTION("""COMPUTED_VALUE"""),"Discussion with Requester                                                                           ")</f>
        <v>Discussion with Requester                                                                           </v>
      </c>
      <c r="C418" s="82">
        <f>IFERROR(__xludf.DUMMYFUNCTION("""COMPUTED_VALUE"""),5376.0)</f>
        <v>5376</v>
      </c>
      <c r="D418" s="76" t="str">
        <f>IFERROR(__xludf.DUMMYFUNCTION("""COMPUTED_VALUE"""),"TR report")</f>
        <v>TR report</v>
      </c>
      <c r="E418" s="84">
        <f>IFERROR(__xludf.DUMMYFUNCTION("""COMPUTED_VALUE"""),46218.761932546295)</f>
        <v>46218.76193</v>
      </c>
      <c r="F418" s="86">
        <f>IFERROR(__xludf.DUMMYFUNCTION("""COMPUTED_VALUE"""),46218.64078709491)</f>
        <v>46218.64079</v>
      </c>
      <c r="G418" s="86" t="str">
        <f>IFERROR(__xludf.DUMMYFUNCTION("""COMPUTED_VALUE"""),"Done")</f>
        <v>Done</v>
      </c>
      <c r="H418" s="88">
        <f>IFERROR(__xludf.DUMMYFUNCTION("""COMPUTED_VALUE"""),0.0)</f>
        <v>0</v>
      </c>
      <c r="I418" s="90" t="str">
        <f>IFERROR(__xludf.DUMMYFUNCTION("""COMPUTED_VALUE"""),"EMP0237 Swarnendu Chakraborty")</f>
        <v>EMP0237 Swarnendu Chakraborty</v>
      </c>
      <c r="J418" s="91"/>
    </row>
    <row r="419">
      <c r="B419" s="76" t="str">
        <f>IFERROR(__xludf.DUMMYFUNCTION("""COMPUTED_VALUE"""),"Discussion with Requester                                                                           ")</f>
        <v>Discussion with Requester                                                                           </v>
      </c>
      <c r="C419" s="82">
        <f>IFERROR(__xludf.DUMMYFUNCTION("""COMPUTED_VALUE"""),5377.0)</f>
        <v>5377</v>
      </c>
      <c r="D419" s="76" t="str">
        <f>IFERROR(__xludf.DUMMYFUNCTION("""COMPUTED_VALUE"""),"TR Report")</f>
        <v>TR Report</v>
      </c>
      <c r="E419" s="84">
        <f>IFERROR(__xludf.DUMMYFUNCTION("""COMPUTED_VALUE"""),46218.81539254629)</f>
        <v>46218.81539</v>
      </c>
      <c r="F419" s="86">
        <f>IFERROR(__xludf.DUMMYFUNCTION("""COMPUTED_VALUE"""),46218.68495865741)</f>
        <v>46218.68496</v>
      </c>
      <c r="G419" s="86" t="str">
        <f>IFERROR(__xludf.DUMMYFUNCTION("""COMPUTED_VALUE"""),"Done")</f>
        <v>Done</v>
      </c>
      <c r="H419" s="88">
        <f>IFERROR(__xludf.DUMMYFUNCTION("""COMPUTED_VALUE"""),0.0)</f>
        <v>0</v>
      </c>
      <c r="I419" s="90" t="str">
        <f>IFERROR(__xludf.DUMMYFUNCTION("""COMPUTED_VALUE"""),"EMP0237 Swarnendu Chakraborty")</f>
        <v>EMP0237 Swarnendu Chakraborty</v>
      </c>
      <c r="J419" s="91"/>
    </row>
    <row r="420">
      <c r="B420" s="76" t="str">
        <f>IFERROR(__xludf.DUMMYFUNCTION("""COMPUTED_VALUE"""),"Discussion with Requester                                                                           ")</f>
        <v>Discussion with Requester                                                                           </v>
      </c>
      <c r="C420" s="82">
        <f>IFERROR(__xludf.DUMMYFUNCTION("""COMPUTED_VALUE"""),5378.0)</f>
        <v>5378</v>
      </c>
      <c r="D420" s="76" t="str">
        <f>IFERROR(__xludf.DUMMYFUNCTION("""COMPUTED_VALUE"""),"TR")</f>
        <v>TR</v>
      </c>
      <c r="E420" s="84">
        <f>IFERROR(__xludf.DUMMYFUNCTION("""COMPUTED_VALUE"""),46220.42222222222)</f>
        <v>46220.42222</v>
      </c>
      <c r="F420" s="86">
        <f>IFERROR(__xludf.DUMMYFUNCTION("""COMPUTED_VALUE"""),46218.68513116898)</f>
        <v>46218.68513</v>
      </c>
      <c r="G420" s="86" t="str">
        <f>IFERROR(__xludf.DUMMYFUNCTION("""COMPUTED_VALUE"""),"Done")</f>
        <v>Done</v>
      </c>
      <c r="H420" s="88">
        <f>IFERROR(__xludf.DUMMYFUNCTION("""COMPUTED_VALUE"""),0.0)</f>
        <v>0</v>
      </c>
      <c r="I420" s="90" t="str">
        <f>IFERROR(__xludf.DUMMYFUNCTION("""COMPUTED_VALUE"""),"EMP0042 HULESHWAR KUMAR SAHU")</f>
        <v>EMP0042 HULESHWAR KUMAR SAHU</v>
      </c>
      <c r="J420" s="91"/>
    </row>
    <row r="421">
      <c r="B421" s="76" t="str">
        <f>IFERROR(__xludf.DUMMYFUNCTION("""COMPUTED_VALUE"""),"Discussion with Requester                                                                           ")</f>
        <v>Discussion with Requester                                                                           </v>
      </c>
      <c r="C421" s="82">
        <f>IFERROR(__xludf.DUMMYFUNCTION("""COMPUTED_VALUE"""),5379.0)</f>
        <v>5379</v>
      </c>
      <c r="D421" s="76" t="str">
        <f>IFERROR(__xludf.DUMMYFUNCTION("""COMPUTED_VALUE"""),"gradecard4_btech")</f>
        <v>gradecard4_btech</v>
      </c>
      <c r="E421" s="84">
        <f>IFERROR(__xludf.DUMMYFUNCTION("""COMPUTED_VALUE"""),46219.648363831024)</f>
        <v>46219.64836</v>
      </c>
      <c r="F421" s="86">
        <f>IFERROR(__xludf.DUMMYFUNCTION("""COMPUTED_VALUE"""),46219.48182162037)</f>
        <v>46219.48182</v>
      </c>
      <c r="G421" s="86" t="str">
        <f>IFERROR(__xludf.DUMMYFUNCTION("""COMPUTED_VALUE"""),"Done")</f>
        <v>Done</v>
      </c>
      <c r="H421" s="88">
        <f>IFERROR(__xludf.DUMMYFUNCTION("""COMPUTED_VALUE"""),0.0)</f>
        <v>0</v>
      </c>
      <c r="I421" s="90" t="str">
        <f>IFERROR(__xludf.DUMMYFUNCTION("""COMPUTED_VALUE"""),"EMP0042 HULESHWAR KUMAR SAHU")</f>
        <v>EMP0042 HULESHWAR KUMAR SAHU</v>
      </c>
      <c r="J421" s="91"/>
    </row>
    <row r="422">
      <c r="B422" s="76" t="str">
        <f>IFERROR(__xludf.DUMMYFUNCTION("""COMPUTED_VALUE"""),"Discussion with Requester                                                                           ")</f>
        <v>Discussion with Requester                                                                           </v>
      </c>
      <c r="C422" s="82">
        <f>IFERROR(__xludf.DUMMYFUNCTION("""COMPUTED_VALUE"""),5380.0)</f>
        <v>5380</v>
      </c>
      <c r="D422" s="76" t="str">
        <f>IFERROR(__xludf.DUMMYFUNCTION("""COMPUTED_VALUE"""),"Marksheet Paramedical")</f>
        <v>Marksheet Paramedical</v>
      </c>
      <c r="E422" s="84">
        <f>IFERROR(__xludf.DUMMYFUNCTION("""COMPUTED_VALUE"""),46219.72156692129)</f>
        <v>46219.72157</v>
      </c>
      <c r="F422" s="86">
        <f>IFERROR(__xludf.DUMMYFUNCTION("""COMPUTED_VALUE"""),46219.55864700232)</f>
        <v>46219.55865</v>
      </c>
      <c r="G422" s="86" t="str">
        <f>IFERROR(__xludf.DUMMYFUNCTION("""COMPUTED_VALUE"""),"Done")</f>
        <v>Done</v>
      </c>
      <c r="H422" s="88">
        <f>IFERROR(__xludf.DUMMYFUNCTION("""COMPUTED_VALUE"""),0.0)</f>
        <v>0</v>
      </c>
      <c r="I422" s="90" t="str">
        <f>IFERROR(__xludf.DUMMYFUNCTION("""COMPUTED_VALUE"""),"EMP0042 HULESHWAR KUMAR SAHU")</f>
        <v>EMP0042 HULESHWAR KUMAR SAHU</v>
      </c>
      <c r="J422" s="91"/>
    </row>
    <row r="423">
      <c r="B423" s="76" t="str">
        <f>IFERROR(__xludf.DUMMYFUNCTION("""COMPUTED_VALUE"""),"Discussion with Requester                                                                           ")</f>
        <v>Discussion with Requester                                                                           </v>
      </c>
      <c r="C423" s="82">
        <f>IFERROR(__xludf.DUMMYFUNCTION("""COMPUTED_VALUE"""),5381.0)</f>
        <v>5381</v>
      </c>
      <c r="D423" s="76" t="str">
        <f>IFERROR(__xludf.DUMMYFUNCTION("""COMPUTED_VALUE"""),"TR correction")</f>
        <v>TR correction</v>
      </c>
      <c r="E423" s="84">
        <f>IFERROR(__xludf.DUMMYFUNCTION("""COMPUTED_VALUE"""),46219.7647615625)</f>
        <v>46219.76476</v>
      </c>
      <c r="F423" s="86">
        <f>IFERROR(__xludf.DUMMYFUNCTION("""COMPUTED_VALUE"""),46219.71251865741)</f>
        <v>46219.71252</v>
      </c>
      <c r="G423" s="86" t="str">
        <f>IFERROR(__xludf.DUMMYFUNCTION("""COMPUTED_VALUE"""),"Done")</f>
        <v>Done</v>
      </c>
      <c r="H423" s="88">
        <f>IFERROR(__xludf.DUMMYFUNCTION("""COMPUTED_VALUE"""),0.0)</f>
        <v>0</v>
      </c>
      <c r="I423" s="90" t="str">
        <f>IFERROR(__xludf.DUMMYFUNCTION("""COMPUTED_VALUE"""),"EMP0042 HULESHWAR KUMAR SAHU")</f>
        <v>EMP0042 HULESHWAR KUMAR SAHU</v>
      </c>
      <c r="J423" s="91"/>
    </row>
    <row r="424">
      <c r="B424" s="76" t="str">
        <f>IFERROR(__xludf.DUMMYFUNCTION("""COMPUTED_VALUE"""),"Discussion with Requester                                                                           ")</f>
        <v>Discussion with Requester                                                                           </v>
      </c>
      <c r="C424" s="82">
        <f>IFERROR(__xludf.DUMMYFUNCTION("""COMPUTED_VALUE"""),5382.0)</f>
        <v>5382</v>
      </c>
      <c r="D424" s="76" t="str">
        <f>IFERROR(__xludf.DUMMYFUNCTION("""COMPUTED_VALUE"""),"Upshastri Controller  signature change")</f>
        <v>Upshastri Controller  signature change</v>
      </c>
      <c r="E424" s="84">
        <f>IFERROR(__xludf.DUMMYFUNCTION("""COMPUTED_VALUE"""),46219.775916932864)</f>
        <v>46219.77592</v>
      </c>
      <c r="F424" s="86">
        <f>IFERROR(__xludf.DUMMYFUNCTION("""COMPUTED_VALUE"""),46219.71258471064)</f>
        <v>46219.71258</v>
      </c>
      <c r="G424" s="86" t="str">
        <f>IFERROR(__xludf.DUMMYFUNCTION("""COMPUTED_VALUE"""),"Done")</f>
        <v>Done</v>
      </c>
      <c r="H424" s="88">
        <f>IFERROR(__xludf.DUMMYFUNCTION("""COMPUTED_VALUE"""),0.0)</f>
        <v>0</v>
      </c>
      <c r="I424" s="90" t="str">
        <f>IFERROR(__xludf.DUMMYFUNCTION("""COMPUTED_VALUE"""),"EMP0021 Tamanna Dewangan")</f>
        <v>EMP0021 Tamanna Dewangan</v>
      </c>
      <c r="J424" s="91"/>
    </row>
    <row r="425">
      <c r="B425" s="76" t="str">
        <f>IFERROR(__xludf.DUMMYFUNCTION("""COMPUTED_VALUE"""),"Discussion with Requester                                                                           ")</f>
        <v>Discussion with Requester                                                                           </v>
      </c>
      <c r="C425" s="82">
        <f>IFERROR(__xludf.DUMMYFUNCTION("""COMPUTED_VALUE"""),5383.0)</f>
        <v>5383</v>
      </c>
      <c r="D425" s="76" t="str">
        <f>IFERROR(__xludf.DUMMYFUNCTION("""COMPUTED_VALUE"""),"Shastri Semester marksheet Correction")</f>
        <v>Shastri Semester marksheet Correction</v>
      </c>
      <c r="E425" s="84">
        <f>IFERROR(__xludf.DUMMYFUNCTION("""COMPUTED_VALUE"""),46219.77700555556)</f>
        <v>46219.77701</v>
      </c>
      <c r="F425" s="86">
        <f>IFERROR(__xludf.DUMMYFUNCTION("""COMPUTED_VALUE"""),46219.712635613425)</f>
        <v>46219.71264</v>
      </c>
      <c r="G425" s="86" t="str">
        <f>IFERROR(__xludf.DUMMYFUNCTION("""COMPUTED_VALUE"""),"Done")</f>
        <v>Done</v>
      </c>
      <c r="H425" s="88">
        <f>IFERROR(__xludf.DUMMYFUNCTION("""COMPUTED_VALUE"""),0.0)</f>
        <v>0</v>
      </c>
      <c r="I425" s="90" t="str">
        <f>IFERROR(__xludf.DUMMYFUNCTION("""COMPUTED_VALUE"""),"EMP0042 HULESHWAR KUMAR SAHU")</f>
        <v>EMP0042 HULESHWAR KUMAR SAHU</v>
      </c>
      <c r="J425" s="91"/>
    </row>
    <row r="426">
      <c r="B426" s="76" t="str">
        <f>IFERROR(__xludf.DUMMYFUNCTION("""COMPUTED_VALUE"""),"Discussion with Requester                                                                           ")</f>
        <v>Discussion with Requester                                                                           </v>
      </c>
      <c r="C426" s="82">
        <f>IFERROR(__xludf.DUMMYFUNCTION("""COMPUTED_VALUE"""),5384.0)</f>
        <v>5384</v>
      </c>
      <c r="D426" s="76" t="str">
        <f>IFERROR(__xludf.DUMMYFUNCTION("""COMPUTED_VALUE"""),"Grade Carde B.Tech")</f>
        <v>Grade Carde B.Tech</v>
      </c>
      <c r="E426" s="84">
        <f>IFERROR(__xludf.DUMMYFUNCTION("""COMPUTED_VALUE"""),46220.41875)</f>
        <v>46220.41875</v>
      </c>
      <c r="F426" s="86">
        <f>IFERROR(__xludf.DUMMYFUNCTION("""COMPUTED_VALUE"""),46219.71272409722)</f>
        <v>46219.71272</v>
      </c>
      <c r="G426" s="86" t="str">
        <f>IFERROR(__xludf.DUMMYFUNCTION("""COMPUTED_VALUE"""),"Done")</f>
        <v>Done</v>
      </c>
      <c r="H426" s="88">
        <f>IFERROR(__xludf.DUMMYFUNCTION("""COMPUTED_VALUE"""),0.0)</f>
        <v>0</v>
      </c>
      <c r="I426" s="90" t="str">
        <f>IFERROR(__xludf.DUMMYFUNCTION("""COMPUTED_VALUE"""),"EMP0042 HULESHWAR KUMAR SAHU")</f>
        <v>EMP0042 HULESHWAR KUMAR SAHU</v>
      </c>
      <c r="J426" s="91"/>
    </row>
    <row r="427">
      <c r="B427" s="76" t="str">
        <f>IFERROR(__xludf.DUMMYFUNCTION("""COMPUTED_VALUE"""),"Discussion with Requester                                                                           ")</f>
        <v>Discussion with Requester                                                                           </v>
      </c>
      <c r="C427" s="82">
        <f>IFERROR(__xludf.DUMMYFUNCTION("""COMPUTED_VALUE"""),5385.0)</f>
        <v>5385</v>
      </c>
      <c r="D427" s="76" t="str">
        <f>IFERROR(__xludf.DUMMYFUNCTION("""COMPUTED_VALUE"""),"GRADE_CARD")</f>
        <v>GRADE_CARD</v>
      </c>
      <c r="E427" s="84">
        <f>IFERROR(__xludf.DUMMYFUNCTION("""COMPUTED_VALUE"""),46220.43541666667)</f>
        <v>46220.43542</v>
      </c>
      <c r="F427" s="86">
        <f>IFERROR(__xludf.DUMMYFUNCTION("""COMPUTED_VALUE"""),46219.71306181713)</f>
        <v>46219.71306</v>
      </c>
      <c r="G427" s="86" t="str">
        <f>IFERROR(__xludf.DUMMYFUNCTION("""COMPUTED_VALUE"""),"Done")</f>
        <v>Done</v>
      </c>
      <c r="H427" s="88">
        <f>IFERROR(__xludf.DUMMYFUNCTION("""COMPUTED_VALUE"""),0.0)</f>
        <v>0</v>
      </c>
      <c r="I427" s="90" t="str">
        <f>IFERROR(__xludf.DUMMYFUNCTION("""COMPUTED_VALUE"""),"EMP5009 Rup Kumar Mandal")</f>
        <v>EMP5009 Rup Kumar Mandal</v>
      </c>
      <c r="J427" s="91"/>
    </row>
    <row r="428">
      <c r="B428" s="76" t="str">
        <f>IFERROR(__xludf.DUMMYFUNCTION("""COMPUTED_VALUE"""),"Discussion with Requester                                                                           ")</f>
        <v>Discussion with Requester                                                                           </v>
      </c>
      <c r="C428" s="82">
        <f>IFERROR(__xludf.DUMMYFUNCTION("""COMPUTED_VALUE"""),5386.0)</f>
        <v>5386</v>
      </c>
      <c r="D428" s="76" t="str">
        <f>IFERROR(__xludf.DUMMYFUNCTION("""COMPUTED_VALUE"""),"TRS_REPORT")</f>
        <v>TRS_REPORT</v>
      </c>
      <c r="E428" s="84">
        <f>IFERROR(__xludf.DUMMYFUNCTION("""COMPUTED_VALUE"""),46220.43958333333)</f>
        <v>46220.43958</v>
      </c>
      <c r="F428" s="86">
        <f>IFERROR(__xludf.DUMMYFUNCTION("""COMPUTED_VALUE"""),46219.71314716436)</f>
        <v>46219.71315</v>
      </c>
      <c r="G428" s="86" t="str">
        <f>IFERROR(__xludf.DUMMYFUNCTION("""COMPUTED_VALUE"""),"Done")</f>
        <v>Done</v>
      </c>
      <c r="H428" s="88">
        <f>IFERROR(__xludf.DUMMYFUNCTION("""COMPUTED_VALUE"""),0.0)</f>
        <v>0</v>
      </c>
      <c r="I428" s="90" t="str">
        <f>IFERROR(__xludf.DUMMYFUNCTION("""COMPUTED_VALUE"""),"EMP5009 Rup Kumar Mandal")</f>
        <v>EMP5009 Rup Kumar Mandal</v>
      </c>
      <c r="J428" s="91"/>
    </row>
    <row r="429">
      <c r="B429" s="76" t="str">
        <f>IFERROR(__xludf.DUMMYFUNCTION("""COMPUTED_VALUE"""),"Discussion with Requester                                                                           ")</f>
        <v>Discussion with Requester                                                                           </v>
      </c>
      <c r="C429" s="82">
        <f>IFERROR(__xludf.DUMMYFUNCTION("""COMPUTED_VALUE"""),5387.0)</f>
        <v>5387</v>
      </c>
      <c r="D429" s="76" t="str">
        <f>IFERROR(__xludf.DUMMYFUNCTION("""COMPUTED_VALUE"""),"	Grade Card (OTHERS)")</f>
        <v>	Grade Card (OTHERS)</v>
      </c>
      <c r="E429" s="84">
        <f>IFERROR(__xludf.DUMMYFUNCTION("""COMPUTED_VALUE"""),46220.668230034724)</f>
        <v>46220.66823</v>
      </c>
      <c r="F429" s="86">
        <f>IFERROR(__xludf.DUMMYFUNCTION("""COMPUTED_VALUE"""),46220.607551678244)</f>
        <v>46220.60755</v>
      </c>
      <c r="G429" s="86" t="str">
        <f>IFERROR(__xludf.DUMMYFUNCTION("""COMPUTED_VALUE"""),"Done")</f>
        <v>Done</v>
      </c>
      <c r="H429" s="88">
        <f>IFERROR(__xludf.DUMMYFUNCTION("""COMPUTED_VALUE"""),0.0)</f>
        <v>0</v>
      </c>
      <c r="I429" s="90" t="str">
        <f>IFERROR(__xludf.DUMMYFUNCTION("""COMPUTED_VALUE"""),"EMP0021 Tamanna Dewangan")</f>
        <v>EMP0021 Tamanna Dewangan</v>
      </c>
      <c r="J429" s="91"/>
    </row>
    <row r="430">
      <c r="B430" s="76" t="str">
        <f>IFERROR(__xludf.DUMMYFUNCTION("""COMPUTED_VALUE"""),"Discussion with Requester                                                                           ")</f>
        <v>Discussion with Requester                                                                           </v>
      </c>
      <c r="C430" s="82">
        <f>IFERROR(__xludf.DUMMYFUNCTION("""COMPUTED_VALUE"""),5388.0)</f>
        <v>5388</v>
      </c>
      <c r="D430" s="76" t="str">
        <f>IFERROR(__xludf.DUMMYFUNCTION("""COMPUTED_VALUE"""),"	Provisional Certificate")</f>
        <v>	Provisional Certificate</v>
      </c>
      <c r="E430" s="84">
        <f>IFERROR(__xludf.DUMMYFUNCTION("""COMPUTED_VALUE"""),46220.729191307866)</f>
        <v>46220.72919</v>
      </c>
      <c r="F430" s="86">
        <f>IFERROR(__xludf.DUMMYFUNCTION("""COMPUTED_VALUE"""),46220.57749643519)</f>
        <v>46220.5775</v>
      </c>
      <c r="G430" s="86" t="str">
        <f>IFERROR(__xludf.DUMMYFUNCTION("""COMPUTED_VALUE"""),"Done")</f>
        <v>Done</v>
      </c>
      <c r="H430" s="88">
        <f>IFERROR(__xludf.DUMMYFUNCTION("""COMPUTED_VALUE"""),0.0)</f>
        <v>0</v>
      </c>
      <c r="I430" s="90" t="str">
        <f>IFERROR(__xludf.DUMMYFUNCTION("""COMPUTED_VALUE"""),"EMP0042 HULESHWAR KUMAR SAHU")</f>
        <v>EMP0042 HULESHWAR KUMAR SAHU</v>
      </c>
      <c r="J430" s="91"/>
    </row>
    <row r="431">
      <c r="B431" s="76" t="str">
        <f>IFERROR(__xludf.DUMMYFUNCTION("""COMPUTED_VALUE"""),"Discussion with Requester                                                                           ")</f>
        <v>Discussion with Requester                                                                           </v>
      </c>
      <c r="C431" s="82">
        <f>IFERROR(__xludf.DUMMYFUNCTION("""COMPUTED_VALUE"""),5389.0)</f>
        <v>5389</v>
      </c>
      <c r="D431" s="76" t="str">
        <f>IFERROR(__xludf.DUMMYFUNCTION("""COMPUTED_VALUE"""),"TR Format (Grading / Non-Grading) ")</f>
        <v>TR Format (Grading / Non-Grading) </v>
      </c>
      <c r="E431" s="84">
        <f>IFERROR(__xludf.DUMMYFUNCTION("""COMPUTED_VALUE"""),46221.50625)</f>
        <v>46221.50625</v>
      </c>
      <c r="F431" s="86">
        <f>IFERROR(__xludf.DUMMYFUNCTION("""COMPUTED_VALUE"""),46220.78688810185)</f>
        <v>46220.78689</v>
      </c>
      <c r="G431" s="86" t="str">
        <f>IFERROR(__xludf.DUMMYFUNCTION("""COMPUTED_VALUE"""),"Done")</f>
        <v>Done</v>
      </c>
      <c r="H431" s="88">
        <f>IFERROR(__xludf.DUMMYFUNCTION("""COMPUTED_VALUE"""),0.0)</f>
        <v>0</v>
      </c>
      <c r="I431" s="90" t="str">
        <f>IFERROR(__xludf.DUMMYFUNCTION("""COMPUTED_VALUE"""),"EMP5009 Rup Kumar Mandal")</f>
        <v>EMP5009 Rup Kumar Mandal</v>
      </c>
      <c r="J431" s="91"/>
    </row>
    <row r="432">
      <c r="B432" s="76" t="str">
        <f>IFERROR(__xludf.DUMMYFUNCTION("""COMPUTED_VALUE"""),"Discussion with Requester                                                                           ")</f>
        <v>Discussion with Requester                                                                           </v>
      </c>
      <c r="C432" s="82">
        <f>IFERROR(__xludf.DUMMYFUNCTION("""COMPUTED_VALUE"""),5390.0)</f>
        <v>5390</v>
      </c>
      <c r="D432" s="76" t="str">
        <f>IFERROR(__xludf.DUMMYFUNCTION("""COMPUTED_VALUE"""),"TR Format (Grading / Non-Grading) ")</f>
        <v>TR Format (Grading / Non-Grading) </v>
      </c>
      <c r="E432" s="84">
        <f>IFERROR(__xludf.DUMMYFUNCTION("""COMPUTED_VALUE"""),46221.507638888885)</f>
        <v>46221.50764</v>
      </c>
      <c r="F432" s="86">
        <f>IFERROR(__xludf.DUMMYFUNCTION("""COMPUTED_VALUE"""),46220.786918425925)</f>
        <v>46220.78692</v>
      </c>
      <c r="G432" s="86" t="str">
        <f>IFERROR(__xludf.DUMMYFUNCTION("""COMPUTED_VALUE"""),"Done")</f>
        <v>Done</v>
      </c>
      <c r="H432" s="88">
        <f>IFERROR(__xludf.DUMMYFUNCTION("""COMPUTED_VALUE"""),0.0)</f>
        <v>0</v>
      </c>
      <c r="I432" s="90" t="str">
        <f>IFERROR(__xludf.DUMMYFUNCTION("""COMPUTED_VALUE"""),"EMP0021 Tamanna Dewangan")</f>
        <v>EMP0021 Tamanna Dewangan</v>
      </c>
      <c r="J432" s="91"/>
    </row>
    <row r="433">
      <c r="B433" s="76" t="str">
        <f>IFERROR(__xludf.DUMMYFUNCTION("""COMPUTED_VALUE"""),"Discussion with Requester                                                                           ")</f>
        <v>Discussion with Requester                                                                           </v>
      </c>
      <c r="C433" s="82">
        <f>IFERROR(__xludf.DUMMYFUNCTION("""COMPUTED_VALUE"""),5391.0)</f>
        <v>5391</v>
      </c>
      <c r="D433" s="76" t="str">
        <f>IFERROR(__xludf.DUMMYFUNCTION("""COMPUTED_VALUE"""),"PG-SECTION Continuous Assesment Marks Report ")</f>
        <v>PG-SECTION Continuous Assesment Marks Report </v>
      </c>
      <c r="E433" s="84">
        <f>IFERROR(__xludf.DUMMYFUNCTION("""COMPUTED_VALUE"""),46221.51180555555)</f>
        <v>46221.51181</v>
      </c>
      <c r="F433" s="86">
        <f>IFERROR(__xludf.DUMMYFUNCTION("""COMPUTED_VALUE"""),46220.78693879629)</f>
        <v>46220.78694</v>
      </c>
      <c r="G433" s="86" t="str">
        <f>IFERROR(__xludf.DUMMYFUNCTION("""COMPUTED_VALUE"""),"Done")</f>
        <v>Done</v>
      </c>
      <c r="H433" s="88">
        <f>IFERROR(__xludf.DUMMYFUNCTION("""COMPUTED_VALUE"""),0.0)</f>
        <v>0</v>
      </c>
      <c r="I433" s="90" t="str">
        <f>IFERROR(__xludf.DUMMYFUNCTION("""COMPUTED_VALUE"""),"EMP5009 Rup Kumar Mandal")</f>
        <v>EMP5009 Rup Kumar Mandal</v>
      </c>
      <c r="J433" s="91"/>
    </row>
    <row r="434">
      <c r="B434" s="76" t="str">
        <f>IFERROR(__xludf.DUMMYFUNCTION("""COMPUTED_VALUE"""),"Discussion with Requester                                                                           ")</f>
        <v>Discussion with Requester                                                                           </v>
      </c>
      <c r="C434" s="82">
        <f>IFERROR(__xludf.DUMMYFUNCTION("""COMPUTED_VALUE"""),5392.0)</f>
        <v>5392</v>
      </c>
      <c r="D434" s="76" t="str">
        <f>IFERROR(__xludf.DUMMYFUNCTION("""COMPUTED_VALUE"""),"PG-SECTION Marks Entry Mis-Match Report")</f>
        <v>PG-SECTION Marks Entry Mis-Match Report</v>
      </c>
      <c r="E434" s="84">
        <f>IFERROR(__xludf.DUMMYFUNCTION("""COMPUTED_VALUE"""),46221.51458333334)</f>
        <v>46221.51458</v>
      </c>
      <c r="F434" s="86">
        <f>IFERROR(__xludf.DUMMYFUNCTION("""COMPUTED_VALUE"""),46220.78695045139)</f>
        <v>46220.78695</v>
      </c>
      <c r="G434" s="86" t="str">
        <f>IFERROR(__xludf.DUMMYFUNCTION("""COMPUTED_VALUE"""),"Done")</f>
        <v>Done</v>
      </c>
      <c r="H434" s="88">
        <f>IFERROR(__xludf.DUMMYFUNCTION("""COMPUTED_VALUE"""),0.0)</f>
        <v>0</v>
      </c>
      <c r="I434" s="90" t="str">
        <f>IFERROR(__xludf.DUMMYFUNCTION("""COMPUTED_VALUE"""),"EMP5009 Rup Kumar Mandal")</f>
        <v>EMP5009 Rup Kumar Mandal</v>
      </c>
      <c r="J434" s="91"/>
    </row>
    <row r="435">
      <c r="B435" s="76" t="str">
        <f>IFERROR(__xludf.DUMMYFUNCTION("""COMPUTED_VALUE"""),"Discussion with Requester                                                                           ")</f>
        <v>Discussion with Requester                                                                           </v>
      </c>
      <c r="C435" s="82">
        <f>IFERROR(__xludf.DUMMYFUNCTION("""COMPUTED_VALUE"""),5393.0)</f>
        <v>5393</v>
      </c>
      <c r="D435" s="76" t="str">
        <f>IFERROR(__xludf.DUMMYFUNCTION("""COMPUTED_VALUE"""),"Admit Card")</f>
        <v>Admit Card</v>
      </c>
      <c r="E435" s="84">
        <f>IFERROR(__xludf.DUMMYFUNCTION("""COMPUTED_VALUE"""),46221.61963635416)</f>
        <v>46221.61964</v>
      </c>
      <c r="F435" s="86">
        <f>IFERROR(__xludf.DUMMYFUNCTION("""COMPUTED_VALUE"""),46221.470322245375)</f>
        <v>46221.47032</v>
      </c>
      <c r="G435" s="86" t="str">
        <f>IFERROR(__xludf.DUMMYFUNCTION("""COMPUTED_VALUE"""),"Done")</f>
        <v>Done</v>
      </c>
      <c r="H435" s="88">
        <f>IFERROR(__xludf.DUMMYFUNCTION("""COMPUTED_VALUE"""),0.0)</f>
        <v>0</v>
      </c>
      <c r="I435" s="90" t="str">
        <f>IFERROR(__xludf.DUMMYFUNCTION("""COMPUTED_VALUE"""),"EMP0237 Swarnendu Chakraborty")</f>
        <v>EMP0237 Swarnendu Chakraborty</v>
      </c>
      <c r="J435" s="91"/>
    </row>
    <row r="436">
      <c r="B436" s="76" t="str">
        <f>IFERROR(__xludf.DUMMYFUNCTION("""COMPUTED_VALUE"""),"Discussion with Requester                                                                           ")</f>
        <v>Discussion with Requester                                                                           </v>
      </c>
      <c r="C436" s="82">
        <f>IFERROR(__xludf.DUMMYFUNCTION("""COMPUTED_VALUE"""),5394.0)</f>
        <v>5394</v>
      </c>
      <c r="D436" s="76" t="str">
        <f>IFERROR(__xludf.DUMMYFUNCTION("""COMPUTED_VALUE"""),"All marksheet scanner course name change as per discussion.")</f>
        <v>All marksheet scanner course name change as per discussion.</v>
      </c>
      <c r="E436" s="84">
        <f>IFERROR(__xludf.DUMMYFUNCTION("""COMPUTED_VALUE"""),46221.776047523155)</f>
        <v>46221.77605</v>
      </c>
      <c r="F436" s="86">
        <f>IFERROR(__xludf.DUMMYFUNCTION("""COMPUTED_VALUE"""),46221.61882982639)</f>
        <v>46221.61883</v>
      </c>
      <c r="G436" s="86" t="str">
        <f>IFERROR(__xludf.DUMMYFUNCTION("""COMPUTED_VALUE"""),"Done")</f>
        <v>Done</v>
      </c>
      <c r="H436" s="88">
        <f>IFERROR(__xludf.DUMMYFUNCTION("""COMPUTED_VALUE"""),0.0)</f>
        <v>0</v>
      </c>
      <c r="I436" s="90" t="str">
        <f>IFERROR(__xludf.DUMMYFUNCTION("""COMPUTED_VALUE"""),"EMP0042 HULESHWAR KUMAR SAHU")</f>
        <v>EMP0042 HULESHWAR KUMAR SAHU</v>
      </c>
      <c r="J436" s="91"/>
    </row>
    <row r="437">
      <c r="B437" s="76" t="str">
        <f>IFERROR(__xludf.DUMMYFUNCTION("""COMPUTED_VALUE"""),"Discussion with Requester                                                                           ")</f>
        <v>Discussion with Requester                                                                           </v>
      </c>
      <c r="C437" s="82">
        <f>IFERROR(__xludf.DUMMYFUNCTION("""COMPUTED_VALUE"""),5395.0)</f>
        <v>5395</v>
      </c>
      <c r="D437" s="76" t="str">
        <f>IFERROR(__xludf.DUMMYFUNCTION("""COMPUTED_VALUE"""),"TR Report")</f>
        <v>TR Report</v>
      </c>
      <c r="E437" s="84">
        <f>IFERROR(__xludf.DUMMYFUNCTION("""COMPUTED_VALUE"""),46223.52710144676)</f>
        <v>46223.5271</v>
      </c>
      <c r="F437" s="86">
        <f>IFERROR(__xludf.DUMMYFUNCTION("""COMPUTED_VALUE"""),46221.63627247685)</f>
        <v>46221.63627</v>
      </c>
      <c r="G437" s="86" t="str">
        <f>IFERROR(__xludf.DUMMYFUNCTION("""COMPUTED_VALUE"""),"Done")</f>
        <v>Done</v>
      </c>
      <c r="H437" s="88">
        <f>IFERROR(__xludf.DUMMYFUNCTION("""COMPUTED_VALUE"""),0.0)</f>
        <v>0</v>
      </c>
      <c r="I437" s="90" t="str">
        <f>IFERROR(__xludf.DUMMYFUNCTION("""COMPUTED_VALUE"""),"EMP0237 Swarnendu Chakraborty")</f>
        <v>EMP0237 Swarnendu Chakraborty</v>
      </c>
      <c r="J437" s="91"/>
    </row>
    <row r="438">
      <c r="B438" s="76" t="str">
        <f>IFERROR(__xludf.DUMMYFUNCTION("""COMPUTED_VALUE"""),"Discussion with Requester                                                                           ")</f>
        <v>Discussion with Requester                                                                           </v>
      </c>
      <c r="C438" s="82">
        <f>IFERROR(__xludf.DUMMYFUNCTION("""COMPUTED_VALUE"""),5396.0)</f>
        <v>5396</v>
      </c>
      <c r="D438" s="76" t="str">
        <f>IFERROR(__xludf.DUMMYFUNCTION("""COMPUTED_VALUE"""),"TR pdf to excel convert all course all semester")</f>
        <v>TR pdf to excel convert all course all semester</v>
      </c>
      <c r="E438" s="84">
        <f>IFERROR(__xludf.DUMMYFUNCTION("""COMPUTED_VALUE"""),46223.509722222225)</f>
        <v>46223.50972</v>
      </c>
      <c r="F438" s="86">
        <f>IFERROR(__xludf.DUMMYFUNCTION("""COMPUTED_VALUE"""),46223.47312108796)</f>
        <v>46223.47312</v>
      </c>
      <c r="G438" s="86" t="str">
        <f>IFERROR(__xludf.DUMMYFUNCTION("""COMPUTED_VALUE"""),"Done")</f>
        <v>Done</v>
      </c>
      <c r="H438" s="88">
        <f>IFERROR(__xludf.DUMMYFUNCTION("""COMPUTED_VALUE"""),0.0)</f>
        <v>0</v>
      </c>
      <c r="I438" s="90" t="str">
        <f>IFERROR(__xludf.DUMMYFUNCTION("""COMPUTED_VALUE"""),"EMP0042 HULESHWAR KUMAR SAHU")</f>
        <v>EMP0042 HULESHWAR KUMAR SAHU</v>
      </c>
      <c r="J438" s="91"/>
    </row>
    <row r="439">
      <c r="B439" s="76" t="str">
        <f>IFERROR(__xludf.DUMMYFUNCTION("""COMPUTED_VALUE"""),"Discussion with Requester                                                                           ")</f>
        <v>Discussion with Requester                                                                           </v>
      </c>
      <c r="C439" s="82">
        <f>IFERROR(__xludf.DUMMYFUNCTION("""COMPUTED_VALUE"""),5397.0)</f>
        <v>5397</v>
      </c>
      <c r="D439" s="76" t="str">
        <f>IFERROR(__xludf.DUMMYFUNCTION("""COMPUTED_VALUE"""),"gradecard4sem_ug_deploma")</f>
        <v>gradecard4sem_ug_deploma</v>
      </c>
      <c r="E439" s="84">
        <f>IFERROR(__xludf.DUMMYFUNCTION("""COMPUTED_VALUE"""),46223.639052893515)</f>
        <v>46223.63905</v>
      </c>
      <c r="F439" s="86">
        <f>IFERROR(__xludf.DUMMYFUNCTION("""COMPUTED_VALUE"""),46223.47320381944)</f>
        <v>46223.4732</v>
      </c>
      <c r="G439" s="86" t="str">
        <f>IFERROR(__xludf.DUMMYFUNCTION("""COMPUTED_VALUE"""),"Done")</f>
        <v>Done</v>
      </c>
      <c r="H439" s="88">
        <f>IFERROR(__xludf.DUMMYFUNCTION("""COMPUTED_VALUE"""),0.0)</f>
        <v>0</v>
      </c>
      <c r="I439" s="90" t="str">
        <f>IFERROR(__xludf.DUMMYFUNCTION("""COMPUTED_VALUE"""),"EMP5009 Rup Kumar Mandal")</f>
        <v>EMP5009 Rup Kumar Mandal</v>
      </c>
      <c r="J439" s="91"/>
    </row>
    <row r="440">
      <c r="B440" s="76" t="str">
        <f>IFERROR(__xludf.DUMMYFUNCTION("""COMPUTED_VALUE"""),"Discussion with Requester                                                                           ")</f>
        <v>Discussion with Requester                                                                           </v>
      </c>
      <c r="C440" s="82">
        <f>IFERROR(__xludf.DUMMYFUNCTION("""COMPUTED_VALUE"""),5398.0)</f>
        <v>5398</v>
      </c>
      <c r="D440" s="76" t="str">
        <f>IFERROR(__xludf.DUMMYFUNCTION("""COMPUTED_VALUE"""),"MAR")</f>
        <v>MAR</v>
      </c>
      <c r="E440" s="84">
        <f>IFERROR(__xludf.DUMMYFUNCTION("""COMPUTED_VALUE"""),46223.746725833334)</f>
        <v>46223.74673</v>
      </c>
      <c r="F440" s="86">
        <f>IFERROR(__xludf.DUMMYFUNCTION("""COMPUTED_VALUE"""),46223.64472359954)</f>
        <v>46223.64472</v>
      </c>
      <c r="G440" s="86" t="str">
        <f>IFERROR(__xludf.DUMMYFUNCTION("""COMPUTED_VALUE"""),"Done")</f>
        <v>Done</v>
      </c>
      <c r="H440" s="88">
        <f>IFERROR(__xludf.DUMMYFUNCTION("""COMPUTED_VALUE"""),0.0)</f>
        <v>0</v>
      </c>
      <c r="I440" s="90" t="str">
        <f>IFERROR(__xludf.DUMMYFUNCTION("""COMPUTED_VALUE"""),"EMP5009 Rup Kumar Mandal")</f>
        <v>EMP5009 Rup Kumar Mandal</v>
      </c>
      <c r="J440" s="91"/>
    </row>
    <row r="441">
      <c r="B441" s="76" t="str">
        <f>IFERROR(__xludf.DUMMYFUNCTION("""COMPUTED_VALUE"""),"Discussion with Requester                                                                           ")</f>
        <v>Discussion with Requester                                                                           </v>
      </c>
      <c r="C441" s="82">
        <f>IFERROR(__xludf.DUMMYFUNCTION("""COMPUTED_VALUE"""),5399.0)</f>
        <v>5399</v>
      </c>
      <c r="D441" s="76" t="str">
        <f>IFERROR(__xludf.DUMMYFUNCTION("""COMPUTED_VALUE"""),"TR Correction for pre process")</f>
        <v>TR Correction for pre process</v>
      </c>
      <c r="E441" s="84">
        <f>IFERROR(__xludf.DUMMYFUNCTION("""COMPUTED_VALUE"""),46224.7908087037)</f>
        <v>46224.79081</v>
      </c>
      <c r="F441" s="86">
        <f>IFERROR(__xludf.DUMMYFUNCTION("""COMPUTED_VALUE"""),46224.697139976844)</f>
        <v>46224.69714</v>
      </c>
      <c r="G441" s="86" t="str">
        <f>IFERROR(__xludf.DUMMYFUNCTION("""COMPUTED_VALUE"""),"Done")</f>
        <v>Done</v>
      </c>
      <c r="H441" s="88">
        <f>IFERROR(__xludf.DUMMYFUNCTION("""COMPUTED_VALUE"""),0.0)</f>
        <v>0</v>
      </c>
      <c r="I441" s="90" t="str">
        <f>IFERROR(__xludf.DUMMYFUNCTION("""COMPUTED_VALUE"""),"EMP0042 HULESHWAR KUMAR SAHU")</f>
        <v>EMP0042 HULESHWAR KUMAR SAHU</v>
      </c>
      <c r="J441" s="91"/>
    </row>
    <row r="442">
      <c r="B442" s="76" t="str">
        <f>IFERROR(__xludf.DUMMYFUNCTION("""COMPUTED_VALUE"""),"Discussion with Requester                                                                           ")</f>
        <v>Discussion with Requester                                                                           </v>
      </c>
      <c r="C442" s="82">
        <f>IFERROR(__xludf.DUMMYFUNCTION("""COMPUTED_VALUE"""),5400.0)</f>
        <v>5400</v>
      </c>
      <c r="D442" s="76" t="str">
        <f>IFERROR(__xludf.DUMMYFUNCTION("""COMPUTED_VALUE"""),"Annual marks correction for regular student")</f>
        <v>Annual marks correction for regular student</v>
      </c>
      <c r="E442" s="84">
        <f>IFERROR(__xludf.DUMMYFUNCTION("""COMPUTED_VALUE"""),46224.791710624995)</f>
        <v>46224.79171</v>
      </c>
      <c r="F442" s="86">
        <f>IFERROR(__xludf.DUMMYFUNCTION("""COMPUTED_VALUE"""),46224.69716846065)</f>
        <v>46224.69717</v>
      </c>
      <c r="G442" s="86" t="str">
        <f>IFERROR(__xludf.DUMMYFUNCTION("""COMPUTED_VALUE"""),"Done")</f>
        <v>Done</v>
      </c>
      <c r="H442" s="88">
        <f>IFERROR(__xludf.DUMMYFUNCTION("""COMPUTED_VALUE"""),0.0)</f>
        <v>0</v>
      </c>
      <c r="I442" s="90" t="str">
        <f>IFERROR(__xludf.DUMMYFUNCTION("""COMPUTED_VALUE"""),"EMP0042 HULESHWAR KUMAR SAHU")</f>
        <v>EMP0042 HULESHWAR KUMAR SAHU</v>
      </c>
      <c r="J442" s="91"/>
    </row>
    <row r="443">
      <c r="B443" s="76" t="str">
        <f>IFERROR(__xludf.DUMMYFUNCTION("""COMPUTED_VALUE"""),"Discussion with Requester                                                                           ")</f>
        <v>Discussion with Requester                                                                           </v>
      </c>
      <c r="C443" s="82">
        <f>IFERROR(__xludf.DUMMYFUNCTION("""COMPUTED_VALUE"""),5401.0)</f>
        <v>5401</v>
      </c>
      <c r="D443" s="76" t="str">
        <f>IFERROR(__xludf.DUMMYFUNCTION("""COMPUTED_VALUE"""),"TR report ")</f>
        <v>TR report </v>
      </c>
      <c r="E443" s="84">
        <f>IFERROR(__xludf.DUMMYFUNCTION("""COMPUTED_VALUE"""),46225.59318633102)</f>
        <v>46225.59319</v>
      </c>
      <c r="F443" s="86">
        <f>IFERROR(__xludf.DUMMYFUNCTION("""COMPUTED_VALUE"""),46225.44678261574)</f>
        <v>46225.44678</v>
      </c>
      <c r="G443" s="86" t="str">
        <f>IFERROR(__xludf.DUMMYFUNCTION("""COMPUTED_VALUE"""),"Done")</f>
        <v>Done</v>
      </c>
      <c r="H443" s="88">
        <f>IFERROR(__xludf.DUMMYFUNCTION("""COMPUTED_VALUE"""),0.0)</f>
        <v>0</v>
      </c>
      <c r="I443" s="90" t="str">
        <f>IFERROR(__xludf.DUMMYFUNCTION("""COMPUTED_VALUE"""),"EMP0021 Tamanna Dewangan")</f>
        <v>EMP0021 Tamanna Dewangan</v>
      </c>
      <c r="J443" s="91"/>
    </row>
    <row r="444">
      <c r="B444" s="76" t="str">
        <f>IFERROR(__xludf.DUMMYFUNCTION("""COMPUTED_VALUE"""),"Discussion with Requester                                                                           ")</f>
        <v>Discussion with Requester                                                                           </v>
      </c>
      <c r="C444" s="82">
        <f>IFERROR(__xludf.DUMMYFUNCTION("""COMPUTED_VALUE"""),5402.0)</f>
        <v>5402</v>
      </c>
      <c r="D444" s="76" t="str">
        <f>IFERROR(__xludf.DUMMYFUNCTION("""COMPUTED_VALUE"""),"TR report")</f>
        <v>TR report</v>
      </c>
      <c r="E444" s="84">
        <f>IFERROR(__xludf.DUMMYFUNCTION("""COMPUTED_VALUE"""),46225.59619728009)</f>
        <v>46225.5962</v>
      </c>
      <c r="F444" s="86">
        <f>IFERROR(__xludf.DUMMYFUNCTION("""COMPUTED_VALUE"""),46225.44681006944)</f>
        <v>46225.44681</v>
      </c>
      <c r="G444" s="86" t="str">
        <f>IFERROR(__xludf.DUMMYFUNCTION("""COMPUTED_VALUE"""),"Done")</f>
        <v>Done</v>
      </c>
      <c r="H444" s="88">
        <f>IFERROR(__xludf.DUMMYFUNCTION("""COMPUTED_VALUE"""),0.0)</f>
        <v>0</v>
      </c>
      <c r="I444" s="90" t="str">
        <f>IFERROR(__xludf.DUMMYFUNCTION("""COMPUTED_VALUE"""),"EMP0237 Swarnendu Chakraborty")</f>
        <v>EMP0237 Swarnendu Chakraborty</v>
      </c>
      <c r="J444" s="91"/>
    </row>
    <row r="445">
      <c r="B445" s="76" t="str">
        <f>IFERROR(__xludf.DUMMYFUNCTION("""COMPUTED_VALUE"""),"Discussion with Requester                                                                           ")</f>
        <v>Discussion with Requester                                                                           </v>
      </c>
      <c r="C445" s="82">
        <f>IFERROR(__xludf.DUMMYFUNCTION("""COMPUTED_VALUE"""),5403.0)</f>
        <v>5403</v>
      </c>
      <c r="D445" s="76" t="str">
        <f>IFERROR(__xludf.DUMMYFUNCTION("""COMPUTED_VALUE"""),"Pre report")</f>
        <v>Pre report</v>
      </c>
      <c r="E445" s="84">
        <f>IFERROR(__xludf.DUMMYFUNCTION("""COMPUTED_VALUE"""),46225.62980528935)</f>
        <v>46225.62981</v>
      </c>
      <c r="F445" s="86">
        <f>IFERROR(__xludf.DUMMYFUNCTION("""COMPUTED_VALUE"""),46225.47228476852)</f>
        <v>46225.47228</v>
      </c>
      <c r="G445" s="86" t="str">
        <f>IFERROR(__xludf.DUMMYFUNCTION("""COMPUTED_VALUE"""),"Done")</f>
        <v>Done</v>
      </c>
      <c r="H445" s="88">
        <f>IFERROR(__xludf.DUMMYFUNCTION("""COMPUTED_VALUE"""),0.0)</f>
        <v>0</v>
      </c>
      <c r="I445" s="90" t="str">
        <f>IFERROR(__xludf.DUMMYFUNCTION("""COMPUTED_VALUE"""),"EMP5009 Rup Kumar Mandal")</f>
        <v>EMP5009 Rup Kumar Mandal</v>
      </c>
      <c r="J445" s="91"/>
    </row>
    <row r="446">
      <c r="B446" s="76" t="str">
        <f>IFERROR(__xludf.DUMMYFUNCTION("""COMPUTED_VALUE"""),"Discussion with Requester                                                                           ")</f>
        <v>Discussion with Requester                                                                           </v>
      </c>
      <c r="C446" s="82">
        <f>IFERROR(__xludf.DUMMYFUNCTION("""COMPUTED_VALUE"""),5404.0)</f>
        <v>5404</v>
      </c>
      <c r="D446" s="76" t="str">
        <f>IFERROR(__xludf.DUMMYFUNCTION("""COMPUTED_VALUE"""),"TR NEW AGRICULTURE AND ALL")</f>
        <v>TR NEW AGRICULTURE AND ALL</v>
      </c>
      <c r="E446" s="84">
        <f>IFERROR(__xludf.DUMMYFUNCTION("""COMPUTED_VALUE"""),46225.76931043981)</f>
        <v>46225.76931</v>
      </c>
      <c r="F446" s="86">
        <f>IFERROR(__xludf.DUMMYFUNCTION("""COMPUTED_VALUE"""),46225.65885318287)</f>
        <v>46225.65885</v>
      </c>
      <c r="G446" s="86" t="str">
        <f>IFERROR(__xludf.DUMMYFUNCTION("""COMPUTED_VALUE"""),"Done")</f>
        <v>Done</v>
      </c>
      <c r="H446" s="88">
        <f>IFERROR(__xludf.DUMMYFUNCTION("""COMPUTED_VALUE"""),0.0)</f>
        <v>0</v>
      </c>
      <c r="I446" s="90" t="str">
        <f>IFERROR(__xludf.DUMMYFUNCTION("""COMPUTED_VALUE"""),"EMP0042 HULESHWAR KUMAR SAHU")</f>
        <v>EMP0042 HULESHWAR KUMAR SAHU</v>
      </c>
      <c r="J446" s="91"/>
    </row>
    <row r="447">
      <c r="B447" s="76" t="str">
        <f>IFERROR(__xludf.DUMMYFUNCTION("""COMPUTED_VALUE"""),"Discussion with Requester                                                                           ")</f>
        <v>Discussion with Requester                                                                           </v>
      </c>
      <c r="C447" s="82">
        <f>IFERROR(__xludf.DUMMYFUNCTION("""COMPUTED_VALUE"""),5405.0)</f>
        <v>5405</v>
      </c>
      <c r="D447" s="76" t="str">
        <f>IFERROR(__xludf.DUMMYFUNCTION("""COMPUTED_VALUE"""),"marksheet")</f>
        <v>marksheet</v>
      </c>
      <c r="E447" s="84">
        <f>IFERROR(__xludf.DUMMYFUNCTION("""COMPUTED_VALUE"""),46226.636376423616)</f>
        <v>46226.63638</v>
      </c>
      <c r="F447" s="86">
        <f>IFERROR(__xludf.DUMMYFUNCTION("""COMPUTED_VALUE"""),46226.480699594904)</f>
        <v>46226.4807</v>
      </c>
      <c r="G447" s="86" t="str">
        <f>IFERROR(__xludf.DUMMYFUNCTION("""COMPUTED_VALUE"""),"Done")</f>
        <v>Done</v>
      </c>
      <c r="H447" s="88">
        <f>IFERROR(__xludf.DUMMYFUNCTION("""COMPUTED_VALUE"""),0.0)</f>
        <v>0</v>
      </c>
      <c r="I447" s="90" t="str">
        <f>IFERROR(__xludf.DUMMYFUNCTION("""COMPUTED_VALUE"""),"EMP0237 Swarnendu Chakraborty")</f>
        <v>EMP0237 Swarnendu Chakraborty</v>
      </c>
      <c r="J447" s="91"/>
    </row>
    <row r="448">
      <c r="B448" s="76" t="str">
        <f>IFERROR(__xludf.DUMMYFUNCTION("""COMPUTED_VALUE"""),"Discussion with Requester                                                                           ")</f>
        <v>Discussion with Requester                                                                           </v>
      </c>
      <c r="C448" s="82">
        <f>IFERROR(__xludf.DUMMYFUNCTION("""COMPUTED_VALUE"""),5406.0)</f>
        <v>5406</v>
      </c>
      <c r="D448" s="76" t="str">
        <f>IFERROR(__xludf.DUMMYFUNCTION("""COMPUTED_VALUE"""),"SHASTRI 5TH SEM ADMIT CARD NOT SO SEMESTER")</f>
        <v>SHASTRI 5TH SEM ADMIT CARD NOT SO SEMESTER</v>
      </c>
      <c r="E448" s="84">
        <f>IFERROR(__xludf.DUMMYFUNCTION("""COMPUTED_VALUE"""),46226.64493909723)</f>
        <v>46226.64494</v>
      </c>
      <c r="F448" s="86">
        <f>IFERROR(__xludf.DUMMYFUNCTION("""COMPUTED_VALUE"""),46226.48086927084)</f>
        <v>46226.48087</v>
      </c>
      <c r="G448" s="86" t="str">
        <f>IFERROR(__xludf.DUMMYFUNCTION("""COMPUTED_VALUE"""),"Done")</f>
        <v>Done</v>
      </c>
      <c r="H448" s="88">
        <f>IFERROR(__xludf.DUMMYFUNCTION("""COMPUTED_VALUE"""),0.0)</f>
        <v>0</v>
      </c>
      <c r="I448" s="90" t="str">
        <f>IFERROR(__xludf.DUMMYFUNCTION("""COMPUTED_VALUE"""),"EMP0021 Tamanna Dewangan")</f>
        <v>EMP0021 Tamanna Dewangan</v>
      </c>
      <c r="J448" s="91"/>
    </row>
    <row r="449">
      <c r="B449" s="76" t="str">
        <f>IFERROR(__xludf.DUMMYFUNCTION("""COMPUTED_VALUE"""),"Discussion with Requester                                                                           ")</f>
        <v>Discussion with Requester                                                                           </v>
      </c>
      <c r="C449" s="82">
        <f>IFERROR(__xludf.DUMMYFUNCTION("""COMPUTED_VALUE"""),5407.0)</f>
        <v>5407</v>
      </c>
      <c r="D449" s="76" t="str">
        <f>IFERROR(__xludf.DUMMYFUNCTION("""COMPUTED_VALUE"""),"TR")</f>
        <v>TR</v>
      </c>
      <c r="E449" s="84">
        <f>IFERROR(__xludf.DUMMYFUNCTION("""COMPUTED_VALUE"""),46226.68107259259)</f>
        <v>46226.68107</v>
      </c>
      <c r="F449" s="86">
        <f>IFERROR(__xludf.DUMMYFUNCTION("""COMPUTED_VALUE"""),46226.60719565973)</f>
        <v>46226.6072</v>
      </c>
      <c r="G449" s="86" t="str">
        <f>IFERROR(__xludf.DUMMYFUNCTION("""COMPUTED_VALUE"""),"Done")</f>
        <v>Done</v>
      </c>
      <c r="H449" s="88">
        <f>IFERROR(__xludf.DUMMYFUNCTION("""COMPUTED_VALUE"""),0.0)</f>
        <v>0</v>
      </c>
      <c r="I449" s="90" t="str">
        <f>IFERROR(__xludf.DUMMYFUNCTION("""COMPUTED_VALUE"""),"EMP0042 HULESHWAR KUMAR SAHU")</f>
        <v>EMP0042 HULESHWAR KUMAR SAHU</v>
      </c>
      <c r="J449" s="91"/>
    </row>
    <row r="450">
      <c r="B450" s="76" t="str">
        <f>IFERROR(__xludf.DUMMYFUNCTION("""COMPUTED_VALUE"""),"Discussion with Requester                                                                           ")</f>
        <v>Discussion with Requester                                                                           </v>
      </c>
      <c r="C450" s="82">
        <f>IFERROR(__xludf.DUMMYFUNCTION("""COMPUTED_VALUE"""),5408.0)</f>
        <v>5408</v>
      </c>
      <c r="D450" s="76" t="str">
        <f>IFERROR(__xludf.DUMMYFUNCTION("""COMPUTED_VALUE"""),"DMC ")</f>
        <v>DMC </v>
      </c>
      <c r="E450" s="84">
        <f>IFERROR(__xludf.DUMMYFUNCTION("""COMPUTED_VALUE"""),46226.76151379629)</f>
        <v>46226.76151</v>
      </c>
      <c r="F450" s="86">
        <f>IFERROR(__xludf.DUMMYFUNCTION("""COMPUTED_VALUE"""),46226.60720341435)</f>
        <v>46226.6072</v>
      </c>
      <c r="G450" s="86" t="str">
        <f>IFERROR(__xludf.DUMMYFUNCTION("""COMPUTED_VALUE"""),"Done")</f>
        <v>Done</v>
      </c>
      <c r="H450" s="88">
        <f>IFERROR(__xludf.DUMMYFUNCTION("""COMPUTED_VALUE"""),0.0)</f>
        <v>0</v>
      </c>
      <c r="I450" s="90" t="str">
        <f>IFERROR(__xludf.DUMMYFUNCTION("""COMPUTED_VALUE"""),"EMP0237 Swarnendu Chakraborty")</f>
        <v>EMP0237 Swarnendu Chakraborty</v>
      </c>
      <c r="J450" s="91"/>
    </row>
    <row r="451">
      <c r="B451" s="76" t="str">
        <f>IFERROR(__xludf.DUMMYFUNCTION("""COMPUTED_VALUE"""),"Discussion with Requester                                                                           ")</f>
        <v>Discussion with Requester                                                                           </v>
      </c>
      <c r="C451" s="82">
        <f>IFERROR(__xludf.DUMMYFUNCTION("""COMPUTED_VALUE"""),5409.0)</f>
        <v>5409</v>
      </c>
      <c r="D451" s="76" t="str">
        <f>IFERROR(__xludf.DUMMYFUNCTION("""COMPUTED_VALUE"""),"SPGPA UPDATED IN DMC")</f>
        <v>SPGPA UPDATED IN DMC</v>
      </c>
      <c r="E451" s="84">
        <f>IFERROR(__xludf.DUMMYFUNCTION("""COMPUTED_VALUE"""),46226.76290703703)</f>
        <v>46226.76291</v>
      </c>
      <c r="F451" s="86">
        <f>IFERROR(__xludf.DUMMYFUNCTION("""COMPUTED_VALUE"""),46226.60724168982)</f>
        <v>46226.60724</v>
      </c>
      <c r="G451" s="86" t="str">
        <f>IFERROR(__xludf.DUMMYFUNCTION("""COMPUTED_VALUE"""),"Done")</f>
        <v>Done</v>
      </c>
      <c r="H451" s="88">
        <f>IFERROR(__xludf.DUMMYFUNCTION("""COMPUTED_VALUE"""),0.0)</f>
        <v>0</v>
      </c>
      <c r="I451" s="90" t="str">
        <f>IFERROR(__xludf.DUMMYFUNCTION("""COMPUTED_VALUE"""),"EMP5009 Rup Kumar Mandal")</f>
        <v>EMP5009 Rup Kumar Mandal</v>
      </c>
      <c r="J451" s="91"/>
    </row>
    <row r="452">
      <c r="B452" s="76" t="str">
        <f>IFERROR(__xludf.DUMMYFUNCTION("""COMPUTED_VALUE"""),"Discussion with Requester                                                                           ")</f>
        <v>Discussion with Requester                                                                           </v>
      </c>
      <c r="C452" s="82">
        <f>IFERROR(__xludf.DUMMYFUNCTION("""COMPUTED_VALUE"""),5410.0)</f>
        <v>5410</v>
      </c>
      <c r="D452" s="76" t="str">
        <f>IFERROR(__xludf.DUMMYFUNCTION("""COMPUTED_VALUE"""),"MULTIPLE REPORT")</f>
        <v>MULTIPLE REPORT</v>
      </c>
      <c r="E452" s="84">
        <f>IFERROR(__xludf.DUMMYFUNCTION("""COMPUTED_VALUE"""),46226.82817679398)</f>
        <v>46226.82818</v>
      </c>
      <c r="F452" s="86">
        <f>IFERROR(__xludf.DUMMYFUNCTION("""COMPUTED_VALUE"""),46226.72799284723)</f>
        <v>46226.72799</v>
      </c>
      <c r="G452" s="86" t="str">
        <f>IFERROR(__xludf.DUMMYFUNCTION("""COMPUTED_VALUE"""),"Done")</f>
        <v>Done</v>
      </c>
      <c r="H452" s="88">
        <f>IFERROR(__xludf.DUMMYFUNCTION("""COMPUTED_VALUE"""),0.0)</f>
        <v>0</v>
      </c>
      <c r="I452" s="90" t="str">
        <f>IFERROR(__xludf.DUMMYFUNCTION("""COMPUTED_VALUE"""),"EMP0021 Tamanna Dewangan")</f>
        <v>EMP0021 Tamanna Dewangan</v>
      </c>
      <c r="J452" s="91"/>
    </row>
    <row r="453">
      <c r="B453" s="76" t="str">
        <f>IFERROR(__xludf.DUMMYFUNCTION("""COMPUTED_VALUE"""),"Discussion with Requester                                                                           ")</f>
        <v>Discussion with Requester                                                                           </v>
      </c>
      <c r="C453" s="82">
        <f>IFERROR(__xludf.DUMMYFUNCTION("""COMPUTED_VALUE"""),5411.0)</f>
        <v>5411</v>
      </c>
      <c r="D453" s="76" t="str">
        <f>IFERROR(__xludf.DUMMYFUNCTION("""COMPUTED_VALUE"""),"	CBCS and CGP (TR COMBINED) Fourth Semester ( Sem - 4) PG MASTER OF SCIENCE (PSYCHOLOGY) ( M.Sc (PSYCHOLOGY)) SCHEME A ( SY01)_SE03")</f>
        <v>	CBCS and CGP (TR COMBINED) Fourth Semester ( Sem - 4) PG MASTER OF SCIENCE (PSYCHOLOGY) ( M.Sc (PSYCHOLOGY)) SCHEME A ( SY01)_SE03</v>
      </c>
      <c r="E453" s="84">
        <f>IFERROR(__xludf.DUMMYFUNCTION("""COMPUTED_VALUE"""),46227.41666666667)</f>
        <v>46227.41667</v>
      </c>
      <c r="F453" s="86">
        <f>IFERROR(__xludf.DUMMYFUNCTION("""COMPUTED_VALUE"""),46226.728164780085)</f>
        <v>46226.72816</v>
      </c>
      <c r="G453" s="86" t="str">
        <f>IFERROR(__xludf.DUMMYFUNCTION("""COMPUTED_VALUE"""),"Done")</f>
        <v>Done</v>
      </c>
      <c r="H453" s="88">
        <f>IFERROR(__xludf.DUMMYFUNCTION("""COMPUTED_VALUE"""),0.0)</f>
        <v>0</v>
      </c>
      <c r="I453" s="90" t="str">
        <f>IFERROR(__xludf.DUMMYFUNCTION("""COMPUTED_VALUE"""),"EMP0237 Swarnendu Chakraborty")</f>
        <v>EMP0237 Swarnendu Chakraborty</v>
      </c>
      <c r="J453" s="91"/>
    </row>
    <row r="454">
      <c r="B454" s="76" t="str">
        <f>IFERROR(__xludf.DUMMYFUNCTION("""COMPUTED_VALUE"""),"Discussion with Requester                                                                           ")</f>
        <v>Discussion with Requester                                                                           </v>
      </c>
      <c r="C454" s="82">
        <f>IFERROR(__xludf.DUMMYFUNCTION("""COMPUTED_VALUE"""),5412.0)</f>
        <v>5412</v>
      </c>
      <c r="D454" s="76" t="str">
        <f>IFERROR(__xludf.DUMMYFUNCTION("""COMPUTED_VALUE"""),"pass/fail report")</f>
        <v>pass/fail report</v>
      </c>
      <c r="E454" s="84">
        <f>IFERROR(__xludf.DUMMYFUNCTION("""COMPUTED_VALUE"""),46227.43819444445)</f>
        <v>46227.43819</v>
      </c>
      <c r="F454" s="86">
        <f>IFERROR(__xludf.DUMMYFUNCTION("""COMPUTED_VALUE"""),46226.72827266203)</f>
        <v>46226.72827</v>
      </c>
      <c r="G454" s="86" t="str">
        <f>IFERROR(__xludf.DUMMYFUNCTION("""COMPUTED_VALUE"""),"Done")</f>
        <v>Done</v>
      </c>
      <c r="H454" s="88">
        <f>IFERROR(__xludf.DUMMYFUNCTION("""COMPUTED_VALUE"""),0.0)</f>
        <v>0</v>
      </c>
      <c r="I454" s="90" t="str">
        <f>IFERROR(__xludf.DUMMYFUNCTION("""COMPUTED_VALUE"""),"EMP5009 Rup Kumar Mandal")</f>
        <v>EMP5009 Rup Kumar Mandal</v>
      </c>
      <c r="J454" s="91"/>
    </row>
    <row r="455">
      <c r="B455" s="76" t="str">
        <f>IFERROR(__xludf.DUMMYFUNCTION("""COMPUTED_VALUE"""),"Discussion with Requester                                                                           ")</f>
        <v>Discussion with Requester                                                                           </v>
      </c>
      <c r="C455" s="82">
        <f>IFERROR(__xludf.DUMMYFUNCTION("""COMPUTED_VALUE"""),5413.0)</f>
        <v>5413</v>
      </c>
      <c r="D455" s="76" t="str">
        <f>IFERROR(__xludf.DUMMYFUNCTION("""COMPUTED_VALUE"""),"Mark entry report")</f>
        <v>Mark entry report</v>
      </c>
      <c r="E455" s="84">
        <f>IFERROR(__xludf.DUMMYFUNCTION("""COMPUTED_VALUE"""),46227.461111111115)</f>
        <v>46227.46111</v>
      </c>
      <c r="F455" s="86">
        <f>IFERROR(__xludf.DUMMYFUNCTION("""COMPUTED_VALUE"""),46226.728298553244)</f>
        <v>46226.7283</v>
      </c>
      <c r="G455" s="86" t="str">
        <f>IFERROR(__xludf.DUMMYFUNCTION("""COMPUTED_VALUE"""),"Done")</f>
        <v>Done</v>
      </c>
      <c r="H455" s="88">
        <f>IFERROR(__xludf.DUMMYFUNCTION("""COMPUTED_VALUE"""),0.0)</f>
        <v>0</v>
      </c>
      <c r="I455" s="90" t="str">
        <f>IFERROR(__xludf.DUMMYFUNCTION("""COMPUTED_VALUE"""),"EMP0237 Swarnendu Chakraborty")</f>
        <v>EMP0237 Swarnendu Chakraborty</v>
      </c>
      <c r="J455" s="91"/>
    </row>
    <row r="456">
      <c r="B456" s="76" t="str">
        <f>IFERROR(__xludf.DUMMYFUNCTION("""COMPUTED_VALUE"""),"Discussion with Requester                                                                           ")</f>
        <v>Discussion with Requester                                                                           </v>
      </c>
      <c r="C456" s="82">
        <f>IFERROR(__xludf.DUMMYFUNCTION("""COMPUTED_VALUE"""),5414.0)</f>
        <v>5414</v>
      </c>
      <c r="D456" s="76" t="str">
        <f>IFERROR(__xludf.DUMMYFUNCTION("""COMPUTED_VALUE"""),"TR GAZZATE IN GRADE TABLE UPDATE")</f>
        <v>TR GAZZATE IN GRADE TABLE UPDATE</v>
      </c>
      <c r="E456" s="84">
        <f>IFERROR(__xludf.DUMMYFUNCTION("""COMPUTED_VALUE"""),46227.6746943287)</f>
        <v>46227.67469</v>
      </c>
      <c r="F456" s="86">
        <f>IFERROR(__xludf.DUMMYFUNCTION("""COMPUTED_VALUE"""),46227.50905234954)</f>
        <v>46227.50905</v>
      </c>
      <c r="G456" s="86" t="str">
        <f>IFERROR(__xludf.DUMMYFUNCTION("""COMPUTED_VALUE"""),"Done")</f>
        <v>Done</v>
      </c>
      <c r="H456" s="88">
        <f>IFERROR(__xludf.DUMMYFUNCTION("""COMPUTED_VALUE"""),0.0)</f>
        <v>0</v>
      </c>
      <c r="I456" s="90" t="str">
        <f>IFERROR(__xludf.DUMMYFUNCTION("""COMPUTED_VALUE"""),"EMP0237 Swarnendu Chakraborty")</f>
        <v>EMP0237 Swarnendu Chakraborty</v>
      </c>
      <c r="J456" s="91"/>
    </row>
    <row r="457">
      <c r="B457" s="76" t="str">
        <f>IFERROR(__xludf.DUMMYFUNCTION("""COMPUTED_VALUE"""),"Discussion with Requester                                                                           ")</f>
        <v>Discussion with Requester                                                                           </v>
      </c>
      <c r="C457" s="82">
        <f>IFERROR(__xludf.DUMMYFUNCTION("""COMPUTED_VALUE"""),5415.0)</f>
        <v>5415</v>
      </c>
      <c r="D457" s="76" t="str">
        <f>IFERROR(__xludf.DUMMYFUNCTION("""COMPUTED_VALUE"""),"Marks Sheet Heading name correction for LLB")</f>
        <v>Marks Sheet Heading name correction for LLB</v>
      </c>
      <c r="E457" s="84">
        <f>IFERROR(__xludf.DUMMYFUNCTION("""COMPUTED_VALUE"""),46227.82869787037)</f>
        <v>46227.8287</v>
      </c>
      <c r="F457" s="86">
        <f>IFERROR(__xludf.DUMMYFUNCTION("""COMPUTED_VALUE"""),46227.66232721065)</f>
        <v>46227.66233</v>
      </c>
      <c r="G457" s="86" t="str">
        <f>IFERROR(__xludf.DUMMYFUNCTION("""COMPUTED_VALUE"""),"Done")</f>
        <v>Done</v>
      </c>
      <c r="H457" s="88">
        <f>IFERROR(__xludf.DUMMYFUNCTION("""COMPUTED_VALUE"""),0.0)</f>
        <v>0</v>
      </c>
      <c r="I457" s="90" t="str">
        <f>IFERROR(__xludf.DUMMYFUNCTION("""COMPUTED_VALUE"""),"EMP0021 Tamanna Dewangan")</f>
        <v>EMP0021 Tamanna Dewangan</v>
      </c>
      <c r="J457" s="91"/>
    </row>
    <row r="458">
      <c r="B458" s="76" t="str">
        <f>IFERROR(__xludf.DUMMYFUNCTION("""COMPUTED_VALUE"""),"Discussion with Requester                                                                           ")</f>
        <v>Discussion with Requester                                                                           </v>
      </c>
      <c r="C458" s="82">
        <f>IFERROR(__xludf.DUMMYFUNCTION("""COMPUTED_VALUE"""),5416.0)</f>
        <v>5416</v>
      </c>
      <c r="D458" s="76" t="str">
        <f>IFERROR(__xludf.DUMMYFUNCTION("""COMPUTED_VALUE"""),"TR report")</f>
        <v>TR report</v>
      </c>
      <c r="E458" s="84">
        <f>IFERROR(__xludf.DUMMYFUNCTION("""COMPUTED_VALUE"""),46228.44583333333)</f>
        <v>46228.44583</v>
      </c>
      <c r="F458" s="86">
        <f>IFERROR(__xludf.DUMMYFUNCTION("""COMPUTED_VALUE"""),46227.71222701389)</f>
        <v>46227.71223</v>
      </c>
      <c r="G458" s="86" t="str">
        <f>IFERROR(__xludf.DUMMYFUNCTION("""COMPUTED_VALUE"""),"Done")</f>
        <v>Done</v>
      </c>
      <c r="H458" s="88">
        <f>IFERROR(__xludf.DUMMYFUNCTION("""COMPUTED_VALUE"""),0.0)</f>
        <v>0</v>
      </c>
      <c r="I458" s="90" t="str">
        <f>IFERROR(__xludf.DUMMYFUNCTION("""COMPUTED_VALUE"""),"EMP0237 Swarnendu Chakraborty")</f>
        <v>EMP0237 Swarnendu Chakraborty</v>
      </c>
      <c r="J458" s="91"/>
    </row>
    <row r="459">
      <c r="B459" s="76" t="str">
        <f>IFERROR(__xludf.DUMMYFUNCTION("""COMPUTED_VALUE"""),"Discussion with Requester                                                                           ")</f>
        <v>Discussion with Requester                                                                           </v>
      </c>
      <c r="C459" s="82">
        <f>IFERROR(__xludf.DUMMYFUNCTION("""COMPUTED_VALUE"""),5417.0)</f>
        <v>5417</v>
      </c>
      <c r="D459" s="76" t="str">
        <f>IFERROR(__xludf.DUMMYFUNCTION("""COMPUTED_VALUE"""),"TR Format (Grading / Non-Grading)")</f>
        <v>TR Format (Grading / Non-Grading)</v>
      </c>
      <c r="E459" s="84">
        <f>IFERROR(__xludf.DUMMYFUNCTION("""COMPUTED_VALUE"""),46228.45833333333)</f>
        <v>46228.45833</v>
      </c>
      <c r="F459" s="86">
        <f>IFERROR(__xludf.DUMMYFUNCTION("""COMPUTED_VALUE"""),46227.71230769676)</f>
        <v>46227.71231</v>
      </c>
      <c r="G459" s="86" t="str">
        <f>IFERROR(__xludf.DUMMYFUNCTION("""COMPUTED_VALUE"""),"Done")</f>
        <v>Done</v>
      </c>
      <c r="H459" s="88">
        <f>IFERROR(__xludf.DUMMYFUNCTION("""COMPUTED_VALUE"""),0.0)</f>
        <v>0</v>
      </c>
      <c r="I459" s="90" t="str">
        <f>IFERROR(__xludf.DUMMYFUNCTION("""COMPUTED_VALUE"""),"EMP5009 Rup Kumar Mandal")</f>
        <v>EMP5009 Rup Kumar Mandal</v>
      </c>
      <c r="J459" s="91"/>
    </row>
    <row r="460">
      <c r="B460" s="76" t="str">
        <f>IFERROR(__xludf.DUMMYFUNCTION("""COMPUTED_VALUE"""),"Discussion with Requester                                                                           ")</f>
        <v>Discussion with Requester                                                                           </v>
      </c>
      <c r="C460" s="82">
        <f>IFERROR(__xludf.DUMMYFUNCTION("""COMPUTED_VALUE"""),5418.0)</f>
        <v>5418</v>
      </c>
      <c r="D460" s="76" t="str">
        <f>IFERROR(__xludf.DUMMYFUNCTION("""COMPUTED_VALUE"""),"Grade Card NEP (PG)")</f>
        <v>Grade Card NEP (PG)</v>
      </c>
      <c r="E460" s="84">
        <f>IFERROR(__xludf.DUMMYFUNCTION("""COMPUTED_VALUE"""),46228.45972222222)</f>
        <v>46228.45972</v>
      </c>
      <c r="F460" s="86">
        <f>IFERROR(__xludf.DUMMYFUNCTION("""COMPUTED_VALUE"""),46227.71236208334)</f>
        <v>46227.71236</v>
      </c>
      <c r="G460" s="86" t="str">
        <f>IFERROR(__xludf.DUMMYFUNCTION("""COMPUTED_VALUE"""),"Done")</f>
        <v>Done</v>
      </c>
      <c r="H460" s="88">
        <f>IFERROR(__xludf.DUMMYFUNCTION("""COMPUTED_VALUE"""),0.0)</f>
        <v>0</v>
      </c>
      <c r="I460" s="90" t="str">
        <f>IFERROR(__xludf.DUMMYFUNCTION("""COMPUTED_VALUE"""),"EMP5009 Rup Kumar Mandal")</f>
        <v>EMP5009 Rup Kumar Mandal</v>
      </c>
      <c r="J460" s="91"/>
    </row>
    <row r="461">
      <c r="B461" s="76" t="str">
        <f>IFERROR(__xludf.DUMMYFUNCTION("""COMPUTED_VALUE"""),"Discussion with Requester                                                                           ")</f>
        <v>Discussion with Requester                                                                           </v>
      </c>
      <c r="C461" s="82">
        <f>IFERROR(__xludf.DUMMYFUNCTION("""COMPUTED_VALUE"""),5419.0)</f>
        <v>5419</v>
      </c>
      <c r="D461" s="76" t="str">
        <f>IFERROR(__xludf.DUMMYFUNCTION("""COMPUTED_VALUE"""),"Marksheet Paramedical")</f>
        <v>Marksheet Paramedical</v>
      </c>
      <c r="E461" s="84">
        <f>IFERROR(__xludf.DUMMYFUNCTION("""COMPUTED_VALUE"""),46228.60199246528)</f>
        <v>46228.60199</v>
      </c>
      <c r="F461" s="86">
        <f>IFERROR(__xludf.DUMMYFUNCTION("""COMPUTED_VALUE"""),46228.471993101855)</f>
        <v>46228.47199</v>
      </c>
      <c r="G461" s="86" t="str">
        <f>IFERROR(__xludf.DUMMYFUNCTION("""COMPUTED_VALUE"""),"Done")</f>
        <v>Done</v>
      </c>
      <c r="H461" s="88">
        <f>IFERROR(__xludf.DUMMYFUNCTION("""COMPUTED_VALUE"""),0.0)</f>
        <v>0</v>
      </c>
      <c r="I461" s="90" t="str">
        <f>IFERROR(__xludf.DUMMYFUNCTION("""COMPUTED_VALUE"""),"EMP0021 Tamanna Dewangan")</f>
        <v>EMP0021 Tamanna Dewangan</v>
      </c>
      <c r="J461" s="91"/>
    </row>
    <row r="462">
      <c r="B462" s="76" t="str">
        <f>IFERROR(__xludf.DUMMYFUNCTION("""COMPUTED_VALUE"""),"Discussion with Requester                                                                           ")</f>
        <v>Discussion with Requester                                                                           </v>
      </c>
      <c r="C462" s="82">
        <f>IFERROR(__xludf.DUMMYFUNCTION("""COMPUTED_VALUE"""),5420.0)</f>
        <v>5420</v>
      </c>
      <c r="D462" s="76" t="str">
        <f>IFERROR(__xludf.DUMMYFUNCTION("""COMPUTED_VALUE"""),"PROVISIONAL CERTIFICATE")</f>
        <v>PROVISIONAL CERTIFICATE</v>
      </c>
      <c r="E462" s="84">
        <f>IFERROR(__xludf.DUMMYFUNCTION("""COMPUTED_VALUE"""),46228.60887697916)</f>
        <v>46228.60888</v>
      </c>
      <c r="F462" s="86">
        <f>IFERROR(__xludf.DUMMYFUNCTION("""COMPUTED_VALUE"""),46228.472176689815)</f>
        <v>46228.47218</v>
      </c>
      <c r="G462" s="86" t="str">
        <f>IFERROR(__xludf.DUMMYFUNCTION("""COMPUTED_VALUE"""),"Done")</f>
        <v>Done</v>
      </c>
      <c r="H462" s="88">
        <f>IFERROR(__xludf.DUMMYFUNCTION("""COMPUTED_VALUE"""),0.0)</f>
        <v>0</v>
      </c>
      <c r="I462" s="90" t="str">
        <f>IFERROR(__xludf.DUMMYFUNCTION("""COMPUTED_VALUE"""),"EMP0042 HULESHWAR KUMAR SAHU")</f>
        <v>EMP0042 HULESHWAR KUMAR SAHU</v>
      </c>
      <c r="J462" s="91"/>
    </row>
    <row r="463">
      <c r="B463" s="76" t="str">
        <f>IFERROR(__xludf.DUMMYFUNCTION("""COMPUTED_VALUE"""),"Discussion with Requester                                                                           ")</f>
        <v>Discussion with Requester                                                                           </v>
      </c>
      <c r="C463" s="82">
        <f>IFERROR(__xludf.DUMMYFUNCTION("""COMPUTED_VALUE"""),5421.0)</f>
        <v>5421</v>
      </c>
      <c r="D463" s="76" t="str">
        <f>IFERROR(__xludf.DUMMYFUNCTION("""COMPUTED_VALUE"""),"Question Paper Packet slip Date Wise")</f>
        <v>Question Paper Packet slip Date Wise</v>
      </c>
      <c r="E463" s="84">
        <f>IFERROR(__xludf.DUMMYFUNCTION("""COMPUTED_VALUE"""),46228.610246516204)</f>
        <v>46228.61025</v>
      </c>
      <c r="F463" s="86">
        <f>IFERROR(__xludf.DUMMYFUNCTION("""COMPUTED_VALUE"""),46228.472368055554)</f>
        <v>46228.47237</v>
      </c>
      <c r="G463" s="86" t="str">
        <f>IFERROR(__xludf.DUMMYFUNCTION("""COMPUTED_VALUE"""),"Done")</f>
        <v>Done</v>
      </c>
      <c r="H463" s="88">
        <f>IFERROR(__xludf.DUMMYFUNCTION("""COMPUTED_VALUE"""),0.0)</f>
        <v>0</v>
      </c>
      <c r="I463" s="90" t="str">
        <f>IFERROR(__xludf.DUMMYFUNCTION("""COMPUTED_VALUE"""),"EMP0042 HULESHWAR KUMAR SAHU")</f>
        <v>EMP0042 HULESHWAR KUMAR SAHU</v>
      </c>
      <c r="J463" s="91"/>
    </row>
    <row r="464">
      <c r="B464" s="76" t="str">
        <f>IFERROR(__xludf.DUMMYFUNCTION("""COMPUTED_VALUE"""),"Discussion with Requester                                                                           ")</f>
        <v>Discussion with Requester                                                                           </v>
      </c>
      <c r="C464" s="82">
        <f>IFERROR(__xludf.DUMMYFUNCTION("""COMPUTED_VALUE"""),5422.0)</f>
        <v>5422</v>
      </c>
      <c r="D464" s="76" t="str">
        <f>IFERROR(__xludf.DUMMYFUNCTION("""COMPUTED_VALUE"""),"Marks sheet")</f>
        <v>Marks sheet</v>
      </c>
      <c r="E464" s="84">
        <f>IFERROR(__xludf.DUMMYFUNCTION("""COMPUTED_VALUE"""),46228.79793923611)</f>
        <v>46228.79794</v>
      </c>
      <c r="F464" s="86">
        <f>IFERROR(__xludf.DUMMYFUNCTION("""COMPUTED_VALUE"""),46228.66735394676)</f>
        <v>46228.66735</v>
      </c>
      <c r="G464" s="86" t="str">
        <f>IFERROR(__xludf.DUMMYFUNCTION("""COMPUTED_VALUE"""),"Done")</f>
        <v>Done</v>
      </c>
      <c r="H464" s="88">
        <f>IFERROR(__xludf.DUMMYFUNCTION("""COMPUTED_VALUE"""),0.0)</f>
        <v>0</v>
      </c>
      <c r="I464" s="90" t="str">
        <f>IFERROR(__xludf.DUMMYFUNCTION("""COMPUTED_VALUE"""),"EMP0042 HULESHWAR KUMAR SAHU")</f>
        <v>EMP0042 HULESHWAR KUMAR SAHU</v>
      </c>
      <c r="J464" s="91"/>
    </row>
    <row r="465">
      <c r="B465" s="76" t="str">
        <f>IFERROR(__xludf.DUMMYFUNCTION("""COMPUTED_VALUE"""),"Discussion with Requester                                                                           ")</f>
        <v>Discussion with Requester                                                                           </v>
      </c>
      <c r="C465" s="82">
        <f>IFERROR(__xludf.DUMMYFUNCTION("""COMPUTED_VALUE"""),5423.0)</f>
        <v>5423</v>
      </c>
      <c r="D465" s="76" t="str">
        <f>IFERROR(__xludf.DUMMYFUNCTION("""COMPUTED_VALUE"""),"Packet_Slip_Date_Wise")</f>
        <v>Packet_Slip_Date_Wise</v>
      </c>
      <c r="E465" s="84">
        <f>IFERROR(__xludf.DUMMYFUNCTION("""COMPUTED_VALUE"""),46230.59324157407)</f>
        <v>46230.59324</v>
      </c>
      <c r="F465" s="86">
        <f>IFERROR(__xludf.DUMMYFUNCTION("""COMPUTED_VALUE"""),46230.435517164355)</f>
        <v>46230.43552</v>
      </c>
      <c r="G465" s="86" t="str">
        <f>IFERROR(__xludf.DUMMYFUNCTION("""COMPUTED_VALUE"""),"Done")</f>
        <v>Done</v>
      </c>
      <c r="H465" s="88">
        <f>IFERROR(__xludf.DUMMYFUNCTION("""COMPUTED_VALUE"""),0.0)</f>
        <v>0</v>
      </c>
      <c r="I465" s="90" t="str">
        <f>IFERROR(__xludf.DUMMYFUNCTION("""COMPUTED_VALUE"""),"EMP0042 HULESHWAR KUMAR SAHU")</f>
        <v>EMP0042 HULESHWAR KUMAR SAHU</v>
      </c>
      <c r="J465" s="91"/>
    </row>
    <row r="466">
      <c r="B466" s="76" t="str">
        <f>IFERROR(__xludf.DUMMYFUNCTION("""COMPUTED_VALUE"""),"Discussion with Requester                                                                           ")</f>
        <v>Discussion with Requester                                                                           </v>
      </c>
      <c r="C466" s="82">
        <f>IFERROR(__xludf.DUMMYFUNCTION("""COMPUTED_VALUE"""),5424.0)</f>
        <v>5424</v>
      </c>
      <c r="D466" s="76" t="str">
        <f>IFERROR(__xludf.DUMMYFUNCTION("""COMPUTED_VALUE"""),"TR ")</f>
        <v>TR </v>
      </c>
      <c r="E466" s="84">
        <f>IFERROR(__xludf.DUMMYFUNCTION("""COMPUTED_VALUE"""),46230.674870902774)</f>
        <v>46230.67487</v>
      </c>
      <c r="F466" s="86">
        <f>IFERROR(__xludf.DUMMYFUNCTION("""COMPUTED_VALUE"""),46230.642943460654)</f>
        <v>46230.64294</v>
      </c>
      <c r="G466" s="86" t="str">
        <f>IFERROR(__xludf.DUMMYFUNCTION("""COMPUTED_VALUE"""),"Done")</f>
        <v>Done</v>
      </c>
      <c r="H466" s="88">
        <f>IFERROR(__xludf.DUMMYFUNCTION("""COMPUTED_VALUE"""),0.0)</f>
        <v>0</v>
      </c>
      <c r="I466" s="90" t="str">
        <f>IFERROR(__xludf.DUMMYFUNCTION("""COMPUTED_VALUE"""),"EMP0042 HULESHWAR KUMAR SAHU")</f>
        <v>EMP0042 HULESHWAR KUMAR SAHU</v>
      </c>
      <c r="J466" s="91"/>
    </row>
    <row r="467">
      <c r="B467" s="76" t="str">
        <f>IFERROR(__xludf.DUMMYFUNCTION("""COMPUTED_VALUE"""),"Discussion with Requester                                                                           ")</f>
        <v>Discussion with Requester                                                                           </v>
      </c>
      <c r="C467" s="82">
        <f>IFERROR(__xludf.DUMMYFUNCTION("""COMPUTED_VALUE"""),5425.0)</f>
        <v>5425</v>
      </c>
      <c r="D467" s="76" t="str">
        <f>IFERROR(__xludf.DUMMYFUNCTION("""COMPUTED_VALUE"""),"TR ADMIN")</f>
        <v>TR ADMIN</v>
      </c>
      <c r="E467" s="84">
        <f>IFERROR(__xludf.DUMMYFUNCTION("""COMPUTED_VALUE"""),46231.427777777775)</f>
        <v>46231.42778</v>
      </c>
      <c r="F467" s="86">
        <f>IFERROR(__xludf.DUMMYFUNCTION("""COMPUTED_VALUE"""),46230.689945486105)</f>
        <v>46230.68995</v>
      </c>
      <c r="G467" s="86" t="str">
        <f>IFERROR(__xludf.DUMMYFUNCTION("""COMPUTED_VALUE"""),"Done")</f>
        <v>Done</v>
      </c>
      <c r="H467" s="88">
        <f>IFERROR(__xludf.DUMMYFUNCTION("""COMPUTED_VALUE"""),0.0)</f>
        <v>0</v>
      </c>
      <c r="I467" s="90" t="str">
        <f>IFERROR(__xludf.DUMMYFUNCTION("""COMPUTED_VALUE"""),"EMP0042 HULESHWAR KUMAR SAHU")</f>
        <v>EMP0042 HULESHWAR KUMAR SAHU</v>
      </c>
      <c r="J467" s="91"/>
    </row>
    <row r="468">
      <c r="B468" s="76" t="str">
        <f>IFERROR(__xludf.DUMMYFUNCTION("""COMPUTED_VALUE"""),"Discussion with Requester                                                                           ")</f>
        <v>Discussion with Requester                                                                           </v>
      </c>
      <c r="C468" s="82">
        <f>IFERROR(__xludf.DUMMYFUNCTION("""COMPUTED_VALUE"""),5426.0)</f>
        <v>5426</v>
      </c>
      <c r="D468" s="76" t="str">
        <f>IFERROR(__xludf.DUMMYFUNCTION("""COMPUTED_VALUE"""),"CONSOLIDATED MARKS MEMORANDUM BCA")</f>
        <v>CONSOLIDATED MARKS MEMORANDUM BCA</v>
      </c>
      <c r="E468" s="84">
        <f>IFERROR(__xludf.DUMMYFUNCTION("""COMPUTED_VALUE"""),46231.46666666667)</f>
        <v>46231.46667</v>
      </c>
      <c r="F468" s="86">
        <f>IFERROR(__xludf.DUMMYFUNCTION("""COMPUTED_VALUE"""),46230.76271657408)</f>
        <v>46230.76272</v>
      </c>
      <c r="G468" s="86" t="str">
        <f>IFERROR(__xludf.DUMMYFUNCTION("""COMPUTED_VALUE"""),"Done")</f>
        <v>Done</v>
      </c>
      <c r="H468" s="88">
        <f>IFERROR(__xludf.DUMMYFUNCTION("""COMPUTED_VALUE"""),0.0)</f>
        <v>0</v>
      </c>
      <c r="I468" s="90" t="str">
        <f>IFERROR(__xludf.DUMMYFUNCTION("""COMPUTED_VALUE"""),"EMP0042 HULESHWAR KUMAR SAHU")</f>
        <v>EMP0042 HULESHWAR KUMAR SAHU</v>
      </c>
      <c r="J468" s="91"/>
    </row>
    <row r="469">
      <c r="B469" s="76" t="str">
        <f>IFERROR(__xludf.DUMMYFUNCTION("""COMPUTED_VALUE"""),"Discussion with Requester                                                                           ")</f>
        <v>Discussion with Requester                                                                           </v>
      </c>
      <c r="C469" s="82">
        <f>IFERROR(__xludf.DUMMYFUNCTION("""COMPUTED_VALUE"""),5427.0)</f>
        <v>5427</v>
      </c>
      <c r="D469" s="76" t="str">
        <f>IFERROR(__xludf.DUMMYFUNCTION("""COMPUTED_VALUE"""),"Admit Card")</f>
        <v>Admit Card</v>
      </c>
      <c r="E469" s="84">
        <f>IFERROR(__xludf.DUMMYFUNCTION("""COMPUTED_VALUE"""),46231.46805555555)</f>
        <v>46231.46806</v>
      </c>
      <c r="F469" s="86">
        <f>IFERROR(__xludf.DUMMYFUNCTION("""COMPUTED_VALUE"""),46230.7627721875)</f>
        <v>46230.76277</v>
      </c>
      <c r="G469" s="86" t="str">
        <f>IFERROR(__xludf.DUMMYFUNCTION("""COMPUTED_VALUE"""),"Done")</f>
        <v>Done</v>
      </c>
      <c r="H469" s="88">
        <f>IFERROR(__xludf.DUMMYFUNCTION("""COMPUTED_VALUE"""),0.0)</f>
        <v>0</v>
      </c>
      <c r="I469" s="90" t="str">
        <f>IFERROR(__xludf.DUMMYFUNCTION("""COMPUTED_VALUE"""),"EMP0042 HULESHWAR KUMAR SAHU")</f>
        <v>EMP0042 HULESHWAR KUMAR SAHU</v>
      </c>
      <c r="J469" s="91"/>
    </row>
    <row r="470">
      <c r="B470" s="76" t="str">
        <f>IFERROR(__xludf.DUMMYFUNCTION("""COMPUTED_VALUE"""),"Discussion with Requester                                                                           ")</f>
        <v>Discussion with Requester                                                                           </v>
      </c>
      <c r="C470" s="82">
        <f>IFERROR(__xludf.DUMMYFUNCTION("""COMPUTED_VALUE"""),5428.0)</f>
        <v>5428</v>
      </c>
      <c r="D470" s="76" t="str">
        <f>IFERROR(__xludf.DUMMYFUNCTION("""COMPUTED_VALUE"""),"MARKSHEET PARAMEDICAL")</f>
        <v>MARKSHEET PARAMEDICAL</v>
      </c>
      <c r="E470" s="84">
        <f>IFERROR(__xludf.DUMMYFUNCTION("""COMPUTED_VALUE"""),46231.46875)</f>
        <v>46231.46875</v>
      </c>
      <c r="F470" s="86">
        <f>IFERROR(__xludf.DUMMYFUNCTION("""COMPUTED_VALUE"""),46230.76289480324)</f>
        <v>46230.76289</v>
      </c>
      <c r="G470" s="86" t="str">
        <f>IFERROR(__xludf.DUMMYFUNCTION("""COMPUTED_VALUE"""),"Done")</f>
        <v>Done</v>
      </c>
      <c r="H470" s="88">
        <f>IFERROR(__xludf.DUMMYFUNCTION("""COMPUTED_VALUE"""),0.0)</f>
        <v>0</v>
      </c>
      <c r="I470" s="90" t="str">
        <f>IFERROR(__xludf.DUMMYFUNCTION("""COMPUTED_VALUE"""),"EMP0042 HULESHWAR KUMAR SAHU")</f>
        <v>EMP0042 HULESHWAR KUMAR SAHU</v>
      </c>
      <c r="J470" s="91"/>
    </row>
    <row r="471">
      <c r="B471" s="76" t="str">
        <f>IFERROR(__xludf.DUMMYFUNCTION("""COMPUTED_VALUE"""),"Discussion with Requester                                                                           ")</f>
        <v>Discussion with Requester                                                                           </v>
      </c>
      <c r="C471" s="82">
        <f>IFERROR(__xludf.DUMMYFUNCTION("""COMPUTED_VALUE"""),5429.0)</f>
        <v>5429</v>
      </c>
      <c r="D471" s="76" t="str">
        <f>IFERROR(__xludf.DUMMYFUNCTION("""COMPUTED_VALUE"""),"Question Paper Packet slip Date Wise")</f>
        <v>Question Paper Packet slip Date Wise</v>
      </c>
      <c r="E471" s="84">
        <f>IFERROR(__xludf.DUMMYFUNCTION("""COMPUTED_VALUE"""),46231.5654419213)</f>
        <v>46231.56544</v>
      </c>
      <c r="F471" s="86">
        <f>IFERROR(__xludf.DUMMYFUNCTION("""COMPUTED_VALUE"""),46231.4426725463)</f>
        <v>46231.44267</v>
      </c>
      <c r="G471" s="86" t="str">
        <f>IFERROR(__xludf.DUMMYFUNCTION("""COMPUTED_VALUE"""),"Done")</f>
        <v>Done</v>
      </c>
      <c r="H471" s="88">
        <f>IFERROR(__xludf.DUMMYFUNCTION("""COMPUTED_VALUE"""),0.0)</f>
        <v>0</v>
      </c>
      <c r="I471" s="90" t="str">
        <f>IFERROR(__xludf.DUMMYFUNCTION("""COMPUTED_VALUE"""),"EMP0042 HULESHWAR KUMAR SAHU")</f>
        <v>EMP0042 HULESHWAR KUMAR SAHU</v>
      </c>
      <c r="J471" s="91"/>
    </row>
    <row r="472">
      <c r="B472" s="76" t="str">
        <f>IFERROR(__xludf.DUMMYFUNCTION("""COMPUTED_VALUE"""),"Discussion with Requester                                                                           ")</f>
        <v>Discussion with Requester                                                                           </v>
      </c>
      <c r="C472" s="82">
        <f>IFERROR(__xludf.DUMMYFUNCTION("""COMPUTED_VALUE"""),5430.0)</f>
        <v>5430</v>
      </c>
      <c r="D472" s="76" t="str">
        <f>IFERROR(__xludf.DUMMYFUNCTION("""COMPUTED_VALUE"""),"Ayurveda TR")</f>
        <v>Ayurveda TR</v>
      </c>
      <c r="E472" s="84">
        <f>IFERROR(__xludf.DUMMYFUNCTION("""COMPUTED_VALUE"""),46231.60730321759)</f>
        <v>46231.6073</v>
      </c>
      <c r="F472" s="86">
        <f>IFERROR(__xludf.DUMMYFUNCTION("""COMPUTED_VALUE"""),46231.44269552084)</f>
        <v>46231.4427</v>
      </c>
      <c r="G472" s="86" t="str">
        <f>IFERROR(__xludf.DUMMYFUNCTION("""COMPUTED_VALUE"""),"Done")</f>
        <v>Done</v>
      </c>
      <c r="H472" s="88">
        <f>IFERROR(__xludf.DUMMYFUNCTION("""COMPUTED_VALUE"""),0.0)</f>
        <v>0</v>
      </c>
      <c r="I472" s="90" t="str">
        <f>IFERROR(__xludf.DUMMYFUNCTION("""COMPUTED_VALUE"""),"EMP0042 HULESHWAR KUMAR SAHU")</f>
        <v>EMP0042 HULESHWAR KUMAR SAHU</v>
      </c>
      <c r="J472" s="91"/>
    </row>
    <row r="473">
      <c r="B473" s="76" t="str">
        <f>IFERROR(__xludf.DUMMYFUNCTION("""COMPUTED_VALUE"""),"Discussion with Requester                                                                           ")</f>
        <v>Discussion with Requester                                                                           </v>
      </c>
      <c r="C473" s="82">
        <f>IFERROR(__xludf.DUMMYFUNCTION("""COMPUTED_VALUE"""),5431.0)</f>
        <v>5431</v>
      </c>
      <c r="D473" s="76" t="str">
        <f>IFERROR(__xludf.DUMMYFUNCTION("""COMPUTED_VALUE"""),"AYURVEDA MARKSHEET")</f>
        <v>AYURVEDA MARKSHEET</v>
      </c>
      <c r="E473" s="84">
        <f>IFERROR(__xludf.DUMMYFUNCTION("""COMPUTED_VALUE"""),46231.61605318287)</f>
        <v>46231.61605</v>
      </c>
      <c r="F473" s="86">
        <f>IFERROR(__xludf.DUMMYFUNCTION("""COMPUTED_VALUE"""),46231.489094097225)</f>
        <v>46231.48909</v>
      </c>
      <c r="G473" s="86" t="str">
        <f>IFERROR(__xludf.DUMMYFUNCTION("""COMPUTED_VALUE"""),"Done")</f>
        <v>Done</v>
      </c>
      <c r="H473" s="88">
        <f>IFERROR(__xludf.DUMMYFUNCTION("""COMPUTED_VALUE"""),0.0)</f>
        <v>0</v>
      </c>
      <c r="I473" s="90" t="str">
        <f>IFERROR(__xludf.DUMMYFUNCTION("""COMPUTED_VALUE"""),"EMP0042 HULESHWAR KUMAR SAHU")</f>
        <v>EMP0042 HULESHWAR KUMAR SAHU</v>
      </c>
      <c r="J473" s="91"/>
    </row>
    <row r="474">
      <c r="B474" s="76" t="str">
        <f>IFERROR(__xludf.DUMMYFUNCTION("""COMPUTED_VALUE"""),"Discussion with Requester                                                                           ")</f>
        <v>Discussion with Requester                                                                           </v>
      </c>
      <c r="C474" s="82">
        <f>IFERROR(__xludf.DUMMYFUNCTION("""COMPUTED_VALUE"""),5432.0)</f>
        <v>5432</v>
      </c>
      <c r="D474" s="76" t="str">
        <f>IFERROR(__xludf.DUMMYFUNCTION("""COMPUTED_VALUE"""),"Marksheet correction ")</f>
        <v>Marksheet correction </v>
      </c>
      <c r="E474" s="84">
        <f>IFERROR(__xludf.DUMMYFUNCTION("""COMPUTED_VALUE"""),46231.654760763886)</f>
        <v>46231.65476</v>
      </c>
      <c r="F474" s="86">
        <f>IFERROR(__xludf.DUMMYFUNCTION("""COMPUTED_VALUE"""),46231.489109675924)</f>
        <v>46231.48911</v>
      </c>
      <c r="G474" s="86" t="str">
        <f>IFERROR(__xludf.DUMMYFUNCTION("""COMPUTED_VALUE"""),"Done")</f>
        <v>Done</v>
      </c>
      <c r="H474" s="88">
        <f>IFERROR(__xludf.DUMMYFUNCTION("""COMPUTED_VALUE"""),0.0)</f>
        <v>0</v>
      </c>
      <c r="I474" s="90" t="str">
        <f>IFERROR(__xludf.DUMMYFUNCTION("""COMPUTED_VALUE"""),"EMP0042 HULESHWAR KUMAR SAHU")</f>
        <v>EMP0042 HULESHWAR KUMAR SAHU</v>
      </c>
      <c r="J474" s="91"/>
    </row>
    <row r="475">
      <c r="B475" s="76" t="str">
        <f>IFERROR(__xludf.DUMMYFUNCTION("""COMPUTED_VALUE"""),"Discussion with Requester                                                                           ")</f>
        <v>Discussion with Requester                                                                           </v>
      </c>
      <c r="C475" s="82">
        <f>IFERROR(__xludf.DUMMYFUNCTION("""COMPUTED_VALUE"""),5433.0)</f>
        <v>5433</v>
      </c>
      <c r="D475" s="76" t="str">
        <f>IFERROR(__xludf.DUMMYFUNCTION("""COMPUTED_VALUE"""),"DMC\COURSE TYPE IN ALL ADD")</f>
        <v>DMC\COURSE TYPE IN ALL ADD</v>
      </c>
      <c r="E475" s="84">
        <f>IFERROR(__xludf.DUMMYFUNCTION("""COMPUTED_VALUE"""),46232.583155625)</f>
        <v>46232.58316</v>
      </c>
      <c r="F475" s="86">
        <f>IFERROR(__xludf.DUMMYFUNCTION("""COMPUTED_VALUE"""),46232.41692267361)</f>
        <v>46232.41692</v>
      </c>
      <c r="G475" s="86" t="str">
        <f>IFERROR(__xludf.DUMMYFUNCTION("""COMPUTED_VALUE"""),"Done")</f>
        <v>Done</v>
      </c>
      <c r="H475" s="88">
        <f>IFERROR(__xludf.DUMMYFUNCTION("""COMPUTED_VALUE"""),0.0)</f>
        <v>0</v>
      </c>
      <c r="I475" s="90" t="str">
        <f>IFERROR(__xludf.DUMMYFUNCTION("""COMPUTED_VALUE"""),"EMP5009 Rup Kumar Mandal")</f>
        <v>EMP5009 Rup Kumar Mandal</v>
      </c>
      <c r="J475" s="91"/>
    </row>
    <row r="476">
      <c r="B476" s="76" t="str">
        <f>IFERROR(__xludf.DUMMYFUNCTION("""COMPUTED_VALUE"""),"Discussion with Requester                                                                           ")</f>
        <v>Discussion with Requester                                                                           </v>
      </c>
      <c r="C476" s="82">
        <f>IFERROR(__xludf.DUMMYFUNCTION("""COMPUTED_VALUE"""),5434.0)</f>
        <v>5434</v>
      </c>
      <c r="D476" s="76" t="str">
        <f>IFERROR(__xludf.DUMMYFUNCTION("""COMPUTED_VALUE"""),"GRADE CARD IT ONWARDS 2023")</f>
        <v>GRADE CARD IT ONWARDS 2023</v>
      </c>
      <c r="E476" s="84">
        <f>IFERROR(__xludf.DUMMYFUNCTION("""COMPUTED_VALUE"""),46232.58872375)</f>
        <v>46232.58872</v>
      </c>
      <c r="F476" s="86">
        <f>IFERROR(__xludf.DUMMYFUNCTION("""COMPUTED_VALUE"""),46232.43844791667)</f>
        <v>46232.43845</v>
      </c>
      <c r="G476" s="86" t="str">
        <f>IFERROR(__xludf.DUMMYFUNCTION("""COMPUTED_VALUE"""),"Done")</f>
        <v>Done</v>
      </c>
      <c r="H476" s="88">
        <f>IFERROR(__xludf.DUMMYFUNCTION("""COMPUTED_VALUE"""),0.0)</f>
        <v>0</v>
      </c>
      <c r="I476" s="90" t="str">
        <f>IFERROR(__xludf.DUMMYFUNCTION("""COMPUTED_VALUE"""),"EMP0042 HULESHWAR KUMAR SAHU")</f>
        <v>EMP0042 HULESHWAR KUMAR SAHU</v>
      </c>
      <c r="J476" s="91"/>
    </row>
    <row r="477">
      <c r="B477" s="76" t="str">
        <f>IFERROR(__xludf.DUMMYFUNCTION("""COMPUTED_VALUE"""),"Discussion with Requester                                                                           ")</f>
        <v>Discussion with Requester                                                                           </v>
      </c>
      <c r="C477" s="82">
        <f>IFERROR(__xludf.DUMMYFUNCTION("""COMPUTED_VALUE"""),5435.0)</f>
        <v>5435</v>
      </c>
      <c r="D477" s="76" t="str">
        <f>IFERROR(__xludf.DUMMYFUNCTION("""COMPUTED_VALUE"""),"TR report")</f>
        <v>TR report</v>
      </c>
      <c r="E477" s="84">
        <f>IFERROR(__xludf.DUMMYFUNCTION("""COMPUTED_VALUE"""),46232.67243957176)</f>
        <v>46232.67244</v>
      </c>
      <c r="F477" s="86">
        <f>IFERROR(__xludf.DUMMYFUNCTION("""COMPUTED_VALUE"""),46232.50961594908)</f>
        <v>46232.50962</v>
      </c>
      <c r="G477" s="86" t="str">
        <f>IFERROR(__xludf.DUMMYFUNCTION("""COMPUTED_VALUE"""),"Done")</f>
        <v>Done</v>
      </c>
      <c r="H477" s="88">
        <f>IFERROR(__xludf.DUMMYFUNCTION("""COMPUTED_VALUE"""),0.0)</f>
        <v>0</v>
      </c>
      <c r="I477" s="90" t="str">
        <f>IFERROR(__xludf.DUMMYFUNCTION("""COMPUTED_VALUE"""),"EMP5009 Rup Kumar Mandal")</f>
        <v>EMP5009 Rup Kumar Mandal</v>
      </c>
      <c r="J477" s="91"/>
    </row>
    <row r="478">
      <c r="B478" s="76" t="str">
        <f>IFERROR(__xludf.DUMMYFUNCTION("""COMPUTED_VALUE"""),"Discussion with Requester                                                                           ")</f>
        <v>Discussion with Requester                                                                           </v>
      </c>
      <c r="C478" s="82">
        <f>IFERROR(__xludf.DUMMYFUNCTION("""COMPUTED_VALUE"""),5436.0)</f>
        <v>5436</v>
      </c>
      <c r="D478" s="76" t="str">
        <f>IFERROR(__xludf.DUMMYFUNCTION("""COMPUTED_VALUE"""),"Marks Sheet")</f>
        <v>Marks Sheet</v>
      </c>
      <c r="E478" s="84">
        <f>IFERROR(__xludf.DUMMYFUNCTION("""COMPUTED_VALUE"""),46232.67890143519)</f>
        <v>46232.6789</v>
      </c>
      <c r="F478" s="86">
        <f>IFERROR(__xludf.DUMMYFUNCTION("""COMPUTED_VALUE"""),46232.625942708335)</f>
        <v>46232.62594</v>
      </c>
      <c r="G478" s="86" t="str">
        <f>IFERROR(__xludf.DUMMYFUNCTION("""COMPUTED_VALUE"""),"Done")</f>
        <v>Done</v>
      </c>
      <c r="H478" s="88">
        <f>IFERROR(__xludf.DUMMYFUNCTION("""COMPUTED_VALUE"""),0.0)</f>
        <v>0</v>
      </c>
      <c r="I478" s="90" t="str">
        <f>IFERROR(__xludf.DUMMYFUNCTION("""COMPUTED_VALUE"""),"EMP0042 HULESHWAR KUMAR SAHU")</f>
        <v>EMP0042 HULESHWAR KUMAR SAHU</v>
      </c>
      <c r="J478" s="91"/>
    </row>
    <row r="479">
      <c r="B479" s="76" t="str">
        <f>IFERROR(__xludf.DUMMYFUNCTION("""COMPUTED_VALUE"""),"Discussion with Requester                                                                           ")</f>
        <v>Discussion with Requester                                                                           </v>
      </c>
      <c r="C479" s="82">
        <f>IFERROR(__xludf.DUMMYFUNCTION("""COMPUTED_VALUE"""),5437.0)</f>
        <v>5437</v>
      </c>
      <c r="D479" s="76" t="str">
        <f>IFERROR(__xludf.DUMMYFUNCTION("""COMPUTED_VALUE"""),"Marks Sheet")</f>
        <v>Marks Sheet</v>
      </c>
      <c r="E479" s="84">
        <f>IFERROR(__xludf.DUMMYFUNCTION("""COMPUTED_VALUE"""),46232.68003053241)</f>
        <v>46232.68003</v>
      </c>
      <c r="F479" s="86">
        <f>IFERROR(__xludf.DUMMYFUNCTION("""COMPUTED_VALUE"""),46232.6259569676)</f>
        <v>46232.62596</v>
      </c>
      <c r="G479" s="86" t="str">
        <f>IFERROR(__xludf.DUMMYFUNCTION("""COMPUTED_VALUE"""),"Done")</f>
        <v>Done</v>
      </c>
      <c r="H479" s="88">
        <f>IFERROR(__xludf.DUMMYFUNCTION("""COMPUTED_VALUE"""),0.0)</f>
        <v>0</v>
      </c>
      <c r="I479" s="90" t="str">
        <f>IFERROR(__xludf.DUMMYFUNCTION("""COMPUTED_VALUE"""),"EMP0042 HULESHWAR KUMAR SAHU")</f>
        <v>EMP0042 HULESHWAR KUMAR SAHU</v>
      </c>
      <c r="J479" s="91"/>
    </row>
    <row r="480">
      <c r="B480" s="76" t="str">
        <f>IFERROR(__xludf.DUMMYFUNCTION("""COMPUTED_VALUE"""),"Discussion with Requester                                                                           ")</f>
        <v>Discussion with Requester                                                                           </v>
      </c>
      <c r="C480" s="82">
        <f>IFERROR(__xludf.DUMMYFUNCTION("""COMPUTED_VALUE"""),5438.0)</f>
        <v>5438</v>
      </c>
      <c r="D480" s="76" t="str">
        <f>IFERROR(__xludf.DUMMYFUNCTION("""COMPUTED_VALUE"""),"MArks Sheet")</f>
        <v>MArks Sheet</v>
      </c>
      <c r="E480" s="84">
        <f>IFERROR(__xludf.DUMMYFUNCTION("""COMPUTED_VALUE"""),46232.6809675)</f>
        <v>46232.68097</v>
      </c>
      <c r="F480" s="86">
        <f>IFERROR(__xludf.DUMMYFUNCTION("""COMPUTED_VALUE"""),46232.6259569676)</f>
        <v>46232.62596</v>
      </c>
      <c r="G480" s="86" t="str">
        <f>IFERROR(__xludf.DUMMYFUNCTION("""COMPUTED_VALUE"""),"Done")</f>
        <v>Done</v>
      </c>
      <c r="H480" s="88">
        <f>IFERROR(__xludf.DUMMYFUNCTION("""COMPUTED_VALUE"""),0.0)</f>
        <v>0</v>
      </c>
      <c r="I480" s="90" t="str">
        <f>IFERROR(__xludf.DUMMYFUNCTION("""COMPUTED_VALUE"""),"EMP0042 HULESHWAR KUMAR SAHU")</f>
        <v>EMP0042 HULESHWAR KUMAR SAHU</v>
      </c>
      <c r="J480" s="91"/>
    </row>
    <row r="481">
      <c r="B481" s="76" t="str">
        <f>IFERROR(__xludf.DUMMYFUNCTION("""COMPUTED_VALUE"""),"Discussion with Requester                                                                           ")</f>
        <v>Discussion with Requester                                                                           </v>
      </c>
      <c r="C481" s="82">
        <f>IFERROR(__xludf.DUMMYFUNCTION("""COMPUTED_VALUE"""),5439.0)</f>
        <v>5439</v>
      </c>
      <c r="D481" s="76" t="str">
        <f>IFERROR(__xludf.DUMMYFUNCTION("""COMPUTED_VALUE"""),"BCA, BMS, LAW MCA, MBA, BBA TRANSCRIPT REPORT")</f>
        <v>BCA, BMS, LAW MCA, MBA, BBA TRANSCRIPT REPORT</v>
      </c>
      <c r="E481" s="84">
        <f>IFERROR(__xludf.DUMMYFUNCTION("""COMPUTED_VALUE"""),46232.684098020836)</f>
        <v>46232.6841</v>
      </c>
      <c r="F481" s="86">
        <f>IFERROR(__xludf.DUMMYFUNCTION("""COMPUTED_VALUE"""),46232.6259569676)</f>
        <v>46232.62596</v>
      </c>
      <c r="G481" s="86" t="str">
        <f>IFERROR(__xludf.DUMMYFUNCTION("""COMPUTED_VALUE"""),"Done")</f>
        <v>Done</v>
      </c>
      <c r="H481" s="88">
        <f>IFERROR(__xludf.DUMMYFUNCTION("""COMPUTED_VALUE"""),0.0)</f>
        <v>0</v>
      </c>
      <c r="I481" s="90" t="str">
        <f>IFERROR(__xludf.DUMMYFUNCTION("""COMPUTED_VALUE"""),"EMP0042 HULESHWAR KUMAR SAHU")</f>
        <v>EMP0042 HULESHWAR KUMAR SAHU</v>
      </c>
      <c r="J481" s="91"/>
    </row>
    <row r="482">
      <c r="B482" s="76" t="str">
        <f>IFERROR(__xludf.DUMMYFUNCTION("""COMPUTED_VALUE"""),"Discussion with Requester                                                                           ")</f>
        <v>Discussion with Requester                                                                           </v>
      </c>
      <c r="C482" s="82">
        <f>IFERROR(__xludf.DUMMYFUNCTION("""COMPUTED_VALUE"""),5440.0)</f>
        <v>5440</v>
      </c>
      <c r="D482" s="76" t="str">
        <f>IFERROR(__xludf.DUMMYFUNCTION("""COMPUTED_VALUE"""),"TR ")</f>
        <v>TR </v>
      </c>
      <c r="E482" s="84">
        <f>IFERROR(__xludf.DUMMYFUNCTION("""COMPUTED_VALUE"""),46233.709999803235)</f>
        <v>46233.71</v>
      </c>
      <c r="F482" s="86">
        <f>IFERROR(__xludf.DUMMYFUNCTION("""COMPUTED_VALUE"""),46233.565383113426)</f>
        <v>46233.56538</v>
      </c>
      <c r="G482" s="86" t="str">
        <f>IFERROR(__xludf.DUMMYFUNCTION("""COMPUTED_VALUE"""),"Done")</f>
        <v>Done</v>
      </c>
      <c r="H482" s="88">
        <f>IFERROR(__xludf.DUMMYFUNCTION("""COMPUTED_VALUE"""),0.0)</f>
        <v>0</v>
      </c>
      <c r="I482" s="90" t="str">
        <f>IFERROR(__xludf.DUMMYFUNCTION("""COMPUTED_VALUE"""),"EMP0042 HULESHWAR KUMAR SAHU")</f>
        <v>EMP0042 HULESHWAR KUMAR SAHU</v>
      </c>
      <c r="J482" s="91"/>
    </row>
    <row r="483">
      <c r="B483" s="76" t="str">
        <f>IFERROR(__xludf.DUMMYFUNCTION("""COMPUTED_VALUE"""),"Discussion with Requester                                                                           ")</f>
        <v>Discussion with Requester                                                                           </v>
      </c>
      <c r="C483" s="82">
        <f>IFERROR(__xludf.DUMMYFUNCTION("""COMPUTED_VALUE"""),5441.0)</f>
        <v>5441</v>
      </c>
      <c r="D483" s="76" t="str">
        <f>IFERROR(__xludf.DUMMYFUNCTION("""COMPUTED_VALUE"""),"MARKSHEET PGDCA (SEMESTER)")</f>
        <v>MARKSHEET PGDCA (SEMESTER)</v>
      </c>
      <c r="E483" s="84">
        <f>IFERROR(__xludf.DUMMYFUNCTION("""COMPUTED_VALUE"""),46233.79118390047)</f>
        <v>46233.79118</v>
      </c>
      <c r="F483" s="86">
        <f>IFERROR(__xludf.DUMMYFUNCTION("""COMPUTED_VALUE"""),46233.71732193287)</f>
        <v>46233.71732</v>
      </c>
      <c r="G483" s="86" t="str">
        <f>IFERROR(__xludf.DUMMYFUNCTION("""COMPUTED_VALUE"""),"Done")</f>
        <v>Done</v>
      </c>
      <c r="H483" s="88">
        <f>IFERROR(__xludf.DUMMYFUNCTION("""COMPUTED_VALUE"""),0.0)</f>
        <v>0</v>
      </c>
      <c r="I483" s="90" t="str">
        <f>IFERROR(__xludf.DUMMYFUNCTION("""COMPUTED_VALUE"""),"EMP5009 Rup Kumar Mandal")</f>
        <v>EMP5009 Rup Kumar Mandal</v>
      </c>
      <c r="J483" s="91"/>
    </row>
    <row r="484">
      <c r="B484" s="76" t="str">
        <f>IFERROR(__xludf.DUMMYFUNCTION("""COMPUTED_VALUE"""),"Discussion with Requester                                                                           ")</f>
        <v>Discussion with Requester                                                                           </v>
      </c>
      <c r="C484" s="82">
        <f>IFERROR(__xludf.DUMMYFUNCTION("""COMPUTED_VALUE"""),5442.0)</f>
        <v>5442</v>
      </c>
      <c r="D484" s="76" t="str">
        <f>IFERROR(__xludf.DUMMYFUNCTION("""COMPUTED_VALUE"""),"Grade Card (OTHERS)")</f>
        <v>Grade Card (OTHERS)</v>
      </c>
      <c r="E484" s="84">
        <f>IFERROR(__xludf.DUMMYFUNCTION("""COMPUTED_VALUE"""),46234.66944539352)</f>
        <v>46234.66945</v>
      </c>
      <c r="F484" s="86">
        <f>IFERROR(__xludf.DUMMYFUNCTION("""COMPUTED_VALUE"""),46234.656493055554)</f>
        <v>46234.65649</v>
      </c>
      <c r="G484" s="86" t="str">
        <f>IFERROR(__xludf.DUMMYFUNCTION("""COMPUTED_VALUE"""),"Done")</f>
        <v>Done</v>
      </c>
      <c r="H484" s="88">
        <f>IFERROR(__xludf.DUMMYFUNCTION("""COMPUTED_VALUE"""),0.0)</f>
        <v>0</v>
      </c>
      <c r="I484" s="90" t="str">
        <f>IFERROR(__xludf.DUMMYFUNCTION("""COMPUTED_VALUE"""),"EMP0042 HULESHWAR KUMAR SAHU")</f>
        <v>EMP0042 HULESHWAR KUMAR SAHU</v>
      </c>
      <c r="J484" s="91"/>
    </row>
    <row r="485">
      <c r="B485" s="76" t="str">
        <f>IFERROR(__xludf.DUMMYFUNCTION("""COMPUTED_VALUE"""),"Discussion with Requester                                                                           ")</f>
        <v>Discussion with Requester                                                                           </v>
      </c>
      <c r="C485" s="82">
        <f>IFERROR(__xludf.DUMMYFUNCTION("""COMPUTED_VALUE"""),5443.0)</f>
        <v>5443</v>
      </c>
      <c r="D485" s="76" t="str">
        <f>IFERROR(__xludf.DUMMYFUNCTION("""COMPUTED_VALUE"""),"Provisional Ceritificate")</f>
        <v>Provisional Ceritificate</v>
      </c>
      <c r="E485" s="84">
        <f>IFERROR(__xludf.DUMMYFUNCTION("""COMPUTED_VALUE"""),46234.67056388889)</f>
        <v>46234.67056</v>
      </c>
      <c r="F485" s="86">
        <f>IFERROR(__xludf.DUMMYFUNCTION("""COMPUTED_VALUE"""),46234.65650462963)</f>
        <v>46234.6565</v>
      </c>
      <c r="G485" s="86" t="str">
        <f>IFERROR(__xludf.DUMMYFUNCTION("""COMPUTED_VALUE"""),"Done")</f>
        <v>Done</v>
      </c>
      <c r="H485" s="88">
        <f>IFERROR(__xludf.DUMMYFUNCTION("""COMPUTED_VALUE"""),0.0)</f>
        <v>0</v>
      </c>
      <c r="I485" s="90" t="str">
        <f>IFERROR(__xludf.DUMMYFUNCTION("""COMPUTED_VALUE"""),"EMP0042 HULESHWAR KUMAR SAHU")</f>
        <v>EMP0042 HULESHWAR KUMAR SAHU</v>
      </c>
      <c r="J485" s="91"/>
    </row>
    <row r="486">
      <c r="B486" s="76" t="str">
        <f>IFERROR(__xludf.DUMMYFUNCTION("""COMPUTED_VALUE"""),"Discussion with Requester                                                                           ")</f>
        <v>Discussion with Requester                                                                           </v>
      </c>
      <c r="C486" s="82">
        <f>IFERROR(__xludf.DUMMYFUNCTION("""COMPUTED_VALUE"""),5444.0)</f>
        <v>5444</v>
      </c>
      <c r="D486" s="76" t="str">
        <f>IFERROR(__xludf.DUMMYFUNCTION("""COMPUTED_VALUE"""),"Document Report")</f>
        <v>Document Report</v>
      </c>
      <c r="E486" s="84">
        <f>IFERROR(__xludf.DUMMYFUNCTION("""COMPUTED_VALUE"""),46234.78419885417)</f>
        <v>46234.7842</v>
      </c>
      <c r="F486" s="86">
        <f>IFERROR(__xludf.DUMMYFUNCTION("""COMPUTED_VALUE"""),46234.7816534838)</f>
        <v>46234.78165</v>
      </c>
      <c r="G486" s="86" t="str">
        <f>IFERROR(__xludf.DUMMYFUNCTION("""COMPUTED_VALUE"""),"Done")</f>
        <v>Done</v>
      </c>
      <c r="H486" s="88">
        <f>IFERROR(__xludf.DUMMYFUNCTION("""COMPUTED_VALUE"""),0.0)</f>
        <v>0</v>
      </c>
      <c r="I486" s="90" t="str">
        <f>IFERROR(__xludf.DUMMYFUNCTION("""COMPUTED_VALUE"""),"EMP5009 Rup Kumar Mandal")</f>
        <v>EMP5009 Rup Kumar Mandal</v>
      </c>
      <c r="J486" s="91"/>
    </row>
    <row r="487">
      <c r="B487" s="76" t="str">
        <f>IFERROR(__xludf.DUMMYFUNCTION("""COMPUTED_VALUE"""),"Discussion with Requester                                                                           ")</f>
        <v>Discussion with Requester                                                                           </v>
      </c>
      <c r="C487" s="82">
        <f>IFERROR(__xludf.DUMMYFUNCTION("""COMPUTED_VALUE"""),5445.0)</f>
        <v>5445</v>
      </c>
      <c r="D487" s="76" t="str">
        <f>IFERROR(__xludf.DUMMYFUNCTION("""COMPUTED_VALUE"""),"TR for Diploma Course DIPLOMA First Year ( 1st ) Diploma in Pharmacy Regular REGULAR EXAMFORM_SE16")</f>
        <v>TR for Diploma Course DIPLOMA First Year ( 1st ) Diploma in Pharmacy Regular REGULAR EXAMFORM_SE16</v>
      </c>
      <c r="E487" s="84">
        <f>IFERROR(__xludf.DUMMYFUNCTION("""COMPUTED_VALUE"""),46234.819049074074)</f>
        <v>46234.81905</v>
      </c>
      <c r="F487" s="86">
        <f>IFERROR(__xludf.DUMMYFUNCTION("""COMPUTED_VALUE"""),46234.781913240746)</f>
        <v>46234.78191</v>
      </c>
      <c r="G487" s="86" t="str">
        <f>IFERROR(__xludf.DUMMYFUNCTION("""COMPUTED_VALUE"""),"Done")</f>
        <v>Done</v>
      </c>
      <c r="H487" s="88">
        <f>IFERROR(__xludf.DUMMYFUNCTION("""COMPUTED_VALUE"""),0.0)</f>
        <v>0</v>
      </c>
      <c r="I487" s="90" t="str">
        <f>IFERROR(__xludf.DUMMYFUNCTION("""COMPUTED_VALUE"""),"EMP0042 HULESHWAR KUMAR SAHU")</f>
        <v>EMP0042 HULESHWAR KUMAR SAHU</v>
      </c>
      <c r="J487" s="91"/>
    </row>
    <row r="488">
      <c r="B488" s="76" t="str">
        <f>IFERROR(__xludf.DUMMYFUNCTION("""COMPUTED_VALUE"""),"Discussion with Requester                                                                           ")</f>
        <v>Discussion with Requester                                                                           </v>
      </c>
      <c r="C488" s="82">
        <f>IFERROR(__xludf.DUMMYFUNCTION("""COMPUTED_VALUE"""),5446.0)</f>
        <v>5446</v>
      </c>
      <c r="D488" s="76" t="str">
        <f>IFERROR(__xludf.DUMMYFUNCTION("""COMPUTED_VALUE"""),"TR Promoted BALLB BBALLB")</f>
        <v>TR Promoted BALLB BBALLB</v>
      </c>
      <c r="E488" s="84">
        <f>IFERROR(__xludf.DUMMYFUNCTION("""COMPUTED_VALUE"""),46235.71510606481)</f>
        <v>46235.71511</v>
      </c>
      <c r="F488" s="86">
        <f>IFERROR(__xludf.DUMMYFUNCTION("""COMPUTED_VALUE"""),46235.60110458334)</f>
        <v>46235.6011</v>
      </c>
      <c r="G488" s="86" t="str">
        <f>IFERROR(__xludf.DUMMYFUNCTION("""COMPUTED_VALUE"""),"Done")</f>
        <v>Done</v>
      </c>
      <c r="H488" s="88">
        <f>IFERROR(__xludf.DUMMYFUNCTION("""COMPUTED_VALUE"""),0.0)</f>
        <v>0</v>
      </c>
      <c r="I488" s="90" t="str">
        <f>IFERROR(__xludf.DUMMYFUNCTION("""COMPUTED_VALUE"""),"EMP5009 Rup Kumar Mandal")</f>
        <v>EMP5009 Rup Kumar Mandal</v>
      </c>
      <c r="J488" s="91"/>
    </row>
    <row r="489">
      <c r="B489" s="76" t="str">
        <f>IFERROR(__xludf.DUMMYFUNCTION("""COMPUTED_VALUE"""),"Discussion with Requester                                                                           ")</f>
        <v>Discussion with Requester                                                                           </v>
      </c>
      <c r="C489" s="82">
        <f>IFERROR(__xludf.DUMMYFUNCTION("""COMPUTED_VALUE"""),5447.0)</f>
        <v>5447</v>
      </c>
      <c r="D489" s="76" t="str">
        <f>IFERROR(__xludf.DUMMYFUNCTION("""COMPUTED_VALUE"""),"TR")</f>
        <v>TR</v>
      </c>
      <c r="E489" s="84">
        <f>IFERROR(__xludf.DUMMYFUNCTION("""COMPUTED_VALUE"""),46238.607145243055)</f>
        <v>46238.60715</v>
      </c>
      <c r="F489" s="86">
        <f>IFERROR(__xludf.DUMMYFUNCTION("""COMPUTED_VALUE"""),46238.52272545139)</f>
        <v>46238.52273</v>
      </c>
      <c r="G489" s="86" t="str">
        <f>IFERROR(__xludf.DUMMYFUNCTION("""COMPUTED_VALUE"""),"Done")</f>
        <v>Done</v>
      </c>
      <c r="H489" s="88">
        <f>IFERROR(__xludf.DUMMYFUNCTION("""COMPUTED_VALUE"""),0.0)</f>
        <v>0</v>
      </c>
      <c r="I489" s="90" t="str">
        <f>IFERROR(__xludf.DUMMYFUNCTION("""COMPUTED_VALUE"""),"EMP0042 HULESHWAR KUMAR SAHU")</f>
        <v>EMP0042 HULESHWAR KUMAR SAHU</v>
      </c>
      <c r="J489" s="91"/>
    </row>
    <row r="490">
      <c r="B490" s="76" t="str">
        <f>IFERROR(__xludf.DUMMYFUNCTION("""COMPUTED_VALUE"""),"Discussion with Requester                                                                           ")</f>
        <v>Discussion with Requester                                                                           </v>
      </c>
      <c r="C490" s="82">
        <f>IFERROR(__xludf.DUMMYFUNCTION("""COMPUTED_VALUE"""),5448.0)</f>
        <v>5448</v>
      </c>
      <c r="D490" s="76" t="str">
        <f>IFERROR(__xludf.DUMMYFUNCTION("""COMPUTED_VALUE"""),"TR")</f>
        <v>TR</v>
      </c>
      <c r="E490" s="84">
        <f>IFERROR(__xludf.DUMMYFUNCTION("""COMPUTED_VALUE"""),46239.588288067134)</f>
        <v>46239.58829</v>
      </c>
      <c r="F490" s="86">
        <f>IFERROR(__xludf.DUMMYFUNCTION("""COMPUTED_VALUE"""),46239.43764512732)</f>
        <v>46239.43765</v>
      </c>
      <c r="G490" s="86" t="str">
        <f>IFERROR(__xludf.DUMMYFUNCTION("""COMPUTED_VALUE"""),"Done")</f>
        <v>Done</v>
      </c>
      <c r="H490" s="88">
        <f>IFERROR(__xludf.DUMMYFUNCTION("""COMPUTED_VALUE"""),0.0)</f>
        <v>0</v>
      </c>
      <c r="I490" s="90" t="str">
        <f>IFERROR(__xludf.DUMMYFUNCTION("""COMPUTED_VALUE"""),"EMP0042 HULESHWAR KUMAR SAHU")</f>
        <v>EMP0042 HULESHWAR KUMAR SAHU</v>
      </c>
      <c r="J490" s="91"/>
    </row>
    <row r="491">
      <c r="B491" s="76" t="str">
        <f>IFERROR(__xludf.DUMMYFUNCTION("""COMPUTED_VALUE"""),"Discussion with Requester                                                                           ")</f>
        <v>Discussion with Requester                                                                           </v>
      </c>
      <c r="C491" s="82">
        <f>IFERROR(__xludf.DUMMYFUNCTION("""COMPUTED_VALUE"""),5449.0)</f>
        <v>5449</v>
      </c>
      <c r="D491" s="76" t="str">
        <f>IFERROR(__xludf.DUMMYFUNCTION("""COMPUTED_VALUE"""),"TR")</f>
        <v>TR</v>
      </c>
      <c r="E491" s="84">
        <f>IFERROR(__xludf.DUMMYFUNCTION("""COMPUTED_VALUE"""),46239.66691003472)</f>
        <v>46239.66691</v>
      </c>
      <c r="F491" s="86">
        <f>IFERROR(__xludf.DUMMYFUNCTION("""COMPUTED_VALUE"""),46239.52567921296)</f>
        <v>46239.52568</v>
      </c>
      <c r="G491" s="86" t="str">
        <f>IFERROR(__xludf.DUMMYFUNCTION("""COMPUTED_VALUE"""),"Done")</f>
        <v>Done</v>
      </c>
      <c r="H491" s="88">
        <f>IFERROR(__xludf.DUMMYFUNCTION("""COMPUTED_VALUE"""),0.0)</f>
        <v>0</v>
      </c>
      <c r="I491" s="90" t="str">
        <f>IFERROR(__xludf.DUMMYFUNCTION("""COMPUTED_VALUE"""),"EMP0042 HULESHWAR KUMAR SAHU")</f>
        <v>EMP0042 HULESHWAR KUMAR SAHU</v>
      </c>
      <c r="J491" s="91"/>
    </row>
    <row r="492">
      <c r="B492" s="76" t="str">
        <f>IFERROR(__xludf.DUMMYFUNCTION("""COMPUTED_VALUE"""),"Discussion with Requester                                                                           ")</f>
        <v>Discussion with Requester                                                                           </v>
      </c>
      <c r="C492" s="82">
        <f>IFERROR(__xludf.DUMMYFUNCTION("""COMPUTED_VALUE"""),5450.0)</f>
        <v>5450</v>
      </c>
      <c r="D492" s="76" t="str">
        <f>IFERROR(__xludf.DUMMYFUNCTION("""COMPUTED_VALUE"""),"MARKS HEET ")</f>
        <v>MARKS HEET </v>
      </c>
      <c r="E492" s="84">
        <f>IFERROR(__xludf.DUMMYFUNCTION("""COMPUTED_VALUE"""),46239.66880979167)</f>
        <v>46239.66881</v>
      </c>
      <c r="F492" s="86">
        <f>IFERROR(__xludf.DUMMYFUNCTION("""COMPUTED_VALUE"""),46239.52570061342)</f>
        <v>46239.5257</v>
      </c>
      <c r="G492" s="86" t="str">
        <f>IFERROR(__xludf.DUMMYFUNCTION("""COMPUTED_VALUE"""),"Done")</f>
        <v>Done</v>
      </c>
      <c r="H492" s="88">
        <f>IFERROR(__xludf.DUMMYFUNCTION("""COMPUTED_VALUE"""),0.0)</f>
        <v>0</v>
      </c>
      <c r="I492" s="90" t="str">
        <f>IFERROR(__xludf.DUMMYFUNCTION("""COMPUTED_VALUE"""),"EMP0042 HULESHWAR KUMAR SAHU")</f>
        <v>EMP0042 HULESHWAR KUMAR SAHU</v>
      </c>
      <c r="J492" s="91"/>
    </row>
    <row r="493">
      <c r="B493" s="76" t="str">
        <f>IFERROR(__xludf.DUMMYFUNCTION("""COMPUTED_VALUE"""),"Discussion with Requester                                                                           ")</f>
        <v>Discussion with Requester                                                                           </v>
      </c>
      <c r="C493" s="82">
        <f>IFERROR(__xludf.DUMMYFUNCTION("""COMPUTED_VALUE"""),5451.0)</f>
        <v>5451</v>
      </c>
      <c r="D493" s="76" t="str">
        <f>IFERROR(__xludf.DUMMYFUNCTION("""COMPUTED_VALUE"""),"MARKSHEET")</f>
        <v>MARKSHEET</v>
      </c>
      <c r="E493" s="84">
        <f>IFERROR(__xludf.DUMMYFUNCTION("""COMPUTED_VALUE"""),46239.67409211805)</f>
        <v>46239.67409</v>
      </c>
      <c r="F493" s="86">
        <f>IFERROR(__xludf.DUMMYFUNCTION("""COMPUTED_VALUE"""),46239.52572600695)</f>
        <v>46239.52573</v>
      </c>
      <c r="G493" s="86" t="str">
        <f>IFERROR(__xludf.DUMMYFUNCTION("""COMPUTED_VALUE"""),"Done")</f>
        <v>Done</v>
      </c>
      <c r="H493" s="88">
        <f>IFERROR(__xludf.DUMMYFUNCTION("""COMPUTED_VALUE"""),0.0)</f>
        <v>0</v>
      </c>
      <c r="I493" s="90" t="str">
        <f>IFERROR(__xludf.DUMMYFUNCTION("""COMPUTED_VALUE"""),"EMP0042 HULESHWAR KUMAR SAHU")</f>
        <v>EMP0042 HULESHWAR KUMAR SAHU</v>
      </c>
      <c r="J493" s="91"/>
    </row>
    <row r="494">
      <c r="B494" s="76" t="str">
        <f>IFERROR(__xludf.DUMMYFUNCTION("""COMPUTED_VALUE"""),"Discussion with Requester                                                                           ")</f>
        <v>Discussion with Requester                                                                           </v>
      </c>
      <c r="C494" s="82">
        <f>IFERROR(__xludf.DUMMYFUNCTION("""COMPUTED_VALUE"""),5452.0)</f>
        <v>5452</v>
      </c>
      <c r="D494" s="76" t="str">
        <f>IFERROR(__xludf.DUMMYFUNCTION("""COMPUTED_VALUE"""),"Marks Sheet")</f>
        <v>Marks Sheet</v>
      </c>
      <c r="E494" s="84">
        <f>IFERROR(__xludf.DUMMYFUNCTION("""COMPUTED_VALUE"""),46239.8189608449)</f>
        <v>46239.81896</v>
      </c>
      <c r="F494" s="86">
        <f>IFERROR(__xludf.DUMMYFUNCTION("""COMPUTED_VALUE"""),46239.681049004634)</f>
        <v>46239.68105</v>
      </c>
      <c r="G494" s="86" t="str">
        <f>IFERROR(__xludf.DUMMYFUNCTION("""COMPUTED_VALUE"""),"Done")</f>
        <v>Done</v>
      </c>
      <c r="H494" s="88">
        <f>IFERROR(__xludf.DUMMYFUNCTION("""COMPUTED_VALUE"""),0.0)</f>
        <v>0</v>
      </c>
      <c r="I494" s="90" t="str">
        <f>IFERROR(__xludf.DUMMYFUNCTION("""COMPUTED_VALUE"""),"EMP0042 HULESHWAR KUMAR SAHU")</f>
        <v>EMP0042 HULESHWAR KUMAR SAHU</v>
      </c>
      <c r="J494" s="91"/>
    </row>
    <row r="495">
      <c r="B495" s="76" t="str">
        <f>IFERROR(__xludf.DUMMYFUNCTION("""COMPUTED_VALUE"""),"Discussion with Requester                                                                           ")</f>
        <v>Discussion with Requester                                                                           </v>
      </c>
      <c r="C495" s="82">
        <f>IFERROR(__xludf.DUMMYFUNCTION("""COMPUTED_VALUE"""),5453.0)</f>
        <v>5453</v>
      </c>
      <c r="D495" s="76" t="str">
        <f>IFERROR(__xludf.DUMMYFUNCTION("""COMPUTED_VALUE"""),"TR ")</f>
        <v>TR </v>
      </c>
      <c r="E495" s="84">
        <f>IFERROR(__xludf.DUMMYFUNCTION("""COMPUTED_VALUE"""),46240.59234585649)</f>
        <v>46240.59235</v>
      </c>
      <c r="F495" s="86">
        <f>IFERROR(__xludf.DUMMYFUNCTION("""COMPUTED_VALUE"""),46240.460359398145)</f>
        <v>46240.46036</v>
      </c>
      <c r="G495" s="86" t="str">
        <f>IFERROR(__xludf.DUMMYFUNCTION("""COMPUTED_VALUE"""),"Done")</f>
        <v>Done</v>
      </c>
      <c r="H495" s="88">
        <f>IFERROR(__xludf.DUMMYFUNCTION("""COMPUTED_VALUE"""),0.0)</f>
        <v>0</v>
      </c>
      <c r="I495" s="90" t="str">
        <f>IFERROR(__xludf.DUMMYFUNCTION("""COMPUTED_VALUE"""),"EMP0237 Swarnendu Chakraborty")</f>
        <v>EMP0237 Swarnendu Chakraborty</v>
      </c>
      <c r="J495" s="91"/>
    </row>
    <row r="496">
      <c r="B496" s="76" t="str">
        <f>IFERROR(__xludf.DUMMYFUNCTION("""COMPUTED_VALUE"""),"Discussion with Requester                                                                           ")</f>
        <v>Discussion with Requester                                                                           </v>
      </c>
      <c r="C496" s="82">
        <f>IFERROR(__xludf.DUMMYFUNCTION("""COMPUTED_VALUE"""),5454.0)</f>
        <v>5454</v>
      </c>
      <c r="D496" s="76" t="str">
        <f>IFERROR(__xludf.DUMMYFUNCTION("""COMPUTED_VALUE"""),"TR")</f>
        <v>TR</v>
      </c>
      <c r="E496" s="84">
        <f>IFERROR(__xludf.DUMMYFUNCTION("""COMPUTED_VALUE"""),46240.593853831015)</f>
        <v>46240.59385</v>
      </c>
      <c r="F496" s="86">
        <f>IFERROR(__xludf.DUMMYFUNCTION("""COMPUTED_VALUE"""),46240.46058914351)</f>
        <v>46240.46059</v>
      </c>
      <c r="G496" s="86" t="str">
        <f>IFERROR(__xludf.DUMMYFUNCTION("""COMPUTED_VALUE"""),"Done")</f>
        <v>Done</v>
      </c>
      <c r="H496" s="88">
        <f>IFERROR(__xludf.DUMMYFUNCTION("""COMPUTED_VALUE"""),0.0)</f>
        <v>0</v>
      </c>
      <c r="I496" s="90" t="str">
        <f>IFERROR(__xludf.DUMMYFUNCTION("""COMPUTED_VALUE"""),"EMP0237 Swarnendu Chakraborty")</f>
        <v>EMP0237 Swarnendu Chakraborty</v>
      </c>
      <c r="J496" s="91"/>
    </row>
    <row r="497">
      <c r="B497" s="76" t="str">
        <f>IFERROR(__xludf.DUMMYFUNCTION("""COMPUTED_VALUE"""),"Discussion with Requester                                                                           ")</f>
        <v>Discussion with Requester                                                                           </v>
      </c>
      <c r="C497" s="82">
        <f>IFERROR(__xludf.DUMMYFUNCTION("""COMPUTED_VALUE"""),5455.0)</f>
        <v>5455</v>
      </c>
      <c r="D497" s="76" t="str">
        <f>IFERROR(__xludf.DUMMYFUNCTION("""COMPUTED_VALUE"""),"TR REPORT ")</f>
        <v>TR REPORT </v>
      </c>
      <c r="E497" s="84">
        <f>IFERROR(__xludf.DUMMYFUNCTION("""COMPUTED_VALUE"""),46240.71222995371)</f>
        <v>46240.71223</v>
      </c>
      <c r="F497" s="86"/>
      <c r="G497" s="86"/>
      <c r="H497" s="88">
        <f>IFERROR(__xludf.DUMMYFUNCTION("""COMPUTED_VALUE"""),0.0)</f>
        <v>0</v>
      </c>
      <c r="I497" s="90"/>
      <c r="J497" s="91"/>
    </row>
    <row r="498">
      <c r="B498" s="76" t="str">
        <f>IFERROR(__xludf.DUMMYFUNCTION("""COMPUTED_VALUE"""),"Discussion with Requester                                                                           ")</f>
        <v>Discussion with Requester                                                                           </v>
      </c>
      <c r="C498" s="82">
        <f>IFERROR(__xludf.DUMMYFUNCTION("""COMPUTED_VALUE"""),5456.0)</f>
        <v>5456</v>
      </c>
      <c r="D498" s="76" t="str">
        <f>IFERROR(__xludf.DUMMYFUNCTION("""COMPUTED_VALUE"""),"TR ")</f>
        <v>TR </v>
      </c>
      <c r="E498" s="84">
        <f>IFERROR(__xludf.DUMMYFUNCTION("""COMPUTED_VALUE"""),46240.723814976845)</f>
        <v>46240.72381</v>
      </c>
      <c r="F498" s="86"/>
      <c r="G498" s="86"/>
      <c r="H498" s="88">
        <f>IFERROR(__xludf.DUMMYFUNCTION("""COMPUTED_VALUE"""),0.0)</f>
        <v>0</v>
      </c>
      <c r="I498" s="90"/>
      <c r="J498" s="91"/>
    </row>
    <row r="499">
      <c r="B499" s="76" t="str">
        <f>IFERROR(__xludf.DUMMYFUNCTION("""COMPUTED_VALUE"""),"Discussion with Requester                                                                           ")</f>
        <v>Discussion with Requester                                                                           </v>
      </c>
      <c r="C499" s="82">
        <f>IFERROR(__xludf.DUMMYFUNCTION("""COMPUTED_VALUE"""),5457.0)</f>
        <v>5457</v>
      </c>
      <c r="D499" s="76" t="str">
        <f>IFERROR(__xludf.DUMMYFUNCTION("""COMPUTED_VALUE"""),"PROVIOSNAL CERTIFICATE")</f>
        <v>PROVIOSNAL CERTIFICATE</v>
      </c>
      <c r="E499" s="84">
        <f>IFERROR(__xludf.DUMMYFUNCTION("""COMPUTED_VALUE"""),46240.776568692134)</f>
        <v>46240.77657</v>
      </c>
      <c r="F499" s="86"/>
      <c r="G499" s="86"/>
      <c r="H499" s="88">
        <f>IFERROR(__xludf.DUMMYFUNCTION("""COMPUTED_VALUE"""),0.0)</f>
        <v>0</v>
      </c>
      <c r="I499" s="90"/>
      <c r="J499" s="91"/>
    </row>
    <row r="500">
      <c r="B500" s="76" t="str">
        <f>IFERROR(__xludf.DUMMYFUNCTION("""COMPUTED_VALUE"""),"Check api id from database and download jrmxl file                                    ")</f>
        <v>Check api id from database and download jrmxl file                                    </v>
      </c>
      <c r="C500" s="82">
        <f>IFERROR(__xludf.DUMMYFUNCTION("""COMPUTED_VALUE"""),4960.0)</f>
        <v>4960</v>
      </c>
      <c r="D500" s="76" t="str">
        <f>IFERROR(__xludf.DUMMYFUNCTION("""COMPUTED_VALUE"""),"marks entry report")</f>
        <v>marks entry report</v>
      </c>
      <c r="E500" s="84">
        <f>IFERROR(__xludf.DUMMYFUNCTION("""COMPUTED_VALUE"""),46083.75229938657)</f>
        <v>46083.7523</v>
      </c>
      <c r="F500" s="86">
        <f>IFERROR(__xludf.DUMMYFUNCTION("""COMPUTED_VALUE"""),46083.6325278588)</f>
        <v>46083.63253</v>
      </c>
      <c r="G500" s="86" t="str">
        <f>IFERROR(__xludf.DUMMYFUNCTION("""COMPUTED_VALUE"""),"Done")</f>
        <v>Done</v>
      </c>
      <c r="H500" s="88">
        <f>IFERROR(__xludf.DUMMYFUNCTION("""COMPUTED_VALUE"""),0.0)</f>
        <v>0</v>
      </c>
      <c r="I500" s="90" t="str">
        <f>IFERROR(__xludf.DUMMYFUNCTION("""COMPUTED_VALUE"""),"EMP0042 HULESHWAR KUMAR SAHU")</f>
        <v>EMP0042 HULESHWAR KUMAR SAHU</v>
      </c>
      <c r="J500" s="91"/>
    </row>
    <row r="501">
      <c r="B501" s="76" t="str">
        <f>IFERROR(__xludf.DUMMYFUNCTION("""COMPUTED_VALUE"""),"Check api id from database and download jrmxl file                                    ")</f>
        <v>Check api id from database and download jrmxl file                                    </v>
      </c>
      <c r="C501" s="82">
        <f>IFERROR(__xludf.DUMMYFUNCTION("""COMPUTED_VALUE"""),4961.0)</f>
        <v>4961</v>
      </c>
      <c r="D501" s="76" t="str">
        <f>IFERROR(__xludf.DUMMYFUNCTION("""COMPUTED_VALUE"""),"overalll pass report")</f>
        <v>overalll pass report</v>
      </c>
      <c r="E501" s="84">
        <f>IFERROR(__xludf.DUMMYFUNCTION("""COMPUTED_VALUE"""),46083.78728118056)</f>
        <v>46083.78728</v>
      </c>
      <c r="F501" s="86">
        <f>IFERROR(__xludf.DUMMYFUNCTION("""COMPUTED_VALUE"""),46083.63254344907)</f>
        <v>46083.63254</v>
      </c>
      <c r="G501" s="86" t="str">
        <f>IFERROR(__xludf.DUMMYFUNCTION("""COMPUTED_VALUE"""),"490")</f>
        <v>490</v>
      </c>
      <c r="H501" s="88">
        <f>IFERROR(__xludf.DUMMYFUNCTION("""COMPUTED_VALUE"""),0.0)</f>
        <v>0</v>
      </c>
      <c r="I501" s="90" t="str">
        <f>IFERROR(__xludf.DUMMYFUNCTION("""COMPUTED_VALUE"""),"EMP0042 HULESHWAR KUMAR SAHU")</f>
        <v>EMP0042 HULESHWAR KUMAR SAHU</v>
      </c>
      <c r="J501" s="91"/>
    </row>
    <row r="502">
      <c r="B502" s="76" t="str">
        <f>IFERROR(__xludf.DUMMYFUNCTION("""COMPUTED_VALUE"""),"Check api id from database and download jrmxl file                                    ")</f>
        <v>Check api id from database and download jrmxl file                                    </v>
      </c>
      <c r="C502" s="82">
        <f>IFERROR(__xludf.DUMMYFUNCTION("""COMPUTED_VALUE"""),4962.0)</f>
        <v>4962</v>
      </c>
      <c r="D502" s="76" t="str">
        <f>IFERROR(__xludf.DUMMYFUNCTION("""COMPUTED_VALUE"""),"cbcs tr report")</f>
        <v>cbcs tr report</v>
      </c>
      <c r="E502" s="84">
        <f>IFERROR(__xludf.DUMMYFUNCTION("""COMPUTED_VALUE"""),46083.788360439816)</f>
        <v>46083.78836</v>
      </c>
      <c r="F502" s="86">
        <f>IFERROR(__xludf.DUMMYFUNCTION("""COMPUTED_VALUE"""),46083.632087060185)</f>
        <v>46083.63209</v>
      </c>
      <c r="G502" s="86" t="str">
        <f>IFERROR(__xludf.DUMMYFUNCTION("""COMPUTED_VALUE"""),"482")</f>
        <v>482</v>
      </c>
      <c r="H502" s="88">
        <f>IFERROR(__xludf.DUMMYFUNCTION("""COMPUTED_VALUE"""),0.0)</f>
        <v>0</v>
      </c>
      <c r="I502" s="90" t="str">
        <f>IFERROR(__xludf.DUMMYFUNCTION("""COMPUTED_VALUE"""),"EMP0237 Swarnendu Chakraborty")</f>
        <v>EMP0237 Swarnendu Chakraborty</v>
      </c>
      <c r="J502" s="91"/>
    </row>
    <row r="503">
      <c r="B503" s="76" t="str">
        <f>IFERROR(__xludf.DUMMYFUNCTION("""COMPUTED_VALUE"""),"Check api id from database and download jrmxl file                                    ")</f>
        <v>Check api id from database and download jrmxl file                                    </v>
      </c>
      <c r="C503" s="82">
        <f>IFERROR(__xludf.DUMMYFUNCTION("""COMPUTED_VALUE"""),4963.0)</f>
        <v>4963</v>
      </c>
      <c r="D503" s="76" t="str">
        <f>IFERROR(__xludf.DUMMYFUNCTION("""COMPUTED_VALUE"""),"Marksheet")</f>
        <v>Marksheet</v>
      </c>
      <c r="E503" s="84">
        <f>IFERROR(__xludf.DUMMYFUNCTION("""COMPUTED_VALUE"""),46084.80800278935)</f>
        <v>46084.808</v>
      </c>
      <c r="F503" s="86">
        <f>IFERROR(__xludf.DUMMYFUNCTION("""COMPUTED_VALUE"""),46084.638631099544)</f>
        <v>46084.63863</v>
      </c>
      <c r="G503" s="86" t="str">
        <f>IFERROR(__xludf.DUMMYFUNCTION("""COMPUTED_VALUE"""),"8")</f>
        <v>8</v>
      </c>
      <c r="H503" s="88">
        <f>IFERROR(__xludf.DUMMYFUNCTION("""COMPUTED_VALUE"""),0.0)</f>
        <v>0</v>
      </c>
      <c r="I503" s="90" t="str">
        <f>IFERROR(__xludf.DUMMYFUNCTION("""COMPUTED_VALUE"""),"EMP0237 Swarnendu Chakraborty")</f>
        <v>EMP0237 Swarnendu Chakraborty</v>
      </c>
      <c r="J503" s="91"/>
    </row>
    <row r="504">
      <c r="B504" s="76" t="str">
        <f>IFERROR(__xludf.DUMMYFUNCTION("""COMPUTED_VALUE"""),"Check api id from database and download jrmxl file                                    ")</f>
        <v>Check api id from database and download jrmxl file                                    </v>
      </c>
      <c r="C504" s="82">
        <f>IFERROR(__xludf.DUMMYFUNCTION("""COMPUTED_VALUE"""),4964.0)</f>
        <v>4964</v>
      </c>
      <c r="D504" s="76" t="str">
        <f>IFERROR(__xludf.DUMMYFUNCTION("""COMPUTED_VALUE"""),"FINEL RESULT")</f>
        <v>FINEL RESULT</v>
      </c>
      <c r="E504" s="84">
        <f>IFERROR(__xludf.DUMMYFUNCTION("""COMPUTED_VALUE"""),46084.83297690972)</f>
        <v>46084.83298</v>
      </c>
      <c r="F504" s="86">
        <f>IFERROR(__xludf.DUMMYFUNCTION("""COMPUTED_VALUE"""),46084.744328321765)</f>
        <v>46084.74433</v>
      </c>
      <c r="G504" s="86" t="str">
        <f>IFERROR(__xludf.DUMMYFUNCTION("""COMPUTED_VALUE"""),"25/05/2026 04:34:20")</f>
        <v>25/05/2026 04:34:20</v>
      </c>
      <c r="H504" s="88">
        <f>IFERROR(__xludf.DUMMYFUNCTION("""COMPUTED_VALUE"""),0.0)</f>
        <v>0</v>
      </c>
      <c r="I504" s="90" t="str">
        <f>IFERROR(__xludf.DUMMYFUNCTION("""COMPUTED_VALUE"""),"EMP0042 HULESHWAR KUMAR SAHU")</f>
        <v>EMP0042 HULESHWAR KUMAR SAHU</v>
      </c>
      <c r="J504" s="91"/>
    </row>
    <row r="505">
      <c r="B505" s="76" t="str">
        <f>IFERROR(__xludf.DUMMYFUNCTION("""COMPUTED_VALUE"""),"Check api id from database and download jrmxl file                                    ")</f>
        <v>Check api id from database and download jrmxl file                                    </v>
      </c>
      <c r="C505" s="82">
        <f>IFERROR(__xludf.DUMMYFUNCTION("""COMPUTED_VALUE"""),4965.0)</f>
        <v>4965</v>
      </c>
      <c r="D505" s="76" t="str">
        <f>IFERROR(__xludf.DUMMYFUNCTION("""COMPUTED_VALUE"""),"Pls do the needful as per format for the session 2024-25")</f>
        <v>Pls do the needful as per format for the session 2024-25</v>
      </c>
      <c r="E505" s="84">
        <f>IFERROR(__xludf.DUMMYFUNCTION("""COMPUTED_VALUE"""),46086.615179340275)</f>
        <v>46086.61518</v>
      </c>
      <c r="F505" s="86">
        <f>IFERROR(__xludf.DUMMYFUNCTION("""COMPUTED_VALUE"""),46086.49309625)</f>
        <v>46086.4931</v>
      </c>
      <c r="G505" s="86" t="str">
        <f>IFERROR(__xludf.DUMMYFUNCTION("""COMPUTED_VALUE"""),"24/05/2026 19:53:11")</f>
        <v>24/05/2026 19:53:11</v>
      </c>
      <c r="H505" s="88">
        <f>IFERROR(__xludf.DUMMYFUNCTION("""COMPUTED_VALUE"""),0.0)</f>
        <v>0</v>
      </c>
      <c r="I505" s="90" t="str">
        <f>IFERROR(__xludf.DUMMYFUNCTION("""COMPUTED_VALUE"""),"EMP0021 Tamanna Dewangan")</f>
        <v>EMP0021 Tamanna Dewangan</v>
      </c>
      <c r="J505" s="91"/>
    </row>
    <row r="506">
      <c r="B506" s="76" t="str">
        <f>IFERROR(__xludf.DUMMYFUNCTION("""COMPUTED_VALUE"""),"Check api id from database and download jrmxl file                                    ")</f>
        <v>Check api id from database and download jrmxl file                                    </v>
      </c>
      <c r="C506" s="82">
        <f>IFERROR(__xludf.DUMMYFUNCTION("""COMPUTED_VALUE"""),4966.0)</f>
        <v>4966</v>
      </c>
      <c r="D506" s="76" t="str">
        <f>IFERROR(__xludf.DUMMYFUNCTION("""COMPUTED_VALUE"""),"ENROLLMENT/REGISTRAION REPORT NEP")</f>
        <v>ENROLLMENT/REGISTRAION REPORT NEP</v>
      </c>
      <c r="E506" s="84">
        <f>IFERROR(__xludf.DUMMYFUNCTION("""COMPUTED_VALUE"""),46087.445138888885)</f>
        <v>46087.44514</v>
      </c>
      <c r="F506" s="86">
        <f>IFERROR(__xludf.DUMMYFUNCTION("""COMPUTED_VALUE"""),46086.701189918975)</f>
        <v>46086.70119</v>
      </c>
      <c r="G506" s="86" t="str">
        <f>IFERROR(__xludf.DUMMYFUNCTION("""COMPUTED_VALUE"""),"Done")</f>
        <v>Done</v>
      </c>
      <c r="H506" s="88">
        <f>IFERROR(__xludf.DUMMYFUNCTION("""COMPUTED_VALUE"""),0.0)</f>
        <v>0</v>
      </c>
      <c r="I506" s="90" t="str">
        <f>IFERROR(__xludf.DUMMYFUNCTION("""COMPUTED_VALUE"""),"EMP5009 Rup Kumar Mandal")</f>
        <v>EMP5009 Rup Kumar Mandal</v>
      </c>
      <c r="J506" s="91"/>
    </row>
    <row r="507">
      <c r="B507" s="76" t="str">
        <f>IFERROR(__xludf.DUMMYFUNCTION("""COMPUTED_VALUE"""),"Check api id from database and download jrmxl file                                    ")</f>
        <v>Check api id from database and download jrmxl file                                    </v>
      </c>
      <c r="C507" s="82">
        <f>IFERROR(__xludf.DUMMYFUNCTION("""COMPUTED_VALUE"""),4967.0)</f>
        <v>4967</v>
      </c>
      <c r="D507" s="76" t="str">
        <f>IFERROR(__xludf.DUMMYFUNCTION("""COMPUTED_VALUE"""),"TR REPORT")</f>
        <v>TR REPORT</v>
      </c>
      <c r="E507" s="84">
        <f>IFERROR(__xludf.DUMMYFUNCTION("""COMPUTED_VALUE"""),46087.447222222225)</f>
        <v>46087.44722</v>
      </c>
      <c r="F507" s="86">
        <f>IFERROR(__xludf.DUMMYFUNCTION("""COMPUTED_VALUE"""),46086.701212314816)</f>
        <v>46086.70121</v>
      </c>
      <c r="G507" s="86" t="str">
        <f>IFERROR(__xludf.DUMMYFUNCTION("""COMPUTED_VALUE"""),"Done")</f>
        <v>Done</v>
      </c>
      <c r="H507" s="88">
        <f>IFERROR(__xludf.DUMMYFUNCTION("""COMPUTED_VALUE"""),0.0)</f>
        <v>0</v>
      </c>
      <c r="I507" s="90" t="str">
        <f>IFERROR(__xludf.DUMMYFUNCTION("""COMPUTED_VALUE"""),"EMP5009 Rup Kumar Mandal")</f>
        <v>EMP5009 Rup Kumar Mandal</v>
      </c>
      <c r="J507" s="91"/>
    </row>
    <row r="508">
      <c r="B508" s="76" t="str">
        <f>IFERROR(__xludf.DUMMYFUNCTION("""COMPUTED_VALUE"""),"Check api id from database and download jrmxl file                                    ")</f>
        <v>Check api id from database and download jrmxl file                                    </v>
      </c>
      <c r="C508" s="82">
        <f>IFERROR(__xludf.DUMMYFUNCTION("""COMPUTED_VALUE"""),4968.0)</f>
        <v>4968</v>
      </c>
      <c r="D508" s="76" t="str">
        <f>IFERROR(__xludf.DUMMYFUNCTION("""COMPUTED_VALUE"""),"B.SC  2ND SEM REVAL MAY-2019 MARKSHEET BLANK")</f>
        <v>B.SC  2ND SEM REVAL MAY-2019 MARKSHEET BLANK</v>
      </c>
      <c r="E508" s="84">
        <f>IFERROR(__xludf.DUMMYFUNCTION("""COMPUTED_VALUE"""),46087.63066915509)</f>
        <v>46087.63067</v>
      </c>
      <c r="F508" s="86">
        <f>IFERROR(__xludf.DUMMYFUNCTION("""COMPUTED_VALUE"""),46087.47372902778)</f>
        <v>46087.47373</v>
      </c>
      <c r="G508" s="86" t="str">
        <f>IFERROR(__xludf.DUMMYFUNCTION("""COMPUTED_VALUE"""),"Done")</f>
        <v>Done</v>
      </c>
      <c r="H508" s="88">
        <f>IFERROR(__xludf.DUMMYFUNCTION("""COMPUTED_VALUE"""),0.0)</f>
        <v>0</v>
      </c>
      <c r="I508" s="90" t="str">
        <f>IFERROR(__xludf.DUMMYFUNCTION("""COMPUTED_VALUE"""),"EMP0042 HULESHWAR KUMAR SAHU")</f>
        <v>EMP0042 HULESHWAR KUMAR SAHU</v>
      </c>
      <c r="J508" s="91"/>
    </row>
    <row r="509">
      <c r="B509" s="76" t="str">
        <f>IFERROR(__xludf.DUMMYFUNCTION("""COMPUTED_VALUE"""),"Check api id from database and download jrmxl file                                    ")</f>
        <v>Check api id from database and download jrmxl file                                    </v>
      </c>
      <c r="C509" s="82">
        <f>IFERROR(__xludf.DUMMYFUNCTION("""COMPUTED_VALUE"""),4969.0)</f>
        <v>4969</v>
      </c>
      <c r="D509" s="76" t="str">
        <f>IFERROR(__xludf.DUMMYFUNCTION("""COMPUTED_VALUE"""),"GAU Generate Attendance Sheet BAMS MARCH 2026")</f>
        <v>GAU Generate Attendance Sheet BAMS MARCH 2026</v>
      </c>
      <c r="E509" s="84">
        <f>IFERROR(__xludf.DUMMYFUNCTION("""COMPUTED_VALUE"""),46087.81273710648)</f>
        <v>46087.81274</v>
      </c>
      <c r="F509" s="86">
        <f>IFERROR(__xludf.DUMMYFUNCTION("""COMPUTED_VALUE"""),46087.640584699075)</f>
        <v>46087.64058</v>
      </c>
      <c r="G509" s="86" t="str">
        <f>IFERROR(__xludf.DUMMYFUNCTION("""COMPUTED_VALUE"""),"Done")</f>
        <v>Done</v>
      </c>
      <c r="H509" s="88">
        <f>IFERROR(__xludf.DUMMYFUNCTION("""COMPUTED_VALUE"""),0.0)</f>
        <v>0</v>
      </c>
      <c r="I509" s="90" t="str">
        <f>IFERROR(__xludf.DUMMYFUNCTION("""COMPUTED_VALUE"""),"EMP0021 Tamanna Dewangan")</f>
        <v>EMP0021 Tamanna Dewangan</v>
      </c>
      <c r="J509" s="91"/>
    </row>
    <row r="510">
      <c r="B510" s="76" t="str">
        <f>IFERROR(__xludf.DUMMYFUNCTION("""COMPUTED_VALUE"""),"Check api id from database and download jrmxl file                                    ")</f>
        <v>Check api id from database and download jrmxl file                                    </v>
      </c>
      <c r="C510" s="82">
        <f>IFERROR(__xludf.DUMMYFUNCTION("""COMPUTED_VALUE"""),4970.0)</f>
        <v>4970</v>
      </c>
      <c r="D510" s="76" t="str">
        <f>IFERROR(__xludf.DUMMYFUNCTION("""COMPUTED_VALUE"""),"Marks Entry Report")</f>
        <v>Marks Entry Report</v>
      </c>
      <c r="E510" s="84">
        <f>IFERROR(__xludf.DUMMYFUNCTION("""COMPUTED_VALUE"""),46088.48958333333)</f>
        <v>46088.48958</v>
      </c>
      <c r="F510" s="86">
        <f>IFERROR(__xludf.DUMMYFUNCTION("""COMPUTED_VALUE"""),46087.73570435186)</f>
        <v>46087.7357</v>
      </c>
      <c r="G510" s="86" t="str">
        <f>IFERROR(__xludf.DUMMYFUNCTION("""COMPUTED_VALUE"""),"Done")</f>
        <v>Done</v>
      </c>
      <c r="H510" s="88">
        <f>IFERROR(__xludf.DUMMYFUNCTION("""COMPUTED_VALUE"""),0.0)</f>
        <v>0</v>
      </c>
      <c r="I510" s="90" t="str">
        <f>IFERROR(__xludf.DUMMYFUNCTION("""COMPUTED_VALUE"""),"EMP0042 HULESHWAR KUMAR SAHU")</f>
        <v>EMP0042 HULESHWAR KUMAR SAHU</v>
      </c>
      <c r="J510" s="91"/>
    </row>
    <row r="511">
      <c r="B511" s="76" t="str">
        <f>IFERROR(__xludf.DUMMYFUNCTION("""COMPUTED_VALUE"""),"Check api id from database and download jrmxl file                                    ")</f>
        <v>Check api id from database and download jrmxl file                                    </v>
      </c>
      <c r="C511" s="82">
        <f>IFERROR(__xludf.DUMMYFUNCTION("""COMPUTED_VALUE"""),4971.0)</f>
        <v>4971</v>
      </c>
      <c r="D511" s="76" t="str">
        <f>IFERROR(__xludf.DUMMYFUNCTION("""COMPUTED_VALUE"""),"exam time table repoort")</f>
        <v>exam time table repoort</v>
      </c>
      <c r="E511" s="84">
        <f>IFERROR(__xludf.DUMMYFUNCTION("""COMPUTED_VALUE"""),46088.53263888889)</f>
        <v>46088.53264</v>
      </c>
      <c r="F511" s="86">
        <f>IFERROR(__xludf.DUMMYFUNCTION("""COMPUTED_VALUE"""),46088.41757754629)</f>
        <v>46088.41758</v>
      </c>
      <c r="G511" s="86" t="str">
        <f>IFERROR(__xludf.DUMMYFUNCTION("""COMPUTED_VALUE"""),"Done")</f>
        <v>Done</v>
      </c>
      <c r="H511" s="88">
        <f>IFERROR(__xludf.DUMMYFUNCTION("""COMPUTED_VALUE"""),0.0)</f>
        <v>0</v>
      </c>
      <c r="I511" s="90" t="str">
        <f>IFERROR(__xludf.DUMMYFUNCTION("""COMPUTED_VALUE"""),"EMP0042 HULESHWAR KUMAR SAHU")</f>
        <v>EMP0042 HULESHWAR KUMAR SAHU</v>
      </c>
      <c r="J511" s="91"/>
    </row>
    <row r="512">
      <c r="B512" s="76" t="str">
        <f>IFERROR(__xludf.DUMMYFUNCTION("""COMPUTED_VALUE"""),"Check api id from database and download jrmxl file                                    ")</f>
        <v>Check api id from database and download jrmxl file                                    </v>
      </c>
      <c r="C512" s="82">
        <f>IFERROR(__xludf.DUMMYFUNCTION("""COMPUTED_VALUE"""),4972.0)</f>
        <v>4972</v>
      </c>
      <c r="D512" s="76" t="str">
        <f>IFERROR(__xludf.DUMMYFUNCTION("""COMPUTED_VALUE"""),"GAU Generate Attendance Sheet BAMS MARCH 2026 2nd LOT")</f>
        <v>GAU Generate Attendance Sheet BAMS MARCH 2026 2nd LOT</v>
      </c>
      <c r="E512" s="84">
        <f>IFERROR(__xludf.DUMMYFUNCTION("""COMPUTED_VALUE"""),46088.59062465278)</f>
        <v>46088.59062</v>
      </c>
      <c r="F512" s="86">
        <f>IFERROR(__xludf.DUMMYFUNCTION("""COMPUTED_VALUE"""),46088.41758509259)</f>
        <v>46088.41759</v>
      </c>
      <c r="G512" s="86" t="str">
        <f>IFERROR(__xludf.DUMMYFUNCTION("""COMPUTED_VALUE"""),"Done")</f>
        <v>Done</v>
      </c>
      <c r="H512" s="88">
        <f>IFERROR(__xludf.DUMMYFUNCTION("""COMPUTED_VALUE"""),0.0)</f>
        <v>0</v>
      </c>
      <c r="I512" s="90" t="str">
        <f>IFERROR(__xludf.DUMMYFUNCTION("""COMPUTED_VALUE"""),"EMP0021 Tamanna Dewangan")</f>
        <v>EMP0021 Tamanna Dewangan</v>
      </c>
      <c r="J512" s="91"/>
    </row>
    <row r="513">
      <c r="B513" s="76" t="str">
        <f>IFERROR(__xludf.DUMMYFUNCTION("""COMPUTED_VALUE"""),"Check api id from database and download jrmxl file                                    ")</f>
        <v>Check api id from database and download jrmxl file                                    </v>
      </c>
      <c r="C513" s="82">
        <f>IFERROR(__xludf.DUMMYFUNCTION("""COMPUTED_VALUE"""),4973.0)</f>
        <v>4973</v>
      </c>
      <c r="D513" s="76" t="str">
        <f>IFERROR(__xludf.DUMMYFUNCTION("""COMPUTED_VALUE"""),"Marks Sheet NEP")</f>
        <v>Marks Sheet NEP</v>
      </c>
      <c r="E513" s="84">
        <f>IFERROR(__xludf.DUMMYFUNCTION("""COMPUTED_VALUE"""),46088.61652929398)</f>
        <v>46088.61653</v>
      </c>
      <c r="F513" s="86">
        <f>IFERROR(__xludf.DUMMYFUNCTION("""COMPUTED_VALUE"""),46088.44869953704)</f>
        <v>46088.4487</v>
      </c>
      <c r="G513" s="86" t="str">
        <f>IFERROR(__xludf.DUMMYFUNCTION("""COMPUTED_VALUE"""),"Done")</f>
        <v>Done</v>
      </c>
      <c r="H513" s="88">
        <f>IFERROR(__xludf.DUMMYFUNCTION("""COMPUTED_VALUE"""),0.0)</f>
        <v>0</v>
      </c>
      <c r="I513" s="90" t="str">
        <f>IFERROR(__xludf.DUMMYFUNCTION("""COMPUTED_VALUE"""),"EMP0042 HULESHWAR KUMAR SAHU")</f>
        <v>EMP0042 HULESHWAR KUMAR SAHU</v>
      </c>
      <c r="J513" s="91"/>
    </row>
    <row r="514">
      <c r="B514" s="76" t="str">
        <f>IFERROR(__xludf.DUMMYFUNCTION("""COMPUTED_VALUE"""),"Check api id from database and download jrmxl file                                    ")</f>
        <v>Check api id from database and download jrmxl file                                    </v>
      </c>
      <c r="C514" s="82">
        <f>IFERROR(__xludf.DUMMYFUNCTION("""COMPUTED_VALUE"""),4974.0)</f>
        <v>4974</v>
      </c>
      <c r="D514" s="76" t="str">
        <f>IFERROR(__xludf.DUMMYFUNCTION("""COMPUTED_VALUE"""),"M.S.W 3RD SEM TR NO OF PAGES")</f>
        <v>M.S.W 3RD SEM TR NO OF PAGES</v>
      </c>
      <c r="E514" s="84">
        <f>IFERROR(__xludf.DUMMYFUNCTION("""COMPUTED_VALUE"""),46090.66997059027)</f>
        <v>46090.66997</v>
      </c>
      <c r="F514" s="86">
        <f>IFERROR(__xludf.DUMMYFUNCTION("""COMPUTED_VALUE"""),46090.51947291666)</f>
        <v>46090.51947</v>
      </c>
      <c r="G514" s="86" t="str">
        <f>IFERROR(__xludf.DUMMYFUNCTION("""COMPUTED_VALUE"""),"Done")</f>
        <v>Done</v>
      </c>
      <c r="H514" s="88">
        <f>IFERROR(__xludf.DUMMYFUNCTION("""COMPUTED_VALUE"""),0.0)</f>
        <v>0</v>
      </c>
      <c r="I514" s="90" t="str">
        <f>IFERROR(__xludf.DUMMYFUNCTION("""COMPUTED_VALUE"""),"EMP0042 HULESHWAR KUMAR SAHU")</f>
        <v>EMP0042 HULESHWAR KUMAR SAHU</v>
      </c>
      <c r="J514" s="91"/>
    </row>
    <row r="515">
      <c r="B515" s="76" t="str">
        <f>IFERROR(__xludf.DUMMYFUNCTION("""COMPUTED_VALUE"""),"Check api id from database and download jrmxl file                                    ")</f>
        <v>Check api id from database and download jrmxl file                                    </v>
      </c>
      <c r="C515" s="82">
        <f>IFERROR(__xludf.DUMMYFUNCTION("""COMPUTED_VALUE"""),4975.0)</f>
        <v>4975</v>
      </c>
      <c r="D515" s="76" t="str">
        <f>IFERROR(__xludf.DUMMYFUNCTION("""COMPUTED_VALUE"""),"Gold Medel Certificate Gnsu")</f>
        <v>Gold Medel Certificate Gnsu</v>
      </c>
      <c r="E515" s="84">
        <f>IFERROR(__xludf.DUMMYFUNCTION("""COMPUTED_VALUE"""),46090.70843262732)</f>
        <v>46090.70843</v>
      </c>
      <c r="F515" s="86">
        <f>IFERROR(__xludf.DUMMYFUNCTION("""COMPUTED_VALUE"""),46090.62068275463)</f>
        <v>46090.62068</v>
      </c>
      <c r="G515" s="86" t="str">
        <f>IFERROR(__xludf.DUMMYFUNCTION("""COMPUTED_VALUE"""),"Done")</f>
        <v>Done</v>
      </c>
      <c r="H515" s="88">
        <f>IFERROR(__xludf.DUMMYFUNCTION("""COMPUTED_VALUE"""),0.0)</f>
        <v>0</v>
      </c>
      <c r="I515" s="90" t="str">
        <f>IFERROR(__xludf.DUMMYFUNCTION("""COMPUTED_VALUE"""),"EMP0042 HULESHWAR KUMAR SAHU")</f>
        <v>EMP0042 HULESHWAR KUMAR SAHU</v>
      </c>
      <c r="J515" s="91"/>
    </row>
    <row r="516">
      <c r="B516" s="76" t="str">
        <f>IFERROR(__xludf.DUMMYFUNCTION("""COMPUTED_VALUE"""),"Check api id from database and download jrmxl file                                    ")</f>
        <v>Check api id from database and download jrmxl file                                    </v>
      </c>
      <c r="C516" s="82">
        <f>IFERROR(__xludf.DUMMYFUNCTION("""COMPUTED_VALUE"""),4976.0)</f>
        <v>4976</v>
      </c>
      <c r="D516" s="76" t="str">
        <f>IFERROR(__xludf.DUMMYFUNCTION("""COMPUTED_VALUE"""),"ADMIT CARD ")</f>
        <v>ADMIT CARD </v>
      </c>
      <c r="E516" s="84">
        <f>IFERROR(__xludf.DUMMYFUNCTION("""COMPUTED_VALUE"""),46090.71151133102)</f>
        <v>46090.71151</v>
      </c>
      <c r="F516" s="86">
        <f>IFERROR(__xludf.DUMMYFUNCTION("""COMPUTED_VALUE"""),46090.620627233795)</f>
        <v>46090.62063</v>
      </c>
      <c r="G516" s="86" t="str">
        <f>IFERROR(__xludf.DUMMYFUNCTION("""COMPUTED_VALUE"""),"Done")</f>
        <v>Done</v>
      </c>
      <c r="H516" s="88">
        <f>IFERROR(__xludf.DUMMYFUNCTION("""COMPUTED_VALUE"""),0.0)</f>
        <v>0</v>
      </c>
      <c r="I516" s="90" t="str">
        <f>IFERROR(__xludf.DUMMYFUNCTION("""COMPUTED_VALUE"""),"EMP0021 Tamanna Dewangan")</f>
        <v>EMP0021 Tamanna Dewangan</v>
      </c>
      <c r="J516" s="91"/>
    </row>
    <row r="517">
      <c r="B517" s="76" t="str">
        <f>IFERROR(__xludf.DUMMYFUNCTION("""COMPUTED_VALUE"""),"Check api id from database and download jrmxl file                                    ")</f>
        <v>Check api id from database and download jrmxl file                                    </v>
      </c>
      <c r="C517" s="82">
        <f>IFERROR(__xludf.DUMMYFUNCTION("""COMPUTED_VALUE"""),4977.0)</f>
        <v>4977</v>
      </c>
      <c r="D517" s="76" t="str">
        <f>IFERROR(__xludf.DUMMYFUNCTION("""COMPUTED_VALUE"""),"Enrolment/Exam form report")</f>
        <v>Enrolment/Exam form report</v>
      </c>
      <c r="E517" s="84">
        <f>IFERROR(__xludf.DUMMYFUNCTION("""COMPUTED_VALUE"""),46090.71395917824)</f>
        <v>46090.71396</v>
      </c>
      <c r="F517" s="86">
        <f>IFERROR(__xludf.DUMMYFUNCTION("""COMPUTED_VALUE"""),46090.54988741899)</f>
        <v>46090.54989</v>
      </c>
      <c r="G517" s="86" t="str">
        <f>IFERROR(__xludf.DUMMYFUNCTION("""COMPUTED_VALUE"""),"Done")</f>
        <v>Done</v>
      </c>
      <c r="H517" s="88">
        <f>IFERROR(__xludf.DUMMYFUNCTION("""COMPUTED_VALUE"""),0.0)</f>
        <v>0</v>
      </c>
      <c r="I517" s="90" t="str">
        <f>IFERROR(__xludf.DUMMYFUNCTION("""COMPUTED_VALUE"""),"EMP0237 Swarnendu Chakraborty")</f>
        <v>EMP0237 Swarnendu Chakraborty</v>
      </c>
      <c r="J517" s="91"/>
    </row>
    <row r="518">
      <c r="B518" s="76" t="str">
        <f>IFERROR(__xludf.DUMMYFUNCTION("""COMPUTED_VALUE"""),"Check api id from database and download jrmxl file                                    ")</f>
        <v>Check api id from database and download jrmxl file                                    </v>
      </c>
      <c r="C518" s="82">
        <f>IFERROR(__xludf.DUMMYFUNCTION("""COMPUTED_VALUE"""),4978.0)</f>
        <v>4978</v>
      </c>
      <c r="D518" s="76" t="str">
        <f>IFERROR(__xludf.DUMMYFUNCTION("""COMPUTED_VALUE"""),"MULTIPLE REPORT")</f>
        <v>MULTIPLE REPORT</v>
      </c>
      <c r="E518" s="84">
        <f>IFERROR(__xludf.DUMMYFUNCTION("""COMPUTED_VALUE"""),46090.7496596412)</f>
        <v>46090.74966</v>
      </c>
      <c r="F518" s="86">
        <f>IFERROR(__xludf.DUMMYFUNCTION("""COMPUTED_VALUE"""),46090.77301166667)</f>
        <v>46090.77301</v>
      </c>
      <c r="G518" s="86" t="str">
        <f>IFERROR(__xludf.DUMMYFUNCTION("""COMPUTED_VALUE"""),"Done")</f>
        <v>Done</v>
      </c>
      <c r="H518" s="88">
        <f>IFERROR(__xludf.DUMMYFUNCTION("""COMPUTED_VALUE"""),0.02335202546314621)</f>
        <v>0.02335202546</v>
      </c>
      <c r="I518" s="90" t="str">
        <f>IFERROR(__xludf.DUMMYFUNCTION("""COMPUTED_VALUE"""),"EMP0042 HULESHWAR KUMAR SAHU")</f>
        <v>EMP0042 HULESHWAR KUMAR SAHU</v>
      </c>
      <c r="J518" s="91"/>
    </row>
    <row r="519">
      <c r="B519" s="76" t="str">
        <f>IFERROR(__xludf.DUMMYFUNCTION("""COMPUTED_VALUE"""),"Check api id from database and download jrmxl file                                    ")</f>
        <v>Check api id from database and download jrmxl file                                    </v>
      </c>
      <c r="C519" s="82">
        <f>IFERROR(__xludf.DUMMYFUNCTION("""COMPUTED_VALUE"""),4979.0)</f>
        <v>4979</v>
      </c>
      <c r="D519" s="76" t="str">
        <f>IFERROR(__xludf.DUMMYFUNCTION("""COMPUTED_VALUE"""),"Degree certificate correction")</f>
        <v>Degree certificate correction</v>
      </c>
      <c r="E519" s="84">
        <f>IFERROR(__xludf.DUMMYFUNCTION("""COMPUTED_VALUE"""),46091.768445960646)</f>
        <v>46091.76845</v>
      </c>
      <c r="F519" s="86">
        <f>IFERROR(__xludf.DUMMYFUNCTION("""COMPUTED_VALUE"""),46091.46834728009)</f>
        <v>46091.46835</v>
      </c>
      <c r="G519" s="86" t="str">
        <f>IFERROR(__xludf.DUMMYFUNCTION("""COMPUTED_VALUE"""),"Done")</f>
        <v>Done</v>
      </c>
      <c r="H519" s="88">
        <f>IFERROR(__xludf.DUMMYFUNCTION("""COMPUTED_VALUE"""),0.0)</f>
        <v>0</v>
      </c>
      <c r="I519" s="90" t="str">
        <f>IFERROR(__xludf.DUMMYFUNCTION("""COMPUTED_VALUE"""),"EMP0042 HULESHWAR KUMAR SAHU")</f>
        <v>EMP0042 HULESHWAR KUMAR SAHU</v>
      </c>
      <c r="J519" s="91"/>
    </row>
    <row r="520">
      <c r="B520" s="76" t="str">
        <f>IFERROR(__xludf.DUMMYFUNCTION("""COMPUTED_VALUE"""),"Check api id from database and download jrmxl file                                    ")</f>
        <v>Check api id from database and download jrmxl file                                    </v>
      </c>
      <c r="C520" s="82">
        <f>IFERROR(__xludf.DUMMYFUNCTION("""COMPUTED_VALUE"""),4980.0)</f>
        <v>4980</v>
      </c>
      <c r="D520" s="76" t="str">
        <f>IFERROR(__xludf.DUMMYFUNCTION("""COMPUTED_VALUE"""),"provisional certificate")</f>
        <v>provisional certificate</v>
      </c>
      <c r="E520" s="84">
        <f>IFERROR(__xludf.DUMMYFUNCTION("""COMPUTED_VALUE"""),46091.79229304399)</f>
        <v>46091.79229</v>
      </c>
      <c r="F520" s="86">
        <f>IFERROR(__xludf.DUMMYFUNCTION("""COMPUTED_VALUE"""),46091.62589028935)</f>
        <v>46091.62589</v>
      </c>
      <c r="G520" s="86" t="str">
        <f>IFERROR(__xludf.DUMMYFUNCTION("""COMPUTED_VALUE"""),"Done")</f>
        <v>Done</v>
      </c>
      <c r="H520" s="88">
        <f>IFERROR(__xludf.DUMMYFUNCTION("""COMPUTED_VALUE"""),0.0)</f>
        <v>0</v>
      </c>
      <c r="I520" s="90" t="str">
        <f>IFERROR(__xludf.DUMMYFUNCTION("""COMPUTED_VALUE"""),"EMP0021 Tamanna Dewangan")</f>
        <v>EMP0021 Tamanna Dewangan</v>
      </c>
      <c r="J520" s="91"/>
    </row>
    <row r="521">
      <c r="B521" s="76" t="str">
        <f>IFERROR(__xludf.DUMMYFUNCTION("""COMPUTED_VALUE"""),"Check api id from database and download jrmxl file                                    ")</f>
        <v>Check api id from database and download jrmxl file                                    </v>
      </c>
      <c r="C521" s="82">
        <f>IFERROR(__xludf.DUMMYFUNCTION("""COMPUTED_VALUE"""),4981.0)</f>
        <v>4981</v>
      </c>
      <c r="D521" s="76" t="str">
        <f>IFERROR(__xludf.DUMMYFUNCTION("""COMPUTED_VALUE"""),"COLLEGE WISE TIME TABLE")</f>
        <v>COLLEGE WISE TIME TABLE</v>
      </c>
      <c r="E521" s="84">
        <f>IFERROR(__xludf.DUMMYFUNCTION("""COMPUTED_VALUE"""),46091.796407442125)</f>
        <v>46091.79641</v>
      </c>
      <c r="F521" s="86">
        <f>IFERROR(__xludf.DUMMYFUNCTION("""COMPUTED_VALUE"""),46091.62593553241)</f>
        <v>46091.62594</v>
      </c>
      <c r="G521" s="86" t="str">
        <f>IFERROR(__xludf.DUMMYFUNCTION("""COMPUTED_VALUE"""),"Done")</f>
        <v>Done</v>
      </c>
      <c r="H521" s="88">
        <f>IFERROR(__xludf.DUMMYFUNCTION("""COMPUTED_VALUE"""),0.0)</f>
        <v>0</v>
      </c>
      <c r="I521" s="90" t="str">
        <f>IFERROR(__xludf.DUMMYFUNCTION("""COMPUTED_VALUE"""),"EMP0042 HULESHWAR KUMAR SAHU")</f>
        <v>EMP0042 HULESHWAR KUMAR SAHU</v>
      </c>
      <c r="J521" s="91"/>
    </row>
    <row r="522">
      <c r="B522" s="76" t="str">
        <f>IFERROR(__xludf.DUMMYFUNCTION("""COMPUTED_VALUE"""),"Check api id from database and download jrmxl file                                    ")</f>
        <v>Check api id from database and download jrmxl file                                    </v>
      </c>
      <c r="C522" s="82">
        <f>IFERROR(__xludf.DUMMYFUNCTION("""COMPUTED_VALUE"""),4982.0)</f>
        <v>4982</v>
      </c>
      <c r="D522" s="76" t="str">
        <f>IFERROR(__xludf.DUMMYFUNCTION("""COMPUTED_VALUE"""),"TR")</f>
        <v>TR</v>
      </c>
      <c r="E522" s="84">
        <f>IFERROR(__xludf.DUMMYFUNCTION("""COMPUTED_VALUE"""),46092.49513888889)</f>
        <v>46092.49514</v>
      </c>
      <c r="F522" s="86">
        <f>IFERROR(__xludf.DUMMYFUNCTION("""COMPUTED_VALUE"""),46091.77615987269)</f>
        <v>46091.77616</v>
      </c>
      <c r="G522" s="86" t="str">
        <f>IFERROR(__xludf.DUMMYFUNCTION("""COMPUTED_VALUE"""),"Done")</f>
        <v>Done</v>
      </c>
      <c r="H522" s="88">
        <f>IFERROR(__xludf.DUMMYFUNCTION("""COMPUTED_VALUE"""),0.0)</f>
        <v>0</v>
      </c>
      <c r="I522" s="90" t="str">
        <f>IFERROR(__xludf.DUMMYFUNCTION("""COMPUTED_VALUE"""),"EMP0042 HULESHWAR KUMAR SAHU")</f>
        <v>EMP0042 HULESHWAR KUMAR SAHU</v>
      </c>
      <c r="J522" s="91"/>
    </row>
    <row r="523">
      <c r="B523" s="76" t="str">
        <f>IFERROR(__xludf.DUMMYFUNCTION("""COMPUTED_VALUE"""),"Check api id from database and download jrmxl file                                    ")</f>
        <v>Check api id from database and download jrmxl file                                    </v>
      </c>
      <c r="C523" s="82">
        <f>IFERROR(__xludf.DUMMYFUNCTION("""COMPUTED_VALUE"""),4983.0)</f>
        <v>4983</v>
      </c>
      <c r="D523" s="76" t="str">
        <f>IFERROR(__xludf.DUMMYFUNCTION("""COMPUTED_VALUE"""),"3152")</f>
        <v>3152</v>
      </c>
      <c r="E523" s="84">
        <f>IFERROR(__xludf.DUMMYFUNCTION("""COMPUTED_VALUE"""),46092.569444444445)</f>
        <v>46092.56944</v>
      </c>
      <c r="F523" s="86">
        <f>IFERROR(__xludf.DUMMYFUNCTION("""COMPUTED_VALUE"""),46092.43216292824)</f>
        <v>46092.43216</v>
      </c>
      <c r="G523" s="86" t="str">
        <f>IFERROR(__xludf.DUMMYFUNCTION("""COMPUTED_VALUE"""),"Done")</f>
        <v>Done</v>
      </c>
      <c r="H523" s="88">
        <f>IFERROR(__xludf.DUMMYFUNCTION("""COMPUTED_VALUE"""),0.0)</f>
        <v>0</v>
      </c>
      <c r="I523" s="90" t="str">
        <f>IFERROR(__xludf.DUMMYFUNCTION("""COMPUTED_VALUE"""),"EMP5009 Rup Kumar Mandal")</f>
        <v>EMP5009 Rup Kumar Mandal</v>
      </c>
      <c r="J523" s="91"/>
    </row>
    <row r="524">
      <c r="B524" s="76" t="str">
        <f>IFERROR(__xludf.DUMMYFUNCTION("""COMPUTED_VALUE"""),"Check api id from database and download jrmxl file                                    ")</f>
        <v>Check api id from database and download jrmxl file                                    </v>
      </c>
      <c r="C524" s="82">
        <f>IFERROR(__xludf.DUMMYFUNCTION("""COMPUTED_VALUE"""),4984.0)</f>
        <v>4984</v>
      </c>
      <c r="D524" s="76" t="str">
        <f>IFERROR(__xludf.DUMMYFUNCTION("""COMPUTED_VALUE"""),"Upshastri TR not Download ")</f>
        <v>Upshastri TR not Download </v>
      </c>
      <c r="E524" s="84">
        <f>IFERROR(__xludf.DUMMYFUNCTION("""COMPUTED_VALUE"""),46092.80744108796)</f>
        <v>46092.80744</v>
      </c>
      <c r="F524" s="86">
        <f>IFERROR(__xludf.DUMMYFUNCTION("""COMPUTED_VALUE"""),46092.74097922454)</f>
        <v>46092.74098</v>
      </c>
      <c r="G524" s="86" t="str">
        <f>IFERROR(__xludf.DUMMYFUNCTION("""COMPUTED_VALUE"""),"Done")</f>
        <v>Done</v>
      </c>
      <c r="H524" s="88">
        <f>IFERROR(__xludf.DUMMYFUNCTION("""COMPUTED_VALUE"""),0.0)</f>
        <v>0</v>
      </c>
      <c r="I524" s="90" t="str">
        <f>IFERROR(__xludf.DUMMYFUNCTION("""COMPUTED_VALUE"""),"EMP0042 HULESHWAR KUMAR SAHU")</f>
        <v>EMP0042 HULESHWAR KUMAR SAHU</v>
      </c>
      <c r="J524" s="91"/>
    </row>
    <row r="525">
      <c r="B525" s="76" t="str">
        <f>IFERROR(__xludf.DUMMYFUNCTION("""COMPUTED_VALUE"""),"Check api id from database and download jrmxl file                                    ")</f>
        <v>Check api id from database and download jrmxl file                                    </v>
      </c>
      <c r="C525" s="82">
        <f>IFERROR(__xludf.DUMMYFUNCTION("""COMPUTED_VALUE"""),4985.0)</f>
        <v>4985</v>
      </c>
      <c r="D525" s="76" t="str">
        <f>IFERROR(__xludf.DUMMYFUNCTION("""COMPUTED_VALUE"""),"CBCS TR chnage the filter all and add collge wise")</f>
        <v>CBCS TR chnage the filter all and add collge wise</v>
      </c>
      <c r="E525" s="84">
        <f>IFERROR(__xludf.DUMMYFUNCTION("""COMPUTED_VALUE"""),46093.62333710649)</f>
        <v>46093.62334</v>
      </c>
      <c r="F525" s="86">
        <f>IFERROR(__xludf.DUMMYFUNCTION("""COMPUTED_VALUE"""),46093.5449965625)</f>
        <v>46093.545</v>
      </c>
      <c r="G525" s="86" t="str">
        <f>IFERROR(__xludf.DUMMYFUNCTION("""COMPUTED_VALUE"""),"Done")</f>
        <v>Done</v>
      </c>
      <c r="H525" s="88">
        <f>IFERROR(__xludf.DUMMYFUNCTION("""COMPUTED_VALUE"""),0.0)</f>
        <v>0</v>
      </c>
      <c r="I525" s="90" t="str">
        <f>IFERROR(__xludf.DUMMYFUNCTION("""COMPUTED_VALUE"""),"EMP0021 Tamanna Dewangan")</f>
        <v>EMP0021 Tamanna Dewangan</v>
      </c>
      <c r="J525" s="91"/>
    </row>
    <row r="526">
      <c r="B526" s="76" t="str">
        <f>IFERROR(__xludf.DUMMYFUNCTION("""COMPUTED_VALUE"""),"Check api id from database and download jrmxl file                                    ")</f>
        <v>Check api id from database and download jrmxl file                                    </v>
      </c>
      <c r="C526" s="82">
        <f>IFERROR(__xludf.DUMMYFUNCTION("""COMPUTED_VALUE"""),4986.0)</f>
        <v>4986</v>
      </c>
      <c r="D526" s="76" t="str">
        <f>IFERROR(__xludf.DUMMYFUNCTION("""COMPUTED_VALUE"""),"Marksheet chnage the filter all and add collge wise")</f>
        <v>Marksheet chnage the filter all and add collge wise</v>
      </c>
      <c r="E526" s="84">
        <f>IFERROR(__xludf.DUMMYFUNCTION("""COMPUTED_VALUE"""),46093.62414831019)</f>
        <v>46093.62415</v>
      </c>
      <c r="F526" s="86">
        <f>IFERROR(__xludf.DUMMYFUNCTION("""COMPUTED_VALUE"""),46093.5449965625)</f>
        <v>46093.545</v>
      </c>
      <c r="G526" s="86" t="str">
        <f>IFERROR(__xludf.DUMMYFUNCTION("""COMPUTED_VALUE"""),"Done")</f>
        <v>Done</v>
      </c>
      <c r="H526" s="88">
        <f>IFERROR(__xludf.DUMMYFUNCTION("""COMPUTED_VALUE"""),0.0)</f>
        <v>0</v>
      </c>
      <c r="I526" s="90" t="str">
        <f>IFERROR(__xludf.DUMMYFUNCTION("""COMPUTED_VALUE"""),"EMP5009 Rup Kumar Mandal")</f>
        <v>EMP5009 Rup Kumar Mandal</v>
      </c>
      <c r="J526" s="91"/>
    </row>
    <row r="527">
      <c r="B527" s="76" t="str">
        <f>IFERROR(__xludf.DUMMYFUNCTION("""COMPUTED_VALUE"""),"Check api id from database and download jrmxl file                                    ")</f>
        <v>Check api id from database and download jrmxl file                                    </v>
      </c>
      <c r="C527" s="82">
        <f>IFERROR(__xludf.DUMMYFUNCTION("""COMPUTED_VALUE"""),4987.0)</f>
        <v>4987</v>
      </c>
      <c r="D527" s="76" t="str">
        <f>IFERROR(__xludf.DUMMYFUNCTION("""COMPUTED_VALUE"""),"Marksheet OLD chnage the filter all and add collge wise")</f>
        <v>Marksheet OLD chnage the filter all and add collge wise</v>
      </c>
      <c r="E527" s="84">
        <f>IFERROR(__xludf.DUMMYFUNCTION("""COMPUTED_VALUE"""),46093.62480892362)</f>
        <v>46093.62481</v>
      </c>
      <c r="F527" s="86">
        <f>IFERROR(__xludf.DUMMYFUNCTION("""COMPUTED_VALUE"""),46093.54500190972)</f>
        <v>46093.545</v>
      </c>
      <c r="G527" s="86" t="str">
        <f>IFERROR(__xludf.DUMMYFUNCTION("""COMPUTED_VALUE"""),"Done")</f>
        <v>Done</v>
      </c>
      <c r="H527" s="88">
        <f>IFERROR(__xludf.DUMMYFUNCTION("""COMPUTED_VALUE"""),0.0)</f>
        <v>0</v>
      </c>
      <c r="I527" s="90" t="str">
        <f>IFERROR(__xludf.DUMMYFUNCTION("""COMPUTED_VALUE"""),"EMP5009 Rup Kumar Mandal")</f>
        <v>EMP5009 Rup Kumar Mandal</v>
      </c>
      <c r="J527" s="91"/>
    </row>
    <row r="528">
      <c r="B528" s="76" t="str">
        <f>IFERROR(__xludf.DUMMYFUNCTION("""COMPUTED_VALUE"""),"Check api id from database and download jrmxl file                                    ")</f>
        <v>Check api id from database and download jrmxl file                                    </v>
      </c>
      <c r="C528" s="82">
        <f>IFERROR(__xludf.DUMMYFUNCTION("""COMPUTED_VALUE"""),4988.0)</f>
        <v>4988</v>
      </c>
      <c r="D528" s="76" t="str">
        <f>IFERROR(__xludf.DUMMYFUNCTION("""COMPUTED_VALUE"""),"Marksheet New chnage the filter all and add collge wise")</f>
        <v>Marksheet New chnage the filter all and add collge wise</v>
      </c>
      <c r="E528" s="84">
        <f>IFERROR(__xludf.DUMMYFUNCTION("""COMPUTED_VALUE"""),46093.625469652776)</f>
        <v>46093.62547</v>
      </c>
      <c r="F528" s="86">
        <f>IFERROR(__xludf.DUMMYFUNCTION("""COMPUTED_VALUE"""),46093.54500190972)</f>
        <v>46093.545</v>
      </c>
      <c r="G528" s="86" t="str">
        <f>IFERROR(__xludf.DUMMYFUNCTION("""COMPUTED_VALUE"""),"Done")</f>
        <v>Done</v>
      </c>
      <c r="H528" s="88">
        <f>IFERROR(__xludf.DUMMYFUNCTION("""COMPUTED_VALUE"""),0.0)</f>
        <v>0</v>
      </c>
      <c r="I528" s="90" t="str">
        <f>IFERROR(__xludf.DUMMYFUNCTION("""COMPUTED_VALUE"""),"EMP5009 Rup Kumar Mandal")</f>
        <v>EMP5009 Rup Kumar Mandal</v>
      </c>
      <c r="J528" s="91"/>
    </row>
    <row r="529">
      <c r="B529" s="76" t="str">
        <f>IFERROR(__xludf.DUMMYFUNCTION("""COMPUTED_VALUE"""),"Check api id from database and download jrmxl file                                    ")</f>
        <v>Check api id from database and download jrmxl file                                    </v>
      </c>
      <c r="C529" s="82">
        <f>IFERROR(__xludf.DUMMYFUNCTION("""COMPUTED_VALUE"""),4989.0)</f>
        <v>4989</v>
      </c>
      <c r="D529" s="76" t="str">
        <f>IFERROR(__xludf.DUMMYFUNCTION("""COMPUTED_VALUE"""),"Student enrooment report")</f>
        <v>Student enrooment report</v>
      </c>
      <c r="E529" s="84">
        <f>IFERROR(__xludf.DUMMYFUNCTION("""COMPUTED_VALUE"""),46093.69386017361)</f>
        <v>46093.69386</v>
      </c>
      <c r="F529" s="86">
        <f>IFERROR(__xludf.DUMMYFUNCTION("""COMPUTED_VALUE"""),46093.5450115625)</f>
        <v>46093.54501</v>
      </c>
      <c r="G529" s="86" t="str">
        <f>IFERROR(__xludf.DUMMYFUNCTION("""COMPUTED_VALUE"""),"Done")</f>
        <v>Done</v>
      </c>
      <c r="H529" s="88">
        <f>IFERROR(__xludf.DUMMYFUNCTION("""COMPUTED_VALUE"""),0.0)</f>
        <v>0</v>
      </c>
      <c r="I529" s="90" t="str">
        <f>IFERROR(__xludf.DUMMYFUNCTION("""COMPUTED_VALUE"""),"EMP5009 Rup Kumar Mandal")</f>
        <v>EMP5009 Rup Kumar Mandal</v>
      </c>
      <c r="J529" s="91"/>
    </row>
    <row r="530">
      <c r="B530" s="76" t="str">
        <f>IFERROR(__xludf.DUMMYFUNCTION("""COMPUTED_VALUE"""),"Check api id from database and download jrmxl file                                    ")</f>
        <v>Check api id from database and download jrmxl file                                    </v>
      </c>
      <c r="C530" s="82">
        <f>IFERROR(__xludf.DUMMYFUNCTION("""COMPUTED_VALUE"""),4990.0)</f>
        <v>4990</v>
      </c>
      <c r="D530" s="76" t="str">
        <f>IFERROR(__xludf.DUMMYFUNCTION("""COMPUTED_VALUE"""),"Award Sheet Locked/Blank BMDCEM-201 - Baba Mohan Das College of Education, Motla Kalan, Rewari. PG MASTER OF EDUCATION ( M.ED) First Semester ( Sem - 1) Sessional Blank ENROLLMENTFORM_SE21")</f>
        <v>Award Sheet Locked/Blank BMDCEM-201 - Baba Mohan Das College of Education, Motla Kalan, Rewari. PG MASTER OF EDUCATION ( M.ED) First Semester ( Sem - 1) Sessional Blank ENROLLMENTFORM_SE21</v>
      </c>
      <c r="E530" s="84">
        <f>IFERROR(__xludf.DUMMYFUNCTION("""COMPUTED_VALUE"""),46093.72792518519)</f>
        <v>46093.72793</v>
      </c>
      <c r="F530" s="86">
        <f>IFERROR(__xludf.DUMMYFUNCTION("""COMPUTED_VALUE"""),46093.582394143516)</f>
        <v>46093.58239</v>
      </c>
      <c r="G530" s="86" t="str">
        <f>IFERROR(__xludf.DUMMYFUNCTION("""COMPUTED_VALUE"""),"Done")</f>
        <v>Done</v>
      </c>
      <c r="H530" s="88">
        <f>IFERROR(__xludf.DUMMYFUNCTION("""COMPUTED_VALUE"""),0.0)</f>
        <v>0</v>
      </c>
      <c r="I530" s="90" t="str">
        <f>IFERROR(__xludf.DUMMYFUNCTION("""COMPUTED_VALUE"""),"EMP0021 Tamanna Dewangan")</f>
        <v>EMP0021 Tamanna Dewangan</v>
      </c>
      <c r="J530" s="91"/>
    </row>
    <row r="531">
      <c r="B531" s="76" t="str">
        <f>IFERROR(__xludf.DUMMYFUNCTION("""COMPUTED_VALUE"""),"Check api id from database and download jrmxl file                                    ")</f>
        <v>Check api id from database and download jrmxl file                                    </v>
      </c>
      <c r="C531" s="82">
        <f>IFERROR(__xludf.DUMMYFUNCTION("""COMPUTED_VALUE"""),4991.0)</f>
        <v>4991</v>
      </c>
      <c r="D531" s="76" t="str">
        <f>IFERROR(__xludf.DUMMYFUNCTION("""COMPUTED_VALUE"""),"CERTIFICATE")</f>
        <v>CERTIFICATE</v>
      </c>
      <c r="E531" s="84">
        <f>IFERROR(__xludf.DUMMYFUNCTION("""COMPUTED_VALUE"""),46093.74274267362)</f>
        <v>46093.74274</v>
      </c>
      <c r="F531" s="86">
        <f>IFERROR(__xludf.DUMMYFUNCTION("""COMPUTED_VALUE"""),46093.582394143516)</f>
        <v>46093.58239</v>
      </c>
      <c r="G531" s="86" t="str">
        <f>IFERROR(__xludf.DUMMYFUNCTION("""COMPUTED_VALUE"""),"Done")</f>
        <v>Done</v>
      </c>
      <c r="H531" s="88">
        <f>IFERROR(__xludf.DUMMYFUNCTION("""COMPUTED_VALUE"""),0.0)</f>
        <v>0</v>
      </c>
      <c r="I531" s="90" t="str">
        <f>IFERROR(__xludf.DUMMYFUNCTION("""COMPUTED_VALUE"""),"EMP0042 HULESHWAR KUMAR SAHU")</f>
        <v>EMP0042 HULESHWAR KUMAR SAHU</v>
      </c>
      <c r="J531" s="91"/>
    </row>
    <row r="532">
      <c r="B532" s="76" t="str">
        <f>IFERROR(__xludf.DUMMYFUNCTION("""COMPUTED_VALUE"""),"Check api id from database and download jrmxl file                                    ")</f>
        <v>Check api id from database and download jrmxl file                                    </v>
      </c>
      <c r="C532" s="82">
        <f>IFERROR(__xludf.DUMMYFUNCTION("""COMPUTED_VALUE"""),4992.0)</f>
        <v>4992</v>
      </c>
      <c r="D532" s="76" t="str">
        <f>IFERROR(__xludf.DUMMYFUNCTION("""COMPUTED_VALUE"""),"PROVISIONAL CERTIFICATE")</f>
        <v>PROVISIONAL CERTIFICATE</v>
      </c>
      <c r="E532" s="84">
        <f>IFERROR(__xludf.DUMMYFUNCTION("""COMPUTED_VALUE"""),46093.8189541088)</f>
        <v>46093.81895</v>
      </c>
      <c r="F532" s="86">
        <f>IFERROR(__xludf.DUMMYFUNCTION("""COMPUTED_VALUE"""),46093.67688138889)</f>
        <v>46093.67688</v>
      </c>
      <c r="G532" s="86" t="str">
        <f>IFERROR(__xludf.DUMMYFUNCTION("""COMPUTED_VALUE"""),"Done")</f>
        <v>Done</v>
      </c>
      <c r="H532" s="88">
        <f>IFERROR(__xludf.DUMMYFUNCTION("""COMPUTED_VALUE"""),0.0)</f>
        <v>0</v>
      </c>
      <c r="I532" s="90" t="str">
        <f>IFERROR(__xludf.DUMMYFUNCTION("""COMPUTED_VALUE"""),"EMP0237 Swarnendu Chakraborty")</f>
        <v>EMP0237 Swarnendu Chakraborty</v>
      </c>
      <c r="J532" s="91"/>
    </row>
    <row r="533">
      <c r="B533" s="76" t="str">
        <f>IFERROR(__xludf.DUMMYFUNCTION("""COMPUTED_VALUE"""),"Check api id from database and download jrmxl file                                    ")</f>
        <v>Check api id from database and download jrmxl file                                    </v>
      </c>
      <c r="C533" s="82">
        <f>IFERROR(__xludf.DUMMYFUNCTION("""COMPUTED_VALUE"""),4993.0)</f>
        <v>4993</v>
      </c>
      <c r="D533" s="76" t="str">
        <f>IFERROR(__xludf.DUMMYFUNCTION("""COMPUTED_VALUE"""),"3152")</f>
        <v>3152</v>
      </c>
      <c r="E533" s="84">
        <f>IFERROR(__xludf.DUMMYFUNCTION("""COMPUTED_VALUE"""),46094.48333333334)</f>
        <v>46094.48333</v>
      </c>
      <c r="F533" s="86">
        <f>IFERROR(__xludf.DUMMYFUNCTION("""COMPUTED_VALUE"""),46093.74957756945)</f>
        <v>46093.74958</v>
      </c>
      <c r="G533" s="86" t="str">
        <f>IFERROR(__xludf.DUMMYFUNCTION("""COMPUTED_VALUE"""),"Done")</f>
        <v>Done</v>
      </c>
      <c r="H533" s="88">
        <f>IFERROR(__xludf.DUMMYFUNCTION("""COMPUTED_VALUE"""),0.0)</f>
        <v>0</v>
      </c>
      <c r="I533" s="90" t="str">
        <f>IFERROR(__xludf.DUMMYFUNCTION("""COMPUTED_VALUE"""),"EMP5009 Rup Kumar Mandal")</f>
        <v>EMP5009 Rup Kumar Mandal</v>
      </c>
      <c r="J533" s="91"/>
    </row>
    <row r="534">
      <c r="B534" s="76" t="str">
        <f>IFERROR(__xludf.DUMMYFUNCTION("""COMPUTED_VALUE"""),"Check api id from database and download jrmxl file                                    ")</f>
        <v>Check api id from database and download jrmxl file                                    </v>
      </c>
      <c r="C534" s="82">
        <f>IFERROR(__xludf.DUMMYFUNCTION("""COMPUTED_VALUE"""),4994.0)</f>
        <v>4994</v>
      </c>
      <c r="D534" s="76" t="str">
        <f>IFERROR(__xludf.DUMMYFUNCTION("""COMPUTED_VALUE"""),"TR REPORT")</f>
        <v>TR REPORT</v>
      </c>
      <c r="E534" s="84">
        <f>IFERROR(__xludf.DUMMYFUNCTION("""COMPUTED_VALUE"""),46094.49097222222)</f>
        <v>46094.49097</v>
      </c>
      <c r="F534" s="86">
        <f>IFERROR(__xludf.DUMMYFUNCTION("""COMPUTED_VALUE"""),46093.749584178244)</f>
        <v>46093.74958</v>
      </c>
      <c r="G534" s="86" t="str">
        <f>IFERROR(__xludf.DUMMYFUNCTION("""COMPUTED_VALUE"""),"Done")</f>
        <v>Done</v>
      </c>
      <c r="H534" s="88">
        <f>IFERROR(__xludf.DUMMYFUNCTION("""COMPUTED_VALUE"""),0.0)</f>
        <v>0</v>
      </c>
      <c r="I534" s="90" t="str">
        <f>IFERROR(__xludf.DUMMYFUNCTION("""COMPUTED_VALUE"""),"EMP5009 Rup Kumar Mandal")</f>
        <v>EMP5009 Rup Kumar Mandal</v>
      </c>
      <c r="J534" s="91"/>
    </row>
    <row r="535">
      <c r="B535" s="76" t="str">
        <f>IFERROR(__xludf.DUMMYFUNCTION("""COMPUTED_VALUE"""),"Check api id from database and download jrmxl file                                    ")</f>
        <v>Check api id from database and download jrmxl file                                    </v>
      </c>
      <c r="C535" s="82">
        <f>IFERROR(__xludf.DUMMYFUNCTION("""COMPUTED_VALUE"""),4995.0)</f>
        <v>4995</v>
      </c>
      <c r="D535" s="76" t="str">
        <f>IFERROR(__xludf.DUMMYFUNCTION("""COMPUTED_VALUE"""),"TR ")</f>
        <v>TR </v>
      </c>
      <c r="E535" s="84">
        <f>IFERROR(__xludf.DUMMYFUNCTION("""COMPUTED_VALUE"""),46094.61914790509)</f>
        <v>46094.61915</v>
      </c>
      <c r="F535" s="86">
        <f>IFERROR(__xludf.DUMMYFUNCTION("""COMPUTED_VALUE"""),46094.47675644676)</f>
        <v>46094.47676</v>
      </c>
      <c r="G535" s="86" t="str">
        <f>IFERROR(__xludf.DUMMYFUNCTION("""COMPUTED_VALUE"""),"Done")</f>
        <v>Done</v>
      </c>
      <c r="H535" s="88">
        <f>IFERROR(__xludf.DUMMYFUNCTION("""COMPUTED_VALUE"""),0.0)</f>
        <v>0</v>
      </c>
      <c r="I535" s="90" t="str">
        <f>IFERROR(__xludf.DUMMYFUNCTION("""COMPUTED_VALUE"""),"EMP0042 HULESHWAR KUMAR SAHU")</f>
        <v>EMP0042 HULESHWAR KUMAR SAHU</v>
      </c>
      <c r="J535" s="91"/>
    </row>
    <row r="536">
      <c r="B536" s="76" t="str">
        <f>IFERROR(__xludf.DUMMYFUNCTION("""COMPUTED_VALUE"""),"Check api id from database and download jrmxl file                                    ")</f>
        <v>Check api id from database and download jrmxl file                                    </v>
      </c>
      <c r="C536" s="82">
        <f>IFERROR(__xludf.DUMMYFUNCTION("""COMPUTED_VALUE"""),4996.0)</f>
        <v>4996</v>
      </c>
      <c r="D536" s="76" t="str">
        <f>IFERROR(__xludf.DUMMYFUNCTION("""COMPUTED_VALUE"""),"RESULT DATA")</f>
        <v>RESULT DATA</v>
      </c>
      <c r="E536" s="84">
        <f>IFERROR(__xludf.DUMMYFUNCTION("""COMPUTED_VALUE"""),46094.66267164352)</f>
        <v>46094.66267</v>
      </c>
      <c r="F536" s="86">
        <f>IFERROR(__xludf.DUMMYFUNCTION("""COMPUTED_VALUE"""),46094.50855626157)</f>
        <v>46094.50856</v>
      </c>
      <c r="G536" s="86" t="str">
        <f>IFERROR(__xludf.DUMMYFUNCTION("""COMPUTED_VALUE"""),"Done")</f>
        <v>Done</v>
      </c>
      <c r="H536" s="88">
        <f>IFERROR(__xludf.DUMMYFUNCTION("""COMPUTED_VALUE"""),0.0)</f>
        <v>0</v>
      </c>
      <c r="I536" s="90" t="str">
        <f>IFERROR(__xludf.DUMMYFUNCTION("""COMPUTED_VALUE"""),"EMP5009 Rup Kumar Mandal")</f>
        <v>EMP5009 Rup Kumar Mandal</v>
      </c>
      <c r="J536" s="91"/>
    </row>
    <row r="537">
      <c r="B537" s="76" t="str">
        <f>IFERROR(__xludf.DUMMYFUNCTION("""COMPUTED_VALUE"""),"Check api id from database and download jrmxl file                                    ")</f>
        <v>Check api id from database and download jrmxl file                                    </v>
      </c>
      <c r="C537" s="82">
        <f>IFERROR(__xludf.DUMMYFUNCTION("""COMPUTED_VALUE"""),4997.0)</f>
        <v>4997</v>
      </c>
      <c r="D537" s="76" t="str">
        <f>IFERROR(__xludf.DUMMYFUNCTION("""COMPUTED_VALUE"""),"Admit card")</f>
        <v>Admit card</v>
      </c>
      <c r="E537" s="84">
        <f>IFERROR(__xludf.DUMMYFUNCTION("""COMPUTED_VALUE"""),46094.695672789356)</f>
        <v>46094.69567</v>
      </c>
      <c r="F537" s="86">
        <f>IFERROR(__xludf.DUMMYFUNCTION("""COMPUTED_VALUE"""),46094.56230341436)</f>
        <v>46094.5623</v>
      </c>
      <c r="G537" s="86" t="str">
        <f>IFERROR(__xludf.DUMMYFUNCTION("""COMPUTED_VALUE"""),"Done")</f>
        <v>Done</v>
      </c>
      <c r="H537" s="88">
        <f>IFERROR(__xludf.DUMMYFUNCTION("""COMPUTED_VALUE"""),0.0)</f>
        <v>0</v>
      </c>
      <c r="I537" s="90" t="str">
        <f>IFERROR(__xludf.DUMMYFUNCTION("""COMPUTED_VALUE"""),"EMP5009 Rup Kumar Mandal")</f>
        <v>EMP5009 Rup Kumar Mandal</v>
      </c>
      <c r="J537" s="91"/>
    </row>
    <row r="538">
      <c r="B538" s="76" t="str">
        <f>IFERROR(__xludf.DUMMYFUNCTION("""COMPUTED_VALUE"""),"Check api id from database and download jrmxl file                                    ")</f>
        <v>Check api id from database and download jrmxl file                                    </v>
      </c>
      <c r="C538" s="82">
        <f>IFERROR(__xludf.DUMMYFUNCTION("""COMPUTED_VALUE"""),4998.0)</f>
        <v>4998</v>
      </c>
      <c r="D538" s="76" t="str">
        <f>IFERROR(__xludf.DUMMYFUNCTION("""COMPUTED_VALUE"""),"Attendance Report")</f>
        <v>Attendance Report</v>
      </c>
      <c r="E538" s="84">
        <f>IFERROR(__xludf.DUMMYFUNCTION("""COMPUTED_VALUE"""),46094.697665300926)</f>
        <v>46094.69767</v>
      </c>
      <c r="F538" s="86">
        <f>IFERROR(__xludf.DUMMYFUNCTION("""COMPUTED_VALUE"""),46094.5626146875)</f>
        <v>46094.56261</v>
      </c>
      <c r="G538" s="86" t="str">
        <f>IFERROR(__xludf.DUMMYFUNCTION("""COMPUTED_VALUE"""),"Done")</f>
        <v>Done</v>
      </c>
      <c r="H538" s="88">
        <f>IFERROR(__xludf.DUMMYFUNCTION("""COMPUTED_VALUE"""),0.0)</f>
        <v>0</v>
      </c>
      <c r="I538" s="90" t="str">
        <f>IFERROR(__xludf.DUMMYFUNCTION("""COMPUTED_VALUE"""),"EMP0237 Swarnendu Chakraborty")</f>
        <v>EMP0237 Swarnendu Chakraborty</v>
      </c>
      <c r="J538" s="91"/>
    </row>
    <row r="539">
      <c r="B539" s="76" t="str">
        <f>IFERROR(__xludf.DUMMYFUNCTION("""COMPUTED_VALUE"""),"Check api id from database and download jrmxl file                                    ")</f>
        <v>Check api id from database and download jrmxl file                                    </v>
      </c>
      <c r="C539" s="82">
        <f>IFERROR(__xludf.DUMMYFUNCTION("""COMPUTED_VALUE"""),4999.0)</f>
        <v>4999</v>
      </c>
      <c r="D539" s="76" t="str">
        <f>IFERROR(__xludf.DUMMYFUNCTION("""COMPUTED_VALUE"""),"Seating Plan")</f>
        <v>Seating Plan</v>
      </c>
      <c r="E539" s="84">
        <f>IFERROR(__xludf.DUMMYFUNCTION("""COMPUTED_VALUE"""),46095.425)</f>
        <v>46095.425</v>
      </c>
      <c r="F539" s="86">
        <f>IFERROR(__xludf.DUMMYFUNCTION("""COMPUTED_VALUE"""),46094.5626146875)</f>
        <v>46094.56261</v>
      </c>
      <c r="G539" s="86" t="str">
        <f>IFERROR(__xludf.DUMMYFUNCTION("""COMPUTED_VALUE"""),"Done")</f>
        <v>Done</v>
      </c>
      <c r="H539" s="88">
        <f>IFERROR(__xludf.DUMMYFUNCTION("""COMPUTED_VALUE"""),0.0)</f>
        <v>0</v>
      </c>
      <c r="I539" s="90" t="str">
        <f>IFERROR(__xludf.DUMMYFUNCTION("""COMPUTED_VALUE"""),"EMP0042 HULESHWAR KUMAR SAHU")</f>
        <v>EMP0042 HULESHWAR KUMAR SAHU</v>
      </c>
      <c r="J539" s="91"/>
    </row>
    <row r="540">
      <c r="B540" s="76" t="str">
        <f>IFERROR(__xludf.DUMMYFUNCTION("""COMPUTED_VALUE"""),"Check api id from database and download jrmxl file                                    ")</f>
        <v>Check api id from database and download jrmxl file                                    </v>
      </c>
      <c r="C540" s="82">
        <f>IFERROR(__xludf.DUMMYFUNCTION("""COMPUTED_VALUE"""),5000.0)</f>
        <v>5000</v>
      </c>
      <c r="D540" s="76" t="str">
        <f>IFERROR(__xludf.DUMMYFUNCTION("""COMPUTED_VALUE"""),"TR ")</f>
        <v>TR </v>
      </c>
      <c r="E540" s="84">
        <f>IFERROR(__xludf.DUMMYFUNCTION("""COMPUTED_VALUE"""),46095.49166666667)</f>
        <v>46095.49167</v>
      </c>
      <c r="F540" s="86">
        <f>IFERROR(__xludf.DUMMYFUNCTION("""COMPUTED_VALUE"""),46094.75620542824)</f>
        <v>46094.75621</v>
      </c>
      <c r="G540" s="86" t="str">
        <f>IFERROR(__xludf.DUMMYFUNCTION("""COMPUTED_VALUE"""),"Done")</f>
        <v>Done</v>
      </c>
      <c r="H540" s="88">
        <f>IFERROR(__xludf.DUMMYFUNCTION("""COMPUTED_VALUE"""),0.0)</f>
        <v>0</v>
      </c>
      <c r="I540" s="90" t="str">
        <f>IFERROR(__xludf.DUMMYFUNCTION("""COMPUTED_VALUE"""),"EMP0042 HULESHWAR KUMAR SAHU")</f>
        <v>EMP0042 HULESHWAR KUMAR SAHU</v>
      </c>
      <c r="J540" s="91"/>
    </row>
    <row r="541">
      <c r="B541" s="76" t="str">
        <f>IFERROR(__xludf.DUMMYFUNCTION("""COMPUTED_VALUE"""),"Check api id from database and download jrmxl file                                    ")</f>
        <v>Check api id from database and download jrmxl file                                    </v>
      </c>
      <c r="C541" s="82">
        <f>IFERROR(__xludf.DUMMYFUNCTION("""COMPUTED_VALUE"""),5001.0)</f>
        <v>5001</v>
      </c>
      <c r="D541" s="76" t="str">
        <f>IFERROR(__xludf.DUMMYFUNCTION("""COMPUTED_VALUE"""),"Please provide the practical Data for M.Ed. 1st &amp; 3rd Semester, Re-appear, Regular, Mercy Chance,")</f>
        <v>Please provide the practical Data for M.Ed. 1st &amp; 3rd Semester, Re-appear, Regular, Mercy Chance,</v>
      </c>
      <c r="E541" s="84">
        <f>IFERROR(__xludf.DUMMYFUNCTION("""COMPUTED_VALUE"""),46095.633365381946)</f>
        <v>46095.63337</v>
      </c>
      <c r="F541" s="86">
        <f>IFERROR(__xludf.DUMMYFUNCTION("""COMPUTED_VALUE"""),46095.52245181713)</f>
        <v>46095.52245</v>
      </c>
      <c r="G541" s="86" t="str">
        <f>IFERROR(__xludf.DUMMYFUNCTION("""COMPUTED_VALUE"""),"Done")</f>
        <v>Done</v>
      </c>
      <c r="H541" s="88">
        <f>IFERROR(__xludf.DUMMYFUNCTION("""COMPUTED_VALUE"""),0.0)</f>
        <v>0</v>
      </c>
      <c r="I541" s="90" t="str">
        <f>IFERROR(__xludf.DUMMYFUNCTION("""COMPUTED_VALUE"""),"EMP0042 HULESHWAR KUMAR SAHU")</f>
        <v>EMP0042 HULESHWAR KUMAR SAHU</v>
      </c>
      <c r="J541" s="91"/>
    </row>
    <row r="542">
      <c r="B542" s="76" t="str">
        <f>IFERROR(__xludf.DUMMYFUNCTION("""COMPUTED_VALUE"""),"Check api id from database and download jrmxl file                                    ")</f>
        <v>Check api id from database and download jrmxl file                                    </v>
      </c>
      <c r="C542" s="82">
        <f>IFERROR(__xludf.DUMMYFUNCTION("""COMPUTED_VALUE"""),5002.0)</f>
        <v>5002</v>
      </c>
      <c r="D542" s="76" t="str">
        <f>IFERROR(__xludf.DUMMYFUNCTION("""COMPUTED_VALUE"""),"OLD formate mrksheet correction")</f>
        <v>OLD formate mrksheet correction</v>
      </c>
      <c r="E542" s="84">
        <f>IFERROR(__xludf.DUMMYFUNCTION("""COMPUTED_VALUE"""),46097.45469907408)</f>
        <v>46097.4547</v>
      </c>
      <c r="F542" s="86">
        <f>IFERROR(__xludf.DUMMYFUNCTION("""COMPUTED_VALUE"""),46097.43215983796)</f>
        <v>46097.43216</v>
      </c>
      <c r="G542" s="86" t="str">
        <f>IFERROR(__xludf.DUMMYFUNCTION("""COMPUTED_VALUE"""),"Done")</f>
        <v>Done</v>
      </c>
      <c r="H542" s="88">
        <f>IFERROR(__xludf.DUMMYFUNCTION("""COMPUTED_VALUE"""),0.0)</f>
        <v>0</v>
      </c>
      <c r="I542" s="90" t="str">
        <f>IFERROR(__xludf.DUMMYFUNCTION("""COMPUTED_VALUE"""),"EMP0237 Swarnendu Chakraborty")</f>
        <v>EMP0237 Swarnendu Chakraborty</v>
      </c>
      <c r="J542" s="91"/>
    </row>
    <row r="543">
      <c r="B543" s="76" t="str">
        <f>IFERROR(__xludf.DUMMYFUNCTION("""COMPUTED_VALUE"""),"Check api id from database and download jrmxl file                                    ")</f>
        <v>Check api id from database and download jrmxl file                                    </v>
      </c>
      <c r="C543" s="82">
        <f>IFERROR(__xludf.DUMMYFUNCTION("""COMPUTED_VALUE"""),5003.0)</f>
        <v>5003</v>
      </c>
      <c r="D543" s="76" t="str">
        <f>IFERROR(__xludf.DUMMYFUNCTION("""COMPUTED_VALUE"""),"NEW formate mrksheet correction")</f>
        <v>NEW formate mrksheet correction</v>
      </c>
      <c r="E543" s="84">
        <f>IFERROR(__xludf.DUMMYFUNCTION("""COMPUTED_VALUE"""),46097.45469907408)</f>
        <v>46097.4547</v>
      </c>
      <c r="F543" s="86">
        <f>IFERROR(__xludf.DUMMYFUNCTION("""COMPUTED_VALUE"""),46097.4321990625)</f>
        <v>46097.4322</v>
      </c>
      <c r="G543" s="86" t="str">
        <f>IFERROR(__xludf.DUMMYFUNCTION("""COMPUTED_VALUE"""),"Done")</f>
        <v>Done</v>
      </c>
      <c r="H543" s="88">
        <f>IFERROR(__xludf.DUMMYFUNCTION("""COMPUTED_VALUE"""),0.0)</f>
        <v>0</v>
      </c>
      <c r="I543" s="90" t="str">
        <f>IFERROR(__xludf.DUMMYFUNCTION("""COMPUTED_VALUE"""),"EMP0237 Swarnendu Chakraborty")</f>
        <v>EMP0237 Swarnendu Chakraborty</v>
      </c>
      <c r="J543" s="91"/>
    </row>
    <row r="544">
      <c r="B544" s="76" t="str">
        <f>IFERROR(__xludf.DUMMYFUNCTION("""COMPUTED_VALUE"""),"Check api id from database and download jrmxl file                                    ")</f>
        <v>Check api id from database and download jrmxl file                                    </v>
      </c>
      <c r="C544" s="82">
        <f>IFERROR(__xludf.DUMMYFUNCTION("""COMPUTED_VALUE"""),5004.0)</f>
        <v>5004</v>
      </c>
      <c r="D544" s="76" t="str">
        <f>IFERROR(__xludf.DUMMYFUNCTION("""COMPUTED_VALUE"""),"FINAL CERTIFICATE")</f>
        <v>FINAL CERTIFICATE</v>
      </c>
      <c r="E544" s="84">
        <f>IFERROR(__xludf.DUMMYFUNCTION("""COMPUTED_VALUE"""),46097.691019861115)</f>
        <v>46097.69102</v>
      </c>
      <c r="F544" s="86">
        <f>IFERROR(__xludf.DUMMYFUNCTION("""COMPUTED_VALUE"""),46097.53592241898)</f>
        <v>46097.53592</v>
      </c>
      <c r="G544" s="86" t="str">
        <f>IFERROR(__xludf.DUMMYFUNCTION("""COMPUTED_VALUE"""),"Done")</f>
        <v>Done</v>
      </c>
      <c r="H544" s="88">
        <f>IFERROR(__xludf.DUMMYFUNCTION("""COMPUTED_VALUE"""),0.0)</f>
        <v>0</v>
      </c>
      <c r="I544" s="90" t="str">
        <f>IFERROR(__xludf.DUMMYFUNCTION("""COMPUTED_VALUE"""),"EMP5009 Rup Kumar Mandal")</f>
        <v>EMP5009 Rup Kumar Mandal</v>
      </c>
      <c r="J544" s="91"/>
    </row>
    <row r="545">
      <c r="B545" s="76" t="str">
        <f>IFERROR(__xludf.DUMMYFUNCTION("""COMPUTED_VALUE"""),"Check api id from database and download jrmxl file                                    ")</f>
        <v>Check api id from database and download jrmxl file                                    </v>
      </c>
      <c r="C545" s="82">
        <f>IFERROR(__xludf.DUMMYFUNCTION("""COMPUTED_VALUE"""),5005.0)</f>
        <v>5005</v>
      </c>
      <c r="D545" s="76" t="str">
        <f>IFERROR(__xludf.DUMMYFUNCTION("""COMPUTED_VALUE"""),"attendance sheet")</f>
        <v>attendance sheet</v>
      </c>
      <c r="E545" s="84">
        <f>IFERROR(__xludf.DUMMYFUNCTION("""COMPUTED_VALUE"""),46097.790164571765)</f>
        <v>46097.79016</v>
      </c>
      <c r="F545" s="86">
        <f>IFERROR(__xludf.DUMMYFUNCTION("""COMPUTED_VALUE"""),46097.67564994213)</f>
        <v>46097.67565</v>
      </c>
      <c r="G545" s="86" t="str">
        <f>IFERROR(__xludf.DUMMYFUNCTION("""COMPUTED_VALUE"""),"Done")</f>
        <v>Done</v>
      </c>
      <c r="H545" s="88">
        <f>IFERROR(__xludf.DUMMYFUNCTION("""COMPUTED_VALUE"""),0.0)</f>
        <v>0</v>
      </c>
      <c r="I545" s="90" t="str">
        <f>IFERROR(__xludf.DUMMYFUNCTION("""COMPUTED_VALUE"""),"EMP0021 Tamanna Dewangan")</f>
        <v>EMP0021 Tamanna Dewangan</v>
      </c>
      <c r="J545" s="91"/>
    </row>
    <row r="546">
      <c r="B546" s="76" t="str">
        <f>IFERROR(__xludf.DUMMYFUNCTION("""COMPUTED_VALUE"""),"Check api id from database and download jrmxl file                                    ")</f>
        <v>Check api id from database and download jrmxl file                                    </v>
      </c>
      <c r="C546" s="82">
        <f>IFERROR(__xludf.DUMMYFUNCTION("""COMPUTED_VALUE"""),5006.0)</f>
        <v>5006</v>
      </c>
      <c r="D546" s="76" t="str">
        <f>IFERROR(__xludf.DUMMYFUNCTION("""COMPUTED_VALUE"""),"NEP TR M.A HINDI &amp; SANSKRIT")</f>
        <v>NEP TR M.A HINDI &amp; SANSKRIT</v>
      </c>
      <c r="E546" s="84">
        <f>IFERROR(__xludf.DUMMYFUNCTION("""COMPUTED_VALUE"""),46099.48402777778)</f>
        <v>46099.48403</v>
      </c>
      <c r="F546" s="86">
        <f>IFERROR(__xludf.DUMMYFUNCTION("""COMPUTED_VALUE"""),46098.7896972338)</f>
        <v>46098.7897</v>
      </c>
      <c r="G546" s="86" t="str">
        <f>IFERROR(__xludf.DUMMYFUNCTION("""COMPUTED_VALUE"""),"Done")</f>
        <v>Done</v>
      </c>
      <c r="H546" s="88">
        <f>IFERROR(__xludf.DUMMYFUNCTION("""COMPUTED_VALUE"""),0.0)</f>
        <v>0</v>
      </c>
      <c r="I546" s="90" t="str">
        <f>IFERROR(__xludf.DUMMYFUNCTION("""COMPUTED_VALUE"""),"EMP0042 HULESHWAR KUMAR SAHU")</f>
        <v>EMP0042 HULESHWAR KUMAR SAHU</v>
      </c>
      <c r="J546" s="91"/>
    </row>
    <row r="547">
      <c r="B547" s="76" t="str">
        <f>IFERROR(__xludf.DUMMYFUNCTION("""COMPUTED_VALUE"""),"Check api id from database and download jrmxl file                                    ")</f>
        <v>Check api id from database and download jrmxl file                                    </v>
      </c>
      <c r="C547" s="82">
        <f>IFERROR(__xludf.DUMMYFUNCTION("""COMPUTED_VALUE"""),5007.0)</f>
        <v>5007</v>
      </c>
      <c r="D547" s="76" t="str">
        <f>IFERROR(__xludf.DUMMYFUNCTION("""COMPUTED_VALUE"""),"Grade Card (B.PHARMA)")</f>
        <v>Grade Card (B.PHARMA)</v>
      </c>
      <c r="E547" s="84">
        <f>IFERROR(__xludf.DUMMYFUNCTION("""COMPUTED_VALUE"""),46099.48541666666)</f>
        <v>46099.48542</v>
      </c>
      <c r="F547" s="86">
        <f>IFERROR(__xludf.DUMMYFUNCTION("""COMPUTED_VALUE"""),46098.78972939815)</f>
        <v>46098.78973</v>
      </c>
      <c r="G547" s="86" t="str">
        <f>IFERROR(__xludf.DUMMYFUNCTION("""COMPUTED_VALUE"""),"Done")</f>
        <v>Done</v>
      </c>
      <c r="H547" s="88">
        <f>IFERROR(__xludf.DUMMYFUNCTION("""COMPUTED_VALUE"""),0.0)</f>
        <v>0</v>
      </c>
      <c r="I547" s="90" t="str">
        <f>IFERROR(__xludf.DUMMYFUNCTION("""COMPUTED_VALUE"""),"EMP0042 HULESHWAR KUMAR SAHU")</f>
        <v>EMP0042 HULESHWAR KUMAR SAHU</v>
      </c>
      <c r="J547" s="91"/>
    </row>
    <row r="548">
      <c r="B548" s="76" t="str">
        <f>IFERROR(__xludf.DUMMYFUNCTION("""COMPUTED_VALUE"""),"Check api id from database and download jrmxl file                                    ")</f>
        <v>Check api id from database and download jrmxl file                                    </v>
      </c>
      <c r="C548" s="82">
        <f>IFERROR(__xludf.DUMMYFUNCTION("""COMPUTED_VALUE"""),5008.0)</f>
        <v>5008</v>
      </c>
      <c r="D548" s="76" t="str">
        <f>IFERROR(__xludf.DUMMYFUNCTION("""COMPUTED_VALUE"""),"NEP SUMMARY 3RD SEM M.A HINDI")</f>
        <v>NEP SUMMARY 3RD SEM M.A HINDI</v>
      </c>
      <c r="E548" s="84">
        <f>IFERROR(__xludf.DUMMYFUNCTION("""COMPUTED_VALUE"""),46099.4875)</f>
        <v>46099.4875</v>
      </c>
      <c r="F548" s="86">
        <f>IFERROR(__xludf.DUMMYFUNCTION("""COMPUTED_VALUE"""),46098.789727233794)</f>
        <v>46098.78973</v>
      </c>
      <c r="G548" s="86" t="str">
        <f>IFERROR(__xludf.DUMMYFUNCTION("""COMPUTED_VALUE"""),"Done")</f>
        <v>Done</v>
      </c>
      <c r="H548" s="88">
        <f>IFERROR(__xludf.DUMMYFUNCTION("""COMPUTED_VALUE"""),0.0)</f>
        <v>0</v>
      </c>
      <c r="I548" s="90" t="str">
        <f>IFERROR(__xludf.DUMMYFUNCTION("""COMPUTED_VALUE"""),"EMP0042 HULESHWAR KUMAR SAHU")</f>
        <v>EMP0042 HULESHWAR KUMAR SAHU</v>
      </c>
      <c r="J548" s="91"/>
    </row>
    <row r="549">
      <c r="B549" s="76" t="str">
        <f>IFERROR(__xludf.DUMMYFUNCTION("""COMPUTED_VALUE"""),"Check api id from database and download jrmxl file                                    ")</f>
        <v>Check api id from database and download jrmxl file                                    </v>
      </c>
      <c r="C549" s="82">
        <f>IFERROR(__xludf.DUMMYFUNCTION("""COMPUTED_VALUE"""),5009.0)</f>
        <v>5009</v>
      </c>
      <c r="D549" s="76" t="str">
        <f>IFERROR(__xludf.DUMMYFUNCTION("""COMPUTED_VALUE"""),"NEP SCHEMA M.A SANSKRIT")</f>
        <v>NEP SCHEMA M.A SANSKRIT</v>
      </c>
      <c r="E549" s="84">
        <f>IFERROR(__xludf.DUMMYFUNCTION("""COMPUTED_VALUE"""),46099.49097222222)</f>
        <v>46099.49097</v>
      </c>
      <c r="F549" s="86">
        <f>IFERROR(__xludf.DUMMYFUNCTION("""COMPUTED_VALUE"""),46098.78975244213)</f>
        <v>46098.78975</v>
      </c>
      <c r="G549" s="86" t="str">
        <f>IFERROR(__xludf.DUMMYFUNCTION("""COMPUTED_VALUE"""),"Done")</f>
        <v>Done</v>
      </c>
      <c r="H549" s="88">
        <f>IFERROR(__xludf.DUMMYFUNCTION("""COMPUTED_VALUE"""),0.0)</f>
        <v>0</v>
      </c>
      <c r="I549" s="90" t="str">
        <f>IFERROR(__xludf.DUMMYFUNCTION("""COMPUTED_VALUE"""),"EMP0042 HULESHWAR KUMAR SAHU")</f>
        <v>EMP0042 HULESHWAR KUMAR SAHU</v>
      </c>
      <c r="J549" s="91"/>
    </row>
    <row r="550">
      <c r="B550" s="76" t="str">
        <f>IFERROR(__xludf.DUMMYFUNCTION("""COMPUTED_VALUE"""),"Check api id from database and download jrmxl file                                    ")</f>
        <v>Check api id from database and download jrmxl file                                    </v>
      </c>
      <c r="C550" s="82">
        <f>IFERROR(__xludf.DUMMYFUNCTION("""COMPUTED_VALUE"""),5010.0)</f>
        <v>5010</v>
      </c>
      <c r="D550" s="76" t="str">
        <f>IFERROR(__xludf.DUMMYFUNCTION("""COMPUTED_VALUE"""),"NEP MA SANSKRIT 3RD SEM  MARKSHEET ")</f>
        <v>NEP MA SANSKRIT 3RD SEM  MARKSHEET </v>
      </c>
      <c r="E550" s="84">
        <f>IFERROR(__xludf.DUMMYFUNCTION("""COMPUTED_VALUE"""),46099.493055555555)</f>
        <v>46099.49306</v>
      </c>
      <c r="F550" s="86">
        <f>IFERROR(__xludf.DUMMYFUNCTION("""COMPUTED_VALUE"""),46098.78977755787)</f>
        <v>46098.78978</v>
      </c>
      <c r="G550" s="86" t="str">
        <f>IFERROR(__xludf.DUMMYFUNCTION("""COMPUTED_VALUE"""),"Done")</f>
        <v>Done</v>
      </c>
      <c r="H550" s="88">
        <f>IFERROR(__xludf.DUMMYFUNCTION("""COMPUTED_VALUE"""),0.0)</f>
        <v>0</v>
      </c>
      <c r="I550" s="90" t="str">
        <f>IFERROR(__xludf.DUMMYFUNCTION("""COMPUTED_VALUE"""),"EMP0021 Tamanna Dewangan")</f>
        <v>EMP0021 Tamanna Dewangan</v>
      </c>
      <c r="J550" s="91"/>
    </row>
    <row r="551">
      <c r="B551" s="76" t="str">
        <f>IFERROR(__xludf.DUMMYFUNCTION("""COMPUTED_VALUE"""),"Check api id from database and download jrmxl file                                    ")</f>
        <v>Check api id from database and download jrmxl file                                    </v>
      </c>
      <c r="C551" s="82">
        <f>IFERROR(__xludf.DUMMYFUNCTION("""COMPUTED_VALUE"""),5011.0)</f>
        <v>5011</v>
      </c>
      <c r="D551" s="76" t="str">
        <f>IFERROR(__xludf.DUMMYFUNCTION("""COMPUTED_VALUE"""),"Tabulation Report BPH (LE) 3rd sem")</f>
        <v>Tabulation Report BPH (LE) 3rd sem</v>
      </c>
      <c r="E551" s="84">
        <f>IFERROR(__xludf.DUMMYFUNCTION("""COMPUTED_VALUE"""),46099.63681578703)</f>
        <v>46099.63682</v>
      </c>
      <c r="F551" s="86">
        <f>IFERROR(__xludf.DUMMYFUNCTION("""COMPUTED_VALUE"""),46099.487348449074)</f>
        <v>46099.48735</v>
      </c>
      <c r="G551" s="86" t="str">
        <f>IFERROR(__xludf.DUMMYFUNCTION("""COMPUTED_VALUE"""),"Done")</f>
        <v>Done</v>
      </c>
      <c r="H551" s="88">
        <f>IFERROR(__xludf.DUMMYFUNCTION("""COMPUTED_VALUE"""),0.0)</f>
        <v>0</v>
      </c>
      <c r="I551" s="90" t="str">
        <f>IFERROR(__xludf.DUMMYFUNCTION("""COMPUTED_VALUE"""),"EMP5009 Rup Kumar Mandal")</f>
        <v>EMP5009 Rup Kumar Mandal</v>
      </c>
      <c r="J551" s="91"/>
    </row>
    <row r="552">
      <c r="B552" s="76" t="str">
        <f>IFERROR(__xludf.DUMMYFUNCTION("""COMPUTED_VALUE"""),"Check api id from database and download jrmxl file                                    ")</f>
        <v>Check api id from database and download jrmxl file                                    </v>
      </c>
      <c r="C552" s="82">
        <f>IFERROR(__xludf.DUMMYFUNCTION("""COMPUTED_VALUE"""),5012.0)</f>
        <v>5012</v>
      </c>
      <c r="D552" s="76" t="str">
        <f>IFERROR(__xludf.DUMMYFUNCTION("""COMPUTED_VALUE"""),"TR")</f>
        <v>TR</v>
      </c>
      <c r="E552" s="84">
        <f>IFERROR(__xludf.DUMMYFUNCTION("""COMPUTED_VALUE"""),46100.647872939815)</f>
        <v>46100.64787</v>
      </c>
      <c r="F552" s="86">
        <f>IFERROR(__xludf.DUMMYFUNCTION("""COMPUTED_VALUE"""),46100.61345309028)</f>
        <v>46100.61345</v>
      </c>
      <c r="G552" s="86" t="str">
        <f>IFERROR(__xludf.DUMMYFUNCTION("""COMPUTED_VALUE"""),"Done")</f>
        <v>Done</v>
      </c>
      <c r="H552" s="88">
        <f>IFERROR(__xludf.DUMMYFUNCTION("""COMPUTED_VALUE"""),0.0)</f>
        <v>0</v>
      </c>
      <c r="I552" s="90" t="str">
        <f>IFERROR(__xludf.DUMMYFUNCTION("""COMPUTED_VALUE"""),"EMP0042 HULESHWAR KUMAR SAHU")</f>
        <v>EMP0042 HULESHWAR KUMAR SAHU</v>
      </c>
      <c r="J552" s="91"/>
    </row>
    <row r="553">
      <c r="B553" s="76" t="str">
        <f>IFERROR(__xludf.DUMMYFUNCTION("""COMPUTED_VALUE"""),"Check api id from database and download jrmxl file                                    ")</f>
        <v>Check api id from database and download jrmxl file                                    </v>
      </c>
      <c r="C553" s="82">
        <f>IFERROR(__xludf.DUMMYFUNCTION("""COMPUTED_VALUE"""),5013.0)</f>
        <v>5013</v>
      </c>
      <c r="D553" s="76" t="str">
        <f>IFERROR(__xludf.DUMMYFUNCTION("""COMPUTED_VALUE"""),"Student wise data add new culum session")</f>
        <v>Student wise data add new culum session</v>
      </c>
      <c r="E553" s="84">
        <f>IFERROR(__xludf.DUMMYFUNCTION("""COMPUTED_VALUE"""),46100.80695144676)</f>
        <v>46100.80695</v>
      </c>
      <c r="F553" s="86">
        <f>IFERROR(__xludf.DUMMYFUNCTION("""COMPUTED_VALUE"""),46100.64553696759)</f>
        <v>46100.64554</v>
      </c>
      <c r="G553" s="86" t="str">
        <f>IFERROR(__xludf.DUMMYFUNCTION("""COMPUTED_VALUE"""),"Done")</f>
        <v>Done</v>
      </c>
      <c r="H553" s="88">
        <f>IFERROR(__xludf.DUMMYFUNCTION("""COMPUTED_VALUE"""),0.0)</f>
        <v>0</v>
      </c>
      <c r="I553" s="90" t="str">
        <f>IFERROR(__xludf.DUMMYFUNCTION("""COMPUTED_VALUE"""),"EMP5009 Rup Kumar Mandal")</f>
        <v>EMP5009 Rup Kumar Mandal</v>
      </c>
      <c r="J553" s="91"/>
    </row>
    <row r="554">
      <c r="B554" s="76" t="str">
        <f>IFERROR(__xludf.DUMMYFUNCTION("""COMPUTED_VALUE"""),"Check api id from database and download jrmxl file                                    ")</f>
        <v>Check api id from database and download jrmxl file                                    </v>
      </c>
      <c r="C554" s="82">
        <f>IFERROR(__xludf.DUMMYFUNCTION("""COMPUTED_VALUE"""),5014.0)</f>
        <v>5014</v>
      </c>
      <c r="D554" s="76" t="str">
        <f>IFERROR(__xludf.DUMMYFUNCTION("""COMPUTED_VALUE"""),"MULTIPLE REPORT")</f>
        <v>MULTIPLE REPORT</v>
      </c>
      <c r="E554" s="84">
        <f>IFERROR(__xludf.DUMMYFUNCTION("""COMPUTED_VALUE"""),46100.47222222222)</f>
        <v>46100.47222</v>
      </c>
      <c r="F554" s="86">
        <f>IFERROR(__xludf.DUMMYFUNCTION("""COMPUTED_VALUE"""),46100.77139840278)</f>
        <v>46100.7714</v>
      </c>
      <c r="G554" s="86" t="str">
        <f>IFERROR(__xludf.DUMMYFUNCTION("""COMPUTED_VALUE"""),"Done")</f>
        <v>Done</v>
      </c>
      <c r="H554" s="88">
        <f>IFERROR(__xludf.DUMMYFUNCTION("""COMPUTED_VALUE"""),0.29917618055647716)</f>
        <v>0.2991761806</v>
      </c>
      <c r="I554" s="90" t="str">
        <f>IFERROR(__xludf.DUMMYFUNCTION("""COMPUTED_VALUE"""),"EMP0042 HULESHWAR KUMAR SAHU")</f>
        <v>EMP0042 HULESHWAR KUMAR SAHU</v>
      </c>
      <c r="J554" s="91"/>
    </row>
    <row r="555">
      <c r="B555" s="76" t="str">
        <f>IFERROR(__xludf.DUMMYFUNCTION("""COMPUTED_VALUE"""),"Check api id from database and download jrmxl file                                    ")</f>
        <v>Check api id from database and download jrmxl file                                    </v>
      </c>
      <c r="C555" s="82">
        <f>IFERROR(__xludf.DUMMYFUNCTION("""COMPUTED_VALUE"""),5015.0)</f>
        <v>5015</v>
      </c>
      <c r="D555" s="76" t="str">
        <f>IFERROR(__xludf.DUMMYFUNCTION("""COMPUTED_VALUE"""),"ENROLLMENT REPORT")</f>
        <v>ENROLLMENT REPORT</v>
      </c>
      <c r="E555" s="84">
        <f>IFERROR(__xludf.DUMMYFUNCTION("""COMPUTED_VALUE"""),46102.55555150463)</f>
        <v>46102.55555</v>
      </c>
      <c r="F555" s="86">
        <f>IFERROR(__xludf.DUMMYFUNCTION("""COMPUTED_VALUE"""),46101.72222222222)</f>
        <v>46101.72222</v>
      </c>
      <c r="G555" s="86" t="str">
        <f>IFERROR(__xludf.DUMMYFUNCTION("""COMPUTED_VALUE"""),"Done")</f>
        <v>Done</v>
      </c>
      <c r="H555" s="88">
        <f>IFERROR(__xludf.DUMMYFUNCTION("""COMPUTED_VALUE"""),0.0)</f>
        <v>0</v>
      </c>
      <c r="I555" s="90" t="str">
        <f>IFERROR(__xludf.DUMMYFUNCTION("""COMPUTED_VALUE"""),"EMP0021 Tamanna Dewangan")</f>
        <v>EMP0021 Tamanna Dewangan</v>
      </c>
      <c r="J555" s="91"/>
    </row>
    <row r="556">
      <c r="B556" s="76" t="str">
        <f>IFERROR(__xludf.DUMMYFUNCTION("""COMPUTED_VALUE"""),"Check api id from database and download jrmxl file                                    ")</f>
        <v>Check api id from database and download jrmxl file                                    </v>
      </c>
      <c r="C556" s="82">
        <f>IFERROR(__xludf.DUMMYFUNCTION("""COMPUTED_VALUE"""),5016.0)</f>
        <v>5016</v>
      </c>
      <c r="D556" s="76" t="str">
        <f>IFERROR(__xludf.DUMMYFUNCTION("""COMPUTED_VALUE"""),"NEP MISSING REPORT STEP-5(PRE-PROCESSING ERROR)")</f>
        <v>NEP MISSING REPORT STEP-5(PRE-PROCESSING ERROR)</v>
      </c>
      <c r="E556" s="84">
        <f>IFERROR(__xludf.DUMMYFUNCTION("""COMPUTED_VALUE"""),46104.49097222222)</f>
        <v>46104.49097</v>
      </c>
      <c r="F556" s="86">
        <f>IFERROR(__xludf.DUMMYFUNCTION("""COMPUTED_VALUE"""),46101.7361828588)</f>
        <v>46101.73618</v>
      </c>
      <c r="G556" s="86" t="str">
        <f>IFERROR(__xludf.DUMMYFUNCTION("""COMPUTED_VALUE"""),"Done")</f>
        <v>Done</v>
      </c>
      <c r="H556" s="88">
        <f>IFERROR(__xludf.DUMMYFUNCTION("""COMPUTED_VALUE"""),0.0)</f>
        <v>0</v>
      </c>
      <c r="I556" s="90" t="str">
        <f>IFERROR(__xludf.DUMMYFUNCTION("""COMPUTED_VALUE"""),"EMP0237 Swarnendu Chakraborty")</f>
        <v>EMP0237 Swarnendu Chakraborty</v>
      </c>
      <c r="J556" s="91"/>
    </row>
    <row r="557">
      <c r="B557" s="76" t="str">
        <f>IFERROR(__xludf.DUMMYFUNCTION("""COMPUTED_VALUE"""),"Check api id from database and download jrmxl file                                    ")</f>
        <v>Check api id from database and download jrmxl file                                    </v>
      </c>
      <c r="C557" s="82">
        <f>IFERROR(__xludf.DUMMYFUNCTION("""COMPUTED_VALUE"""),5017.0)</f>
        <v>5017</v>
      </c>
      <c r="D557" s="76" t="str">
        <f>IFERROR(__xludf.DUMMYFUNCTION("""COMPUTED_VALUE"""),"	CERTIFICATE")</f>
        <v>	CERTIFICATE</v>
      </c>
      <c r="E557" s="84">
        <f>IFERROR(__xludf.DUMMYFUNCTION("""COMPUTED_VALUE"""),46104.523611111115)</f>
        <v>46104.52361</v>
      </c>
      <c r="F557" s="86">
        <f>IFERROR(__xludf.DUMMYFUNCTION("""COMPUTED_VALUE"""),46101.774941585645)</f>
        <v>46101.77494</v>
      </c>
      <c r="G557" s="86" t="str">
        <f>IFERROR(__xludf.DUMMYFUNCTION("""COMPUTED_VALUE"""),"Done")</f>
        <v>Done</v>
      </c>
      <c r="H557" s="88">
        <f>IFERROR(__xludf.DUMMYFUNCTION("""COMPUTED_VALUE"""),0.0)</f>
        <v>0</v>
      </c>
      <c r="I557" s="90" t="str">
        <f>IFERROR(__xludf.DUMMYFUNCTION("""COMPUTED_VALUE"""),"EMP0237 Swarnendu Chakraborty")</f>
        <v>EMP0237 Swarnendu Chakraborty</v>
      </c>
      <c r="J557" s="91"/>
    </row>
    <row r="558">
      <c r="B558" s="76" t="str">
        <f>IFERROR(__xludf.DUMMYFUNCTION("""COMPUTED_VALUE"""),"Check api id from database and download jrmxl file                                    ")</f>
        <v>Check api id from database and download jrmxl file                                    </v>
      </c>
      <c r="C558" s="82">
        <f>IFERROR(__xludf.DUMMYFUNCTION("""COMPUTED_VALUE"""),5018.0)</f>
        <v>5018</v>
      </c>
      <c r="D558" s="76" t="str">
        <f>IFERROR(__xludf.DUMMYFUNCTION("""COMPUTED_VALUE"""),"CERTIFICATE")</f>
        <v>CERTIFICATE</v>
      </c>
      <c r="E558" s="84">
        <f>IFERROR(__xludf.DUMMYFUNCTION("""COMPUTED_VALUE"""),46104.81484554398)</f>
        <v>46104.81485</v>
      </c>
      <c r="F558" s="86">
        <f>IFERROR(__xludf.DUMMYFUNCTION("""COMPUTED_VALUE"""),46104.65303994213)</f>
        <v>46104.65304</v>
      </c>
      <c r="G558" s="86" t="str">
        <f>IFERROR(__xludf.DUMMYFUNCTION("""COMPUTED_VALUE"""),"Done")</f>
        <v>Done</v>
      </c>
      <c r="H558" s="88">
        <f>IFERROR(__xludf.DUMMYFUNCTION("""COMPUTED_VALUE"""),0.0)</f>
        <v>0</v>
      </c>
      <c r="I558" s="90" t="str">
        <f>IFERROR(__xludf.DUMMYFUNCTION("""COMPUTED_VALUE"""),"EMP0042 HULESHWAR KUMAR SAHU")</f>
        <v>EMP0042 HULESHWAR KUMAR SAHU</v>
      </c>
      <c r="J558" s="91"/>
    </row>
    <row r="559">
      <c r="B559" s="76" t="str">
        <f>IFERROR(__xludf.DUMMYFUNCTION("""COMPUTED_VALUE"""),"Check api id from database and download jrmxl file                                    ")</f>
        <v>Check api id from database and download jrmxl file                                    </v>
      </c>
      <c r="C559" s="82">
        <f>IFERROR(__xludf.DUMMYFUNCTION("""COMPUTED_VALUE"""),5019.0)</f>
        <v>5019</v>
      </c>
      <c r="D559" s="76" t="str">
        <f>IFERROR(__xludf.DUMMYFUNCTION("""COMPUTED_VALUE"""),"MARKSHEET DMC 05 INTEREGATED 6TH SEM")</f>
        <v>MARKSHEET DMC 05 INTEREGATED 6TH SEM</v>
      </c>
      <c r="E559" s="84">
        <f>IFERROR(__xludf.DUMMYFUNCTION("""COMPUTED_VALUE"""),46105.45416666666)</f>
        <v>46105.45417</v>
      </c>
      <c r="F559" s="86">
        <f>IFERROR(__xludf.DUMMYFUNCTION("""COMPUTED_VALUE"""),46104.73477961806)</f>
        <v>46104.73478</v>
      </c>
      <c r="G559" s="86" t="str">
        <f>IFERROR(__xludf.DUMMYFUNCTION("""COMPUTED_VALUE"""),"Done")</f>
        <v>Done</v>
      </c>
      <c r="H559" s="88">
        <f>IFERROR(__xludf.DUMMYFUNCTION("""COMPUTED_VALUE"""),0.0)</f>
        <v>0</v>
      </c>
      <c r="I559" s="90" t="str">
        <f>IFERROR(__xludf.DUMMYFUNCTION("""COMPUTED_VALUE"""),"EMP0237 Swarnendu Chakraborty")</f>
        <v>EMP0237 Swarnendu Chakraborty</v>
      </c>
      <c r="J559" s="91"/>
    </row>
    <row r="560">
      <c r="B560" s="76" t="str">
        <f>IFERROR(__xludf.DUMMYFUNCTION("""COMPUTED_VALUE"""),"Check api id from database and download jrmxl file                                    ")</f>
        <v>Check api id from database and download jrmxl file                                    </v>
      </c>
      <c r="C560" s="82">
        <f>IFERROR(__xludf.DUMMYFUNCTION("""COMPUTED_VALUE"""),5020.0)</f>
        <v>5020</v>
      </c>
      <c r="D560" s="76" t="str">
        <f>IFERROR(__xludf.DUMMYFUNCTION("""COMPUTED_VALUE"""),"Marksheet please upate the logo and signeture")</f>
        <v>Marksheet please upate the logo and signeture</v>
      </c>
      <c r="E560" s="84">
        <f>IFERROR(__xludf.DUMMYFUNCTION("""COMPUTED_VALUE"""),46105.475)</f>
        <v>46105.475</v>
      </c>
      <c r="F560" s="86">
        <f>IFERROR(__xludf.DUMMYFUNCTION("""COMPUTED_VALUE"""),46104.73488641204)</f>
        <v>46104.73489</v>
      </c>
      <c r="G560" s="86" t="str">
        <f>IFERROR(__xludf.DUMMYFUNCTION("""COMPUTED_VALUE"""),"Done")</f>
        <v>Done</v>
      </c>
      <c r="H560" s="88">
        <f>IFERROR(__xludf.DUMMYFUNCTION("""COMPUTED_VALUE"""),0.0)</f>
        <v>0</v>
      </c>
      <c r="I560" s="90" t="str">
        <f>IFERROR(__xludf.DUMMYFUNCTION("""COMPUTED_VALUE"""),"EMP5009 Rup Kumar Mandal")</f>
        <v>EMP5009 Rup Kumar Mandal</v>
      </c>
      <c r="J560" s="91"/>
    </row>
    <row r="561">
      <c r="B561" s="76" t="str">
        <f>IFERROR(__xludf.DUMMYFUNCTION("""COMPUTED_VALUE"""),"Check api id from database and download jrmxl file                                    ")</f>
        <v>Check api id from database and download jrmxl file                                    </v>
      </c>
      <c r="C561" s="82">
        <f>IFERROR(__xludf.DUMMYFUNCTION("""COMPUTED_VALUE"""),5021.0)</f>
        <v>5021</v>
      </c>
      <c r="D561" s="76" t="str">
        <f>IFERROR(__xludf.DUMMYFUNCTION("""COMPUTED_VALUE"""),"MArksheet correction acoding to atteched file and dicsuction")</f>
        <v>MArksheet correction acoding to atteched file and dicsuction</v>
      </c>
      <c r="E561" s="84">
        <f>IFERROR(__xludf.DUMMYFUNCTION("""COMPUTED_VALUE"""),46106.45)</f>
        <v>46106.45</v>
      </c>
      <c r="F561" s="86">
        <f>IFERROR(__xludf.DUMMYFUNCTION("""COMPUTED_VALUE"""),46105.695837499996)</f>
        <v>46105.69584</v>
      </c>
      <c r="G561" s="86" t="str">
        <f>IFERROR(__xludf.DUMMYFUNCTION("""COMPUTED_VALUE"""),"Done")</f>
        <v>Done</v>
      </c>
      <c r="H561" s="88">
        <f>IFERROR(__xludf.DUMMYFUNCTION("""COMPUTED_VALUE"""),0.0)</f>
        <v>0</v>
      </c>
      <c r="I561" s="90" t="str">
        <f>IFERROR(__xludf.DUMMYFUNCTION("""COMPUTED_VALUE"""),"EMP0237 Swarnendu Chakraborty")</f>
        <v>EMP0237 Swarnendu Chakraborty</v>
      </c>
      <c r="J561" s="91"/>
    </row>
    <row r="562">
      <c r="B562" s="76" t="str">
        <f>IFERROR(__xludf.DUMMYFUNCTION("""COMPUTED_VALUE"""),"Check api id from database and download jrmxl file                                    ")</f>
        <v>Check api id from database and download jrmxl file                                    </v>
      </c>
      <c r="C562" s="82">
        <f>IFERROR(__xludf.DUMMYFUNCTION("""COMPUTED_VALUE"""),5022.0)</f>
        <v>5022</v>
      </c>
      <c r="D562" s="76" t="str">
        <f>IFERROR(__xludf.DUMMYFUNCTION("""COMPUTED_VALUE"""),"TR")</f>
        <v>TR</v>
      </c>
      <c r="E562" s="84">
        <f>IFERROR(__xludf.DUMMYFUNCTION("""COMPUTED_VALUE"""),46106.635861400464)</f>
        <v>46106.63586</v>
      </c>
      <c r="F562" s="86">
        <f>IFERROR(__xludf.DUMMYFUNCTION("""COMPUTED_VALUE"""),46106.484578206015)</f>
        <v>46106.48458</v>
      </c>
      <c r="G562" s="86" t="str">
        <f>IFERROR(__xludf.DUMMYFUNCTION("""COMPUTED_VALUE"""),"Done")</f>
        <v>Done</v>
      </c>
      <c r="H562" s="88">
        <f>IFERROR(__xludf.DUMMYFUNCTION("""COMPUTED_VALUE"""),0.0)</f>
        <v>0</v>
      </c>
      <c r="I562" s="90" t="str">
        <f>IFERROR(__xludf.DUMMYFUNCTION("""COMPUTED_VALUE"""),"EMP0042 HULESHWAR KUMAR SAHU")</f>
        <v>EMP0042 HULESHWAR KUMAR SAHU</v>
      </c>
      <c r="J562" s="91"/>
    </row>
    <row r="563">
      <c r="B563" s="76" t="str">
        <f>IFERROR(__xludf.DUMMYFUNCTION("""COMPUTED_VALUE"""),"Check api id from database and download jrmxl file                                    ")</f>
        <v>Check api id from database and download jrmxl file                                    </v>
      </c>
      <c r="C563" s="82">
        <f>IFERROR(__xludf.DUMMYFUNCTION("""COMPUTED_VALUE"""),5023.0)</f>
        <v>5023</v>
      </c>
      <c r="D563" s="76" t="str">
        <f>IFERROR(__xludf.DUMMYFUNCTION("""COMPUTED_VALUE"""),"Mark Is Greater Than Max mark(Step 7) First Semester ( Sem - 1) BACHELOR OF COMMERCE B.COM_SE02")</f>
        <v>Mark Is Greater Than Max mark(Step 7) First Semester ( Sem - 1) BACHELOR OF COMMERCE B.COM_SE02</v>
      </c>
      <c r="E563" s="84">
        <f>IFERROR(__xludf.DUMMYFUNCTION("""COMPUTED_VALUE"""),46106.8059368287)</f>
        <v>46106.80594</v>
      </c>
      <c r="F563" s="86">
        <f>IFERROR(__xludf.DUMMYFUNCTION("""COMPUTED_VALUE"""),46106.63613226852)</f>
        <v>46106.63613</v>
      </c>
      <c r="G563" s="86" t="str">
        <f>IFERROR(__xludf.DUMMYFUNCTION("""COMPUTED_VALUE"""),"Done")</f>
        <v>Done</v>
      </c>
      <c r="H563" s="88">
        <f>IFERROR(__xludf.DUMMYFUNCTION("""COMPUTED_VALUE"""),0.0)</f>
        <v>0</v>
      </c>
      <c r="I563" s="90" t="str">
        <f>IFERROR(__xludf.DUMMYFUNCTION("""COMPUTED_VALUE"""),"EMP0237 Swarnendu Chakraborty")</f>
        <v>EMP0237 Swarnendu Chakraborty</v>
      </c>
      <c r="J563" s="91"/>
    </row>
    <row r="564">
      <c r="B564" s="76" t="str">
        <f>IFERROR(__xludf.DUMMYFUNCTION("""COMPUTED_VALUE"""),"Check api id from database and download jrmxl file                                    ")</f>
        <v>Check api id from database and download jrmxl file                                    </v>
      </c>
      <c r="C564" s="82">
        <f>IFERROR(__xludf.DUMMYFUNCTION("""COMPUTED_VALUE"""),5024.0)</f>
        <v>5024</v>
      </c>
      <c r="D564" s="76" t="str">
        <f>IFERROR(__xludf.DUMMYFUNCTION("""COMPUTED_VALUE"""),"Multiple reports ")</f>
        <v>Multiple reports </v>
      </c>
      <c r="E564" s="84">
        <f>IFERROR(__xludf.DUMMYFUNCTION("""COMPUTED_VALUE"""),46106.810230497686)</f>
        <v>46106.81023</v>
      </c>
      <c r="F564" s="86">
        <f>IFERROR(__xludf.DUMMYFUNCTION("""COMPUTED_VALUE"""),46106.683739050924)</f>
        <v>46106.68374</v>
      </c>
      <c r="G564" s="86" t="str">
        <f>IFERROR(__xludf.DUMMYFUNCTION("""COMPUTED_VALUE"""),"Done")</f>
        <v>Done</v>
      </c>
      <c r="H564" s="88">
        <f>IFERROR(__xludf.DUMMYFUNCTION("""COMPUTED_VALUE"""),0.0)</f>
        <v>0</v>
      </c>
      <c r="I564" s="90" t="str">
        <f>IFERROR(__xludf.DUMMYFUNCTION("""COMPUTED_VALUE"""),"EMP0042 HULESHWAR KUMAR SAHU")</f>
        <v>EMP0042 HULESHWAR KUMAR SAHU</v>
      </c>
      <c r="J564" s="91"/>
    </row>
    <row r="565">
      <c r="B565" s="76" t="str">
        <f>IFERROR(__xludf.DUMMYFUNCTION("""COMPUTED_VALUE"""),"Check api id from database and download jrmxl file                                    ")</f>
        <v>Check api id from database and download jrmxl file                                    </v>
      </c>
      <c r="C565" s="82">
        <f>IFERROR(__xludf.DUMMYFUNCTION("""COMPUTED_VALUE"""),5025.0)</f>
        <v>5025</v>
      </c>
      <c r="D565" s="76" t="str">
        <f>IFERROR(__xludf.DUMMYFUNCTION("""COMPUTED_VALUE"""),"TR Format (Grading / Non-Grading) ")</f>
        <v>TR Format (Grading / Non-Grading) </v>
      </c>
      <c r="E565" s="84">
        <f>IFERROR(__xludf.DUMMYFUNCTION("""COMPUTED_VALUE"""),46107.46736111111)</f>
        <v>46107.46736</v>
      </c>
      <c r="F565" s="86">
        <f>IFERROR(__xludf.DUMMYFUNCTION("""COMPUTED_VALUE"""),46106.756232789354)</f>
        <v>46106.75623</v>
      </c>
      <c r="G565" s="86" t="str">
        <f>IFERROR(__xludf.DUMMYFUNCTION("""COMPUTED_VALUE"""),"Done")</f>
        <v>Done</v>
      </c>
      <c r="H565" s="88">
        <f>IFERROR(__xludf.DUMMYFUNCTION("""COMPUTED_VALUE"""),0.0)</f>
        <v>0</v>
      </c>
      <c r="I565" s="90" t="str">
        <f>IFERROR(__xludf.DUMMYFUNCTION("""COMPUTED_VALUE"""),"EMP5009 Rup Kumar Mandal")</f>
        <v>EMP5009 Rup Kumar Mandal</v>
      </c>
      <c r="J565" s="91"/>
    </row>
    <row r="566">
      <c r="B566" s="76" t="str">
        <f>IFERROR(__xludf.DUMMYFUNCTION("""COMPUTED_VALUE"""),"Check api id from database and download jrmxl file                                    ")</f>
        <v>Check api id from database and download jrmxl file                                    </v>
      </c>
      <c r="C566" s="82">
        <f>IFERROR(__xludf.DUMMYFUNCTION("""COMPUTED_VALUE"""),5026.0)</f>
        <v>5026</v>
      </c>
      <c r="D566" s="76" t="str">
        <f>IFERROR(__xludf.DUMMYFUNCTION("""COMPUTED_VALUE"""),"	Grade Card NEP (PG) ")</f>
        <v>	Grade Card NEP (PG) </v>
      </c>
      <c r="E566" s="84">
        <f>IFERROR(__xludf.DUMMYFUNCTION("""COMPUTED_VALUE"""),46107.475)</f>
        <v>46107.475</v>
      </c>
      <c r="F566" s="86">
        <f>IFERROR(__xludf.DUMMYFUNCTION("""COMPUTED_VALUE"""),46106.75625150463)</f>
        <v>46106.75625</v>
      </c>
      <c r="G566" s="86" t="str">
        <f>IFERROR(__xludf.DUMMYFUNCTION("""COMPUTED_VALUE"""),"Done")</f>
        <v>Done</v>
      </c>
      <c r="H566" s="88">
        <f>IFERROR(__xludf.DUMMYFUNCTION("""COMPUTED_VALUE"""),0.0)</f>
        <v>0</v>
      </c>
      <c r="I566" s="90" t="str">
        <f>IFERROR(__xludf.DUMMYFUNCTION("""COMPUTED_VALUE"""),"EMP5009 Rup Kumar Mandal")</f>
        <v>EMP5009 Rup Kumar Mandal</v>
      </c>
      <c r="J566" s="91"/>
    </row>
    <row r="567">
      <c r="B567" s="76" t="str">
        <f>IFERROR(__xludf.DUMMYFUNCTION("""COMPUTED_VALUE"""),"Check api id from database and download jrmxl file                                    ")</f>
        <v>Check api id from database and download jrmxl file                                    </v>
      </c>
      <c r="C567" s="82">
        <f>IFERROR(__xludf.DUMMYFUNCTION("""COMPUTED_VALUE"""),5027.0)</f>
        <v>5027</v>
      </c>
      <c r="D567" s="76" t="str">
        <f>IFERROR(__xludf.DUMMYFUNCTION("""COMPUTED_VALUE"""),"Result Recomendation")</f>
        <v>Result Recomendation</v>
      </c>
      <c r="E567" s="84">
        <f>IFERROR(__xludf.DUMMYFUNCTION("""COMPUTED_VALUE"""),46107.65480193287)</f>
        <v>46107.6548</v>
      </c>
      <c r="F567" s="86">
        <f>IFERROR(__xludf.DUMMYFUNCTION("""COMPUTED_VALUE"""),46107.488156921296)</f>
        <v>46107.48816</v>
      </c>
      <c r="G567" s="86" t="str">
        <f>IFERROR(__xludf.DUMMYFUNCTION("""COMPUTED_VALUE"""),"Done")</f>
        <v>Done</v>
      </c>
      <c r="H567" s="88">
        <f>IFERROR(__xludf.DUMMYFUNCTION("""COMPUTED_VALUE"""),0.0)</f>
        <v>0</v>
      </c>
      <c r="I567" s="90" t="str">
        <f>IFERROR(__xludf.DUMMYFUNCTION("""COMPUTED_VALUE"""),"EMP0042 HULESHWAR KUMAR SAHU")</f>
        <v>EMP0042 HULESHWAR KUMAR SAHU</v>
      </c>
      <c r="J567" s="91"/>
    </row>
    <row r="568">
      <c r="B568" s="76" t="str">
        <f>IFERROR(__xludf.DUMMYFUNCTION("""COMPUTED_VALUE"""),"Check api id from database and download jrmxl file                                    ")</f>
        <v>Check api id from database and download jrmxl file                                    </v>
      </c>
      <c r="C568" s="82">
        <f>IFERROR(__xludf.DUMMYFUNCTION("""COMPUTED_VALUE"""),5028.0)</f>
        <v>5028</v>
      </c>
      <c r="D568" s="76" t="str">
        <f>IFERROR(__xludf.DUMMYFUNCTION("""COMPUTED_VALUE"""),"ENROLLMENT REPORT")</f>
        <v>ENROLLMENT REPORT</v>
      </c>
      <c r="E568" s="84">
        <f>IFERROR(__xludf.DUMMYFUNCTION("""COMPUTED_VALUE"""),46107.67812378472)</f>
        <v>46107.67812</v>
      </c>
      <c r="F568" s="86">
        <f>IFERROR(__xludf.DUMMYFUNCTION("""COMPUTED_VALUE"""),46107.58434620371)</f>
        <v>46107.58435</v>
      </c>
      <c r="G568" s="86" t="str">
        <f>IFERROR(__xludf.DUMMYFUNCTION("""COMPUTED_VALUE"""),"Done")</f>
        <v>Done</v>
      </c>
      <c r="H568" s="88">
        <f>IFERROR(__xludf.DUMMYFUNCTION("""COMPUTED_VALUE"""),0.0)</f>
        <v>0</v>
      </c>
      <c r="I568" s="90" t="str">
        <f>IFERROR(__xludf.DUMMYFUNCTION("""COMPUTED_VALUE"""),"EMP5009 Rup Kumar Mandal")</f>
        <v>EMP5009 Rup Kumar Mandal</v>
      </c>
      <c r="J568" s="91"/>
    </row>
    <row r="569">
      <c r="B569" s="76" t="str">
        <f>IFERROR(__xludf.DUMMYFUNCTION("""COMPUTED_VALUE"""),"Check api id from database and download jrmxl file                                    ")</f>
        <v>Check api id from database and download jrmxl file                                    </v>
      </c>
      <c r="C569" s="82">
        <f>IFERROR(__xludf.DUMMYFUNCTION("""COMPUTED_VALUE"""),5029.0)</f>
        <v>5029</v>
      </c>
      <c r="D569" s="76" t="str">
        <f>IFERROR(__xludf.DUMMYFUNCTION("""COMPUTED_VALUE"""),"ENROLLMENT REPORT")</f>
        <v>ENROLLMENT REPORT</v>
      </c>
      <c r="E569" s="84">
        <f>IFERROR(__xludf.DUMMYFUNCTION("""COMPUTED_VALUE"""),46107.682869930555)</f>
        <v>46107.68287</v>
      </c>
      <c r="F569" s="86">
        <f>IFERROR(__xludf.DUMMYFUNCTION("""COMPUTED_VALUE"""),46107.58435939815)</f>
        <v>46107.58436</v>
      </c>
      <c r="G569" s="86" t="str">
        <f>IFERROR(__xludf.DUMMYFUNCTION("""COMPUTED_VALUE"""),"Done")</f>
        <v>Done</v>
      </c>
      <c r="H569" s="88">
        <f>IFERROR(__xludf.DUMMYFUNCTION("""COMPUTED_VALUE"""),0.0)</f>
        <v>0</v>
      </c>
      <c r="I569" s="90" t="str">
        <f>IFERROR(__xludf.DUMMYFUNCTION("""COMPUTED_VALUE"""),"EMP5009 Rup Kumar Mandal")</f>
        <v>EMP5009 Rup Kumar Mandal</v>
      </c>
      <c r="J569" s="91"/>
    </row>
    <row r="570">
      <c r="B570" s="76" t="str">
        <f>IFERROR(__xludf.DUMMYFUNCTION("""COMPUTED_VALUE"""),"Check api id from database and download jrmxl file                                    ")</f>
        <v>Check api id from database and download jrmxl file                                    </v>
      </c>
      <c r="C570" s="82">
        <f>IFERROR(__xludf.DUMMYFUNCTION("""COMPUTED_VALUE"""),5030.0)</f>
        <v>5030</v>
      </c>
      <c r="D570" s="76" t="str">
        <f>IFERROR(__xludf.DUMMYFUNCTION("""COMPUTED_VALUE"""),"The course name should be taken from the main header in all result reports.")</f>
        <v>The course name should be taken from the main header in all result reports.</v>
      </c>
      <c r="E570" s="84">
        <f>IFERROR(__xludf.DUMMYFUNCTION("""COMPUTED_VALUE"""),46107.706113368055)</f>
        <v>46107.70611</v>
      </c>
      <c r="F570" s="86">
        <f>IFERROR(__xludf.DUMMYFUNCTION("""COMPUTED_VALUE"""),46107.584374664344)</f>
        <v>46107.58437</v>
      </c>
      <c r="G570" s="86" t="str">
        <f>IFERROR(__xludf.DUMMYFUNCTION("""COMPUTED_VALUE"""),"Done")</f>
        <v>Done</v>
      </c>
      <c r="H570" s="88">
        <f>IFERROR(__xludf.DUMMYFUNCTION("""COMPUTED_VALUE"""),0.0)</f>
        <v>0</v>
      </c>
      <c r="I570" s="90" t="str">
        <f>IFERROR(__xludf.DUMMYFUNCTION("""COMPUTED_VALUE"""),"EMP0237 Swarnendu Chakraborty")</f>
        <v>EMP0237 Swarnendu Chakraborty</v>
      </c>
      <c r="J570" s="91"/>
    </row>
    <row r="571">
      <c r="B571" s="76" t="str">
        <f>IFERROR(__xludf.DUMMYFUNCTION("""COMPUTED_VALUE"""),"Check api id from database and download jrmxl file                                    ")</f>
        <v>Check api id from database and download jrmxl file                                    </v>
      </c>
      <c r="C571" s="82">
        <f>IFERROR(__xludf.DUMMYFUNCTION("""COMPUTED_VALUE"""),5031.0)</f>
        <v>5031</v>
      </c>
      <c r="D571" s="76" t="str">
        <f>IFERROR(__xludf.DUMMYFUNCTION("""COMPUTED_VALUE"""),"STUDENTS REGISTRATION COUNT")</f>
        <v>STUDENTS REGISTRATION COUNT</v>
      </c>
      <c r="E571" s="84">
        <f>IFERROR(__xludf.DUMMYFUNCTION("""COMPUTED_VALUE"""),46107.7434180787)</f>
        <v>46107.74342</v>
      </c>
      <c r="F571" s="86">
        <f>IFERROR(__xludf.DUMMYFUNCTION("""COMPUTED_VALUE"""),46107.58438931713)</f>
        <v>46107.58439</v>
      </c>
      <c r="G571" s="86" t="str">
        <f>IFERROR(__xludf.DUMMYFUNCTION("""COMPUTED_VALUE"""),"Done")</f>
        <v>Done</v>
      </c>
      <c r="H571" s="88">
        <f>IFERROR(__xludf.DUMMYFUNCTION("""COMPUTED_VALUE"""),0.0)</f>
        <v>0</v>
      </c>
      <c r="I571" s="90" t="str">
        <f>IFERROR(__xludf.DUMMYFUNCTION("""COMPUTED_VALUE"""),"EMP0237 Swarnendu Chakraborty")</f>
        <v>EMP0237 Swarnendu Chakraborty</v>
      </c>
      <c r="J571" s="91"/>
    </row>
    <row r="572">
      <c r="B572" s="76" t="str">
        <f>IFERROR(__xludf.DUMMYFUNCTION("""COMPUTED_VALUE"""),"Check api id from database and download jrmxl file                                    ")</f>
        <v>Check api id from database and download jrmxl file                                    </v>
      </c>
      <c r="C572" s="82">
        <f>IFERROR(__xludf.DUMMYFUNCTION("""COMPUTED_VALUE"""),5032.0)</f>
        <v>5032</v>
      </c>
      <c r="D572" s="76" t="str">
        <f>IFERROR(__xludf.DUMMYFUNCTION("""COMPUTED_VALUE"""),"TR")</f>
        <v>TR</v>
      </c>
      <c r="E572" s="84">
        <f>IFERROR(__xludf.DUMMYFUNCTION("""COMPUTED_VALUE"""),46108.7081596412)</f>
        <v>46108.70816</v>
      </c>
      <c r="F572" s="86">
        <f>IFERROR(__xludf.DUMMYFUNCTION("""COMPUTED_VALUE"""),46108.584386574075)</f>
        <v>46108.58439</v>
      </c>
      <c r="G572" s="86" t="str">
        <f>IFERROR(__xludf.DUMMYFUNCTION("""COMPUTED_VALUE"""),"Done")</f>
        <v>Done</v>
      </c>
      <c r="H572" s="88">
        <f>IFERROR(__xludf.DUMMYFUNCTION("""COMPUTED_VALUE"""),0.0)</f>
        <v>0</v>
      </c>
      <c r="I572" s="90" t="str">
        <f>IFERROR(__xludf.DUMMYFUNCTION("""COMPUTED_VALUE"""),"EMP0042 HULESHWAR KUMAR SAHU")</f>
        <v>EMP0042 HULESHWAR KUMAR SAHU</v>
      </c>
      <c r="J572" s="91"/>
    </row>
    <row r="573">
      <c r="B573" s="76" t="str">
        <f>IFERROR(__xludf.DUMMYFUNCTION("""COMPUTED_VALUE"""),"Check api id from database and download jrmxl file                                    ")</f>
        <v>Check api id from database and download jrmxl file                                    </v>
      </c>
      <c r="C573" s="82">
        <f>IFERROR(__xludf.DUMMYFUNCTION("""COMPUTED_VALUE"""),5033.0)</f>
        <v>5033</v>
      </c>
      <c r="D573" s="76" t="str">
        <f>IFERROR(__xludf.DUMMYFUNCTION("""COMPUTED_VALUE"""),"NEP TR ")</f>
        <v>NEP TR </v>
      </c>
      <c r="E573" s="84">
        <f>IFERROR(__xludf.DUMMYFUNCTION("""COMPUTED_VALUE"""),46109.430555555555)</f>
        <v>46109.43056</v>
      </c>
      <c r="F573" s="86">
        <f>IFERROR(__xludf.DUMMYFUNCTION("""COMPUTED_VALUE"""),46108.78998958333)</f>
        <v>46108.78999</v>
      </c>
      <c r="G573" s="86" t="str">
        <f>IFERROR(__xludf.DUMMYFUNCTION("""COMPUTED_VALUE"""),"Done")</f>
        <v>Done</v>
      </c>
      <c r="H573" s="88">
        <f>IFERROR(__xludf.DUMMYFUNCTION("""COMPUTED_VALUE"""),0.0)</f>
        <v>0</v>
      </c>
      <c r="I573" s="90" t="str">
        <f>IFERROR(__xludf.DUMMYFUNCTION("""COMPUTED_VALUE"""),"EMP0042 HULESHWAR KUMAR SAHU")</f>
        <v>EMP0042 HULESHWAR KUMAR SAHU</v>
      </c>
      <c r="J573" s="91"/>
    </row>
    <row r="574">
      <c r="B574" s="76" t="str">
        <f>IFERROR(__xludf.DUMMYFUNCTION("""COMPUTED_VALUE"""),"Check api id from database and download jrmxl file                                    ")</f>
        <v>Check api id from database and download jrmxl file                                    </v>
      </c>
      <c r="C574" s="82">
        <f>IFERROR(__xludf.DUMMYFUNCTION("""COMPUTED_VALUE"""),5034.0)</f>
        <v>5034</v>
      </c>
      <c r="D574" s="76" t="str">
        <f>IFERROR(__xludf.DUMMYFUNCTION("""COMPUTED_VALUE"""),"PRE PROCESS ERROR STEP-7")</f>
        <v>PRE PROCESS ERROR STEP-7</v>
      </c>
      <c r="E574" s="84">
        <f>IFERROR(__xludf.DUMMYFUNCTION("""COMPUTED_VALUE"""),46109.461805555555)</f>
        <v>46109.46181</v>
      </c>
      <c r="F574" s="86">
        <f>IFERROR(__xludf.DUMMYFUNCTION("""COMPUTED_VALUE"""),46108.79001833334)</f>
        <v>46108.79002</v>
      </c>
      <c r="G574" s="86" t="str">
        <f>IFERROR(__xludf.DUMMYFUNCTION("""COMPUTED_VALUE"""),"Done")</f>
        <v>Done</v>
      </c>
      <c r="H574" s="88">
        <f>IFERROR(__xludf.DUMMYFUNCTION("""COMPUTED_VALUE"""),0.0)</f>
        <v>0</v>
      </c>
      <c r="I574" s="90" t="str">
        <f>IFERROR(__xludf.DUMMYFUNCTION("""COMPUTED_VALUE"""),"EMP0237 Swarnendu Chakraborty")</f>
        <v>EMP0237 Swarnendu Chakraborty</v>
      </c>
      <c r="J574" s="91"/>
    </row>
    <row r="575">
      <c r="B575" s="76" t="str">
        <f>IFERROR(__xludf.DUMMYFUNCTION("""COMPUTED_VALUE"""),"Check api id from database and download jrmxl file                                    ")</f>
        <v>Check api id from database and download jrmxl file                                    </v>
      </c>
      <c r="C575" s="82">
        <f>IFERROR(__xludf.DUMMYFUNCTION("""COMPUTED_VALUE"""),5035.0)</f>
        <v>5035</v>
      </c>
      <c r="D575" s="76" t="str">
        <f>IFERROR(__xludf.DUMMYFUNCTION("""COMPUTED_VALUE"""),"NEP ENROLLMENT/REGISTRATION REPORT")</f>
        <v>NEP ENROLLMENT/REGISTRATION REPORT</v>
      </c>
      <c r="E575" s="84">
        <f>IFERROR(__xludf.DUMMYFUNCTION("""COMPUTED_VALUE"""),46109.649612928246)</f>
        <v>46109.64961</v>
      </c>
      <c r="F575" s="86">
        <f>IFERROR(__xludf.DUMMYFUNCTION("""COMPUTED_VALUE"""),46109.478689791664)</f>
        <v>46109.47869</v>
      </c>
      <c r="G575" s="86" t="str">
        <f>IFERROR(__xludf.DUMMYFUNCTION("""COMPUTED_VALUE"""),"Done")</f>
        <v>Done</v>
      </c>
      <c r="H575" s="88">
        <f>IFERROR(__xludf.DUMMYFUNCTION("""COMPUTED_VALUE"""),0.0)</f>
        <v>0</v>
      </c>
      <c r="I575" s="90" t="str">
        <f>IFERROR(__xludf.DUMMYFUNCTION("""COMPUTED_VALUE"""),"EMP0042 HULESHWAR KUMAR SAHU")</f>
        <v>EMP0042 HULESHWAR KUMAR SAHU</v>
      </c>
      <c r="J575" s="91"/>
    </row>
    <row r="576">
      <c r="B576" s="76" t="str">
        <f>IFERROR(__xludf.DUMMYFUNCTION("""COMPUTED_VALUE"""),"Check api id from database and download jrmxl file                                    ")</f>
        <v>Check api id from database and download jrmxl file                                    </v>
      </c>
      <c r="C576" s="82">
        <f>IFERROR(__xludf.DUMMYFUNCTION("""COMPUTED_VALUE"""),5036.0)</f>
        <v>5036</v>
      </c>
      <c r="D576" s="76" t="str">
        <f>IFERROR(__xludf.DUMMYFUNCTION("""COMPUTED_VALUE"""),"MUTIPLE REPORT")</f>
        <v>MUTIPLE REPORT</v>
      </c>
      <c r="E576" s="84">
        <f>IFERROR(__xludf.DUMMYFUNCTION("""COMPUTED_VALUE"""),46109.674544490736)</f>
        <v>46109.67454</v>
      </c>
      <c r="F576" s="86">
        <f>IFERROR(__xludf.DUMMYFUNCTION("""COMPUTED_VALUE"""),46109.530965196755)</f>
        <v>46109.53097</v>
      </c>
      <c r="G576" s="86" t="str">
        <f>IFERROR(__xludf.DUMMYFUNCTION("""COMPUTED_VALUE"""),"Done")</f>
        <v>Done</v>
      </c>
      <c r="H576" s="88">
        <f>IFERROR(__xludf.DUMMYFUNCTION("""COMPUTED_VALUE"""),0.0)</f>
        <v>0</v>
      </c>
      <c r="I576" s="90" t="str">
        <f>IFERROR(__xludf.DUMMYFUNCTION("""COMPUTED_VALUE"""),"EMP0042 HULESHWAR KUMAR SAHU")</f>
        <v>EMP0042 HULESHWAR KUMAR SAHU</v>
      </c>
      <c r="J576" s="91"/>
    </row>
    <row r="577">
      <c r="B577" s="76" t="str">
        <f>IFERROR(__xludf.DUMMYFUNCTION("""COMPUTED_VALUE"""),"Check api id from database and download jrmxl file                                    ")</f>
        <v>Check api id from database and download jrmxl file                                    </v>
      </c>
      <c r="C577" s="82">
        <f>IFERROR(__xludf.DUMMYFUNCTION("""COMPUTED_VALUE"""),5037.0)</f>
        <v>5037</v>
      </c>
      <c r="D577" s="76" t="str">
        <f>IFERROR(__xludf.DUMMYFUNCTION("""COMPUTED_VALUE"""),"NEP M.A political1ST SEM TR ")</f>
        <v>NEP M.A political1ST SEM TR </v>
      </c>
      <c r="E577" s="84">
        <f>IFERROR(__xludf.DUMMYFUNCTION("""COMPUTED_VALUE"""),46109.693839618056)</f>
        <v>46109.69384</v>
      </c>
      <c r="F577" s="86">
        <f>IFERROR(__xludf.DUMMYFUNCTION("""COMPUTED_VALUE"""),46109.531060092595)</f>
        <v>46109.53106</v>
      </c>
      <c r="G577" s="86" t="str">
        <f>IFERROR(__xludf.DUMMYFUNCTION("""COMPUTED_VALUE"""),"Done")</f>
        <v>Done</v>
      </c>
      <c r="H577" s="88">
        <f>IFERROR(__xludf.DUMMYFUNCTION("""COMPUTED_VALUE"""),0.0)</f>
        <v>0</v>
      </c>
      <c r="I577" s="90" t="str">
        <f>IFERROR(__xludf.DUMMYFUNCTION("""COMPUTED_VALUE"""),"EMP0042 HULESHWAR KUMAR SAHU")</f>
        <v>EMP0042 HULESHWAR KUMAR SAHU</v>
      </c>
      <c r="J577" s="91"/>
    </row>
    <row r="578">
      <c r="B578" s="76" t="str">
        <f>IFERROR(__xludf.DUMMYFUNCTION("""COMPUTED_VALUE"""),"Check api id from database and download jrmxl file                                    ")</f>
        <v>Check api id from database and download jrmxl file                                    </v>
      </c>
      <c r="C578" s="82">
        <f>IFERROR(__xludf.DUMMYFUNCTION("""COMPUTED_VALUE"""),5038.0)</f>
        <v>5038</v>
      </c>
      <c r="D578" s="76" t="str">
        <f>IFERROR(__xludf.DUMMYFUNCTION("""COMPUTED_VALUE"""),"NEP SCHEMA REPORT")</f>
        <v>NEP SCHEMA REPORT</v>
      </c>
      <c r="E578" s="84">
        <f>IFERROR(__xludf.DUMMYFUNCTION("""COMPUTED_VALUE"""),46109.71081763889)</f>
        <v>46109.71082</v>
      </c>
      <c r="F578" s="86">
        <f>IFERROR(__xludf.DUMMYFUNCTION("""COMPUTED_VALUE"""),46109.54090001157)</f>
        <v>46109.5409</v>
      </c>
      <c r="G578" s="86" t="str">
        <f>IFERROR(__xludf.DUMMYFUNCTION("""COMPUTED_VALUE"""),"Done")</f>
        <v>Done</v>
      </c>
      <c r="H578" s="88">
        <f>IFERROR(__xludf.DUMMYFUNCTION("""COMPUTED_VALUE"""),0.0)</f>
        <v>0</v>
      </c>
      <c r="I578" s="90" t="str">
        <f>IFERROR(__xludf.DUMMYFUNCTION("""COMPUTED_VALUE"""),"EMP0042 HULESHWAR KUMAR SAHU")</f>
        <v>EMP0042 HULESHWAR KUMAR SAHU</v>
      </c>
      <c r="J578" s="91"/>
    </row>
    <row r="579">
      <c r="B579" s="76" t="str">
        <f>IFERROR(__xludf.DUMMYFUNCTION("""COMPUTED_VALUE"""),"Check api id from database and download jrmxl file                                    ")</f>
        <v>Check api id from database and download jrmxl file                                    </v>
      </c>
      <c r="C579" s="82">
        <f>IFERROR(__xludf.DUMMYFUNCTION("""COMPUTED_VALUE"""),5039.0)</f>
        <v>5039</v>
      </c>
      <c r="D579" s="76" t="str">
        <f>IFERROR(__xludf.DUMMYFUNCTION("""COMPUTED_VALUE"""),"NEP TR REPORT")</f>
        <v>NEP TR REPORT</v>
      </c>
      <c r="E579" s="84">
        <f>IFERROR(__xludf.DUMMYFUNCTION("""COMPUTED_VALUE"""),46109.715754386576)</f>
        <v>46109.71575</v>
      </c>
      <c r="F579" s="86">
        <f>IFERROR(__xludf.DUMMYFUNCTION("""COMPUTED_VALUE"""),46109.62198849537)</f>
        <v>46109.62199</v>
      </c>
      <c r="G579" s="86" t="str">
        <f>IFERROR(__xludf.DUMMYFUNCTION("""COMPUTED_VALUE"""),"Done")</f>
        <v>Done</v>
      </c>
      <c r="H579" s="88">
        <f>IFERROR(__xludf.DUMMYFUNCTION("""COMPUTED_VALUE"""),0.0)</f>
        <v>0</v>
      </c>
      <c r="I579" s="90" t="str">
        <f>IFERROR(__xludf.DUMMYFUNCTION("""COMPUTED_VALUE"""),"EMP0042 HULESHWAR KUMAR SAHU")</f>
        <v>EMP0042 HULESHWAR KUMAR SAHU</v>
      </c>
      <c r="J579" s="91"/>
    </row>
    <row r="580">
      <c r="B580" s="76" t="str">
        <f>IFERROR(__xludf.DUMMYFUNCTION("""COMPUTED_VALUE"""),"Check api id from database and download jrmxl file                                    ")</f>
        <v>Check api id from database and download jrmxl file                                    </v>
      </c>
      <c r="C580" s="82">
        <f>IFERROR(__xludf.DUMMYFUNCTION("""COMPUTED_VALUE"""),5040.0)</f>
        <v>5040</v>
      </c>
      <c r="D580" s="76" t="str">
        <f>IFERROR(__xludf.DUMMYFUNCTION("""COMPUTED_VALUE"""),"Correction in Calculation MD Anatomy,3rd year")</f>
        <v>Correction in Calculation MD Anatomy,3rd year</v>
      </c>
      <c r="E580" s="84">
        <f>IFERROR(__xludf.DUMMYFUNCTION("""COMPUTED_VALUE"""),46111.50807900463)</f>
        <v>46111.50808</v>
      </c>
      <c r="F580" s="86">
        <f>IFERROR(__xludf.DUMMYFUNCTION("""COMPUTED_VALUE"""),46109.67642063657)</f>
        <v>46109.67642</v>
      </c>
      <c r="G580" s="86" t="str">
        <f>IFERROR(__xludf.DUMMYFUNCTION("""COMPUTED_VALUE"""),"Done")</f>
        <v>Done</v>
      </c>
      <c r="H580" s="88">
        <f>IFERROR(__xludf.DUMMYFUNCTION("""COMPUTED_VALUE"""),0.0)</f>
        <v>0</v>
      </c>
      <c r="I580" s="90" t="str">
        <f>IFERROR(__xludf.DUMMYFUNCTION("""COMPUTED_VALUE"""),"EMP0042 HULESHWAR KUMAR SAHU")</f>
        <v>EMP0042 HULESHWAR KUMAR SAHU</v>
      </c>
      <c r="J580" s="91"/>
    </row>
    <row r="581">
      <c r="B581" s="76" t="str">
        <f>IFERROR(__xludf.DUMMYFUNCTION("""COMPUTED_VALUE"""),"Check api id from database and download jrmxl file                                    ")</f>
        <v>Check api id from database and download jrmxl file                                    </v>
      </c>
      <c r="C581" s="82">
        <f>IFERROR(__xludf.DUMMYFUNCTION("""COMPUTED_VALUE"""),5041.0)</f>
        <v>5041</v>
      </c>
      <c r="D581" s="76" t="str">
        <f>IFERROR(__xludf.DUMMYFUNCTION("""COMPUTED_VALUE"""),"result commetee")</f>
        <v>result commetee</v>
      </c>
      <c r="E581" s="84">
        <f>IFERROR(__xludf.DUMMYFUNCTION("""COMPUTED_VALUE"""),46111.50878172454)</f>
        <v>46111.50878</v>
      </c>
      <c r="F581" s="86">
        <f>IFERROR(__xludf.DUMMYFUNCTION("""COMPUTED_VALUE"""),46109.676434155095)</f>
        <v>46109.67643</v>
      </c>
      <c r="G581" s="86" t="str">
        <f>IFERROR(__xludf.DUMMYFUNCTION("""COMPUTED_VALUE"""),"Done")</f>
        <v>Done</v>
      </c>
      <c r="H581" s="88">
        <f>IFERROR(__xludf.DUMMYFUNCTION("""COMPUTED_VALUE"""),0.0)</f>
        <v>0</v>
      </c>
      <c r="I581" s="90" t="str">
        <f>IFERROR(__xludf.DUMMYFUNCTION("""COMPUTED_VALUE"""),"EMP0042 HULESHWAR KUMAR SAHU")</f>
        <v>EMP0042 HULESHWAR KUMAR SAHU</v>
      </c>
      <c r="J581" s="91"/>
    </row>
    <row r="582">
      <c r="B582" s="76" t="str">
        <f>IFERROR(__xludf.DUMMYFUNCTION("""COMPUTED_VALUE"""),"Check api id from database and download jrmxl file                                    ")</f>
        <v>Check api id from database and download jrmxl file                                    </v>
      </c>
      <c r="C582" s="82">
        <f>IFERROR(__xludf.DUMMYFUNCTION("""COMPUTED_VALUE"""),5042.0)</f>
        <v>5042</v>
      </c>
      <c r="D582" s="76" t="str">
        <f>IFERROR(__xludf.DUMMYFUNCTION("""COMPUTED_VALUE"""),"Correction in Calculation MD Physiology ,3rd year")</f>
        <v>Correction in Calculation MD Physiology ,3rd year</v>
      </c>
      <c r="E582" s="84">
        <f>IFERROR(__xludf.DUMMYFUNCTION("""COMPUTED_VALUE"""),46111.509865520835)</f>
        <v>46111.50987</v>
      </c>
      <c r="F582" s="86">
        <f>IFERROR(__xludf.DUMMYFUNCTION("""COMPUTED_VALUE"""),46109.67658171296)</f>
        <v>46109.67658</v>
      </c>
      <c r="G582" s="86" t="str">
        <f>IFERROR(__xludf.DUMMYFUNCTION("""COMPUTED_VALUE"""),"Done")</f>
        <v>Done</v>
      </c>
      <c r="H582" s="88">
        <f>IFERROR(__xludf.DUMMYFUNCTION("""COMPUTED_VALUE"""),0.0)</f>
        <v>0</v>
      </c>
      <c r="I582" s="90" t="str">
        <f>IFERROR(__xludf.DUMMYFUNCTION("""COMPUTED_VALUE"""),"EMP0042 HULESHWAR KUMAR SAHU")</f>
        <v>EMP0042 HULESHWAR KUMAR SAHU</v>
      </c>
      <c r="J582" s="91"/>
    </row>
    <row r="583">
      <c r="B583" s="76" t="str">
        <f>IFERROR(__xludf.DUMMYFUNCTION("""COMPUTED_VALUE"""),"Check api id from database and download jrmxl file                                    ")</f>
        <v>Check api id from database and download jrmxl file                                    </v>
      </c>
      <c r="C583" s="82">
        <f>IFERROR(__xludf.DUMMYFUNCTION("""COMPUTED_VALUE"""),5043.0)</f>
        <v>5043</v>
      </c>
      <c r="D583" s="76" t="str">
        <f>IFERROR(__xludf.DUMMYFUNCTION("""COMPUTED_VALUE"""),"TR ")</f>
        <v>TR </v>
      </c>
      <c r="E583" s="84">
        <f>IFERROR(__xludf.DUMMYFUNCTION("""COMPUTED_VALUE"""),46111.513355509254)</f>
        <v>46111.51336</v>
      </c>
      <c r="F583" s="86">
        <f>IFERROR(__xludf.DUMMYFUNCTION("""COMPUTED_VALUE"""),46109.67671506944)</f>
        <v>46109.67672</v>
      </c>
      <c r="G583" s="86" t="str">
        <f>IFERROR(__xludf.DUMMYFUNCTION("""COMPUTED_VALUE"""),"Done")</f>
        <v>Done</v>
      </c>
      <c r="H583" s="88">
        <f>IFERROR(__xludf.DUMMYFUNCTION("""COMPUTED_VALUE"""),0.0)</f>
        <v>0</v>
      </c>
      <c r="I583" s="90" t="str">
        <f>IFERROR(__xludf.DUMMYFUNCTION("""COMPUTED_VALUE"""),"EMP0042 HULESHWAR KUMAR SAHU")</f>
        <v>EMP0042 HULESHWAR KUMAR SAHU</v>
      </c>
      <c r="J583" s="91"/>
    </row>
    <row r="584">
      <c r="B584" s="76" t="str">
        <f>IFERROR(__xludf.DUMMYFUNCTION("""COMPUTED_VALUE"""),"Check api id from database and download jrmxl file                                    ")</f>
        <v>Check api id from database and download jrmxl file                                    </v>
      </c>
      <c r="C584" s="82">
        <f>IFERROR(__xludf.DUMMYFUNCTION("""COMPUTED_VALUE"""),5044.0)</f>
        <v>5044</v>
      </c>
      <c r="D584" s="76" t="str">
        <f>IFERROR(__xludf.DUMMYFUNCTION("""COMPUTED_VALUE"""),"ENROLLMENT REPORT (EXAMFORM REPORT ALL)")</f>
        <v>ENROLLMENT REPORT (EXAMFORM REPORT ALL)</v>
      </c>
      <c r="E584" s="84">
        <f>IFERROR(__xludf.DUMMYFUNCTION("""COMPUTED_VALUE"""),46111.697161655095)</f>
        <v>46111.69716</v>
      </c>
      <c r="F584" s="86">
        <f>IFERROR(__xludf.DUMMYFUNCTION("""COMPUTED_VALUE"""),46111.54609144676)</f>
        <v>46111.54609</v>
      </c>
      <c r="G584" s="86" t="str">
        <f>IFERROR(__xludf.DUMMYFUNCTION("""COMPUTED_VALUE"""),"Done")</f>
        <v>Done</v>
      </c>
      <c r="H584" s="88">
        <f>IFERROR(__xludf.DUMMYFUNCTION("""COMPUTED_VALUE"""),0.0)</f>
        <v>0</v>
      </c>
      <c r="I584" s="90" t="str">
        <f>IFERROR(__xludf.DUMMYFUNCTION("""COMPUTED_VALUE"""),"EMP0237 Swarnendu Chakraborty")</f>
        <v>EMP0237 Swarnendu Chakraborty</v>
      </c>
      <c r="J584" s="91"/>
    </row>
    <row r="585">
      <c r="B585" s="76" t="str">
        <f>IFERROR(__xludf.DUMMYFUNCTION("""COMPUTED_VALUE"""),"Check api id from database and download jrmxl file                                    ")</f>
        <v>Check api id from database and download jrmxl file                                    </v>
      </c>
      <c r="C585" s="82">
        <f>IFERROR(__xludf.DUMMYFUNCTION("""COMPUTED_VALUE"""),5045.0)</f>
        <v>5045</v>
      </c>
      <c r="D585" s="76" t="str">
        <f>IFERROR(__xludf.DUMMYFUNCTION("""COMPUTED_VALUE"""),"TR REPORT")</f>
        <v>TR REPORT</v>
      </c>
      <c r="E585" s="84">
        <f>IFERROR(__xludf.DUMMYFUNCTION("""COMPUTED_VALUE"""),46111.76344361112)</f>
        <v>46111.76344</v>
      </c>
      <c r="F585" s="86">
        <f>IFERROR(__xludf.DUMMYFUNCTION("""COMPUTED_VALUE"""),46111.65651188658)</f>
        <v>46111.65651</v>
      </c>
      <c r="G585" s="86" t="str">
        <f>IFERROR(__xludf.DUMMYFUNCTION("""COMPUTED_VALUE"""),"Done")</f>
        <v>Done</v>
      </c>
      <c r="H585" s="88">
        <f>IFERROR(__xludf.DUMMYFUNCTION("""COMPUTED_VALUE"""),0.0)</f>
        <v>0</v>
      </c>
      <c r="I585" s="90" t="str">
        <f>IFERROR(__xludf.DUMMYFUNCTION("""COMPUTED_VALUE"""),"EMP5009 Rup Kumar Mandal")</f>
        <v>EMP5009 Rup Kumar Mandal</v>
      </c>
      <c r="J585" s="91"/>
    </row>
    <row r="586">
      <c r="B586" s="76" t="str">
        <f>IFERROR(__xludf.DUMMYFUNCTION("""COMPUTED_VALUE"""),"Check api id from database and download jrmxl file                                    ")</f>
        <v>Check api id from database and download jrmxl file                                    </v>
      </c>
      <c r="C586" s="82">
        <f>IFERROR(__xludf.DUMMYFUNCTION("""COMPUTED_VALUE"""),5046.0)</f>
        <v>5046</v>
      </c>
      <c r="D586" s="76" t="str">
        <f>IFERROR(__xludf.DUMMYFUNCTION("""COMPUTED_VALUE"""),"3629")</f>
        <v>3629</v>
      </c>
      <c r="E586" s="84">
        <f>IFERROR(__xludf.DUMMYFUNCTION("""COMPUTED_VALUE"""),46111.81317)</f>
        <v>46111.81317</v>
      </c>
      <c r="F586" s="86">
        <f>IFERROR(__xludf.DUMMYFUNCTION("""COMPUTED_VALUE"""),46111.656469409725)</f>
        <v>46111.65647</v>
      </c>
      <c r="G586" s="86" t="str">
        <f>IFERROR(__xludf.DUMMYFUNCTION("""COMPUTED_VALUE"""),"Done")</f>
        <v>Done</v>
      </c>
      <c r="H586" s="88">
        <f>IFERROR(__xludf.DUMMYFUNCTION("""COMPUTED_VALUE"""),0.0)</f>
        <v>0</v>
      </c>
      <c r="I586" s="90" t="str">
        <f>IFERROR(__xludf.DUMMYFUNCTION("""COMPUTED_VALUE"""),"EMP5009 Rup Kumar Mandal")</f>
        <v>EMP5009 Rup Kumar Mandal</v>
      </c>
      <c r="J586" s="91"/>
    </row>
    <row r="587">
      <c r="B587" s="76" t="str">
        <f>IFERROR(__xludf.DUMMYFUNCTION("""COMPUTED_VALUE"""),"Check api id from database and download jrmxl file                                    ")</f>
        <v>Check api id from database and download jrmxl file                                    </v>
      </c>
      <c r="C587" s="82">
        <f>IFERROR(__xludf.DUMMYFUNCTION("""COMPUTED_VALUE"""),5047.0)</f>
        <v>5047</v>
      </c>
      <c r="D587" s="76" t="str">
        <f>IFERROR(__xludf.DUMMYFUNCTION("""COMPUTED_VALUE"""),"3630")</f>
        <v>3630</v>
      </c>
      <c r="E587" s="84">
        <f>IFERROR(__xludf.DUMMYFUNCTION("""COMPUTED_VALUE"""),46111.814329374996)</f>
        <v>46111.81433</v>
      </c>
      <c r="F587" s="86">
        <f>IFERROR(__xludf.DUMMYFUNCTION("""COMPUTED_VALUE"""),46111.65648254629)</f>
        <v>46111.65648</v>
      </c>
      <c r="G587" s="86" t="str">
        <f>IFERROR(__xludf.DUMMYFUNCTION("""COMPUTED_VALUE"""),"Done")</f>
        <v>Done</v>
      </c>
      <c r="H587" s="88">
        <f>IFERROR(__xludf.DUMMYFUNCTION("""COMPUTED_VALUE"""),0.0)</f>
        <v>0</v>
      </c>
      <c r="I587" s="90" t="str">
        <f>IFERROR(__xludf.DUMMYFUNCTION("""COMPUTED_VALUE"""),"EMP5009 Rup Kumar Mandal")</f>
        <v>EMP5009 Rup Kumar Mandal</v>
      </c>
      <c r="J587" s="91"/>
    </row>
    <row r="588">
      <c r="B588" s="76" t="str">
        <f>IFERROR(__xludf.DUMMYFUNCTION("""COMPUTED_VALUE"""),"Check api id from database and download jrmxl file                                    ")</f>
        <v>Check api id from database and download jrmxl file                                    </v>
      </c>
      <c r="C588" s="82">
        <f>IFERROR(__xludf.DUMMYFUNCTION("""COMPUTED_VALUE"""),5048.0)</f>
        <v>5048</v>
      </c>
      <c r="D588" s="76" t="str">
        <f>IFERROR(__xludf.DUMMYFUNCTION("""COMPUTED_VALUE"""),"3629")</f>
        <v>3629</v>
      </c>
      <c r="E588" s="84">
        <f>IFERROR(__xludf.DUMMYFUNCTION("""COMPUTED_VALUE"""),46111.81507069445)</f>
        <v>46111.81507</v>
      </c>
      <c r="F588" s="86">
        <f>IFERROR(__xludf.DUMMYFUNCTION("""COMPUTED_VALUE"""),46111.65650326389)</f>
        <v>46111.6565</v>
      </c>
      <c r="G588" s="86" t="str">
        <f>IFERROR(__xludf.DUMMYFUNCTION("""COMPUTED_VALUE"""),"Done")</f>
        <v>Done</v>
      </c>
      <c r="H588" s="88">
        <f>IFERROR(__xludf.DUMMYFUNCTION("""COMPUTED_VALUE"""),0.0)</f>
        <v>0</v>
      </c>
      <c r="I588" s="90" t="str">
        <f>IFERROR(__xludf.DUMMYFUNCTION("""COMPUTED_VALUE"""),"EMP5009 Rup Kumar Mandal")</f>
        <v>EMP5009 Rup Kumar Mandal</v>
      </c>
      <c r="J588" s="91"/>
    </row>
    <row r="589">
      <c r="B589" s="76" t="str">
        <f>IFERROR(__xludf.DUMMYFUNCTION("""COMPUTED_VALUE"""),"Check api id from database and download jrmxl file                                    ")</f>
        <v>Check api id from database and download jrmxl file                                    </v>
      </c>
      <c r="C589" s="82">
        <f>IFERROR(__xludf.DUMMYFUNCTION("""COMPUTED_VALUE"""),5049.0)</f>
        <v>5049</v>
      </c>
      <c r="D589" s="76" t="str">
        <f>IFERROR(__xludf.DUMMYFUNCTION("""COMPUTED_VALUE"""),"3630")</f>
        <v>3630</v>
      </c>
      <c r="E589" s="84">
        <f>IFERROR(__xludf.DUMMYFUNCTION("""COMPUTED_VALUE"""),46111.816299004626)</f>
        <v>46111.8163</v>
      </c>
      <c r="F589" s="86">
        <f>IFERROR(__xludf.DUMMYFUNCTION("""COMPUTED_VALUE"""),46111.65649314815)</f>
        <v>46111.65649</v>
      </c>
      <c r="G589" s="86" t="str">
        <f>IFERROR(__xludf.DUMMYFUNCTION("""COMPUTED_VALUE"""),"Done")</f>
        <v>Done</v>
      </c>
      <c r="H589" s="88">
        <f>IFERROR(__xludf.DUMMYFUNCTION("""COMPUTED_VALUE"""),0.0)</f>
        <v>0</v>
      </c>
      <c r="I589" s="90" t="str">
        <f>IFERROR(__xludf.DUMMYFUNCTION("""COMPUTED_VALUE"""),"EMP5009 Rup Kumar Mandal")</f>
        <v>EMP5009 Rup Kumar Mandal</v>
      </c>
      <c r="J589" s="91"/>
    </row>
    <row r="590">
      <c r="B590" s="76" t="str">
        <f>IFERROR(__xludf.DUMMYFUNCTION("""COMPUTED_VALUE"""),"Check api id from database and download jrmxl file                                    ")</f>
        <v>Check api id from database and download jrmxl file                                    </v>
      </c>
      <c r="C590" s="82">
        <f>IFERROR(__xludf.DUMMYFUNCTION("""COMPUTED_VALUE"""),5050.0)</f>
        <v>5050</v>
      </c>
      <c r="D590" s="76" t="str">
        <f>IFERROR(__xludf.DUMMYFUNCTION("""COMPUTED_VALUE"""),"TR")</f>
        <v>TR</v>
      </c>
      <c r="E590" s="84">
        <f>IFERROR(__xludf.DUMMYFUNCTION("""COMPUTED_VALUE"""),46112.475)</f>
        <v>46112.475</v>
      </c>
      <c r="F590" s="86">
        <f>IFERROR(__xludf.DUMMYFUNCTION("""COMPUTED_VALUE"""),46111.80254440972)</f>
        <v>46111.80254</v>
      </c>
      <c r="G590" s="86" t="str">
        <f>IFERROR(__xludf.DUMMYFUNCTION("""COMPUTED_VALUE"""),"Done")</f>
        <v>Done</v>
      </c>
      <c r="H590" s="88">
        <f>IFERROR(__xludf.DUMMYFUNCTION("""COMPUTED_VALUE"""),0.0)</f>
        <v>0</v>
      </c>
      <c r="I590" s="90" t="str">
        <f>IFERROR(__xludf.DUMMYFUNCTION("""COMPUTED_VALUE"""),"EMP0042 HULESHWAR KUMAR SAHU")</f>
        <v>EMP0042 HULESHWAR KUMAR SAHU</v>
      </c>
      <c r="J590" s="91"/>
    </row>
    <row r="591">
      <c r="B591" s="76" t="str">
        <f>IFERROR(__xludf.DUMMYFUNCTION("""COMPUTED_VALUE"""),"Check api id from database and download jrmxl file                                    ")</f>
        <v>Check api id from database and download jrmxl file                                    </v>
      </c>
      <c r="C591" s="82">
        <f>IFERROR(__xludf.DUMMYFUNCTION("""COMPUTED_VALUE"""),5051.0)</f>
        <v>5051</v>
      </c>
      <c r="D591" s="76" t="str">
        <f>IFERROR(__xludf.DUMMYFUNCTION("""COMPUTED_VALUE"""),"Teacher entered  marks entry  [Theory Marks Entry (Teacher)]")</f>
        <v>Teacher entered  marks entry  [Theory Marks Entry (Teacher)]</v>
      </c>
      <c r="E591" s="84">
        <f>IFERROR(__xludf.DUMMYFUNCTION("""COMPUTED_VALUE"""),46112.65957134259)</f>
        <v>46112.65957</v>
      </c>
      <c r="F591" s="86">
        <f>IFERROR(__xludf.DUMMYFUNCTION("""COMPUTED_VALUE"""),46112.48982108796)</f>
        <v>46112.48982</v>
      </c>
      <c r="G591" s="86" t="str">
        <f>IFERROR(__xludf.DUMMYFUNCTION("""COMPUTED_VALUE"""),"Done")</f>
        <v>Done</v>
      </c>
      <c r="H591" s="88">
        <f>IFERROR(__xludf.DUMMYFUNCTION("""COMPUTED_VALUE"""),0.0)</f>
        <v>0</v>
      </c>
      <c r="I591" s="90" t="str">
        <f>IFERROR(__xludf.DUMMYFUNCTION("""COMPUTED_VALUE"""),"EMP5009 Rup Kumar Mandal")</f>
        <v>EMP5009 Rup Kumar Mandal</v>
      </c>
      <c r="J591" s="91"/>
    </row>
    <row r="592">
      <c r="B592" s="76" t="str">
        <f>IFERROR(__xludf.DUMMYFUNCTION("""COMPUTED_VALUE"""),"Check api id from database and download jrmxl file                                    ")</f>
        <v>Check api id from database and download jrmxl file                                    </v>
      </c>
      <c r="C592" s="82">
        <f>IFERROR(__xludf.DUMMYFUNCTION("""COMPUTED_VALUE"""),5052.0)</f>
        <v>5052</v>
      </c>
      <c r="D592" s="76" t="str">
        <f>IFERROR(__xludf.DUMMYFUNCTION("""COMPUTED_VALUE"""),"Marks entry report [theory marks entry]")</f>
        <v>Marks entry report [theory marks entry]</v>
      </c>
      <c r="E592" s="84">
        <f>IFERROR(__xludf.DUMMYFUNCTION("""COMPUTED_VALUE"""),46112.6621530787)</f>
        <v>46112.66215</v>
      </c>
      <c r="F592" s="86">
        <f>IFERROR(__xludf.DUMMYFUNCTION("""COMPUTED_VALUE"""),46112.48982108796)</f>
        <v>46112.48982</v>
      </c>
      <c r="G592" s="86" t="str">
        <f>IFERROR(__xludf.DUMMYFUNCTION("""COMPUTED_VALUE"""),"Done")</f>
        <v>Done</v>
      </c>
      <c r="H592" s="88">
        <f>IFERROR(__xludf.DUMMYFUNCTION("""COMPUTED_VALUE"""),0.0)</f>
        <v>0</v>
      </c>
      <c r="I592" s="90" t="str">
        <f>IFERROR(__xludf.DUMMYFUNCTION("""COMPUTED_VALUE"""),"EMP5009 Rup Kumar Mandal")</f>
        <v>EMP5009 Rup Kumar Mandal</v>
      </c>
      <c r="J592" s="91"/>
    </row>
    <row r="593">
      <c r="B593" s="76" t="str">
        <f>IFERROR(__xludf.DUMMYFUNCTION("""COMPUTED_VALUE"""),"Check api id from database and download jrmxl file                                    ")</f>
        <v>Check api id from database and download jrmxl file                                    </v>
      </c>
      <c r="C593" s="82">
        <f>IFERROR(__xludf.DUMMYFUNCTION("""COMPUTED_VALUE"""),5053.0)</f>
        <v>5053</v>
      </c>
      <c r="D593" s="76" t="str">
        <f>IFERROR(__xludf.DUMMYFUNCTION("""COMPUTED_VALUE"""),"TR_phd_NEW_FORMAT")</f>
        <v>TR_phd_NEW_FORMAT</v>
      </c>
      <c r="E593" s="84">
        <f>IFERROR(__xludf.DUMMYFUNCTION("""COMPUTED_VALUE"""),46113.64367900463)</f>
        <v>46113.64368</v>
      </c>
      <c r="F593" s="86">
        <f>IFERROR(__xludf.DUMMYFUNCTION("""COMPUTED_VALUE"""),46113.47551278935)</f>
        <v>46113.47551</v>
      </c>
      <c r="G593" s="86" t="str">
        <f>IFERROR(__xludf.DUMMYFUNCTION("""COMPUTED_VALUE"""),"Done")</f>
        <v>Done</v>
      </c>
      <c r="H593" s="88">
        <f>IFERROR(__xludf.DUMMYFUNCTION("""COMPUTED_VALUE"""),0.0)</f>
        <v>0</v>
      </c>
      <c r="I593" s="90" t="str">
        <f>IFERROR(__xludf.DUMMYFUNCTION("""COMPUTED_VALUE"""),"EMP0042 HULESHWAR KUMAR SAHU")</f>
        <v>EMP0042 HULESHWAR KUMAR SAHU</v>
      </c>
      <c r="J593" s="91"/>
    </row>
    <row r="594">
      <c r="B594" s="76" t="str">
        <f>IFERROR(__xludf.DUMMYFUNCTION("""COMPUTED_VALUE"""),"Check api id from database and download jrmxl file                                    ")</f>
        <v>Check api id from database and download jrmxl file                                    </v>
      </c>
      <c r="C594" s="82">
        <f>IFERROR(__xludf.DUMMYFUNCTION("""COMPUTED_VALUE"""),5054.0)</f>
        <v>5054</v>
      </c>
      <c r="D594" s="76" t="str">
        <f>IFERROR(__xludf.DUMMYFUNCTION("""COMPUTED_VALUE"""),"TR ")</f>
        <v>TR </v>
      </c>
      <c r="E594" s="84">
        <f>IFERROR(__xludf.DUMMYFUNCTION("""COMPUTED_VALUE"""),46113.687541747684)</f>
        <v>46113.68754</v>
      </c>
      <c r="F594" s="86">
        <f>IFERROR(__xludf.DUMMYFUNCTION("""COMPUTED_VALUE"""),46113.515357627315)</f>
        <v>46113.51536</v>
      </c>
      <c r="G594" s="86" t="str">
        <f>IFERROR(__xludf.DUMMYFUNCTION("""COMPUTED_VALUE"""),"Done")</f>
        <v>Done</v>
      </c>
      <c r="H594" s="88">
        <f>IFERROR(__xludf.DUMMYFUNCTION("""COMPUTED_VALUE"""),0.0)</f>
        <v>0</v>
      </c>
      <c r="I594" s="90" t="str">
        <f>IFERROR(__xludf.DUMMYFUNCTION("""COMPUTED_VALUE"""),"EMP0042 HULESHWAR KUMAR SAHU")</f>
        <v>EMP0042 HULESHWAR KUMAR SAHU</v>
      </c>
      <c r="J594" s="91"/>
    </row>
    <row r="595">
      <c r="B595" s="76" t="str">
        <f>IFERROR(__xludf.DUMMYFUNCTION("""COMPUTED_VALUE"""),"Check api id from database and download jrmxl file                                    ")</f>
        <v>Check api id from database and download jrmxl file                                    </v>
      </c>
      <c r="C595" s="82">
        <f>IFERROR(__xludf.DUMMYFUNCTION("""COMPUTED_VALUE"""),5055.0)</f>
        <v>5055</v>
      </c>
      <c r="D595" s="76" t="str">
        <f>IFERROR(__xludf.DUMMYFUNCTION("""COMPUTED_VALUE"""),"TR ")</f>
        <v>TR </v>
      </c>
      <c r="E595" s="84">
        <f>IFERROR(__xludf.DUMMYFUNCTION("""COMPUTED_VALUE"""),46113.69700141204)</f>
        <v>46113.697</v>
      </c>
      <c r="F595" s="86">
        <f>IFERROR(__xludf.DUMMYFUNCTION("""COMPUTED_VALUE"""),46113.54999513889)</f>
        <v>46113.55</v>
      </c>
      <c r="G595" s="86" t="str">
        <f>IFERROR(__xludf.DUMMYFUNCTION("""COMPUTED_VALUE"""),"Done")</f>
        <v>Done</v>
      </c>
      <c r="H595" s="88">
        <f>IFERROR(__xludf.DUMMYFUNCTION("""COMPUTED_VALUE"""),0.0)</f>
        <v>0</v>
      </c>
      <c r="I595" s="90" t="str">
        <f>IFERROR(__xludf.DUMMYFUNCTION("""COMPUTED_VALUE"""),"EMP0042 HULESHWAR KUMAR SAHU")</f>
        <v>EMP0042 HULESHWAR KUMAR SAHU</v>
      </c>
      <c r="J595" s="91"/>
    </row>
    <row r="596">
      <c r="B596" s="76" t="str">
        <f>IFERROR(__xludf.DUMMYFUNCTION("""COMPUTED_VALUE"""),"Check api id from database and download jrmxl file                                    ")</f>
        <v>Check api id from database and download jrmxl file                                    </v>
      </c>
      <c r="C596" s="82">
        <f>IFERROR(__xludf.DUMMYFUNCTION("""COMPUTED_VALUE"""),5056.0)</f>
        <v>5056</v>
      </c>
      <c r="D596" s="76" t="str">
        <f>IFERROR(__xludf.DUMMYFUNCTION("""COMPUTED_VALUE"""),"Provisional Certificate Sign change ")</f>
        <v>Provisional Certificate Sign change </v>
      </c>
      <c r="E596" s="84">
        <f>IFERROR(__xludf.DUMMYFUNCTION("""COMPUTED_VALUE"""),46113.70588887732)</f>
        <v>46113.70589</v>
      </c>
      <c r="F596" s="86">
        <f>IFERROR(__xludf.DUMMYFUNCTION("""COMPUTED_VALUE"""),46113.54963119213)</f>
        <v>46113.54963</v>
      </c>
      <c r="G596" s="86" t="str">
        <f>IFERROR(__xludf.DUMMYFUNCTION("""COMPUTED_VALUE"""),"Done")</f>
        <v>Done</v>
      </c>
      <c r="H596" s="88">
        <f>IFERROR(__xludf.DUMMYFUNCTION("""COMPUTED_VALUE"""),0.0)</f>
        <v>0</v>
      </c>
      <c r="I596" s="90" t="str">
        <f>IFERROR(__xludf.DUMMYFUNCTION("""COMPUTED_VALUE"""),"EMP0042 HULESHWAR KUMAR SAHU")</f>
        <v>EMP0042 HULESHWAR KUMAR SAHU</v>
      </c>
      <c r="J596" s="91"/>
    </row>
    <row r="597">
      <c r="B597" s="76" t="str">
        <f>IFERROR(__xludf.DUMMYFUNCTION("""COMPUTED_VALUE"""),"Check api id from database and download jrmxl file                                    ")</f>
        <v>Check api id from database and download jrmxl file                                    </v>
      </c>
      <c r="C597" s="82">
        <f>IFERROR(__xludf.DUMMYFUNCTION("""COMPUTED_VALUE"""),5057.0)</f>
        <v>5057</v>
      </c>
      <c r="D597" s="76" t="str">
        <f>IFERROR(__xludf.DUMMYFUNCTION("""COMPUTED_VALUE"""),"Marksheet MBBS New Format")</f>
        <v>Marksheet MBBS New Format</v>
      </c>
      <c r="E597" s="84">
        <f>IFERROR(__xludf.DUMMYFUNCTION("""COMPUTED_VALUE"""),46113.707443437495)</f>
        <v>46113.70744</v>
      </c>
      <c r="F597" s="86">
        <f>IFERROR(__xludf.DUMMYFUNCTION("""COMPUTED_VALUE"""),46113.54966894676)</f>
        <v>46113.54967</v>
      </c>
      <c r="G597" s="86" t="str">
        <f>IFERROR(__xludf.DUMMYFUNCTION("""COMPUTED_VALUE"""),"Done")</f>
        <v>Done</v>
      </c>
      <c r="H597" s="88">
        <f>IFERROR(__xludf.DUMMYFUNCTION("""COMPUTED_VALUE"""),0.0)</f>
        <v>0</v>
      </c>
      <c r="I597" s="90" t="str">
        <f>IFERROR(__xludf.DUMMYFUNCTION("""COMPUTED_VALUE"""),"EMP0042 HULESHWAR KUMAR SAHU")</f>
        <v>EMP0042 HULESHWAR KUMAR SAHU</v>
      </c>
      <c r="J597" s="91"/>
    </row>
    <row r="598">
      <c r="B598" s="76" t="str">
        <f>IFERROR(__xludf.DUMMYFUNCTION("""COMPUTED_VALUE"""),"Check api id from database and download jrmxl file                                    ")</f>
        <v>Check api id from database and download jrmxl file                                    </v>
      </c>
      <c r="C598" s="82">
        <f>IFERROR(__xludf.DUMMYFUNCTION("""COMPUTED_VALUE"""),5058.0)</f>
        <v>5058</v>
      </c>
      <c r="D598" s="76" t="str">
        <f>IFERROR(__xludf.DUMMYFUNCTION("""COMPUTED_VALUE"""),"TR_phd_NEW_FORMAT")</f>
        <v>TR_phd_NEW_FORMAT</v>
      </c>
      <c r="E598" s="84">
        <f>IFERROR(__xludf.DUMMYFUNCTION("""COMPUTED_VALUE"""),46113.70834638889)</f>
        <v>46113.70835</v>
      </c>
      <c r="F598" s="86">
        <f>IFERROR(__xludf.DUMMYFUNCTION("""COMPUTED_VALUE"""),46113.54969751157)</f>
        <v>46113.5497</v>
      </c>
      <c r="G598" s="86" t="str">
        <f>IFERROR(__xludf.DUMMYFUNCTION("""COMPUTED_VALUE"""),"Done")</f>
        <v>Done</v>
      </c>
      <c r="H598" s="88">
        <f>IFERROR(__xludf.DUMMYFUNCTION("""COMPUTED_VALUE"""),0.0)</f>
        <v>0</v>
      </c>
      <c r="I598" s="90" t="str">
        <f>IFERROR(__xludf.DUMMYFUNCTION("""COMPUTED_VALUE"""),"EMP0021 Tamanna Dewangan")</f>
        <v>EMP0021 Tamanna Dewangan</v>
      </c>
      <c r="J598" s="91"/>
    </row>
    <row r="599">
      <c r="B599" s="76" t="str">
        <f>IFERROR(__xludf.DUMMYFUNCTION("""COMPUTED_VALUE"""),"Check api id from database and download jrmxl file                                    ")</f>
        <v>Check api id from database and download jrmxl file                                    </v>
      </c>
      <c r="C599" s="82">
        <f>IFERROR(__xludf.DUMMYFUNCTION("""COMPUTED_VALUE"""),5059.0)</f>
        <v>5059</v>
      </c>
      <c r="D599" s="76" t="str">
        <f>IFERROR(__xludf.DUMMYFUNCTION("""COMPUTED_VALUE"""),"TR REPORT")</f>
        <v>TR REPORT</v>
      </c>
      <c r="E599" s="84">
        <f>IFERROR(__xludf.DUMMYFUNCTION("""COMPUTED_VALUE"""),46114.45)</f>
        <v>46114.45</v>
      </c>
      <c r="F599" s="86">
        <f>IFERROR(__xludf.DUMMYFUNCTION("""COMPUTED_VALUE"""),46113.783567997685)</f>
        <v>46113.78357</v>
      </c>
      <c r="G599" s="86" t="str">
        <f>IFERROR(__xludf.DUMMYFUNCTION("""COMPUTED_VALUE"""),"Done")</f>
        <v>Done</v>
      </c>
      <c r="H599" s="88">
        <f>IFERROR(__xludf.DUMMYFUNCTION("""COMPUTED_VALUE"""),0.0)</f>
        <v>0</v>
      </c>
      <c r="I599" s="90" t="str">
        <f>IFERROR(__xludf.DUMMYFUNCTION("""COMPUTED_VALUE"""),"EMP5009 Rup Kumar Mandal")</f>
        <v>EMP5009 Rup Kumar Mandal</v>
      </c>
      <c r="J599" s="91"/>
    </row>
    <row r="600">
      <c r="B600" s="76" t="str">
        <f>IFERROR(__xludf.DUMMYFUNCTION("""COMPUTED_VALUE"""),"Check api id from database and download jrmxl file                                    ")</f>
        <v>Check api id from database and download jrmxl file                                    </v>
      </c>
      <c r="C600" s="82">
        <f>IFERROR(__xludf.DUMMYFUNCTION("""COMPUTED_VALUE"""),5060.0)</f>
        <v>5060</v>
      </c>
      <c r="D600" s="76" t="str">
        <f>IFERROR(__xludf.DUMMYFUNCTION("""COMPUTED_VALUE"""),"RESULT DATA FORMATE")</f>
        <v>RESULT DATA FORMATE</v>
      </c>
      <c r="E600" s="84">
        <f>IFERROR(__xludf.DUMMYFUNCTION("""COMPUTED_VALUE"""),46114.45208333334)</f>
        <v>46114.45208</v>
      </c>
      <c r="F600" s="86">
        <f>IFERROR(__xludf.DUMMYFUNCTION("""COMPUTED_VALUE"""),46113.783567997685)</f>
        <v>46113.78357</v>
      </c>
      <c r="G600" s="86" t="str">
        <f>IFERROR(__xludf.DUMMYFUNCTION("""COMPUTED_VALUE"""),"Done")</f>
        <v>Done</v>
      </c>
      <c r="H600" s="88">
        <f>IFERROR(__xludf.DUMMYFUNCTION("""COMPUTED_VALUE"""),0.0)</f>
        <v>0</v>
      </c>
      <c r="I600" s="90" t="str">
        <f>IFERROR(__xludf.DUMMYFUNCTION("""COMPUTED_VALUE"""),"EMP5009 Rup Kumar Mandal")</f>
        <v>EMP5009 Rup Kumar Mandal</v>
      </c>
      <c r="J600" s="91"/>
    </row>
    <row r="601">
      <c r="B601" s="76" t="str">
        <f>IFERROR(__xludf.DUMMYFUNCTION("""COMPUTED_VALUE"""),"Check api id from database and download jrmxl file                                    ")</f>
        <v>Check api id from database and download jrmxl file                                    </v>
      </c>
      <c r="C601" s="82">
        <f>IFERROR(__xludf.DUMMYFUNCTION("""COMPUTED_VALUE"""),5061.0)</f>
        <v>5061</v>
      </c>
      <c r="D601" s="76" t="str">
        <f>IFERROR(__xludf.DUMMYFUNCTION("""COMPUTED_VALUE"""),"College filter change to all")</f>
        <v>College filter change to all</v>
      </c>
      <c r="E601" s="84">
        <f>IFERROR(__xludf.DUMMYFUNCTION("""COMPUTED_VALUE"""),46114.47777777778)</f>
        <v>46114.47778</v>
      </c>
      <c r="F601" s="86">
        <f>IFERROR(__xludf.DUMMYFUNCTION("""COMPUTED_VALUE"""),46113.783567997685)</f>
        <v>46113.78357</v>
      </c>
      <c r="G601" s="86" t="str">
        <f>IFERROR(__xludf.DUMMYFUNCTION("""COMPUTED_VALUE"""),"Done")</f>
        <v>Done</v>
      </c>
      <c r="H601" s="88">
        <f>IFERROR(__xludf.DUMMYFUNCTION("""COMPUTED_VALUE"""),0.0)</f>
        <v>0</v>
      </c>
      <c r="I601" s="90" t="str">
        <f>IFERROR(__xludf.DUMMYFUNCTION("""COMPUTED_VALUE"""),"EMP0021 Tamanna Dewangan")</f>
        <v>EMP0021 Tamanna Dewangan</v>
      </c>
      <c r="J601" s="91"/>
    </row>
    <row r="602">
      <c r="B602" s="76" t="str">
        <f>IFERROR(__xludf.DUMMYFUNCTION("""COMPUTED_VALUE"""),"Check api id from database and download jrmxl file                                    ")</f>
        <v>Check api id from database and download jrmxl file                                    </v>
      </c>
      <c r="C602" s="82">
        <f>IFERROR(__xludf.DUMMYFUNCTION("""COMPUTED_VALUE"""),5062.0)</f>
        <v>5062</v>
      </c>
      <c r="D602" s="76" t="str">
        <f>IFERROR(__xludf.DUMMYFUNCTION("""COMPUTED_VALUE"""),"download TR but downloaded marksheet but TR is not downloading")</f>
        <v>download TR but downloaded marksheet but TR is not downloading</v>
      </c>
      <c r="E602" s="84">
        <f>IFERROR(__xludf.DUMMYFUNCTION("""COMPUTED_VALUE"""),46114.490277777775)</f>
        <v>46114.49028</v>
      </c>
      <c r="F602" s="86">
        <f>IFERROR(__xludf.DUMMYFUNCTION("""COMPUTED_VALUE"""),46113.783567997685)</f>
        <v>46113.78357</v>
      </c>
      <c r="G602" s="86" t="str">
        <f>IFERROR(__xludf.DUMMYFUNCTION("""COMPUTED_VALUE"""),"Done")</f>
        <v>Done</v>
      </c>
      <c r="H602" s="88">
        <f>IFERROR(__xludf.DUMMYFUNCTION("""COMPUTED_VALUE"""),0.0)</f>
        <v>0</v>
      </c>
      <c r="I602" s="90" t="str">
        <f>IFERROR(__xludf.DUMMYFUNCTION("""COMPUTED_VALUE"""),"EMP0042 HULESHWAR KUMAR SAHU")</f>
        <v>EMP0042 HULESHWAR KUMAR SAHU</v>
      </c>
      <c r="J602" s="91"/>
    </row>
    <row r="603">
      <c r="B603" s="76" t="str">
        <f>IFERROR(__xludf.DUMMYFUNCTION("""COMPUTED_VALUE"""),"Check api id from database and download jrmxl file                                    ")</f>
        <v>Check api id from database and download jrmxl file                                    </v>
      </c>
      <c r="C603" s="82">
        <f>IFERROR(__xludf.DUMMYFUNCTION("""COMPUTED_VALUE"""),5063.0)</f>
        <v>5063</v>
      </c>
      <c r="D603" s="76" t="str">
        <f>IFERROR(__xludf.DUMMYFUNCTION("""COMPUTED_VALUE"""),"TR")</f>
        <v>TR</v>
      </c>
      <c r="E603" s="84">
        <f>IFERROR(__xludf.DUMMYFUNCTION("""COMPUTED_VALUE"""),46114.493055555555)</f>
        <v>46114.49306</v>
      </c>
      <c r="F603" s="86">
        <f>IFERROR(__xludf.DUMMYFUNCTION("""COMPUTED_VALUE"""),46113.78358116898)</f>
        <v>46113.78358</v>
      </c>
      <c r="G603" s="86" t="str">
        <f>IFERROR(__xludf.DUMMYFUNCTION("""COMPUTED_VALUE"""),"Done")</f>
        <v>Done</v>
      </c>
      <c r="H603" s="88">
        <f>IFERROR(__xludf.DUMMYFUNCTION("""COMPUTED_VALUE"""),0.0)</f>
        <v>0</v>
      </c>
      <c r="I603" s="90" t="str">
        <f>IFERROR(__xludf.DUMMYFUNCTION("""COMPUTED_VALUE"""),"EMP0042 HULESHWAR KUMAR SAHU")</f>
        <v>EMP0042 HULESHWAR KUMAR SAHU</v>
      </c>
      <c r="J603" s="91"/>
    </row>
    <row r="604">
      <c r="B604" s="76" t="str">
        <f>IFERROR(__xludf.DUMMYFUNCTION("""COMPUTED_VALUE"""),"Check api id from database and download jrmxl file                                    ")</f>
        <v>Check api id from database and download jrmxl file                                    </v>
      </c>
      <c r="C604" s="82">
        <f>IFERROR(__xludf.DUMMYFUNCTION("""COMPUTED_VALUE"""),5064.0)</f>
        <v>5064</v>
      </c>
      <c r="D604" s="76" t="str">
        <f>IFERROR(__xludf.DUMMYFUNCTION("""COMPUTED_VALUE"""),"Press Release")</f>
        <v>Press Release</v>
      </c>
      <c r="E604" s="84">
        <f>IFERROR(__xludf.DUMMYFUNCTION("""COMPUTED_VALUE"""),46114.49375)</f>
        <v>46114.49375</v>
      </c>
      <c r="F604" s="86">
        <f>IFERROR(__xludf.DUMMYFUNCTION("""COMPUTED_VALUE"""),46113.78359075232)</f>
        <v>46113.78359</v>
      </c>
      <c r="G604" s="86" t="str">
        <f>IFERROR(__xludf.DUMMYFUNCTION("""COMPUTED_VALUE"""),"Done")</f>
        <v>Done</v>
      </c>
      <c r="H604" s="88">
        <f>IFERROR(__xludf.DUMMYFUNCTION("""COMPUTED_VALUE"""),0.0)</f>
        <v>0</v>
      </c>
      <c r="I604" s="90" t="str">
        <f>IFERROR(__xludf.DUMMYFUNCTION("""COMPUTED_VALUE"""),"EMP0042 HULESHWAR KUMAR SAHU")</f>
        <v>EMP0042 HULESHWAR KUMAR SAHU</v>
      </c>
      <c r="J604" s="91"/>
    </row>
    <row r="605">
      <c r="B605" s="76" t="str">
        <f>IFERROR(__xludf.DUMMYFUNCTION("""COMPUTED_VALUE"""),"Check api id from database and download jrmxl file                                    ")</f>
        <v>Check api id from database and download jrmxl file                                    </v>
      </c>
      <c r="C605" s="82">
        <f>IFERROR(__xludf.DUMMYFUNCTION("""COMPUTED_VALUE"""),5065.0)</f>
        <v>5065</v>
      </c>
      <c r="D605" s="76" t="str">
        <f>IFERROR(__xludf.DUMMYFUNCTION("""COMPUTED_VALUE"""),"Pre Processing Error")</f>
        <v>Pre Processing Error</v>
      </c>
      <c r="E605" s="84">
        <f>IFERROR(__xludf.DUMMYFUNCTION("""COMPUTED_VALUE"""),46114.74838469907)</f>
        <v>46114.74838</v>
      </c>
      <c r="F605" s="86">
        <f>IFERROR(__xludf.DUMMYFUNCTION("""COMPUTED_VALUE"""),46114.61485241898)</f>
        <v>46114.61485</v>
      </c>
      <c r="G605" s="86" t="str">
        <f>IFERROR(__xludf.DUMMYFUNCTION("""COMPUTED_VALUE"""),"Done")</f>
        <v>Done</v>
      </c>
      <c r="H605" s="88">
        <f>IFERROR(__xludf.DUMMYFUNCTION("""COMPUTED_VALUE"""),0.0)</f>
        <v>0</v>
      </c>
      <c r="I605" s="90" t="str">
        <f>IFERROR(__xludf.DUMMYFUNCTION("""COMPUTED_VALUE"""),"EMP0237 Swarnendu Chakraborty")</f>
        <v>EMP0237 Swarnendu Chakraborty</v>
      </c>
      <c r="J605" s="91"/>
    </row>
    <row r="606">
      <c r="B606" s="76" t="str">
        <f>IFERROR(__xludf.DUMMYFUNCTION("""COMPUTED_VALUE"""),"Check api id from database and download jrmxl file                                    ")</f>
        <v>Check api id from database and download jrmxl file                                    </v>
      </c>
      <c r="C606" s="82">
        <f>IFERROR(__xludf.DUMMYFUNCTION("""COMPUTED_VALUE"""),5066.0)</f>
        <v>5066</v>
      </c>
      <c r="D606" s="76" t="str">
        <f>IFERROR(__xludf.DUMMYFUNCTION("""COMPUTED_VALUE"""),"Pre Processing Error ")</f>
        <v>Pre Processing Error </v>
      </c>
      <c r="E606" s="84">
        <f>IFERROR(__xludf.DUMMYFUNCTION("""COMPUTED_VALUE"""),46114.8108072801)</f>
        <v>46114.81081</v>
      </c>
      <c r="F606" s="86">
        <f>IFERROR(__xludf.DUMMYFUNCTION("""COMPUTED_VALUE"""),46114.68030035879)</f>
        <v>46114.6803</v>
      </c>
      <c r="G606" s="86" t="str">
        <f>IFERROR(__xludf.DUMMYFUNCTION("""COMPUTED_VALUE"""),"Done")</f>
        <v>Done</v>
      </c>
      <c r="H606" s="88">
        <f>IFERROR(__xludf.DUMMYFUNCTION("""COMPUTED_VALUE"""),0.0)</f>
        <v>0</v>
      </c>
      <c r="I606" s="90" t="str">
        <f>IFERROR(__xludf.DUMMYFUNCTION("""COMPUTED_VALUE"""),"EMP0237 Swarnendu Chakraborty")</f>
        <v>EMP0237 Swarnendu Chakraborty</v>
      </c>
      <c r="J606" s="91"/>
    </row>
    <row r="607">
      <c r="B607" s="76" t="str">
        <f>IFERROR(__xludf.DUMMYFUNCTION("""COMPUTED_VALUE"""),"Check api id from database and download jrmxl file                                    ")</f>
        <v>Check api id from database and download jrmxl file                                    </v>
      </c>
      <c r="C607" s="82">
        <f>IFERROR(__xludf.DUMMYFUNCTION("""COMPUTED_VALUE"""),5067.0)</f>
        <v>5067</v>
      </c>
      <c r="D607" s="76" t="str">
        <f>IFERROR(__xludf.DUMMYFUNCTION("""COMPUTED_VALUE"""),"REVEL FORM")</f>
        <v>REVEL FORM</v>
      </c>
      <c r="E607" s="84">
        <f>IFERROR(__xludf.DUMMYFUNCTION("""COMPUTED_VALUE"""),46115.433333333334)</f>
        <v>46115.43333</v>
      </c>
      <c r="F607" s="86">
        <f>IFERROR(__xludf.DUMMYFUNCTION("""COMPUTED_VALUE"""),46114.6802540625)</f>
        <v>46114.68025</v>
      </c>
      <c r="G607" s="86" t="str">
        <f>IFERROR(__xludf.DUMMYFUNCTION("""COMPUTED_VALUE"""),"Done")</f>
        <v>Done</v>
      </c>
      <c r="H607" s="88">
        <f>IFERROR(__xludf.DUMMYFUNCTION("""COMPUTED_VALUE"""),0.0)</f>
        <v>0</v>
      </c>
      <c r="I607" s="90" t="str">
        <f>IFERROR(__xludf.DUMMYFUNCTION("""COMPUTED_VALUE"""),"EMP0042 HULESHWAR KUMAR SAHU")</f>
        <v>EMP0042 HULESHWAR KUMAR SAHU</v>
      </c>
      <c r="J607" s="91"/>
    </row>
    <row r="608">
      <c r="B608" s="76" t="str">
        <f>IFERROR(__xludf.DUMMYFUNCTION("""COMPUTED_VALUE"""),"Check api id from database and download jrmxl file                                    ")</f>
        <v>Check api id from database and download jrmxl file                                    </v>
      </c>
      <c r="C608" s="82">
        <f>IFERROR(__xludf.DUMMYFUNCTION("""COMPUTED_VALUE"""),5068.0)</f>
        <v>5068</v>
      </c>
      <c r="D608" s="76" t="str">
        <f>IFERROR(__xludf.DUMMYFUNCTION("""COMPUTED_VALUE"""),"RESULT DATA")</f>
        <v>RESULT DATA</v>
      </c>
      <c r="E608" s="84">
        <f>IFERROR(__xludf.DUMMYFUNCTION("""COMPUTED_VALUE"""),46115.43472222222)</f>
        <v>46115.43472</v>
      </c>
      <c r="F608" s="86">
        <f>IFERROR(__xludf.DUMMYFUNCTION("""COMPUTED_VALUE"""),46114.68031925926)</f>
        <v>46114.68032</v>
      </c>
      <c r="G608" s="86" t="str">
        <f>IFERROR(__xludf.DUMMYFUNCTION("""COMPUTED_VALUE"""),"Done")</f>
        <v>Done</v>
      </c>
      <c r="H608" s="88">
        <f>IFERROR(__xludf.DUMMYFUNCTION("""COMPUTED_VALUE"""),0.0)</f>
        <v>0</v>
      </c>
      <c r="I608" s="90" t="str">
        <f>IFERROR(__xludf.DUMMYFUNCTION("""COMPUTED_VALUE"""),"EMP0042 HULESHWAR KUMAR SAHU")</f>
        <v>EMP0042 HULESHWAR KUMAR SAHU</v>
      </c>
      <c r="J608" s="91"/>
    </row>
    <row r="609">
      <c r="B609" s="76" t="str">
        <f>IFERROR(__xludf.DUMMYFUNCTION("""COMPUTED_VALUE"""),"Check api id from database and download jrmxl file                                    ")</f>
        <v>Check api id from database and download jrmxl file                                    </v>
      </c>
      <c r="C609" s="82">
        <f>IFERROR(__xludf.DUMMYFUNCTION("""COMPUTED_VALUE"""),5069.0)</f>
        <v>5069</v>
      </c>
      <c r="D609" s="76" t="str">
        <f>IFERROR(__xludf.DUMMYFUNCTION("""COMPUTED_VALUE"""),"CA/CIA MARK ENTRY")</f>
        <v>CA/CIA MARK ENTRY</v>
      </c>
      <c r="E609" s="84">
        <f>IFERROR(__xludf.DUMMYFUNCTION("""COMPUTED_VALUE"""),46115.64640530093)</f>
        <v>46115.64641</v>
      </c>
      <c r="F609" s="86">
        <f>IFERROR(__xludf.DUMMYFUNCTION("""COMPUTED_VALUE"""),46115.51617155093)</f>
        <v>46115.51617</v>
      </c>
      <c r="G609" s="86" t="str">
        <f>IFERROR(__xludf.DUMMYFUNCTION("""COMPUTED_VALUE"""),"Done")</f>
        <v>Done</v>
      </c>
      <c r="H609" s="88">
        <f>IFERROR(__xludf.DUMMYFUNCTION("""COMPUTED_VALUE"""),0.0)</f>
        <v>0</v>
      </c>
      <c r="I609" s="90" t="str">
        <f>IFERROR(__xludf.DUMMYFUNCTION("""COMPUTED_VALUE"""),"EMP5009 Rup Kumar Mandal")</f>
        <v>EMP5009 Rup Kumar Mandal</v>
      </c>
      <c r="J609" s="91"/>
    </row>
    <row r="610">
      <c r="B610" s="76" t="str">
        <f>IFERROR(__xludf.DUMMYFUNCTION("""COMPUTED_VALUE"""),"Check api id from database and download jrmxl file                                    ")</f>
        <v>Check api id from database and download jrmxl file                                    </v>
      </c>
      <c r="C610" s="82">
        <f>IFERROR(__xludf.DUMMYFUNCTION("""COMPUTED_VALUE"""),5070.0)</f>
        <v>5070</v>
      </c>
      <c r="D610" s="76" t="str">
        <f>IFERROR(__xludf.DUMMYFUNCTION("""COMPUTED_VALUE"""),"grade card pg")</f>
        <v>grade card pg</v>
      </c>
      <c r="E610" s="84">
        <f>IFERROR(__xludf.DUMMYFUNCTION("""COMPUTED_VALUE"""),46115.652616886575)</f>
        <v>46115.65262</v>
      </c>
      <c r="F610" s="86">
        <f>IFERROR(__xludf.DUMMYFUNCTION("""COMPUTED_VALUE"""),46115.51617155093)</f>
        <v>46115.51617</v>
      </c>
      <c r="G610" s="86" t="str">
        <f>IFERROR(__xludf.DUMMYFUNCTION("""COMPUTED_VALUE"""),"Done")</f>
        <v>Done</v>
      </c>
      <c r="H610" s="88">
        <f>IFERROR(__xludf.DUMMYFUNCTION("""COMPUTED_VALUE"""),0.0)</f>
        <v>0</v>
      </c>
      <c r="I610" s="90" t="str">
        <f>IFERROR(__xludf.DUMMYFUNCTION("""COMPUTED_VALUE"""),"EMP5009 Rup Kumar Mandal")</f>
        <v>EMP5009 Rup Kumar Mandal</v>
      </c>
      <c r="J610" s="91"/>
    </row>
    <row r="611">
      <c r="B611" s="76" t="str">
        <f>IFERROR(__xludf.DUMMYFUNCTION("""COMPUTED_VALUE"""),"Check api id from database and download jrmxl file                                    ")</f>
        <v>Check api id from database and download jrmxl file                                    </v>
      </c>
      <c r="C611" s="82">
        <f>IFERROR(__xludf.DUMMYFUNCTION("""COMPUTED_VALUE"""),5071.0)</f>
        <v>5071</v>
      </c>
      <c r="D611" s="76" t="str">
        <f>IFERROR(__xludf.DUMMYFUNCTION("""COMPUTED_VALUE"""),"TR Format (Grading / Non-Grading)")</f>
        <v>TR Format (Grading / Non-Grading)</v>
      </c>
      <c r="E611" s="84">
        <f>IFERROR(__xludf.DUMMYFUNCTION("""COMPUTED_VALUE"""),46115.65642989584)</f>
        <v>46115.65643</v>
      </c>
      <c r="F611" s="86">
        <f>IFERROR(__xludf.DUMMYFUNCTION("""COMPUTED_VALUE"""),46115.516179467595)</f>
        <v>46115.51618</v>
      </c>
      <c r="G611" s="86" t="str">
        <f>IFERROR(__xludf.DUMMYFUNCTION("""COMPUTED_VALUE"""),"Done")</f>
        <v>Done</v>
      </c>
      <c r="H611" s="88">
        <f>IFERROR(__xludf.DUMMYFUNCTION("""COMPUTED_VALUE"""),0.0)</f>
        <v>0</v>
      </c>
      <c r="I611" s="90" t="str">
        <f>IFERROR(__xludf.DUMMYFUNCTION("""COMPUTED_VALUE"""),"EMP0042 HULESHWAR KUMAR SAHU")</f>
        <v>EMP0042 HULESHWAR KUMAR SAHU</v>
      </c>
      <c r="J611" s="91"/>
    </row>
    <row r="612">
      <c r="B612" s="76" t="str">
        <f>IFERROR(__xludf.DUMMYFUNCTION("""COMPUTED_VALUE"""),"Check api id from database and download jrmxl file                                    ")</f>
        <v>Check api id from database and download jrmxl file                                    </v>
      </c>
      <c r="C612" s="82">
        <f>IFERROR(__xludf.DUMMYFUNCTION("""COMPUTED_VALUE"""),5072.0)</f>
        <v>5072</v>
      </c>
      <c r="D612" s="76" t="str">
        <f>IFERROR(__xludf.DUMMYFUNCTION("""COMPUTED_VALUE"""),"MULTIPLE REPOPRT")</f>
        <v>MULTIPLE REPOPRT</v>
      </c>
      <c r="E612" s="84">
        <f>IFERROR(__xludf.DUMMYFUNCTION("""COMPUTED_VALUE"""),46115.718547673605)</f>
        <v>46115.71855</v>
      </c>
      <c r="F612" s="86">
        <f>IFERROR(__xludf.DUMMYFUNCTION("""COMPUTED_VALUE"""),46115.54601277778)</f>
        <v>46115.54601</v>
      </c>
      <c r="G612" s="86" t="str">
        <f>IFERROR(__xludf.DUMMYFUNCTION("""COMPUTED_VALUE"""),"Done")</f>
        <v>Done</v>
      </c>
      <c r="H612" s="88">
        <f>IFERROR(__xludf.DUMMYFUNCTION("""COMPUTED_VALUE"""),0.0)</f>
        <v>0</v>
      </c>
      <c r="I612" s="90" t="str">
        <f>IFERROR(__xludf.DUMMYFUNCTION("""COMPUTED_VALUE"""),"EMP0042 HULESHWAR KUMAR SAHU")</f>
        <v>EMP0042 HULESHWAR KUMAR SAHU</v>
      </c>
      <c r="J612" s="91"/>
    </row>
    <row r="613">
      <c r="B613" s="76" t="str">
        <f>IFERROR(__xludf.DUMMYFUNCTION("""COMPUTED_VALUE"""),"Check api id from database and download jrmxl file                                    ")</f>
        <v>Check api id from database and download jrmxl file                                    </v>
      </c>
      <c r="C613" s="82">
        <f>IFERROR(__xludf.DUMMYFUNCTION("""COMPUTED_VALUE"""),5073.0)</f>
        <v>5073</v>
      </c>
      <c r="D613" s="76" t="str">
        <f>IFERROR(__xludf.DUMMYFUNCTION("""COMPUTED_VALUE"""),"TR ")</f>
        <v>TR </v>
      </c>
      <c r="E613" s="84">
        <f>IFERROR(__xludf.DUMMYFUNCTION("""COMPUTED_VALUE"""),46115.731040057864)</f>
        <v>46115.73104</v>
      </c>
      <c r="F613" s="86">
        <f>IFERROR(__xludf.DUMMYFUNCTION("""COMPUTED_VALUE"""),46115.652737349534)</f>
        <v>46115.65274</v>
      </c>
      <c r="G613" s="86" t="str">
        <f>IFERROR(__xludf.DUMMYFUNCTION("""COMPUTED_VALUE"""),"Done")</f>
        <v>Done</v>
      </c>
      <c r="H613" s="88">
        <f>IFERROR(__xludf.DUMMYFUNCTION("""COMPUTED_VALUE"""),0.0)</f>
        <v>0</v>
      </c>
      <c r="I613" s="90" t="str">
        <f>IFERROR(__xludf.DUMMYFUNCTION("""COMPUTED_VALUE"""),"EMP0042 HULESHWAR KUMAR SAHU")</f>
        <v>EMP0042 HULESHWAR KUMAR SAHU</v>
      </c>
      <c r="J613" s="91"/>
    </row>
    <row r="614">
      <c r="B614" s="76" t="str">
        <f>IFERROR(__xludf.DUMMYFUNCTION("""COMPUTED_VALUE"""),"Check api id from database and download jrmxl file                                    ")</f>
        <v>Check api id from database and download jrmxl file                                    </v>
      </c>
      <c r="C614" s="82">
        <f>IFERROR(__xludf.DUMMYFUNCTION("""COMPUTED_VALUE"""),5074.0)</f>
        <v>5074</v>
      </c>
      <c r="D614" s="76" t="str">
        <f>IFERROR(__xludf.DUMMYFUNCTION("""COMPUTED_VALUE"""),"TR REPORT")</f>
        <v>TR REPORT</v>
      </c>
      <c r="E614" s="84">
        <f>IFERROR(__xludf.DUMMYFUNCTION("""COMPUTED_VALUE"""),46115.79047846064)</f>
        <v>46115.79048</v>
      </c>
      <c r="F614" s="86">
        <f>IFERROR(__xludf.DUMMYFUNCTION("""COMPUTED_VALUE"""),46115.652870289356)</f>
        <v>46115.65287</v>
      </c>
      <c r="G614" s="86" t="str">
        <f>IFERROR(__xludf.DUMMYFUNCTION("""COMPUTED_VALUE"""),"Done")</f>
        <v>Done</v>
      </c>
      <c r="H614" s="88">
        <f>IFERROR(__xludf.DUMMYFUNCTION("""COMPUTED_VALUE"""),0.0)</f>
        <v>0</v>
      </c>
      <c r="I614" s="90" t="str">
        <f>IFERROR(__xludf.DUMMYFUNCTION("""COMPUTED_VALUE"""),"EMP5009 Rup Kumar Mandal")</f>
        <v>EMP5009 Rup Kumar Mandal</v>
      </c>
      <c r="J614" s="91"/>
    </row>
    <row r="615">
      <c r="B615" s="76" t="str">
        <f>IFERROR(__xludf.DUMMYFUNCTION("""COMPUTED_VALUE"""),"Check api id from database and download jrmxl file                                    ")</f>
        <v>Check api id from database and download jrmxl file                                    </v>
      </c>
      <c r="C615" s="82">
        <f>IFERROR(__xludf.DUMMYFUNCTION("""COMPUTED_VALUE"""),5075.0)</f>
        <v>5075</v>
      </c>
      <c r="D615" s="76" t="str">
        <f>IFERROR(__xludf.DUMMYFUNCTION("""COMPUTED_VALUE"""),"Packet Summary Report")</f>
        <v>Packet Summary Report</v>
      </c>
      <c r="E615" s="84">
        <f>IFERROR(__xludf.DUMMYFUNCTION("""COMPUTED_VALUE"""),46118.49371527778)</f>
        <v>46118.49372</v>
      </c>
      <c r="F615" s="86">
        <f>IFERROR(__xludf.DUMMYFUNCTION("""COMPUTED_VALUE"""),46116.67952765046)</f>
        <v>46116.67953</v>
      </c>
      <c r="G615" s="86" t="str">
        <f>IFERROR(__xludf.DUMMYFUNCTION("""COMPUTED_VALUE"""),"Done")</f>
        <v>Done</v>
      </c>
      <c r="H615" s="88">
        <f>IFERROR(__xludf.DUMMYFUNCTION("""COMPUTED_VALUE"""),0.0)</f>
        <v>0</v>
      </c>
      <c r="I615" s="90" t="str">
        <f>IFERROR(__xludf.DUMMYFUNCTION("""COMPUTED_VALUE"""),"EMP0042 HULESHWAR KUMAR SAHU")</f>
        <v>EMP0042 HULESHWAR KUMAR SAHU</v>
      </c>
      <c r="J615" s="91"/>
    </row>
    <row r="616">
      <c r="B616" s="76" t="str">
        <f>IFERROR(__xludf.DUMMYFUNCTION("""COMPUTED_VALUE"""),"Check api id from database and download jrmxl file                                    ")</f>
        <v>Check api id from database and download jrmxl file                                    </v>
      </c>
      <c r="C616" s="82">
        <f>IFERROR(__xludf.DUMMYFUNCTION("""COMPUTED_VALUE"""),5076.0)</f>
        <v>5076</v>
      </c>
      <c r="D616" s="76" t="str">
        <f>IFERROR(__xludf.DUMMYFUNCTION("""COMPUTED_VALUE"""),"PRE PROCESS ERROR STEP-7")</f>
        <v>PRE PROCESS ERROR STEP-7</v>
      </c>
      <c r="E616" s="84">
        <f>IFERROR(__xludf.DUMMYFUNCTION("""COMPUTED_VALUE"""),46118.65446717592)</f>
        <v>46118.65447</v>
      </c>
      <c r="F616" s="86">
        <f>IFERROR(__xludf.DUMMYFUNCTION("""COMPUTED_VALUE"""),46118.48844222222)</f>
        <v>46118.48844</v>
      </c>
      <c r="G616" s="86" t="str">
        <f>IFERROR(__xludf.DUMMYFUNCTION("""COMPUTED_VALUE"""),"Done")</f>
        <v>Done</v>
      </c>
      <c r="H616" s="88">
        <f>IFERROR(__xludf.DUMMYFUNCTION("""COMPUTED_VALUE"""),0.0)</f>
        <v>0</v>
      </c>
      <c r="I616" s="90" t="str">
        <f>IFERROR(__xludf.DUMMYFUNCTION("""COMPUTED_VALUE"""),"EMP0237 Swarnendu Chakraborty")</f>
        <v>EMP0237 Swarnendu Chakraborty</v>
      </c>
      <c r="J616" s="91"/>
    </row>
    <row r="617">
      <c r="B617" s="76" t="str">
        <f>IFERROR(__xludf.DUMMYFUNCTION("""COMPUTED_VALUE"""),"Check api id from database and download jrmxl file                                    ")</f>
        <v>Check api id from database and download jrmxl file                                    </v>
      </c>
      <c r="C617" s="82">
        <f>IFERROR(__xludf.DUMMYFUNCTION("""COMPUTED_VALUE"""),5077.0)</f>
        <v>5077</v>
      </c>
      <c r="D617" s="76" t="str">
        <f>IFERROR(__xludf.DUMMYFUNCTION("""COMPUTED_VALUE"""),"College wise Allotment List")</f>
        <v>College wise Allotment List</v>
      </c>
      <c r="E617" s="84">
        <f>IFERROR(__xludf.DUMMYFUNCTION("""COMPUTED_VALUE"""),46119.45138888889)</f>
        <v>46119.45139</v>
      </c>
      <c r="F617" s="86">
        <f>IFERROR(__xludf.DUMMYFUNCTION("""COMPUTED_VALUE"""),46118.672524953705)</f>
        <v>46118.67252</v>
      </c>
      <c r="G617" s="86" t="str">
        <f>IFERROR(__xludf.DUMMYFUNCTION("""COMPUTED_VALUE"""),"Done")</f>
        <v>Done</v>
      </c>
      <c r="H617" s="88">
        <f>IFERROR(__xludf.DUMMYFUNCTION("""COMPUTED_VALUE"""),0.0)</f>
        <v>0</v>
      </c>
      <c r="I617" s="90" t="str">
        <f>IFERROR(__xludf.DUMMYFUNCTION("""COMPUTED_VALUE"""),"EMP5009 Rup Kumar Mandal")</f>
        <v>EMP5009 Rup Kumar Mandal</v>
      </c>
      <c r="J617" s="91"/>
    </row>
    <row r="618">
      <c r="B618" s="76" t="str">
        <f>IFERROR(__xludf.DUMMYFUNCTION("""COMPUTED_VALUE"""),"Check api id from database and download jrmxl file                                    ")</f>
        <v>Check api id from database and download jrmxl file                                    </v>
      </c>
      <c r="C618" s="82">
        <f>IFERROR(__xludf.DUMMYFUNCTION("""COMPUTED_VALUE"""),5078.0)</f>
        <v>5078</v>
      </c>
      <c r="D618" s="76" t="str">
        <f>IFERROR(__xludf.DUMMYFUNCTION("""COMPUTED_VALUE"""),"NEP")</f>
        <v>NEP</v>
      </c>
      <c r="E618" s="84">
        <f>IFERROR(__xludf.DUMMYFUNCTION("""COMPUTED_VALUE"""),46119.49375)</f>
        <v>46119.49375</v>
      </c>
      <c r="F618" s="86">
        <f>IFERROR(__xludf.DUMMYFUNCTION("""COMPUTED_VALUE"""),46118.761954814814)</f>
        <v>46118.76195</v>
      </c>
      <c r="G618" s="86" t="str">
        <f>IFERROR(__xludf.DUMMYFUNCTION("""COMPUTED_VALUE"""),"Done")</f>
        <v>Done</v>
      </c>
      <c r="H618" s="88">
        <f>IFERROR(__xludf.DUMMYFUNCTION("""COMPUTED_VALUE"""),0.0)</f>
        <v>0</v>
      </c>
      <c r="I618" s="90" t="str">
        <f>IFERROR(__xludf.DUMMYFUNCTION("""COMPUTED_VALUE"""),"EMP0042 HULESHWAR KUMAR SAHU")</f>
        <v>EMP0042 HULESHWAR KUMAR SAHU</v>
      </c>
      <c r="J618" s="91"/>
    </row>
    <row r="619">
      <c r="B619" s="76" t="str">
        <f>IFERROR(__xludf.DUMMYFUNCTION("""COMPUTED_VALUE"""),"Check api id from database and download jrmxl file                                    ")</f>
        <v>Check api id from database and download jrmxl file                                    </v>
      </c>
      <c r="C619" s="82">
        <f>IFERROR(__xludf.DUMMYFUNCTION("""COMPUTED_VALUE"""),5079.0)</f>
        <v>5079</v>
      </c>
      <c r="D619" s="76" t="str">
        <f>IFERROR(__xludf.DUMMYFUNCTION("""COMPUTED_VALUE"""),"3rd Semester B.Sc. Nursing Examination 2025 (II)	Admit Card update	2024-25 (S)	REAPPER")</f>
        <v>3rd Semester B.Sc. Nursing Examination 2025 (II)	Admit Card update	2024-25 (S)	REAPPER</v>
      </c>
      <c r="E619" s="84">
        <f>IFERROR(__xludf.DUMMYFUNCTION("""COMPUTED_VALUE"""),46119.49444444444)</f>
        <v>46119.49444</v>
      </c>
      <c r="F619" s="86">
        <f>IFERROR(__xludf.DUMMYFUNCTION("""COMPUTED_VALUE"""),46118.76199181713)</f>
        <v>46118.76199</v>
      </c>
      <c r="G619" s="86" t="str">
        <f>IFERROR(__xludf.DUMMYFUNCTION("""COMPUTED_VALUE"""),"Done")</f>
        <v>Done</v>
      </c>
      <c r="H619" s="88">
        <f>IFERROR(__xludf.DUMMYFUNCTION("""COMPUTED_VALUE"""),0.0)</f>
        <v>0</v>
      </c>
      <c r="I619" s="90" t="str">
        <f>IFERROR(__xludf.DUMMYFUNCTION("""COMPUTED_VALUE"""),"EMP5009 Rup Kumar Mandal")</f>
        <v>EMP5009 Rup Kumar Mandal</v>
      </c>
      <c r="J619" s="91"/>
    </row>
    <row r="620">
      <c r="B620" s="76" t="str">
        <f>IFERROR(__xludf.DUMMYFUNCTION("""COMPUTED_VALUE"""),"Check api id from database and download jrmxl file                                    ")</f>
        <v>Check api id from database and download jrmxl file                                    </v>
      </c>
      <c r="C620" s="82">
        <f>IFERROR(__xludf.DUMMYFUNCTION("""COMPUTED_VALUE"""),5080.0)</f>
        <v>5080</v>
      </c>
      <c r="D620" s="76" t="str">
        <f>IFERROR(__xludf.DUMMYFUNCTION("""COMPUTED_VALUE"""),"3rd Year B.Sc. Nursing Examination 2025 (II)	Admit Card update	2024-25 (S)	REAPPER")</f>
        <v>3rd Year B.Sc. Nursing Examination 2025 (II)	Admit Card update	2024-25 (S)	REAPPER</v>
      </c>
      <c r="E620" s="84">
        <f>IFERROR(__xludf.DUMMYFUNCTION("""COMPUTED_VALUE"""),46119.495833333334)</f>
        <v>46119.49583</v>
      </c>
      <c r="F620" s="86">
        <f>IFERROR(__xludf.DUMMYFUNCTION("""COMPUTED_VALUE"""),46118.76201322917)</f>
        <v>46118.76201</v>
      </c>
      <c r="G620" s="86" t="str">
        <f>IFERROR(__xludf.DUMMYFUNCTION("""COMPUTED_VALUE"""),"Done")</f>
        <v>Done</v>
      </c>
      <c r="H620" s="88">
        <f>IFERROR(__xludf.DUMMYFUNCTION("""COMPUTED_VALUE"""),0.0)</f>
        <v>0</v>
      </c>
      <c r="I620" s="90" t="str">
        <f>IFERROR(__xludf.DUMMYFUNCTION("""COMPUTED_VALUE"""),"EMP0237 Swarnendu Chakraborty")</f>
        <v>EMP0237 Swarnendu Chakraborty</v>
      </c>
      <c r="J620" s="91"/>
    </row>
    <row r="621">
      <c r="B621" s="76" t="str">
        <f>IFERROR(__xludf.DUMMYFUNCTION("""COMPUTED_VALUE"""),"Check api id from database and download jrmxl file                                    ")</f>
        <v>Check api id from database and download jrmxl file                                    </v>
      </c>
      <c r="C621" s="82">
        <f>IFERROR(__xludf.DUMMYFUNCTION("""COMPUTED_VALUE"""),5081.0)</f>
        <v>5081</v>
      </c>
      <c r="D621" s="76" t="str">
        <f>IFERROR(__xludf.DUMMYFUNCTION("""COMPUTED_VALUE"""),"CUT LIST ")</f>
        <v>CUT LIST </v>
      </c>
      <c r="E621" s="84">
        <f>IFERROR(__xludf.DUMMYFUNCTION("""COMPUTED_VALUE"""),46119.646282835645)</f>
        <v>46119.64628</v>
      </c>
      <c r="F621" s="86">
        <f>IFERROR(__xludf.DUMMYFUNCTION("""COMPUTED_VALUE"""),46119.48477133102)</f>
        <v>46119.48477</v>
      </c>
      <c r="G621" s="86" t="str">
        <f>IFERROR(__xludf.DUMMYFUNCTION("""COMPUTED_VALUE"""),"Done")</f>
        <v>Done</v>
      </c>
      <c r="H621" s="88">
        <f>IFERROR(__xludf.DUMMYFUNCTION("""COMPUTED_VALUE"""),0.0)</f>
        <v>0</v>
      </c>
      <c r="I621" s="90" t="str">
        <f>IFERROR(__xludf.DUMMYFUNCTION("""COMPUTED_VALUE"""),"EMP0042 HULESHWAR KUMAR SAHU")</f>
        <v>EMP0042 HULESHWAR KUMAR SAHU</v>
      </c>
      <c r="J621" s="91"/>
    </row>
    <row r="622">
      <c r="B622" s="76" t="str">
        <f>IFERROR(__xludf.DUMMYFUNCTION("""COMPUTED_VALUE"""),"Check api id from database and download jrmxl file                                    ")</f>
        <v>Check api id from database and download jrmxl file                                    </v>
      </c>
      <c r="C622" s="82">
        <f>IFERROR(__xludf.DUMMYFUNCTION("""COMPUTED_VALUE"""),5082.0)</f>
        <v>5082</v>
      </c>
      <c r="D622" s="76" t="str">
        <f>IFERROR(__xludf.DUMMYFUNCTION("""COMPUTED_VALUE"""),"SCHEME")</f>
        <v>SCHEME</v>
      </c>
      <c r="E622" s="84">
        <f>IFERROR(__xludf.DUMMYFUNCTION("""COMPUTED_VALUE"""),46119.6483244213)</f>
        <v>46119.64832</v>
      </c>
      <c r="F622" s="86">
        <f>IFERROR(__xludf.DUMMYFUNCTION("""COMPUTED_VALUE"""),46119.61168591435)</f>
        <v>46119.61169</v>
      </c>
      <c r="G622" s="86" t="str">
        <f>IFERROR(__xludf.DUMMYFUNCTION("""COMPUTED_VALUE"""),"Done")</f>
        <v>Done</v>
      </c>
      <c r="H622" s="88">
        <f>IFERROR(__xludf.DUMMYFUNCTION("""COMPUTED_VALUE"""),0.0)</f>
        <v>0</v>
      </c>
      <c r="I622" s="90" t="str">
        <f>IFERROR(__xludf.DUMMYFUNCTION("""COMPUTED_VALUE"""),"EMP0042 HULESHWAR KUMAR SAHU")</f>
        <v>EMP0042 HULESHWAR KUMAR SAHU</v>
      </c>
      <c r="J622" s="91"/>
    </row>
    <row r="623">
      <c r="B623" s="76" t="str">
        <f>IFERROR(__xludf.DUMMYFUNCTION("""COMPUTED_VALUE"""),"Check api id from database and download jrmxl file                                    ")</f>
        <v>Check api id from database and download jrmxl file                                    </v>
      </c>
      <c r="C623" s="82">
        <f>IFERROR(__xludf.DUMMYFUNCTION("""COMPUTED_VALUE"""),5083.0)</f>
        <v>5083</v>
      </c>
      <c r="D623" s="76" t="str">
        <f>IFERROR(__xludf.DUMMYFUNCTION("""COMPUTED_VALUE"""),"College  course wise statistic")</f>
        <v>College  course wise statistic</v>
      </c>
      <c r="E623" s="84">
        <f>IFERROR(__xludf.DUMMYFUNCTION("""COMPUTED_VALUE"""),46119.67975646991)</f>
        <v>46119.67976</v>
      </c>
      <c r="F623" s="86">
        <f>IFERROR(__xludf.DUMMYFUNCTION("""COMPUTED_VALUE"""),46119.55420677084)</f>
        <v>46119.55421</v>
      </c>
      <c r="G623" s="86" t="str">
        <f>IFERROR(__xludf.DUMMYFUNCTION("""COMPUTED_VALUE"""),"Done")</f>
        <v>Done</v>
      </c>
      <c r="H623" s="88">
        <f>IFERROR(__xludf.DUMMYFUNCTION("""COMPUTED_VALUE"""),0.0)</f>
        <v>0</v>
      </c>
      <c r="I623" s="90" t="str">
        <f>IFERROR(__xludf.DUMMYFUNCTION("""COMPUTED_VALUE"""),"EMP0021 Tamanna Dewangan")</f>
        <v>EMP0021 Tamanna Dewangan</v>
      </c>
      <c r="J623" s="91"/>
    </row>
    <row r="624">
      <c r="B624" s="76" t="str">
        <f>IFERROR(__xludf.DUMMYFUNCTION("""COMPUTED_VALUE"""),"Check api id from database and download jrmxl file                                    ")</f>
        <v>Check api id from database and download jrmxl file                                    </v>
      </c>
      <c r="C624" s="82">
        <f>IFERROR(__xludf.DUMMYFUNCTION("""COMPUTED_VALUE"""),5084.0)</f>
        <v>5084</v>
      </c>
      <c r="D624" s="76" t="str">
        <f>IFERROR(__xludf.DUMMYFUNCTION("""COMPUTED_VALUE"""),"College statistic")</f>
        <v>College statistic</v>
      </c>
      <c r="E624" s="84">
        <f>IFERROR(__xludf.DUMMYFUNCTION("""COMPUTED_VALUE"""),46119.683939282404)</f>
        <v>46119.68394</v>
      </c>
      <c r="F624" s="86">
        <f>IFERROR(__xludf.DUMMYFUNCTION("""COMPUTED_VALUE"""),46119.611196203696)</f>
        <v>46119.6112</v>
      </c>
      <c r="G624" s="86" t="str">
        <f>IFERROR(__xludf.DUMMYFUNCTION("""COMPUTED_VALUE"""),"Done")</f>
        <v>Done</v>
      </c>
      <c r="H624" s="88">
        <f>IFERROR(__xludf.DUMMYFUNCTION("""COMPUTED_VALUE"""),0.0)</f>
        <v>0</v>
      </c>
      <c r="I624" s="90" t="str">
        <f>IFERROR(__xludf.DUMMYFUNCTION("""COMPUTED_VALUE"""),"EMP5009 Rup Kumar Mandal")</f>
        <v>EMP5009 Rup Kumar Mandal</v>
      </c>
      <c r="J624" s="91"/>
    </row>
    <row r="625">
      <c r="B625" s="76" t="str">
        <f>IFERROR(__xludf.DUMMYFUNCTION("""COMPUTED_VALUE"""),"Check api id from database and download jrmxl file                                    ")</f>
        <v>Check api id from database and download jrmxl file                                    </v>
      </c>
      <c r="C625" s="82">
        <f>IFERROR(__xludf.DUMMYFUNCTION("""COMPUTED_VALUE"""),5085.0)</f>
        <v>5085</v>
      </c>
      <c r="D625" s="76" t="str">
        <f>IFERROR(__xludf.DUMMYFUNCTION("""COMPUTED_VALUE"""),"Grade Card NEP (PG)")</f>
        <v>Grade Card NEP (PG)</v>
      </c>
      <c r="E625" s="84">
        <f>IFERROR(__xludf.DUMMYFUNCTION("""COMPUTED_VALUE"""),46119.704382407406)</f>
        <v>46119.70438</v>
      </c>
      <c r="F625" s="86">
        <f>IFERROR(__xludf.DUMMYFUNCTION("""COMPUTED_VALUE"""),46119.55420297454)</f>
        <v>46119.5542</v>
      </c>
      <c r="G625" s="86" t="str">
        <f>IFERROR(__xludf.DUMMYFUNCTION("""COMPUTED_VALUE"""),"Done")</f>
        <v>Done</v>
      </c>
      <c r="H625" s="88">
        <f>IFERROR(__xludf.DUMMYFUNCTION("""COMPUTED_VALUE"""),0.0)</f>
        <v>0</v>
      </c>
      <c r="I625" s="90" t="str">
        <f>IFERROR(__xludf.DUMMYFUNCTION("""COMPUTED_VALUE"""),"EMP5009 Rup Kumar Mandal")</f>
        <v>EMP5009 Rup Kumar Mandal</v>
      </c>
      <c r="J625" s="91"/>
    </row>
    <row r="626">
      <c r="B626" s="76" t="str">
        <f>IFERROR(__xludf.DUMMYFUNCTION("""COMPUTED_VALUE"""),"Check api id from database and download jrmxl file                                    ")</f>
        <v>Check api id from database and download jrmxl file                                    </v>
      </c>
      <c r="C626" s="82">
        <f>IFERROR(__xludf.DUMMYFUNCTION("""COMPUTED_VALUE"""),5086.0)</f>
        <v>5086</v>
      </c>
      <c r="D626" s="76" t="str">
        <f>IFERROR(__xludf.DUMMYFUNCTION("""COMPUTED_VALUE"""),"Multiple reports ")</f>
        <v>Multiple reports </v>
      </c>
      <c r="E626" s="84">
        <f>IFERROR(__xludf.DUMMYFUNCTION("""COMPUTED_VALUE"""),46120.45833333333)</f>
        <v>46120.45833</v>
      </c>
      <c r="F626" s="86">
        <f>IFERROR(__xludf.DUMMYFUNCTION("""COMPUTED_VALUE"""),46119.70869518518)</f>
        <v>46119.7087</v>
      </c>
      <c r="G626" s="86" t="str">
        <f>IFERROR(__xludf.DUMMYFUNCTION("""COMPUTED_VALUE"""),"Done")</f>
        <v>Done</v>
      </c>
      <c r="H626" s="88">
        <f>IFERROR(__xludf.DUMMYFUNCTION("""COMPUTED_VALUE"""),0.0)</f>
        <v>0</v>
      </c>
      <c r="I626" s="90" t="str">
        <f>IFERROR(__xludf.DUMMYFUNCTION("""COMPUTED_VALUE"""),"EMP0042 HULESHWAR KUMAR SAHU")</f>
        <v>EMP0042 HULESHWAR KUMAR SAHU</v>
      </c>
      <c r="J626" s="91"/>
    </row>
    <row r="627">
      <c r="B627" s="76" t="str">
        <f>IFERROR(__xludf.DUMMYFUNCTION("""COMPUTED_VALUE"""),"Check api id from database and download jrmxl file                                    ")</f>
        <v>Check api id from database and download jrmxl file                                    </v>
      </c>
      <c r="C627" s="82">
        <f>IFERROR(__xludf.DUMMYFUNCTION("""COMPUTED_VALUE"""),5087.0)</f>
        <v>5087</v>
      </c>
      <c r="D627" s="76" t="str">
        <f>IFERROR(__xludf.DUMMYFUNCTION("""COMPUTED_VALUE"""),"Multiple reports ")</f>
        <v>Multiple reports </v>
      </c>
      <c r="E627" s="84">
        <f>IFERROR(__xludf.DUMMYFUNCTION("""COMPUTED_VALUE"""),46120.472916666666)</f>
        <v>46120.47292</v>
      </c>
      <c r="F627" s="86">
        <f>IFERROR(__xludf.DUMMYFUNCTION("""COMPUTED_VALUE"""),46119.71916008102)</f>
        <v>46119.71916</v>
      </c>
      <c r="G627" s="86" t="str">
        <f>IFERROR(__xludf.DUMMYFUNCTION("""COMPUTED_VALUE"""),"Done")</f>
        <v>Done</v>
      </c>
      <c r="H627" s="88">
        <f>IFERROR(__xludf.DUMMYFUNCTION("""COMPUTED_VALUE"""),0.0)</f>
        <v>0</v>
      </c>
      <c r="I627" s="90" t="str">
        <f>IFERROR(__xludf.DUMMYFUNCTION("""COMPUTED_VALUE"""),"EMP0021 Tamanna Dewangan")</f>
        <v>EMP0021 Tamanna Dewangan</v>
      </c>
      <c r="J627" s="91"/>
    </row>
    <row r="628">
      <c r="B628" s="76" t="str">
        <f>IFERROR(__xludf.DUMMYFUNCTION("""COMPUTED_VALUE"""),"Check api id from database and download jrmxl file                                    ")</f>
        <v>Check api id from database and download jrmxl file                                    </v>
      </c>
      <c r="C628" s="82">
        <f>IFERROR(__xludf.DUMMYFUNCTION("""COMPUTED_VALUE"""),5088.0)</f>
        <v>5088</v>
      </c>
      <c r="D628" s="76" t="str">
        <f>IFERROR(__xludf.DUMMYFUNCTION("""COMPUTED_VALUE"""),"UPSHASTRI MARKSHEET")</f>
        <v>UPSHASTRI MARKSHEET</v>
      </c>
      <c r="E628" s="84">
        <f>IFERROR(__xludf.DUMMYFUNCTION("""COMPUTED_VALUE"""),46120.68463195601)</f>
        <v>46120.68463</v>
      </c>
      <c r="F628" s="86">
        <f>IFERROR(__xludf.DUMMYFUNCTION("""COMPUTED_VALUE"""),46120.622104027774)</f>
        <v>46120.6221</v>
      </c>
      <c r="G628" s="86" t="str">
        <f>IFERROR(__xludf.DUMMYFUNCTION("""COMPUTED_VALUE"""),"Done")</f>
        <v>Done</v>
      </c>
      <c r="H628" s="88">
        <f>IFERROR(__xludf.DUMMYFUNCTION("""COMPUTED_VALUE"""),0.0)</f>
        <v>0</v>
      </c>
      <c r="I628" s="90" t="str">
        <f>IFERROR(__xludf.DUMMYFUNCTION("""COMPUTED_VALUE"""),"EMP0237 Swarnendu Chakraborty")</f>
        <v>EMP0237 Swarnendu Chakraborty</v>
      </c>
      <c r="J628" s="91"/>
    </row>
    <row r="629">
      <c r="B629" s="76" t="str">
        <f>IFERROR(__xludf.DUMMYFUNCTION("""COMPUTED_VALUE"""),"Check api id from database and download jrmxl file                                    ")</f>
        <v>Check api id from database and download jrmxl file                                    </v>
      </c>
      <c r="C629" s="82">
        <f>IFERROR(__xludf.DUMMYFUNCTION("""COMPUTED_VALUE"""),5089.0)</f>
        <v>5089</v>
      </c>
      <c r="D629" s="76" t="str">
        <f>IFERROR(__xludf.DUMMYFUNCTION("""COMPUTED_VALUE"""),"Marksheet Paramedical")</f>
        <v>Marksheet Paramedical</v>
      </c>
      <c r="E629" s="84">
        <f>IFERROR(__xludf.DUMMYFUNCTION("""COMPUTED_VALUE"""),46120.708593275456)</f>
        <v>46120.70859</v>
      </c>
      <c r="F629" s="86">
        <f>IFERROR(__xludf.DUMMYFUNCTION("""COMPUTED_VALUE"""),46120.6221472338)</f>
        <v>46120.62215</v>
      </c>
      <c r="G629" s="86" t="str">
        <f>IFERROR(__xludf.DUMMYFUNCTION("""COMPUTED_VALUE"""),"Done")</f>
        <v>Done</v>
      </c>
      <c r="H629" s="88">
        <f>IFERROR(__xludf.DUMMYFUNCTION("""COMPUTED_VALUE"""),0.0)</f>
        <v>0</v>
      </c>
      <c r="I629" s="90" t="str">
        <f>IFERROR(__xludf.DUMMYFUNCTION("""COMPUTED_VALUE"""),"EMP0042 HULESHWAR KUMAR SAHU")</f>
        <v>EMP0042 HULESHWAR KUMAR SAHU</v>
      </c>
      <c r="J629" s="91"/>
    </row>
    <row r="630">
      <c r="B630" s="76" t="str">
        <f>IFERROR(__xludf.DUMMYFUNCTION("""COMPUTED_VALUE"""),"Check api id from database and download jrmxl file                                    ")</f>
        <v>Check api id from database and download jrmxl file                                    </v>
      </c>
      <c r="C630" s="82">
        <f>IFERROR(__xludf.DUMMYFUNCTION("""COMPUTED_VALUE"""),5090.0)</f>
        <v>5090</v>
      </c>
      <c r="D630" s="76" t="str">
        <f>IFERROR(__xludf.DUMMYFUNCTION("""COMPUTED_VALUE"""),"Methodology Deviation Report")</f>
        <v>Methodology Deviation Report</v>
      </c>
      <c r="E630" s="84">
        <f>IFERROR(__xludf.DUMMYFUNCTION("""COMPUTED_VALUE"""),46121.47430555556)</f>
        <v>46121.47431</v>
      </c>
      <c r="F630" s="86">
        <f>IFERROR(__xludf.DUMMYFUNCTION("""COMPUTED_VALUE"""),46120.73081134259)</f>
        <v>46120.73081</v>
      </c>
      <c r="G630" s="86" t="str">
        <f>IFERROR(__xludf.DUMMYFUNCTION("""COMPUTED_VALUE"""),"Done")</f>
        <v>Done</v>
      </c>
      <c r="H630" s="88">
        <f>IFERROR(__xludf.DUMMYFUNCTION("""COMPUTED_VALUE"""),0.0)</f>
        <v>0</v>
      </c>
      <c r="I630" s="90" t="str">
        <f>IFERROR(__xludf.DUMMYFUNCTION("""COMPUTED_VALUE"""),"EMP0042 HULESHWAR KUMAR SAHU")</f>
        <v>EMP0042 HULESHWAR KUMAR SAHU</v>
      </c>
      <c r="J630" s="91"/>
    </row>
    <row r="631">
      <c r="B631" s="76" t="str">
        <f>IFERROR(__xludf.DUMMYFUNCTION("""COMPUTED_VALUE"""),"Check api id from database and download jrmxl file                                    ")</f>
        <v>Check api id from database and download jrmxl file                                    </v>
      </c>
      <c r="C631" s="82">
        <f>IFERROR(__xludf.DUMMYFUNCTION("""COMPUTED_VALUE"""),5091.0)</f>
        <v>5091</v>
      </c>
      <c r="D631" s="76" t="str">
        <f>IFERROR(__xludf.DUMMYFUNCTION("""COMPUTED_VALUE"""),"TR")</f>
        <v>TR</v>
      </c>
      <c r="E631" s="84">
        <f>IFERROR(__xludf.DUMMYFUNCTION("""COMPUTED_VALUE"""),46121.48333333334)</f>
        <v>46121.48333</v>
      </c>
      <c r="F631" s="86">
        <f>IFERROR(__xludf.DUMMYFUNCTION("""COMPUTED_VALUE"""),46120.73110145833)</f>
        <v>46120.7311</v>
      </c>
      <c r="G631" s="86" t="str">
        <f>IFERROR(__xludf.DUMMYFUNCTION("""COMPUTED_VALUE"""),"Done")</f>
        <v>Done</v>
      </c>
      <c r="H631" s="88">
        <f>IFERROR(__xludf.DUMMYFUNCTION("""COMPUTED_VALUE"""),0.0)</f>
        <v>0</v>
      </c>
      <c r="I631" s="90" t="str">
        <f>IFERROR(__xludf.DUMMYFUNCTION("""COMPUTED_VALUE"""),"EMP0021 Tamanna Dewangan")</f>
        <v>EMP0021 Tamanna Dewangan</v>
      </c>
      <c r="J631" s="91"/>
    </row>
    <row r="632">
      <c r="B632" s="76" t="str">
        <f>IFERROR(__xludf.DUMMYFUNCTION("""COMPUTED_VALUE"""),"Check api id from database and download jrmxl file                                    ")</f>
        <v>Check api id from database and download jrmxl file                                    </v>
      </c>
      <c r="C632" s="82">
        <f>IFERROR(__xludf.DUMMYFUNCTION("""COMPUTED_VALUE"""),5092.0)</f>
        <v>5092</v>
      </c>
      <c r="D632" s="76" t="str">
        <f>IFERROR(__xludf.DUMMYFUNCTION("""COMPUTED_VALUE"""),"TR ")</f>
        <v>TR </v>
      </c>
      <c r="E632" s="84">
        <f>IFERROR(__xludf.DUMMYFUNCTION("""COMPUTED_VALUE"""),46121.48402777778)</f>
        <v>46121.48403</v>
      </c>
      <c r="F632" s="86">
        <f>IFERROR(__xludf.DUMMYFUNCTION("""COMPUTED_VALUE"""),46120.73122868055)</f>
        <v>46120.73123</v>
      </c>
      <c r="G632" s="86" t="str">
        <f>IFERROR(__xludf.DUMMYFUNCTION("""COMPUTED_VALUE"""),"Done")</f>
        <v>Done</v>
      </c>
      <c r="H632" s="88">
        <f>IFERROR(__xludf.DUMMYFUNCTION("""COMPUTED_VALUE"""),0.0)</f>
        <v>0</v>
      </c>
      <c r="I632" s="90" t="str">
        <f>IFERROR(__xludf.DUMMYFUNCTION("""COMPUTED_VALUE"""),"EMP0042 HULESHWAR KUMAR SAHU")</f>
        <v>EMP0042 HULESHWAR KUMAR SAHU</v>
      </c>
      <c r="J632" s="91"/>
    </row>
    <row r="633">
      <c r="B633" s="76" t="str">
        <f>IFERROR(__xludf.DUMMYFUNCTION("""COMPUTED_VALUE"""),"Check api id from database and download jrmxl file                                    ")</f>
        <v>Check api id from database and download jrmxl file                                    </v>
      </c>
      <c r="C633" s="82">
        <f>IFERROR(__xludf.DUMMYFUNCTION("""COMPUTED_VALUE"""),5093.0)</f>
        <v>5093</v>
      </c>
      <c r="D633" s="76" t="str">
        <f>IFERROR(__xludf.DUMMYFUNCTION("""COMPUTED_VALUE"""),"TR")</f>
        <v>TR</v>
      </c>
      <c r="E633" s="84">
        <f>IFERROR(__xludf.DUMMYFUNCTION("""COMPUTED_VALUE"""),46121.709633819446)</f>
        <v>46121.70963</v>
      </c>
      <c r="F633" s="86">
        <f>IFERROR(__xludf.DUMMYFUNCTION("""COMPUTED_VALUE"""),46121.64495630787)</f>
        <v>46121.64496</v>
      </c>
      <c r="G633" s="86" t="str">
        <f>IFERROR(__xludf.DUMMYFUNCTION("""COMPUTED_VALUE"""),"Done")</f>
        <v>Done</v>
      </c>
      <c r="H633" s="88">
        <f>IFERROR(__xludf.DUMMYFUNCTION("""COMPUTED_VALUE"""),0.0)</f>
        <v>0</v>
      </c>
      <c r="I633" s="90" t="str">
        <f>IFERROR(__xludf.DUMMYFUNCTION("""COMPUTED_VALUE"""),"EMP5009 Rup Kumar Mandal")</f>
        <v>EMP5009 Rup Kumar Mandal</v>
      </c>
      <c r="J633" s="91"/>
    </row>
    <row r="634">
      <c r="B634" s="76" t="str">
        <f>IFERROR(__xludf.DUMMYFUNCTION("""COMPUTED_VALUE"""),"Check api id from database and download jrmxl file                                    ")</f>
        <v>Check api id from database and download jrmxl file                                    </v>
      </c>
      <c r="C634" s="82">
        <f>IFERROR(__xludf.DUMMYFUNCTION("""COMPUTED_VALUE"""),5094.0)</f>
        <v>5094</v>
      </c>
      <c r="D634" s="76" t="str">
        <f>IFERROR(__xludf.DUMMYFUNCTION("""COMPUTED_VALUE"""),"Result Data")</f>
        <v>Result Data</v>
      </c>
      <c r="E634" s="84">
        <f>IFERROR(__xludf.DUMMYFUNCTION("""COMPUTED_VALUE"""),46121.74421846065)</f>
        <v>46121.74422</v>
      </c>
      <c r="F634" s="86">
        <f>IFERROR(__xludf.DUMMYFUNCTION("""COMPUTED_VALUE"""),46121.64497021991)</f>
        <v>46121.64497</v>
      </c>
      <c r="G634" s="86" t="str">
        <f>IFERROR(__xludf.DUMMYFUNCTION("""COMPUTED_VALUE"""),"Done")</f>
        <v>Done</v>
      </c>
      <c r="H634" s="88">
        <f>IFERROR(__xludf.DUMMYFUNCTION("""COMPUTED_VALUE"""),0.0)</f>
        <v>0</v>
      </c>
      <c r="I634" s="90" t="str">
        <f>IFERROR(__xludf.DUMMYFUNCTION("""COMPUTED_VALUE"""),"EMP0237 Swarnendu Chakraborty")</f>
        <v>EMP0237 Swarnendu Chakraborty</v>
      </c>
      <c r="J634" s="91"/>
    </row>
    <row r="635">
      <c r="B635" s="76" t="str">
        <f>IFERROR(__xludf.DUMMYFUNCTION("""COMPUTED_VALUE"""),"Check api id from database and download jrmxl file                                    ")</f>
        <v>Check api id from database and download jrmxl file                                    </v>
      </c>
      <c r="C635" s="82">
        <f>IFERROR(__xludf.DUMMYFUNCTION("""COMPUTED_VALUE"""),5095.0)</f>
        <v>5095</v>
      </c>
      <c r="D635" s="76" t="str">
        <f>IFERROR(__xludf.DUMMYFUNCTION("""COMPUTED_VALUE"""),"TR semester (NEW)")</f>
        <v>TR semester (NEW)</v>
      </c>
      <c r="E635" s="84">
        <f>IFERROR(__xludf.DUMMYFUNCTION("""COMPUTED_VALUE"""),46121.81856072916)</f>
        <v>46121.81856</v>
      </c>
      <c r="F635" s="86">
        <f>IFERROR(__xludf.DUMMYFUNCTION("""COMPUTED_VALUE"""),46121.64517934028)</f>
        <v>46121.64518</v>
      </c>
      <c r="G635" s="86" t="str">
        <f>IFERROR(__xludf.DUMMYFUNCTION("""COMPUTED_VALUE"""),"Done")</f>
        <v>Done</v>
      </c>
      <c r="H635" s="88">
        <f>IFERROR(__xludf.DUMMYFUNCTION("""COMPUTED_VALUE"""),0.0)</f>
        <v>0</v>
      </c>
      <c r="I635" s="90" t="str">
        <f>IFERROR(__xludf.DUMMYFUNCTION("""COMPUTED_VALUE"""),"EMP5009 Rup Kumar Mandal")</f>
        <v>EMP5009 Rup Kumar Mandal</v>
      </c>
      <c r="J635" s="91"/>
    </row>
    <row r="636">
      <c r="B636" s="76" t="str">
        <f>IFERROR(__xludf.DUMMYFUNCTION("""COMPUTED_VALUE"""),"Check api id from database and download jrmxl file                                    ")</f>
        <v>Check api id from database and download jrmxl file                                    </v>
      </c>
      <c r="C636" s="82">
        <f>IFERROR(__xludf.DUMMYFUNCTION("""COMPUTED_VALUE"""),5096.0)</f>
        <v>5096</v>
      </c>
      <c r="D636" s="76" t="str">
        <f>IFERROR(__xludf.DUMMYFUNCTION("""COMPUTED_VALUE"""),"Grade Carde B.Tech")</f>
        <v>Grade Carde B.Tech</v>
      </c>
      <c r="E636" s="84">
        <f>IFERROR(__xludf.DUMMYFUNCTION("""COMPUTED_VALUE"""),46121.823018668976)</f>
        <v>46121.82302</v>
      </c>
      <c r="F636" s="86">
        <f>IFERROR(__xludf.DUMMYFUNCTION("""COMPUTED_VALUE"""),46121.69119640046)</f>
        <v>46121.6912</v>
      </c>
      <c r="G636" s="86" t="str">
        <f>IFERROR(__xludf.DUMMYFUNCTION("""COMPUTED_VALUE"""),"Done")</f>
        <v>Done</v>
      </c>
      <c r="H636" s="88">
        <f>IFERROR(__xludf.DUMMYFUNCTION("""COMPUTED_VALUE"""),0.0)</f>
        <v>0</v>
      </c>
      <c r="I636" s="90" t="str">
        <f>IFERROR(__xludf.DUMMYFUNCTION("""COMPUTED_VALUE"""),"EMP0042 HULESHWAR KUMAR SAHU")</f>
        <v>EMP0042 HULESHWAR KUMAR SAHU</v>
      </c>
      <c r="J636" s="91"/>
    </row>
    <row r="637">
      <c r="B637" s="76" t="str">
        <f>IFERROR(__xludf.DUMMYFUNCTION("""COMPUTED_VALUE"""),"Check api id from database and download jrmxl file                                    ")</f>
        <v>Check api id from database and download jrmxl file                                    </v>
      </c>
      <c r="C637" s="82">
        <f>IFERROR(__xludf.DUMMYFUNCTION("""COMPUTED_VALUE"""),5097.0)</f>
        <v>5097</v>
      </c>
      <c r="D637" s="76" t="str">
        <f>IFERROR(__xludf.DUMMYFUNCTION("""COMPUTED_VALUE"""),"Shastri Semester Marksheet publication date to current date change")</f>
        <v>Shastri Semester Marksheet publication date to current date change</v>
      </c>
      <c r="E637" s="84">
        <f>IFERROR(__xludf.DUMMYFUNCTION("""COMPUTED_VALUE"""),46122.750511620376)</f>
        <v>46122.75051</v>
      </c>
      <c r="F637" s="86">
        <f>IFERROR(__xludf.DUMMYFUNCTION("""COMPUTED_VALUE"""),46122.60793956019)</f>
        <v>46122.60794</v>
      </c>
      <c r="G637" s="86" t="str">
        <f>IFERROR(__xludf.DUMMYFUNCTION("""COMPUTED_VALUE"""),"Done")</f>
        <v>Done</v>
      </c>
      <c r="H637" s="88">
        <f>IFERROR(__xludf.DUMMYFUNCTION("""COMPUTED_VALUE"""),0.0)</f>
        <v>0</v>
      </c>
      <c r="I637" s="90" t="str">
        <f>IFERROR(__xludf.DUMMYFUNCTION("""COMPUTED_VALUE"""),"EMP0021 Tamanna Dewangan")</f>
        <v>EMP0021 Tamanna Dewangan</v>
      </c>
      <c r="J637" s="91"/>
    </row>
    <row r="638">
      <c r="B638" s="76" t="str">
        <f>IFERROR(__xludf.DUMMYFUNCTION("""COMPUTED_VALUE"""),"Check api id from database and download jrmxl file                                    ")</f>
        <v>Check api id from database and download jrmxl file                                    </v>
      </c>
      <c r="C638" s="82">
        <f>IFERROR(__xludf.DUMMYFUNCTION("""COMPUTED_VALUE"""),5098.0)</f>
        <v>5098</v>
      </c>
      <c r="D638" s="76" t="str">
        <f>IFERROR(__xludf.DUMMYFUNCTION("""COMPUTED_VALUE"""),"GRADE CARD AGRICULTURE")</f>
        <v>GRADE CARD AGRICULTURE</v>
      </c>
      <c r="E638" s="84">
        <f>IFERROR(__xludf.DUMMYFUNCTION("""COMPUTED_VALUE"""),46126.450694444444)</f>
        <v>46126.45069</v>
      </c>
      <c r="F638" s="86">
        <f>IFERROR(__xludf.DUMMYFUNCTION("""COMPUTED_VALUE"""),46125.71897214121)</f>
        <v>46125.71897</v>
      </c>
      <c r="G638" s="86" t="str">
        <f>IFERROR(__xludf.DUMMYFUNCTION("""COMPUTED_VALUE"""),"Done")</f>
        <v>Done</v>
      </c>
      <c r="H638" s="88">
        <f>IFERROR(__xludf.DUMMYFUNCTION("""COMPUTED_VALUE"""),0.0)</f>
        <v>0</v>
      </c>
      <c r="I638" s="90" t="str">
        <f>IFERROR(__xludf.DUMMYFUNCTION("""COMPUTED_VALUE"""),"EMP0042 HULESHWAR KUMAR SAHU")</f>
        <v>EMP0042 HULESHWAR KUMAR SAHU</v>
      </c>
      <c r="J638" s="91"/>
    </row>
    <row r="639">
      <c r="B639" s="76" t="str">
        <f>IFERROR(__xludf.DUMMYFUNCTION("""COMPUTED_VALUE"""),"Check api id from database and download jrmxl file                                    ")</f>
        <v>Check api id from database and download jrmxl file                                    </v>
      </c>
      <c r="C639" s="82">
        <f>IFERROR(__xludf.DUMMYFUNCTION("""COMPUTED_VALUE"""),5099.0)</f>
        <v>5099</v>
      </c>
      <c r="D639" s="76" t="str">
        <f>IFERROR(__xludf.DUMMYFUNCTION("""COMPUTED_VALUE"""),"TR_phd_NEW_FORMAT")</f>
        <v>TR_phd_NEW_FORMAT</v>
      </c>
      <c r="E639" s="84">
        <f>IFERROR(__xludf.DUMMYFUNCTION("""COMPUTED_VALUE"""),46126.45138888889)</f>
        <v>46126.45139</v>
      </c>
      <c r="F639" s="86">
        <f>IFERROR(__xludf.DUMMYFUNCTION("""COMPUTED_VALUE"""),46125.71900327546)</f>
        <v>46125.719</v>
      </c>
      <c r="G639" s="86" t="str">
        <f>IFERROR(__xludf.DUMMYFUNCTION("""COMPUTED_VALUE"""),"Done")</f>
        <v>Done</v>
      </c>
      <c r="H639" s="88">
        <f>IFERROR(__xludf.DUMMYFUNCTION("""COMPUTED_VALUE"""),0.0)</f>
        <v>0</v>
      </c>
      <c r="I639" s="90" t="str">
        <f>IFERROR(__xludf.DUMMYFUNCTION("""COMPUTED_VALUE"""),"EMP0042 HULESHWAR KUMAR SAHU")</f>
        <v>EMP0042 HULESHWAR KUMAR SAHU</v>
      </c>
      <c r="J639" s="91"/>
    </row>
    <row r="640">
      <c r="B640" s="76" t="str">
        <f>IFERROR(__xludf.DUMMYFUNCTION("""COMPUTED_VALUE"""),"Check api id from database and download jrmxl file                                    ")</f>
        <v>Check api id from database and download jrmxl file                                    </v>
      </c>
      <c r="C640" s="82">
        <f>IFERROR(__xludf.DUMMYFUNCTION("""COMPUTED_VALUE"""),5100.0)</f>
        <v>5100</v>
      </c>
      <c r="D640" s="76" t="str">
        <f>IFERROR(__xludf.DUMMYFUNCTION("""COMPUTED_VALUE"""),"Session - 2024-25 (S), MBBS ,SUPPLEMENTARY. 1st Professional MBBS Examination 2025 (II), correction in the  supplementary marksheet.")</f>
        <v>Session - 2024-25 (S), MBBS ,SUPPLEMENTARY. 1st Professional MBBS Examination 2025 (II), correction in the  supplementary marksheet.</v>
      </c>
      <c r="E640" s="84">
        <f>IFERROR(__xludf.DUMMYFUNCTION("""COMPUTED_VALUE"""),46127.441666666666)</f>
        <v>46127.44167</v>
      </c>
      <c r="F640" s="86">
        <f>IFERROR(__xludf.DUMMYFUNCTION("""COMPUTED_VALUE"""),46126.78159628472)</f>
        <v>46126.7816</v>
      </c>
      <c r="G640" s="86" t="str">
        <f>IFERROR(__xludf.DUMMYFUNCTION("""COMPUTED_VALUE"""),"Done")</f>
        <v>Done</v>
      </c>
      <c r="H640" s="88">
        <f>IFERROR(__xludf.DUMMYFUNCTION("""COMPUTED_VALUE"""),0.0)</f>
        <v>0</v>
      </c>
      <c r="I640" s="90" t="str">
        <f>IFERROR(__xludf.DUMMYFUNCTION("""COMPUTED_VALUE"""),"EMP0042 HULESHWAR KUMAR SAHU")</f>
        <v>EMP0042 HULESHWAR KUMAR SAHU</v>
      </c>
      <c r="J640" s="91"/>
    </row>
    <row r="641">
      <c r="B641" s="76" t="str">
        <f>IFERROR(__xludf.DUMMYFUNCTION("""COMPUTED_VALUE"""),"Check api id from database and download jrmxl file                                    ")</f>
        <v>Check api id from database and download jrmxl file                                    </v>
      </c>
      <c r="C641" s="82">
        <f>IFERROR(__xludf.DUMMYFUNCTION("""COMPUTED_VALUE"""),5101.0)</f>
        <v>5101</v>
      </c>
      <c r="D641" s="76" t="str">
        <f>IFERROR(__xludf.DUMMYFUNCTION("""COMPUTED_VALUE"""),"Upshastri marksheet not downloading SE23")</f>
        <v>Upshastri marksheet not downloading SE23</v>
      </c>
      <c r="E641" s="84">
        <f>IFERROR(__xludf.DUMMYFUNCTION("""COMPUTED_VALUE"""),46127.73583173611)</f>
        <v>46127.73583</v>
      </c>
      <c r="F641" s="86">
        <f>IFERROR(__xludf.DUMMYFUNCTION("""COMPUTED_VALUE"""),46127.61650909722)</f>
        <v>46127.61651</v>
      </c>
      <c r="G641" s="86" t="str">
        <f>IFERROR(__xludf.DUMMYFUNCTION("""COMPUTED_VALUE"""),"Done")</f>
        <v>Done</v>
      </c>
      <c r="H641" s="88">
        <f>IFERROR(__xludf.DUMMYFUNCTION("""COMPUTED_VALUE"""),0.0)</f>
        <v>0</v>
      </c>
      <c r="I641" s="90" t="str">
        <f>IFERROR(__xludf.DUMMYFUNCTION("""COMPUTED_VALUE"""),"EMP0021 Tamanna Dewangan")</f>
        <v>EMP0021 Tamanna Dewangan</v>
      </c>
      <c r="J641" s="91"/>
    </row>
    <row r="642">
      <c r="B642" s="76" t="str">
        <f>IFERROR(__xludf.DUMMYFUNCTION("""COMPUTED_VALUE"""),"Check api id from database and download jrmxl file                                    ")</f>
        <v>Check api id from database and download jrmxl file                                    </v>
      </c>
      <c r="C642" s="82">
        <f>IFERROR(__xludf.DUMMYFUNCTION("""COMPUTED_VALUE"""),5102.0)</f>
        <v>5102</v>
      </c>
      <c r="D642" s="76" t="str">
        <f>IFERROR(__xludf.DUMMYFUNCTION("""COMPUTED_VALUE"""),"Marksheet cumulative nep major minor")</f>
        <v>Marksheet cumulative nep major minor</v>
      </c>
      <c r="E642" s="84">
        <f>IFERROR(__xludf.DUMMYFUNCTION("""COMPUTED_VALUE"""),46128.65781125)</f>
        <v>46128.65781</v>
      </c>
      <c r="F642" s="86">
        <f>IFERROR(__xludf.DUMMYFUNCTION("""COMPUTED_VALUE"""),46128.496059074074)</f>
        <v>46128.49606</v>
      </c>
      <c r="G642" s="86" t="str">
        <f>IFERROR(__xludf.DUMMYFUNCTION("""COMPUTED_VALUE"""),"Done")</f>
        <v>Done</v>
      </c>
      <c r="H642" s="88">
        <f>IFERROR(__xludf.DUMMYFUNCTION("""COMPUTED_VALUE"""),0.0)</f>
        <v>0</v>
      </c>
      <c r="I642" s="90" t="str">
        <f>IFERROR(__xludf.DUMMYFUNCTION("""COMPUTED_VALUE"""),"EMP0042 HULESHWAR KUMAR SAHU")</f>
        <v>EMP0042 HULESHWAR KUMAR SAHU</v>
      </c>
      <c r="J642" s="91"/>
    </row>
    <row r="643">
      <c r="B643" s="76" t="str">
        <f>IFERROR(__xludf.DUMMYFUNCTION("""COMPUTED_VALUE"""),"Check api id from database and download jrmxl file                                    ")</f>
        <v>Check api id from database and download jrmxl file                                    </v>
      </c>
      <c r="C643" s="82">
        <f>IFERROR(__xludf.DUMMYFUNCTION("""COMPUTED_VALUE"""),5103.0)</f>
        <v>5103</v>
      </c>
      <c r="D643" s="76" t="str">
        <f>IFERROR(__xludf.DUMMYFUNCTION("""COMPUTED_VALUE"""),"Multiple Report ")</f>
        <v>Multiple Report </v>
      </c>
      <c r="E643" s="84">
        <f>IFERROR(__xludf.DUMMYFUNCTION("""COMPUTED_VALUE"""),46128.676074629635)</f>
        <v>46128.67607</v>
      </c>
      <c r="F643" s="86">
        <f>IFERROR(__xludf.DUMMYFUNCTION("""COMPUTED_VALUE"""),46128.51629677083)</f>
        <v>46128.5163</v>
      </c>
      <c r="G643" s="86" t="str">
        <f>IFERROR(__xludf.DUMMYFUNCTION("""COMPUTED_VALUE"""),"Done")</f>
        <v>Done</v>
      </c>
      <c r="H643" s="88">
        <f>IFERROR(__xludf.DUMMYFUNCTION("""COMPUTED_VALUE"""),0.0)</f>
        <v>0</v>
      </c>
      <c r="I643" s="90" t="str">
        <f>IFERROR(__xludf.DUMMYFUNCTION("""COMPUTED_VALUE"""),"EMP0042 HULESHWAR KUMAR SAHU")</f>
        <v>EMP0042 HULESHWAR KUMAR SAHU</v>
      </c>
      <c r="J643" s="91"/>
    </row>
    <row r="644">
      <c r="B644" s="76" t="str">
        <f>IFERROR(__xludf.DUMMYFUNCTION("""COMPUTED_VALUE"""),"Check api id from database and download jrmxl file                                    ")</f>
        <v>Check api id from database and download jrmxl file                                    </v>
      </c>
      <c r="C644" s="82">
        <f>IFERROR(__xludf.DUMMYFUNCTION("""COMPUTED_VALUE"""),5104.0)</f>
        <v>5104</v>
      </c>
      <c r="D644" s="76" t="str">
        <f>IFERROR(__xludf.DUMMYFUNCTION("""COMPUTED_VALUE"""),"TR")</f>
        <v>TR</v>
      </c>
      <c r="E644" s="84">
        <f>IFERROR(__xludf.DUMMYFUNCTION("""COMPUTED_VALUE"""),46128.829277164354)</f>
        <v>46128.82928</v>
      </c>
      <c r="F644" s="86">
        <f>IFERROR(__xludf.DUMMYFUNCTION("""COMPUTED_VALUE"""),46128.69197601851)</f>
        <v>46128.69198</v>
      </c>
      <c r="G644" s="86" t="str">
        <f>IFERROR(__xludf.DUMMYFUNCTION("""COMPUTED_VALUE"""),"Done")</f>
        <v>Done</v>
      </c>
      <c r="H644" s="88">
        <f>IFERROR(__xludf.DUMMYFUNCTION("""COMPUTED_VALUE"""),0.0)</f>
        <v>0</v>
      </c>
      <c r="I644" s="90" t="str">
        <f>IFERROR(__xludf.DUMMYFUNCTION("""COMPUTED_VALUE"""),"EMP0042 HULESHWAR KUMAR SAHU")</f>
        <v>EMP0042 HULESHWAR KUMAR SAHU</v>
      </c>
      <c r="J644" s="91"/>
    </row>
    <row r="645">
      <c r="B645" s="76" t="str">
        <f>IFERROR(__xludf.DUMMYFUNCTION("""COMPUTED_VALUE"""),"Check api id from database and download jrmxl file                                    ")</f>
        <v>Check api id from database and download jrmxl file                                    </v>
      </c>
      <c r="C645" s="82">
        <f>IFERROR(__xludf.DUMMYFUNCTION("""COMPUTED_VALUE"""),5105.0)</f>
        <v>5105</v>
      </c>
      <c r="D645" s="76" t="str">
        <f>IFERROR(__xludf.DUMMYFUNCTION("""COMPUTED_VALUE"""),"Grade Carde B.Tech")</f>
        <v>Grade Carde B.Tech</v>
      </c>
      <c r="E645" s="84">
        <f>IFERROR(__xludf.DUMMYFUNCTION("""COMPUTED_VALUE"""),46129.64653814815)</f>
        <v>46129.64654</v>
      </c>
      <c r="F645" s="86">
        <f>IFERROR(__xludf.DUMMYFUNCTION("""COMPUTED_VALUE"""),46129.510646250004)</f>
        <v>46129.51065</v>
      </c>
      <c r="G645" s="86" t="str">
        <f>IFERROR(__xludf.DUMMYFUNCTION("""COMPUTED_VALUE"""),"Done")</f>
        <v>Done</v>
      </c>
      <c r="H645" s="88">
        <f>IFERROR(__xludf.DUMMYFUNCTION("""COMPUTED_VALUE"""),0.0)</f>
        <v>0</v>
      </c>
      <c r="I645" s="90" t="str">
        <f>IFERROR(__xludf.DUMMYFUNCTION("""COMPUTED_VALUE"""),"EMP5009 Rup Kumar Mandal")</f>
        <v>EMP5009 Rup Kumar Mandal</v>
      </c>
      <c r="J645" s="91"/>
    </row>
    <row r="646">
      <c r="B646" s="76" t="str">
        <f>IFERROR(__xludf.DUMMYFUNCTION("""COMPUTED_VALUE"""),"Check api id from database and download jrmxl file                                    ")</f>
        <v>Check api id from database and download jrmxl file                                    </v>
      </c>
      <c r="C646" s="82">
        <f>IFERROR(__xludf.DUMMYFUNCTION("""COMPUTED_VALUE"""),5106.0)</f>
        <v>5106</v>
      </c>
      <c r="D646" s="76" t="str">
        <f>IFERROR(__xludf.DUMMYFUNCTION("""COMPUTED_VALUE"""),"TR.....&amp; ALL REPORTS")</f>
        <v>TR.....&amp; ALL REPORTS</v>
      </c>
      <c r="E646" s="84">
        <f>IFERROR(__xludf.DUMMYFUNCTION("""COMPUTED_VALUE"""),46129.746163263895)</f>
        <v>46129.74616</v>
      </c>
      <c r="F646" s="86">
        <f>IFERROR(__xludf.DUMMYFUNCTION("""COMPUTED_VALUE"""),46129.60639900463)</f>
        <v>46129.6064</v>
      </c>
      <c r="G646" s="86" t="str">
        <f>IFERROR(__xludf.DUMMYFUNCTION("""COMPUTED_VALUE"""),"Done")</f>
        <v>Done</v>
      </c>
      <c r="H646" s="88">
        <f>IFERROR(__xludf.DUMMYFUNCTION("""COMPUTED_VALUE"""),0.0)</f>
        <v>0</v>
      </c>
      <c r="I646" s="90" t="str">
        <f>IFERROR(__xludf.DUMMYFUNCTION("""COMPUTED_VALUE"""),"EMP5009 Rup Kumar Mandal")</f>
        <v>EMP5009 Rup Kumar Mandal</v>
      </c>
      <c r="J646" s="91"/>
    </row>
    <row r="647">
      <c r="B647" s="76" t="str">
        <f>IFERROR(__xludf.DUMMYFUNCTION("""COMPUTED_VALUE"""),"Check api id from database and download jrmxl file                                    ")</f>
        <v>Check api id from database and download jrmxl file                                    </v>
      </c>
      <c r="C647" s="82">
        <f>IFERROR(__xludf.DUMMYFUNCTION("""COMPUTED_VALUE"""),5107.0)</f>
        <v>5107</v>
      </c>
      <c r="D647" s="76" t="str">
        <f>IFERROR(__xludf.DUMMYFUNCTION("""COMPUTED_VALUE"""),"TR.....&amp; all reports")</f>
        <v>TR.....&amp; all reports</v>
      </c>
      <c r="E647" s="84">
        <f>IFERROR(__xludf.DUMMYFUNCTION("""COMPUTED_VALUE"""),46129.7482959375)</f>
        <v>46129.7483</v>
      </c>
      <c r="F647" s="86">
        <f>IFERROR(__xludf.DUMMYFUNCTION("""COMPUTED_VALUE"""),46129.606377442135)</f>
        <v>46129.60638</v>
      </c>
      <c r="G647" s="86" t="str">
        <f>IFERROR(__xludf.DUMMYFUNCTION("""COMPUTED_VALUE"""),"Done")</f>
        <v>Done</v>
      </c>
      <c r="H647" s="88">
        <f>IFERROR(__xludf.DUMMYFUNCTION("""COMPUTED_VALUE"""),0.0)</f>
        <v>0</v>
      </c>
      <c r="I647" s="90" t="str">
        <f>IFERROR(__xludf.DUMMYFUNCTION("""COMPUTED_VALUE"""),"EMP5009 Rup Kumar Mandal")</f>
        <v>EMP5009 Rup Kumar Mandal</v>
      </c>
      <c r="J647" s="91"/>
    </row>
    <row r="648">
      <c r="B648" s="76" t="str">
        <f>IFERROR(__xludf.DUMMYFUNCTION("""COMPUTED_VALUE"""),"Check api id from database and download jrmxl file                                    ")</f>
        <v>Check api id from database and download jrmxl file                                    </v>
      </c>
      <c r="C648" s="82">
        <f>IFERROR(__xludf.DUMMYFUNCTION("""COMPUTED_VALUE"""),5108.0)</f>
        <v>5108</v>
      </c>
      <c r="D648" s="76" t="str">
        <f>IFERROR(__xludf.DUMMYFUNCTION("""COMPUTED_VALUE"""),"Mark Entry")</f>
        <v>Mark Entry</v>
      </c>
      <c r="E648" s="84">
        <f>IFERROR(__xludf.DUMMYFUNCTION("""COMPUTED_VALUE"""),46132.699541817135)</f>
        <v>46132.69954</v>
      </c>
      <c r="F648" s="86">
        <f>IFERROR(__xludf.DUMMYFUNCTION("""COMPUTED_VALUE"""),46132.62808094907)</f>
        <v>46132.62808</v>
      </c>
      <c r="G648" s="86" t="str">
        <f>IFERROR(__xludf.DUMMYFUNCTION("""COMPUTED_VALUE"""),"Done")</f>
        <v>Done</v>
      </c>
      <c r="H648" s="88">
        <f>IFERROR(__xludf.DUMMYFUNCTION("""COMPUTED_VALUE"""),0.0)</f>
        <v>0</v>
      </c>
      <c r="I648" s="90" t="str">
        <f>IFERROR(__xludf.DUMMYFUNCTION("""COMPUTED_VALUE"""),"EMP0237 Swarnendu Chakraborty")</f>
        <v>EMP0237 Swarnendu Chakraborty</v>
      </c>
      <c r="J648" s="91"/>
    </row>
    <row r="649">
      <c r="B649" s="76" t="str">
        <f>IFERROR(__xludf.DUMMYFUNCTION("""COMPUTED_VALUE"""),"Check api id from database and download jrmxl file                                    ")</f>
        <v>Check api id from database and download jrmxl file                                    </v>
      </c>
      <c r="C649" s="82">
        <f>IFERROR(__xludf.DUMMYFUNCTION("""COMPUTED_VALUE"""),5109.0)</f>
        <v>5109</v>
      </c>
      <c r="D649" s="76" t="str">
        <f>IFERROR(__xludf.DUMMYFUNCTION("""COMPUTED_VALUE"""),"Mark Entry")</f>
        <v>Mark Entry</v>
      </c>
      <c r="E649" s="84">
        <f>IFERROR(__xludf.DUMMYFUNCTION("""COMPUTED_VALUE"""),46132.701174131944)</f>
        <v>46132.70117</v>
      </c>
      <c r="F649" s="86">
        <f>IFERROR(__xludf.DUMMYFUNCTION("""COMPUTED_VALUE"""),46132.628265300926)</f>
        <v>46132.62827</v>
      </c>
      <c r="G649" s="86" t="str">
        <f>IFERROR(__xludf.DUMMYFUNCTION("""COMPUTED_VALUE"""),"Done")</f>
        <v>Done</v>
      </c>
      <c r="H649" s="88">
        <f>IFERROR(__xludf.DUMMYFUNCTION("""COMPUTED_VALUE"""),0.0)</f>
        <v>0</v>
      </c>
      <c r="I649" s="90" t="str">
        <f>IFERROR(__xludf.DUMMYFUNCTION("""COMPUTED_VALUE"""),"EMP5009 Rup Kumar Mandal")</f>
        <v>EMP5009 Rup Kumar Mandal</v>
      </c>
      <c r="J649" s="91"/>
    </row>
    <row r="650">
      <c r="B650" s="76" t="str">
        <f>IFERROR(__xludf.DUMMYFUNCTION("""COMPUTED_VALUE"""),"Check api id from database and download jrmxl file                                    ")</f>
        <v>Check api id from database and download jrmxl file                                    </v>
      </c>
      <c r="C650" s="82">
        <f>IFERROR(__xludf.DUMMYFUNCTION("""COMPUTED_VALUE"""),5110.0)</f>
        <v>5110</v>
      </c>
      <c r="D650" s="76" t="str">
        <f>IFERROR(__xludf.DUMMYFUNCTION("""COMPUTED_VALUE"""),"RR ENROLLMENT FEES OVERALL")</f>
        <v>RR ENROLLMENT FEES OVERALL</v>
      </c>
      <c r="E650" s="84">
        <f>IFERROR(__xludf.DUMMYFUNCTION("""COMPUTED_VALUE"""),46133.47916666667)</f>
        <v>46133.47917</v>
      </c>
      <c r="F650" s="86">
        <f>IFERROR(__xludf.DUMMYFUNCTION("""COMPUTED_VALUE"""),46132.728243564816)</f>
        <v>46132.72824</v>
      </c>
      <c r="G650" s="86" t="str">
        <f>IFERROR(__xludf.DUMMYFUNCTION("""COMPUTED_VALUE"""),"Done")</f>
        <v>Done</v>
      </c>
      <c r="H650" s="88">
        <f>IFERROR(__xludf.DUMMYFUNCTION("""COMPUTED_VALUE"""),0.0)</f>
        <v>0</v>
      </c>
      <c r="I650" s="90" t="str">
        <f>IFERROR(__xludf.DUMMYFUNCTION("""COMPUTED_VALUE"""),"EMP0042 HULESHWAR KUMAR SAHU")</f>
        <v>EMP0042 HULESHWAR KUMAR SAHU</v>
      </c>
      <c r="J650" s="91"/>
    </row>
    <row r="651">
      <c r="B651" s="76" t="str">
        <f>IFERROR(__xludf.DUMMYFUNCTION("""COMPUTED_VALUE"""),"Check api id from database and download jrmxl file                                    ")</f>
        <v>Check api id from database and download jrmxl file                                    </v>
      </c>
      <c r="C651" s="82">
        <f>IFERROR(__xludf.DUMMYFUNCTION("""COMPUTED_VALUE"""),5111.0)</f>
        <v>5111</v>
      </c>
      <c r="D651" s="76" t="str">
        <f>IFERROR(__xludf.DUMMYFUNCTION("""COMPUTED_VALUE"""),"3386")</f>
        <v>3386</v>
      </c>
      <c r="E651" s="84">
        <f>IFERROR(__xludf.DUMMYFUNCTION("""COMPUTED_VALUE"""),46133.57152777778)</f>
        <v>46133.57153</v>
      </c>
      <c r="F651" s="86">
        <f>IFERROR(__xludf.DUMMYFUNCTION("""COMPUTED_VALUE"""),46132.83244709491)</f>
        <v>46132.83245</v>
      </c>
      <c r="G651" s="86" t="str">
        <f>IFERROR(__xludf.DUMMYFUNCTION("""COMPUTED_VALUE"""),"Done")</f>
        <v>Done</v>
      </c>
      <c r="H651" s="88">
        <f>IFERROR(__xludf.DUMMYFUNCTION("""COMPUTED_VALUE"""),0.0)</f>
        <v>0</v>
      </c>
      <c r="I651" s="90" t="str">
        <f>IFERROR(__xludf.DUMMYFUNCTION("""COMPUTED_VALUE"""),"EMP0021 Tamanna Dewangan")</f>
        <v>EMP0021 Tamanna Dewangan</v>
      </c>
      <c r="J651" s="91"/>
    </row>
    <row r="652">
      <c r="B652" s="76" t="str">
        <f>IFERROR(__xludf.DUMMYFUNCTION("""COMPUTED_VALUE"""),"Check api id from database and download jrmxl file                                    ")</f>
        <v>Check api id from database and download jrmxl file                                    </v>
      </c>
      <c r="C652" s="82">
        <f>IFERROR(__xludf.DUMMYFUNCTION("""COMPUTED_VALUE"""),5112.0)</f>
        <v>5112</v>
      </c>
      <c r="D652" s="76" t="str">
        <f>IFERROR(__xludf.DUMMYFUNCTION("""COMPUTED_VALUE"""),"Admit Card")</f>
        <v>Admit Card</v>
      </c>
      <c r="E652" s="84">
        <f>IFERROR(__xludf.DUMMYFUNCTION("""COMPUTED_VALUE"""),46134.48541666666)</f>
        <v>46134.48542</v>
      </c>
      <c r="F652" s="86">
        <f>IFERROR(__xludf.DUMMYFUNCTION("""COMPUTED_VALUE"""),46133.77970248843)</f>
        <v>46133.7797</v>
      </c>
      <c r="G652" s="86" t="str">
        <f>IFERROR(__xludf.DUMMYFUNCTION("""COMPUTED_VALUE"""),"Done")</f>
        <v>Done</v>
      </c>
      <c r="H652" s="88">
        <f>IFERROR(__xludf.DUMMYFUNCTION("""COMPUTED_VALUE"""),0.0)</f>
        <v>0</v>
      </c>
      <c r="I652" s="90" t="str">
        <f>IFERROR(__xludf.DUMMYFUNCTION("""COMPUTED_VALUE"""),"EMP5009 Rup Kumar Mandal")</f>
        <v>EMP5009 Rup Kumar Mandal</v>
      </c>
      <c r="J652" s="91"/>
    </row>
    <row r="653">
      <c r="B653" s="76" t="str">
        <f>IFERROR(__xludf.DUMMYFUNCTION("""COMPUTED_VALUE"""),"Check api id from database and download jrmxl file                                    ")</f>
        <v>Check api id from database and download jrmxl file                                    </v>
      </c>
      <c r="C653" s="82">
        <f>IFERROR(__xludf.DUMMYFUNCTION("""COMPUTED_VALUE"""),5113.0)</f>
        <v>5113</v>
      </c>
      <c r="D653" s="76" t="str">
        <f>IFERROR(__xludf.DUMMYFUNCTION("""COMPUTED_VALUE"""),"Marks Sheet NEP")</f>
        <v>Marks Sheet NEP</v>
      </c>
      <c r="E653" s="84">
        <f>IFERROR(__xludf.DUMMYFUNCTION("""COMPUTED_VALUE"""),46135.625116446754)</f>
        <v>46135.62512</v>
      </c>
      <c r="F653" s="86">
        <f>IFERROR(__xludf.DUMMYFUNCTION("""COMPUTED_VALUE"""),46135.54443101852)</f>
        <v>46135.54443</v>
      </c>
      <c r="G653" s="86" t="str">
        <f>IFERROR(__xludf.DUMMYFUNCTION("""COMPUTED_VALUE"""),"Done")</f>
        <v>Done</v>
      </c>
      <c r="H653" s="88">
        <f>IFERROR(__xludf.DUMMYFUNCTION("""COMPUTED_VALUE"""),0.0)</f>
        <v>0</v>
      </c>
      <c r="I653" s="90" t="str">
        <f>IFERROR(__xludf.DUMMYFUNCTION("""COMPUTED_VALUE"""),"EMP0042 HULESHWAR KUMAR SAHU")</f>
        <v>EMP0042 HULESHWAR KUMAR SAHU</v>
      </c>
      <c r="J653" s="91"/>
    </row>
    <row r="654">
      <c r="B654" s="76" t="str">
        <f>IFERROR(__xludf.DUMMYFUNCTION("""COMPUTED_VALUE"""),"Check api id from database and download jrmxl file                                    ")</f>
        <v>Check api id from database and download jrmxl file                                    </v>
      </c>
      <c r="C654" s="82">
        <f>IFERROR(__xludf.DUMMYFUNCTION("""COMPUTED_VALUE"""),5114.0)</f>
        <v>5114</v>
      </c>
      <c r="D654" s="76" t="str">
        <f>IFERROR(__xludf.DUMMYFUNCTION("""COMPUTED_VALUE"""),"Marks Sheet Old")</f>
        <v>Marks Sheet Old</v>
      </c>
      <c r="E654" s="84">
        <f>IFERROR(__xludf.DUMMYFUNCTION("""COMPUTED_VALUE"""),46135.62569555556)</f>
        <v>46135.6257</v>
      </c>
      <c r="F654" s="86">
        <f>IFERROR(__xludf.DUMMYFUNCTION("""COMPUTED_VALUE"""),46135.55289387731)</f>
        <v>46135.55289</v>
      </c>
      <c r="G654" s="86" t="str">
        <f>IFERROR(__xludf.DUMMYFUNCTION("""COMPUTED_VALUE"""),"Done")</f>
        <v>Done</v>
      </c>
      <c r="H654" s="88">
        <f>IFERROR(__xludf.DUMMYFUNCTION("""COMPUTED_VALUE"""),0.0)</f>
        <v>0</v>
      </c>
      <c r="I654" s="90" t="str">
        <f>IFERROR(__xludf.DUMMYFUNCTION("""COMPUTED_VALUE"""),"EMP0042 HULESHWAR KUMAR SAHU")</f>
        <v>EMP0042 HULESHWAR KUMAR SAHU</v>
      </c>
      <c r="J654" s="91"/>
    </row>
    <row r="655">
      <c r="B655" s="76" t="str">
        <f>IFERROR(__xludf.DUMMYFUNCTION("""COMPUTED_VALUE"""),"Check api id from database and download jrmxl file                                    ")</f>
        <v>Check api id from database and download jrmxl file                                    </v>
      </c>
      <c r="C655" s="82">
        <f>IFERROR(__xludf.DUMMYFUNCTION("""COMPUTED_VALUE"""),5115.0)</f>
        <v>5115</v>
      </c>
      <c r="D655" s="76" t="str">
        <f>IFERROR(__xludf.DUMMYFUNCTION("""COMPUTED_VALUE"""),"admitcard")</f>
        <v>admitcard</v>
      </c>
      <c r="E655" s="84">
        <f>IFERROR(__xludf.DUMMYFUNCTION("""COMPUTED_VALUE"""),46135.692503206024)</f>
        <v>46135.6925</v>
      </c>
      <c r="F655" s="86">
        <f>IFERROR(__xludf.DUMMYFUNCTION("""COMPUTED_VALUE"""),46135.544430636575)</f>
        <v>46135.54443</v>
      </c>
      <c r="G655" s="86" t="str">
        <f>IFERROR(__xludf.DUMMYFUNCTION("""COMPUTED_VALUE"""),"Done")</f>
        <v>Done</v>
      </c>
      <c r="H655" s="88">
        <f>IFERROR(__xludf.DUMMYFUNCTION("""COMPUTED_VALUE"""),0.0)</f>
        <v>0</v>
      </c>
      <c r="I655" s="90" t="str">
        <f>IFERROR(__xludf.DUMMYFUNCTION("""COMPUTED_VALUE"""),"EMP5009 Rup Kumar Mandal")</f>
        <v>EMP5009 Rup Kumar Mandal</v>
      </c>
      <c r="J655" s="91"/>
    </row>
    <row r="656">
      <c r="B656" s="76" t="str">
        <f>IFERROR(__xludf.DUMMYFUNCTION("""COMPUTED_VALUE"""),"Check api id from database and download jrmxl file                                    ")</f>
        <v>Check api id from database and download jrmxl file                                    </v>
      </c>
      <c r="C656" s="82">
        <f>IFERROR(__xludf.DUMMYFUNCTION("""COMPUTED_VALUE"""),5116.0)</f>
        <v>5116</v>
      </c>
      <c r="D656" s="76" t="str">
        <f>IFERROR(__xludf.DUMMYFUNCTION("""COMPUTED_VALUE"""),"grade-card-nep")</f>
        <v>grade-card-nep</v>
      </c>
      <c r="E656" s="84">
        <f>IFERROR(__xludf.DUMMYFUNCTION("""COMPUTED_VALUE"""),46135.695968692125)</f>
        <v>46135.69597</v>
      </c>
      <c r="F656" s="86">
        <f>IFERROR(__xludf.DUMMYFUNCTION("""COMPUTED_VALUE"""),46135.54444121528)</f>
        <v>46135.54444</v>
      </c>
      <c r="G656" s="86" t="str">
        <f>IFERROR(__xludf.DUMMYFUNCTION("""COMPUTED_VALUE"""),"Done")</f>
        <v>Done</v>
      </c>
      <c r="H656" s="88">
        <f>IFERROR(__xludf.DUMMYFUNCTION("""COMPUTED_VALUE"""),0.0)</f>
        <v>0</v>
      </c>
      <c r="I656" s="90" t="str">
        <f>IFERROR(__xludf.DUMMYFUNCTION("""COMPUTED_VALUE"""),"EMP0021 Tamanna Dewangan")</f>
        <v>EMP0021 Tamanna Dewangan</v>
      </c>
      <c r="J656" s="91"/>
    </row>
    <row r="657">
      <c r="B657" s="76" t="str">
        <f>IFERROR(__xludf.DUMMYFUNCTION("""COMPUTED_VALUE"""),"Check api id from database and download jrmxl file                                    ")</f>
        <v>Check api id from database and download jrmxl file                                    </v>
      </c>
      <c r="C657" s="82">
        <f>IFERROR(__xludf.DUMMYFUNCTION("""COMPUTED_VALUE"""),5117.0)</f>
        <v>5117</v>
      </c>
      <c r="D657" s="76" t="str">
        <f>IFERROR(__xludf.DUMMYFUNCTION("""COMPUTED_VALUE"""),"Regarding BA/BCom-6th Sem Practical/Sessional Award Sheet")</f>
        <v>Regarding BA/BCom-6th Sem Practical/Sessional Award Sheet</v>
      </c>
      <c r="E657" s="84">
        <f>IFERROR(__xludf.DUMMYFUNCTION("""COMPUTED_VALUE"""),46135.78776608796)</f>
        <v>46135.78777</v>
      </c>
      <c r="F657" s="86">
        <f>IFERROR(__xludf.DUMMYFUNCTION("""COMPUTED_VALUE"""),46135.63332930556)</f>
        <v>46135.63333</v>
      </c>
      <c r="G657" s="86" t="str">
        <f>IFERROR(__xludf.DUMMYFUNCTION("""COMPUTED_VALUE"""),"Done")</f>
        <v>Done</v>
      </c>
      <c r="H657" s="88">
        <f>IFERROR(__xludf.DUMMYFUNCTION("""COMPUTED_VALUE"""),0.0)</f>
        <v>0</v>
      </c>
      <c r="I657" s="90" t="str">
        <f>IFERROR(__xludf.DUMMYFUNCTION("""COMPUTED_VALUE"""),"EMP0237 Swarnendu Chakraborty")</f>
        <v>EMP0237 Swarnendu Chakraborty</v>
      </c>
      <c r="J657" s="91"/>
    </row>
    <row r="658">
      <c r="B658" s="76" t="str">
        <f>IFERROR(__xludf.DUMMYFUNCTION("""COMPUTED_VALUE"""),"Check api id from database and download jrmxl file                                    ")</f>
        <v>Check api id from database and download jrmxl file                                    </v>
      </c>
      <c r="C658" s="82">
        <f>IFERROR(__xludf.DUMMYFUNCTION("""COMPUTED_VALUE"""),5118.0)</f>
        <v>5118</v>
      </c>
      <c r="D658" s="76" t="str">
        <f>IFERROR(__xludf.DUMMYFUNCTION("""COMPUTED_VALUE"""),"TR semester (NEW)")</f>
        <v>TR semester (NEW)</v>
      </c>
      <c r="E658" s="84">
        <f>IFERROR(__xludf.DUMMYFUNCTION("""COMPUTED_VALUE"""),46135.815496840274)</f>
        <v>46135.8155</v>
      </c>
      <c r="F658" s="86">
        <f>IFERROR(__xludf.DUMMYFUNCTION("""COMPUTED_VALUE"""),46135.65610526621)</f>
        <v>46135.65611</v>
      </c>
      <c r="G658" s="86" t="str">
        <f>IFERROR(__xludf.DUMMYFUNCTION("""COMPUTED_VALUE"""),"Done")</f>
        <v>Done</v>
      </c>
      <c r="H658" s="88">
        <f>IFERROR(__xludf.DUMMYFUNCTION("""COMPUTED_VALUE"""),0.0)</f>
        <v>0</v>
      </c>
      <c r="I658" s="90" t="str">
        <f>IFERROR(__xludf.DUMMYFUNCTION("""COMPUTED_VALUE"""),"EMP5009 Rup Kumar Mandal")</f>
        <v>EMP5009 Rup Kumar Mandal</v>
      </c>
      <c r="J658" s="91"/>
    </row>
    <row r="659">
      <c r="B659" s="76" t="str">
        <f>IFERROR(__xludf.DUMMYFUNCTION("""COMPUTED_VALUE"""),"Check api id from database and download jrmxl file                                    ")</f>
        <v>Check api id from database and download jrmxl file                                    </v>
      </c>
      <c r="C659" s="82">
        <f>IFERROR(__xludf.DUMMYFUNCTION("""COMPUTED_VALUE"""),5119.0)</f>
        <v>5119</v>
      </c>
      <c r="D659" s="76" t="str">
        <f>IFERROR(__xludf.DUMMYFUNCTION("""COMPUTED_VALUE"""),"Old marksheet report data not correcte please check as discus ")</f>
        <v>Old marksheet report data not correcte please check as discus </v>
      </c>
      <c r="E659" s="84">
        <f>IFERROR(__xludf.DUMMYFUNCTION("""COMPUTED_VALUE"""),46136.69377452546)</f>
        <v>46136.69377</v>
      </c>
      <c r="F659" s="86">
        <f>IFERROR(__xludf.DUMMYFUNCTION("""COMPUTED_VALUE"""),46136.52735333333)</f>
        <v>46136.52735</v>
      </c>
      <c r="G659" s="86" t="str">
        <f>IFERROR(__xludf.DUMMYFUNCTION("""COMPUTED_VALUE"""),"Done")</f>
        <v>Done</v>
      </c>
      <c r="H659" s="88">
        <f>IFERROR(__xludf.DUMMYFUNCTION("""COMPUTED_VALUE"""),0.0)</f>
        <v>0</v>
      </c>
      <c r="I659" s="90" t="str">
        <f>IFERROR(__xludf.DUMMYFUNCTION("""COMPUTED_VALUE"""),"EMP0237 Swarnendu Chakraborty")</f>
        <v>EMP0237 Swarnendu Chakraborty</v>
      </c>
      <c r="J659" s="91"/>
    </row>
    <row r="660">
      <c r="B660" s="76" t="str">
        <f>IFERROR(__xludf.DUMMYFUNCTION("""COMPUTED_VALUE"""),"Check api id from database and download jrmxl file                                    ")</f>
        <v>Check api id from database and download jrmxl file                                    </v>
      </c>
      <c r="C660" s="82">
        <f>IFERROR(__xludf.DUMMYFUNCTION("""COMPUTED_VALUE"""),5120.0)</f>
        <v>5120</v>
      </c>
      <c r="D660" s="76" t="str">
        <f>IFERROR(__xludf.DUMMYFUNCTION("""COMPUTED_VALUE"""),"NEP TR REPORT")</f>
        <v>NEP TR REPORT</v>
      </c>
      <c r="E660" s="84">
        <f>IFERROR(__xludf.DUMMYFUNCTION("""COMPUTED_VALUE"""),46136.695063182866)</f>
        <v>46136.69506</v>
      </c>
      <c r="F660" s="86">
        <f>IFERROR(__xludf.DUMMYFUNCTION("""COMPUTED_VALUE"""),46136.527035995365)</f>
        <v>46136.52704</v>
      </c>
      <c r="G660" s="86" t="str">
        <f>IFERROR(__xludf.DUMMYFUNCTION("""COMPUTED_VALUE"""),"Done")</f>
        <v>Done</v>
      </c>
      <c r="H660" s="88">
        <f>IFERROR(__xludf.DUMMYFUNCTION("""COMPUTED_VALUE"""),0.0)</f>
        <v>0</v>
      </c>
      <c r="I660" s="90" t="str">
        <f>IFERROR(__xludf.DUMMYFUNCTION("""COMPUTED_VALUE"""),"EMP5009 Rup Kumar Mandal")</f>
        <v>EMP5009 Rup Kumar Mandal</v>
      </c>
      <c r="J660" s="91"/>
    </row>
    <row r="661">
      <c r="B661" s="76" t="str">
        <f>IFERROR(__xludf.DUMMYFUNCTION("""COMPUTED_VALUE"""),"Check api id from database and download jrmxl file                                    ")</f>
        <v>Check api id from database and download jrmxl file                                    </v>
      </c>
      <c r="C661" s="82">
        <f>IFERROR(__xludf.DUMMYFUNCTION("""COMPUTED_VALUE"""),5121.0)</f>
        <v>5121</v>
      </c>
      <c r="D661" s="76" t="str">
        <f>IFERROR(__xludf.DUMMYFUNCTION("""COMPUTED_VALUE"""),"TR REPORT NEP")</f>
        <v>TR REPORT NEP</v>
      </c>
      <c r="E661" s="84">
        <f>IFERROR(__xludf.DUMMYFUNCTION("""COMPUTED_VALUE"""),46136.697258182874)</f>
        <v>46136.69726</v>
      </c>
      <c r="F661" s="86">
        <f>IFERROR(__xludf.DUMMYFUNCTION("""COMPUTED_VALUE"""),46136.54545730323)</f>
        <v>46136.54546</v>
      </c>
      <c r="G661" s="86" t="str">
        <f>IFERROR(__xludf.DUMMYFUNCTION("""COMPUTED_VALUE"""),"Done")</f>
        <v>Done</v>
      </c>
      <c r="H661" s="88">
        <f>IFERROR(__xludf.DUMMYFUNCTION("""COMPUTED_VALUE"""),0.0)</f>
        <v>0</v>
      </c>
      <c r="I661" s="90" t="str">
        <f>IFERROR(__xludf.DUMMYFUNCTION("""COMPUTED_VALUE"""),"EMP5009 Rup Kumar Mandal")</f>
        <v>EMP5009 Rup Kumar Mandal</v>
      </c>
      <c r="J661" s="91"/>
    </row>
    <row r="662">
      <c r="B662" s="76" t="str">
        <f>IFERROR(__xludf.DUMMYFUNCTION("""COMPUTED_VALUE"""),"Check api id from database and download jrmxl file                                    ")</f>
        <v>Check api id from database and download jrmxl file                                    </v>
      </c>
      <c r="C662" s="82">
        <f>IFERROR(__xludf.DUMMYFUNCTION("""COMPUTED_VALUE"""),5122.0)</f>
        <v>5122</v>
      </c>
      <c r="D662" s="76" t="str">
        <f>IFERROR(__xludf.DUMMYFUNCTION("""COMPUTED_VALUE"""),"TR REPORT NON-NEP")</f>
        <v>TR REPORT NON-NEP</v>
      </c>
      <c r="E662" s="84">
        <f>IFERROR(__xludf.DUMMYFUNCTION("""COMPUTED_VALUE"""),46136.71377524306)</f>
        <v>46136.71378</v>
      </c>
      <c r="F662" s="86">
        <f>IFERROR(__xludf.DUMMYFUNCTION("""COMPUTED_VALUE"""),46136.54532869213)</f>
        <v>46136.54533</v>
      </c>
      <c r="G662" s="86" t="str">
        <f>IFERROR(__xludf.DUMMYFUNCTION("""COMPUTED_VALUE"""),"Done")</f>
        <v>Done</v>
      </c>
      <c r="H662" s="88">
        <f>IFERROR(__xludf.DUMMYFUNCTION("""COMPUTED_VALUE"""),0.0)</f>
        <v>0</v>
      </c>
      <c r="I662" s="90" t="str">
        <f>IFERROR(__xludf.DUMMYFUNCTION("""COMPUTED_VALUE"""),"EMP5009 Rup Kumar Mandal")</f>
        <v>EMP5009 Rup Kumar Mandal</v>
      </c>
      <c r="J662" s="91"/>
    </row>
    <row r="663">
      <c r="B663" s="76" t="str">
        <f>IFERROR(__xludf.DUMMYFUNCTION("""COMPUTED_VALUE"""),"Check api id from database and download jrmxl file                                    ")</f>
        <v>Check api id from database and download jrmxl file                                    </v>
      </c>
      <c r="C663" s="82">
        <f>IFERROR(__xludf.DUMMYFUNCTION("""COMPUTED_VALUE"""),5123.0)</f>
        <v>5123</v>
      </c>
      <c r="D663" s="76" t="str">
        <f>IFERROR(__xludf.DUMMYFUNCTION("""COMPUTED_VALUE"""),"quick sight anaylisys report")</f>
        <v>quick sight anaylisys report</v>
      </c>
      <c r="E663" s="84">
        <f>IFERROR(__xludf.DUMMYFUNCTION("""COMPUTED_VALUE"""),46139.6909650463)</f>
        <v>46139.69097</v>
      </c>
      <c r="F663" s="86">
        <f>IFERROR(__xludf.DUMMYFUNCTION("""COMPUTED_VALUE"""),46139.54272333333)</f>
        <v>46139.54272</v>
      </c>
      <c r="G663" s="86" t="str">
        <f>IFERROR(__xludf.DUMMYFUNCTION("""COMPUTED_VALUE"""),"Done")</f>
        <v>Done</v>
      </c>
      <c r="H663" s="88">
        <f>IFERROR(__xludf.DUMMYFUNCTION("""COMPUTED_VALUE"""),0.0)</f>
        <v>0</v>
      </c>
      <c r="I663" s="90" t="str">
        <f>IFERROR(__xludf.DUMMYFUNCTION("""COMPUTED_VALUE"""),"EMP0021 Tamanna Dewangan")</f>
        <v>EMP0021 Tamanna Dewangan</v>
      </c>
      <c r="J663" s="91"/>
    </row>
    <row r="664">
      <c r="B664" s="76" t="str">
        <f>IFERROR(__xludf.DUMMYFUNCTION("""COMPUTED_VALUE"""),"Check api id from database and download jrmxl file                                    ")</f>
        <v>Check api id from database and download jrmxl file                                    </v>
      </c>
      <c r="C664" s="82">
        <f>IFERROR(__xludf.DUMMYFUNCTION("""COMPUTED_VALUE"""),5124.0)</f>
        <v>5124</v>
      </c>
      <c r="D664" s="76" t="str">
        <f>IFERROR(__xludf.DUMMYFUNCTION("""COMPUTED_VALUE"""),"NURSING GRADE CARD")</f>
        <v>NURSING GRADE CARD</v>
      </c>
      <c r="E664" s="84">
        <f>IFERROR(__xludf.DUMMYFUNCTION("""COMPUTED_VALUE"""),46139.7125903125)</f>
        <v>46139.71259</v>
      </c>
      <c r="F664" s="86">
        <f>IFERROR(__xludf.DUMMYFUNCTION("""COMPUTED_VALUE"""),46139.617586666674)</f>
        <v>46139.61759</v>
      </c>
      <c r="G664" s="86" t="str">
        <f>IFERROR(__xludf.DUMMYFUNCTION("""COMPUTED_VALUE"""),"Done")</f>
        <v>Done</v>
      </c>
      <c r="H664" s="88">
        <f>IFERROR(__xludf.DUMMYFUNCTION("""COMPUTED_VALUE"""),0.0)</f>
        <v>0</v>
      </c>
      <c r="I664" s="90" t="str">
        <f>IFERROR(__xludf.DUMMYFUNCTION("""COMPUTED_VALUE"""),"EMP0042 HULESHWAR KUMAR SAHU")</f>
        <v>EMP0042 HULESHWAR KUMAR SAHU</v>
      </c>
      <c r="J664" s="91"/>
    </row>
    <row r="665">
      <c r="B665" s="76" t="str">
        <f>IFERROR(__xludf.DUMMYFUNCTION("""COMPUTED_VALUE"""),"Check api id from database and download jrmxl file                                    ")</f>
        <v>Check api id from database and download jrmxl file                                    </v>
      </c>
      <c r="C665" s="82">
        <f>IFERROR(__xludf.DUMMYFUNCTION("""COMPUTED_VALUE"""),5125.0)</f>
        <v>5125</v>
      </c>
      <c r="D665" s="76" t="str">
        <f>IFERROR(__xludf.DUMMYFUNCTION("""COMPUTED_VALUE"""),"ADMITCARD")</f>
        <v>ADMITCARD</v>
      </c>
      <c r="E665" s="84">
        <f>IFERROR(__xludf.DUMMYFUNCTION("""COMPUTED_VALUE"""),46140.504166666666)</f>
        <v>46140.50417</v>
      </c>
      <c r="F665" s="86">
        <f>IFERROR(__xludf.DUMMYFUNCTION("""COMPUTED_VALUE"""),46139.76918833333)</f>
        <v>46139.76919</v>
      </c>
      <c r="G665" s="86" t="str">
        <f>IFERROR(__xludf.DUMMYFUNCTION("""COMPUTED_VALUE"""),"Done")</f>
        <v>Done</v>
      </c>
      <c r="H665" s="88">
        <f>IFERROR(__xludf.DUMMYFUNCTION("""COMPUTED_VALUE"""),0.0)</f>
        <v>0</v>
      </c>
      <c r="I665" s="90" t="str">
        <f>IFERROR(__xludf.DUMMYFUNCTION("""COMPUTED_VALUE"""),"EMP5009 Rup Kumar Mandal")</f>
        <v>EMP5009 Rup Kumar Mandal</v>
      </c>
      <c r="J665" s="91"/>
    </row>
    <row r="666">
      <c r="B666" s="76" t="str">
        <f>IFERROR(__xludf.DUMMYFUNCTION("""COMPUTED_VALUE"""),"Check api id from database and download jrmxl file                                    ")</f>
        <v>Check api id from database and download jrmxl file                                    </v>
      </c>
      <c r="C666" s="82">
        <f>IFERROR(__xludf.DUMMYFUNCTION("""COMPUTED_VALUE"""),5126.0)</f>
        <v>5126</v>
      </c>
      <c r="D666" s="76" t="str">
        <f>IFERROR(__xludf.DUMMYFUNCTION("""COMPUTED_VALUE"""),"ROLL LIST")</f>
        <v>ROLL LIST</v>
      </c>
      <c r="E666" s="84">
        <f>IFERROR(__xludf.DUMMYFUNCTION("""COMPUTED_VALUE"""),46140.50486111111)</f>
        <v>46140.50486</v>
      </c>
      <c r="F666" s="86">
        <f>IFERROR(__xludf.DUMMYFUNCTION("""COMPUTED_VALUE"""),46139.76920954861)</f>
        <v>46139.76921</v>
      </c>
      <c r="G666" s="86" t="str">
        <f>IFERROR(__xludf.DUMMYFUNCTION("""COMPUTED_VALUE"""),"Done")</f>
        <v>Done</v>
      </c>
      <c r="H666" s="88">
        <f>IFERROR(__xludf.DUMMYFUNCTION("""COMPUTED_VALUE"""),0.0)</f>
        <v>0</v>
      </c>
      <c r="I666" s="90" t="str">
        <f>IFERROR(__xludf.DUMMYFUNCTION("""COMPUTED_VALUE"""),"EMP5009 Rup Kumar Mandal")</f>
        <v>EMP5009 Rup Kumar Mandal</v>
      </c>
      <c r="J666" s="91"/>
    </row>
    <row r="667">
      <c r="B667" s="76" t="str">
        <f>IFERROR(__xludf.DUMMYFUNCTION("""COMPUTED_VALUE"""),"Check api id from database and download jrmxl file                                    ")</f>
        <v>Check api id from database and download jrmxl file                                    </v>
      </c>
      <c r="C667" s="82">
        <f>IFERROR(__xludf.DUMMYFUNCTION("""COMPUTED_VALUE"""),5127.0)</f>
        <v>5127</v>
      </c>
      <c r="D667" s="76" t="str">
        <f>IFERROR(__xludf.DUMMYFUNCTION("""COMPUTED_VALUE"""),"The details of Total Credits, Grade Point Average, and Total Credit Earned will be available shortly. please update this mgs in student result section if any semester SGPA/AGPA missing")</f>
        <v>The details of Total Credits, Grade Point Average, and Total Credit Earned will be available shortly. please update this mgs in student result section if any semester SGPA/AGPA missing</v>
      </c>
      <c r="E667" s="84">
        <f>IFERROR(__xludf.DUMMYFUNCTION("""COMPUTED_VALUE"""),46142.7060041088)</f>
        <v>46142.706</v>
      </c>
      <c r="F667" s="86">
        <f>IFERROR(__xludf.DUMMYFUNCTION("""COMPUTED_VALUE"""),46142.53955613426)</f>
        <v>46142.53956</v>
      </c>
      <c r="G667" s="86" t="str">
        <f>IFERROR(__xludf.DUMMYFUNCTION("""COMPUTED_VALUE"""),"Done")</f>
        <v>Done</v>
      </c>
      <c r="H667" s="88">
        <f>IFERROR(__xludf.DUMMYFUNCTION("""COMPUTED_VALUE"""),0.0)</f>
        <v>0</v>
      </c>
      <c r="I667" s="90" t="str">
        <f>IFERROR(__xludf.DUMMYFUNCTION("""COMPUTED_VALUE"""),"EMP0237 Swarnendu Chakraborty")</f>
        <v>EMP0237 Swarnendu Chakraborty</v>
      </c>
      <c r="J667" s="91"/>
    </row>
    <row r="668">
      <c r="B668" s="76" t="str">
        <f>IFERROR(__xludf.DUMMYFUNCTION("""COMPUTED_VALUE"""),"Check api id from database and download jrmxl file                                    ")</f>
        <v>Check api id from database and download jrmxl file                                    </v>
      </c>
      <c r="C668" s="82">
        <f>IFERROR(__xludf.DUMMYFUNCTION("""COMPUTED_VALUE"""),5128.0)</f>
        <v>5128</v>
      </c>
      <c r="D668" s="76" t="str">
        <f>IFERROR(__xludf.DUMMYFUNCTION("""COMPUTED_VALUE"""),"Marks Sheet NEP")</f>
        <v>Marks Sheet NEP</v>
      </c>
      <c r="E668" s="84">
        <f>IFERROR(__xludf.DUMMYFUNCTION("""COMPUTED_VALUE"""),46143.71588481481)</f>
        <v>46143.71588</v>
      </c>
      <c r="F668" s="86">
        <f>IFERROR(__xludf.DUMMYFUNCTION("""COMPUTED_VALUE"""),46143.61509229167)</f>
        <v>46143.61509</v>
      </c>
      <c r="G668" s="86" t="str">
        <f>IFERROR(__xludf.DUMMYFUNCTION("""COMPUTED_VALUE"""),"Done")</f>
        <v>Done</v>
      </c>
      <c r="H668" s="88">
        <f>IFERROR(__xludf.DUMMYFUNCTION("""COMPUTED_VALUE"""),0.0)</f>
        <v>0</v>
      </c>
      <c r="I668" s="90" t="str">
        <f>IFERROR(__xludf.DUMMYFUNCTION("""COMPUTED_VALUE"""),"EMP0042 HULESHWAR KUMAR SAHU")</f>
        <v>EMP0042 HULESHWAR KUMAR SAHU</v>
      </c>
      <c r="J668" s="91"/>
    </row>
    <row r="669">
      <c r="B669" s="76" t="str">
        <f>IFERROR(__xludf.DUMMYFUNCTION("""COMPUTED_VALUE"""),"Check api id from database and download jrmxl file                                    ")</f>
        <v>Check api id from database and download jrmxl file                                    </v>
      </c>
      <c r="C669" s="82">
        <f>IFERROR(__xludf.DUMMYFUNCTION("""COMPUTED_VALUE"""),5129.0)</f>
        <v>5129</v>
      </c>
      <c r="D669" s="76" t="str">
        <f>IFERROR(__xludf.DUMMYFUNCTION("""COMPUTED_VALUE"""),"GAU BARCODE GENERATE")</f>
        <v>GAU BARCODE GENERATE</v>
      </c>
      <c r="E669" s="84">
        <f>IFERROR(__xludf.DUMMYFUNCTION("""COMPUTED_VALUE"""),46143.788241782415)</f>
        <v>46143.78824</v>
      </c>
      <c r="F669" s="86">
        <f>IFERROR(__xludf.DUMMYFUNCTION("""COMPUTED_VALUE"""),46143.61511521991)</f>
        <v>46143.61512</v>
      </c>
      <c r="G669" s="86" t="str">
        <f>IFERROR(__xludf.DUMMYFUNCTION("""COMPUTED_VALUE"""),"Done")</f>
        <v>Done</v>
      </c>
      <c r="H669" s="88">
        <f>IFERROR(__xludf.DUMMYFUNCTION("""COMPUTED_VALUE"""),0.0)</f>
        <v>0</v>
      </c>
      <c r="I669" s="90" t="str">
        <f>IFERROR(__xludf.DUMMYFUNCTION("""COMPUTED_VALUE"""),"EMP0021 Tamanna Dewangan")</f>
        <v>EMP0021 Tamanna Dewangan</v>
      </c>
      <c r="J669" s="91"/>
    </row>
    <row r="670">
      <c r="B670" s="76" t="str">
        <f>IFERROR(__xludf.DUMMYFUNCTION("""COMPUTED_VALUE"""),"Check api id from database and download jrmxl file                                    ")</f>
        <v>Check api id from database and download jrmxl file                                    </v>
      </c>
      <c r="C670" s="82">
        <f>IFERROR(__xludf.DUMMYFUNCTION("""COMPUTED_VALUE"""),5130.0)</f>
        <v>5130</v>
      </c>
      <c r="D670" s="76" t="str">
        <f>IFERROR(__xludf.DUMMYFUNCTION("""COMPUTED_VALUE"""),"Marks Sheet Old")</f>
        <v>Marks Sheet Old</v>
      </c>
      <c r="E670" s="84">
        <f>IFERROR(__xludf.DUMMYFUNCTION("""COMPUTED_VALUE"""),46143.818079282406)</f>
        <v>46143.81808</v>
      </c>
      <c r="F670" s="86">
        <f>IFERROR(__xludf.DUMMYFUNCTION("""COMPUTED_VALUE"""),46143.666465347225)</f>
        <v>46143.66647</v>
      </c>
      <c r="G670" s="86" t="str">
        <f>IFERROR(__xludf.DUMMYFUNCTION("""COMPUTED_VALUE"""),"Done")</f>
        <v>Done</v>
      </c>
      <c r="H670" s="88">
        <f>IFERROR(__xludf.DUMMYFUNCTION("""COMPUTED_VALUE"""),0.0)</f>
        <v>0</v>
      </c>
      <c r="I670" s="90" t="str">
        <f>IFERROR(__xludf.DUMMYFUNCTION("""COMPUTED_VALUE"""),"EMP0042 HULESHWAR KUMAR SAHU")</f>
        <v>EMP0042 HULESHWAR KUMAR SAHU</v>
      </c>
      <c r="J670" s="91"/>
    </row>
    <row r="671">
      <c r="B671" s="76" t="str">
        <f>IFERROR(__xludf.DUMMYFUNCTION("""COMPUTED_VALUE"""),"Check api id from database and download jrmxl file                                    ")</f>
        <v>Check api id from database and download jrmxl file                                    </v>
      </c>
      <c r="C671" s="82">
        <f>IFERROR(__xludf.DUMMYFUNCTION("""COMPUTED_VALUE"""),5131.0)</f>
        <v>5131</v>
      </c>
      <c r="D671" s="76" t="str">
        <f>IFERROR(__xludf.DUMMYFUNCTION("""COMPUTED_VALUE"""),"roll list PG")</f>
        <v>roll list PG</v>
      </c>
      <c r="E671" s="84">
        <f>IFERROR(__xludf.DUMMYFUNCTION("""COMPUTED_VALUE"""),46144.4625)</f>
        <v>46144.4625</v>
      </c>
      <c r="F671" s="86">
        <f>IFERROR(__xludf.DUMMYFUNCTION("""COMPUTED_VALUE"""),46143.77852409722)</f>
        <v>46143.77852</v>
      </c>
      <c r="G671" s="86" t="str">
        <f>IFERROR(__xludf.DUMMYFUNCTION("""COMPUTED_VALUE"""),"Done")</f>
        <v>Done</v>
      </c>
      <c r="H671" s="88">
        <f>IFERROR(__xludf.DUMMYFUNCTION("""COMPUTED_VALUE"""),0.0)</f>
        <v>0</v>
      </c>
      <c r="I671" s="90" t="str">
        <f>IFERROR(__xludf.DUMMYFUNCTION("""COMPUTED_VALUE"""),"EMP0237 Swarnendu Chakraborty")</f>
        <v>EMP0237 Swarnendu Chakraborty</v>
      </c>
      <c r="J671" s="91"/>
    </row>
    <row r="672">
      <c r="B672" s="76" t="str">
        <f>IFERROR(__xludf.DUMMYFUNCTION("""COMPUTED_VALUE"""),"Check api id from database and download jrmxl file                                    ")</f>
        <v>Check api id from database and download jrmxl file                                    </v>
      </c>
      <c r="C672" s="82">
        <f>IFERROR(__xludf.DUMMYFUNCTION("""COMPUTED_VALUE"""),5132.0)</f>
        <v>5132</v>
      </c>
      <c r="D672" s="76" t="str">
        <f>IFERROR(__xludf.DUMMYFUNCTION("""COMPUTED_VALUE"""),"Old Marks sheet")</f>
        <v>Old Marks sheet</v>
      </c>
      <c r="E672" s="84">
        <f>IFERROR(__xludf.DUMMYFUNCTION("""COMPUTED_VALUE"""),46144.66334184028)</f>
        <v>46144.66334</v>
      </c>
      <c r="F672" s="86">
        <f>IFERROR(__xludf.DUMMYFUNCTION("""COMPUTED_VALUE"""),46144.57673548611)</f>
        <v>46144.57674</v>
      </c>
      <c r="G672" s="86" t="str">
        <f>IFERROR(__xludf.DUMMYFUNCTION("""COMPUTED_VALUE"""),"Done")</f>
        <v>Done</v>
      </c>
      <c r="H672" s="88">
        <f>IFERROR(__xludf.DUMMYFUNCTION("""COMPUTED_VALUE"""),0.0)</f>
        <v>0</v>
      </c>
      <c r="I672" s="90" t="str">
        <f>IFERROR(__xludf.DUMMYFUNCTION("""COMPUTED_VALUE"""),"EMP0042 HULESHWAR KUMAR SAHU")</f>
        <v>EMP0042 HULESHWAR KUMAR SAHU</v>
      </c>
      <c r="J672" s="91"/>
    </row>
    <row r="673">
      <c r="B673" s="76" t="str">
        <f>IFERROR(__xludf.DUMMYFUNCTION("""COMPUTED_VALUE"""),"Check api id from database and download jrmxl file                                    ")</f>
        <v>Check api id from database and download jrmxl file                                    </v>
      </c>
      <c r="C673" s="82">
        <f>IFERROR(__xludf.DUMMYFUNCTION("""COMPUTED_VALUE"""),5133.0)</f>
        <v>5133</v>
      </c>
      <c r="D673" s="76" t="str">
        <f>IFERROR(__xludf.DUMMYFUNCTION("""COMPUTED_VALUE"""),"Attendance report")</f>
        <v>Attendance report</v>
      </c>
      <c r="E673" s="84">
        <f>IFERROR(__xludf.DUMMYFUNCTION("""COMPUTED_VALUE"""),46144.69588263889)</f>
        <v>46144.69588</v>
      </c>
      <c r="F673" s="86">
        <f>IFERROR(__xludf.DUMMYFUNCTION("""COMPUTED_VALUE"""),46144.57659174768)</f>
        <v>46144.57659</v>
      </c>
      <c r="G673" s="86" t="str">
        <f>IFERROR(__xludf.DUMMYFUNCTION("""COMPUTED_VALUE"""),"Done")</f>
        <v>Done</v>
      </c>
      <c r="H673" s="88">
        <f>IFERROR(__xludf.DUMMYFUNCTION("""COMPUTED_VALUE"""),0.0)</f>
        <v>0</v>
      </c>
      <c r="I673" s="90" t="str">
        <f>IFERROR(__xludf.DUMMYFUNCTION("""COMPUTED_VALUE"""),"EMP0237 Swarnendu Chakraborty")</f>
        <v>EMP0237 Swarnendu Chakraborty</v>
      </c>
      <c r="J673" s="91"/>
    </row>
    <row r="674">
      <c r="B674" s="76" t="str">
        <f>IFERROR(__xludf.DUMMYFUNCTION("""COMPUTED_VALUE"""),"Check api id from database and download jrmxl file                                    ")</f>
        <v>Check api id from database and download jrmxl file                                    </v>
      </c>
      <c r="C674" s="82">
        <f>IFERROR(__xludf.DUMMYFUNCTION("""COMPUTED_VALUE"""),5134.0)</f>
        <v>5134</v>
      </c>
      <c r="D674" s="76" t="str">
        <f>IFERROR(__xludf.DUMMYFUNCTION("""COMPUTED_VALUE"""),"subject_wise_report_rsos")</f>
        <v>subject_wise_report_rsos</v>
      </c>
      <c r="E674" s="84">
        <f>IFERROR(__xludf.DUMMYFUNCTION("""COMPUTED_VALUE"""),46144.738420173606)</f>
        <v>46144.73842</v>
      </c>
      <c r="F674" s="86">
        <f>IFERROR(__xludf.DUMMYFUNCTION("""COMPUTED_VALUE"""),46144.5769711574)</f>
        <v>46144.57697</v>
      </c>
      <c r="G674" s="86" t="str">
        <f>IFERROR(__xludf.DUMMYFUNCTION("""COMPUTED_VALUE"""),"Done")</f>
        <v>Done</v>
      </c>
      <c r="H674" s="88">
        <f>IFERROR(__xludf.DUMMYFUNCTION("""COMPUTED_VALUE"""),0.0)</f>
        <v>0</v>
      </c>
      <c r="I674" s="90" t="str">
        <f>IFERROR(__xludf.DUMMYFUNCTION("""COMPUTED_VALUE"""),"EMP0021 Tamanna Dewangan")</f>
        <v>EMP0021 Tamanna Dewangan</v>
      </c>
      <c r="J674" s="91"/>
    </row>
    <row r="675">
      <c r="B675" s="76" t="str">
        <f>IFERROR(__xludf.DUMMYFUNCTION("""COMPUTED_VALUE"""),"Check api id from database and download jrmxl file                                    ")</f>
        <v>Check api id from database and download jrmxl file                                    </v>
      </c>
      <c r="C675" s="82">
        <f>IFERROR(__xludf.DUMMYFUNCTION("""COMPUTED_VALUE"""),5135.0)</f>
        <v>5135</v>
      </c>
      <c r="D675" s="76" t="str">
        <f>IFERROR(__xludf.DUMMYFUNCTION("""COMPUTED_VALUE"""),"Packet_Issue_Receive_Report.jasper")</f>
        <v>Packet_Issue_Receive_Report.jasper</v>
      </c>
      <c r="E675" s="84">
        <f>IFERROR(__xludf.DUMMYFUNCTION("""COMPUTED_VALUE"""),46146.81212729167)</f>
        <v>46146.81213</v>
      </c>
      <c r="F675" s="86">
        <f>IFERROR(__xludf.DUMMYFUNCTION("""COMPUTED_VALUE"""),46146.64671240741)</f>
        <v>46146.64671</v>
      </c>
      <c r="G675" s="86" t="str">
        <f>IFERROR(__xludf.DUMMYFUNCTION("""COMPUTED_VALUE"""),"Done")</f>
        <v>Done</v>
      </c>
      <c r="H675" s="88">
        <f>IFERROR(__xludf.DUMMYFUNCTION("""COMPUTED_VALUE"""),0.0)</f>
        <v>0</v>
      </c>
      <c r="I675" s="90" t="str">
        <f>IFERROR(__xludf.DUMMYFUNCTION("""COMPUTED_VALUE"""),"EMP0042 HULESHWAR KUMAR SAHU")</f>
        <v>EMP0042 HULESHWAR KUMAR SAHU</v>
      </c>
      <c r="J675" s="91"/>
    </row>
    <row r="676">
      <c r="B676" s="76" t="str">
        <f>IFERROR(__xludf.DUMMYFUNCTION("""COMPUTED_VALUE"""),"Check api id from database and download jrmxl file                                    ")</f>
        <v>Check api id from database and download jrmxl file                                    </v>
      </c>
      <c r="C676" s="82">
        <f>IFERROR(__xludf.DUMMYFUNCTION("""COMPUTED_VALUE"""),5136.0)</f>
        <v>5136</v>
      </c>
      <c r="D676" s="76" t="str">
        <f>IFERROR(__xludf.DUMMYFUNCTION("""COMPUTED_VALUE"""),"Marksheet nep camulative Nep Major miner")</f>
        <v>Marksheet nep camulative Nep Major miner</v>
      </c>
      <c r="E676" s="84">
        <f>IFERROR(__xludf.DUMMYFUNCTION("""COMPUTED_VALUE"""),46147.445138888885)</f>
        <v>46147.44514</v>
      </c>
      <c r="F676" s="86">
        <f>IFERROR(__xludf.DUMMYFUNCTION("""COMPUTED_VALUE"""),46146.71616011574)</f>
        <v>46146.71616</v>
      </c>
      <c r="G676" s="86" t="str">
        <f>IFERROR(__xludf.DUMMYFUNCTION("""COMPUTED_VALUE"""),"Done")</f>
        <v>Done</v>
      </c>
      <c r="H676" s="88">
        <f>IFERROR(__xludf.DUMMYFUNCTION("""COMPUTED_VALUE"""),0.0)</f>
        <v>0</v>
      </c>
      <c r="I676" s="90" t="str">
        <f>IFERROR(__xludf.DUMMYFUNCTION("""COMPUTED_VALUE"""),"EMP0021 Tamanna Dewangan")</f>
        <v>EMP0021 Tamanna Dewangan</v>
      </c>
      <c r="J676" s="91"/>
    </row>
    <row r="677">
      <c r="B677" s="76" t="str">
        <f>IFERROR(__xludf.DUMMYFUNCTION("""COMPUTED_VALUE"""),"Check api id from database and download jrmxl file                                    ")</f>
        <v>Check api id from database and download jrmxl file                                    </v>
      </c>
      <c r="C677" s="82">
        <f>IFERROR(__xludf.DUMMYFUNCTION("""COMPUTED_VALUE"""),5137.0)</f>
        <v>5137</v>
      </c>
      <c r="D677" s="76" t="str">
        <f>IFERROR(__xludf.DUMMYFUNCTION("""COMPUTED_VALUE"""),"NURSING GRADE CARD")</f>
        <v>NURSING GRADE CARD</v>
      </c>
      <c r="E677" s="84">
        <f>IFERROR(__xludf.DUMMYFUNCTION("""COMPUTED_VALUE"""),46147.475)</f>
        <v>46147.475</v>
      </c>
      <c r="F677" s="86">
        <f>IFERROR(__xludf.DUMMYFUNCTION("""COMPUTED_VALUE"""),46146.75009994213)</f>
        <v>46146.7501</v>
      </c>
      <c r="G677" s="86" t="str">
        <f>IFERROR(__xludf.DUMMYFUNCTION("""COMPUTED_VALUE"""),"Done")</f>
        <v>Done</v>
      </c>
      <c r="H677" s="88">
        <f>IFERROR(__xludf.DUMMYFUNCTION("""COMPUTED_VALUE"""),0.0)</f>
        <v>0</v>
      </c>
      <c r="I677" s="90" t="str">
        <f>IFERROR(__xludf.DUMMYFUNCTION("""COMPUTED_VALUE"""),"EMP0042 HULESHWAR KUMAR SAHU")</f>
        <v>EMP0042 HULESHWAR KUMAR SAHU</v>
      </c>
      <c r="J677" s="91"/>
    </row>
    <row r="678">
      <c r="B678" s="76" t="str">
        <f>IFERROR(__xludf.DUMMYFUNCTION("""COMPUTED_VALUE"""),"Check api id from database and download jrmxl file                                    ")</f>
        <v>Check api id from database and download jrmxl file                                    </v>
      </c>
      <c r="C678" s="82">
        <f>IFERROR(__xludf.DUMMYFUNCTION("""COMPUTED_VALUE"""),5138.0)</f>
        <v>5138</v>
      </c>
      <c r="D678" s="76" t="str">
        <f>IFERROR(__xludf.DUMMYFUNCTION("""COMPUTED_VALUE"""),"	TR PHD Nursing")</f>
        <v>	TR PHD Nursing</v>
      </c>
      <c r="E678" s="84">
        <f>IFERROR(__xludf.DUMMYFUNCTION("""COMPUTED_VALUE"""),46147.655612118055)</f>
        <v>46147.65561</v>
      </c>
      <c r="F678" s="86">
        <f>IFERROR(__xludf.DUMMYFUNCTION("""COMPUTED_VALUE"""),46147.4946566088)</f>
        <v>46147.49466</v>
      </c>
      <c r="G678" s="86" t="str">
        <f>IFERROR(__xludf.DUMMYFUNCTION("""COMPUTED_VALUE"""),"Done")</f>
        <v>Done</v>
      </c>
      <c r="H678" s="88">
        <f>IFERROR(__xludf.DUMMYFUNCTION("""COMPUTED_VALUE"""),0.0)</f>
        <v>0</v>
      </c>
      <c r="I678" s="90" t="str">
        <f>IFERROR(__xludf.DUMMYFUNCTION("""COMPUTED_VALUE"""),"EMP0021 Tamanna Dewangan")</f>
        <v>EMP0021 Tamanna Dewangan</v>
      </c>
      <c r="J678" s="91"/>
    </row>
    <row r="679">
      <c r="B679" s="76" t="str">
        <f>IFERROR(__xludf.DUMMYFUNCTION("""COMPUTED_VALUE"""),"Check api id from database and download jrmxl file                                    ")</f>
        <v>Check api id from database and download jrmxl file                                    </v>
      </c>
      <c r="C679" s="82">
        <f>IFERROR(__xludf.DUMMYFUNCTION("""COMPUTED_VALUE"""),5139.0)</f>
        <v>5139</v>
      </c>
      <c r="D679" s="76" t="str">
        <f>IFERROR(__xludf.DUMMYFUNCTION("""COMPUTED_VALUE"""),"MARKSHEET 4SEM")</f>
        <v>MARKSHEET 4SEM</v>
      </c>
      <c r="E679" s="84">
        <f>IFERROR(__xludf.DUMMYFUNCTION("""COMPUTED_VALUE"""),46148.72913763889)</f>
        <v>46148.72914</v>
      </c>
      <c r="F679" s="86">
        <f>IFERROR(__xludf.DUMMYFUNCTION("""COMPUTED_VALUE"""),46148.63942479166)</f>
        <v>46148.63942</v>
      </c>
      <c r="G679" s="86" t="str">
        <f>IFERROR(__xludf.DUMMYFUNCTION("""COMPUTED_VALUE"""),"Done")</f>
        <v>Done</v>
      </c>
      <c r="H679" s="88">
        <f>IFERROR(__xludf.DUMMYFUNCTION("""COMPUTED_VALUE"""),0.0)</f>
        <v>0</v>
      </c>
      <c r="I679" s="90" t="str">
        <f>IFERROR(__xludf.DUMMYFUNCTION("""COMPUTED_VALUE"""),"EMP5009 Rup Kumar Mandal")</f>
        <v>EMP5009 Rup Kumar Mandal</v>
      </c>
      <c r="J679" s="91"/>
    </row>
    <row r="680">
      <c r="B680" s="76" t="str">
        <f>IFERROR(__xludf.DUMMYFUNCTION("""COMPUTED_VALUE"""),"Check api id from database and download jrmxl file                                    ")</f>
        <v>Check api id from database and download jrmxl file                                    </v>
      </c>
      <c r="C680" s="82">
        <f>IFERROR(__xludf.DUMMYFUNCTION("""COMPUTED_VALUE"""),5140.0)</f>
        <v>5140</v>
      </c>
      <c r="D680" s="76" t="str">
        <f>IFERROR(__xludf.DUMMYFUNCTION("""COMPUTED_VALUE"""),"Multiple Report:ICR marksheet: marksheet llb")</f>
        <v>Multiple Report:ICR marksheet: marksheet llb</v>
      </c>
      <c r="E680" s="84">
        <f>IFERROR(__xludf.DUMMYFUNCTION("""COMPUTED_VALUE"""),46149.45763888889)</f>
        <v>46149.45764</v>
      </c>
      <c r="F680" s="86">
        <f>IFERROR(__xludf.DUMMYFUNCTION("""COMPUTED_VALUE"""),46148.72016142361)</f>
        <v>46148.72016</v>
      </c>
      <c r="G680" s="86" t="str">
        <f>IFERROR(__xludf.DUMMYFUNCTION("""COMPUTED_VALUE"""),"Done")</f>
        <v>Done</v>
      </c>
      <c r="H680" s="88">
        <f>IFERROR(__xludf.DUMMYFUNCTION("""COMPUTED_VALUE"""),0.0)</f>
        <v>0</v>
      </c>
      <c r="I680" s="90" t="str">
        <f>IFERROR(__xludf.DUMMYFUNCTION("""COMPUTED_VALUE"""),"EMP0042 HULESHWAR KUMAR SAHU")</f>
        <v>EMP0042 HULESHWAR KUMAR SAHU</v>
      </c>
      <c r="J680" s="91"/>
    </row>
    <row r="681">
      <c r="B681" s="76" t="str">
        <f>IFERROR(__xludf.DUMMYFUNCTION("""COMPUTED_VALUE"""),"Check api id from database and download jrmxl file                                    ")</f>
        <v>Check api id from database and download jrmxl file                                    </v>
      </c>
      <c r="C681" s="82">
        <f>IFERROR(__xludf.DUMMYFUNCTION("""COMPUTED_VALUE"""),5141.0)</f>
        <v>5141</v>
      </c>
      <c r="D681" s="76" t="str">
        <f>IFERROR(__xludf.DUMMYFUNCTION("""COMPUTED_VALUE"""),"gradecard")</f>
        <v>gradecard</v>
      </c>
      <c r="E681" s="84">
        <f>IFERROR(__xludf.DUMMYFUNCTION("""COMPUTED_VALUE"""),46150.42916666667)</f>
        <v>46150.42917</v>
      </c>
      <c r="F681" s="86">
        <f>IFERROR(__xludf.DUMMYFUNCTION("""COMPUTED_VALUE"""),46149.944622048606)</f>
        <v>46149.94462</v>
      </c>
      <c r="G681" s="86" t="str">
        <f>IFERROR(__xludf.DUMMYFUNCTION("""COMPUTED_VALUE"""),"Done")</f>
        <v>Done</v>
      </c>
      <c r="H681" s="88">
        <f>IFERROR(__xludf.DUMMYFUNCTION("""COMPUTED_VALUE"""),0.0)</f>
        <v>0</v>
      </c>
      <c r="I681" s="90" t="str">
        <f>IFERROR(__xludf.DUMMYFUNCTION("""COMPUTED_VALUE"""),"EMP0021 Tamanna Dewangan")</f>
        <v>EMP0021 Tamanna Dewangan</v>
      </c>
      <c r="J681" s="91"/>
    </row>
    <row r="682">
      <c r="B682" s="76" t="str">
        <f>IFERROR(__xludf.DUMMYFUNCTION("""COMPUTED_VALUE"""),"Check api id from database and download jrmxl file                                    ")</f>
        <v>Check api id from database and download jrmxl file                                    </v>
      </c>
      <c r="C682" s="82">
        <f>IFERROR(__xludf.DUMMYFUNCTION("""COMPUTED_VALUE"""),5142.0)</f>
        <v>5142</v>
      </c>
      <c r="D682" s="76" t="str">
        <f>IFERROR(__xludf.DUMMYFUNCTION("""COMPUTED_VALUE"""),"GRADE CARD AGRICULTURE")</f>
        <v>GRADE CARD AGRICULTURE</v>
      </c>
      <c r="E682" s="84">
        <f>IFERROR(__xludf.DUMMYFUNCTION("""COMPUTED_VALUE"""),46150.45972222222)</f>
        <v>46150.45972</v>
      </c>
      <c r="F682" s="86">
        <f>IFERROR(__xludf.DUMMYFUNCTION("""COMPUTED_VALUE"""),46149.94466574074)</f>
        <v>46149.94467</v>
      </c>
      <c r="G682" s="86" t="str">
        <f>IFERROR(__xludf.DUMMYFUNCTION("""COMPUTED_VALUE"""),"Done")</f>
        <v>Done</v>
      </c>
      <c r="H682" s="88">
        <f>IFERROR(__xludf.DUMMYFUNCTION("""COMPUTED_VALUE"""),0.0)</f>
        <v>0</v>
      </c>
      <c r="I682" s="90" t="str">
        <f>IFERROR(__xludf.DUMMYFUNCTION("""COMPUTED_VALUE"""),"EMP0042 HULESHWAR KUMAR SAHU")</f>
        <v>EMP0042 HULESHWAR KUMAR SAHU</v>
      </c>
      <c r="J682" s="91"/>
    </row>
    <row r="683">
      <c r="B683" s="76" t="str">
        <f>IFERROR(__xludf.DUMMYFUNCTION("""COMPUTED_VALUE"""),"Check api id from database and download jrmxl file                                    ")</f>
        <v>Check api id from database and download jrmxl file                                    </v>
      </c>
      <c r="C683" s="82">
        <f>IFERROR(__xludf.DUMMYFUNCTION("""COMPUTED_VALUE"""),5143.0)</f>
        <v>5143</v>
      </c>
      <c r="D683" s="76" t="str">
        <f>IFERROR(__xludf.DUMMYFUNCTION("""COMPUTED_VALUE"""),"SATISH KUMAR")</f>
        <v>SATISH KUMAR</v>
      </c>
      <c r="E683" s="84">
        <f>IFERROR(__xludf.DUMMYFUNCTION("""COMPUTED_VALUE"""),46151.493055555555)</f>
        <v>46151.49306</v>
      </c>
      <c r="F683" s="86">
        <f>IFERROR(__xludf.DUMMYFUNCTION("""COMPUTED_VALUE"""),46151.45465157407)</f>
        <v>46151.45465</v>
      </c>
      <c r="G683" s="86" t="str">
        <f>IFERROR(__xludf.DUMMYFUNCTION("""COMPUTED_VALUE"""),"Done")</f>
        <v>Done</v>
      </c>
      <c r="H683" s="88">
        <f>IFERROR(__xludf.DUMMYFUNCTION("""COMPUTED_VALUE"""),0.0)</f>
        <v>0</v>
      </c>
      <c r="I683" s="90" t="str">
        <f>IFERROR(__xludf.DUMMYFUNCTION("""COMPUTED_VALUE"""),"EMP0042 HULESHWAR KUMAR SAHU")</f>
        <v>EMP0042 HULESHWAR KUMAR SAHU</v>
      </c>
      <c r="J683" s="91"/>
    </row>
    <row r="684">
      <c r="B684" s="76" t="str">
        <f>IFERROR(__xludf.DUMMYFUNCTION("""COMPUTED_VALUE"""),"Check api id from database and download jrmxl file                                    ")</f>
        <v>Check api id from database and download jrmxl file                                    </v>
      </c>
      <c r="C684" s="82">
        <f>IFERROR(__xludf.DUMMYFUNCTION("""COMPUTED_VALUE"""),5144.0)</f>
        <v>5144</v>
      </c>
      <c r="D684" s="76" t="str">
        <f>IFERROR(__xludf.DUMMYFUNCTION("""COMPUTED_VALUE"""),"SATISH KUMAR")</f>
        <v>SATISH KUMAR</v>
      </c>
      <c r="E684" s="84">
        <f>IFERROR(__xludf.DUMMYFUNCTION("""COMPUTED_VALUE"""),46151.49375)</f>
        <v>46151.49375</v>
      </c>
      <c r="F684" s="86">
        <f>IFERROR(__xludf.DUMMYFUNCTION("""COMPUTED_VALUE"""),46151.499323125)</f>
        <v>46151.49932</v>
      </c>
      <c r="G684" s="86" t="str">
        <f>IFERROR(__xludf.DUMMYFUNCTION("""COMPUTED_VALUE"""),"Done")</f>
        <v>Done</v>
      </c>
      <c r="H684" s="88">
        <f>IFERROR(__xludf.DUMMYFUNCTION("""COMPUTED_VALUE"""),0.005573124998986756)</f>
        <v>0.005573124999</v>
      </c>
      <c r="I684" s="90" t="str">
        <f>IFERROR(__xludf.DUMMYFUNCTION("""COMPUTED_VALUE"""),"EMP0042 HULESHWAR KUMAR SAHU")</f>
        <v>EMP0042 HULESHWAR KUMAR SAHU</v>
      </c>
      <c r="J684" s="91"/>
    </row>
    <row r="685">
      <c r="B685" s="76" t="str">
        <f>IFERROR(__xludf.DUMMYFUNCTION("""COMPUTED_VALUE"""),"Check api id from database and download jrmxl file                                    ")</f>
        <v>Check api id from database and download jrmxl file                                    </v>
      </c>
      <c r="C685" s="82">
        <f>IFERROR(__xludf.DUMMYFUNCTION("""COMPUTED_VALUE"""),5145.0)</f>
        <v>5145</v>
      </c>
      <c r="D685" s="76" t="str">
        <f>IFERROR(__xludf.DUMMYFUNCTION("""COMPUTED_VALUE"""),"STUDENT_ATTENDANCE")</f>
        <v>STUDENT_ATTENDANCE</v>
      </c>
      <c r="E685" s="84">
        <f>IFERROR(__xludf.DUMMYFUNCTION("""COMPUTED_VALUE"""),46151.78941978009)</f>
        <v>46151.78942</v>
      </c>
      <c r="F685" s="86">
        <f>IFERROR(__xludf.DUMMYFUNCTION("""COMPUTED_VALUE"""),46151.62569976852)</f>
        <v>46151.6257</v>
      </c>
      <c r="G685" s="86" t="str">
        <f>IFERROR(__xludf.DUMMYFUNCTION("""COMPUTED_VALUE"""),"Done")</f>
        <v>Done</v>
      </c>
      <c r="H685" s="88">
        <f>IFERROR(__xludf.DUMMYFUNCTION("""COMPUTED_VALUE"""),0.0)</f>
        <v>0</v>
      </c>
      <c r="I685" s="90" t="str">
        <f>IFERROR(__xludf.DUMMYFUNCTION("""COMPUTED_VALUE"""),"EMP5009 Rup Kumar Mandal")</f>
        <v>EMP5009 Rup Kumar Mandal</v>
      </c>
      <c r="J685" s="91"/>
    </row>
    <row r="686">
      <c r="B686" s="76" t="str">
        <f>IFERROR(__xludf.DUMMYFUNCTION("""COMPUTED_VALUE"""),"Check api id from database and download jrmxl file                                    ")</f>
        <v>Check api id from database and download jrmxl file                                    </v>
      </c>
      <c r="C686" s="82">
        <f>IFERROR(__xludf.DUMMYFUNCTION("""COMPUTED_VALUE"""),5146.0)</f>
        <v>5146</v>
      </c>
      <c r="D686" s="76" t="str">
        <f>IFERROR(__xludf.DUMMYFUNCTION("""COMPUTED_VALUE"""),"STUDENT_ATTENDANCE ")</f>
        <v>STUDENT_ATTENDANCE </v>
      </c>
      <c r="E686" s="84">
        <f>IFERROR(__xludf.DUMMYFUNCTION("""COMPUTED_VALUE"""),46151.790846446755)</f>
        <v>46151.79085</v>
      </c>
      <c r="F686" s="86">
        <f>IFERROR(__xludf.DUMMYFUNCTION("""COMPUTED_VALUE"""),46151.62569976852)</f>
        <v>46151.6257</v>
      </c>
      <c r="G686" s="86" t="str">
        <f>IFERROR(__xludf.DUMMYFUNCTION("""COMPUTED_VALUE"""),"Done")</f>
        <v>Done</v>
      </c>
      <c r="H686" s="88">
        <f>IFERROR(__xludf.DUMMYFUNCTION("""COMPUTED_VALUE"""),0.0)</f>
        <v>0</v>
      </c>
      <c r="I686" s="90" t="str">
        <f>IFERROR(__xludf.DUMMYFUNCTION("""COMPUTED_VALUE"""),"EMP5009 Rup Kumar Mandal")</f>
        <v>EMP5009 Rup Kumar Mandal</v>
      </c>
      <c r="J686" s="91"/>
    </row>
    <row r="687">
      <c r="B687" s="76" t="str">
        <f>IFERROR(__xludf.DUMMYFUNCTION("""COMPUTED_VALUE"""),"Check api id from database and download jrmxl file                                    ")</f>
        <v>Check api id from database and download jrmxl file                                    </v>
      </c>
      <c r="C687" s="82">
        <f>IFERROR(__xludf.DUMMYFUNCTION("""COMPUTED_VALUE"""),5147.0)</f>
        <v>5147</v>
      </c>
      <c r="D687" s="76" t="str">
        <f>IFERROR(__xludf.DUMMYFUNCTION("""COMPUTED_VALUE"""),"	TR NEW AGRICULTURE AND ALL")</f>
        <v>	TR NEW AGRICULTURE AND ALL</v>
      </c>
      <c r="E687" s="84">
        <f>IFERROR(__xludf.DUMMYFUNCTION("""COMPUTED_VALUE"""),46153.46388888889)</f>
        <v>46153.46389</v>
      </c>
      <c r="F687" s="86">
        <f>IFERROR(__xludf.DUMMYFUNCTION("""COMPUTED_VALUE"""),46153.444108020834)</f>
        <v>46153.44411</v>
      </c>
      <c r="G687" s="86" t="str">
        <f>IFERROR(__xludf.DUMMYFUNCTION("""COMPUTED_VALUE"""),"Done")</f>
        <v>Done</v>
      </c>
      <c r="H687" s="88">
        <f>IFERROR(__xludf.DUMMYFUNCTION("""COMPUTED_VALUE"""),0.0)</f>
        <v>0</v>
      </c>
      <c r="I687" s="90" t="str">
        <f>IFERROR(__xludf.DUMMYFUNCTION("""COMPUTED_VALUE"""),"EMP0042 HULESHWAR KUMAR SAHU")</f>
        <v>EMP0042 HULESHWAR KUMAR SAHU</v>
      </c>
      <c r="J687" s="91"/>
    </row>
    <row r="688">
      <c r="B688" s="76" t="str">
        <f>IFERROR(__xludf.DUMMYFUNCTION("""COMPUTED_VALUE"""),"Check api id from database and download jrmxl file                                    ")</f>
        <v>Check api id from database and download jrmxl file                                    </v>
      </c>
      <c r="C688" s="82">
        <f>IFERROR(__xludf.DUMMYFUNCTION("""COMPUTED_VALUE"""),5148.0)</f>
        <v>5148</v>
      </c>
      <c r="D688" s="76" t="str">
        <f>IFERROR(__xludf.DUMMYFUNCTION("""COMPUTED_VALUE"""),"2019-20 BATCHES BA COURSE MATHAMTICS SUBJECT NOT SHOWING UNIT PARTS IN DMC")</f>
        <v>2019-20 BATCHES BA COURSE MATHAMTICS SUBJECT NOT SHOWING UNIT PARTS IN DMC</v>
      </c>
      <c r="E688" s="84">
        <f>IFERROR(__xludf.DUMMYFUNCTION("""COMPUTED_VALUE"""),46153.66768484953)</f>
        <v>46153.66768</v>
      </c>
      <c r="F688" s="86">
        <f>IFERROR(__xludf.DUMMYFUNCTION("""COMPUTED_VALUE"""),46153.65228009259)</f>
        <v>46153.65228</v>
      </c>
      <c r="G688" s="86" t="str">
        <f>IFERROR(__xludf.DUMMYFUNCTION("""COMPUTED_VALUE"""),"Done")</f>
        <v>Done</v>
      </c>
      <c r="H688" s="88">
        <f>IFERROR(__xludf.DUMMYFUNCTION("""COMPUTED_VALUE"""),0.0)</f>
        <v>0</v>
      </c>
      <c r="I688" s="90" t="str">
        <f>IFERROR(__xludf.DUMMYFUNCTION("""COMPUTED_VALUE"""),"EMP0237 Swarnendu Chakraborty")</f>
        <v>EMP0237 Swarnendu Chakraborty</v>
      </c>
      <c r="J688" s="91"/>
    </row>
    <row r="689">
      <c r="B689" s="76" t="str">
        <f>IFERROR(__xludf.DUMMYFUNCTION("""COMPUTED_VALUE"""),"Check api id from database and download jrmxl file                                    ")</f>
        <v>Check api id from database and download jrmxl file                                    </v>
      </c>
      <c r="C689" s="82">
        <f>IFERROR(__xludf.DUMMYFUNCTION("""COMPUTED_VALUE"""),5149.0)</f>
        <v>5149</v>
      </c>
      <c r="D689" s="76" t="str">
        <f>IFERROR(__xludf.DUMMYFUNCTION("""COMPUTED_VALUE"""),"	Marksheet MBBS New Format")</f>
        <v>	Marksheet MBBS New Format</v>
      </c>
      <c r="E689" s="84">
        <f>IFERROR(__xludf.DUMMYFUNCTION("""COMPUTED_VALUE"""),46154.82134130788)</f>
        <v>46154.82134</v>
      </c>
      <c r="F689" s="86">
        <f>IFERROR(__xludf.DUMMYFUNCTION("""COMPUTED_VALUE"""),46154.667386898145)</f>
        <v>46154.66739</v>
      </c>
      <c r="G689" s="86" t="str">
        <f>IFERROR(__xludf.DUMMYFUNCTION("""COMPUTED_VALUE"""),"Done")</f>
        <v>Done</v>
      </c>
      <c r="H689" s="88">
        <f>IFERROR(__xludf.DUMMYFUNCTION("""COMPUTED_VALUE"""),0.0)</f>
        <v>0</v>
      </c>
      <c r="I689" s="90" t="str">
        <f>IFERROR(__xludf.DUMMYFUNCTION("""COMPUTED_VALUE"""),"EMP0042 HULESHWAR KUMAR SAHU")</f>
        <v>EMP0042 HULESHWAR KUMAR SAHU</v>
      </c>
      <c r="J689" s="91"/>
    </row>
    <row r="690">
      <c r="B690" s="76" t="str">
        <f>IFERROR(__xludf.DUMMYFUNCTION("""COMPUTED_VALUE"""),"Check api id from database and download jrmxl file                                    ")</f>
        <v>Check api id from database and download jrmxl file                                    </v>
      </c>
      <c r="C690" s="82">
        <f>IFERROR(__xludf.DUMMYFUNCTION("""COMPUTED_VALUE"""),5150.0)</f>
        <v>5150</v>
      </c>
      <c r="D690" s="76" t="str">
        <f>IFERROR(__xludf.DUMMYFUNCTION("""COMPUTED_VALUE"""),"Transcript PG")</f>
        <v>Transcript PG</v>
      </c>
      <c r="E690" s="84">
        <f>IFERROR(__xludf.DUMMYFUNCTION("""COMPUTED_VALUE"""),46154.82434923611)</f>
        <v>46154.82435</v>
      </c>
      <c r="F690" s="86">
        <f>IFERROR(__xludf.DUMMYFUNCTION("""COMPUTED_VALUE"""),46154.667442881946)</f>
        <v>46154.66744</v>
      </c>
      <c r="G690" s="86" t="str">
        <f>IFERROR(__xludf.DUMMYFUNCTION("""COMPUTED_VALUE"""),"Done")</f>
        <v>Done</v>
      </c>
      <c r="H690" s="88">
        <f>IFERROR(__xludf.DUMMYFUNCTION("""COMPUTED_VALUE"""),0.0)</f>
        <v>0</v>
      </c>
      <c r="I690" s="90" t="str">
        <f>IFERROR(__xludf.DUMMYFUNCTION("""COMPUTED_VALUE"""),"EMP0042 HULESHWAR KUMAR SAHU")</f>
        <v>EMP0042 HULESHWAR KUMAR SAHU</v>
      </c>
      <c r="J690" s="91"/>
    </row>
    <row r="691">
      <c r="B691" s="76" t="str">
        <f>IFERROR(__xludf.DUMMYFUNCTION("""COMPUTED_VALUE"""),"Check api id from database and download jrmxl file                                    ")</f>
        <v>Check api id from database and download jrmxl file                                    </v>
      </c>
      <c r="C691" s="82">
        <f>IFERROR(__xludf.DUMMYFUNCTION("""COMPUTED_VALUE"""),5151.0)</f>
        <v>5151</v>
      </c>
      <c r="D691" s="76" t="str">
        <f>IFERROR(__xludf.DUMMYFUNCTION("""COMPUTED_VALUE"""),"Marksheet LLB")</f>
        <v>Marksheet LLB</v>
      </c>
      <c r="E691" s="84">
        <f>IFERROR(__xludf.DUMMYFUNCTION("""COMPUTED_VALUE"""),46155.45972222222)</f>
        <v>46155.45972</v>
      </c>
      <c r="F691" s="86">
        <f>IFERROR(__xludf.DUMMYFUNCTION("""COMPUTED_VALUE"""),46155.438321759255)</f>
        <v>46155.43832</v>
      </c>
      <c r="G691" s="86" t="str">
        <f>IFERROR(__xludf.DUMMYFUNCTION("""COMPUTED_VALUE"""),"Done")</f>
        <v>Done</v>
      </c>
      <c r="H691" s="88">
        <f>IFERROR(__xludf.DUMMYFUNCTION("""COMPUTED_VALUE"""),0.0)</f>
        <v>0</v>
      </c>
      <c r="I691" s="90" t="str">
        <f>IFERROR(__xludf.DUMMYFUNCTION("""COMPUTED_VALUE"""),"EMP0042 HULESHWAR KUMAR SAHU")</f>
        <v>EMP0042 HULESHWAR KUMAR SAHU</v>
      </c>
      <c r="J691" s="91"/>
    </row>
    <row r="692">
      <c r="B692" s="76" t="str">
        <f>IFERROR(__xludf.DUMMYFUNCTION("""COMPUTED_VALUE"""),"Check api id from database and download jrmxl file                                    ")</f>
        <v>Check api id from database and download jrmxl file                                    </v>
      </c>
      <c r="C692" s="82">
        <f>IFERROR(__xludf.DUMMYFUNCTION("""COMPUTED_VALUE"""),5152.0)</f>
        <v>5152</v>
      </c>
      <c r="D692" s="76" t="str">
        <f>IFERROR(__xludf.DUMMYFUNCTION("""COMPUTED_VALUE"""),"NEP Marksheet")</f>
        <v>NEP Marksheet</v>
      </c>
      <c r="E692" s="84">
        <f>IFERROR(__xludf.DUMMYFUNCTION("""COMPUTED_VALUE"""),46157.433333333334)</f>
        <v>46157.43333</v>
      </c>
      <c r="F692" s="86">
        <f>IFERROR(__xludf.DUMMYFUNCTION("""COMPUTED_VALUE"""),46156.68116489583)</f>
        <v>46156.68116</v>
      </c>
      <c r="G692" s="86" t="str">
        <f>IFERROR(__xludf.DUMMYFUNCTION("""COMPUTED_VALUE"""),"Done")</f>
        <v>Done</v>
      </c>
      <c r="H692" s="88">
        <f>IFERROR(__xludf.DUMMYFUNCTION("""COMPUTED_VALUE"""),0.0)</f>
        <v>0</v>
      </c>
      <c r="I692" s="90" t="str">
        <f>IFERROR(__xludf.DUMMYFUNCTION("""COMPUTED_VALUE"""),"EMP0042 HULESHWAR KUMAR SAHU")</f>
        <v>EMP0042 HULESHWAR KUMAR SAHU</v>
      </c>
      <c r="J692" s="91"/>
    </row>
    <row r="693">
      <c r="B693" s="76" t="str">
        <f>IFERROR(__xludf.DUMMYFUNCTION("""COMPUTED_VALUE"""),"Check api id from database and download jrmxl file                                    ")</f>
        <v>Check api id from database and download jrmxl file                                    </v>
      </c>
      <c r="C693" s="82">
        <f>IFERROR(__xludf.DUMMYFUNCTION("""COMPUTED_VALUE"""),5153.0)</f>
        <v>5153</v>
      </c>
      <c r="D693" s="76" t="str">
        <f>IFERROR(__xludf.DUMMYFUNCTION("""COMPUTED_VALUE"""),"OLD Marksheet")</f>
        <v>OLD Marksheet</v>
      </c>
      <c r="E693" s="84">
        <f>IFERROR(__xludf.DUMMYFUNCTION("""COMPUTED_VALUE"""),46157.43541666667)</f>
        <v>46157.43542</v>
      </c>
      <c r="F693" s="86">
        <f>IFERROR(__xludf.DUMMYFUNCTION("""COMPUTED_VALUE"""),46156.68116658565)</f>
        <v>46156.68117</v>
      </c>
      <c r="G693" s="86" t="str">
        <f>IFERROR(__xludf.DUMMYFUNCTION("""COMPUTED_VALUE"""),"Done")</f>
        <v>Done</v>
      </c>
      <c r="H693" s="88">
        <f>IFERROR(__xludf.DUMMYFUNCTION("""COMPUTED_VALUE"""),0.0)</f>
        <v>0</v>
      </c>
      <c r="I693" s="90" t="str">
        <f>IFERROR(__xludf.DUMMYFUNCTION("""COMPUTED_VALUE"""),"EMP0021 Tamanna Dewangan")</f>
        <v>EMP0021 Tamanna Dewangan</v>
      </c>
      <c r="J693" s="91"/>
    </row>
    <row r="694">
      <c r="B694" s="76" t="str">
        <f>IFERROR(__xludf.DUMMYFUNCTION("""COMPUTED_VALUE"""),"Check api id from database and download jrmxl file                                    ")</f>
        <v>Check api id from database and download jrmxl file                                    </v>
      </c>
      <c r="C694" s="82">
        <f>IFERROR(__xludf.DUMMYFUNCTION("""COMPUTED_VALUE"""),5154.0)</f>
        <v>5154</v>
      </c>
      <c r="D694" s="76" t="str">
        <f>IFERROR(__xludf.DUMMYFUNCTION("""COMPUTED_VALUE"""),"TR Report")</f>
        <v>TR Report</v>
      </c>
      <c r="E694" s="84">
        <f>IFERROR(__xludf.DUMMYFUNCTION("""COMPUTED_VALUE"""),46157.45833333333)</f>
        <v>46157.45833</v>
      </c>
      <c r="F694" s="86">
        <f>IFERROR(__xludf.DUMMYFUNCTION("""COMPUTED_VALUE"""),46156.717498923615)</f>
        <v>46156.7175</v>
      </c>
      <c r="G694" s="86" t="str">
        <f>IFERROR(__xludf.DUMMYFUNCTION("""COMPUTED_VALUE"""),"Done")</f>
        <v>Done</v>
      </c>
      <c r="H694" s="88">
        <f>IFERROR(__xludf.DUMMYFUNCTION("""COMPUTED_VALUE"""),0.0)</f>
        <v>0</v>
      </c>
      <c r="I694" s="90" t="str">
        <f>IFERROR(__xludf.DUMMYFUNCTION("""COMPUTED_VALUE"""),"EMP0021 Tamanna Dewangan")</f>
        <v>EMP0021 Tamanna Dewangan</v>
      </c>
      <c r="J694" s="91"/>
    </row>
    <row r="695">
      <c r="B695" s="76" t="str">
        <f>IFERROR(__xludf.DUMMYFUNCTION("""COMPUTED_VALUE"""),"Check api id from database and download jrmxl file                                    ")</f>
        <v>Check api id from database and download jrmxl file                                    </v>
      </c>
      <c r="C695" s="82">
        <f>IFERROR(__xludf.DUMMYFUNCTION("""COMPUTED_VALUE"""),5155.0)</f>
        <v>5155</v>
      </c>
      <c r="D695" s="76" t="str">
        <f>IFERROR(__xludf.DUMMYFUNCTION("""COMPUTED_VALUE"""),"Marksheet LLB(Absorption)")</f>
        <v>Marksheet LLB(Absorption)</v>
      </c>
      <c r="E695" s="84">
        <f>IFERROR(__xludf.DUMMYFUNCTION("""COMPUTED_VALUE"""),46157.45972222222)</f>
        <v>46157.45972</v>
      </c>
      <c r="F695" s="86">
        <f>IFERROR(__xludf.DUMMYFUNCTION("""COMPUTED_VALUE"""),46156.71714987268)</f>
        <v>46156.71715</v>
      </c>
      <c r="G695" s="86" t="str">
        <f>IFERROR(__xludf.DUMMYFUNCTION("""COMPUTED_VALUE"""),"Done")</f>
        <v>Done</v>
      </c>
      <c r="H695" s="88">
        <f>IFERROR(__xludf.DUMMYFUNCTION("""COMPUTED_VALUE"""),0.0)</f>
        <v>0</v>
      </c>
      <c r="I695" s="90" t="str">
        <f>IFERROR(__xludf.DUMMYFUNCTION("""COMPUTED_VALUE"""),"EMP0042 HULESHWAR KUMAR SAHU")</f>
        <v>EMP0042 HULESHWAR KUMAR SAHU</v>
      </c>
      <c r="J695" s="91"/>
    </row>
    <row r="696">
      <c r="B696" s="76" t="str">
        <f>IFERROR(__xludf.DUMMYFUNCTION("""COMPUTED_VALUE"""),"Check api id from database and download jrmxl file                                    ")</f>
        <v>Check api id from database and download jrmxl file                                    </v>
      </c>
      <c r="C696" s="82">
        <f>IFERROR(__xludf.DUMMYFUNCTION("""COMPUTED_VALUE"""),5156.0)</f>
        <v>5156</v>
      </c>
      <c r="D696" s="76" t="str">
        <f>IFERROR(__xludf.DUMMYFUNCTION("""COMPUTED_VALUE"""),"MISCELLEROUS REPORT IN FILED ADD ")</f>
        <v>MISCELLEROUS REPORT IN FILED ADD </v>
      </c>
      <c r="E696" s="84">
        <f>IFERROR(__xludf.DUMMYFUNCTION("""COMPUTED_VALUE"""),46158.680234976855)</f>
        <v>46158.68023</v>
      </c>
      <c r="F696" s="86">
        <f>IFERROR(__xludf.DUMMYFUNCTION("""COMPUTED_VALUE"""),46158.51611101852)</f>
        <v>46158.51611</v>
      </c>
      <c r="G696" s="86" t="str">
        <f>IFERROR(__xludf.DUMMYFUNCTION("""COMPUTED_VALUE"""),"Done")</f>
        <v>Done</v>
      </c>
      <c r="H696" s="88">
        <f>IFERROR(__xludf.DUMMYFUNCTION("""COMPUTED_VALUE"""),0.0)</f>
        <v>0</v>
      </c>
      <c r="I696" s="90" t="str">
        <f>IFERROR(__xludf.DUMMYFUNCTION("""COMPUTED_VALUE"""),"EMP0237 Swarnendu Chakraborty")</f>
        <v>EMP0237 Swarnendu Chakraborty</v>
      </c>
      <c r="J696" s="91"/>
    </row>
    <row r="697">
      <c r="B697" s="76" t="str">
        <f>IFERROR(__xludf.DUMMYFUNCTION("""COMPUTED_VALUE"""),"Check api id from database and download jrmxl file                                    ")</f>
        <v>Check api id from database and download jrmxl file                                    </v>
      </c>
      <c r="C697" s="82">
        <f>IFERROR(__xludf.DUMMYFUNCTION("""COMPUTED_VALUE"""),5157.0)</f>
        <v>5157</v>
      </c>
      <c r="D697" s="76" t="str">
        <f>IFERROR(__xludf.DUMMYFUNCTION("""COMPUTED_VALUE"""),"Student Checklist")</f>
        <v>Student Checklist</v>
      </c>
      <c r="E697" s="84">
        <f>IFERROR(__xludf.DUMMYFUNCTION("""COMPUTED_VALUE"""),46158.772707233795)</f>
        <v>46158.77271</v>
      </c>
      <c r="F697" s="86">
        <f>IFERROR(__xludf.DUMMYFUNCTION("""COMPUTED_VALUE"""),46158.6114674537)</f>
        <v>46158.61147</v>
      </c>
      <c r="G697" s="86" t="str">
        <f>IFERROR(__xludf.DUMMYFUNCTION("""COMPUTED_VALUE"""),"Done")</f>
        <v>Done</v>
      </c>
      <c r="H697" s="88">
        <f>IFERROR(__xludf.DUMMYFUNCTION("""COMPUTED_VALUE"""),0.0)</f>
        <v>0</v>
      </c>
      <c r="I697" s="90" t="str">
        <f>IFERROR(__xludf.DUMMYFUNCTION("""COMPUTED_VALUE"""),"EMP5009 Rup Kumar Mandal")</f>
        <v>EMP5009 Rup Kumar Mandal</v>
      </c>
      <c r="J697" s="91"/>
    </row>
    <row r="698">
      <c r="B698" s="76" t="str">
        <f>IFERROR(__xludf.DUMMYFUNCTION("""COMPUTED_VALUE"""),"Check api id from database and download jrmxl file                                    ")</f>
        <v>Check api id from database and download jrmxl file                                    </v>
      </c>
      <c r="C698" s="82">
        <f>IFERROR(__xludf.DUMMYFUNCTION("""COMPUTED_VALUE"""),5158.0)</f>
        <v>5158</v>
      </c>
      <c r="D698" s="76" t="str">
        <f>IFERROR(__xludf.DUMMYFUNCTION("""COMPUTED_VALUE"""),"ADMIT")</f>
        <v>ADMIT</v>
      </c>
      <c r="E698" s="84">
        <f>IFERROR(__xludf.DUMMYFUNCTION("""COMPUTED_VALUE"""),46158.77558616898)</f>
        <v>46158.77559</v>
      </c>
      <c r="F698" s="86">
        <f>IFERROR(__xludf.DUMMYFUNCTION("""COMPUTED_VALUE"""),46158.6114674537)</f>
        <v>46158.61147</v>
      </c>
      <c r="G698" s="86" t="str">
        <f>IFERROR(__xludf.DUMMYFUNCTION("""COMPUTED_VALUE"""),"Done")</f>
        <v>Done</v>
      </c>
      <c r="H698" s="88">
        <f>IFERROR(__xludf.DUMMYFUNCTION("""COMPUTED_VALUE"""),0.0)</f>
        <v>0</v>
      </c>
      <c r="I698" s="90" t="str">
        <f>IFERROR(__xludf.DUMMYFUNCTION("""COMPUTED_VALUE"""),"EMP5009 Rup Kumar Mandal")</f>
        <v>EMP5009 Rup Kumar Mandal</v>
      </c>
      <c r="J698" s="91"/>
    </row>
    <row r="699">
      <c r="B699" s="76" t="str">
        <f>IFERROR(__xludf.DUMMYFUNCTION("""COMPUTED_VALUE"""),"Check api id from database and download jrmxl file                                    ")</f>
        <v>Check api id from database and download jrmxl file                                    </v>
      </c>
      <c r="C699" s="82">
        <f>IFERROR(__xludf.DUMMYFUNCTION("""COMPUTED_VALUE"""),5159.0)</f>
        <v>5159</v>
      </c>
      <c r="D699" s="76" t="str">
        <f>IFERROR(__xludf.DUMMYFUNCTION("""COMPUTED_VALUE"""),"ATTENDANCE (AR/DR)")</f>
        <v>ATTENDANCE (AR/DR)</v>
      </c>
      <c r="E699" s="84">
        <f>IFERROR(__xludf.DUMMYFUNCTION("""COMPUTED_VALUE"""),46158.77659342593)</f>
        <v>46158.77659</v>
      </c>
      <c r="F699" s="86">
        <f>IFERROR(__xludf.DUMMYFUNCTION("""COMPUTED_VALUE"""),46158.611474247686)</f>
        <v>46158.61147</v>
      </c>
      <c r="G699" s="86" t="str">
        <f>IFERROR(__xludf.DUMMYFUNCTION("""COMPUTED_VALUE"""),"Done")</f>
        <v>Done</v>
      </c>
      <c r="H699" s="88">
        <f>IFERROR(__xludf.DUMMYFUNCTION("""COMPUTED_VALUE"""),0.0)</f>
        <v>0</v>
      </c>
      <c r="I699" s="90" t="str">
        <f>IFERROR(__xludf.DUMMYFUNCTION("""COMPUTED_VALUE"""),"EMP5009 Rup Kumar Mandal")</f>
        <v>EMP5009 Rup Kumar Mandal</v>
      </c>
      <c r="J699" s="91"/>
    </row>
    <row r="700">
      <c r="B700" s="76" t="str">
        <f>IFERROR(__xludf.DUMMYFUNCTION("""COMPUTED_VALUE"""),"Check api id from database and download jrmxl file                                    ")</f>
        <v>Check api id from database and download jrmxl file                                    </v>
      </c>
      <c r="C700" s="82">
        <f>IFERROR(__xludf.DUMMYFUNCTION("""COMPUTED_VALUE"""),5160.0)</f>
        <v>5160</v>
      </c>
      <c r="D700" s="76" t="str">
        <f>IFERROR(__xludf.DUMMYFUNCTION("""COMPUTED_VALUE"""),"TOP SHEET (BEFORE)")</f>
        <v>TOP SHEET (BEFORE)</v>
      </c>
      <c r="E700" s="84">
        <f>IFERROR(__xludf.DUMMYFUNCTION("""COMPUTED_VALUE"""),46158.778189236116)</f>
        <v>46158.77819</v>
      </c>
      <c r="F700" s="86">
        <f>IFERROR(__xludf.DUMMYFUNCTION("""COMPUTED_VALUE"""),46158.611474247686)</f>
        <v>46158.61147</v>
      </c>
      <c r="G700" s="86" t="str">
        <f>IFERROR(__xludf.DUMMYFUNCTION("""COMPUTED_VALUE"""),"Done")</f>
        <v>Done</v>
      </c>
      <c r="H700" s="88">
        <f>IFERROR(__xludf.DUMMYFUNCTION("""COMPUTED_VALUE"""),0.0)</f>
        <v>0</v>
      </c>
      <c r="I700" s="90" t="str">
        <f>IFERROR(__xludf.DUMMYFUNCTION("""COMPUTED_VALUE"""),"EMP5009 Rup Kumar Mandal")</f>
        <v>EMP5009 Rup Kumar Mandal</v>
      </c>
      <c r="J700" s="91"/>
    </row>
    <row r="701">
      <c r="B701" s="76" t="str">
        <f>IFERROR(__xludf.DUMMYFUNCTION("""COMPUTED_VALUE"""),"Check api id from database and download jrmxl file                                    ")</f>
        <v>Check api id from database and download jrmxl file                                    </v>
      </c>
      <c r="C701" s="82">
        <f>IFERROR(__xludf.DUMMYFUNCTION("""COMPUTED_VALUE"""),5161.0)</f>
        <v>5161</v>
      </c>
      <c r="D701" s="76" t="str">
        <f>IFERROR(__xludf.DUMMYFUNCTION("""COMPUTED_VALUE"""),"PREVIOUS ")</f>
        <v>PREVIOUS </v>
      </c>
      <c r="E701" s="84">
        <f>IFERROR(__xludf.DUMMYFUNCTION("""COMPUTED_VALUE"""),46158.77915873843)</f>
        <v>46158.77916</v>
      </c>
      <c r="F701" s="86">
        <f>IFERROR(__xludf.DUMMYFUNCTION("""COMPUTED_VALUE"""),46158.61148451389)</f>
        <v>46158.61148</v>
      </c>
      <c r="G701" s="86" t="str">
        <f>IFERROR(__xludf.DUMMYFUNCTION("""COMPUTED_VALUE"""),"Done")</f>
        <v>Done</v>
      </c>
      <c r="H701" s="88">
        <f>IFERROR(__xludf.DUMMYFUNCTION("""COMPUTED_VALUE"""),0.0)</f>
        <v>0</v>
      </c>
      <c r="I701" s="90" t="str">
        <f>IFERROR(__xludf.DUMMYFUNCTION("""COMPUTED_VALUE"""),"EMP5009 Rup Kumar Mandal")</f>
        <v>EMP5009 Rup Kumar Mandal</v>
      </c>
      <c r="J701" s="91"/>
    </row>
    <row r="702">
      <c r="B702" s="76" t="str">
        <f>IFERROR(__xludf.DUMMYFUNCTION("""COMPUTED_VALUE"""),"Check api id from database and download jrmxl file                                    ")</f>
        <v>Check api id from database and download jrmxl file                                    </v>
      </c>
      <c r="C702" s="82">
        <f>IFERROR(__xludf.DUMMYFUNCTION("""COMPUTED_VALUE"""),5162.0)</f>
        <v>5162</v>
      </c>
      <c r="D702" s="76" t="str">
        <f>IFERROR(__xludf.DUMMYFUNCTION("""COMPUTED_VALUE"""),"Marks Entry Report")</f>
        <v>Marks Entry Report</v>
      </c>
      <c r="E702" s="84">
        <f>IFERROR(__xludf.DUMMYFUNCTION("""COMPUTED_VALUE"""),46160.72313590278)</f>
        <v>46160.72314</v>
      </c>
      <c r="F702" s="86">
        <f>IFERROR(__xludf.DUMMYFUNCTION("""COMPUTED_VALUE"""),46160.622563668985)</f>
        <v>46160.62256</v>
      </c>
      <c r="G702" s="86" t="str">
        <f>IFERROR(__xludf.DUMMYFUNCTION("""COMPUTED_VALUE"""),"Done")</f>
        <v>Done</v>
      </c>
      <c r="H702" s="88">
        <f>IFERROR(__xludf.DUMMYFUNCTION("""COMPUTED_VALUE"""),0.0)</f>
        <v>0</v>
      </c>
      <c r="I702" s="90" t="str">
        <f>IFERROR(__xludf.DUMMYFUNCTION("""COMPUTED_VALUE"""),"EMP0042 HULESHWAR KUMAR SAHU")</f>
        <v>EMP0042 HULESHWAR KUMAR SAHU</v>
      </c>
      <c r="J702" s="91"/>
    </row>
    <row r="703">
      <c r="B703" s="76" t="str">
        <f>IFERROR(__xludf.DUMMYFUNCTION("""COMPUTED_VALUE"""),"Check api id from database and download jrmxl file                                    ")</f>
        <v>Check api id from database and download jrmxl file                                    </v>
      </c>
      <c r="C703" s="82">
        <f>IFERROR(__xludf.DUMMYFUNCTION("""COMPUTED_VALUE"""),5163.0)</f>
        <v>5163</v>
      </c>
      <c r="D703" s="76" t="str">
        <f>IFERROR(__xludf.DUMMYFUNCTION("""COMPUTED_VALUE"""),"Seat Allotment Paper List/DATE WISE SUBJECT LIST")</f>
        <v>Seat Allotment Paper List/DATE WISE SUBJECT LIST</v>
      </c>
      <c r="E703" s="84">
        <f>IFERROR(__xludf.DUMMYFUNCTION("""COMPUTED_VALUE"""),46161.490277777775)</f>
        <v>46161.49028</v>
      </c>
      <c r="F703" s="86">
        <f>IFERROR(__xludf.DUMMYFUNCTION("""COMPUTED_VALUE"""),46160.73622743055)</f>
        <v>46160.73623</v>
      </c>
      <c r="G703" s="86" t="str">
        <f>IFERROR(__xludf.DUMMYFUNCTION("""COMPUTED_VALUE"""),"Done")</f>
        <v>Done</v>
      </c>
      <c r="H703" s="88">
        <f>IFERROR(__xludf.DUMMYFUNCTION("""COMPUTED_VALUE"""),0.0)</f>
        <v>0</v>
      </c>
      <c r="I703" s="90" t="str">
        <f>IFERROR(__xludf.DUMMYFUNCTION("""COMPUTED_VALUE"""),"EMP0042 HULESHWAR KUMAR SAHU")</f>
        <v>EMP0042 HULESHWAR KUMAR SAHU</v>
      </c>
      <c r="J703" s="91"/>
    </row>
    <row r="704">
      <c r="B704" s="76" t="str">
        <f>IFERROR(__xludf.DUMMYFUNCTION("""COMPUTED_VALUE"""),"Check api id from database and download jrmxl file                                    ")</f>
        <v>Check api id from database and download jrmxl file                                    </v>
      </c>
      <c r="C704" s="82">
        <f>IFERROR(__xludf.DUMMYFUNCTION("""COMPUTED_VALUE"""),5164.0)</f>
        <v>5164</v>
      </c>
      <c r="D704" s="76" t="str">
        <f>IFERROR(__xludf.DUMMYFUNCTION("""COMPUTED_VALUE"""),"	DESK SLIP")</f>
        <v>	DESK SLIP</v>
      </c>
      <c r="E704" s="84">
        <f>IFERROR(__xludf.DUMMYFUNCTION("""COMPUTED_VALUE"""),46161.49097222222)</f>
        <v>46161.49097</v>
      </c>
      <c r="F704" s="86">
        <f>IFERROR(__xludf.DUMMYFUNCTION("""COMPUTED_VALUE"""),46160.73709981482)</f>
        <v>46160.7371</v>
      </c>
      <c r="G704" s="86" t="str">
        <f>IFERROR(__xludf.DUMMYFUNCTION("""COMPUTED_VALUE"""),"Done")</f>
        <v>Done</v>
      </c>
      <c r="H704" s="88">
        <f>IFERROR(__xludf.DUMMYFUNCTION("""COMPUTED_VALUE"""),0.0)</f>
        <v>0</v>
      </c>
      <c r="I704" s="90" t="str">
        <f>IFERROR(__xludf.DUMMYFUNCTION("""COMPUTED_VALUE"""),"EMP0042 HULESHWAR KUMAR SAHU")</f>
        <v>EMP0042 HULESHWAR KUMAR SAHU</v>
      </c>
      <c r="J704" s="91"/>
    </row>
    <row r="705">
      <c r="B705" s="76" t="str">
        <f>IFERROR(__xludf.DUMMYFUNCTION("""COMPUTED_VALUE"""),"Check api id from database and download jrmxl file                                    ")</f>
        <v>Check api id from database and download jrmxl file                                    </v>
      </c>
      <c r="C705" s="82">
        <f>IFERROR(__xludf.DUMMYFUNCTION("""COMPUTED_VALUE"""),5165.0)</f>
        <v>5165</v>
      </c>
      <c r="D705" s="76" t="str">
        <f>IFERROR(__xludf.DUMMYFUNCTION("""COMPUTED_VALUE"""),"Marks Sheet")</f>
        <v>Marks Sheet</v>
      </c>
      <c r="E705" s="84">
        <f>IFERROR(__xludf.DUMMYFUNCTION("""COMPUTED_VALUE"""),46161.507638888885)</f>
        <v>46161.50764</v>
      </c>
      <c r="F705" s="86">
        <f>IFERROR(__xludf.DUMMYFUNCTION("""COMPUTED_VALUE"""),46160.752249247686)</f>
        <v>46160.75225</v>
      </c>
      <c r="G705" s="86" t="str">
        <f>IFERROR(__xludf.DUMMYFUNCTION("""COMPUTED_VALUE"""),"Done")</f>
        <v>Done</v>
      </c>
      <c r="H705" s="88">
        <f>IFERROR(__xludf.DUMMYFUNCTION("""COMPUTED_VALUE"""),0.0)</f>
        <v>0</v>
      </c>
      <c r="I705" s="90" t="str">
        <f>IFERROR(__xludf.DUMMYFUNCTION("""COMPUTED_VALUE"""),"EMP0042 HULESHWAR KUMAR SAHU")</f>
        <v>EMP0042 HULESHWAR KUMAR SAHU</v>
      </c>
      <c r="J705" s="91"/>
    </row>
    <row r="706">
      <c r="B706" s="76" t="str">
        <f>IFERROR(__xludf.DUMMYFUNCTION("""COMPUTED_VALUE"""),"Check api id from database and download jrmxl file                                    ")</f>
        <v>Check api id from database and download jrmxl file                                    </v>
      </c>
      <c r="C706" s="82">
        <f>IFERROR(__xludf.DUMMYFUNCTION("""COMPUTED_VALUE"""),5166.0)</f>
        <v>5166</v>
      </c>
      <c r="D706" s="76" t="str">
        <f>IFERROR(__xludf.DUMMYFUNCTION("""COMPUTED_VALUE"""),"TR Report")</f>
        <v>TR Report</v>
      </c>
      <c r="E706" s="84">
        <f>IFERROR(__xludf.DUMMYFUNCTION("""COMPUTED_VALUE"""),46161.637906435186)</f>
        <v>46161.63791</v>
      </c>
      <c r="F706" s="86">
        <f>IFERROR(__xludf.DUMMYFUNCTION("""COMPUTED_VALUE"""),46161.494612476854)</f>
        <v>46161.49461</v>
      </c>
      <c r="G706" s="86" t="str">
        <f>IFERROR(__xludf.DUMMYFUNCTION("""COMPUTED_VALUE"""),"Done")</f>
        <v>Done</v>
      </c>
      <c r="H706" s="88">
        <f>IFERROR(__xludf.DUMMYFUNCTION("""COMPUTED_VALUE"""),0.0)</f>
        <v>0</v>
      </c>
      <c r="I706" s="90" t="str">
        <f>IFERROR(__xludf.DUMMYFUNCTION("""COMPUTED_VALUE"""),"EMP0237 Swarnendu Chakraborty")</f>
        <v>EMP0237 Swarnendu Chakraborty</v>
      </c>
      <c r="J706" s="91"/>
    </row>
    <row r="707">
      <c r="B707" s="76" t="str">
        <f>IFERROR(__xludf.DUMMYFUNCTION("""COMPUTED_VALUE"""),"Check api id from database and download jrmxl file                                    ")</f>
        <v>Check api id from database and download jrmxl file                                    </v>
      </c>
      <c r="C707" s="82">
        <f>IFERROR(__xludf.DUMMYFUNCTION("""COMPUTED_VALUE"""),5167.0)</f>
        <v>5167</v>
      </c>
      <c r="D707" s="76" t="str">
        <f>IFERROR(__xludf.DUMMYFUNCTION("""COMPUTED_VALUE"""),"TR")</f>
        <v>TR</v>
      </c>
      <c r="E707" s="84">
        <f>IFERROR(__xludf.DUMMYFUNCTION("""COMPUTED_VALUE"""),46161.69222512731)</f>
        <v>46161.69223</v>
      </c>
      <c r="F707" s="86">
        <f>IFERROR(__xludf.DUMMYFUNCTION("""COMPUTED_VALUE"""),46161.51915778936)</f>
        <v>46161.51916</v>
      </c>
      <c r="G707" s="86" t="str">
        <f>IFERROR(__xludf.DUMMYFUNCTION("""COMPUTED_VALUE"""),"Done")</f>
        <v>Done</v>
      </c>
      <c r="H707" s="88">
        <f>IFERROR(__xludf.DUMMYFUNCTION("""COMPUTED_VALUE"""),0.0)</f>
        <v>0</v>
      </c>
      <c r="I707" s="90" t="str">
        <f>IFERROR(__xludf.DUMMYFUNCTION("""COMPUTED_VALUE"""),"EMP0042 HULESHWAR KUMAR SAHU")</f>
        <v>EMP0042 HULESHWAR KUMAR SAHU</v>
      </c>
      <c r="J707" s="91"/>
    </row>
    <row r="708">
      <c r="B708" s="76" t="str">
        <f>IFERROR(__xludf.DUMMYFUNCTION("""COMPUTED_VALUE"""),"Check api id from database and download jrmxl file                                    ")</f>
        <v>Check api id from database and download jrmxl file                                    </v>
      </c>
      <c r="C708" s="82">
        <f>IFERROR(__xludf.DUMMYFUNCTION("""COMPUTED_VALUE"""),5168.0)</f>
        <v>5168</v>
      </c>
      <c r="D708" s="76" t="str">
        <f>IFERROR(__xludf.DUMMYFUNCTION("""COMPUTED_VALUE"""),"NEP UG TR COLLEGEWISE")</f>
        <v>NEP UG TR COLLEGEWISE</v>
      </c>
      <c r="E708" s="84">
        <f>IFERROR(__xludf.DUMMYFUNCTION("""COMPUTED_VALUE"""),46161.70773275463)</f>
        <v>46161.70773</v>
      </c>
      <c r="F708" s="86">
        <f>IFERROR(__xludf.DUMMYFUNCTION("""COMPUTED_VALUE"""),46161.61573898148)</f>
        <v>46161.61574</v>
      </c>
      <c r="G708" s="86" t="str">
        <f>IFERROR(__xludf.DUMMYFUNCTION("""COMPUTED_VALUE"""),"Done")</f>
        <v>Done</v>
      </c>
      <c r="H708" s="88">
        <f>IFERROR(__xludf.DUMMYFUNCTION("""COMPUTED_VALUE"""),0.0)</f>
        <v>0</v>
      </c>
      <c r="I708" s="90" t="str">
        <f>IFERROR(__xludf.DUMMYFUNCTION("""COMPUTED_VALUE"""),"EMP0042 HULESHWAR KUMAR SAHU")</f>
        <v>EMP0042 HULESHWAR KUMAR SAHU</v>
      </c>
      <c r="J708" s="91"/>
    </row>
    <row r="709">
      <c r="B709" s="76" t="str">
        <f>IFERROR(__xludf.DUMMYFUNCTION("""COMPUTED_VALUE"""),"Check api id from database and download jrmxl file                                    ")</f>
        <v>Check api id from database and download jrmxl file                                    </v>
      </c>
      <c r="C709" s="82">
        <f>IFERROR(__xludf.DUMMYFUNCTION("""COMPUTED_VALUE"""),5169.0)</f>
        <v>5169</v>
      </c>
      <c r="D709" s="76" t="str">
        <f>IFERROR(__xludf.DUMMYFUNCTION("""COMPUTED_VALUE"""),"Marks Sheet Old")</f>
        <v>Marks Sheet Old</v>
      </c>
      <c r="E709" s="84">
        <f>IFERROR(__xludf.DUMMYFUNCTION("""COMPUTED_VALUE"""),46161.81739384259)</f>
        <v>46161.81739</v>
      </c>
      <c r="F709" s="86">
        <f>IFERROR(__xludf.DUMMYFUNCTION("""COMPUTED_VALUE"""),46161.70348572917)</f>
        <v>46161.70349</v>
      </c>
      <c r="G709" s="86" t="str">
        <f>IFERROR(__xludf.DUMMYFUNCTION("""COMPUTED_VALUE"""),"Done")</f>
        <v>Done</v>
      </c>
      <c r="H709" s="88">
        <f>IFERROR(__xludf.DUMMYFUNCTION("""COMPUTED_VALUE"""),0.0)</f>
        <v>0</v>
      </c>
      <c r="I709" s="90" t="str">
        <f>IFERROR(__xludf.DUMMYFUNCTION("""COMPUTED_VALUE"""),"EMP0042 HULESHWAR KUMAR SAHU")</f>
        <v>EMP0042 HULESHWAR KUMAR SAHU</v>
      </c>
      <c r="J709" s="91"/>
    </row>
    <row r="710">
      <c r="B710" s="76" t="str">
        <f>IFERROR(__xludf.DUMMYFUNCTION("""COMPUTED_VALUE"""),"Check api id from database and download jrmxl file                                    ")</f>
        <v>Check api id from database and download jrmxl file                                    </v>
      </c>
      <c r="C710" s="82">
        <f>IFERROR(__xludf.DUMMYFUNCTION("""COMPUTED_VALUE"""),5170.0)</f>
        <v>5170</v>
      </c>
      <c r="D710" s="76" t="str">
        <f>IFERROR(__xludf.DUMMYFUNCTION("""COMPUTED_VALUE"""),"NEP M.A HISTRIY ADMIT CARD ERROR SOLVED ")</f>
        <v>NEP M.A HISTRIY ADMIT CARD ERROR SOLVED </v>
      </c>
      <c r="E710" s="84">
        <f>IFERROR(__xludf.DUMMYFUNCTION("""COMPUTED_VALUE"""),46162.5)</f>
        <v>46162.5</v>
      </c>
      <c r="F710" s="86">
        <f>IFERROR(__xludf.DUMMYFUNCTION("""COMPUTED_VALUE"""),46162.47822131945)</f>
        <v>46162.47822</v>
      </c>
      <c r="G710" s="86" t="str">
        <f>IFERROR(__xludf.DUMMYFUNCTION("""COMPUTED_VALUE"""),"Done")</f>
        <v>Done</v>
      </c>
      <c r="H710" s="88">
        <f>IFERROR(__xludf.DUMMYFUNCTION("""COMPUTED_VALUE"""),0.0)</f>
        <v>0</v>
      </c>
      <c r="I710" s="90" t="str">
        <f>IFERROR(__xludf.DUMMYFUNCTION("""COMPUTED_VALUE"""),"EMP0042 HULESHWAR KUMAR SAHU")</f>
        <v>EMP0042 HULESHWAR KUMAR SAHU</v>
      </c>
      <c r="J710" s="91"/>
    </row>
    <row r="711">
      <c r="B711" s="76" t="str">
        <f>IFERROR(__xludf.DUMMYFUNCTION("""COMPUTED_VALUE"""),"Check api id from database and download jrmxl file                                    ")</f>
        <v>Check api id from database and download jrmxl file                                    </v>
      </c>
      <c r="C711" s="82">
        <f>IFERROR(__xludf.DUMMYFUNCTION("""COMPUTED_VALUE"""),5171.0)</f>
        <v>5171</v>
      </c>
      <c r="D711" s="76" t="str">
        <f>IFERROR(__xludf.DUMMYFUNCTION("""COMPUTED_VALUE"""),"Multiple Report")</f>
        <v>Multiple Report</v>
      </c>
      <c r="E711" s="84">
        <f>IFERROR(__xludf.DUMMYFUNCTION("""COMPUTED_VALUE"""),46163.47013888889)</f>
        <v>46163.47014</v>
      </c>
      <c r="F711" s="86">
        <f>IFERROR(__xludf.DUMMYFUNCTION("""COMPUTED_VALUE"""),46163.431932499996)</f>
        <v>46163.43193</v>
      </c>
      <c r="G711" s="86" t="str">
        <f>IFERROR(__xludf.DUMMYFUNCTION("""COMPUTED_VALUE"""),"Done")</f>
        <v>Done</v>
      </c>
      <c r="H711" s="88">
        <f>IFERROR(__xludf.DUMMYFUNCTION("""COMPUTED_VALUE"""),0.0)</f>
        <v>0</v>
      </c>
      <c r="I711" s="90" t="str">
        <f>IFERROR(__xludf.DUMMYFUNCTION("""COMPUTED_VALUE"""),"EMP5009 Rup Kumar Mandal")</f>
        <v>EMP5009 Rup Kumar Mandal</v>
      </c>
      <c r="J711" s="91"/>
    </row>
    <row r="712">
      <c r="B712" s="76" t="str">
        <f>IFERROR(__xludf.DUMMYFUNCTION("""COMPUTED_VALUE"""),"Check api id from database and download jrmxl file                                    ")</f>
        <v>Check api id from database and download jrmxl file                                    </v>
      </c>
      <c r="C712" s="82">
        <f>IFERROR(__xludf.DUMMYFUNCTION("""COMPUTED_VALUE"""),5172.0)</f>
        <v>5172</v>
      </c>
      <c r="D712" s="76" t="str">
        <f>IFERROR(__xludf.DUMMYFUNCTION("""COMPUTED_VALUE"""),"ppr/pps report")</f>
        <v>ppr/pps report</v>
      </c>
      <c r="E712" s="84">
        <f>IFERROR(__xludf.DUMMYFUNCTION("""COMPUTED_VALUE"""),46163.63541930556)</f>
        <v>46163.63542</v>
      </c>
      <c r="F712" s="86">
        <f>IFERROR(__xludf.DUMMYFUNCTION("""COMPUTED_VALUE"""),46163.52314915509)</f>
        <v>46163.52315</v>
      </c>
      <c r="G712" s="86" t="str">
        <f>IFERROR(__xludf.DUMMYFUNCTION("""COMPUTED_VALUE"""),"Done")</f>
        <v>Done</v>
      </c>
      <c r="H712" s="88">
        <f>IFERROR(__xludf.DUMMYFUNCTION("""COMPUTED_VALUE"""),0.0)</f>
        <v>0</v>
      </c>
      <c r="I712" s="90" t="str">
        <f>IFERROR(__xludf.DUMMYFUNCTION("""COMPUTED_VALUE"""),"EMP0237 Swarnendu Chakraborty")</f>
        <v>EMP0237 Swarnendu Chakraborty</v>
      </c>
      <c r="J712" s="91"/>
    </row>
    <row r="713">
      <c r="B713" s="76" t="str">
        <f>IFERROR(__xludf.DUMMYFUNCTION("""COMPUTED_VALUE"""),"Check api id from database and download jrmxl file                                    ")</f>
        <v>Check api id from database and download jrmxl file                                    </v>
      </c>
      <c r="C713" s="82">
        <f>IFERROR(__xludf.DUMMYFUNCTION("""COMPUTED_VALUE"""),5173.0)</f>
        <v>5173</v>
      </c>
      <c r="D713" s="76" t="str">
        <f>IFERROR(__xludf.DUMMYFUNCTION("""COMPUTED_VALUE"""),"SMKV")</f>
        <v>SMKV</v>
      </c>
      <c r="E713" s="84">
        <f>IFERROR(__xludf.DUMMYFUNCTION("""COMPUTED_VALUE"""),46163.70071324074)</f>
        <v>46163.70071</v>
      </c>
      <c r="F713" s="86">
        <f>IFERROR(__xludf.DUMMYFUNCTION("""COMPUTED_VALUE"""),46163.557141122685)</f>
        <v>46163.55714</v>
      </c>
      <c r="G713" s="86" t="str">
        <f>IFERROR(__xludf.DUMMYFUNCTION("""COMPUTED_VALUE"""),"Done")</f>
        <v>Done</v>
      </c>
      <c r="H713" s="88">
        <f>IFERROR(__xludf.DUMMYFUNCTION("""COMPUTED_VALUE"""),0.0)</f>
        <v>0</v>
      </c>
      <c r="I713" s="90" t="str">
        <f>IFERROR(__xludf.DUMMYFUNCTION("""COMPUTED_VALUE"""),"EMP0042 HULESHWAR KUMAR SAHU")</f>
        <v>EMP0042 HULESHWAR KUMAR SAHU</v>
      </c>
      <c r="J713" s="91"/>
    </row>
    <row r="714">
      <c r="B714" s="76" t="str">
        <f>IFERROR(__xludf.DUMMYFUNCTION("""COMPUTED_VALUE"""),"Check api id from database and download jrmxl file                                    ")</f>
        <v>Check api id from database and download jrmxl file                                    </v>
      </c>
      <c r="C714" s="82">
        <f>IFERROR(__xludf.DUMMYFUNCTION("""COMPUTED_VALUE"""),5174.0)</f>
        <v>5174</v>
      </c>
      <c r="D714" s="76" t="str">
        <f>IFERROR(__xludf.DUMMYFUNCTION("""COMPUTED_VALUE"""),"Marks Sheet NEP")</f>
        <v>Marks Sheet NEP</v>
      </c>
      <c r="E714" s="84">
        <f>IFERROR(__xludf.DUMMYFUNCTION("""COMPUTED_VALUE"""),46163.71448337963)</f>
        <v>46163.71448</v>
      </c>
      <c r="F714" s="86">
        <f>IFERROR(__xludf.DUMMYFUNCTION("""COMPUTED_VALUE"""),46163.557154305556)</f>
        <v>46163.55715</v>
      </c>
      <c r="G714" s="86" t="str">
        <f>IFERROR(__xludf.DUMMYFUNCTION("""COMPUTED_VALUE"""),"Done")</f>
        <v>Done</v>
      </c>
      <c r="H714" s="88">
        <f>IFERROR(__xludf.DUMMYFUNCTION("""COMPUTED_VALUE"""),0.0)</f>
        <v>0</v>
      </c>
      <c r="I714" s="90" t="str">
        <f>IFERROR(__xludf.DUMMYFUNCTION("""COMPUTED_VALUE"""),"EMP0042 HULESHWAR KUMAR SAHU")</f>
        <v>EMP0042 HULESHWAR KUMAR SAHU</v>
      </c>
      <c r="J714" s="91"/>
    </row>
    <row r="715">
      <c r="B715" s="76" t="str">
        <f>IFERROR(__xludf.DUMMYFUNCTION("""COMPUTED_VALUE"""),"Check api id from database and download jrmxl file                                    ")</f>
        <v>Check api id from database and download jrmxl file                                    </v>
      </c>
      <c r="C715" s="82">
        <f>IFERROR(__xludf.DUMMYFUNCTION("""COMPUTED_VALUE"""),5175.0)</f>
        <v>5175</v>
      </c>
      <c r="D715" s="76" t="str">
        <f>IFERROR(__xludf.DUMMYFUNCTION("""COMPUTED_VALUE"""),"Marksheet")</f>
        <v>Marksheet</v>
      </c>
      <c r="E715" s="84">
        <f>IFERROR(__xludf.DUMMYFUNCTION("""COMPUTED_VALUE"""),46163.72377431713)</f>
        <v>46163.72377</v>
      </c>
      <c r="F715" s="86">
        <f>IFERROR(__xludf.DUMMYFUNCTION("""COMPUTED_VALUE"""),46163.5572772338)</f>
        <v>46163.55728</v>
      </c>
      <c r="G715" s="86" t="str">
        <f>IFERROR(__xludf.DUMMYFUNCTION("""COMPUTED_VALUE"""),"Done")</f>
        <v>Done</v>
      </c>
      <c r="H715" s="88">
        <f>IFERROR(__xludf.DUMMYFUNCTION("""COMPUTED_VALUE"""),0.0)</f>
        <v>0</v>
      </c>
      <c r="I715" s="90" t="str">
        <f>IFERROR(__xludf.DUMMYFUNCTION("""COMPUTED_VALUE"""),"EMP0237 Swarnendu Chakraborty")</f>
        <v>EMP0237 Swarnendu Chakraborty</v>
      </c>
      <c r="J715" s="91"/>
    </row>
    <row r="716">
      <c r="B716" s="76" t="str">
        <f>IFERROR(__xludf.DUMMYFUNCTION("""COMPUTED_VALUE"""),"Check api id from database and download jrmxl file                                    ")</f>
        <v>Check api id from database and download jrmxl file                                    </v>
      </c>
      <c r="C716" s="82">
        <f>IFERROR(__xludf.DUMMYFUNCTION("""COMPUTED_VALUE"""),5176.0)</f>
        <v>5176</v>
      </c>
      <c r="D716" s="76" t="str">
        <f>IFERROR(__xludf.DUMMYFUNCTION("""COMPUTED_VALUE"""),"Tr hosting ug nep tr ")</f>
        <v>Tr hosting ug nep tr </v>
      </c>
      <c r="E716" s="84">
        <f>IFERROR(__xludf.DUMMYFUNCTION("""COMPUTED_VALUE"""),46163.72398267361)</f>
        <v>46163.72398</v>
      </c>
      <c r="F716" s="86">
        <f>IFERROR(__xludf.DUMMYFUNCTION("""COMPUTED_VALUE"""),46163.55743826389)</f>
        <v>46163.55744</v>
      </c>
      <c r="G716" s="86" t="str">
        <f>IFERROR(__xludf.DUMMYFUNCTION("""COMPUTED_VALUE"""),"Done")</f>
        <v>Done</v>
      </c>
      <c r="H716" s="88">
        <f>IFERROR(__xludf.DUMMYFUNCTION("""COMPUTED_VALUE"""),0.0)</f>
        <v>0</v>
      </c>
      <c r="I716" s="90" t="str">
        <f>IFERROR(__xludf.DUMMYFUNCTION("""COMPUTED_VALUE"""),"EMP0042 HULESHWAR KUMAR SAHU")</f>
        <v>EMP0042 HULESHWAR KUMAR SAHU</v>
      </c>
      <c r="J716" s="91"/>
    </row>
    <row r="717">
      <c r="B717" s="76" t="str">
        <f>IFERROR(__xludf.DUMMYFUNCTION("""COMPUTED_VALUE"""),"Check api id from database and download jrmxl file                                    ")</f>
        <v>Check api id from database and download jrmxl file                                    </v>
      </c>
      <c r="C717" s="82">
        <f>IFERROR(__xludf.DUMMYFUNCTION("""COMPUTED_VALUE"""),5177.0)</f>
        <v>5177</v>
      </c>
      <c r="D717" s="76" t="str">
        <f>IFERROR(__xludf.DUMMYFUNCTION("""COMPUTED_VALUE"""),"ADMIT CARD")</f>
        <v>ADMIT CARD</v>
      </c>
      <c r="E717" s="84">
        <f>IFERROR(__xludf.DUMMYFUNCTION("""COMPUTED_VALUE"""),46164.44097222222)</f>
        <v>46164.44097</v>
      </c>
      <c r="F717" s="86">
        <f>IFERROR(__xludf.DUMMYFUNCTION("""COMPUTED_VALUE"""),46163.701680798615)</f>
        <v>46163.70168</v>
      </c>
      <c r="G717" s="86" t="str">
        <f>IFERROR(__xludf.DUMMYFUNCTION("""COMPUTED_VALUE"""),"Done")</f>
        <v>Done</v>
      </c>
      <c r="H717" s="88">
        <f>IFERROR(__xludf.DUMMYFUNCTION("""COMPUTED_VALUE"""),0.0)</f>
        <v>0</v>
      </c>
      <c r="I717" s="90" t="str">
        <f>IFERROR(__xludf.DUMMYFUNCTION("""COMPUTED_VALUE"""),"EMP5009 Rup Kumar Mandal")</f>
        <v>EMP5009 Rup Kumar Mandal</v>
      </c>
      <c r="J717" s="91"/>
    </row>
    <row r="718">
      <c r="B718" s="76" t="str">
        <f>IFERROR(__xludf.DUMMYFUNCTION("""COMPUTED_VALUE"""),"Check api id from database and download jrmxl file                                    ")</f>
        <v>Check api id from database and download jrmxl file                                    </v>
      </c>
      <c r="C718" s="82">
        <f>IFERROR(__xludf.DUMMYFUNCTION("""COMPUTED_VALUE"""),5178.0)</f>
        <v>5178</v>
      </c>
      <c r="D718" s="76" t="str">
        <f>IFERROR(__xludf.DUMMYFUNCTION("""COMPUTED_VALUE"""),"ADMIT CARD ROLL WISE")</f>
        <v>ADMIT CARD ROLL WISE</v>
      </c>
      <c r="E718" s="84">
        <f>IFERROR(__xludf.DUMMYFUNCTION("""COMPUTED_VALUE"""),46164.44236111111)</f>
        <v>46164.44236</v>
      </c>
      <c r="F718" s="86">
        <f>IFERROR(__xludf.DUMMYFUNCTION("""COMPUTED_VALUE"""),46163.70169041667)</f>
        <v>46163.70169</v>
      </c>
      <c r="G718" s="86" t="str">
        <f>IFERROR(__xludf.DUMMYFUNCTION("""COMPUTED_VALUE"""),"Done")</f>
        <v>Done</v>
      </c>
      <c r="H718" s="88">
        <f>IFERROR(__xludf.DUMMYFUNCTION("""COMPUTED_VALUE"""),0.0)</f>
        <v>0</v>
      </c>
      <c r="I718" s="90" t="str">
        <f>IFERROR(__xludf.DUMMYFUNCTION("""COMPUTED_VALUE"""),"EMP5009 Rup Kumar Mandal")</f>
        <v>EMP5009 Rup Kumar Mandal</v>
      </c>
      <c r="J718" s="91"/>
    </row>
    <row r="719">
      <c r="B719" s="76" t="str">
        <f>IFERROR(__xludf.DUMMYFUNCTION("""COMPUTED_VALUE"""),"Check api id from database and download jrmxl file                                    ")</f>
        <v>Check api id from database and download jrmxl file                                    </v>
      </c>
      <c r="C719" s="82">
        <f>IFERROR(__xludf.DUMMYFUNCTION("""COMPUTED_VALUE"""),5179.0)</f>
        <v>5179</v>
      </c>
      <c r="D719" s="76" t="str">
        <f>IFERROR(__xludf.DUMMYFUNCTION("""COMPUTED_VALUE"""),"Schedule IV")</f>
        <v>Schedule IV</v>
      </c>
      <c r="E719" s="84">
        <f>IFERROR(__xludf.DUMMYFUNCTION("""COMPUTED_VALUE"""),46164.4625)</f>
        <v>46164.4625</v>
      </c>
      <c r="F719" s="86">
        <f>IFERROR(__xludf.DUMMYFUNCTION("""COMPUTED_VALUE"""),46163.746836701386)</f>
        <v>46163.74684</v>
      </c>
      <c r="G719" s="86" t="str">
        <f>IFERROR(__xludf.DUMMYFUNCTION("""COMPUTED_VALUE"""),"Done")</f>
        <v>Done</v>
      </c>
      <c r="H719" s="88">
        <f>IFERROR(__xludf.DUMMYFUNCTION("""COMPUTED_VALUE"""),0.0)</f>
        <v>0</v>
      </c>
      <c r="I719" s="90" t="str">
        <f>IFERROR(__xludf.DUMMYFUNCTION("""COMPUTED_VALUE"""),"EMP0042 HULESHWAR KUMAR SAHU")</f>
        <v>EMP0042 HULESHWAR KUMAR SAHU</v>
      </c>
      <c r="J719" s="91"/>
    </row>
    <row r="720">
      <c r="B720" s="76" t="str">
        <f>IFERROR(__xludf.DUMMYFUNCTION("""COMPUTED_VALUE"""),"Check api id from database and download jrmxl file                                    ")</f>
        <v>Check api id from database and download jrmxl file                                    </v>
      </c>
      <c r="C720" s="82">
        <f>IFERROR(__xludf.DUMMYFUNCTION("""COMPUTED_VALUE"""),5180.0)</f>
        <v>5180</v>
      </c>
      <c r="D720" s="76" t="str">
        <f>IFERROR(__xludf.DUMMYFUNCTION("""COMPUTED_VALUE"""),"packet upload report.")</f>
        <v>packet upload report.</v>
      </c>
      <c r="E720" s="84">
        <f>IFERROR(__xludf.DUMMYFUNCTION("""COMPUTED_VALUE"""),46164.51388888889)</f>
        <v>46164.51389</v>
      </c>
      <c r="F720" s="86">
        <f>IFERROR(__xludf.DUMMYFUNCTION("""COMPUTED_VALUE"""),46163.79938041667)</f>
        <v>46163.79938</v>
      </c>
      <c r="G720" s="86" t="str">
        <f>IFERROR(__xludf.DUMMYFUNCTION("""COMPUTED_VALUE"""),"Done")</f>
        <v>Done</v>
      </c>
      <c r="H720" s="88">
        <f>IFERROR(__xludf.DUMMYFUNCTION("""COMPUTED_VALUE"""),0.0)</f>
        <v>0</v>
      </c>
      <c r="I720" s="90" t="str">
        <f>IFERROR(__xludf.DUMMYFUNCTION("""COMPUTED_VALUE"""),"EMP5009 Rup Kumar Mandal")</f>
        <v>EMP5009 Rup Kumar Mandal</v>
      </c>
      <c r="J720" s="91"/>
    </row>
    <row r="721">
      <c r="B721" s="76" t="str">
        <f>IFERROR(__xludf.DUMMYFUNCTION("""COMPUTED_VALUE"""),"Check api id from database and download jrmxl file                                    ")</f>
        <v>Check api id from database and download jrmxl file                                    </v>
      </c>
      <c r="C721" s="82">
        <f>IFERROR(__xludf.DUMMYFUNCTION("""COMPUTED_VALUE"""),5181.0)</f>
        <v>5181</v>
      </c>
      <c r="D721" s="76" t="str">
        <f>IFERROR(__xludf.DUMMYFUNCTION("""COMPUTED_VALUE"""),"M.COM HONS 6TH SEM NEW GRADING MARKSHEET ERROR SOLVED")</f>
        <v>M.COM HONS 6TH SEM NEW GRADING MARKSHEET ERROR SOLVED</v>
      </c>
      <c r="E721" s="84">
        <f>IFERROR(__xludf.DUMMYFUNCTION("""COMPUTED_VALUE"""),46164.55138888889)</f>
        <v>46164.55139</v>
      </c>
      <c r="F721" s="86">
        <f>IFERROR(__xludf.DUMMYFUNCTION("""COMPUTED_VALUE"""),46163.80800751158)</f>
        <v>46163.80801</v>
      </c>
      <c r="G721" s="86" t="str">
        <f>IFERROR(__xludf.DUMMYFUNCTION("""COMPUTED_VALUE"""),"Done")</f>
        <v>Done</v>
      </c>
      <c r="H721" s="88">
        <f>IFERROR(__xludf.DUMMYFUNCTION("""COMPUTED_VALUE"""),0.0)</f>
        <v>0</v>
      </c>
      <c r="I721" s="90" t="str">
        <f>IFERROR(__xludf.DUMMYFUNCTION("""COMPUTED_VALUE"""),"EMP0042 HULESHWAR KUMAR SAHU")</f>
        <v>EMP0042 HULESHWAR KUMAR SAHU</v>
      </c>
      <c r="J721" s="91"/>
    </row>
    <row r="722">
      <c r="B722" s="76" t="str">
        <f>IFERROR(__xludf.DUMMYFUNCTION("""COMPUTED_VALUE"""),"Check api id from database and download jrmxl file                                    ")</f>
        <v>Check api id from database and download jrmxl file                                    </v>
      </c>
      <c r="C722" s="82">
        <f>IFERROR(__xludf.DUMMYFUNCTION("""COMPUTED_VALUE"""),5182.0)</f>
        <v>5182</v>
      </c>
      <c r="D722" s="76" t="str">
        <f>IFERROR(__xludf.DUMMYFUNCTION("""COMPUTED_VALUE"""),"Marksheet")</f>
        <v>Marksheet</v>
      </c>
      <c r="E722" s="84">
        <f>IFERROR(__xludf.DUMMYFUNCTION("""COMPUTED_VALUE"""),46164.67350603009)</f>
        <v>46164.67351</v>
      </c>
      <c r="F722" s="86">
        <f>IFERROR(__xludf.DUMMYFUNCTION("""COMPUTED_VALUE"""),46164.60382798611)</f>
        <v>46164.60383</v>
      </c>
      <c r="G722" s="86" t="str">
        <f>IFERROR(__xludf.DUMMYFUNCTION("""COMPUTED_VALUE"""),"Done")</f>
        <v>Done</v>
      </c>
      <c r="H722" s="88">
        <f>IFERROR(__xludf.DUMMYFUNCTION("""COMPUTED_VALUE"""),0.0)</f>
        <v>0</v>
      </c>
      <c r="I722" s="90" t="str">
        <f>IFERROR(__xludf.DUMMYFUNCTION("""COMPUTED_VALUE"""),"EMP0237 Swarnendu Chakraborty")</f>
        <v>EMP0237 Swarnendu Chakraborty</v>
      </c>
      <c r="J722" s="91"/>
    </row>
    <row r="723">
      <c r="B723" s="76" t="str">
        <f>IFERROR(__xludf.DUMMYFUNCTION("""COMPUTED_VALUE"""),"Check api id from database and download jrmxl file                                    ")</f>
        <v>Check api id from database and download jrmxl file                                    </v>
      </c>
      <c r="C723" s="82">
        <f>IFERROR(__xludf.DUMMYFUNCTION("""COMPUTED_VALUE"""),5183.0)</f>
        <v>5183</v>
      </c>
      <c r="D723" s="76" t="str">
        <f>IFERROR(__xludf.DUMMYFUNCTION("""COMPUTED_VALUE"""),"	Grade Card (OTHERS)")</f>
        <v>	Grade Card (OTHERS)</v>
      </c>
      <c r="E723" s="84">
        <f>IFERROR(__xludf.DUMMYFUNCTION("""COMPUTED_VALUE"""),46164.824681446764)</f>
        <v>46164.82468</v>
      </c>
      <c r="F723" s="86">
        <f>IFERROR(__xludf.DUMMYFUNCTION("""COMPUTED_VALUE"""),46164.755803333326)</f>
        <v>46164.7558</v>
      </c>
      <c r="G723" s="86" t="str">
        <f>IFERROR(__xludf.DUMMYFUNCTION("""COMPUTED_VALUE"""),"Done")</f>
        <v>Done</v>
      </c>
      <c r="H723" s="88">
        <f>IFERROR(__xludf.DUMMYFUNCTION("""COMPUTED_VALUE"""),0.0)</f>
        <v>0</v>
      </c>
      <c r="I723" s="90" t="str">
        <f>IFERROR(__xludf.DUMMYFUNCTION("""COMPUTED_VALUE"""),"EMP0042 HULESHWAR KUMAR SAHU")</f>
        <v>EMP0042 HULESHWAR KUMAR SAHU</v>
      </c>
      <c r="J723" s="91"/>
    </row>
    <row r="724">
      <c r="B724" s="76" t="str">
        <f>IFERROR(__xludf.DUMMYFUNCTION("""COMPUTED_VALUE"""),"Check api id from database and download jrmxl file                                    ")</f>
        <v>Check api id from database and download jrmxl file                                    </v>
      </c>
      <c r="C724" s="82">
        <f>IFERROR(__xludf.DUMMYFUNCTION("""COMPUTED_VALUE"""),5184.0)</f>
        <v>5184</v>
      </c>
      <c r="D724" s="76" t="str">
        <f>IFERROR(__xludf.DUMMYFUNCTION("""COMPUTED_VALUE"""),"Lable")</f>
        <v>Lable</v>
      </c>
      <c r="E724" s="84">
        <f>IFERROR(__xludf.DUMMYFUNCTION("""COMPUTED_VALUE"""),46165.45486111111)</f>
        <v>46165.45486</v>
      </c>
      <c r="F724" s="86">
        <f>IFERROR(__xludf.DUMMYFUNCTION("""COMPUTED_VALUE"""),46164.69114805556)</f>
        <v>46164.69115</v>
      </c>
      <c r="G724" s="86" t="str">
        <f>IFERROR(__xludf.DUMMYFUNCTION("""COMPUTED_VALUE"""),"Done")</f>
        <v>Done</v>
      </c>
      <c r="H724" s="88">
        <f>IFERROR(__xludf.DUMMYFUNCTION("""COMPUTED_VALUE"""),0.0)</f>
        <v>0</v>
      </c>
      <c r="I724" s="90" t="str">
        <f>IFERROR(__xludf.DUMMYFUNCTION("""COMPUTED_VALUE"""),"EMP5009 Rup Kumar Mandal")</f>
        <v>EMP5009 Rup Kumar Mandal</v>
      </c>
      <c r="J724" s="91"/>
    </row>
    <row r="725">
      <c r="B725" s="76" t="str">
        <f>IFERROR(__xludf.DUMMYFUNCTION("""COMPUTED_VALUE"""),"Check api id from database and download jrmxl file                                    ")</f>
        <v>Check api id from database and download jrmxl file                                    </v>
      </c>
      <c r="C725" s="82">
        <f>IFERROR(__xludf.DUMMYFUNCTION("""COMPUTED_VALUE"""),5185.0)</f>
        <v>5185</v>
      </c>
      <c r="D725" s="76" t="str">
        <f>IFERROR(__xludf.DUMMYFUNCTION("""COMPUTED_VALUE"""),"Mark sheet")</f>
        <v>Mark sheet</v>
      </c>
      <c r="E725" s="84">
        <f>IFERROR(__xludf.DUMMYFUNCTION("""COMPUTED_VALUE"""),46165.45625)</f>
        <v>46165.45625</v>
      </c>
      <c r="F725" s="86">
        <f>IFERROR(__xludf.DUMMYFUNCTION("""COMPUTED_VALUE"""),46164.69114805556)</f>
        <v>46164.69115</v>
      </c>
      <c r="G725" s="86" t="str">
        <f>IFERROR(__xludf.DUMMYFUNCTION("""COMPUTED_VALUE"""),"Done")</f>
        <v>Done</v>
      </c>
      <c r="H725" s="88">
        <f>IFERROR(__xludf.DUMMYFUNCTION("""COMPUTED_VALUE"""),0.0)</f>
        <v>0</v>
      </c>
      <c r="I725" s="90" t="str">
        <f>IFERROR(__xludf.DUMMYFUNCTION("""COMPUTED_VALUE"""),"EMP5009 Rup Kumar Mandal")</f>
        <v>EMP5009 Rup Kumar Mandal</v>
      </c>
      <c r="J725" s="91"/>
    </row>
    <row r="726">
      <c r="B726" s="76" t="str">
        <f>IFERROR(__xludf.DUMMYFUNCTION("""COMPUTED_VALUE"""),"Check api id from database and download jrmxl file                                    ")</f>
        <v>Check api id from database and download jrmxl file                                    </v>
      </c>
      <c r="C726" s="82">
        <f>IFERROR(__xludf.DUMMYFUNCTION("""COMPUTED_VALUE"""),5186.0)</f>
        <v>5186</v>
      </c>
      <c r="D726" s="76" t="str">
        <f>IFERROR(__xludf.DUMMYFUNCTION("""COMPUTED_VALUE"""),"LABEL ")</f>
        <v>LABEL </v>
      </c>
      <c r="E726" s="84">
        <f>IFERROR(__xludf.DUMMYFUNCTION("""COMPUTED_VALUE"""),46165.45694444445)</f>
        <v>46165.45694</v>
      </c>
      <c r="F726" s="86">
        <f>IFERROR(__xludf.DUMMYFUNCTION("""COMPUTED_VALUE"""),46164.69114805556)</f>
        <v>46164.69115</v>
      </c>
      <c r="G726" s="86" t="str">
        <f>IFERROR(__xludf.DUMMYFUNCTION("""COMPUTED_VALUE"""),"Done")</f>
        <v>Done</v>
      </c>
      <c r="H726" s="88">
        <f>IFERROR(__xludf.DUMMYFUNCTION("""COMPUTED_VALUE"""),0.0)</f>
        <v>0</v>
      </c>
      <c r="I726" s="90" t="str">
        <f>IFERROR(__xludf.DUMMYFUNCTION("""COMPUTED_VALUE"""),"EMP5009 Rup Kumar Mandal")</f>
        <v>EMP5009 Rup Kumar Mandal</v>
      </c>
      <c r="J726" s="91"/>
    </row>
    <row r="727">
      <c r="B727" s="76" t="str">
        <f>IFERROR(__xludf.DUMMYFUNCTION("""COMPUTED_VALUE"""),"Check api id from database and download jrmxl file                                    ")</f>
        <v>Check api id from database and download jrmxl file                                    </v>
      </c>
      <c r="C727" s="82">
        <f>IFERROR(__xludf.DUMMYFUNCTION("""COMPUTED_VALUE"""),5187.0)</f>
        <v>5187</v>
      </c>
      <c r="D727" s="76" t="str">
        <f>IFERROR(__xludf.DUMMYFUNCTION("""COMPUTED_VALUE"""),"Attendance Register (DR-AR)")</f>
        <v>Attendance Register (DR-AR)</v>
      </c>
      <c r="E727" s="84">
        <f>IFERROR(__xludf.DUMMYFUNCTION("""COMPUTED_VALUE"""),46165.42638888889)</f>
        <v>46165.42639</v>
      </c>
      <c r="F727" s="86">
        <f>IFERROR(__xludf.DUMMYFUNCTION("""COMPUTED_VALUE"""),46164.69114805556)</f>
        <v>46164.69115</v>
      </c>
      <c r="G727" s="86" t="str">
        <f>IFERROR(__xludf.DUMMYFUNCTION("""COMPUTED_VALUE"""),"Done")</f>
        <v>Done</v>
      </c>
      <c r="H727" s="88">
        <f>IFERROR(__xludf.DUMMYFUNCTION("""COMPUTED_VALUE"""),0.0)</f>
        <v>0</v>
      </c>
      <c r="I727" s="90" t="str">
        <f>IFERROR(__xludf.DUMMYFUNCTION("""COMPUTED_VALUE"""),"EMP5009 Rup Kumar Mandal")</f>
        <v>EMP5009 Rup Kumar Mandal</v>
      </c>
      <c r="J727" s="91"/>
    </row>
    <row r="728">
      <c r="B728" s="76" t="str">
        <f>IFERROR(__xludf.DUMMYFUNCTION("""COMPUTED_VALUE"""),"Check api id from database and download jrmxl file                                    ")</f>
        <v>Check api id from database and download jrmxl file                                    </v>
      </c>
      <c r="C728" s="82">
        <f>IFERROR(__xludf.DUMMYFUNCTION("""COMPUTED_VALUE"""),5188.0)</f>
        <v>5188</v>
      </c>
      <c r="D728" s="76" t="str">
        <f>IFERROR(__xludf.DUMMYFUNCTION("""COMPUTED_VALUE"""),"Attendance Register (DR-AR)")</f>
        <v>Attendance Register (DR-AR)</v>
      </c>
      <c r="E728" s="84">
        <f>IFERROR(__xludf.DUMMYFUNCTION("""COMPUTED_VALUE"""),46165.42847222222)</f>
        <v>46165.42847</v>
      </c>
      <c r="F728" s="86">
        <f>IFERROR(__xludf.DUMMYFUNCTION("""COMPUTED_VALUE"""),46164.69116174768)</f>
        <v>46164.69116</v>
      </c>
      <c r="G728" s="86" t="str">
        <f>IFERROR(__xludf.DUMMYFUNCTION("""COMPUTED_VALUE"""),"Done")</f>
        <v>Done</v>
      </c>
      <c r="H728" s="88">
        <f>IFERROR(__xludf.DUMMYFUNCTION("""COMPUTED_VALUE"""),0.0)</f>
        <v>0</v>
      </c>
      <c r="I728" s="90" t="str">
        <f>IFERROR(__xludf.DUMMYFUNCTION("""COMPUTED_VALUE"""),"EMP5009 Rup Kumar Mandal")</f>
        <v>EMP5009 Rup Kumar Mandal</v>
      </c>
      <c r="J728" s="91"/>
    </row>
    <row r="729">
      <c r="B729" s="76" t="str">
        <f>IFERROR(__xludf.DUMMYFUNCTION("""COMPUTED_VALUE"""),"Check api id from database and download jrmxl file                                    ")</f>
        <v>Check api id from database and download jrmxl file                                    </v>
      </c>
      <c r="C729" s="82">
        <f>IFERROR(__xludf.DUMMYFUNCTION("""COMPUTED_VALUE"""),5189.0)</f>
        <v>5189</v>
      </c>
      <c r="D729" s="76" t="str">
        <f>IFERROR(__xludf.DUMMYFUNCTION("""COMPUTED_VALUE"""),"ADMIT")</f>
        <v>ADMIT</v>
      </c>
      <c r="E729" s="84">
        <f>IFERROR(__xludf.DUMMYFUNCTION("""COMPUTED_VALUE"""),46165.430555555555)</f>
        <v>46165.43056</v>
      </c>
      <c r="F729" s="86">
        <f>IFERROR(__xludf.DUMMYFUNCTION("""COMPUTED_VALUE"""),46164.69119167824)</f>
        <v>46164.69119</v>
      </c>
      <c r="G729" s="86" t="str">
        <f>IFERROR(__xludf.DUMMYFUNCTION("""COMPUTED_VALUE"""),"Done")</f>
        <v>Done</v>
      </c>
      <c r="H729" s="88">
        <f>IFERROR(__xludf.DUMMYFUNCTION("""COMPUTED_VALUE"""),0.0)</f>
        <v>0</v>
      </c>
      <c r="I729" s="90" t="str">
        <f>IFERROR(__xludf.DUMMYFUNCTION("""COMPUTED_VALUE"""),"EMP5009 Rup Kumar Mandal")</f>
        <v>EMP5009 Rup Kumar Mandal</v>
      </c>
      <c r="J729" s="91"/>
    </row>
    <row r="730">
      <c r="B730" s="76" t="str">
        <f>IFERROR(__xludf.DUMMYFUNCTION("""COMPUTED_VALUE"""),"Check api id from database and download jrmxl file                                    ")</f>
        <v>Check api id from database and download jrmxl file                                    </v>
      </c>
      <c r="C730" s="82">
        <f>IFERROR(__xludf.DUMMYFUNCTION("""COMPUTED_VALUE"""),5190.0)</f>
        <v>5190</v>
      </c>
      <c r="D730" s="76" t="str">
        <f>IFERROR(__xludf.DUMMYFUNCTION("""COMPUTED_VALUE"""),"Top sheet  before attendance sheet")</f>
        <v>Top sheet  before attendance sheet</v>
      </c>
      <c r="E730" s="84">
        <f>IFERROR(__xludf.DUMMYFUNCTION("""COMPUTED_VALUE"""),46165.4375)</f>
        <v>46165.4375</v>
      </c>
      <c r="F730" s="86">
        <f>IFERROR(__xludf.DUMMYFUNCTION("""COMPUTED_VALUE"""),46164.69119850694)</f>
        <v>46164.6912</v>
      </c>
      <c r="G730" s="86" t="str">
        <f>IFERROR(__xludf.DUMMYFUNCTION("""COMPUTED_VALUE"""),"Done")</f>
        <v>Done</v>
      </c>
      <c r="H730" s="88">
        <f>IFERROR(__xludf.DUMMYFUNCTION("""COMPUTED_VALUE"""),0.0)</f>
        <v>0</v>
      </c>
      <c r="I730" s="90" t="str">
        <f>IFERROR(__xludf.DUMMYFUNCTION("""COMPUTED_VALUE"""),"EMP5009 Rup Kumar Mandal")</f>
        <v>EMP5009 Rup Kumar Mandal</v>
      </c>
      <c r="J730" s="91"/>
    </row>
    <row r="731">
      <c r="B731" s="76" t="str">
        <f>IFERROR(__xludf.DUMMYFUNCTION("""COMPUTED_VALUE"""),"Check api id from database and download jrmxl file                                    ")</f>
        <v>Check api id from database and download jrmxl file                                    </v>
      </c>
      <c r="C731" s="82">
        <f>IFERROR(__xludf.DUMMYFUNCTION("""COMPUTED_VALUE"""),5191.0)</f>
        <v>5191</v>
      </c>
      <c r="D731" s="76" t="str">
        <f>IFERROR(__xludf.DUMMYFUNCTION("""COMPUTED_VALUE"""),"Top sheet  after attendance sheet")</f>
        <v>Top sheet  after attendance sheet</v>
      </c>
      <c r="E731" s="84">
        <f>IFERROR(__xludf.DUMMYFUNCTION("""COMPUTED_VALUE"""),46165.43888888889)</f>
        <v>46165.43889</v>
      </c>
      <c r="F731" s="86">
        <f>IFERROR(__xludf.DUMMYFUNCTION("""COMPUTED_VALUE"""),46164.69117899305)</f>
        <v>46164.69118</v>
      </c>
      <c r="G731" s="86" t="str">
        <f>IFERROR(__xludf.DUMMYFUNCTION("""COMPUTED_VALUE"""),"Done")</f>
        <v>Done</v>
      </c>
      <c r="H731" s="88">
        <f>IFERROR(__xludf.DUMMYFUNCTION("""COMPUTED_VALUE"""),0.0)</f>
        <v>0</v>
      </c>
      <c r="I731" s="90" t="str">
        <f>IFERROR(__xludf.DUMMYFUNCTION("""COMPUTED_VALUE"""),"EMP5009 Rup Kumar Mandal")</f>
        <v>EMP5009 Rup Kumar Mandal</v>
      </c>
      <c r="J731" s="91"/>
    </row>
    <row r="732">
      <c r="B732" s="76" t="str">
        <f>IFERROR(__xludf.DUMMYFUNCTION("""COMPUTED_VALUE"""),"Check api id from database and download jrmxl file                                    ")</f>
        <v>Check api id from database and download jrmxl file                                    </v>
      </c>
      <c r="C732" s="82">
        <f>IFERROR(__xludf.DUMMYFUNCTION("""COMPUTED_VALUE"""),5192.0)</f>
        <v>5192</v>
      </c>
      <c r="D732" s="76" t="str">
        <f>IFERROR(__xludf.DUMMYFUNCTION("""COMPUTED_VALUE"""),"LABLE")</f>
        <v>LABLE</v>
      </c>
      <c r="E732" s="84">
        <f>IFERROR(__xludf.DUMMYFUNCTION("""COMPUTED_VALUE"""),46165.44027777778)</f>
        <v>46165.44028</v>
      </c>
      <c r="F732" s="86">
        <f>IFERROR(__xludf.DUMMYFUNCTION("""COMPUTED_VALUE"""),46164.69124287037)</f>
        <v>46164.69124</v>
      </c>
      <c r="G732" s="86" t="str">
        <f>IFERROR(__xludf.DUMMYFUNCTION("""COMPUTED_VALUE"""),"Done")</f>
        <v>Done</v>
      </c>
      <c r="H732" s="88">
        <f>IFERROR(__xludf.DUMMYFUNCTION("""COMPUTED_VALUE"""),0.0)</f>
        <v>0</v>
      </c>
      <c r="I732" s="90" t="str">
        <f>IFERROR(__xludf.DUMMYFUNCTION("""COMPUTED_VALUE"""),"EMP5009 Rup Kumar Mandal")</f>
        <v>EMP5009 Rup Kumar Mandal</v>
      </c>
      <c r="J732" s="91"/>
    </row>
    <row r="733">
      <c r="B733" s="76" t="str">
        <f>IFERROR(__xludf.DUMMYFUNCTION("""COMPUTED_VALUE"""),"Check api id from database and download jrmxl file                                    ")</f>
        <v>Check api id from database and download jrmxl file                                    </v>
      </c>
      <c r="C733" s="82">
        <f>IFERROR(__xludf.DUMMYFUNCTION("""COMPUTED_VALUE"""),5193.0)</f>
        <v>5193</v>
      </c>
      <c r="D733" s="76" t="str">
        <f>IFERROR(__xludf.DUMMYFUNCTION("""COMPUTED_VALUE"""),"BBA sem III NEP W-25 Marksheet Correction ")</f>
        <v>BBA sem III NEP W-25 Marksheet Correction </v>
      </c>
      <c r="E733" s="84">
        <f>IFERROR(__xludf.DUMMYFUNCTION("""COMPUTED_VALUE"""),46165.464583333334)</f>
        <v>46165.46458</v>
      </c>
      <c r="F733" s="86">
        <f>IFERROR(__xludf.DUMMYFUNCTION("""COMPUTED_VALUE"""),46164.74303194444)</f>
        <v>46164.74303</v>
      </c>
      <c r="G733" s="86" t="str">
        <f>IFERROR(__xludf.DUMMYFUNCTION("""COMPUTED_VALUE"""),"Done")</f>
        <v>Done</v>
      </c>
      <c r="H733" s="88">
        <f>IFERROR(__xludf.DUMMYFUNCTION("""COMPUTED_VALUE"""),0.0)</f>
        <v>0</v>
      </c>
      <c r="I733" s="90" t="str">
        <f>IFERROR(__xludf.DUMMYFUNCTION("""COMPUTED_VALUE"""),"EMP0042 HULESHWAR KUMAR SAHU")</f>
        <v>EMP0042 HULESHWAR KUMAR SAHU</v>
      </c>
      <c r="J733" s="91"/>
    </row>
    <row r="734">
      <c r="B734" s="76" t="str">
        <f>IFERROR(__xludf.DUMMYFUNCTION("""COMPUTED_VALUE"""),"Check api id from database and download jrmxl file                                    ")</f>
        <v>Check api id from database and download jrmxl file                                    </v>
      </c>
      <c r="C734" s="82">
        <f>IFERROR(__xludf.DUMMYFUNCTION("""COMPUTED_VALUE"""),5194.0)</f>
        <v>5194</v>
      </c>
      <c r="D734" s="76" t="str">
        <f>IFERROR(__xludf.DUMMYFUNCTION("""COMPUTED_VALUE"""),"College summary")</f>
        <v>College summary</v>
      </c>
      <c r="E734" s="84">
        <f>IFERROR(__xludf.DUMMYFUNCTION("""COMPUTED_VALUE"""),46165.472916666666)</f>
        <v>46165.47292</v>
      </c>
      <c r="F734" s="86">
        <f>IFERROR(__xludf.DUMMYFUNCTION("""COMPUTED_VALUE"""),46164.743083622685)</f>
        <v>46164.74308</v>
      </c>
      <c r="G734" s="86" t="str">
        <f>IFERROR(__xludf.DUMMYFUNCTION("""COMPUTED_VALUE"""),"Done")</f>
        <v>Done</v>
      </c>
      <c r="H734" s="88">
        <f>IFERROR(__xludf.DUMMYFUNCTION("""COMPUTED_VALUE"""),0.0)</f>
        <v>0</v>
      </c>
      <c r="I734" s="90" t="str">
        <f>IFERROR(__xludf.DUMMYFUNCTION("""COMPUTED_VALUE"""),"EMP5009 Rup Kumar Mandal")</f>
        <v>EMP5009 Rup Kumar Mandal</v>
      </c>
      <c r="J734" s="91"/>
    </row>
    <row r="735">
      <c r="B735" s="76" t="str">
        <f>IFERROR(__xludf.DUMMYFUNCTION("""COMPUTED_VALUE"""),"Check api id from database and download jrmxl file                                    ")</f>
        <v>Check api id from database and download jrmxl file                                    </v>
      </c>
      <c r="C735" s="82">
        <f>IFERROR(__xludf.DUMMYFUNCTION("""COMPUTED_VALUE"""),5195.0)</f>
        <v>5195</v>
      </c>
      <c r="D735" s="76" t="str">
        <f>IFERROR(__xludf.DUMMYFUNCTION("""COMPUTED_VALUE"""),"RE-APPEAR")</f>
        <v>RE-APPEAR</v>
      </c>
      <c r="E735" s="84">
        <f>IFERROR(__xludf.DUMMYFUNCTION("""COMPUTED_VALUE"""),46165.48125)</f>
        <v>46165.48125</v>
      </c>
      <c r="F735" s="86">
        <f>IFERROR(__xludf.DUMMYFUNCTION("""COMPUTED_VALUE"""),46164.743069490745)</f>
        <v>46164.74307</v>
      </c>
      <c r="G735" s="86" t="str">
        <f>IFERROR(__xludf.DUMMYFUNCTION("""COMPUTED_VALUE"""),"Done")</f>
        <v>Done</v>
      </c>
      <c r="H735" s="88">
        <f>IFERROR(__xludf.DUMMYFUNCTION("""COMPUTED_VALUE"""),0.0)</f>
        <v>0</v>
      </c>
      <c r="I735" s="90" t="str">
        <f>IFERROR(__xludf.DUMMYFUNCTION("""COMPUTED_VALUE"""),"EMP5009 Rup Kumar Mandal")</f>
        <v>EMP5009 Rup Kumar Mandal</v>
      </c>
      <c r="J735" s="91"/>
    </row>
    <row r="736">
      <c r="B736" s="76" t="str">
        <f>IFERROR(__xludf.DUMMYFUNCTION("""COMPUTED_VALUE"""),"Check api id from database and download jrmxl file                                    ")</f>
        <v>Check api id from database and download jrmxl file                                    </v>
      </c>
      <c r="C736" s="82">
        <f>IFERROR(__xludf.DUMMYFUNCTION("""COMPUTED_VALUE"""),5196.0)</f>
        <v>5196</v>
      </c>
      <c r="D736" s="76" t="str">
        <f>IFERROR(__xludf.DUMMYFUNCTION("""COMPUTED_VALUE"""),"GRADE CARD OTHERS")</f>
        <v>GRADE CARD OTHERS</v>
      </c>
      <c r="E736" s="84">
        <f>IFERROR(__xludf.DUMMYFUNCTION("""COMPUTED_VALUE"""),46165.56118168981)</f>
        <v>46165.56118</v>
      </c>
      <c r="F736" s="86">
        <f>IFERROR(__xludf.DUMMYFUNCTION("""COMPUTED_VALUE"""),46165.46223936342)</f>
        <v>46165.46224</v>
      </c>
      <c r="G736" s="86" t="str">
        <f>IFERROR(__xludf.DUMMYFUNCTION("""COMPUTED_VALUE"""),"Done")</f>
        <v>Done</v>
      </c>
      <c r="H736" s="88">
        <f>IFERROR(__xludf.DUMMYFUNCTION("""COMPUTED_VALUE"""),0.0)</f>
        <v>0</v>
      </c>
      <c r="I736" s="90" t="str">
        <f>IFERROR(__xludf.DUMMYFUNCTION("""COMPUTED_VALUE"""),"EMP0042 HULESHWAR KUMAR SAHU")</f>
        <v>EMP0042 HULESHWAR KUMAR SAHU</v>
      </c>
      <c r="J736" s="91"/>
    </row>
    <row r="737">
      <c r="B737" s="76" t="str">
        <f>IFERROR(__xludf.DUMMYFUNCTION("""COMPUTED_VALUE"""),"Check api id from database and download jrmxl file                                    ")</f>
        <v>Check api id from database and download jrmxl file                                    </v>
      </c>
      <c r="C737" s="82">
        <f>IFERROR(__xludf.DUMMYFUNCTION("""COMPUTED_VALUE"""),5197.0)</f>
        <v>5197</v>
      </c>
      <c r="D737" s="76" t="str">
        <f>IFERROR(__xludf.DUMMYFUNCTION("""COMPUTED_VALUE"""),"Multiple Report ")</f>
        <v>Multiple Report </v>
      </c>
      <c r="E737" s="84">
        <f>IFERROR(__xludf.DUMMYFUNCTION("""COMPUTED_VALUE"""),46167.47814814815)</f>
        <v>46167.47815</v>
      </c>
      <c r="F737" s="86">
        <f>IFERROR(__xludf.DUMMYFUNCTION("""COMPUTED_VALUE"""),46165.67232672453)</f>
        <v>46165.67233</v>
      </c>
      <c r="G737" s="86" t="str">
        <f>IFERROR(__xludf.DUMMYFUNCTION("""COMPUTED_VALUE"""),"Done")</f>
        <v>Done</v>
      </c>
      <c r="H737" s="88">
        <f>IFERROR(__xludf.DUMMYFUNCTION("""COMPUTED_VALUE"""),0.0)</f>
        <v>0</v>
      </c>
      <c r="I737" s="90" t="str">
        <f>IFERROR(__xludf.DUMMYFUNCTION("""COMPUTED_VALUE"""),"EMP0042 HULESHWAR KUMAR SAHU")</f>
        <v>EMP0042 HULESHWAR KUMAR SAHU</v>
      </c>
      <c r="J737" s="91"/>
    </row>
    <row r="738">
      <c r="B738" s="76" t="str">
        <f>IFERROR(__xludf.DUMMYFUNCTION("""COMPUTED_VALUE"""),"Check api id from database and download jrmxl file                                    ")</f>
        <v>Check api id from database and download jrmxl file                                    </v>
      </c>
      <c r="C738" s="82">
        <f>IFERROR(__xludf.DUMMYFUNCTION("""COMPUTED_VALUE"""),5198.0)</f>
        <v>5198</v>
      </c>
      <c r="D738" s="76" t="str">
        <f>IFERROR(__xludf.DUMMYFUNCTION("""COMPUTED_VALUE"""),"TR NEP COLLEGE WISE")</f>
        <v>TR NEP COLLEGE WISE</v>
      </c>
      <c r="E738" s="84">
        <f>IFERROR(__xludf.DUMMYFUNCTION("""COMPUTED_VALUE"""),46167.68063709491)</f>
        <v>46167.68064</v>
      </c>
      <c r="F738" s="86">
        <f>IFERROR(__xludf.DUMMYFUNCTION("""COMPUTED_VALUE"""),46167.55486439815)</f>
        <v>46167.55486</v>
      </c>
      <c r="G738" s="86" t="str">
        <f>IFERROR(__xludf.DUMMYFUNCTION("""COMPUTED_VALUE"""),"Done")</f>
        <v>Done</v>
      </c>
      <c r="H738" s="88">
        <f>IFERROR(__xludf.DUMMYFUNCTION("""COMPUTED_VALUE"""),0.0)</f>
        <v>0</v>
      </c>
      <c r="I738" s="90" t="str">
        <f>IFERROR(__xludf.DUMMYFUNCTION("""COMPUTED_VALUE"""),"EMP0042 HULESHWAR KUMAR SAHU")</f>
        <v>EMP0042 HULESHWAR KUMAR SAHU</v>
      </c>
      <c r="J738" s="91"/>
    </row>
    <row r="739">
      <c r="B739" s="76" t="str">
        <f>IFERROR(__xludf.DUMMYFUNCTION("""COMPUTED_VALUE"""),"Check api id from database and download jrmxl file                                    ")</f>
        <v>Check api id from database and download jrmxl file                                    </v>
      </c>
      <c r="C739" s="82">
        <f>IFERROR(__xludf.DUMMYFUNCTION("""COMPUTED_VALUE"""),5199.0)</f>
        <v>5199</v>
      </c>
      <c r="D739" s="76" t="str">
        <f>IFERROR(__xludf.DUMMYFUNCTION("""COMPUTED_VALUE"""),"Transcript PG")</f>
        <v>Transcript PG</v>
      </c>
      <c r="E739" s="84">
        <f>IFERROR(__xludf.DUMMYFUNCTION("""COMPUTED_VALUE"""),46168.461805555555)</f>
        <v>46168.46181</v>
      </c>
      <c r="F739" s="86">
        <f>IFERROR(__xludf.DUMMYFUNCTION("""COMPUTED_VALUE"""),46167.72942982639)</f>
        <v>46167.72943</v>
      </c>
      <c r="G739" s="86" t="str">
        <f>IFERROR(__xludf.DUMMYFUNCTION("""COMPUTED_VALUE"""),"Done")</f>
        <v>Done</v>
      </c>
      <c r="H739" s="88">
        <f>IFERROR(__xludf.DUMMYFUNCTION("""COMPUTED_VALUE"""),0.0)</f>
        <v>0</v>
      </c>
      <c r="I739" s="90" t="str">
        <f>IFERROR(__xludf.DUMMYFUNCTION("""COMPUTED_VALUE"""),"EMP0042 HULESHWAR KUMAR SAHU")</f>
        <v>EMP0042 HULESHWAR KUMAR SAHU</v>
      </c>
      <c r="J739" s="91"/>
    </row>
    <row r="740">
      <c r="B740" s="76" t="str">
        <f>IFERROR(__xludf.DUMMYFUNCTION("""COMPUTED_VALUE"""),"Check api id from database and download jrmxl file                                    ")</f>
        <v>Check api id from database and download jrmxl file                                    </v>
      </c>
      <c r="C740" s="82">
        <f>IFERROR(__xludf.DUMMYFUNCTION("""COMPUTED_VALUE"""),5200.0)</f>
        <v>5200</v>
      </c>
      <c r="D740" s="76" t="str">
        <f>IFERROR(__xludf.DUMMYFUNCTION("""COMPUTED_VALUE"""),"P.G 4sem Attandance &amp; roll sheet correction Examination -2024 to Examination -2026")</f>
        <v>P.G 4sem Attandance &amp; roll sheet correction Examination -2024 to Examination -2026</v>
      </c>
      <c r="E740" s="84">
        <f>IFERROR(__xludf.DUMMYFUNCTION("""COMPUTED_VALUE"""),46168.47083333333)</f>
        <v>46168.47083</v>
      </c>
      <c r="F740" s="86">
        <f>IFERROR(__xludf.DUMMYFUNCTION("""COMPUTED_VALUE"""),46167.72937908564)</f>
        <v>46167.72938</v>
      </c>
      <c r="G740" s="86" t="str">
        <f>IFERROR(__xludf.DUMMYFUNCTION("""COMPUTED_VALUE"""),"Done")</f>
        <v>Done</v>
      </c>
      <c r="H740" s="88">
        <f>IFERROR(__xludf.DUMMYFUNCTION("""COMPUTED_VALUE"""),0.0)</f>
        <v>0</v>
      </c>
      <c r="I740" s="90" t="str">
        <f>IFERROR(__xludf.DUMMYFUNCTION("""COMPUTED_VALUE"""),"EMP5009 Rup Kumar Mandal")</f>
        <v>EMP5009 Rup Kumar Mandal</v>
      </c>
      <c r="J740" s="91"/>
    </row>
    <row r="741">
      <c r="B741" s="76" t="str">
        <f>IFERROR(__xludf.DUMMYFUNCTION("""COMPUTED_VALUE"""),"Check api id from database and download jrmxl file                                    ")</f>
        <v>Check api id from database and download jrmxl file                                    </v>
      </c>
      <c r="C741" s="82">
        <f>IFERROR(__xludf.DUMMYFUNCTION("""COMPUTED_VALUE"""),5201.0)</f>
        <v>5201</v>
      </c>
      <c r="D741" s="76" t="str">
        <f>IFERROR(__xludf.DUMMYFUNCTION("""COMPUTED_VALUE"""),"grade card")</f>
        <v>grade card</v>
      </c>
      <c r="E741" s="84">
        <f>IFERROR(__xludf.DUMMYFUNCTION("""COMPUTED_VALUE"""),46168.48125)</f>
        <v>46168.48125</v>
      </c>
      <c r="F741" s="86">
        <f>IFERROR(__xludf.DUMMYFUNCTION("""COMPUTED_VALUE"""),46167.72937908564)</f>
        <v>46167.72938</v>
      </c>
      <c r="G741" s="86" t="str">
        <f>IFERROR(__xludf.DUMMYFUNCTION("""COMPUTED_VALUE"""),"Done")</f>
        <v>Done</v>
      </c>
      <c r="H741" s="88">
        <f>IFERROR(__xludf.DUMMYFUNCTION("""COMPUTED_VALUE"""),0.0)</f>
        <v>0</v>
      </c>
      <c r="I741" s="90" t="str">
        <f>IFERROR(__xludf.DUMMYFUNCTION("""COMPUTED_VALUE"""),"EMP5009 Rup Kumar Mandal")</f>
        <v>EMP5009 Rup Kumar Mandal</v>
      </c>
      <c r="J741" s="91"/>
    </row>
    <row r="742">
      <c r="B742" s="76" t="str">
        <f>IFERROR(__xludf.DUMMYFUNCTION("""COMPUTED_VALUE"""),"Check api id from database and download jrmxl file                                    ")</f>
        <v>Check api id from database and download jrmxl file                                    </v>
      </c>
      <c r="C742" s="82">
        <f>IFERROR(__xludf.DUMMYFUNCTION("""COMPUTED_VALUE"""),5202.0)</f>
        <v>5202</v>
      </c>
      <c r="D742" s="76" t="str">
        <f>IFERROR(__xludf.DUMMYFUNCTION("""COMPUTED_VALUE"""),"grade card")</f>
        <v>grade card</v>
      </c>
      <c r="E742" s="84">
        <f>IFERROR(__xludf.DUMMYFUNCTION("""COMPUTED_VALUE"""),46168.48333333334)</f>
        <v>46168.48333</v>
      </c>
      <c r="F742" s="86">
        <f>IFERROR(__xludf.DUMMYFUNCTION("""COMPUTED_VALUE"""),46167.72938414352)</f>
        <v>46167.72938</v>
      </c>
      <c r="G742" s="86" t="str">
        <f>IFERROR(__xludf.DUMMYFUNCTION("""COMPUTED_VALUE"""),"Done")</f>
        <v>Done</v>
      </c>
      <c r="H742" s="88">
        <f>IFERROR(__xludf.DUMMYFUNCTION("""COMPUTED_VALUE"""),0.0)</f>
        <v>0</v>
      </c>
      <c r="I742" s="90" t="str">
        <f>IFERROR(__xludf.DUMMYFUNCTION("""COMPUTED_VALUE"""),"EMP5009 Rup Kumar Mandal")</f>
        <v>EMP5009 Rup Kumar Mandal</v>
      </c>
      <c r="J742" s="91"/>
    </row>
    <row r="743">
      <c r="B743" s="76" t="str">
        <f>IFERROR(__xludf.DUMMYFUNCTION("""COMPUTED_VALUE"""),"Check api id from database and download jrmxl file                                    ")</f>
        <v>Check api id from database and download jrmxl file                                    </v>
      </c>
      <c r="C743" s="82">
        <f>IFERROR(__xludf.DUMMYFUNCTION("""COMPUTED_VALUE"""),5203.0)</f>
        <v>5203</v>
      </c>
      <c r="D743" s="76" t="str">
        <f>IFERROR(__xludf.DUMMYFUNCTION("""COMPUTED_VALUE"""),"Admit Card (PG Section)")</f>
        <v>Admit Card (PG Section)</v>
      </c>
      <c r="E743" s="84">
        <f>IFERROR(__xludf.DUMMYFUNCTION("""COMPUTED_VALUE"""),46168.493055555555)</f>
        <v>46168.49306</v>
      </c>
      <c r="F743" s="86">
        <f>IFERROR(__xludf.DUMMYFUNCTION("""COMPUTED_VALUE"""),46167.74098606481)</f>
        <v>46167.74099</v>
      </c>
      <c r="G743" s="86" t="str">
        <f>IFERROR(__xludf.DUMMYFUNCTION("""COMPUTED_VALUE"""),"Done")</f>
        <v>Done</v>
      </c>
      <c r="H743" s="88">
        <f>IFERROR(__xludf.DUMMYFUNCTION("""COMPUTED_VALUE"""),0.0)</f>
        <v>0</v>
      </c>
      <c r="I743" s="90" t="str">
        <f>IFERROR(__xludf.DUMMYFUNCTION("""COMPUTED_VALUE"""),"EMP5009 Rup Kumar Mandal")</f>
        <v>EMP5009 Rup Kumar Mandal</v>
      </c>
      <c r="J743" s="91"/>
    </row>
    <row r="744">
      <c r="B744" s="76" t="str">
        <f>IFERROR(__xludf.DUMMYFUNCTION("""COMPUTED_VALUE"""),"Check api id from database and download jrmxl file                                    ")</f>
        <v>Check api id from database and download jrmxl file                                    </v>
      </c>
      <c r="C744" s="82">
        <f>IFERROR(__xludf.DUMMYFUNCTION("""COMPUTED_VALUE"""),5204.0)</f>
        <v>5204</v>
      </c>
      <c r="D744" s="76" t="str">
        <f>IFERROR(__xludf.DUMMYFUNCTION("""COMPUTED_VALUE"""),"5231")</f>
        <v>5231</v>
      </c>
      <c r="E744" s="84">
        <f>IFERROR(__xludf.DUMMYFUNCTION("""COMPUTED_VALUE"""),46168.5375)</f>
        <v>46168.5375</v>
      </c>
      <c r="F744" s="86">
        <f>IFERROR(__xludf.DUMMYFUNCTION("""COMPUTED_VALUE"""),46168.4456090625)</f>
        <v>46168.44561</v>
      </c>
      <c r="G744" s="86" t="str">
        <f>IFERROR(__xludf.DUMMYFUNCTION("""COMPUTED_VALUE"""),"Done")</f>
        <v>Done</v>
      </c>
      <c r="H744" s="88">
        <f>IFERROR(__xludf.DUMMYFUNCTION("""COMPUTED_VALUE"""),0.0)</f>
        <v>0</v>
      </c>
      <c r="I744" s="90" t="str">
        <f>IFERROR(__xludf.DUMMYFUNCTION("""COMPUTED_VALUE"""),"EMP5009 Rup Kumar Mandal")</f>
        <v>EMP5009 Rup Kumar Mandal</v>
      </c>
      <c r="J744" s="91"/>
    </row>
    <row r="745">
      <c r="B745" s="76" t="str">
        <f>IFERROR(__xludf.DUMMYFUNCTION("""COMPUTED_VALUE"""),"Check api id from database and download jrmxl file                                    ")</f>
        <v>Check api id from database and download jrmxl file                                    </v>
      </c>
      <c r="C745" s="82">
        <f>IFERROR(__xludf.DUMMYFUNCTION("""COMPUTED_VALUE"""),5205.0)</f>
        <v>5205</v>
      </c>
      <c r="D745" s="76" t="str">
        <f>IFERROR(__xludf.DUMMYFUNCTION("""COMPUTED_VALUE"""),"5190")</f>
        <v>5190</v>
      </c>
      <c r="E745" s="84">
        <f>IFERROR(__xludf.DUMMYFUNCTION("""COMPUTED_VALUE"""),46168.538194444445)</f>
        <v>46168.53819</v>
      </c>
      <c r="F745" s="86">
        <f>IFERROR(__xludf.DUMMYFUNCTION("""COMPUTED_VALUE"""),46168.44562929398)</f>
        <v>46168.44563</v>
      </c>
      <c r="G745" s="86" t="str">
        <f>IFERROR(__xludf.DUMMYFUNCTION("""COMPUTED_VALUE"""),"Done")</f>
        <v>Done</v>
      </c>
      <c r="H745" s="88">
        <f>IFERROR(__xludf.DUMMYFUNCTION("""COMPUTED_VALUE"""),0.0)</f>
        <v>0</v>
      </c>
      <c r="I745" s="90" t="str">
        <f>IFERROR(__xludf.DUMMYFUNCTION("""COMPUTED_VALUE"""),"EMP5009 Rup Kumar Mandal")</f>
        <v>EMP5009 Rup Kumar Mandal</v>
      </c>
      <c r="J745" s="91"/>
    </row>
    <row r="746">
      <c r="B746" s="76" t="str">
        <f>IFERROR(__xludf.DUMMYFUNCTION("""COMPUTED_VALUE"""),"Check api id from database and download jrmxl file                                    ")</f>
        <v>Check api id from database and download jrmxl file                                    </v>
      </c>
      <c r="C746" s="82">
        <f>IFERROR(__xludf.DUMMYFUNCTION("""COMPUTED_VALUE"""),5206.0)</f>
        <v>5206</v>
      </c>
      <c r="D746" s="76" t="str">
        <f>IFERROR(__xludf.DUMMYFUNCTION("""COMPUTED_VALUE"""),"5189")</f>
        <v>5189</v>
      </c>
      <c r="E746" s="84">
        <f>IFERROR(__xludf.DUMMYFUNCTION("""COMPUTED_VALUE"""),46168.53958333333)</f>
        <v>46168.53958</v>
      </c>
      <c r="F746" s="86">
        <f>IFERROR(__xludf.DUMMYFUNCTION("""COMPUTED_VALUE"""),46168.44562929398)</f>
        <v>46168.44563</v>
      </c>
      <c r="G746" s="86" t="str">
        <f>IFERROR(__xludf.DUMMYFUNCTION("""COMPUTED_VALUE"""),"Done")</f>
        <v>Done</v>
      </c>
      <c r="H746" s="88">
        <f>IFERROR(__xludf.DUMMYFUNCTION("""COMPUTED_VALUE"""),0.0)</f>
        <v>0</v>
      </c>
      <c r="I746" s="90" t="str">
        <f>IFERROR(__xludf.DUMMYFUNCTION("""COMPUTED_VALUE"""),"EMP5009 Rup Kumar Mandal")</f>
        <v>EMP5009 Rup Kumar Mandal</v>
      </c>
      <c r="J746" s="91"/>
    </row>
    <row r="747">
      <c r="B747" s="76" t="str">
        <f>IFERROR(__xludf.DUMMYFUNCTION("""COMPUTED_VALUE"""),"Check api id from database and download jrmxl file                                    ")</f>
        <v>Check api id from database and download jrmxl file                                    </v>
      </c>
      <c r="C747" s="82">
        <f>IFERROR(__xludf.DUMMYFUNCTION("""COMPUTED_VALUE"""),5207.0)</f>
        <v>5207</v>
      </c>
      <c r="D747" s="76" t="str">
        <f>IFERROR(__xludf.DUMMYFUNCTION("""COMPUTED_VALUE"""),"Roll List (PG Section)")</f>
        <v>Roll List (PG Section)</v>
      </c>
      <c r="E747" s="84">
        <f>IFERROR(__xludf.DUMMYFUNCTION("""COMPUTED_VALUE"""),46169.43680555555)</f>
        <v>46169.43681</v>
      </c>
      <c r="F747" s="86">
        <f>IFERROR(__xludf.DUMMYFUNCTION("""COMPUTED_VALUE"""),46168.68594658565)</f>
        <v>46168.68595</v>
      </c>
      <c r="G747" s="86" t="str">
        <f>IFERROR(__xludf.DUMMYFUNCTION("""COMPUTED_VALUE"""),"Done")</f>
        <v>Done</v>
      </c>
      <c r="H747" s="88">
        <f>IFERROR(__xludf.DUMMYFUNCTION("""COMPUTED_VALUE"""),0.0)</f>
        <v>0</v>
      </c>
      <c r="I747" s="90" t="str">
        <f>IFERROR(__xludf.DUMMYFUNCTION("""COMPUTED_VALUE"""),"EMP5009 Rup Kumar Mandal")</f>
        <v>EMP5009 Rup Kumar Mandal</v>
      </c>
      <c r="J747" s="91"/>
    </row>
    <row r="748">
      <c r="B748" s="76" t="str">
        <f>IFERROR(__xludf.DUMMYFUNCTION("""COMPUTED_VALUE"""),"Check api id from database and download jrmxl file                                    ")</f>
        <v>Check api id from database and download jrmxl file                                    </v>
      </c>
      <c r="C748" s="82">
        <f>IFERROR(__xludf.DUMMYFUNCTION("""COMPUTED_VALUE"""),5208.0)</f>
        <v>5208</v>
      </c>
      <c r="D748" s="76" t="str">
        <f>IFERROR(__xludf.DUMMYFUNCTION("""COMPUTED_VALUE"""),"admit cad corretion")</f>
        <v>admit cad corretion</v>
      </c>
      <c r="E748" s="84">
        <f>IFERROR(__xludf.DUMMYFUNCTION("""COMPUTED_VALUE"""),46169.683721898145)</f>
        <v>46169.68372</v>
      </c>
      <c r="F748" s="86">
        <f>IFERROR(__xludf.DUMMYFUNCTION("""COMPUTED_VALUE"""),46169.53728614584)</f>
        <v>46169.53729</v>
      </c>
      <c r="G748" s="86" t="str">
        <f>IFERROR(__xludf.DUMMYFUNCTION("""COMPUTED_VALUE"""),"Done")</f>
        <v>Done</v>
      </c>
      <c r="H748" s="88">
        <f>IFERROR(__xludf.DUMMYFUNCTION("""COMPUTED_VALUE"""),0.0)</f>
        <v>0</v>
      </c>
      <c r="I748" s="90" t="str">
        <f>IFERROR(__xludf.DUMMYFUNCTION("""COMPUTED_VALUE"""),"EMP0042 HULESHWAR KUMAR SAHU")</f>
        <v>EMP0042 HULESHWAR KUMAR SAHU</v>
      </c>
      <c r="J748" s="91"/>
    </row>
    <row r="749">
      <c r="B749" s="76" t="str">
        <f>IFERROR(__xludf.DUMMYFUNCTION("""COMPUTED_VALUE"""),"Check api id from database and download jrmxl file                                    ")</f>
        <v>Check api id from database and download jrmxl file                                    </v>
      </c>
      <c r="C749" s="82">
        <f>IFERROR(__xludf.DUMMYFUNCTION("""COMPUTED_VALUE"""),5209.0)</f>
        <v>5209</v>
      </c>
      <c r="D749" s="76" t="str">
        <f>IFERROR(__xludf.DUMMYFUNCTION("""COMPUTED_VALUE"""),"attendance sheet")</f>
        <v>attendance sheet</v>
      </c>
      <c r="E749" s="84">
        <f>IFERROR(__xludf.DUMMYFUNCTION("""COMPUTED_VALUE"""),46169.82599672453)</f>
        <v>46169.826</v>
      </c>
      <c r="F749" s="86">
        <f>IFERROR(__xludf.DUMMYFUNCTION("""COMPUTED_VALUE"""),46169.73827003472)</f>
        <v>46169.73827</v>
      </c>
      <c r="G749" s="86" t="str">
        <f>IFERROR(__xludf.DUMMYFUNCTION("""COMPUTED_VALUE"""),"Done")</f>
        <v>Done</v>
      </c>
      <c r="H749" s="88">
        <f>IFERROR(__xludf.DUMMYFUNCTION("""COMPUTED_VALUE"""),0.0)</f>
        <v>0</v>
      </c>
      <c r="I749" s="90" t="str">
        <f>IFERROR(__xludf.DUMMYFUNCTION("""COMPUTED_VALUE"""),"EMP5009 Rup Kumar Mandal")</f>
        <v>EMP5009 Rup Kumar Mandal</v>
      </c>
      <c r="J749" s="91"/>
    </row>
    <row r="750">
      <c r="B750" s="76" t="str">
        <f>IFERROR(__xludf.DUMMYFUNCTION("""COMPUTED_VALUE"""),"Check api id from database and download jrmxl file                                    ")</f>
        <v>Check api id from database and download jrmxl file                                    </v>
      </c>
      <c r="C750" s="82">
        <f>IFERROR(__xludf.DUMMYFUNCTION("""COMPUTED_VALUE"""),5210.0)</f>
        <v>5210</v>
      </c>
      <c r="D750" s="76" t="str">
        <f>IFERROR(__xludf.DUMMYFUNCTION("""COMPUTED_VALUE"""),"packet wise marks entry report")</f>
        <v>packet wise marks entry report</v>
      </c>
      <c r="E750" s="84">
        <f>IFERROR(__xludf.DUMMYFUNCTION("""COMPUTED_VALUE"""),46170.48611111111)</f>
        <v>46170.48611</v>
      </c>
      <c r="F750" s="86">
        <f>IFERROR(__xludf.DUMMYFUNCTION("""COMPUTED_VALUE"""),46169.73845030092)</f>
        <v>46169.73845</v>
      </c>
      <c r="G750" s="86" t="str">
        <f>IFERROR(__xludf.DUMMYFUNCTION("""COMPUTED_VALUE"""),"Done")</f>
        <v>Done</v>
      </c>
      <c r="H750" s="88">
        <f>IFERROR(__xludf.DUMMYFUNCTION("""COMPUTED_VALUE"""),0.0)</f>
        <v>0</v>
      </c>
      <c r="I750" s="90" t="str">
        <f>IFERROR(__xludf.DUMMYFUNCTION("""COMPUTED_VALUE"""),"EMP0021 Tamanna Dewangan")</f>
        <v>EMP0021 Tamanna Dewangan</v>
      </c>
      <c r="J750" s="91"/>
    </row>
    <row r="751">
      <c r="B751" s="76" t="str">
        <f>IFERROR(__xludf.DUMMYFUNCTION("""COMPUTED_VALUE"""),"Check api id from database and download jrmxl file                                    ")</f>
        <v>Check api id from database and download jrmxl file                                    </v>
      </c>
      <c r="C751" s="82">
        <f>IFERROR(__xludf.DUMMYFUNCTION("""COMPUTED_VALUE"""),5211.0)</f>
        <v>5211</v>
      </c>
      <c r="D751" s="76" t="str">
        <f>IFERROR(__xludf.DUMMYFUNCTION("""COMPUTED_VALUE"""),"TR")</f>
        <v>TR</v>
      </c>
      <c r="E751" s="84">
        <f>IFERROR(__xludf.DUMMYFUNCTION("""COMPUTED_VALUE"""),46170.4875)</f>
        <v>46170.4875</v>
      </c>
      <c r="F751" s="86">
        <f>IFERROR(__xludf.DUMMYFUNCTION("""COMPUTED_VALUE"""),46169.73827858797)</f>
        <v>46169.73828</v>
      </c>
      <c r="G751" s="86" t="str">
        <f>IFERROR(__xludf.DUMMYFUNCTION("""COMPUTED_VALUE"""),"Done")</f>
        <v>Done</v>
      </c>
      <c r="H751" s="88">
        <f>IFERROR(__xludf.DUMMYFUNCTION("""COMPUTED_VALUE"""),0.0)</f>
        <v>0</v>
      </c>
      <c r="I751" s="90" t="str">
        <f>IFERROR(__xludf.DUMMYFUNCTION("""COMPUTED_VALUE"""),"EMP0042 HULESHWAR KUMAR SAHU")</f>
        <v>EMP0042 HULESHWAR KUMAR SAHU</v>
      </c>
      <c r="J751" s="91"/>
    </row>
    <row r="752">
      <c r="B752" s="76" t="str">
        <f>IFERROR(__xludf.DUMMYFUNCTION("""COMPUTED_VALUE"""),"Check api id from database and download jrmxl file                                    ")</f>
        <v>Check api id from database and download jrmxl file                                    </v>
      </c>
      <c r="C752" s="82">
        <f>IFERROR(__xludf.DUMMYFUNCTION("""COMPUTED_VALUE"""),5212.0)</f>
        <v>5212</v>
      </c>
      <c r="D752" s="76" t="str">
        <f>IFERROR(__xludf.DUMMYFUNCTION("""COMPUTED_VALUE"""),"Examination Report")</f>
        <v>Examination Report</v>
      </c>
      <c r="E752" s="84">
        <f>IFERROR(__xludf.DUMMYFUNCTION("""COMPUTED_VALUE"""),46170.71027516204)</f>
        <v>46170.71028</v>
      </c>
      <c r="F752" s="86">
        <f>IFERROR(__xludf.DUMMYFUNCTION("""COMPUTED_VALUE"""),46170.588804224535)</f>
        <v>46170.5888</v>
      </c>
      <c r="G752" s="86" t="str">
        <f>IFERROR(__xludf.DUMMYFUNCTION("""COMPUTED_VALUE"""),"Done")</f>
        <v>Done</v>
      </c>
      <c r="H752" s="88">
        <f>IFERROR(__xludf.DUMMYFUNCTION("""COMPUTED_VALUE"""),0.0)</f>
        <v>0</v>
      </c>
      <c r="I752" s="90" t="str">
        <f>IFERROR(__xludf.DUMMYFUNCTION("""COMPUTED_VALUE"""),"EMP0042 HULESHWAR KUMAR SAHU")</f>
        <v>EMP0042 HULESHWAR KUMAR SAHU</v>
      </c>
      <c r="J752" s="91"/>
    </row>
    <row r="753">
      <c r="B753" s="76" t="str">
        <f>IFERROR(__xludf.DUMMYFUNCTION("""COMPUTED_VALUE"""),"Check api id from database and download jrmxl file                                    ")</f>
        <v>Check api id from database and download jrmxl file                                    </v>
      </c>
      <c r="C753" s="82">
        <f>IFERROR(__xludf.DUMMYFUNCTION("""COMPUTED_VALUE"""),5213.0)</f>
        <v>5213</v>
      </c>
      <c r="D753" s="76" t="str">
        <f>IFERROR(__xludf.DUMMYFUNCTION("""COMPUTED_VALUE"""),"Attestation Sheet")</f>
        <v>Attestation Sheet</v>
      </c>
      <c r="E753" s="84">
        <f>IFERROR(__xludf.DUMMYFUNCTION("""COMPUTED_VALUE"""),46170.79386813657)</f>
        <v>46170.79387</v>
      </c>
      <c r="F753" s="86">
        <f>IFERROR(__xludf.DUMMYFUNCTION("""COMPUTED_VALUE"""),46170.66992032408)</f>
        <v>46170.66992</v>
      </c>
      <c r="G753" s="86" t="str">
        <f>IFERROR(__xludf.DUMMYFUNCTION("""COMPUTED_VALUE"""),"Done")</f>
        <v>Done</v>
      </c>
      <c r="H753" s="88">
        <f>IFERROR(__xludf.DUMMYFUNCTION("""COMPUTED_VALUE"""),0.0)</f>
        <v>0</v>
      </c>
      <c r="I753" s="90" t="str">
        <f>IFERROR(__xludf.DUMMYFUNCTION("""COMPUTED_VALUE"""),"EMP5009 Rup Kumar Mandal")</f>
        <v>EMP5009 Rup Kumar Mandal</v>
      </c>
      <c r="J753" s="91"/>
    </row>
    <row r="754">
      <c r="B754" s="76" t="str">
        <f>IFERROR(__xludf.DUMMYFUNCTION("""COMPUTED_VALUE"""),"Check api id from database and download jrmxl file                                    ")</f>
        <v>Check api id from database and download jrmxl file                                    </v>
      </c>
      <c r="C754" s="82">
        <f>IFERROR(__xludf.DUMMYFUNCTION("""COMPUTED_VALUE"""),5214.0)</f>
        <v>5214</v>
      </c>
      <c r="D754" s="76" t="str">
        <f>IFERROR(__xludf.DUMMYFUNCTION("""COMPUTED_VALUE"""),"seating plan report")</f>
        <v>seating plan report</v>
      </c>
      <c r="E754" s="84">
        <f>IFERROR(__xludf.DUMMYFUNCTION("""COMPUTED_VALUE"""),46170.79488118056)</f>
        <v>46170.79488</v>
      </c>
      <c r="F754" s="86">
        <f>IFERROR(__xludf.DUMMYFUNCTION("""COMPUTED_VALUE"""),46170.6699396412)</f>
        <v>46170.66994</v>
      </c>
      <c r="G754" s="86" t="str">
        <f>IFERROR(__xludf.DUMMYFUNCTION("""COMPUTED_VALUE"""),"Done")</f>
        <v>Done</v>
      </c>
      <c r="H754" s="88">
        <f>IFERROR(__xludf.DUMMYFUNCTION("""COMPUTED_VALUE"""),0.0)</f>
        <v>0</v>
      </c>
      <c r="I754" s="90" t="str">
        <f>IFERROR(__xludf.DUMMYFUNCTION("""COMPUTED_VALUE"""),"EMP5009 Rup Kumar Mandal")</f>
        <v>EMP5009 Rup Kumar Mandal</v>
      </c>
      <c r="J754" s="91"/>
    </row>
    <row r="755">
      <c r="B755" s="76" t="str">
        <f>IFERROR(__xludf.DUMMYFUNCTION("""COMPUTED_VALUE"""),"Check api id from database and download jrmxl file                                    ")</f>
        <v>Check api id from database and download jrmxl file                                    </v>
      </c>
      <c r="C755" s="82">
        <f>IFERROR(__xludf.DUMMYFUNCTION("""COMPUTED_VALUE"""),5215.0)</f>
        <v>5215</v>
      </c>
      <c r="D755" s="76" t="str">
        <f>IFERROR(__xludf.DUMMYFUNCTION("""COMPUTED_VALUE"""),"admit card")</f>
        <v>admit card</v>
      </c>
      <c r="E755" s="84">
        <f>IFERROR(__xludf.DUMMYFUNCTION("""COMPUTED_VALUE"""),46170.79566310185)</f>
        <v>46170.79566</v>
      </c>
      <c r="F755" s="86">
        <f>IFERROR(__xludf.DUMMYFUNCTION("""COMPUTED_VALUE"""),46170.66995984954)</f>
        <v>46170.66996</v>
      </c>
      <c r="G755" s="86" t="str">
        <f>IFERROR(__xludf.DUMMYFUNCTION("""COMPUTED_VALUE"""),"Done")</f>
        <v>Done</v>
      </c>
      <c r="H755" s="88">
        <f>IFERROR(__xludf.DUMMYFUNCTION("""COMPUTED_VALUE"""),0.0)</f>
        <v>0</v>
      </c>
      <c r="I755" s="90" t="str">
        <f>IFERROR(__xludf.DUMMYFUNCTION("""COMPUTED_VALUE"""),"EMP0021 Tamanna Dewangan")</f>
        <v>EMP0021 Tamanna Dewangan</v>
      </c>
      <c r="J755" s="91"/>
    </row>
    <row r="756">
      <c r="B756" s="76" t="str">
        <f>IFERROR(__xludf.DUMMYFUNCTION("""COMPUTED_VALUE"""),"Check api id from database and download jrmxl file                                    ")</f>
        <v>Check api id from database and download jrmxl file                                    </v>
      </c>
      <c r="C756" s="82">
        <f>IFERROR(__xludf.DUMMYFUNCTION("""COMPUTED_VALUE"""),5216.0)</f>
        <v>5216</v>
      </c>
      <c r="D756" s="76" t="str">
        <f>IFERROR(__xludf.DUMMYFUNCTION("""COMPUTED_VALUE"""),"Table Sticker")</f>
        <v>Table Sticker</v>
      </c>
      <c r="E756" s="84">
        <f>IFERROR(__xludf.DUMMYFUNCTION("""COMPUTED_VALUE"""),46170.826381238425)</f>
        <v>46170.82638</v>
      </c>
      <c r="F756" s="86">
        <f>IFERROR(__xludf.DUMMYFUNCTION("""COMPUTED_VALUE"""),46170.669994062504)</f>
        <v>46170.66999</v>
      </c>
      <c r="G756" s="86" t="str">
        <f>IFERROR(__xludf.DUMMYFUNCTION("""COMPUTED_VALUE"""),"Done")</f>
        <v>Done</v>
      </c>
      <c r="H756" s="88">
        <f>IFERROR(__xludf.DUMMYFUNCTION("""COMPUTED_VALUE"""),0.0)</f>
        <v>0</v>
      </c>
      <c r="I756" s="90" t="str">
        <f>IFERROR(__xludf.DUMMYFUNCTION("""COMPUTED_VALUE"""),"EMP0042 HULESHWAR KUMAR SAHU")</f>
        <v>EMP0042 HULESHWAR KUMAR SAHU</v>
      </c>
      <c r="J756" s="91"/>
    </row>
    <row r="757">
      <c r="B757" s="76" t="str">
        <f>IFERROR(__xludf.DUMMYFUNCTION("""COMPUTED_VALUE"""),"Check api id from database and download jrmxl file                                    ")</f>
        <v>Check api id from database and download jrmxl file                                    </v>
      </c>
      <c r="C757" s="82">
        <f>IFERROR(__xludf.DUMMYFUNCTION("""COMPUTED_VALUE"""),5217.0)</f>
        <v>5217</v>
      </c>
      <c r="D757" s="76" t="str">
        <f>IFERROR(__xludf.DUMMYFUNCTION("""COMPUTED_VALUE"""),"DISPATCH_CHALLAN")</f>
        <v>DISPATCH_CHALLAN</v>
      </c>
      <c r="E757" s="84">
        <f>IFERROR(__xludf.DUMMYFUNCTION("""COMPUTED_VALUE"""),46171.461805555555)</f>
        <v>46171.46181</v>
      </c>
      <c r="F757" s="86">
        <f>IFERROR(__xludf.DUMMYFUNCTION("""COMPUTED_VALUE"""),46170.724300891205)</f>
        <v>46170.7243</v>
      </c>
      <c r="G757" s="86" t="str">
        <f>IFERROR(__xludf.DUMMYFUNCTION("""COMPUTED_VALUE"""),"Done")</f>
        <v>Done</v>
      </c>
      <c r="H757" s="88">
        <f>IFERROR(__xludf.DUMMYFUNCTION("""COMPUTED_VALUE"""),0.0)</f>
        <v>0</v>
      </c>
      <c r="I757" s="90" t="str">
        <f>IFERROR(__xludf.DUMMYFUNCTION("""COMPUTED_VALUE"""),"EMP5009 Rup Kumar Mandal")</f>
        <v>EMP5009 Rup Kumar Mandal</v>
      </c>
      <c r="J757" s="91"/>
    </row>
    <row r="758">
      <c r="B758" s="76" t="str">
        <f>IFERROR(__xludf.DUMMYFUNCTION("""COMPUTED_VALUE"""),"Check api id from database and download jrmxl file                                    ")</f>
        <v>Check api id from database and download jrmxl file                                    </v>
      </c>
      <c r="C758" s="82">
        <f>IFERROR(__xludf.DUMMYFUNCTION("""COMPUTED_VALUE"""),5218.0)</f>
        <v>5218</v>
      </c>
      <c r="D758" s="76" t="str">
        <f>IFERROR(__xludf.DUMMYFUNCTION("""COMPUTED_VALUE"""),"Top sheet after attendance entry")</f>
        <v>Top sheet after attendance entry</v>
      </c>
      <c r="E758" s="84">
        <f>IFERROR(__xludf.DUMMYFUNCTION("""COMPUTED_VALUE"""),46171.464583333334)</f>
        <v>46171.46458</v>
      </c>
      <c r="F758" s="86">
        <f>IFERROR(__xludf.DUMMYFUNCTION("""COMPUTED_VALUE"""),46170.724300891205)</f>
        <v>46170.7243</v>
      </c>
      <c r="G758" s="86" t="str">
        <f>IFERROR(__xludf.DUMMYFUNCTION("""COMPUTED_VALUE"""),"Done")</f>
        <v>Done</v>
      </c>
      <c r="H758" s="88">
        <f>IFERROR(__xludf.DUMMYFUNCTION("""COMPUTED_VALUE"""),0.0)</f>
        <v>0</v>
      </c>
      <c r="I758" s="90" t="str">
        <f>IFERROR(__xludf.DUMMYFUNCTION("""COMPUTED_VALUE"""),"EMP5009 Rup Kumar Mandal")</f>
        <v>EMP5009 Rup Kumar Mandal</v>
      </c>
      <c r="J758" s="91"/>
    </row>
    <row r="759">
      <c r="B759" s="76" t="str">
        <f>IFERROR(__xludf.DUMMYFUNCTION("""COMPUTED_VALUE"""),"Check api id from database and download jrmxl file                                    ")</f>
        <v>Check api id from database and download jrmxl file                                    </v>
      </c>
      <c r="C759" s="82">
        <f>IFERROR(__xludf.DUMMYFUNCTION("""COMPUTED_VALUE"""),5219.0)</f>
        <v>5219</v>
      </c>
      <c r="D759" s="76" t="str">
        <f>IFERROR(__xludf.DUMMYFUNCTION("""COMPUTED_VALUE"""),"Top sheet before attendance sheet")</f>
        <v>Top sheet before attendance sheet</v>
      </c>
      <c r="E759" s="84">
        <f>IFERROR(__xludf.DUMMYFUNCTION("""COMPUTED_VALUE"""),46171.46666666667)</f>
        <v>46171.46667</v>
      </c>
      <c r="F759" s="86">
        <f>IFERROR(__xludf.DUMMYFUNCTION("""COMPUTED_VALUE"""),46170.7243059375)</f>
        <v>46170.72431</v>
      </c>
      <c r="G759" s="86" t="str">
        <f>IFERROR(__xludf.DUMMYFUNCTION("""COMPUTED_VALUE"""),"Done")</f>
        <v>Done</v>
      </c>
      <c r="H759" s="88">
        <f>IFERROR(__xludf.DUMMYFUNCTION("""COMPUTED_VALUE"""),0.0)</f>
        <v>0</v>
      </c>
      <c r="I759" s="90" t="str">
        <f>IFERROR(__xludf.DUMMYFUNCTION("""COMPUTED_VALUE"""),"EMP5009 Rup Kumar Mandal")</f>
        <v>EMP5009 Rup Kumar Mandal</v>
      </c>
      <c r="J759" s="91"/>
    </row>
    <row r="760">
      <c r="B760" s="76" t="str">
        <f>IFERROR(__xludf.DUMMYFUNCTION("""COMPUTED_VALUE"""),"Check api id from database and download jrmxl file                                    ")</f>
        <v>Check api id from database and download jrmxl file                                    </v>
      </c>
      <c r="C760" s="82">
        <f>IFERROR(__xludf.DUMMYFUNCTION("""COMPUTED_VALUE"""),5220.0)</f>
        <v>5220</v>
      </c>
      <c r="D760" s="76" t="str">
        <f>IFERROR(__xludf.DUMMYFUNCTION("""COMPUTED_VALUE"""),"B.Pharm 4th Semester Examination 2025 (II), Medicinal Chemistry I – Practical ( BP406P ) students marks missing. Session - 2024-25 (S),")</f>
        <v>B.Pharm 4th Semester Examination 2025 (II), Medicinal Chemistry I – Practical ( BP406P ) students marks missing. Session - 2024-25 (S),</v>
      </c>
      <c r="E760" s="84">
        <f>IFERROR(__xludf.DUMMYFUNCTION("""COMPUTED_VALUE"""),46171.54583333334)</f>
        <v>46171.54583</v>
      </c>
      <c r="F760" s="86">
        <f>IFERROR(__xludf.DUMMYFUNCTION("""COMPUTED_VALUE"""),46171.458499259264)</f>
        <v>46171.4585</v>
      </c>
      <c r="G760" s="86" t="str">
        <f>IFERROR(__xludf.DUMMYFUNCTION("""COMPUTED_VALUE"""),"Done")</f>
        <v>Done</v>
      </c>
      <c r="H760" s="88">
        <f>IFERROR(__xludf.DUMMYFUNCTION("""COMPUTED_VALUE"""),0.0)</f>
        <v>0</v>
      </c>
      <c r="I760" s="90" t="str">
        <f>IFERROR(__xludf.DUMMYFUNCTION("""COMPUTED_VALUE"""),"EMP0021 Tamanna Dewangan")</f>
        <v>EMP0021 Tamanna Dewangan</v>
      </c>
      <c r="J760" s="91"/>
    </row>
    <row r="761">
      <c r="B761" s="76" t="str">
        <f>IFERROR(__xludf.DUMMYFUNCTION("""COMPUTED_VALUE"""),"Check api id from database and download jrmxl file                                    ")</f>
        <v>Check api id from database and download jrmxl file                                    </v>
      </c>
      <c r="C761" s="82">
        <f>IFERROR(__xludf.DUMMYFUNCTION("""COMPUTED_VALUE"""),5221.0)</f>
        <v>5221</v>
      </c>
      <c r="D761" s="76" t="str">
        <f>IFERROR(__xludf.DUMMYFUNCTION("""COMPUTED_VALUE"""),"TR REPORT NEP")</f>
        <v>TR REPORT NEP</v>
      </c>
      <c r="E761" s="84">
        <f>IFERROR(__xludf.DUMMYFUNCTION("""COMPUTED_VALUE"""),46171.64036253472)</f>
        <v>46171.64036</v>
      </c>
      <c r="F761" s="86">
        <f>IFERROR(__xludf.DUMMYFUNCTION("""COMPUTED_VALUE"""),46171.477008877315)</f>
        <v>46171.47701</v>
      </c>
      <c r="G761" s="86" t="str">
        <f>IFERROR(__xludf.DUMMYFUNCTION("""COMPUTED_VALUE"""),"Done")</f>
        <v>Done</v>
      </c>
      <c r="H761" s="88">
        <f>IFERROR(__xludf.DUMMYFUNCTION("""COMPUTED_VALUE"""),0.0)</f>
        <v>0</v>
      </c>
      <c r="I761" s="90" t="str">
        <f>IFERROR(__xludf.DUMMYFUNCTION("""COMPUTED_VALUE"""),"EMP5009 Rup Kumar Mandal")</f>
        <v>EMP5009 Rup Kumar Mandal</v>
      </c>
      <c r="J761" s="91"/>
    </row>
    <row r="762">
      <c r="B762" s="76" t="str">
        <f>IFERROR(__xludf.DUMMYFUNCTION("""COMPUTED_VALUE"""),"Check api id from database and download jrmxl file                                    ")</f>
        <v>Check api id from database and download jrmxl file                                    </v>
      </c>
      <c r="C762" s="82">
        <f>IFERROR(__xludf.DUMMYFUNCTION("""COMPUTED_VALUE"""),5222.0)</f>
        <v>5222</v>
      </c>
      <c r="D762" s="76" t="str">
        <f>IFERROR(__xludf.DUMMYFUNCTION("""COMPUTED_VALUE"""),"COLLAGE WISE COURSE WILSE FORM LIVE")</f>
        <v>COLLAGE WISE COURSE WILSE FORM LIVE</v>
      </c>
      <c r="E762" s="84">
        <f>IFERROR(__xludf.DUMMYFUNCTION("""COMPUTED_VALUE"""),46171.66725172453)</f>
        <v>46171.66725</v>
      </c>
      <c r="F762" s="86">
        <f>IFERROR(__xludf.DUMMYFUNCTION("""COMPUTED_VALUE"""),46171.52672976851)</f>
        <v>46171.52673</v>
      </c>
      <c r="G762" s="86" t="str">
        <f>IFERROR(__xludf.DUMMYFUNCTION("""COMPUTED_VALUE"""),"Done")</f>
        <v>Done</v>
      </c>
      <c r="H762" s="88">
        <f>IFERROR(__xludf.DUMMYFUNCTION("""COMPUTED_VALUE"""),0.0)</f>
        <v>0</v>
      </c>
      <c r="I762" s="90" t="str">
        <f>IFERROR(__xludf.DUMMYFUNCTION("""COMPUTED_VALUE"""),"EMP5009 Rup Kumar Mandal")</f>
        <v>EMP5009 Rup Kumar Mandal</v>
      </c>
      <c r="J762" s="91"/>
    </row>
    <row r="763">
      <c r="B763" s="76" t="str">
        <f>IFERROR(__xludf.DUMMYFUNCTION("""COMPUTED_VALUE"""),"Check api id from database and download jrmxl file                                    ")</f>
        <v>Check api id from database and download jrmxl file                                    </v>
      </c>
      <c r="C763" s="82">
        <f>IFERROR(__xludf.DUMMYFUNCTION("""COMPUTED_VALUE"""),5223.0)</f>
        <v>5223</v>
      </c>
      <c r="D763" s="76" t="str">
        <f>IFERROR(__xludf.DUMMYFUNCTION("""COMPUTED_VALUE"""),"CBCS EARN CREDIT REPORT")</f>
        <v>CBCS EARN CREDIT REPORT</v>
      </c>
      <c r="E763" s="84">
        <f>IFERROR(__xludf.DUMMYFUNCTION("""COMPUTED_VALUE"""),46171.817789305554)</f>
        <v>46171.81779</v>
      </c>
      <c r="F763" s="86">
        <f>IFERROR(__xludf.DUMMYFUNCTION("""COMPUTED_VALUE"""),46171.66214738426)</f>
        <v>46171.66215</v>
      </c>
      <c r="G763" s="86" t="str">
        <f>IFERROR(__xludf.DUMMYFUNCTION("""COMPUTED_VALUE"""),"Done")</f>
        <v>Done</v>
      </c>
      <c r="H763" s="88">
        <f>IFERROR(__xludf.DUMMYFUNCTION("""COMPUTED_VALUE"""),0.0)</f>
        <v>0</v>
      </c>
      <c r="I763" s="90" t="str">
        <f>IFERROR(__xludf.DUMMYFUNCTION("""COMPUTED_VALUE"""),"EMP0042 HULESHWAR KUMAR SAHU")</f>
        <v>EMP0042 HULESHWAR KUMAR SAHU</v>
      </c>
      <c r="J763" s="91"/>
    </row>
    <row r="764">
      <c r="B764" s="76" t="str">
        <f>IFERROR(__xludf.DUMMYFUNCTION("""COMPUTED_VALUE"""),"Check api id from database and download jrmxl file                                    ")</f>
        <v>Check api id from database and download jrmxl file                                    </v>
      </c>
      <c r="C764" s="82">
        <f>IFERROR(__xludf.DUMMYFUNCTION("""COMPUTED_VALUE"""),5224.0)</f>
        <v>5224</v>
      </c>
      <c r="D764" s="76" t="str">
        <f>IFERROR(__xludf.DUMMYFUNCTION("""COMPUTED_VALUE"""),"Bachelor of Pharmacy (LATERAL ENTRY) 7th sem. report generated problem.")</f>
        <v>Bachelor of Pharmacy (LATERAL ENTRY) 7th sem. report generated problem.</v>
      </c>
      <c r="E764" s="84">
        <f>IFERROR(__xludf.DUMMYFUNCTION("""COMPUTED_VALUE"""),46172.441666666666)</f>
        <v>46172.44167</v>
      </c>
      <c r="F764" s="86">
        <f>IFERROR(__xludf.DUMMYFUNCTION("""COMPUTED_VALUE"""),46171.73699537037)</f>
        <v>46171.737</v>
      </c>
      <c r="G764" s="86" t="str">
        <f>IFERROR(__xludf.DUMMYFUNCTION("""COMPUTED_VALUE"""),"Done")</f>
        <v>Done</v>
      </c>
      <c r="H764" s="88">
        <f>IFERROR(__xludf.DUMMYFUNCTION("""COMPUTED_VALUE"""),0.0)</f>
        <v>0</v>
      </c>
      <c r="I764" s="90" t="str">
        <f>IFERROR(__xludf.DUMMYFUNCTION("""COMPUTED_VALUE"""),"EMP5009 Rup Kumar Mandal")</f>
        <v>EMP5009 Rup Kumar Mandal</v>
      </c>
      <c r="J764" s="91"/>
    </row>
    <row r="765">
      <c r="B765" s="76" t="str">
        <f>IFERROR(__xludf.DUMMYFUNCTION("""COMPUTED_VALUE"""),"Check api id from database and download jrmxl file                                    ")</f>
        <v>Check api id from database and download jrmxl file                                    </v>
      </c>
      <c r="C765" s="82">
        <f>IFERROR(__xludf.DUMMYFUNCTION("""COMPUTED_VALUE"""),5225.0)</f>
        <v>5225</v>
      </c>
      <c r="D765" s="76" t="str">
        <f>IFERROR(__xludf.DUMMYFUNCTION("""COMPUTED_VALUE"""),"Question Paper Packet slip Date Wise")</f>
        <v>Question Paper Packet slip Date Wise</v>
      </c>
      <c r="E765" s="84">
        <f>IFERROR(__xludf.DUMMYFUNCTION("""COMPUTED_VALUE"""),46174.66089175926)</f>
        <v>46174.66089</v>
      </c>
      <c r="F765" s="86">
        <f>IFERROR(__xludf.DUMMYFUNCTION("""COMPUTED_VALUE"""),46174.74623060185)</f>
        <v>46174.74623</v>
      </c>
      <c r="G765" s="86" t="str">
        <f>IFERROR(__xludf.DUMMYFUNCTION("""COMPUTED_VALUE"""),"Done")</f>
        <v>Done</v>
      </c>
      <c r="H765" s="88">
        <f>IFERROR(__xludf.DUMMYFUNCTION("""COMPUTED_VALUE"""),0.08533884259378369)</f>
        <v>0.08533884259</v>
      </c>
      <c r="I765" s="90" t="str">
        <f>IFERROR(__xludf.DUMMYFUNCTION("""COMPUTED_VALUE"""),"EMP0237 Swarnendu Chakraborty")</f>
        <v>EMP0237 Swarnendu Chakraborty</v>
      </c>
      <c r="J765" s="91"/>
    </row>
    <row r="766">
      <c r="B766" s="76" t="str">
        <f>IFERROR(__xludf.DUMMYFUNCTION("""COMPUTED_VALUE"""),"Check api id from database and download jrmxl file                                    ")</f>
        <v>Check api id from database and download jrmxl file                                    </v>
      </c>
      <c r="C766" s="82">
        <f>IFERROR(__xludf.DUMMYFUNCTION("""COMPUTED_VALUE"""),5226.0)</f>
        <v>5226</v>
      </c>
      <c r="D766" s="76" t="str">
        <f>IFERROR(__xludf.DUMMYFUNCTION("""COMPUTED_VALUE"""),"MULTIPLE REPORT")</f>
        <v>MULTIPLE REPORT</v>
      </c>
      <c r="E766" s="84">
        <f>IFERROR(__xludf.DUMMYFUNCTION("""COMPUTED_VALUE"""),46174.68435473379)</f>
        <v>46174.68435</v>
      </c>
      <c r="F766" s="86">
        <f>IFERROR(__xludf.DUMMYFUNCTION("""COMPUTED_VALUE"""),46174.74625189814)</f>
        <v>46174.74625</v>
      </c>
      <c r="G766" s="86" t="str">
        <f>IFERROR(__xludf.DUMMYFUNCTION("""COMPUTED_VALUE"""),"Done")</f>
        <v>Done</v>
      </c>
      <c r="H766" s="88">
        <f>IFERROR(__xludf.DUMMYFUNCTION("""COMPUTED_VALUE"""),0.061897164350337375)</f>
        <v>0.06189716435</v>
      </c>
      <c r="I766" s="90" t="str">
        <f>IFERROR(__xludf.DUMMYFUNCTION("""COMPUTED_VALUE"""),"EMP0237 Swarnendu Chakraborty")</f>
        <v>EMP0237 Swarnendu Chakraborty</v>
      </c>
      <c r="J766" s="91"/>
    </row>
    <row r="767">
      <c r="B767" s="76" t="str">
        <f>IFERROR(__xludf.DUMMYFUNCTION("""COMPUTED_VALUE"""),"Check api id from database and download jrmxl file                                    ")</f>
        <v>Check api id from database and download jrmxl file                                    </v>
      </c>
      <c r="C767" s="82">
        <f>IFERROR(__xludf.DUMMYFUNCTION("""COMPUTED_VALUE"""),5227.0)</f>
        <v>5227</v>
      </c>
      <c r="D767" s="76" t="str">
        <f>IFERROR(__xludf.DUMMYFUNCTION("""COMPUTED_VALUE"""),"B.COM 1ST SEM REAPPEAR  DATA NOT SHOWN IN TR")</f>
        <v>B.COM 1ST SEM REAPPEAR  DATA NOT SHOWN IN TR</v>
      </c>
      <c r="E767" s="84">
        <f>IFERROR(__xludf.DUMMYFUNCTION("""COMPUTED_VALUE"""),46175.83035751157)</f>
        <v>46175.83036</v>
      </c>
      <c r="F767" s="86">
        <f>IFERROR(__xludf.DUMMYFUNCTION("""COMPUTED_VALUE"""),46175.66715138889)</f>
        <v>46175.66715</v>
      </c>
      <c r="G767" s="86" t="str">
        <f>IFERROR(__xludf.DUMMYFUNCTION("""COMPUTED_VALUE"""),"Done")</f>
        <v>Done</v>
      </c>
      <c r="H767" s="88">
        <f>IFERROR(__xludf.DUMMYFUNCTION("""COMPUTED_VALUE"""),0.0)</f>
        <v>0</v>
      </c>
      <c r="I767" s="90" t="str">
        <f>IFERROR(__xludf.DUMMYFUNCTION("""COMPUTED_VALUE"""),"EMP5009 Rup Kumar Mandal")</f>
        <v>EMP5009 Rup Kumar Mandal</v>
      </c>
      <c r="J767" s="91"/>
    </row>
    <row r="768">
      <c r="B768" s="76" t="str">
        <f>IFERROR(__xludf.DUMMYFUNCTION("""COMPUTED_VALUE"""),"Check api id from database and download jrmxl file                                    ")</f>
        <v>Check api id from database and download jrmxl file                                    </v>
      </c>
      <c r="C768" s="82">
        <f>IFERROR(__xludf.DUMMYFUNCTION("""COMPUTED_VALUE"""),5228.0)</f>
        <v>5228</v>
      </c>
      <c r="D768" s="76" t="str">
        <f>IFERROR(__xludf.DUMMYFUNCTION("""COMPUTED_VALUE"""),"pattern status report.")</f>
        <v>pattern status report.</v>
      </c>
      <c r="E768" s="84">
        <f>IFERROR(__xludf.DUMMYFUNCTION("""COMPUTED_VALUE"""),46176.42708333333)</f>
        <v>46176.42708</v>
      </c>
      <c r="F768" s="86">
        <f>IFERROR(__xludf.DUMMYFUNCTION("""COMPUTED_VALUE"""),46175.67687836806)</f>
        <v>46175.67688</v>
      </c>
      <c r="G768" s="86" t="str">
        <f>IFERROR(__xludf.DUMMYFUNCTION("""COMPUTED_VALUE"""),"Done")</f>
        <v>Done</v>
      </c>
      <c r="H768" s="88">
        <f>IFERROR(__xludf.DUMMYFUNCTION("""COMPUTED_VALUE"""),0.0)</f>
        <v>0</v>
      </c>
      <c r="I768" s="90" t="str">
        <f>IFERROR(__xludf.DUMMYFUNCTION("""COMPUTED_VALUE"""),"EMP5009 Rup Kumar Mandal")</f>
        <v>EMP5009 Rup Kumar Mandal</v>
      </c>
      <c r="J768" s="91"/>
    </row>
    <row r="769">
      <c r="B769" s="76" t="str">
        <f>IFERROR(__xludf.DUMMYFUNCTION("""COMPUTED_VALUE"""),"Check api id from database and download jrmxl file                                    ")</f>
        <v>Check api id from database and download jrmxl file                                    </v>
      </c>
      <c r="C769" s="82">
        <f>IFERROR(__xludf.DUMMYFUNCTION("""COMPUTED_VALUE"""),5229.0)</f>
        <v>5229</v>
      </c>
      <c r="D769" s="76" t="str">
        <f>IFERROR(__xludf.DUMMYFUNCTION("""COMPUTED_VALUE"""),"correctuon in marksheet")</f>
        <v>correctuon in marksheet</v>
      </c>
      <c r="E769" s="84">
        <f>IFERROR(__xludf.DUMMYFUNCTION("""COMPUTED_VALUE"""),46176.429861111115)</f>
        <v>46176.42986</v>
      </c>
      <c r="F769" s="86">
        <f>IFERROR(__xludf.DUMMYFUNCTION("""COMPUTED_VALUE"""),46175.676885775465)</f>
        <v>46175.67689</v>
      </c>
      <c r="G769" s="86" t="str">
        <f>IFERROR(__xludf.DUMMYFUNCTION("""COMPUTED_VALUE"""),"Done")</f>
        <v>Done</v>
      </c>
      <c r="H769" s="88">
        <f>IFERROR(__xludf.DUMMYFUNCTION("""COMPUTED_VALUE"""),0.0)</f>
        <v>0</v>
      </c>
      <c r="I769" s="90" t="str">
        <f>IFERROR(__xludf.DUMMYFUNCTION("""COMPUTED_VALUE"""),"EMP0237 Swarnendu Chakraborty")</f>
        <v>EMP0237 Swarnendu Chakraborty</v>
      </c>
      <c r="J769" s="91"/>
    </row>
    <row r="770">
      <c r="B770" s="76" t="str">
        <f>IFERROR(__xludf.DUMMYFUNCTION("""COMPUTED_VALUE"""),"Check api id from database and download jrmxl file                                    ")</f>
        <v>Check api id from database and download jrmxl file                                    </v>
      </c>
      <c r="C770" s="82">
        <f>IFERROR(__xludf.DUMMYFUNCTION("""COMPUTED_VALUE"""),5230.0)</f>
        <v>5230</v>
      </c>
      <c r="D770" s="76" t="str">
        <f>IFERROR(__xludf.DUMMYFUNCTION("""COMPUTED_VALUE"""),"TR")</f>
        <v>TR</v>
      </c>
      <c r="E770" s="84">
        <f>IFERROR(__xludf.DUMMYFUNCTION("""COMPUTED_VALUE"""),46176.66968143518)</f>
        <v>46176.66968</v>
      </c>
      <c r="F770" s="86">
        <f>IFERROR(__xludf.DUMMYFUNCTION("""COMPUTED_VALUE"""),46176.50808759259)</f>
        <v>46176.50809</v>
      </c>
      <c r="G770" s="86" t="str">
        <f>IFERROR(__xludf.DUMMYFUNCTION("""COMPUTED_VALUE"""),"Done")</f>
        <v>Done</v>
      </c>
      <c r="H770" s="88">
        <f>IFERROR(__xludf.DUMMYFUNCTION("""COMPUTED_VALUE"""),0.0)</f>
        <v>0</v>
      </c>
      <c r="I770" s="90" t="str">
        <f>IFERROR(__xludf.DUMMYFUNCTION("""COMPUTED_VALUE"""),"EMP0021 Tamanna Dewangan")</f>
        <v>EMP0021 Tamanna Dewangan</v>
      </c>
      <c r="J770" s="91"/>
    </row>
    <row r="771">
      <c r="B771" s="76" t="str">
        <f>IFERROR(__xludf.DUMMYFUNCTION("""COMPUTED_VALUE"""),"Check api id from database and download jrmxl file                                    ")</f>
        <v>Check api id from database and download jrmxl file                                    </v>
      </c>
      <c r="C771" s="82">
        <f>IFERROR(__xludf.DUMMYFUNCTION("""COMPUTED_VALUE"""),5231.0)</f>
        <v>5231</v>
      </c>
      <c r="D771" s="76" t="str">
        <f>IFERROR(__xludf.DUMMYFUNCTION("""COMPUTED_VALUE"""),"ADMIT CARD")</f>
        <v>ADMIT CARD</v>
      </c>
      <c r="E771" s="84">
        <f>IFERROR(__xludf.DUMMYFUNCTION("""COMPUTED_VALUE"""),46177.450694444444)</f>
        <v>46177.45069</v>
      </c>
      <c r="F771" s="86">
        <f>IFERROR(__xludf.DUMMYFUNCTION("""COMPUTED_VALUE"""),46176.746594328695)</f>
        <v>46176.74659</v>
      </c>
      <c r="G771" s="86" t="str">
        <f>IFERROR(__xludf.DUMMYFUNCTION("""COMPUTED_VALUE"""),"Done")</f>
        <v>Done</v>
      </c>
      <c r="H771" s="88">
        <f>IFERROR(__xludf.DUMMYFUNCTION("""COMPUTED_VALUE"""),0.0)</f>
        <v>0</v>
      </c>
      <c r="I771" s="90" t="str">
        <f>IFERROR(__xludf.DUMMYFUNCTION("""COMPUTED_VALUE"""),"EMP0042 HULESHWAR KUMAR SAHU")</f>
        <v>EMP0042 HULESHWAR KUMAR SAHU</v>
      </c>
      <c r="J771" s="91"/>
    </row>
    <row r="772">
      <c r="B772" s="76" t="str">
        <f>IFERROR(__xludf.DUMMYFUNCTION("""COMPUTED_VALUE"""),"Check api id from database and download jrmxl file                                    ")</f>
        <v>Check api id from database and download jrmxl file                                    </v>
      </c>
      <c r="C772" s="82">
        <f>IFERROR(__xludf.DUMMYFUNCTION("""COMPUTED_VALUE"""),5232.0)</f>
        <v>5232</v>
      </c>
      <c r="D772" s="76" t="str">
        <f>IFERROR(__xludf.DUMMYFUNCTION("""COMPUTED_VALUE"""),"Marksheet Paramedical")</f>
        <v>Marksheet Paramedical</v>
      </c>
      <c r="E772" s="84">
        <f>IFERROR(__xludf.DUMMYFUNCTION("""COMPUTED_VALUE"""),46177.45347222222)</f>
        <v>46177.45347</v>
      </c>
      <c r="F772" s="86">
        <f>IFERROR(__xludf.DUMMYFUNCTION("""COMPUTED_VALUE"""),46176.74660928241)</f>
        <v>46176.74661</v>
      </c>
      <c r="G772" s="86" t="str">
        <f>IFERROR(__xludf.DUMMYFUNCTION("""COMPUTED_VALUE"""),"Done")</f>
        <v>Done</v>
      </c>
      <c r="H772" s="88">
        <f>IFERROR(__xludf.DUMMYFUNCTION("""COMPUTED_VALUE"""),0.0)</f>
        <v>0</v>
      </c>
      <c r="I772" s="90" t="str">
        <f>IFERROR(__xludf.DUMMYFUNCTION("""COMPUTED_VALUE"""),"EMP0042 HULESHWAR KUMAR SAHU")</f>
        <v>EMP0042 HULESHWAR KUMAR SAHU</v>
      </c>
      <c r="J772" s="91"/>
    </row>
    <row r="773">
      <c r="B773" s="76" t="str">
        <f>IFERROR(__xludf.DUMMYFUNCTION("""COMPUTED_VALUE"""),"Check api id from database and download jrmxl file                                    ")</f>
        <v>Check api id from database and download jrmxl file                                    </v>
      </c>
      <c r="C773" s="82">
        <f>IFERROR(__xludf.DUMMYFUNCTION("""COMPUTED_VALUE"""),5233.0)</f>
        <v>5233</v>
      </c>
      <c r="D773" s="76" t="str">
        <f>IFERROR(__xludf.DUMMYFUNCTION("""COMPUTED_VALUE"""),"GRADE CARD AGRICULTURE")</f>
        <v>GRADE CARD AGRICULTURE</v>
      </c>
      <c r="E773" s="84">
        <f>IFERROR(__xludf.DUMMYFUNCTION("""COMPUTED_VALUE"""),46177.461111111115)</f>
        <v>46177.46111</v>
      </c>
      <c r="F773" s="86">
        <f>IFERROR(__xludf.DUMMYFUNCTION("""COMPUTED_VALUE"""),46176.74663422454)</f>
        <v>46176.74663</v>
      </c>
      <c r="G773" s="86" t="str">
        <f>IFERROR(__xludf.DUMMYFUNCTION("""COMPUTED_VALUE"""),"Done")</f>
        <v>Done</v>
      </c>
      <c r="H773" s="88">
        <f>IFERROR(__xludf.DUMMYFUNCTION("""COMPUTED_VALUE"""),0.0)</f>
        <v>0</v>
      </c>
      <c r="I773" s="90" t="str">
        <f>IFERROR(__xludf.DUMMYFUNCTION("""COMPUTED_VALUE"""),"EMP0237 Swarnendu Chakraborty")</f>
        <v>EMP0237 Swarnendu Chakraborty</v>
      </c>
      <c r="J773" s="91"/>
    </row>
    <row r="774">
      <c r="B774" s="76" t="str">
        <f>IFERROR(__xludf.DUMMYFUNCTION("""COMPUTED_VALUE"""),"Check api id from database and download jrmxl file                                    ")</f>
        <v>Check api id from database and download jrmxl file                                    </v>
      </c>
      <c r="C774" s="82">
        <f>IFERROR(__xludf.DUMMYFUNCTION("""COMPUTED_VALUE"""),5234.0)</f>
        <v>5234</v>
      </c>
      <c r="D774" s="76" t="str">
        <f>IFERROR(__xludf.DUMMYFUNCTION("""COMPUTED_VALUE"""),"Continuous Assesment Marks (PG Section)")</f>
        <v>Continuous Assesment Marks (PG Section)</v>
      </c>
      <c r="E774" s="84">
        <f>IFERROR(__xludf.DUMMYFUNCTION("""COMPUTED_VALUE"""),46177.820585787034)</f>
        <v>46177.82059</v>
      </c>
      <c r="F774" s="86">
        <f>IFERROR(__xludf.DUMMYFUNCTION("""COMPUTED_VALUE"""),46177.68726092593)</f>
        <v>46177.68726</v>
      </c>
      <c r="G774" s="86" t="str">
        <f>IFERROR(__xludf.DUMMYFUNCTION("""COMPUTED_VALUE"""),"Done")</f>
        <v>Done</v>
      </c>
      <c r="H774" s="88">
        <f>IFERROR(__xludf.DUMMYFUNCTION("""COMPUTED_VALUE"""),0.0)</f>
        <v>0</v>
      </c>
      <c r="I774" s="90" t="str">
        <f>IFERROR(__xludf.DUMMYFUNCTION("""COMPUTED_VALUE"""),"EMP0021 Tamanna Dewangan")</f>
        <v>EMP0021 Tamanna Dewangan</v>
      </c>
      <c r="J774" s="91"/>
    </row>
    <row r="775">
      <c r="B775" s="76" t="str">
        <f>IFERROR(__xludf.DUMMYFUNCTION("""COMPUTED_VALUE"""),"Check api id from database and download jrmxl file                                    ")</f>
        <v>Check api id from database and download jrmxl file                                    </v>
      </c>
      <c r="C775" s="82">
        <f>IFERROR(__xludf.DUMMYFUNCTION("""COMPUTED_VALUE"""),5235.0)</f>
        <v>5235</v>
      </c>
      <c r="D775" s="76" t="str">
        <f>IFERROR(__xludf.DUMMYFUNCTION("""COMPUTED_VALUE"""),"Multiple Report ")</f>
        <v>Multiple Report </v>
      </c>
      <c r="E775" s="84">
        <f>IFERROR(__xludf.DUMMYFUNCTION("""COMPUTED_VALUE"""),46178.64801034722)</f>
        <v>46178.64801</v>
      </c>
      <c r="F775" s="86">
        <f>IFERROR(__xludf.DUMMYFUNCTION("""COMPUTED_VALUE"""),46178.50725210648)</f>
        <v>46178.50725</v>
      </c>
      <c r="G775" s="86" t="str">
        <f>IFERROR(__xludf.DUMMYFUNCTION("""COMPUTED_VALUE"""),"Done")</f>
        <v>Done</v>
      </c>
      <c r="H775" s="88">
        <f>IFERROR(__xludf.DUMMYFUNCTION("""COMPUTED_VALUE"""),0.0)</f>
        <v>0</v>
      </c>
      <c r="I775" s="90" t="str">
        <f>IFERROR(__xludf.DUMMYFUNCTION("""COMPUTED_VALUE"""),"EMP0042 HULESHWAR KUMAR SAHU")</f>
        <v>EMP0042 HULESHWAR KUMAR SAHU</v>
      </c>
      <c r="J775" s="91"/>
    </row>
    <row r="776">
      <c r="B776" s="76" t="str">
        <f>IFERROR(__xludf.DUMMYFUNCTION("""COMPUTED_VALUE"""),"Check api id from database and download jrmxl file                                    ")</f>
        <v>Check api id from database and download jrmxl file                                    </v>
      </c>
      <c r="C776" s="82">
        <f>IFERROR(__xludf.DUMMYFUNCTION("""COMPUTED_VALUE"""),5236.0)</f>
        <v>5236</v>
      </c>
      <c r="D776" s="76" t="str">
        <f>IFERROR(__xludf.DUMMYFUNCTION("""COMPUTED_VALUE"""),"DESPATCH CHALLAN")</f>
        <v>DESPATCH CHALLAN</v>
      </c>
      <c r="E776" s="84">
        <f>IFERROR(__xludf.DUMMYFUNCTION("""COMPUTED_VALUE"""),46179.43125)</f>
        <v>46179.43125</v>
      </c>
      <c r="F776" s="86">
        <f>IFERROR(__xludf.DUMMYFUNCTION("""COMPUTED_VALUE"""),46178.721106504636)</f>
        <v>46178.72111</v>
      </c>
      <c r="G776" s="86" t="str">
        <f>IFERROR(__xludf.DUMMYFUNCTION("""COMPUTED_VALUE"""),"Done")</f>
        <v>Done</v>
      </c>
      <c r="H776" s="88">
        <f>IFERROR(__xludf.DUMMYFUNCTION("""COMPUTED_VALUE"""),0.0)</f>
        <v>0</v>
      </c>
      <c r="I776" s="90" t="str">
        <f>IFERROR(__xludf.DUMMYFUNCTION("""COMPUTED_VALUE"""),"EMP0021 Tamanna Dewangan")</f>
        <v>EMP0021 Tamanna Dewangan</v>
      </c>
      <c r="J776" s="91"/>
    </row>
    <row r="777">
      <c r="B777" s="76" t="str">
        <f>IFERROR(__xludf.DUMMYFUNCTION("""COMPUTED_VALUE"""),"Check api id from database and download jrmxl file                                    ")</f>
        <v>Check api id from database and download jrmxl file                                    </v>
      </c>
      <c r="C777" s="82">
        <f>IFERROR(__xludf.DUMMYFUNCTION("""COMPUTED_VALUE"""),5237.0)</f>
        <v>5237</v>
      </c>
      <c r="D777" s="76" t="str">
        <f>IFERROR(__xludf.DUMMYFUNCTION("""COMPUTED_VALUE"""),"Top sheet after attendance entry ")</f>
        <v>Top sheet after attendance entry </v>
      </c>
      <c r="E777" s="84">
        <f>IFERROR(__xludf.DUMMYFUNCTION("""COMPUTED_VALUE"""),46179.43472222222)</f>
        <v>46179.43472</v>
      </c>
      <c r="F777" s="86">
        <f>IFERROR(__xludf.DUMMYFUNCTION("""COMPUTED_VALUE"""),46178.72112505787)</f>
        <v>46178.72113</v>
      </c>
      <c r="G777" s="86" t="str">
        <f>IFERROR(__xludf.DUMMYFUNCTION("""COMPUTED_VALUE"""),"Done")</f>
        <v>Done</v>
      </c>
      <c r="H777" s="88">
        <f>IFERROR(__xludf.DUMMYFUNCTION("""COMPUTED_VALUE"""),0.0)</f>
        <v>0</v>
      </c>
      <c r="I777" s="90" t="str">
        <f>IFERROR(__xludf.DUMMYFUNCTION("""COMPUTED_VALUE"""),"EMP5009 Rup Kumar Mandal")</f>
        <v>EMP5009 Rup Kumar Mandal</v>
      </c>
      <c r="J777" s="91"/>
    </row>
    <row r="778">
      <c r="B778" s="76" t="str">
        <f>IFERROR(__xludf.DUMMYFUNCTION("""COMPUTED_VALUE"""),"Check api id from database and download jrmxl file                                    ")</f>
        <v>Check api id from database and download jrmxl file                                    </v>
      </c>
      <c r="C778" s="82">
        <f>IFERROR(__xludf.DUMMYFUNCTION("""COMPUTED_VALUE"""),5238.0)</f>
        <v>5238</v>
      </c>
      <c r="D778" s="76" t="str">
        <f>IFERROR(__xludf.DUMMYFUNCTION("""COMPUTED_VALUE"""),"TR")</f>
        <v>TR</v>
      </c>
      <c r="E778" s="84">
        <f>IFERROR(__xludf.DUMMYFUNCTION("""COMPUTED_VALUE"""),46181.433333333334)</f>
        <v>46181.43333</v>
      </c>
      <c r="F778" s="86">
        <f>IFERROR(__xludf.DUMMYFUNCTION("""COMPUTED_VALUE"""),46179.68802206018)</f>
        <v>46179.68802</v>
      </c>
      <c r="G778" s="86" t="str">
        <f>IFERROR(__xludf.DUMMYFUNCTION("""COMPUTED_VALUE"""),"Done")</f>
        <v>Done</v>
      </c>
      <c r="H778" s="88">
        <f>IFERROR(__xludf.DUMMYFUNCTION("""COMPUTED_VALUE"""),0.0)</f>
        <v>0</v>
      </c>
      <c r="I778" s="90" t="str">
        <f>IFERROR(__xludf.DUMMYFUNCTION("""COMPUTED_VALUE"""),"EMP5009 Rup Kumar Mandal")</f>
        <v>EMP5009 Rup Kumar Mandal</v>
      </c>
      <c r="J778" s="91"/>
    </row>
    <row r="779">
      <c r="B779" s="76" t="str">
        <f>IFERROR(__xludf.DUMMYFUNCTION("""COMPUTED_VALUE"""),"Check api id from database and download jrmxl file                                    ")</f>
        <v>Check api id from database and download jrmxl file                                    </v>
      </c>
      <c r="C779" s="82">
        <f>IFERROR(__xludf.DUMMYFUNCTION("""COMPUTED_VALUE"""),5239.0)</f>
        <v>5239</v>
      </c>
      <c r="D779" s="76" t="str">
        <f>IFERROR(__xludf.DUMMYFUNCTION("""COMPUTED_VALUE"""),"TR NEW AGRICULTURE AND ALL")</f>
        <v>TR NEW AGRICULTURE AND ALL</v>
      </c>
      <c r="E779" s="84">
        <f>IFERROR(__xludf.DUMMYFUNCTION("""COMPUTED_VALUE"""),46182.46875)</f>
        <v>46182.46875</v>
      </c>
      <c r="F779" s="86">
        <f>IFERROR(__xludf.DUMMYFUNCTION("""COMPUTED_VALUE"""),46182.45254142361)</f>
        <v>46182.45254</v>
      </c>
      <c r="G779" s="86" t="str">
        <f>IFERROR(__xludf.DUMMYFUNCTION("""COMPUTED_VALUE"""),"Done")</f>
        <v>Done</v>
      </c>
      <c r="H779" s="88">
        <f>IFERROR(__xludf.DUMMYFUNCTION("""COMPUTED_VALUE"""),0.0)</f>
        <v>0</v>
      </c>
      <c r="I779" s="90" t="str">
        <f>IFERROR(__xludf.DUMMYFUNCTION("""COMPUTED_VALUE"""),"EMP0042 HULESHWAR KUMAR SAHU")</f>
        <v>EMP0042 HULESHWAR KUMAR SAHU</v>
      </c>
      <c r="J779" s="91"/>
    </row>
    <row r="780">
      <c r="B780" s="76" t="str">
        <f>IFERROR(__xludf.DUMMYFUNCTION("""COMPUTED_VALUE"""),"Check api id from database and download jrmxl file                                    ")</f>
        <v>Check api id from database and download jrmxl file                                    </v>
      </c>
      <c r="C780" s="82">
        <f>IFERROR(__xludf.DUMMYFUNCTION("""COMPUTED_VALUE"""),5240.0)</f>
        <v>5240</v>
      </c>
      <c r="D780" s="76" t="str">
        <f>IFERROR(__xludf.DUMMYFUNCTION("""COMPUTED_VALUE"""),"TR REPORT")</f>
        <v>TR REPORT</v>
      </c>
      <c r="E780" s="84">
        <f>IFERROR(__xludf.DUMMYFUNCTION("""COMPUTED_VALUE"""),46182.49652777778)</f>
        <v>46182.49653</v>
      </c>
      <c r="F780" s="86">
        <f>IFERROR(__xludf.DUMMYFUNCTION("""COMPUTED_VALUE"""),46182.45255317129)</f>
        <v>46182.45255</v>
      </c>
      <c r="G780" s="86" t="str">
        <f>IFERROR(__xludf.DUMMYFUNCTION("""COMPUTED_VALUE"""),"Done")</f>
        <v>Done</v>
      </c>
      <c r="H780" s="88">
        <f>IFERROR(__xludf.DUMMYFUNCTION("""COMPUTED_VALUE"""),0.0)</f>
        <v>0</v>
      </c>
      <c r="I780" s="90" t="str">
        <f>IFERROR(__xludf.DUMMYFUNCTION("""COMPUTED_VALUE"""),"EMP0042 HULESHWAR KUMAR SAHU")</f>
        <v>EMP0042 HULESHWAR KUMAR SAHU</v>
      </c>
      <c r="J780" s="91"/>
    </row>
    <row r="781">
      <c r="B781" s="76" t="str">
        <f>IFERROR(__xludf.DUMMYFUNCTION("""COMPUTED_VALUE"""),"Check api id from database and download jrmxl file                                    ")</f>
        <v>Check api id from database and download jrmxl file                                    </v>
      </c>
      <c r="C781" s="82">
        <f>IFERROR(__xludf.DUMMYFUNCTION("""COMPUTED_VALUE"""),5241.0)</f>
        <v>5241</v>
      </c>
      <c r="D781" s="76" t="str">
        <f>IFERROR(__xludf.DUMMYFUNCTION("""COMPUTED_VALUE"""),"5coltrsem8_bfa.")</f>
        <v>5coltrsem8_bfa.</v>
      </c>
      <c r="E781" s="84">
        <f>IFERROR(__xludf.DUMMYFUNCTION("""COMPUTED_VALUE"""),46182.802540868055)</f>
        <v>46182.80254</v>
      </c>
      <c r="F781" s="86">
        <f>IFERROR(__xludf.DUMMYFUNCTION("""COMPUTED_VALUE"""),46182.71818336805)</f>
        <v>46182.71818</v>
      </c>
      <c r="G781" s="86" t="str">
        <f>IFERROR(__xludf.DUMMYFUNCTION("""COMPUTED_VALUE"""),"Done")</f>
        <v>Done</v>
      </c>
      <c r="H781" s="88">
        <f>IFERROR(__xludf.DUMMYFUNCTION("""COMPUTED_VALUE"""),0.0)</f>
        <v>0</v>
      </c>
      <c r="I781" s="90" t="str">
        <f>IFERROR(__xludf.DUMMYFUNCTION("""COMPUTED_VALUE"""),"EMP0021 Tamanna Dewangan")</f>
        <v>EMP0021 Tamanna Dewangan</v>
      </c>
      <c r="J781" s="91"/>
    </row>
    <row r="782">
      <c r="B782" s="76" t="str">
        <f>IFERROR(__xludf.DUMMYFUNCTION("""COMPUTED_VALUE"""),"Check api id from database and download jrmxl file                                    ")</f>
        <v>Check api id from database and download jrmxl file                                    </v>
      </c>
      <c r="C782" s="82">
        <f>IFERROR(__xludf.DUMMYFUNCTION("""COMPUTED_VALUE"""),5242.0)</f>
        <v>5242</v>
      </c>
      <c r="D782" s="76" t="str">
        <f>IFERROR(__xludf.DUMMYFUNCTION("""COMPUTED_VALUE"""),"ATTENDENCE SHEET , MEMO REPORT , ADMIT CARD , CENTER WISE SUBJECT WISE STUDENTS DETALIS")</f>
        <v>ATTENDENCE SHEET , MEMO REPORT , ADMIT CARD , CENTER WISE SUBJECT WISE STUDENTS DETALIS</v>
      </c>
      <c r="E782" s="84">
        <f>IFERROR(__xludf.DUMMYFUNCTION("""COMPUTED_VALUE"""),46183.42847222222)</f>
        <v>46183.42847</v>
      </c>
      <c r="F782" s="86">
        <f>IFERROR(__xludf.DUMMYFUNCTION("""COMPUTED_VALUE"""),46182.718209768514)</f>
        <v>46182.71821</v>
      </c>
      <c r="G782" s="86" t="str">
        <f>IFERROR(__xludf.DUMMYFUNCTION("""COMPUTED_VALUE"""),"Done")</f>
        <v>Done</v>
      </c>
      <c r="H782" s="88">
        <f>IFERROR(__xludf.DUMMYFUNCTION("""COMPUTED_VALUE"""),0.0)</f>
        <v>0</v>
      </c>
      <c r="I782" s="90" t="str">
        <f>IFERROR(__xludf.DUMMYFUNCTION("""COMPUTED_VALUE"""),"EMP0021 Tamanna Dewangan")</f>
        <v>EMP0021 Tamanna Dewangan</v>
      </c>
      <c r="J782" s="91"/>
    </row>
    <row r="783">
      <c r="B783" s="76" t="str">
        <f>IFERROR(__xludf.DUMMYFUNCTION("""COMPUTED_VALUE"""),"Check api id from database and download jrmxl file                                    ")</f>
        <v>Check api id from database and download jrmxl file                                    </v>
      </c>
      <c r="C783" s="82">
        <f>IFERROR(__xludf.DUMMYFUNCTION("""COMPUTED_VALUE"""),5243.0)</f>
        <v>5243</v>
      </c>
      <c r="D783" s="76" t="str">
        <f>IFERROR(__xludf.DUMMYFUNCTION("""COMPUTED_VALUE"""),"GRADECARD10")</f>
        <v>GRADECARD10</v>
      </c>
      <c r="E783" s="84">
        <f>IFERROR(__xludf.DUMMYFUNCTION("""COMPUTED_VALUE"""),46183.6246109375)</f>
        <v>46183.62461</v>
      </c>
      <c r="F783" s="86">
        <f>IFERROR(__xludf.DUMMYFUNCTION("""COMPUTED_VALUE"""),46183.46538371527)</f>
        <v>46183.46538</v>
      </c>
      <c r="G783" s="86" t="str">
        <f>IFERROR(__xludf.DUMMYFUNCTION("""COMPUTED_VALUE"""),"Done")</f>
        <v>Done</v>
      </c>
      <c r="H783" s="88">
        <f>IFERROR(__xludf.DUMMYFUNCTION("""COMPUTED_VALUE"""),0.0)</f>
        <v>0</v>
      </c>
      <c r="I783" s="90" t="str">
        <f>IFERROR(__xludf.DUMMYFUNCTION("""COMPUTED_VALUE"""),"EMP0021 Tamanna Dewangan")</f>
        <v>EMP0021 Tamanna Dewangan</v>
      </c>
      <c r="J783" s="91"/>
    </row>
    <row r="784">
      <c r="B784" s="76" t="str">
        <f>IFERROR(__xludf.DUMMYFUNCTION("""COMPUTED_VALUE"""),"Check api id from database and download jrmxl file                                    ")</f>
        <v>Check api id from database and download jrmxl file                                    </v>
      </c>
      <c r="C784" s="82">
        <f>IFERROR(__xludf.DUMMYFUNCTION("""COMPUTED_VALUE"""),5244.0)</f>
        <v>5244</v>
      </c>
      <c r="D784" s="76" t="str">
        <f>IFERROR(__xludf.DUMMYFUNCTION("""COMPUTED_VALUE"""),"	TR (NURSING)")</f>
        <v>	TR (NURSING)</v>
      </c>
      <c r="E784" s="84">
        <f>IFERROR(__xludf.DUMMYFUNCTION("""COMPUTED_VALUE"""),46183.6802234375)</f>
        <v>46183.68022</v>
      </c>
      <c r="F784" s="86">
        <f>IFERROR(__xludf.DUMMYFUNCTION("""COMPUTED_VALUE"""),46183.56496982639)</f>
        <v>46183.56497</v>
      </c>
      <c r="G784" s="86" t="str">
        <f>IFERROR(__xludf.DUMMYFUNCTION("""COMPUTED_VALUE"""),"Done")</f>
        <v>Done</v>
      </c>
      <c r="H784" s="88">
        <f>IFERROR(__xludf.DUMMYFUNCTION("""COMPUTED_VALUE"""),0.0)</f>
        <v>0</v>
      </c>
      <c r="I784" s="90" t="str">
        <f>IFERROR(__xludf.DUMMYFUNCTION("""COMPUTED_VALUE"""),"EMP0042 HULESHWAR KUMAR SAHU")</f>
        <v>EMP0042 HULESHWAR KUMAR SAHU</v>
      </c>
      <c r="J784" s="91"/>
    </row>
    <row r="785">
      <c r="B785" s="76" t="str">
        <f>IFERROR(__xludf.DUMMYFUNCTION("""COMPUTED_VALUE"""),"Check api id from database and download jrmxl file                                    ")</f>
        <v>Check api id from database and download jrmxl file                                    </v>
      </c>
      <c r="C785" s="82">
        <f>IFERROR(__xludf.DUMMYFUNCTION("""COMPUTED_VALUE"""),5245.0)</f>
        <v>5245</v>
      </c>
      <c r="D785" s="76" t="str">
        <f>IFERROR(__xludf.DUMMYFUNCTION("""COMPUTED_VALUE"""),"Marksheet B.Sc Nursing")</f>
        <v>Marksheet B.Sc Nursing</v>
      </c>
      <c r="E785" s="84">
        <f>IFERROR(__xludf.DUMMYFUNCTION("""COMPUTED_VALUE"""),46183.68126877315)</f>
        <v>46183.68127</v>
      </c>
      <c r="F785" s="86">
        <f>IFERROR(__xludf.DUMMYFUNCTION("""COMPUTED_VALUE"""),46183.56498623842)</f>
        <v>46183.56499</v>
      </c>
      <c r="G785" s="86" t="str">
        <f>IFERROR(__xludf.DUMMYFUNCTION("""COMPUTED_VALUE"""),"Done")</f>
        <v>Done</v>
      </c>
      <c r="H785" s="88">
        <f>IFERROR(__xludf.DUMMYFUNCTION("""COMPUTED_VALUE"""),0.0)</f>
        <v>0</v>
      </c>
      <c r="I785" s="90" t="str">
        <f>IFERROR(__xludf.DUMMYFUNCTION("""COMPUTED_VALUE"""),"EMP0042 HULESHWAR KUMAR SAHU")</f>
        <v>EMP0042 HULESHWAR KUMAR SAHU</v>
      </c>
      <c r="J785" s="91"/>
    </row>
    <row r="786">
      <c r="B786" s="76" t="str">
        <f>IFERROR(__xludf.DUMMYFUNCTION("""COMPUTED_VALUE"""),"Check api id from database and download jrmxl file                                    ")</f>
        <v>Check api id from database and download jrmxl file                                    </v>
      </c>
      <c r="C786" s="82">
        <f>IFERROR(__xludf.DUMMYFUNCTION("""COMPUTED_VALUE"""),5246.0)</f>
        <v>5246</v>
      </c>
      <c r="D786" s="76" t="str">
        <f>IFERROR(__xludf.DUMMYFUNCTION("""COMPUTED_VALUE"""),"Grade Carde B.Tech")</f>
        <v>Grade Carde B.Tech</v>
      </c>
      <c r="E786" s="84">
        <f>IFERROR(__xludf.DUMMYFUNCTION("""COMPUTED_VALUE"""),46183.69322939815)</f>
        <v>46183.69323</v>
      </c>
      <c r="F786" s="86">
        <f>IFERROR(__xludf.DUMMYFUNCTION("""COMPUTED_VALUE"""),46183.56501200231)</f>
        <v>46183.56501</v>
      </c>
      <c r="G786" s="86" t="str">
        <f>IFERROR(__xludf.DUMMYFUNCTION("""COMPUTED_VALUE"""),"Done")</f>
        <v>Done</v>
      </c>
      <c r="H786" s="88">
        <f>IFERROR(__xludf.DUMMYFUNCTION("""COMPUTED_VALUE"""),0.0)</f>
        <v>0</v>
      </c>
      <c r="I786" s="90" t="str">
        <f>IFERROR(__xludf.DUMMYFUNCTION("""COMPUTED_VALUE"""),"EMP0042 HULESHWAR KUMAR SAHU")</f>
        <v>EMP0042 HULESHWAR KUMAR SAHU</v>
      </c>
      <c r="J786" s="91"/>
    </row>
    <row r="787">
      <c r="B787" s="76" t="str">
        <f>IFERROR(__xludf.DUMMYFUNCTION("""COMPUTED_VALUE"""),"Check api id from database and download jrmxl file                                    ")</f>
        <v>Check api id from database and download jrmxl file                                    </v>
      </c>
      <c r="C787" s="82">
        <f>IFERROR(__xludf.DUMMYFUNCTION("""COMPUTED_VALUE"""),5247.0)</f>
        <v>5247</v>
      </c>
      <c r="D787" s="76" t="str">
        <f>IFERROR(__xludf.DUMMYFUNCTION("""COMPUTED_VALUE"""),"attendance sheet ")</f>
        <v>attendance sheet </v>
      </c>
      <c r="E787" s="84">
        <f>IFERROR(__xludf.DUMMYFUNCTION("""COMPUTED_VALUE"""),46183.74048881944)</f>
        <v>46183.74049</v>
      </c>
      <c r="F787" s="86">
        <f>IFERROR(__xludf.DUMMYFUNCTION("""COMPUTED_VALUE"""),46183.76066614583)</f>
        <v>46183.76067</v>
      </c>
      <c r="G787" s="86" t="str">
        <f>IFERROR(__xludf.DUMMYFUNCTION("""COMPUTED_VALUE"""),"Done")</f>
        <v>Done</v>
      </c>
      <c r="H787" s="88">
        <f>IFERROR(__xludf.DUMMYFUNCTION("""COMPUTED_VALUE"""),0.020177326389891354)</f>
        <v>0.02017732639</v>
      </c>
      <c r="I787" s="90" t="str">
        <f>IFERROR(__xludf.DUMMYFUNCTION("""COMPUTED_VALUE"""),"EMP0042 HULESHWAR KUMAR SAHU")</f>
        <v>EMP0042 HULESHWAR KUMAR SAHU</v>
      </c>
      <c r="J787" s="91"/>
    </row>
    <row r="788">
      <c r="B788" s="76" t="str">
        <f>IFERROR(__xludf.DUMMYFUNCTION("""COMPUTED_VALUE"""),"Check api id from database and download jrmxl file                                    ")</f>
        <v>Check api id from database and download jrmxl file                                    </v>
      </c>
      <c r="C788" s="82">
        <f>IFERROR(__xludf.DUMMYFUNCTION("""COMPUTED_VALUE"""),5248.0)</f>
        <v>5248</v>
      </c>
      <c r="D788" s="76" t="str">
        <f>IFERROR(__xludf.DUMMYFUNCTION("""COMPUTED_VALUE"""),"ADMIT CARD ")</f>
        <v>ADMIT CARD </v>
      </c>
      <c r="E788" s="84">
        <f>IFERROR(__xludf.DUMMYFUNCTION("""COMPUTED_VALUE"""),46183.77726368056)</f>
        <v>46183.77726</v>
      </c>
      <c r="F788" s="86">
        <f>IFERROR(__xludf.DUMMYFUNCTION("""COMPUTED_VALUE"""),46183.76068738426)</f>
        <v>46183.76069</v>
      </c>
      <c r="G788" s="86" t="str">
        <f>IFERROR(__xludf.DUMMYFUNCTION("""COMPUTED_VALUE"""),"Done")</f>
        <v>Done</v>
      </c>
      <c r="H788" s="88">
        <f>IFERROR(__xludf.DUMMYFUNCTION("""COMPUTED_VALUE"""),0.0)</f>
        <v>0</v>
      </c>
      <c r="I788" s="90" t="str">
        <f>IFERROR(__xludf.DUMMYFUNCTION("""COMPUTED_VALUE"""),"EMP5009 Rup Kumar Mandal")</f>
        <v>EMP5009 Rup Kumar Mandal</v>
      </c>
      <c r="J788" s="91"/>
    </row>
    <row r="789">
      <c r="B789" s="76" t="str">
        <f>IFERROR(__xludf.DUMMYFUNCTION("""COMPUTED_VALUE"""),"Check api id from database and download jrmxl file                                    ")</f>
        <v>Check api id from database and download jrmxl file                                    </v>
      </c>
      <c r="C789" s="82">
        <f>IFERROR(__xludf.DUMMYFUNCTION("""COMPUTED_VALUE"""),5249.0)</f>
        <v>5249</v>
      </c>
      <c r="D789" s="76" t="str">
        <f>IFERROR(__xludf.DUMMYFUNCTION("""COMPUTED_VALUE"""),"SHASTRI RESULT SHEET")</f>
        <v>SHASTRI RESULT SHEET</v>
      </c>
      <c r="E789" s="84">
        <f>IFERROR(__xludf.DUMMYFUNCTION("""COMPUTED_VALUE"""),46185.798958252315)</f>
        <v>46185.79896</v>
      </c>
      <c r="F789" s="86">
        <f>IFERROR(__xludf.DUMMYFUNCTION("""COMPUTED_VALUE"""),46185.722350856486)</f>
        <v>46185.72235</v>
      </c>
      <c r="G789" s="86" t="str">
        <f>IFERROR(__xludf.DUMMYFUNCTION("""COMPUTED_VALUE"""),"Done")</f>
        <v>Done</v>
      </c>
      <c r="H789" s="88">
        <f>IFERROR(__xludf.DUMMYFUNCTION("""COMPUTED_VALUE"""),0.0)</f>
        <v>0</v>
      </c>
      <c r="I789" s="90" t="str">
        <f>IFERROR(__xludf.DUMMYFUNCTION("""COMPUTED_VALUE"""),"EMP0042 HULESHWAR KUMAR SAHU")</f>
        <v>EMP0042 HULESHWAR KUMAR SAHU</v>
      </c>
      <c r="J789" s="91"/>
    </row>
    <row r="790">
      <c r="B790" s="76" t="str">
        <f>IFERROR(__xludf.DUMMYFUNCTION("""COMPUTED_VALUE"""),"Check api id from database and download jrmxl file                                    ")</f>
        <v>Check api id from database and download jrmxl file                                    </v>
      </c>
      <c r="C790" s="82">
        <f>IFERROR(__xludf.DUMMYFUNCTION("""COMPUTED_VALUE"""),5250.0)</f>
        <v>5250</v>
      </c>
      <c r="D790" s="76" t="str">
        <f>IFERROR(__xludf.DUMMYFUNCTION("""COMPUTED_VALUE"""),"SHASTRI TR")</f>
        <v>SHASTRI TR</v>
      </c>
      <c r="E790" s="84">
        <f>IFERROR(__xludf.DUMMYFUNCTION("""COMPUTED_VALUE"""),46185.799748414356)</f>
        <v>46185.79975</v>
      </c>
      <c r="F790" s="86">
        <f>IFERROR(__xludf.DUMMYFUNCTION("""COMPUTED_VALUE"""),46185.75940972222)</f>
        <v>46185.75941</v>
      </c>
      <c r="G790" s="86" t="str">
        <f>IFERROR(__xludf.DUMMYFUNCTION("""COMPUTED_VALUE"""),"Done")</f>
        <v>Done</v>
      </c>
      <c r="H790" s="88">
        <f>IFERROR(__xludf.DUMMYFUNCTION("""COMPUTED_VALUE"""),0.0)</f>
        <v>0</v>
      </c>
      <c r="I790" s="90" t="str">
        <f>IFERROR(__xludf.DUMMYFUNCTION("""COMPUTED_VALUE"""),"EMP0042 HULESHWAR KUMAR SAHU")</f>
        <v>EMP0042 HULESHWAR KUMAR SAHU</v>
      </c>
      <c r="J790" s="91"/>
    </row>
    <row r="791">
      <c r="B791" s="76" t="str">
        <f>IFERROR(__xludf.DUMMYFUNCTION("""COMPUTED_VALUE"""),"Check api id from database and download jrmxl file                                    ")</f>
        <v>Check api id from database and download jrmxl file                                    </v>
      </c>
      <c r="C791" s="82">
        <f>IFERROR(__xludf.DUMMYFUNCTION("""COMPUTED_VALUE"""),5251.0)</f>
        <v>5251</v>
      </c>
      <c r="D791" s="76" t="str">
        <f>IFERROR(__xludf.DUMMYFUNCTION("""COMPUTED_VALUE"""),"REGISTRATION FORM")</f>
        <v>REGISTRATION FORM</v>
      </c>
      <c r="E791" s="84">
        <f>IFERROR(__xludf.DUMMYFUNCTION("""COMPUTED_VALUE"""),46186.4625)</f>
        <v>46186.4625</v>
      </c>
      <c r="F791" s="86">
        <f>IFERROR(__xludf.DUMMYFUNCTION("""COMPUTED_VALUE"""),46185.72237673611)</f>
        <v>46185.72238</v>
      </c>
      <c r="G791" s="86" t="str">
        <f>IFERROR(__xludf.DUMMYFUNCTION("""COMPUTED_VALUE"""),"Done")</f>
        <v>Done</v>
      </c>
      <c r="H791" s="88">
        <f>IFERROR(__xludf.DUMMYFUNCTION("""COMPUTED_VALUE"""),0.0)</f>
        <v>0</v>
      </c>
      <c r="I791" s="90" t="str">
        <f>IFERROR(__xludf.DUMMYFUNCTION("""COMPUTED_VALUE"""),"EMP0042 HULESHWAR KUMAR SAHU")</f>
        <v>EMP0042 HULESHWAR KUMAR SAHU</v>
      </c>
      <c r="J791" s="91"/>
    </row>
    <row r="792">
      <c r="B792" s="76" t="str">
        <f>IFERROR(__xludf.DUMMYFUNCTION("""COMPUTED_VALUE"""),"Check api id from database and download jrmxl file                                    ")</f>
        <v>Check api id from database and download jrmxl file                                    </v>
      </c>
      <c r="C792" s="82">
        <f>IFERROR(__xludf.DUMMYFUNCTION("""COMPUTED_VALUE"""),5252.0)</f>
        <v>5252</v>
      </c>
      <c r="D792" s="76" t="str">
        <f>IFERROR(__xludf.DUMMYFUNCTION("""COMPUTED_VALUE"""),"Template NEP")</f>
        <v>Template NEP</v>
      </c>
      <c r="E792" s="84">
        <f>IFERROR(__xludf.DUMMYFUNCTION("""COMPUTED_VALUE"""),46186.675879351846)</f>
        <v>46186.67588</v>
      </c>
      <c r="F792" s="86">
        <f>IFERROR(__xludf.DUMMYFUNCTION("""COMPUTED_VALUE"""),46186.51340039352)</f>
        <v>46186.5134</v>
      </c>
      <c r="G792" s="86" t="str">
        <f>IFERROR(__xludf.DUMMYFUNCTION("""COMPUTED_VALUE"""),"Done")</f>
        <v>Done</v>
      </c>
      <c r="H792" s="88">
        <f>IFERROR(__xludf.DUMMYFUNCTION("""COMPUTED_VALUE"""),0.0)</f>
        <v>0</v>
      </c>
      <c r="I792" s="90" t="str">
        <f>IFERROR(__xludf.DUMMYFUNCTION("""COMPUTED_VALUE"""),"EMP5009 Rup Kumar Mandal")</f>
        <v>EMP5009 Rup Kumar Mandal</v>
      </c>
      <c r="J792" s="91"/>
    </row>
    <row r="793">
      <c r="B793" s="76" t="str">
        <f>IFERROR(__xludf.DUMMYFUNCTION("""COMPUTED_VALUE"""),"Check api id from database and download jrmxl file                                    ")</f>
        <v>Check api id from database and download jrmxl file                                    </v>
      </c>
      <c r="C793" s="82">
        <f>IFERROR(__xludf.DUMMYFUNCTION("""COMPUTED_VALUE"""),5253.0)</f>
        <v>5253</v>
      </c>
      <c r="D793" s="76" t="str">
        <f>IFERROR(__xludf.DUMMYFUNCTION("""COMPUTED_VALUE"""),"Multiple Report ")</f>
        <v>Multiple Report </v>
      </c>
      <c r="E793" s="84">
        <f>IFERROR(__xludf.DUMMYFUNCTION("""COMPUTED_VALUE"""),46186.73121048611)</f>
        <v>46186.73121</v>
      </c>
      <c r="F793" s="86">
        <f>IFERROR(__xludf.DUMMYFUNCTION("""COMPUTED_VALUE"""),46186.608280057866)</f>
        <v>46186.60828</v>
      </c>
      <c r="G793" s="86" t="str">
        <f>IFERROR(__xludf.DUMMYFUNCTION("""COMPUTED_VALUE"""),"Done")</f>
        <v>Done</v>
      </c>
      <c r="H793" s="88">
        <f>IFERROR(__xludf.DUMMYFUNCTION("""COMPUTED_VALUE"""),0.0)</f>
        <v>0</v>
      </c>
      <c r="I793" s="90" t="str">
        <f>IFERROR(__xludf.DUMMYFUNCTION("""COMPUTED_VALUE"""),"EMP0237 Swarnendu Chakraborty")</f>
        <v>EMP0237 Swarnendu Chakraborty</v>
      </c>
      <c r="J793" s="91"/>
    </row>
    <row r="794">
      <c r="B794" s="76" t="str">
        <f>IFERROR(__xludf.DUMMYFUNCTION("""COMPUTED_VALUE"""),"Check api id from database and download jrmxl file                                    ")</f>
        <v>Check api id from database and download jrmxl file                                    </v>
      </c>
      <c r="C794" s="82">
        <f>IFERROR(__xludf.DUMMYFUNCTION("""COMPUTED_VALUE"""),5254.0)</f>
        <v>5254</v>
      </c>
      <c r="D794" s="76" t="str">
        <f>IFERROR(__xludf.DUMMYFUNCTION("""COMPUTED_VALUE"""),"Multiple Report ")</f>
        <v>Multiple Report </v>
      </c>
      <c r="E794" s="84">
        <f>IFERROR(__xludf.DUMMYFUNCTION("""COMPUTED_VALUE"""),46186.73452680556)</f>
        <v>46186.73453</v>
      </c>
      <c r="F794" s="86">
        <f>IFERROR(__xludf.DUMMYFUNCTION("""COMPUTED_VALUE"""),46186.608298287036)</f>
        <v>46186.6083</v>
      </c>
      <c r="G794" s="86" t="str">
        <f>IFERROR(__xludf.DUMMYFUNCTION("""COMPUTED_VALUE"""),"Done")</f>
        <v>Done</v>
      </c>
      <c r="H794" s="88">
        <f>IFERROR(__xludf.DUMMYFUNCTION("""COMPUTED_VALUE"""),0.0)</f>
        <v>0</v>
      </c>
      <c r="I794" s="90" t="str">
        <f>IFERROR(__xludf.DUMMYFUNCTION("""COMPUTED_VALUE"""),"EMP0237 Swarnendu Chakraborty")</f>
        <v>EMP0237 Swarnendu Chakraborty</v>
      </c>
      <c r="J794" s="91"/>
    </row>
    <row r="795">
      <c r="B795" s="76" t="str">
        <f>IFERROR(__xludf.DUMMYFUNCTION("""COMPUTED_VALUE"""),"Check api id from database and download jrmxl file                                    ")</f>
        <v>Check api id from database and download jrmxl file                                    </v>
      </c>
      <c r="C795" s="82">
        <f>IFERROR(__xludf.DUMMYFUNCTION("""COMPUTED_VALUE"""),5255.0)</f>
        <v>5255</v>
      </c>
      <c r="D795" s="76" t="str">
        <f>IFERROR(__xludf.DUMMYFUNCTION("""COMPUTED_VALUE"""),"Multiple Report ")</f>
        <v>Multiple Report </v>
      </c>
      <c r="E795" s="84">
        <f>IFERROR(__xludf.DUMMYFUNCTION("""COMPUTED_VALUE"""),46186.73682792824)</f>
        <v>46186.73683</v>
      </c>
      <c r="F795" s="86">
        <f>IFERROR(__xludf.DUMMYFUNCTION("""COMPUTED_VALUE"""),46186.608315578706)</f>
        <v>46186.60832</v>
      </c>
      <c r="G795" s="86" t="str">
        <f>IFERROR(__xludf.DUMMYFUNCTION("""COMPUTED_VALUE"""),"Done")</f>
        <v>Done</v>
      </c>
      <c r="H795" s="88">
        <f>IFERROR(__xludf.DUMMYFUNCTION("""COMPUTED_VALUE"""),0.0)</f>
        <v>0</v>
      </c>
      <c r="I795" s="90" t="str">
        <f>IFERROR(__xludf.DUMMYFUNCTION("""COMPUTED_VALUE"""),"EMP5009 Rup Kumar Mandal")</f>
        <v>EMP5009 Rup Kumar Mandal</v>
      </c>
      <c r="J795" s="91"/>
    </row>
    <row r="796">
      <c r="B796" s="76" t="str">
        <f>IFERROR(__xludf.DUMMYFUNCTION("""COMPUTED_VALUE"""),"Check api id from database and download jrmxl file                                    ")</f>
        <v>Check api id from database and download jrmxl file                                    </v>
      </c>
      <c r="C796" s="82">
        <f>IFERROR(__xludf.DUMMYFUNCTION("""COMPUTED_VALUE"""),5256.0)</f>
        <v>5256</v>
      </c>
      <c r="D796" s="76" t="str">
        <f>IFERROR(__xludf.DUMMYFUNCTION("""COMPUTED_VALUE"""),"Multiple Report ")</f>
        <v>Multiple Report </v>
      </c>
      <c r="E796" s="84">
        <f>IFERROR(__xludf.DUMMYFUNCTION("""COMPUTED_VALUE"""),46186.73996210648)</f>
        <v>46186.73996</v>
      </c>
      <c r="F796" s="86">
        <f>IFERROR(__xludf.DUMMYFUNCTION("""COMPUTED_VALUE"""),46186.60833673611)</f>
        <v>46186.60834</v>
      </c>
      <c r="G796" s="86" t="str">
        <f>IFERROR(__xludf.DUMMYFUNCTION("""COMPUTED_VALUE"""),"Done")</f>
        <v>Done</v>
      </c>
      <c r="H796" s="88">
        <f>IFERROR(__xludf.DUMMYFUNCTION("""COMPUTED_VALUE"""),0.0)</f>
        <v>0</v>
      </c>
      <c r="I796" s="90" t="str">
        <f>IFERROR(__xludf.DUMMYFUNCTION("""COMPUTED_VALUE"""),"EMP5009 Rup Kumar Mandal")</f>
        <v>EMP5009 Rup Kumar Mandal</v>
      </c>
      <c r="J796" s="91"/>
    </row>
    <row r="797">
      <c r="B797" s="76" t="str">
        <f>IFERROR(__xludf.DUMMYFUNCTION("""COMPUTED_VALUE"""),"Check api id from database and download jrmxl file                                    ")</f>
        <v>Check api id from database and download jrmxl file                                    </v>
      </c>
      <c r="C797" s="82">
        <f>IFERROR(__xludf.DUMMYFUNCTION("""COMPUTED_VALUE"""),5257.0)</f>
        <v>5257</v>
      </c>
      <c r="D797" s="76" t="str">
        <f>IFERROR(__xludf.DUMMYFUNCTION("""COMPUTED_VALUE"""),"Multiple Report ")</f>
        <v>Multiple Report </v>
      </c>
      <c r="E797" s="84">
        <f>IFERROR(__xludf.DUMMYFUNCTION("""COMPUTED_VALUE"""),46186.743954710655)</f>
        <v>46186.74395</v>
      </c>
      <c r="F797" s="86">
        <f>IFERROR(__xludf.DUMMYFUNCTION("""COMPUTED_VALUE"""),46186.6083611111)</f>
        <v>46186.60836</v>
      </c>
      <c r="G797" s="86" t="str">
        <f>IFERROR(__xludf.DUMMYFUNCTION("""COMPUTED_VALUE"""),"Done")</f>
        <v>Done</v>
      </c>
      <c r="H797" s="88">
        <f>IFERROR(__xludf.DUMMYFUNCTION("""COMPUTED_VALUE"""),0.0)</f>
        <v>0</v>
      </c>
      <c r="I797" s="90" t="str">
        <f>IFERROR(__xludf.DUMMYFUNCTION("""COMPUTED_VALUE"""),"EMP0237 Swarnendu Chakraborty")</f>
        <v>EMP0237 Swarnendu Chakraborty</v>
      </c>
      <c r="J797" s="91"/>
    </row>
    <row r="798">
      <c r="B798" s="76" t="str">
        <f>IFERROR(__xludf.DUMMYFUNCTION("""COMPUTED_VALUE"""),"Check api id from database and download jrmxl file                                    ")</f>
        <v>Check api id from database and download jrmxl file                                    </v>
      </c>
      <c r="C798" s="82">
        <f>IFERROR(__xludf.DUMMYFUNCTION("""COMPUTED_VALUE"""),5258.0)</f>
        <v>5258</v>
      </c>
      <c r="D798" s="76" t="str">
        <f>IFERROR(__xludf.DUMMYFUNCTION("""COMPUTED_VALUE"""),"Multiple Report ")</f>
        <v>Multiple Report </v>
      </c>
      <c r="E798" s="84">
        <f>IFERROR(__xludf.DUMMYFUNCTION("""COMPUTED_VALUE"""),46186.74725050926)</f>
        <v>46186.74725</v>
      </c>
      <c r="F798" s="86">
        <f>IFERROR(__xludf.DUMMYFUNCTION("""COMPUTED_VALUE"""),46186.608394606475)</f>
        <v>46186.60839</v>
      </c>
      <c r="G798" s="86" t="str">
        <f>IFERROR(__xludf.DUMMYFUNCTION("""COMPUTED_VALUE"""),"Done")</f>
        <v>Done</v>
      </c>
      <c r="H798" s="88">
        <f>IFERROR(__xludf.DUMMYFUNCTION("""COMPUTED_VALUE"""),0.0)</f>
        <v>0</v>
      </c>
      <c r="I798" s="90" t="str">
        <f>IFERROR(__xludf.DUMMYFUNCTION("""COMPUTED_VALUE"""),"EMP0042 HULESHWAR KUMAR SAHU")</f>
        <v>EMP0042 HULESHWAR KUMAR SAHU</v>
      </c>
      <c r="J798" s="91"/>
    </row>
    <row r="799">
      <c r="B799" s="76" t="str">
        <f>IFERROR(__xludf.DUMMYFUNCTION("""COMPUTED_VALUE"""),"Check api id from database and download jrmxl file                                    ")</f>
        <v>Check api id from database and download jrmxl file                                    </v>
      </c>
      <c r="C799" s="82">
        <f>IFERROR(__xludf.DUMMYFUNCTION("""COMPUTED_VALUE"""),5259.0)</f>
        <v>5259</v>
      </c>
      <c r="D799" s="76" t="str">
        <f>IFERROR(__xludf.DUMMYFUNCTION("""COMPUTED_VALUE"""),"TR BCA Clg wise")</f>
        <v>TR BCA Clg wise</v>
      </c>
      <c r="E799" s="84">
        <f>IFERROR(__xludf.DUMMYFUNCTION("""COMPUTED_VALUE"""),46186.75024192129)</f>
        <v>46186.75024</v>
      </c>
      <c r="F799" s="86">
        <f>IFERROR(__xludf.DUMMYFUNCTION("""COMPUTED_VALUE"""),46186.60841892361)</f>
        <v>46186.60842</v>
      </c>
      <c r="G799" s="86" t="str">
        <f>IFERROR(__xludf.DUMMYFUNCTION("""COMPUTED_VALUE"""),"Done")</f>
        <v>Done</v>
      </c>
      <c r="H799" s="88">
        <f>IFERROR(__xludf.DUMMYFUNCTION("""COMPUTED_VALUE"""),0.0)</f>
        <v>0</v>
      </c>
      <c r="I799" s="90" t="str">
        <f>IFERROR(__xludf.DUMMYFUNCTION("""COMPUTED_VALUE"""),"EMP0042 HULESHWAR KUMAR SAHU")</f>
        <v>EMP0042 HULESHWAR KUMAR SAHU</v>
      </c>
      <c r="J799" s="91"/>
    </row>
    <row r="800">
      <c r="B800" s="76" t="str">
        <f>IFERROR(__xludf.DUMMYFUNCTION("""COMPUTED_VALUE"""),"Check api id from database and download jrmxl file                                    ")</f>
        <v>Check api id from database and download jrmxl file                                    </v>
      </c>
      <c r="C800" s="82">
        <f>IFERROR(__xludf.DUMMYFUNCTION("""COMPUTED_VALUE"""),5260.0)</f>
        <v>5260</v>
      </c>
      <c r="D800" s="76" t="str">
        <f>IFERROR(__xludf.DUMMYFUNCTION("""COMPUTED_VALUE"""),"Attendance Sheet First Semester ( Sem - 1) GCKN-103 - S.K. Govt. College, Kanwali (Rewari) PG undefined RE-APPEAR_SE03")</f>
        <v>Attendance Sheet First Semester ( Sem - 1) GCKN-103 - S.K. Govt. College, Kanwali (Rewari) PG undefined RE-APPEAR_SE03</v>
      </c>
      <c r="E800" s="84">
        <f>IFERROR(__xludf.DUMMYFUNCTION("""COMPUTED_VALUE"""),46188.566572673604)</f>
        <v>46188.56657</v>
      </c>
      <c r="F800" s="86">
        <f>IFERROR(__xludf.DUMMYFUNCTION("""COMPUTED_VALUE"""),46188.46240071759)</f>
        <v>46188.4624</v>
      </c>
      <c r="G800" s="86" t="str">
        <f>IFERROR(__xludf.DUMMYFUNCTION("""COMPUTED_VALUE"""),"Done")</f>
        <v>Done</v>
      </c>
      <c r="H800" s="88">
        <f>IFERROR(__xludf.DUMMYFUNCTION("""COMPUTED_VALUE"""),0.0)</f>
        <v>0</v>
      </c>
      <c r="I800" s="90" t="str">
        <f>IFERROR(__xludf.DUMMYFUNCTION("""COMPUTED_VALUE"""),"EMP0042 HULESHWAR KUMAR SAHU")</f>
        <v>EMP0042 HULESHWAR KUMAR SAHU</v>
      </c>
      <c r="J800" s="91"/>
    </row>
    <row r="801">
      <c r="B801" s="76" t="str">
        <f>IFERROR(__xludf.DUMMYFUNCTION("""COMPUTED_VALUE"""),"Check api id from database and download jrmxl file                                    ")</f>
        <v>Check api id from database and download jrmxl file                                    </v>
      </c>
      <c r="C801" s="82">
        <f>IFERROR(__xludf.DUMMYFUNCTION("""COMPUTED_VALUE"""),5261.0)</f>
        <v>5261</v>
      </c>
      <c r="D801" s="76" t="str">
        <f>IFERROR(__xludf.DUMMYFUNCTION("""COMPUTED_VALUE"""),"Mark Foil for Teacher")</f>
        <v>Mark Foil for Teacher</v>
      </c>
      <c r="E801" s="84">
        <f>IFERROR(__xludf.DUMMYFUNCTION("""COMPUTED_VALUE"""),46188.63236173611)</f>
        <v>46188.63236</v>
      </c>
      <c r="F801" s="86">
        <f>IFERROR(__xludf.DUMMYFUNCTION("""COMPUTED_VALUE"""),46188.46239778935)</f>
        <v>46188.4624</v>
      </c>
      <c r="G801" s="86" t="str">
        <f>IFERROR(__xludf.DUMMYFUNCTION("""COMPUTED_VALUE"""),"Done")</f>
        <v>Done</v>
      </c>
      <c r="H801" s="88">
        <f>IFERROR(__xludf.DUMMYFUNCTION("""COMPUTED_VALUE"""),0.0)</f>
        <v>0</v>
      </c>
      <c r="I801" s="90" t="str">
        <f>IFERROR(__xludf.DUMMYFUNCTION("""COMPUTED_VALUE"""),"EMP0042 HULESHWAR KUMAR SAHU")</f>
        <v>EMP0042 HULESHWAR KUMAR SAHU</v>
      </c>
      <c r="J801" s="91"/>
    </row>
    <row r="802">
      <c r="B802" s="76" t="str">
        <f>IFERROR(__xludf.DUMMYFUNCTION("""COMPUTED_VALUE"""),"Check api id from database and download jrmxl file                                    ")</f>
        <v>Check api id from database and download jrmxl file                                    </v>
      </c>
      <c r="C802" s="82">
        <f>IFERROR(__xludf.DUMMYFUNCTION("""COMPUTED_VALUE"""),5262.0)</f>
        <v>5262</v>
      </c>
      <c r="D802" s="76" t="str">
        <f>IFERROR(__xludf.DUMMYFUNCTION("""COMPUTED_VALUE"""),"Marksheet old")</f>
        <v>Marksheet old</v>
      </c>
      <c r="E802" s="84">
        <f>IFERROR(__xludf.DUMMYFUNCTION("""COMPUTED_VALUE"""),46189.62996907408)</f>
        <v>46189.62997</v>
      </c>
      <c r="F802" s="86">
        <f>IFERROR(__xludf.DUMMYFUNCTION("""COMPUTED_VALUE"""),46189.48855148148)</f>
        <v>46189.48855</v>
      </c>
      <c r="G802" s="86" t="str">
        <f>IFERROR(__xludf.DUMMYFUNCTION("""COMPUTED_VALUE"""),"Done")</f>
        <v>Done</v>
      </c>
      <c r="H802" s="88">
        <f>IFERROR(__xludf.DUMMYFUNCTION("""COMPUTED_VALUE"""),0.0)</f>
        <v>0</v>
      </c>
      <c r="I802" s="90" t="str">
        <f>IFERROR(__xludf.DUMMYFUNCTION("""COMPUTED_VALUE"""),"EMP0237 Swarnendu Chakraborty")</f>
        <v>EMP0237 Swarnendu Chakraborty</v>
      </c>
      <c r="J802" s="91"/>
    </row>
    <row r="803">
      <c r="B803" s="76" t="str">
        <f>IFERROR(__xludf.DUMMYFUNCTION("""COMPUTED_VALUE"""),"Check api id from database and download jrmxl file                                    ")</f>
        <v>Check api id from database and download jrmxl file                                    </v>
      </c>
      <c r="C803" s="82">
        <f>IFERROR(__xludf.DUMMYFUNCTION("""COMPUTED_VALUE"""),5263.0)</f>
        <v>5263</v>
      </c>
      <c r="D803" s="76" t="str">
        <f>IFERROR(__xludf.DUMMYFUNCTION("""COMPUTED_VALUE"""),"marksheet new")</f>
        <v>marksheet new</v>
      </c>
      <c r="E803" s="84">
        <f>IFERROR(__xludf.DUMMYFUNCTION("""COMPUTED_VALUE"""),46189.63075412037)</f>
        <v>46189.63075</v>
      </c>
      <c r="F803" s="86">
        <f>IFERROR(__xludf.DUMMYFUNCTION("""COMPUTED_VALUE"""),46189.488568576395)</f>
        <v>46189.48857</v>
      </c>
      <c r="G803" s="86" t="str">
        <f>IFERROR(__xludf.DUMMYFUNCTION("""COMPUTED_VALUE"""),"Done")</f>
        <v>Done</v>
      </c>
      <c r="H803" s="88">
        <f>IFERROR(__xludf.DUMMYFUNCTION("""COMPUTED_VALUE"""),0.0)</f>
        <v>0</v>
      </c>
      <c r="I803" s="90" t="str">
        <f>IFERROR(__xludf.DUMMYFUNCTION("""COMPUTED_VALUE"""),"EMP0237 Swarnendu Chakraborty")</f>
        <v>EMP0237 Swarnendu Chakraborty</v>
      </c>
      <c r="J803" s="91"/>
    </row>
    <row r="804">
      <c r="B804" s="76" t="str">
        <f>IFERROR(__xludf.DUMMYFUNCTION("""COMPUTED_VALUE"""),"Check api id from database and download jrmxl file                                    ")</f>
        <v>Check api id from database and download jrmxl file                                    </v>
      </c>
      <c r="C804" s="82">
        <f>IFERROR(__xludf.DUMMYFUNCTION("""COMPUTED_VALUE"""),5264.0)</f>
        <v>5264</v>
      </c>
      <c r="D804" s="76" t="str">
        <f>IFERROR(__xludf.DUMMYFUNCTION("""COMPUTED_VALUE"""),"Marksheet")</f>
        <v>Marksheet</v>
      </c>
      <c r="E804" s="84">
        <f>IFERROR(__xludf.DUMMYFUNCTION("""COMPUTED_VALUE"""),46189.63266112268)</f>
        <v>46189.63266</v>
      </c>
      <c r="F804" s="86">
        <f>IFERROR(__xludf.DUMMYFUNCTION("""COMPUTED_VALUE"""),46189.48858734954)</f>
        <v>46189.48859</v>
      </c>
      <c r="G804" s="86" t="str">
        <f>IFERROR(__xludf.DUMMYFUNCTION("""COMPUTED_VALUE"""),"Done")</f>
        <v>Done</v>
      </c>
      <c r="H804" s="88">
        <f>IFERROR(__xludf.DUMMYFUNCTION("""COMPUTED_VALUE"""),0.0)</f>
        <v>0</v>
      </c>
      <c r="I804" s="90" t="str">
        <f>IFERROR(__xludf.DUMMYFUNCTION("""COMPUTED_VALUE"""),"EMP5009 Rup Kumar Mandal")</f>
        <v>EMP5009 Rup Kumar Mandal</v>
      </c>
      <c r="J804" s="91"/>
    </row>
    <row r="805">
      <c r="B805" s="76" t="str">
        <f>IFERROR(__xludf.DUMMYFUNCTION("""COMPUTED_VALUE"""),"Check api id from database and download jrmxl file                                    ")</f>
        <v>Check api id from database and download jrmxl file                                    </v>
      </c>
      <c r="C805" s="82">
        <f>IFERROR(__xludf.DUMMYFUNCTION("""COMPUTED_VALUE"""),5265.0)</f>
        <v>5265</v>
      </c>
      <c r="D805" s="76" t="str">
        <f>IFERROR(__xludf.DUMMYFUNCTION("""COMPUTED_VALUE"""),"payment report")</f>
        <v>payment report</v>
      </c>
      <c r="E805" s="84">
        <f>IFERROR(__xludf.DUMMYFUNCTION("""COMPUTED_VALUE"""),46189.63492280092)</f>
        <v>46189.63492</v>
      </c>
      <c r="F805" s="86">
        <f>IFERROR(__xludf.DUMMYFUNCTION("""COMPUTED_VALUE"""),46189.488606701394)</f>
        <v>46189.48861</v>
      </c>
      <c r="G805" s="86" t="str">
        <f>IFERROR(__xludf.DUMMYFUNCTION("""COMPUTED_VALUE"""),"Done")</f>
        <v>Done</v>
      </c>
      <c r="H805" s="88">
        <f>IFERROR(__xludf.DUMMYFUNCTION("""COMPUTED_VALUE"""),0.0)</f>
        <v>0</v>
      </c>
      <c r="I805" s="90" t="str">
        <f>IFERROR(__xludf.DUMMYFUNCTION("""COMPUTED_VALUE"""),"EMP5009 Rup Kumar Mandal")</f>
        <v>EMP5009 Rup Kumar Mandal</v>
      </c>
      <c r="J805" s="91"/>
    </row>
    <row r="806">
      <c r="B806" s="76" t="str">
        <f>IFERROR(__xludf.DUMMYFUNCTION("""COMPUTED_VALUE"""),"Check api id from database and download jrmxl file                                    ")</f>
        <v>Check api id from database and download jrmxl file                                    </v>
      </c>
      <c r="C806" s="82">
        <f>IFERROR(__xludf.DUMMYFUNCTION("""COMPUTED_VALUE"""),5266.0)</f>
        <v>5266</v>
      </c>
      <c r="D806" s="76" t="str">
        <f>IFERROR(__xludf.DUMMYFUNCTION("""COMPUTED_VALUE"""),"B.Pharm 4th Semester  Session - 2024-25 (S) TR correction.")</f>
        <v>B.Pharm 4th Semester  Session - 2024-25 (S) TR correction.</v>
      </c>
      <c r="E806" s="84">
        <f>IFERROR(__xludf.DUMMYFUNCTION("""COMPUTED_VALUE"""),46189.77492039352)</f>
        <v>46189.77492</v>
      </c>
      <c r="F806" s="86">
        <f>IFERROR(__xludf.DUMMYFUNCTION("""COMPUTED_VALUE"""),46189.62560140046)</f>
        <v>46189.6256</v>
      </c>
      <c r="G806" s="86" t="str">
        <f>IFERROR(__xludf.DUMMYFUNCTION("""COMPUTED_VALUE"""),"Done")</f>
        <v>Done</v>
      </c>
      <c r="H806" s="88">
        <f>IFERROR(__xludf.DUMMYFUNCTION("""COMPUTED_VALUE"""),0.0)</f>
        <v>0</v>
      </c>
      <c r="I806" s="90" t="str">
        <f>IFERROR(__xludf.DUMMYFUNCTION("""COMPUTED_VALUE"""),"EMP5009 Rup Kumar Mandal")</f>
        <v>EMP5009 Rup Kumar Mandal</v>
      </c>
      <c r="J806" s="91"/>
    </row>
    <row r="807">
      <c r="B807" s="76" t="str">
        <f>IFERROR(__xludf.DUMMYFUNCTION("""COMPUTED_VALUE"""),"Check api id from database and download jrmxl file                                    ")</f>
        <v>Check api id from database and download jrmxl file                                    </v>
      </c>
      <c r="C807" s="82">
        <f>IFERROR(__xludf.DUMMYFUNCTION("""COMPUTED_VALUE"""),5267.0)</f>
        <v>5267</v>
      </c>
      <c r="D807" s="76" t="str">
        <f>IFERROR(__xludf.DUMMYFUNCTION("""COMPUTED_VALUE"""),"	NURSING GRADE CARD")</f>
        <v>	NURSING GRADE CARD</v>
      </c>
      <c r="E807" s="84">
        <f>IFERROR(__xludf.DUMMYFUNCTION("""COMPUTED_VALUE"""),46190.45)</f>
        <v>46190.45</v>
      </c>
      <c r="F807" s="86">
        <f>IFERROR(__xludf.DUMMYFUNCTION("""COMPUTED_VALUE"""),46189.81917236111)</f>
        <v>46189.81917</v>
      </c>
      <c r="G807" s="86" t="str">
        <f>IFERROR(__xludf.DUMMYFUNCTION("""COMPUTED_VALUE"""),"Done")</f>
        <v>Done</v>
      </c>
      <c r="H807" s="88">
        <f>IFERROR(__xludf.DUMMYFUNCTION("""COMPUTED_VALUE"""),0.0)</f>
        <v>0</v>
      </c>
      <c r="I807" s="90" t="str">
        <f>IFERROR(__xludf.DUMMYFUNCTION("""COMPUTED_VALUE"""),"EMP0042 HULESHWAR KUMAR SAHU")</f>
        <v>EMP0042 HULESHWAR KUMAR SAHU</v>
      </c>
      <c r="J807" s="91"/>
    </row>
    <row r="808">
      <c r="B808" s="76" t="str">
        <f>IFERROR(__xludf.DUMMYFUNCTION("""COMPUTED_VALUE"""),"Check api id from database and download jrmxl file                                    ")</f>
        <v>Check api id from database and download jrmxl file                                    </v>
      </c>
      <c r="C808" s="82">
        <f>IFERROR(__xludf.DUMMYFUNCTION("""COMPUTED_VALUE"""),5268.0)</f>
        <v>5268</v>
      </c>
      <c r="D808" s="76" t="str">
        <f>IFERROR(__xludf.DUMMYFUNCTION("""COMPUTED_VALUE"""),"Mark Foil for Teacher")</f>
        <v>Mark Foil for Teacher</v>
      </c>
      <c r="E808" s="84">
        <f>IFERROR(__xludf.DUMMYFUNCTION("""COMPUTED_VALUE"""),46190.65627075231)</f>
        <v>46190.65627</v>
      </c>
      <c r="F808" s="86">
        <f>IFERROR(__xludf.DUMMYFUNCTION("""COMPUTED_VALUE"""),46190.51109101852)</f>
        <v>46190.51109</v>
      </c>
      <c r="G808" s="86" t="str">
        <f>IFERROR(__xludf.DUMMYFUNCTION("""COMPUTED_VALUE"""),"Done")</f>
        <v>Done</v>
      </c>
      <c r="H808" s="88">
        <f>IFERROR(__xludf.DUMMYFUNCTION("""COMPUTED_VALUE"""),0.0)</f>
        <v>0</v>
      </c>
      <c r="I808" s="90" t="str">
        <f>IFERROR(__xludf.DUMMYFUNCTION("""COMPUTED_VALUE"""),"EMP0042 HULESHWAR KUMAR SAHU")</f>
        <v>EMP0042 HULESHWAR KUMAR SAHU</v>
      </c>
      <c r="J808" s="91"/>
    </row>
    <row r="809">
      <c r="B809" s="76" t="str">
        <f>IFERROR(__xludf.DUMMYFUNCTION("""COMPUTED_VALUE"""),"Check api id from database and download jrmxl file                                    ")</f>
        <v>Check api id from database and download jrmxl file                                    </v>
      </c>
      <c r="C809" s="82">
        <f>IFERROR(__xludf.DUMMYFUNCTION("""COMPUTED_VALUE"""),5269.0)</f>
        <v>5269</v>
      </c>
      <c r="D809" s="76" t="str">
        <f>IFERROR(__xludf.DUMMYFUNCTION("""COMPUTED_VALUE"""),"30,013,382")</f>
        <v>30,013,382</v>
      </c>
      <c r="E809" s="84">
        <f>IFERROR(__xludf.DUMMYFUNCTION("""COMPUTED_VALUE"""),46190.79181510417)</f>
        <v>46190.79182</v>
      </c>
      <c r="F809" s="86">
        <f>IFERROR(__xludf.DUMMYFUNCTION("""COMPUTED_VALUE"""),46190.725081504635)</f>
        <v>46190.72508</v>
      </c>
      <c r="G809" s="86" t="str">
        <f>IFERROR(__xludf.DUMMYFUNCTION("""COMPUTED_VALUE"""),"Done")</f>
        <v>Done</v>
      </c>
      <c r="H809" s="88">
        <f>IFERROR(__xludf.DUMMYFUNCTION("""COMPUTED_VALUE"""),0.0)</f>
        <v>0</v>
      </c>
      <c r="I809" s="90" t="str">
        <f>IFERROR(__xludf.DUMMYFUNCTION("""COMPUTED_VALUE"""),"EMP0042 HULESHWAR KUMAR SAHU")</f>
        <v>EMP0042 HULESHWAR KUMAR SAHU</v>
      </c>
      <c r="J809" s="91"/>
    </row>
    <row r="810">
      <c r="B810" s="76" t="str">
        <f>IFERROR(__xludf.DUMMYFUNCTION("""COMPUTED_VALUE"""),"Check api id from database and download jrmxl file                                    ")</f>
        <v>Check api id from database and download jrmxl file                                    </v>
      </c>
      <c r="C810" s="82">
        <f>IFERROR(__xludf.DUMMYFUNCTION("""COMPUTED_VALUE"""),5270.0)</f>
        <v>5270</v>
      </c>
      <c r="D810" s="76" t="str">
        <f>IFERROR(__xludf.DUMMYFUNCTION("""COMPUTED_VALUE"""),"NEP DIGI LOCKER DATA CORRECTION")</f>
        <v>NEP DIGI LOCKER DATA CORRECTION</v>
      </c>
      <c r="E810" s="84">
        <f>IFERROR(__xludf.DUMMYFUNCTION("""COMPUTED_VALUE"""),46190.82655145833)</f>
        <v>46190.82655</v>
      </c>
      <c r="F810" s="86">
        <f>IFERROR(__xludf.DUMMYFUNCTION("""COMPUTED_VALUE"""),46190.72510083333)</f>
        <v>46190.7251</v>
      </c>
      <c r="G810" s="86" t="str">
        <f>IFERROR(__xludf.DUMMYFUNCTION("""COMPUTED_VALUE"""),"Done")</f>
        <v>Done</v>
      </c>
      <c r="H810" s="88">
        <f>IFERROR(__xludf.DUMMYFUNCTION("""COMPUTED_VALUE"""),0.0)</f>
        <v>0</v>
      </c>
      <c r="I810" s="90" t="str">
        <f>IFERROR(__xludf.DUMMYFUNCTION("""COMPUTED_VALUE"""),"EMP0042 HULESHWAR KUMAR SAHU")</f>
        <v>EMP0042 HULESHWAR KUMAR SAHU</v>
      </c>
      <c r="J810" s="91"/>
    </row>
    <row r="811">
      <c r="B811" s="76" t="str">
        <f>IFERROR(__xludf.DUMMYFUNCTION("""COMPUTED_VALUE"""),"Check api id from database and download jrmxl file                                    ")</f>
        <v>Check api id from database and download jrmxl file                                    </v>
      </c>
      <c r="C811" s="82">
        <f>IFERROR(__xludf.DUMMYFUNCTION("""COMPUTED_VALUE"""),5271.0)</f>
        <v>5271</v>
      </c>
      <c r="D811" s="76" t="str">
        <f>IFERROR(__xludf.DUMMYFUNCTION("""COMPUTED_VALUE"""),"NAD ")</f>
        <v>NAD </v>
      </c>
      <c r="E811" s="84">
        <f>IFERROR(__xludf.DUMMYFUNCTION("""COMPUTED_VALUE"""),46191.68584508102)</f>
        <v>46191.68585</v>
      </c>
      <c r="F811" s="86">
        <f>IFERROR(__xludf.DUMMYFUNCTION("""COMPUTED_VALUE"""),46191.51322987268)</f>
        <v>46191.51323</v>
      </c>
      <c r="G811" s="86" t="str">
        <f>IFERROR(__xludf.DUMMYFUNCTION("""COMPUTED_VALUE"""),"Done")</f>
        <v>Done</v>
      </c>
      <c r="H811" s="88">
        <f>IFERROR(__xludf.DUMMYFUNCTION("""COMPUTED_VALUE"""),0.0)</f>
        <v>0</v>
      </c>
      <c r="I811" s="90" t="str">
        <f>IFERROR(__xludf.DUMMYFUNCTION("""COMPUTED_VALUE"""),"EMP5009 Rup Kumar Mandal")</f>
        <v>EMP5009 Rup Kumar Mandal</v>
      </c>
      <c r="J811" s="91"/>
    </row>
    <row r="812">
      <c r="B812" s="76" t="str">
        <f>IFERROR(__xludf.DUMMYFUNCTION("""COMPUTED_VALUE"""),"Check api id from database and download jrmxl file                                    ")</f>
        <v>Check api id from database and download jrmxl file                                    </v>
      </c>
      <c r="C812" s="82">
        <f>IFERROR(__xludf.DUMMYFUNCTION("""COMPUTED_VALUE"""),5272.0)</f>
        <v>5272</v>
      </c>
      <c r="D812" s="76" t="str">
        <f>IFERROR(__xludf.DUMMYFUNCTION("""COMPUTED_VALUE"""),"students data")</f>
        <v>students data</v>
      </c>
      <c r="E812" s="84">
        <f>IFERROR(__xludf.DUMMYFUNCTION("""COMPUTED_VALUE"""),46191.6918280787)</f>
        <v>46191.69183</v>
      </c>
      <c r="F812" s="86">
        <f>IFERROR(__xludf.DUMMYFUNCTION("""COMPUTED_VALUE"""),46191.521123402774)</f>
        <v>46191.52112</v>
      </c>
      <c r="G812" s="86" t="str">
        <f>IFERROR(__xludf.DUMMYFUNCTION("""COMPUTED_VALUE"""),"Done")</f>
        <v>Done</v>
      </c>
      <c r="H812" s="88">
        <f>IFERROR(__xludf.DUMMYFUNCTION("""COMPUTED_VALUE"""),0.0)</f>
        <v>0</v>
      </c>
      <c r="I812" s="90" t="str">
        <f>IFERROR(__xludf.DUMMYFUNCTION("""COMPUTED_VALUE"""),"EMP0042 HULESHWAR KUMAR SAHU")</f>
        <v>EMP0042 HULESHWAR KUMAR SAHU</v>
      </c>
      <c r="J812" s="91"/>
    </row>
    <row r="813">
      <c r="B813" s="76" t="str">
        <f>IFERROR(__xludf.DUMMYFUNCTION("""COMPUTED_VALUE"""),"Check api id from database and download jrmxl file                                    ")</f>
        <v>Check api id from database and download jrmxl file                                    </v>
      </c>
      <c r="C813" s="82">
        <f>IFERROR(__xludf.DUMMYFUNCTION("""COMPUTED_VALUE"""),5273.0)</f>
        <v>5273</v>
      </c>
      <c r="D813" s="76" t="str">
        <f>IFERROR(__xludf.DUMMYFUNCTION("""COMPUTED_VALUE"""),"P.G 2nd Sem Attendance Sheet Blank Session-2025-2027")</f>
        <v>P.G 2nd Sem Attendance Sheet Blank Session-2025-2027</v>
      </c>
      <c r="E813" s="84">
        <f>IFERROR(__xludf.DUMMYFUNCTION("""COMPUTED_VALUE"""),46192.65416666667)</f>
        <v>46192.65417</v>
      </c>
      <c r="F813" s="86">
        <f>IFERROR(__xludf.DUMMYFUNCTION("""COMPUTED_VALUE"""),46192.49048350695)</f>
        <v>46192.49048</v>
      </c>
      <c r="G813" s="86" t="str">
        <f>IFERROR(__xludf.DUMMYFUNCTION("""COMPUTED_VALUE"""),"Done")</f>
        <v>Done</v>
      </c>
      <c r="H813" s="88">
        <f>IFERROR(__xludf.DUMMYFUNCTION("""COMPUTED_VALUE"""),0.0)</f>
        <v>0</v>
      </c>
      <c r="I813" s="90" t="str">
        <f>IFERROR(__xludf.DUMMYFUNCTION("""COMPUTED_VALUE"""),"EMP5009 Rup Kumar Mandal")</f>
        <v>EMP5009 Rup Kumar Mandal</v>
      </c>
      <c r="J813" s="91"/>
    </row>
    <row r="814">
      <c r="B814" s="76" t="str">
        <f>IFERROR(__xludf.DUMMYFUNCTION("""COMPUTED_VALUE"""),"Check api id from database and download jrmxl file                                    ")</f>
        <v>Check api id from database and download jrmxl file                                    </v>
      </c>
      <c r="C814" s="82">
        <f>IFERROR(__xludf.DUMMYFUNCTION("""COMPUTED_VALUE"""),5274.0)</f>
        <v>5274</v>
      </c>
      <c r="D814" s="76" t="str">
        <f>IFERROR(__xludf.DUMMYFUNCTION("""COMPUTED_VALUE"""),"studnet subject mapping ")</f>
        <v>studnet subject mapping </v>
      </c>
      <c r="E814" s="84">
        <f>IFERROR(__xludf.DUMMYFUNCTION("""COMPUTED_VALUE"""),46192.78566519677)</f>
        <v>46192.78567</v>
      </c>
      <c r="F814" s="86">
        <f>IFERROR(__xludf.DUMMYFUNCTION("""COMPUTED_VALUE"""),46192.614802083335)</f>
        <v>46192.6148</v>
      </c>
      <c r="G814" s="86" t="str">
        <f>IFERROR(__xludf.DUMMYFUNCTION("""COMPUTED_VALUE"""),"Done")</f>
        <v>Done</v>
      </c>
      <c r="H814" s="88">
        <f>IFERROR(__xludf.DUMMYFUNCTION("""COMPUTED_VALUE"""),0.0)</f>
        <v>0</v>
      </c>
      <c r="I814" s="90" t="str">
        <f>IFERROR(__xludf.DUMMYFUNCTION("""COMPUTED_VALUE"""),"EMP0042 HULESHWAR KUMAR SAHU")</f>
        <v>EMP0042 HULESHWAR KUMAR SAHU</v>
      </c>
      <c r="J814" s="91"/>
    </row>
    <row r="815">
      <c r="B815" s="76" t="str">
        <f>IFERROR(__xludf.DUMMYFUNCTION("""COMPUTED_VALUE"""),"Check api id from database and download jrmxl file                                    ")</f>
        <v>Check api id from database and download jrmxl file                                    </v>
      </c>
      <c r="C815" s="82">
        <f>IFERROR(__xludf.DUMMYFUNCTION("""COMPUTED_VALUE"""),5275.0)</f>
        <v>5275</v>
      </c>
      <c r="D815" s="76" t="str">
        <f>IFERROR(__xludf.DUMMYFUNCTION("""COMPUTED_VALUE"""),"NEP DIGI LOCKER CORRECTION")</f>
        <v>NEP DIGI LOCKER CORRECTION</v>
      </c>
      <c r="E815" s="84">
        <f>IFERROR(__xludf.DUMMYFUNCTION("""COMPUTED_VALUE"""),46193.45625)</f>
        <v>46193.45625</v>
      </c>
      <c r="F815" s="86">
        <f>IFERROR(__xludf.DUMMYFUNCTION("""COMPUTED_VALUE"""),46192.75053409722)</f>
        <v>46192.75053</v>
      </c>
      <c r="G815" s="86" t="str">
        <f>IFERROR(__xludf.DUMMYFUNCTION("""COMPUTED_VALUE"""),"Done")</f>
        <v>Done</v>
      </c>
      <c r="H815" s="88">
        <f>IFERROR(__xludf.DUMMYFUNCTION("""COMPUTED_VALUE"""),0.0)</f>
        <v>0</v>
      </c>
      <c r="I815" s="90" t="str">
        <f>IFERROR(__xludf.DUMMYFUNCTION("""COMPUTED_VALUE"""),"EMP0042 HULESHWAR KUMAR SAHU")</f>
        <v>EMP0042 HULESHWAR KUMAR SAHU</v>
      </c>
      <c r="J815" s="91"/>
    </row>
    <row r="816">
      <c r="B816" s="76" t="str">
        <f>IFERROR(__xludf.DUMMYFUNCTION("""COMPUTED_VALUE"""),"Check api id from database and download jrmxl file                                    ")</f>
        <v>Check api id from database and download jrmxl file                                    </v>
      </c>
      <c r="C816" s="82">
        <f>IFERROR(__xludf.DUMMYFUNCTION("""COMPUTED_VALUE"""),5276.0)</f>
        <v>5276</v>
      </c>
      <c r="D816" s="76" t="str">
        <f>IFERROR(__xludf.DUMMYFUNCTION("""COMPUTED_VALUE"""),"	TR PARAMEDICAL Old Logic")</f>
        <v>	TR PARAMEDICAL Old Logic</v>
      </c>
      <c r="E816" s="84">
        <f>IFERROR(__xludf.DUMMYFUNCTION("""COMPUTED_VALUE"""),46193.48263888889)</f>
        <v>46193.48264</v>
      </c>
      <c r="F816" s="86">
        <f>IFERROR(__xludf.DUMMYFUNCTION("""COMPUTED_VALUE"""),46192.75055952546)</f>
        <v>46192.75056</v>
      </c>
      <c r="G816" s="86" t="str">
        <f>IFERROR(__xludf.DUMMYFUNCTION("""COMPUTED_VALUE"""),"Done")</f>
        <v>Done</v>
      </c>
      <c r="H816" s="88">
        <f>IFERROR(__xludf.DUMMYFUNCTION("""COMPUTED_VALUE"""),0.0)</f>
        <v>0</v>
      </c>
      <c r="I816" s="90" t="str">
        <f>IFERROR(__xludf.DUMMYFUNCTION("""COMPUTED_VALUE"""),"EMP0042 HULESHWAR KUMAR SAHU")</f>
        <v>EMP0042 HULESHWAR KUMAR SAHU</v>
      </c>
      <c r="J816" s="91"/>
    </row>
    <row r="817">
      <c r="B817" s="76" t="str">
        <f>IFERROR(__xludf.DUMMYFUNCTION("""COMPUTED_VALUE"""),"Check api id from database and download jrmxl file                                    ")</f>
        <v>Check api id from database and download jrmxl file                                    </v>
      </c>
      <c r="C817" s="82">
        <f>IFERROR(__xludf.DUMMYFUNCTION("""COMPUTED_VALUE"""),5277.0)</f>
        <v>5277</v>
      </c>
      <c r="D817" s="76" t="str">
        <f>IFERROR(__xludf.DUMMYFUNCTION("""COMPUTED_VALUE"""),"packet_detail_report.jasper")</f>
        <v>packet_detail_report.jasper</v>
      </c>
      <c r="E817" s="84">
        <f>IFERROR(__xludf.DUMMYFUNCTION("""COMPUTED_VALUE"""),46193.718935578705)</f>
        <v>46193.71894</v>
      </c>
      <c r="F817" s="86">
        <f>IFERROR(__xludf.DUMMYFUNCTION("""COMPUTED_VALUE"""),46193.55748928241)</f>
        <v>46193.55749</v>
      </c>
      <c r="G817" s="86" t="str">
        <f>IFERROR(__xludf.DUMMYFUNCTION("""COMPUTED_VALUE"""),"Done")</f>
        <v>Done</v>
      </c>
      <c r="H817" s="88">
        <f>IFERROR(__xludf.DUMMYFUNCTION("""COMPUTED_VALUE"""),0.0)</f>
        <v>0</v>
      </c>
      <c r="I817" s="90" t="str">
        <f>IFERROR(__xludf.DUMMYFUNCTION("""COMPUTED_VALUE"""),"EMP5009 Rup Kumar Mandal")</f>
        <v>EMP5009 Rup Kumar Mandal</v>
      </c>
      <c r="J817" s="91"/>
    </row>
    <row r="818">
      <c r="B818" s="76" t="str">
        <f>IFERROR(__xludf.DUMMYFUNCTION("""COMPUTED_VALUE"""),"Check api id from database and download jrmxl file                                    ")</f>
        <v>Check api id from database and download jrmxl file                                    </v>
      </c>
      <c r="C818" s="82">
        <f>IFERROR(__xludf.DUMMYFUNCTION("""COMPUTED_VALUE"""),5278.0)</f>
        <v>5278</v>
      </c>
      <c r="D818" s="76" t="str">
        <f>IFERROR(__xludf.DUMMYFUNCTION("""COMPUTED_VALUE"""),"Evaluation report anna.")</f>
        <v>Evaluation report anna.</v>
      </c>
      <c r="E818" s="84">
        <f>IFERROR(__xludf.DUMMYFUNCTION("""COMPUTED_VALUE"""),46193.73443767361)</f>
        <v>46193.73444</v>
      </c>
      <c r="F818" s="86">
        <f>IFERROR(__xludf.DUMMYFUNCTION("""COMPUTED_VALUE"""),46193.65256288194)</f>
        <v>46193.65256</v>
      </c>
      <c r="G818" s="86" t="str">
        <f>IFERROR(__xludf.DUMMYFUNCTION("""COMPUTED_VALUE"""),"Done")</f>
        <v>Done</v>
      </c>
      <c r="H818" s="88">
        <f>IFERROR(__xludf.DUMMYFUNCTION("""COMPUTED_VALUE"""),0.0)</f>
        <v>0</v>
      </c>
      <c r="I818" s="90" t="str">
        <f>IFERROR(__xludf.DUMMYFUNCTION("""COMPUTED_VALUE"""),"EMP5009 Rup Kumar Mandal")</f>
        <v>EMP5009 Rup Kumar Mandal</v>
      </c>
      <c r="J818" s="91"/>
    </row>
    <row r="819">
      <c r="B819" s="76" t="str">
        <f>IFERROR(__xludf.DUMMYFUNCTION("""COMPUTED_VALUE"""),"Check api id from database and download jrmxl file                                    ")</f>
        <v>Check api id from database and download jrmxl file                                    </v>
      </c>
      <c r="C819" s="82">
        <f>IFERROR(__xludf.DUMMYFUNCTION("""COMPUTED_VALUE"""),5279.0)</f>
        <v>5279</v>
      </c>
      <c r="D819" s="76" t="str">
        <f>IFERROR(__xludf.DUMMYFUNCTION("""COMPUTED_VALUE"""),"SMKV")</f>
        <v>SMKV</v>
      </c>
      <c r="E819" s="84">
        <f>IFERROR(__xludf.DUMMYFUNCTION("""COMPUTED_VALUE"""),46195.45208333334)</f>
        <v>46195.45208</v>
      </c>
      <c r="F819" s="86">
        <f>IFERROR(__xludf.DUMMYFUNCTION("""COMPUTED_VALUE"""),46193.698395706015)</f>
        <v>46193.6984</v>
      </c>
      <c r="G819" s="86" t="str">
        <f>IFERROR(__xludf.DUMMYFUNCTION("""COMPUTED_VALUE"""),"Done")</f>
        <v>Done</v>
      </c>
      <c r="H819" s="88">
        <f>IFERROR(__xludf.DUMMYFUNCTION("""COMPUTED_VALUE"""),0.0)</f>
        <v>0</v>
      </c>
      <c r="I819" s="90" t="str">
        <f>IFERROR(__xludf.DUMMYFUNCTION("""COMPUTED_VALUE"""),"EMP0042 HULESHWAR KUMAR SAHU")</f>
        <v>EMP0042 HULESHWAR KUMAR SAHU</v>
      </c>
      <c r="J819" s="91"/>
    </row>
    <row r="820">
      <c r="B820" s="76" t="str">
        <f>IFERROR(__xludf.DUMMYFUNCTION("""COMPUTED_VALUE"""),"Check api id from database and download jrmxl file                                    ")</f>
        <v>Check api id from database and download jrmxl file                                    </v>
      </c>
      <c r="C820" s="82">
        <f>IFERROR(__xludf.DUMMYFUNCTION("""COMPUTED_VALUE"""),5280.0)</f>
        <v>5280</v>
      </c>
      <c r="D820" s="76" t="str">
        <f>IFERROR(__xludf.DUMMYFUNCTION("""COMPUTED_VALUE"""),"SMKV ")</f>
        <v>SMKV </v>
      </c>
      <c r="E820" s="84">
        <f>IFERROR(__xludf.DUMMYFUNCTION("""COMPUTED_VALUE"""),46195.45277777778)</f>
        <v>46195.45278</v>
      </c>
      <c r="F820" s="86">
        <f>IFERROR(__xludf.DUMMYFUNCTION("""COMPUTED_VALUE"""),46193.69845668981)</f>
        <v>46193.69846</v>
      </c>
      <c r="G820" s="86" t="str">
        <f>IFERROR(__xludf.DUMMYFUNCTION("""COMPUTED_VALUE"""),"Done")</f>
        <v>Done</v>
      </c>
      <c r="H820" s="88">
        <f>IFERROR(__xludf.DUMMYFUNCTION("""COMPUTED_VALUE"""),0.0)</f>
        <v>0</v>
      </c>
      <c r="I820" s="90" t="str">
        <f>IFERROR(__xludf.DUMMYFUNCTION("""COMPUTED_VALUE"""),"EMP0042 HULESHWAR KUMAR SAHU")</f>
        <v>EMP0042 HULESHWAR KUMAR SAHU</v>
      </c>
      <c r="J820" s="91"/>
    </row>
    <row r="821">
      <c r="B821" s="76" t="str">
        <f>IFERROR(__xludf.DUMMYFUNCTION("""COMPUTED_VALUE"""),"Check api id from database and download jrmxl file                                    ")</f>
        <v>Check api id from database and download jrmxl file                                    </v>
      </c>
      <c r="C821" s="82">
        <f>IFERROR(__xludf.DUMMYFUNCTION("""COMPUTED_VALUE"""),5281.0)</f>
        <v>5281</v>
      </c>
      <c r="D821" s="76" t="str">
        <f>IFERROR(__xludf.DUMMYFUNCTION("""COMPUTED_VALUE"""),"SMKV")</f>
        <v>SMKV</v>
      </c>
      <c r="E821" s="84">
        <f>IFERROR(__xludf.DUMMYFUNCTION("""COMPUTED_VALUE"""),46195.45347222222)</f>
        <v>46195.45347</v>
      </c>
      <c r="F821" s="86">
        <f>IFERROR(__xludf.DUMMYFUNCTION("""COMPUTED_VALUE"""),46193.698506898145)</f>
        <v>46193.69851</v>
      </c>
      <c r="G821" s="86" t="str">
        <f>IFERROR(__xludf.DUMMYFUNCTION("""COMPUTED_VALUE"""),"Done")</f>
        <v>Done</v>
      </c>
      <c r="H821" s="88">
        <f>IFERROR(__xludf.DUMMYFUNCTION("""COMPUTED_VALUE"""),0.0)</f>
        <v>0</v>
      </c>
      <c r="I821" s="90" t="str">
        <f>IFERROR(__xludf.DUMMYFUNCTION("""COMPUTED_VALUE"""),"EMP0042 HULESHWAR KUMAR SAHU")</f>
        <v>EMP0042 HULESHWAR KUMAR SAHU</v>
      </c>
      <c r="J821" s="91"/>
    </row>
    <row r="822">
      <c r="B822" s="76" t="str">
        <f>IFERROR(__xludf.DUMMYFUNCTION("""COMPUTED_VALUE"""),"Check api id from database and download jrmxl file                                    ")</f>
        <v>Check api id from database and download jrmxl file                                    </v>
      </c>
      <c r="C822" s="82">
        <f>IFERROR(__xludf.DUMMYFUNCTION("""COMPUTED_VALUE"""),5282.0)</f>
        <v>5282</v>
      </c>
      <c r="D822" s="76" t="str">
        <f>IFERROR(__xludf.DUMMYFUNCTION("""COMPUTED_VALUE"""),"Manual_Cash_Counter")</f>
        <v>Manual_Cash_Counter</v>
      </c>
      <c r="E822" s="84">
        <f>IFERROR(__xludf.DUMMYFUNCTION("""COMPUTED_VALUE"""),46195.69802819444)</f>
        <v>46195.69803</v>
      </c>
      <c r="F822" s="86">
        <f>IFERROR(__xludf.DUMMYFUNCTION("""COMPUTED_VALUE"""),46195.61805766204)</f>
        <v>46195.61806</v>
      </c>
      <c r="G822" s="86" t="str">
        <f>IFERROR(__xludf.DUMMYFUNCTION("""COMPUTED_VALUE"""),"Done")</f>
        <v>Done</v>
      </c>
      <c r="H822" s="88">
        <f>IFERROR(__xludf.DUMMYFUNCTION("""COMPUTED_VALUE"""),0.0)</f>
        <v>0</v>
      </c>
      <c r="I822" s="90" t="str">
        <f>IFERROR(__xludf.DUMMYFUNCTION("""COMPUTED_VALUE"""),"EMP5009 Rup Kumar Mandal")</f>
        <v>EMP5009 Rup Kumar Mandal</v>
      </c>
      <c r="J822" s="91"/>
    </row>
    <row r="823">
      <c r="B823" s="76" t="str">
        <f>IFERROR(__xludf.DUMMYFUNCTION("""COMPUTED_VALUE"""),"Check api id from database and download jrmxl file                                    ")</f>
        <v>Check api id from database and download jrmxl file                                    </v>
      </c>
      <c r="C823" s="82">
        <f>IFERROR(__xludf.DUMMYFUNCTION("""COMPUTED_VALUE"""),5283.0)</f>
        <v>5283</v>
      </c>
      <c r="D823" s="76" t="str">
        <f>IFERROR(__xludf.DUMMYFUNCTION("""COMPUTED_VALUE"""),"Studentwise Cash Counter")</f>
        <v>Studentwise Cash Counter</v>
      </c>
      <c r="E823" s="84">
        <f>IFERROR(__xludf.DUMMYFUNCTION("""COMPUTED_VALUE"""),46195.69896149306)</f>
        <v>46195.69896</v>
      </c>
      <c r="F823" s="86">
        <f>IFERROR(__xludf.DUMMYFUNCTION("""COMPUTED_VALUE"""),46195.61807201389)</f>
        <v>46195.61807</v>
      </c>
      <c r="G823" s="86" t="str">
        <f>IFERROR(__xludf.DUMMYFUNCTION("""COMPUTED_VALUE"""),"Done")</f>
        <v>Done</v>
      </c>
      <c r="H823" s="88">
        <f>IFERROR(__xludf.DUMMYFUNCTION("""COMPUTED_VALUE"""),0.0)</f>
        <v>0</v>
      </c>
      <c r="I823" s="90" t="str">
        <f>IFERROR(__xludf.DUMMYFUNCTION("""COMPUTED_VALUE"""),"EMP5009 Rup Kumar Mandal")</f>
        <v>EMP5009 Rup Kumar Mandal</v>
      </c>
      <c r="J823" s="91"/>
    </row>
    <row r="824">
      <c r="B824" s="76" t="str">
        <f>IFERROR(__xludf.DUMMYFUNCTION("""COMPUTED_VALUE"""),"Check api id from database and download jrmxl file                                    ")</f>
        <v>Check api id from database and download jrmxl file                                    </v>
      </c>
      <c r="C824" s="82">
        <f>IFERROR(__xludf.DUMMYFUNCTION("""COMPUTED_VALUE"""),5284.0)</f>
        <v>5284</v>
      </c>
      <c r="D824" s="76" t="str">
        <f>IFERROR(__xludf.DUMMYFUNCTION("""COMPUTED_VALUE"""),"evaluation report anna.")</f>
        <v>evaluation report anna.</v>
      </c>
      <c r="E824" s="84">
        <f>IFERROR(__xludf.DUMMYFUNCTION("""COMPUTED_VALUE"""),46195.824773900466)</f>
        <v>46195.82477</v>
      </c>
      <c r="F824" s="86">
        <f>IFERROR(__xludf.DUMMYFUNCTION("""COMPUTED_VALUE"""),46195.718442337966)</f>
        <v>46195.71844</v>
      </c>
      <c r="G824" s="86" t="str">
        <f>IFERROR(__xludf.DUMMYFUNCTION("""COMPUTED_VALUE"""),"Done")</f>
        <v>Done</v>
      </c>
      <c r="H824" s="88">
        <f>IFERROR(__xludf.DUMMYFUNCTION("""COMPUTED_VALUE"""),0.0)</f>
        <v>0</v>
      </c>
      <c r="I824" s="90" t="str">
        <f>IFERROR(__xludf.DUMMYFUNCTION("""COMPUTED_VALUE"""),"EMP5009 Rup Kumar Mandal")</f>
        <v>EMP5009 Rup Kumar Mandal</v>
      </c>
      <c r="J824" s="91"/>
    </row>
    <row r="825">
      <c r="B825" s="76" t="str">
        <f>IFERROR(__xludf.DUMMYFUNCTION("""COMPUTED_VALUE"""),"Check api id from database and download jrmxl file                                    ")</f>
        <v>Check api id from database and download jrmxl file                                    </v>
      </c>
      <c r="C825" s="82">
        <f>IFERROR(__xludf.DUMMYFUNCTION("""COMPUTED_VALUE"""),5285.0)</f>
        <v>5285</v>
      </c>
      <c r="D825" s="76" t="str">
        <f>IFERROR(__xludf.DUMMYFUNCTION("""COMPUTED_VALUE"""),"MULTIPLE REPORT")</f>
        <v>MULTIPLE REPORT</v>
      </c>
      <c r="E825" s="84">
        <f>IFERROR(__xludf.DUMMYFUNCTION("""COMPUTED_VALUE"""),46196.429861111115)</f>
        <v>46196.42986</v>
      </c>
      <c r="F825" s="86">
        <f>IFERROR(__xludf.DUMMYFUNCTION("""COMPUTED_VALUE"""),46195.71849506945)</f>
        <v>46195.7185</v>
      </c>
      <c r="G825" s="86" t="str">
        <f>IFERROR(__xludf.DUMMYFUNCTION("""COMPUTED_VALUE"""),"Done")</f>
        <v>Done</v>
      </c>
      <c r="H825" s="88">
        <f>IFERROR(__xludf.DUMMYFUNCTION("""COMPUTED_VALUE"""),0.0)</f>
        <v>0</v>
      </c>
      <c r="I825" s="90" t="str">
        <f>IFERROR(__xludf.DUMMYFUNCTION("""COMPUTED_VALUE"""),"EMP0042 HULESHWAR KUMAR SAHU")</f>
        <v>EMP0042 HULESHWAR KUMAR SAHU</v>
      </c>
      <c r="J825" s="91"/>
    </row>
    <row r="826">
      <c r="B826" s="76" t="str">
        <f>IFERROR(__xludf.DUMMYFUNCTION("""COMPUTED_VALUE"""),"Check api id from database and download jrmxl file                                    ")</f>
        <v>Check api id from database and download jrmxl file                                    </v>
      </c>
      <c r="C826" s="82">
        <f>IFERROR(__xludf.DUMMYFUNCTION("""COMPUTED_VALUE"""),5286.0)</f>
        <v>5286</v>
      </c>
      <c r="D826" s="76" t="str">
        <f>IFERROR(__xludf.DUMMYFUNCTION("""COMPUTED_VALUE"""),"2781")</f>
        <v>2781</v>
      </c>
      <c r="E826" s="84">
        <f>IFERROR(__xludf.DUMMYFUNCTION("""COMPUTED_VALUE"""),46196.76284717592)</f>
        <v>46196.76285</v>
      </c>
      <c r="F826" s="86">
        <f>IFERROR(__xludf.DUMMYFUNCTION("""COMPUTED_VALUE"""),46196.77801375)</f>
        <v>46196.77801</v>
      </c>
      <c r="G826" s="86" t="str">
        <f>IFERROR(__xludf.DUMMYFUNCTION("""COMPUTED_VALUE"""),"Done")</f>
        <v>Done</v>
      </c>
      <c r="H826" s="88">
        <f>IFERROR(__xludf.DUMMYFUNCTION("""COMPUTED_VALUE"""),0.015166574074990306)</f>
        <v>0.01516657407</v>
      </c>
      <c r="I826" s="90" t="str">
        <f>IFERROR(__xludf.DUMMYFUNCTION("""COMPUTED_VALUE"""),"EMP5009 Rup Kumar Mandal")</f>
        <v>EMP5009 Rup Kumar Mandal</v>
      </c>
      <c r="J826" s="91"/>
    </row>
    <row r="827">
      <c r="B827" s="76" t="str">
        <f>IFERROR(__xludf.DUMMYFUNCTION("""COMPUTED_VALUE"""),"Check api id from database and download jrmxl file                                    ")</f>
        <v>Check api id from database and download jrmxl file                                    </v>
      </c>
      <c r="C827" s="82">
        <f>IFERROR(__xludf.DUMMYFUNCTION("""COMPUTED_VALUE"""),5287.0)</f>
        <v>5287</v>
      </c>
      <c r="D827" s="76" t="str">
        <f>IFERROR(__xludf.DUMMYFUNCTION("""COMPUTED_VALUE"""),"TR REPORT")</f>
        <v>TR REPORT</v>
      </c>
      <c r="E827" s="84">
        <f>IFERROR(__xludf.DUMMYFUNCTION("""COMPUTED_VALUE"""),46197.660406400464)</f>
        <v>46197.66041</v>
      </c>
      <c r="F827" s="86">
        <f>IFERROR(__xludf.DUMMYFUNCTION("""COMPUTED_VALUE"""),46197.490248194445)</f>
        <v>46197.49025</v>
      </c>
      <c r="G827" s="86" t="str">
        <f>IFERROR(__xludf.DUMMYFUNCTION("""COMPUTED_VALUE"""),"Done")</f>
        <v>Done</v>
      </c>
      <c r="H827" s="88">
        <f>IFERROR(__xludf.DUMMYFUNCTION("""COMPUTED_VALUE"""),0.0)</f>
        <v>0</v>
      </c>
      <c r="I827" s="90" t="str">
        <f>IFERROR(__xludf.DUMMYFUNCTION("""COMPUTED_VALUE"""),"EMP0237 Swarnendu Chakraborty")</f>
        <v>EMP0237 Swarnendu Chakraborty</v>
      </c>
      <c r="J827" s="91"/>
    </row>
    <row r="828">
      <c r="B828" s="76" t="str">
        <f>IFERROR(__xludf.DUMMYFUNCTION("""COMPUTED_VALUE"""),"Check api id from database and download jrmxl file                                    ")</f>
        <v>Check api id from database and download jrmxl file                                    </v>
      </c>
      <c r="C828" s="82">
        <f>IFERROR(__xludf.DUMMYFUNCTION("""COMPUTED_VALUE"""),5288.0)</f>
        <v>5288</v>
      </c>
      <c r="D828" s="76" t="str">
        <f>IFERROR(__xludf.DUMMYFUNCTION("""COMPUTED_VALUE"""),"5coltrsem6sem_elective_back_")</f>
        <v>5coltrsem6sem_elective_back_</v>
      </c>
      <c r="E828" s="84">
        <f>IFERROR(__xludf.DUMMYFUNCTION("""COMPUTED_VALUE"""),46197.69028393519)</f>
        <v>46197.69028</v>
      </c>
      <c r="F828" s="86">
        <f>IFERROR(__xludf.DUMMYFUNCTION("""COMPUTED_VALUE"""),46197.51805219908)</f>
        <v>46197.51805</v>
      </c>
      <c r="G828" s="86" t="str">
        <f>IFERROR(__xludf.DUMMYFUNCTION("""COMPUTED_VALUE"""),"Done")</f>
        <v>Done</v>
      </c>
      <c r="H828" s="88">
        <f>IFERROR(__xludf.DUMMYFUNCTION("""COMPUTED_VALUE"""),0.0)</f>
        <v>0</v>
      </c>
      <c r="I828" s="90" t="str">
        <f>IFERROR(__xludf.DUMMYFUNCTION("""COMPUTED_VALUE"""),"EMP0042 HULESHWAR KUMAR SAHU")</f>
        <v>EMP0042 HULESHWAR KUMAR SAHU</v>
      </c>
      <c r="J828" s="91"/>
    </row>
    <row r="829">
      <c r="B829" s="76" t="str">
        <f>IFERROR(__xludf.DUMMYFUNCTION("""COMPUTED_VALUE"""),"Check api id from database and download jrmxl file                                    ")</f>
        <v>Check api id from database and download jrmxl file                                    </v>
      </c>
      <c r="C829" s="82">
        <f>IFERROR(__xludf.DUMMYFUNCTION("""COMPUTED_VALUE"""),5289.0)</f>
        <v>5289</v>
      </c>
      <c r="D829" s="76" t="str">
        <f>IFERROR(__xludf.DUMMYFUNCTION("""COMPUTED_VALUE"""),"Marksheet (D.PHARMA)")</f>
        <v>Marksheet (D.PHARMA)</v>
      </c>
      <c r="E829" s="84">
        <f>IFERROR(__xludf.DUMMYFUNCTION("""COMPUTED_VALUE"""),46197.6992841088)</f>
        <v>46197.69928</v>
      </c>
      <c r="F829" s="86">
        <f>IFERROR(__xludf.DUMMYFUNCTION("""COMPUTED_VALUE"""),46197.5457237963)</f>
        <v>46197.54572</v>
      </c>
      <c r="G829" s="86" t="str">
        <f>IFERROR(__xludf.DUMMYFUNCTION("""COMPUTED_VALUE"""),"Done")</f>
        <v>Done</v>
      </c>
      <c r="H829" s="88">
        <f>IFERROR(__xludf.DUMMYFUNCTION("""COMPUTED_VALUE"""),0.0)</f>
        <v>0</v>
      </c>
      <c r="I829" s="90" t="str">
        <f>IFERROR(__xludf.DUMMYFUNCTION("""COMPUTED_VALUE"""),"EMP0042 HULESHWAR KUMAR SAHU")</f>
        <v>EMP0042 HULESHWAR KUMAR SAHU</v>
      </c>
      <c r="J829" s="91"/>
    </row>
    <row r="830">
      <c r="B830" s="76" t="str">
        <f>IFERROR(__xludf.DUMMYFUNCTION("""COMPUTED_VALUE"""),"Check api id from database and download jrmxl file                                    ")</f>
        <v>Check api id from database and download jrmxl file                                    </v>
      </c>
      <c r="C830" s="82">
        <f>IFERROR(__xludf.DUMMYFUNCTION("""COMPUTED_VALUE"""),5290.0)</f>
        <v>5290</v>
      </c>
      <c r="D830" s="76" t="str">
        <f>IFERROR(__xludf.DUMMYFUNCTION("""COMPUTED_VALUE"""),"gradaecard4-btech")</f>
        <v>gradaecard4-btech</v>
      </c>
      <c r="E830" s="84">
        <f>IFERROR(__xludf.DUMMYFUNCTION("""COMPUTED_VALUE"""),46197.71355526621)</f>
        <v>46197.71356</v>
      </c>
      <c r="F830" s="86">
        <f>IFERROR(__xludf.DUMMYFUNCTION("""COMPUTED_VALUE"""),46197.54574475694)</f>
        <v>46197.54574</v>
      </c>
      <c r="G830" s="86" t="str">
        <f>IFERROR(__xludf.DUMMYFUNCTION("""COMPUTED_VALUE"""),"Done")</f>
        <v>Done</v>
      </c>
      <c r="H830" s="88">
        <f>IFERROR(__xludf.DUMMYFUNCTION("""COMPUTED_VALUE"""),0.0)</f>
        <v>0</v>
      </c>
      <c r="I830" s="90" t="str">
        <f>IFERROR(__xludf.DUMMYFUNCTION("""COMPUTED_VALUE"""),"EMP0042 HULESHWAR KUMAR SAHU")</f>
        <v>EMP0042 HULESHWAR KUMAR SAHU</v>
      </c>
      <c r="J830" s="91"/>
    </row>
    <row r="831">
      <c r="B831" s="76" t="str">
        <f>IFERROR(__xludf.DUMMYFUNCTION("""COMPUTED_VALUE"""),"Check api id from database and download jrmxl file                                    ")</f>
        <v>Check api id from database and download jrmxl file                                    </v>
      </c>
      <c r="C831" s="82">
        <f>IFERROR(__xludf.DUMMYFUNCTION("""COMPUTED_VALUE"""),5291.0)</f>
        <v>5291</v>
      </c>
      <c r="D831" s="76" t="str">
        <f>IFERROR(__xludf.DUMMYFUNCTION("""COMPUTED_VALUE"""),"Student wise form report")</f>
        <v>Student wise form report</v>
      </c>
      <c r="E831" s="84">
        <f>IFERROR(__xludf.DUMMYFUNCTION("""COMPUTED_VALUE"""),46197.72565472222)</f>
        <v>46197.72565</v>
      </c>
      <c r="F831" s="86">
        <f>IFERROR(__xludf.DUMMYFUNCTION("""COMPUTED_VALUE"""),46197.561482638885)</f>
        <v>46197.56148</v>
      </c>
      <c r="G831" s="86" t="str">
        <f>IFERROR(__xludf.DUMMYFUNCTION("""COMPUTED_VALUE"""),"Done")</f>
        <v>Done</v>
      </c>
      <c r="H831" s="88">
        <f>IFERROR(__xludf.DUMMYFUNCTION("""COMPUTED_VALUE"""),0.0)</f>
        <v>0</v>
      </c>
      <c r="I831" s="90" t="str">
        <f>IFERROR(__xludf.DUMMYFUNCTION("""COMPUTED_VALUE"""),"EMP0237 Swarnendu Chakraborty")</f>
        <v>EMP0237 Swarnendu Chakraborty</v>
      </c>
      <c r="J831" s="91"/>
    </row>
    <row r="832">
      <c r="B832" s="76" t="str">
        <f>IFERROR(__xludf.DUMMYFUNCTION("""COMPUTED_VALUE"""),"Check api id from database and download jrmxl file                                    ")</f>
        <v>Check api id from database and download jrmxl file                                    </v>
      </c>
      <c r="C832" s="82">
        <f>IFERROR(__xludf.DUMMYFUNCTION("""COMPUTED_VALUE"""),5292.0)</f>
        <v>5292</v>
      </c>
      <c r="D832" s="76" t="str">
        <f>IFERROR(__xludf.DUMMYFUNCTION("""COMPUTED_VALUE"""),"SESSION WISE RESULT SUMMARY ")</f>
        <v>SESSION WISE RESULT SUMMARY </v>
      </c>
      <c r="E832" s="84">
        <f>IFERROR(__xludf.DUMMYFUNCTION("""COMPUTED_VALUE"""),46197.73302586805)</f>
        <v>46197.73303</v>
      </c>
      <c r="F832" s="86">
        <f>IFERROR(__xludf.DUMMYFUNCTION("""COMPUTED_VALUE"""),46197.56149847223)</f>
        <v>46197.5615</v>
      </c>
      <c r="G832" s="86" t="str">
        <f>IFERROR(__xludf.DUMMYFUNCTION("""COMPUTED_VALUE"""),"Done")</f>
        <v>Done</v>
      </c>
      <c r="H832" s="88">
        <f>IFERROR(__xludf.DUMMYFUNCTION("""COMPUTED_VALUE"""),0.0)</f>
        <v>0</v>
      </c>
      <c r="I832" s="90" t="str">
        <f>IFERROR(__xludf.DUMMYFUNCTION("""COMPUTED_VALUE"""),"EMP0237 Swarnendu Chakraborty")</f>
        <v>EMP0237 Swarnendu Chakraborty</v>
      </c>
      <c r="J832" s="91"/>
    </row>
    <row r="833">
      <c r="B833" s="76" t="str">
        <f>IFERROR(__xludf.DUMMYFUNCTION("""COMPUTED_VALUE"""),"Check api id from database and download jrmxl file                                    ")</f>
        <v>Check api id from database and download jrmxl file                                    </v>
      </c>
      <c r="C833" s="82">
        <f>IFERROR(__xludf.DUMMYFUNCTION("""COMPUTED_VALUE"""),5293.0)</f>
        <v>5293</v>
      </c>
      <c r="D833" s="76" t="str">
        <f>IFERROR(__xludf.DUMMYFUNCTION("""COMPUTED_VALUE"""),"Analytics Deshbord report")</f>
        <v>Analytics Deshbord report</v>
      </c>
      <c r="E833" s="84">
        <f>IFERROR(__xludf.DUMMYFUNCTION("""COMPUTED_VALUE"""),46198.45138888889)</f>
        <v>46198.45139</v>
      </c>
      <c r="F833" s="86">
        <f>IFERROR(__xludf.DUMMYFUNCTION("""COMPUTED_VALUE"""),46197.803510972226)</f>
        <v>46197.80351</v>
      </c>
      <c r="G833" s="86" t="str">
        <f>IFERROR(__xludf.DUMMYFUNCTION("""COMPUTED_VALUE"""),"Done")</f>
        <v>Done</v>
      </c>
      <c r="H833" s="88">
        <f>IFERROR(__xludf.DUMMYFUNCTION("""COMPUTED_VALUE"""),0.0)</f>
        <v>0</v>
      </c>
      <c r="I833" s="90" t="str">
        <f>IFERROR(__xludf.DUMMYFUNCTION("""COMPUTED_VALUE"""),"EMP0237 Swarnendu Chakraborty")</f>
        <v>EMP0237 Swarnendu Chakraborty</v>
      </c>
      <c r="J833" s="91"/>
    </row>
    <row r="834">
      <c r="B834" s="76" t="str">
        <f>IFERROR(__xludf.DUMMYFUNCTION("""COMPUTED_VALUE"""),"Check api id from database and download jrmxl file                                    ")</f>
        <v>Check api id from database and download jrmxl file                                    </v>
      </c>
      <c r="C834" s="82">
        <f>IFERROR(__xludf.DUMMYFUNCTION("""COMPUTED_VALUE"""),5294.0)</f>
        <v>5294</v>
      </c>
      <c r="D834" s="76" t="str">
        <f>IFERROR(__xludf.DUMMYFUNCTION("""COMPUTED_VALUE"""),"TR MBA 4th sem( With division )")</f>
        <v>TR MBA 4th sem( With division )</v>
      </c>
      <c r="E834" s="84">
        <f>IFERROR(__xludf.DUMMYFUNCTION("""COMPUTED_VALUE"""),46198.64947390046)</f>
        <v>46198.64947</v>
      </c>
      <c r="F834" s="86">
        <f>IFERROR(__xludf.DUMMYFUNCTION("""COMPUTED_VALUE"""),46198.47630465278)</f>
        <v>46198.4763</v>
      </c>
      <c r="G834" s="86" t="str">
        <f>IFERROR(__xludf.DUMMYFUNCTION("""COMPUTED_VALUE"""),"Done")</f>
        <v>Done</v>
      </c>
      <c r="H834" s="88">
        <f>IFERROR(__xludf.DUMMYFUNCTION("""COMPUTED_VALUE"""),0.0)</f>
        <v>0</v>
      </c>
      <c r="I834" s="90" t="str">
        <f>IFERROR(__xludf.DUMMYFUNCTION("""COMPUTED_VALUE"""),"EMP0042 HULESHWAR KUMAR SAHU")</f>
        <v>EMP0042 HULESHWAR KUMAR SAHU</v>
      </c>
      <c r="J834" s="91"/>
    </row>
    <row r="835">
      <c r="B835" s="76" t="str">
        <f>IFERROR(__xludf.DUMMYFUNCTION("""COMPUTED_VALUE"""),"Check api id from database and download jrmxl file                                    ")</f>
        <v>Check api id from database and download jrmxl file                                    </v>
      </c>
      <c r="C835" s="82">
        <f>IFERROR(__xludf.DUMMYFUNCTION("""COMPUTED_VALUE"""),5295.0)</f>
        <v>5295</v>
      </c>
      <c r="D835" s="76" t="str">
        <f>IFERROR(__xludf.DUMMYFUNCTION("""COMPUTED_VALUE"""),"NAD DATA")</f>
        <v>NAD DATA</v>
      </c>
      <c r="E835" s="84">
        <f>IFERROR(__xludf.DUMMYFUNCTION("""COMPUTED_VALUE"""),46198.67629008102)</f>
        <v>46198.67629</v>
      </c>
      <c r="F835" s="86">
        <f>IFERROR(__xludf.DUMMYFUNCTION("""COMPUTED_VALUE"""),46198.60607032407)</f>
        <v>46198.60607</v>
      </c>
      <c r="G835" s="86" t="str">
        <f>IFERROR(__xludf.DUMMYFUNCTION("""COMPUTED_VALUE"""),"Done")</f>
        <v>Done</v>
      </c>
      <c r="H835" s="88">
        <f>IFERROR(__xludf.DUMMYFUNCTION("""COMPUTED_VALUE"""),0.0)</f>
        <v>0</v>
      </c>
      <c r="I835" s="90" t="str">
        <f>IFERROR(__xludf.DUMMYFUNCTION("""COMPUTED_VALUE"""),"EMP0237 Swarnendu Chakraborty")</f>
        <v>EMP0237 Swarnendu Chakraborty</v>
      </c>
      <c r="J835" s="91"/>
    </row>
    <row r="836">
      <c r="B836" s="76" t="str">
        <f>IFERROR(__xludf.DUMMYFUNCTION("""COMPUTED_VALUE"""),"Check api id from database and download jrmxl file                                    ")</f>
        <v>Check api id from database and download jrmxl file                                    </v>
      </c>
      <c r="C836" s="82">
        <f>IFERROR(__xludf.DUMMYFUNCTION("""COMPUTED_VALUE"""),5296.0)</f>
        <v>5296</v>
      </c>
      <c r="D836" s="76" t="str">
        <f>IFERROR(__xludf.DUMMYFUNCTION("""COMPUTED_VALUE"""),"ATTESTATION SHEET ")</f>
        <v>ATTESTATION SHEET </v>
      </c>
      <c r="E836" s="84">
        <f>IFERROR(__xludf.DUMMYFUNCTION("""COMPUTED_VALUE"""),46198.68918386574)</f>
        <v>46198.68918</v>
      </c>
      <c r="F836" s="86">
        <f>IFERROR(__xludf.DUMMYFUNCTION("""COMPUTED_VALUE"""),46198.60607032407)</f>
        <v>46198.60607</v>
      </c>
      <c r="G836" s="86" t="str">
        <f>IFERROR(__xludf.DUMMYFUNCTION("""COMPUTED_VALUE"""),"Done")</f>
        <v>Done</v>
      </c>
      <c r="H836" s="88">
        <f>IFERROR(__xludf.DUMMYFUNCTION("""COMPUTED_VALUE"""),0.0)</f>
        <v>0</v>
      </c>
      <c r="I836" s="90" t="str">
        <f>IFERROR(__xludf.DUMMYFUNCTION("""COMPUTED_VALUE"""),"EMP5009 Rup Kumar Mandal")</f>
        <v>EMP5009 Rup Kumar Mandal</v>
      </c>
      <c r="J836" s="91"/>
    </row>
    <row r="837">
      <c r="B837" s="76" t="str">
        <f>IFERROR(__xludf.DUMMYFUNCTION("""COMPUTED_VALUE"""),"Check api id from database and download jrmxl file                                    ")</f>
        <v>Check api id from database and download jrmxl file                                    </v>
      </c>
      <c r="C837" s="82">
        <f>IFERROR(__xludf.DUMMYFUNCTION("""COMPUTED_VALUE"""),5297.0)</f>
        <v>5297</v>
      </c>
      <c r="D837" s="76" t="str">
        <f>IFERROR(__xludf.DUMMYFUNCTION("""COMPUTED_VALUE"""),"NAD data ")</f>
        <v>NAD data </v>
      </c>
      <c r="E837" s="84">
        <f>IFERROR(__xludf.DUMMYFUNCTION("""COMPUTED_VALUE"""),46199.51527777778)</f>
        <v>46199.51528</v>
      </c>
      <c r="F837" s="86">
        <f>IFERROR(__xludf.DUMMYFUNCTION("""COMPUTED_VALUE"""),46198.76231475695)</f>
        <v>46198.76231</v>
      </c>
      <c r="G837" s="86" t="str">
        <f>IFERROR(__xludf.DUMMYFUNCTION("""COMPUTED_VALUE"""),"Done")</f>
        <v>Done</v>
      </c>
      <c r="H837" s="88">
        <f>IFERROR(__xludf.DUMMYFUNCTION("""COMPUTED_VALUE"""),0.0)</f>
        <v>0</v>
      </c>
      <c r="I837" s="90" t="str">
        <f>IFERROR(__xludf.DUMMYFUNCTION("""COMPUTED_VALUE"""),"EMP5009 Rup Kumar Mandal")</f>
        <v>EMP5009 Rup Kumar Mandal</v>
      </c>
      <c r="J837" s="91"/>
    </row>
    <row r="838">
      <c r="B838" s="76" t="str">
        <f>IFERROR(__xludf.DUMMYFUNCTION("""COMPUTED_VALUE"""),"Check api id from database and download jrmxl file                                    ")</f>
        <v>Check api id from database and download jrmxl file                                    </v>
      </c>
      <c r="C838" s="82">
        <f>IFERROR(__xludf.DUMMYFUNCTION("""COMPUTED_VALUE"""),5298.0)</f>
        <v>5298</v>
      </c>
      <c r="D838" s="76" t="str">
        <f>IFERROR(__xludf.DUMMYFUNCTION("""COMPUTED_VALUE"""),"Attendance Sheet PG &amp; PHD")</f>
        <v>Attendance Sheet PG &amp; PHD</v>
      </c>
      <c r="E838" s="84">
        <f>IFERROR(__xludf.DUMMYFUNCTION("""COMPUTED_VALUE"""),46199.55694444444)</f>
        <v>46199.55694</v>
      </c>
      <c r="F838" s="86">
        <f>IFERROR(__xludf.DUMMYFUNCTION("""COMPUTED_VALUE"""),46198.802426435184)</f>
        <v>46198.80243</v>
      </c>
      <c r="G838" s="86" t="str">
        <f>IFERROR(__xludf.DUMMYFUNCTION("""COMPUTED_VALUE"""),"Done")</f>
        <v>Done</v>
      </c>
      <c r="H838" s="88">
        <f>IFERROR(__xludf.DUMMYFUNCTION("""COMPUTED_VALUE"""),0.0)</f>
        <v>0</v>
      </c>
      <c r="I838" s="90" t="str">
        <f>IFERROR(__xludf.DUMMYFUNCTION("""COMPUTED_VALUE"""),"EMP0021 Tamanna Dewangan")</f>
        <v>EMP0021 Tamanna Dewangan</v>
      </c>
      <c r="J838" s="91"/>
    </row>
    <row r="839">
      <c r="B839" s="76" t="str">
        <f>IFERROR(__xludf.DUMMYFUNCTION("""COMPUTED_VALUE"""),"Check api id from database and download jrmxl file                                    ")</f>
        <v>Check api id from database and download jrmxl file                                    </v>
      </c>
      <c r="C839" s="82">
        <f>IFERROR(__xludf.DUMMYFUNCTION("""COMPUTED_VALUE"""),5299.0)</f>
        <v>5299</v>
      </c>
      <c r="D839" s="76" t="str">
        <f>IFERROR(__xludf.DUMMYFUNCTION("""COMPUTED_VALUE"""),"Summary For PG/PHD")</f>
        <v>Summary For PG/PHD</v>
      </c>
      <c r="E839" s="84">
        <f>IFERROR(__xludf.DUMMYFUNCTION("""COMPUTED_VALUE"""),46199.558333333334)</f>
        <v>46199.55833</v>
      </c>
      <c r="F839" s="86">
        <f>IFERROR(__xludf.DUMMYFUNCTION("""COMPUTED_VALUE"""),46198.80239033565)</f>
        <v>46198.80239</v>
      </c>
      <c r="G839" s="86" t="str">
        <f>IFERROR(__xludf.DUMMYFUNCTION("""COMPUTED_VALUE"""),"Done")</f>
        <v>Done</v>
      </c>
      <c r="H839" s="88">
        <f>IFERROR(__xludf.DUMMYFUNCTION("""COMPUTED_VALUE"""),0.0)</f>
        <v>0</v>
      </c>
      <c r="I839" s="90" t="str">
        <f>IFERROR(__xludf.DUMMYFUNCTION("""COMPUTED_VALUE"""),"EMP0021 Tamanna Dewangan")</f>
        <v>EMP0021 Tamanna Dewangan</v>
      </c>
      <c r="J839" s="91"/>
    </row>
    <row r="840">
      <c r="B840" s="76" t="str">
        <f>IFERROR(__xludf.DUMMYFUNCTION("""COMPUTED_VALUE"""),"Check api id from database and download jrmxl file                                    ")</f>
        <v>Check api id from database and download jrmxl file                                    </v>
      </c>
      <c r="C840" s="82">
        <f>IFERROR(__xludf.DUMMYFUNCTION("""COMPUTED_VALUE"""),5300.0)</f>
        <v>5300</v>
      </c>
      <c r="D840" s="76" t="str">
        <f>IFERROR(__xludf.DUMMYFUNCTION("""COMPUTED_VALUE"""),"Cover Page")</f>
        <v>Cover Page</v>
      </c>
      <c r="E840" s="84">
        <f>IFERROR(__xludf.DUMMYFUNCTION("""COMPUTED_VALUE"""),46199.55972222222)</f>
        <v>46199.55972</v>
      </c>
      <c r="F840" s="86">
        <f>IFERROR(__xludf.DUMMYFUNCTION("""COMPUTED_VALUE"""),46198.80353439815)</f>
        <v>46198.80353</v>
      </c>
      <c r="G840" s="86" t="str">
        <f>IFERROR(__xludf.DUMMYFUNCTION("""COMPUTED_VALUE"""),"Done")</f>
        <v>Done</v>
      </c>
      <c r="H840" s="88">
        <f>IFERROR(__xludf.DUMMYFUNCTION("""COMPUTED_VALUE"""),0.0)</f>
        <v>0</v>
      </c>
      <c r="I840" s="90" t="str">
        <f>IFERROR(__xludf.DUMMYFUNCTION("""COMPUTED_VALUE"""),"EMP0021 Tamanna Dewangan")</f>
        <v>EMP0021 Tamanna Dewangan</v>
      </c>
      <c r="J840" s="91"/>
    </row>
    <row r="841">
      <c r="B841" s="76" t="str">
        <f>IFERROR(__xludf.DUMMYFUNCTION("""COMPUTED_VALUE"""),"Check api id from database and download jrmxl file                                    ")</f>
        <v>Check api id from database and download jrmxl file                                    </v>
      </c>
      <c r="C841" s="82">
        <f>IFERROR(__xludf.DUMMYFUNCTION("""COMPUTED_VALUE"""),5301.0)</f>
        <v>5301</v>
      </c>
      <c r="D841" s="76" t="str">
        <f>IFERROR(__xludf.DUMMYFUNCTION("""COMPUTED_VALUE"""),"Analysis report")</f>
        <v>Analysis report</v>
      </c>
      <c r="E841" s="84">
        <f>IFERROR(__xludf.DUMMYFUNCTION("""COMPUTED_VALUE"""),46199.56597222222)</f>
        <v>46199.56597</v>
      </c>
      <c r="F841" s="86">
        <f>IFERROR(__xludf.DUMMYFUNCTION("""COMPUTED_VALUE"""),46199.381937928236)</f>
        <v>46199.38194</v>
      </c>
      <c r="G841" s="86" t="str">
        <f>IFERROR(__xludf.DUMMYFUNCTION("""COMPUTED_VALUE"""),"Done")</f>
        <v>Done</v>
      </c>
      <c r="H841" s="88">
        <f>IFERROR(__xludf.DUMMYFUNCTION("""COMPUTED_VALUE"""),0.0)</f>
        <v>0</v>
      </c>
      <c r="I841" s="90" t="str">
        <f>IFERROR(__xludf.DUMMYFUNCTION("""COMPUTED_VALUE"""),"EMP0021 Tamanna Dewangan")</f>
        <v>EMP0021 Tamanna Dewangan</v>
      </c>
      <c r="J841" s="91"/>
    </row>
    <row r="842">
      <c r="B842" s="76" t="str">
        <f>IFERROR(__xludf.DUMMYFUNCTION("""COMPUTED_VALUE"""),"Check api id from database and download jrmxl file                                    ")</f>
        <v>Check api id from database and download jrmxl file                                    </v>
      </c>
      <c r="C842" s="82">
        <f>IFERROR(__xludf.DUMMYFUNCTION("""COMPUTED_VALUE"""),5302.0)</f>
        <v>5302</v>
      </c>
      <c r="D842" s="76" t="str">
        <f>IFERROR(__xludf.DUMMYFUNCTION("""COMPUTED_VALUE"""),"Analytics report")</f>
        <v>Analytics report</v>
      </c>
      <c r="E842" s="84">
        <f>IFERROR(__xludf.DUMMYFUNCTION("""COMPUTED_VALUE"""),46199.566666666666)</f>
        <v>46199.56667</v>
      </c>
      <c r="F842" s="86">
        <f>IFERROR(__xludf.DUMMYFUNCTION("""COMPUTED_VALUE"""),46199.381963182874)</f>
        <v>46199.38196</v>
      </c>
      <c r="G842" s="86" t="str">
        <f>IFERROR(__xludf.DUMMYFUNCTION("""COMPUTED_VALUE"""),"Done")</f>
        <v>Done</v>
      </c>
      <c r="H842" s="88">
        <f>IFERROR(__xludf.DUMMYFUNCTION("""COMPUTED_VALUE"""),0.0)</f>
        <v>0</v>
      </c>
      <c r="I842" s="90" t="str">
        <f>IFERROR(__xludf.DUMMYFUNCTION("""COMPUTED_VALUE"""),"EMP0021 Tamanna Dewangan")</f>
        <v>EMP0021 Tamanna Dewangan</v>
      </c>
      <c r="J842" s="91"/>
    </row>
    <row r="843">
      <c r="B843" s="76" t="str">
        <f>IFERROR(__xludf.DUMMYFUNCTION("""COMPUTED_VALUE"""),"Check api id from database and download jrmxl file                                    ")</f>
        <v>Check api id from database and download jrmxl file                                    </v>
      </c>
      <c r="C843" s="82">
        <f>IFERROR(__xludf.DUMMYFUNCTION("""COMPUTED_VALUE"""),5303.0)</f>
        <v>5303</v>
      </c>
      <c r="D843" s="76" t="str">
        <f>IFERROR(__xludf.DUMMYFUNCTION("""COMPUTED_VALUE"""),"otal Student and all matrix count mismatch Eg:999 College")</f>
        <v>otal Student and all matrix count mismatch Eg:999 College</v>
      </c>
      <c r="E843" s="84">
        <f>IFERROR(__xludf.DUMMYFUNCTION("""COMPUTED_VALUE"""),46199.56736111111)</f>
        <v>46199.56736</v>
      </c>
      <c r="F843" s="86">
        <f>IFERROR(__xludf.DUMMYFUNCTION("""COMPUTED_VALUE"""),46199.38199969908)</f>
        <v>46199.382</v>
      </c>
      <c r="G843" s="86" t="str">
        <f>IFERROR(__xludf.DUMMYFUNCTION("""COMPUTED_VALUE"""),"Done")</f>
        <v>Done</v>
      </c>
      <c r="H843" s="88">
        <f>IFERROR(__xludf.DUMMYFUNCTION("""COMPUTED_VALUE"""),0.0)</f>
        <v>0</v>
      </c>
      <c r="I843" s="90" t="str">
        <f>IFERROR(__xludf.DUMMYFUNCTION("""COMPUTED_VALUE"""),"EMP0021 Tamanna Dewangan")</f>
        <v>EMP0021 Tamanna Dewangan</v>
      </c>
      <c r="J843" s="91"/>
    </row>
    <row r="844">
      <c r="B844" s="76" t="str">
        <f>IFERROR(__xludf.DUMMYFUNCTION("""COMPUTED_VALUE"""),"Check api id from database and download jrmxl file                                    ")</f>
        <v>Check api id from database and download jrmxl file                                    </v>
      </c>
      <c r="C844" s="82">
        <f>IFERROR(__xludf.DUMMYFUNCTION("""COMPUTED_VALUE"""),5304.0)</f>
        <v>5304</v>
      </c>
      <c r="D844" s="76" t="str">
        <f>IFERROR(__xludf.DUMMYFUNCTION("""COMPUTED_VALUE"""),"otal Student and all matrix count mismatch Eg:999 College")</f>
        <v>otal Student and all matrix count mismatch Eg:999 College</v>
      </c>
      <c r="E844" s="84">
        <f>IFERROR(__xludf.DUMMYFUNCTION("""COMPUTED_VALUE"""),46199.56875)</f>
        <v>46199.56875</v>
      </c>
      <c r="F844" s="86">
        <f>IFERROR(__xludf.DUMMYFUNCTION("""COMPUTED_VALUE"""),46199.38276483797)</f>
        <v>46199.38276</v>
      </c>
      <c r="G844" s="86" t="str">
        <f>IFERROR(__xludf.DUMMYFUNCTION("""COMPUTED_VALUE"""),"Done")</f>
        <v>Done</v>
      </c>
      <c r="H844" s="88">
        <f>IFERROR(__xludf.DUMMYFUNCTION("""COMPUTED_VALUE"""),0.0)</f>
        <v>0</v>
      </c>
      <c r="I844" s="90" t="str">
        <f>IFERROR(__xludf.DUMMYFUNCTION("""COMPUTED_VALUE"""),"EMP0021 Tamanna Dewangan")</f>
        <v>EMP0021 Tamanna Dewangan</v>
      </c>
      <c r="J844" s="91"/>
    </row>
    <row r="845">
      <c r="B845" s="76" t="str">
        <f>IFERROR(__xludf.DUMMYFUNCTION("""COMPUTED_VALUE"""),"Check api id from database and download jrmxl file                                    ")</f>
        <v>Check api id from database and download jrmxl file                                    </v>
      </c>
      <c r="C845" s="82">
        <f>IFERROR(__xludf.DUMMYFUNCTION("""COMPUTED_VALUE"""),5305.0)</f>
        <v>5305</v>
      </c>
      <c r="D845" s="76" t="str">
        <f>IFERROR(__xludf.DUMMYFUNCTION("""COMPUTED_VALUE"""),"fee details")</f>
        <v>fee details</v>
      </c>
      <c r="E845" s="84">
        <f>IFERROR(__xludf.DUMMYFUNCTION("""COMPUTED_VALUE"""),46199.570138888885)</f>
        <v>46199.57014</v>
      </c>
      <c r="F845" s="86">
        <f>IFERROR(__xludf.DUMMYFUNCTION("""COMPUTED_VALUE"""),46199.3828029514)</f>
        <v>46199.3828</v>
      </c>
      <c r="G845" s="86" t="str">
        <f>IFERROR(__xludf.DUMMYFUNCTION("""COMPUTED_VALUE"""),"Done")</f>
        <v>Done</v>
      </c>
      <c r="H845" s="88">
        <f>IFERROR(__xludf.DUMMYFUNCTION("""COMPUTED_VALUE"""),0.0)</f>
        <v>0</v>
      </c>
      <c r="I845" s="90" t="str">
        <f>IFERROR(__xludf.DUMMYFUNCTION("""COMPUTED_VALUE"""),"EMP0021 Tamanna Dewangan")</f>
        <v>EMP0021 Tamanna Dewangan</v>
      </c>
      <c r="J845" s="91"/>
    </row>
    <row r="846">
      <c r="B846" s="76" t="str">
        <f>IFERROR(__xludf.DUMMYFUNCTION("""COMPUTED_VALUE"""),"Check api id from database and download jrmxl file                                    ")</f>
        <v>Check api id from database and download jrmxl file                                    </v>
      </c>
      <c r="C846" s="82">
        <f>IFERROR(__xludf.DUMMYFUNCTION("""COMPUTED_VALUE"""),5306.0)</f>
        <v>5306</v>
      </c>
      <c r="D846" s="76" t="str">
        <f>IFERROR(__xludf.DUMMYFUNCTION("""COMPUTED_VALUE"""),"DIGI LOKER Data new")</f>
        <v>DIGI LOKER Data new</v>
      </c>
      <c r="E846" s="84">
        <f>IFERROR(__xludf.DUMMYFUNCTION("""COMPUTED_VALUE"""),46199.62119570602)</f>
        <v>46199.6212</v>
      </c>
      <c r="F846" s="86">
        <f>IFERROR(__xludf.DUMMYFUNCTION("""COMPUTED_VALUE"""),46199.46737355325)</f>
        <v>46199.46737</v>
      </c>
      <c r="G846" s="86" t="str">
        <f>IFERROR(__xludf.DUMMYFUNCTION("""COMPUTED_VALUE"""),"Done")</f>
        <v>Done</v>
      </c>
      <c r="H846" s="88">
        <f>IFERROR(__xludf.DUMMYFUNCTION("""COMPUTED_VALUE"""),0.0)</f>
        <v>0</v>
      </c>
      <c r="I846" s="90" t="str">
        <f>IFERROR(__xludf.DUMMYFUNCTION("""COMPUTED_VALUE"""),"EMP5009 Rup Kumar Mandal")</f>
        <v>EMP5009 Rup Kumar Mandal</v>
      </c>
      <c r="J846" s="91"/>
    </row>
    <row r="847">
      <c r="B847" s="76" t="str">
        <f>IFERROR(__xludf.DUMMYFUNCTION("""COMPUTED_VALUE"""),"Check api id from database and download jrmxl file                                    ")</f>
        <v>Check api id from database and download jrmxl file                                    </v>
      </c>
      <c r="C847" s="82">
        <f>IFERROR(__xludf.DUMMYFUNCTION("""COMPUTED_VALUE"""),5307.0)</f>
        <v>5307</v>
      </c>
      <c r="D847" s="76" t="str">
        <f>IFERROR(__xludf.DUMMYFUNCTION("""COMPUTED_VALUE"""),"TR BCA ")</f>
        <v>TR BCA </v>
      </c>
      <c r="E847" s="84">
        <f>IFERROR(__xludf.DUMMYFUNCTION("""COMPUTED_VALUE"""),46200.493055555555)</f>
        <v>46200.49306</v>
      </c>
      <c r="F847" s="86">
        <f>IFERROR(__xludf.DUMMYFUNCTION("""COMPUTED_VALUE"""),46199.7686454514)</f>
        <v>46199.76865</v>
      </c>
      <c r="G847" s="86" t="str">
        <f>IFERROR(__xludf.DUMMYFUNCTION("""COMPUTED_VALUE"""),"Done")</f>
        <v>Done</v>
      </c>
      <c r="H847" s="88">
        <f>IFERROR(__xludf.DUMMYFUNCTION("""COMPUTED_VALUE"""),0.0)</f>
        <v>0</v>
      </c>
      <c r="I847" s="90" t="str">
        <f>IFERROR(__xludf.DUMMYFUNCTION("""COMPUTED_VALUE"""),"EMP0237 Swarnendu Chakraborty")</f>
        <v>EMP0237 Swarnendu Chakraborty</v>
      </c>
      <c r="J847" s="91"/>
    </row>
    <row r="848">
      <c r="B848" s="76" t="str">
        <f>IFERROR(__xludf.DUMMYFUNCTION("""COMPUTED_VALUE"""),"Check api id from database and download jrmxl file                                    ")</f>
        <v>Check api id from database and download jrmxl file                                    </v>
      </c>
      <c r="C848" s="82">
        <f>IFERROR(__xludf.DUMMYFUNCTION("""COMPUTED_VALUE"""),5308.0)</f>
        <v>5308</v>
      </c>
      <c r="D848" s="76" t="str">
        <f>IFERROR(__xludf.DUMMYFUNCTION("""COMPUTED_VALUE"""),"MULTIPLE REPORT ")</f>
        <v>MULTIPLE REPORT </v>
      </c>
      <c r="E848" s="84">
        <f>IFERROR(__xludf.DUMMYFUNCTION("""COMPUTED_VALUE"""),46200.51180555555)</f>
        <v>46200.51181</v>
      </c>
      <c r="F848" s="86">
        <f>IFERROR(__xludf.DUMMYFUNCTION("""COMPUTED_VALUE"""),46199.768667349534)</f>
        <v>46199.76867</v>
      </c>
      <c r="G848" s="86" t="str">
        <f>IFERROR(__xludf.DUMMYFUNCTION("""COMPUTED_VALUE"""),"Done")</f>
        <v>Done</v>
      </c>
      <c r="H848" s="88">
        <f>IFERROR(__xludf.DUMMYFUNCTION("""COMPUTED_VALUE"""),0.0)</f>
        <v>0</v>
      </c>
      <c r="I848" s="90" t="str">
        <f>IFERROR(__xludf.DUMMYFUNCTION("""COMPUTED_VALUE"""),"EMP0042 HULESHWAR KUMAR SAHU")</f>
        <v>EMP0042 HULESHWAR KUMAR SAHU</v>
      </c>
      <c r="J848" s="91"/>
    </row>
    <row r="849">
      <c r="B849" s="76" t="str">
        <f>IFERROR(__xludf.DUMMYFUNCTION("""COMPUTED_VALUE"""),"Check api id from database and download jrmxl file                                    ")</f>
        <v>Check api id from database and download jrmxl file                                    </v>
      </c>
      <c r="C849" s="82">
        <f>IFERROR(__xludf.DUMMYFUNCTION("""COMPUTED_VALUE"""),5309.0)</f>
        <v>5309</v>
      </c>
      <c r="D849" s="76" t="str">
        <f>IFERROR(__xludf.DUMMYFUNCTION("""COMPUTED_VALUE"""),"MULTIPLE REPORT")</f>
        <v>MULTIPLE REPORT</v>
      </c>
      <c r="E849" s="84">
        <f>IFERROR(__xludf.DUMMYFUNCTION("""COMPUTED_VALUE"""),46200.63835203704)</f>
        <v>46200.63835</v>
      </c>
      <c r="F849" s="86">
        <f>IFERROR(__xludf.DUMMYFUNCTION("""COMPUTED_VALUE"""),46200.49790616898)</f>
        <v>46200.49791</v>
      </c>
      <c r="G849" s="86" t="str">
        <f>IFERROR(__xludf.DUMMYFUNCTION("""COMPUTED_VALUE"""),"Done")</f>
        <v>Done</v>
      </c>
      <c r="H849" s="88">
        <f>IFERROR(__xludf.DUMMYFUNCTION("""COMPUTED_VALUE"""),0.0)</f>
        <v>0</v>
      </c>
      <c r="I849" s="90" t="str">
        <f>IFERROR(__xludf.DUMMYFUNCTION("""COMPUTED_VALUE"""),"EMP0042 HULESHWAR KUMAR SAHU")</f>
        <v>EMP0042 HULESHWAR KUMAR SAHU</v>
      </c>
      <c r="J849" s="91"/>
    </row>
    <row r="850">
      <c r="B850" s="76" t="str">
        <f>IFERROR(__xludf.DUMMYFUNCTION("""COMPUTED_VALUE"""),"Check api id from database and download jrmxl file                                    ")</f>
        <v>Check api id from database and download jrmxl file                                    </v>
      </c>
      <c r="C850" s="82">
        <f>IFERROR(__xludf.DUMMYFUNCTION("""COMPUTED_VALUE"""),5310.0)</f>
        <v>5310</v>
      </c>
      <c r="D850" s="76" t="str">
        <f>IFERROR(__xludf.DUMMYFUNCTION("""COMPUTED_VALUE"""),"TR/Result hosting -new cbcs tr ")</f>
        <v>TR/Result hosting -new cbcs tr </v>
      </c>
      <c r="E850" s="84">
        <f>IFERROR(__xludf.DUMMYFUNCTION("""COMPUTED_VALUE"""),46200.65428793981)</f>
        <v>46200.65429</v>
      </c>
      <c r="F850" s="86">
        <f>IFERROR(__xludf.DUMMYFUNCTION("""COMPUTED_VALUE"""),46200.49792927084)</f>
        <v>46200.49793</v>
      </c>
      <c r="G850" s="86" t="str">
        <f>IFERROR(__xludf.DUMMYFUNCTION("""COMPUTED_VALUE"""),"Done")</f>
        <v>Done</v>
      </c>
      <c r="H850" s="88">
        <f>IFERROR(__xludf.DUMMYFUNCTION("""COMPUTED_VALUE"""),0.0)</f>
        <v>0</v>
      </c>
      <c r="I850" s="90" t="str">
        <f>IFERROR(__xludf.DUMMYFUNCTION("""COMPUTED_VALUE"""),"EMP0237 Swarnendu Chakraborty")</f>
        <v>EMP0237 Swarnendu Chakraborty</v>
      </c>
      <c r="J850" s="91"/>
    </row>
    <row r="851">
      <c r="B851" s="76" t="str">
        <f>IFERROR(__xludf.DUMMYFUNCTION("""COMPUTED_VALUE"""),"Check api id from database and download jrmxl file                                    ")</f>
        <v>Check api id from database and download jrmxl file                                    </v>
      </c>
      <c r="C851" s="82">
        <f>IFERROR(__xludf.DUMMYFUNCTION("""COMPUTED_VALUE"""),5311.0)</f>
        <v>5311</v>
      </c>
      <c r="D851" s="76" t="str">
        <f>IFERROR(__xludf.DUMMYFUNCTION("""COMPUTED_VALUE"""),"nad")</f>
        <v>nad</v>
      </c>
      <c r="E851" s="84">
        <f>IFERROR(__xludf.DUMMYFUNCTION("""COMPUTED_VALUE"""),46202.51527777778)</f>
        <v>46202.51528</v>
      </c>
      <c r="F851" s="86">
        <f>IFERROR(__xludf.DUMMYFUNCTION("""COMPUTED_VALUE"""),46202.45771290509)</f>
        <v>46202.45771</v>
      </c>
      <c r="G851" s="86" t="str">
        <f>IFERROR(__xludf.DUMMYFUNCTION("""COMPUTED_VALUE"""),"Done")</f>
        <v>Done</v>
      </c>
      <c r="H851" s="88">
        <f>IFERROR(__xludf.DUMMYFUNCTION("""COMPUTED_VALUE"""),0.0)</f>
        <v>0</v>
      </c>
      <c r="I851" s="90" t="str">
        <f>IFERROR(__xludf.DUMMYFUNCTION("""COMPUTED_VALUE"""),"EMP5009 Rup Kumar Mandal")</f>
        <v>EMP5009 Rup Kumar Mandal</v>
      </c>
      <c r="J851" s="91"/>
    </row>
    <row r="852">
      <c r="B852" s="76" t="str">
        <f>IFERROR(__xludf.DUMMYFUNCTION("""COMPUTED_VALUE"""),"Check api id from database and download jrmxl file                                    ")</f>
        <v>Check api id from database and download jrmxl file                                    </v>
      </c>
      <c r="C852" s="82">
        <f>IFERROR(__xludf.DUMMYFUNCTION("""COMPUTED_VALUE"""),5312.0)</f>
        <v>5312</v>
      </c>
      <c r="D852" s="76" t="str">
        <f>IFERROR(__xludf.DUMMYFUNCTION("""COMPUTED_VALUE"""),"tr result new")</f>
        <v>tr result new</v>
      </c>
      <c r="E852" s="84">
        <f>IFERROR(__xludf.DUMMYFUNCTION("""COMPUTED_VALUE"""),46202.66120253472)</f>
        <v>46202.6612</v>
      </c>
      <c r="F852" s="86">
        <f>IFERROR(__xludf.DUMMYFUNCTION("""COMPUTED_VALUE"""),46202.512022916664)</f>
        <v>46202.51202</v>
      </c>
      <c r="G852" s="86" t="str">
        <f>IFERROR(__xludf.DUMMYFUNCTION("""COMPUTED_VALUE"""),"Done")</f>
        <v>Done</v>
      </c>
      <c r="H852" s="88">
        <f>IFERROR(__xludf.DUMMYFUNCTION("""COMPUTED_VALUE"""),0.0)</f>
        <v>0</v>
      </c>
      <c r="I852" s="90" t="str">
        <f>IFERROR(__xludf.DUMMYFUNCTION("""COMPUTED_VALUE"""),"EMP0042 HULESHWAR KUMAR SAHU")</f>
        <v>EMP0042 HULESHWAR KUMAR SAHU</v>
      </c>
      <c r="J852" s="91"/>
    </row>
    <row r="853">
      <c r="B853" s="76" t="str">
        <f>IFERROR(__xludf.DUMMYFUNCTION("""COMPUTED_VALUE"""),"Check api id from database and download jrmxl file                                    ")</f>
        <v>Check api id from database and download jrmxl file                                    </v>
      </c>
      <c r="C853" s="82">
        <f>IFERROR(__xludf.DUMMYFUNCTION("""COMPUTED_VALUE"""),5313.0)</f>
        <v>5313</v>
      </c>
      <c r="D853" s="76" t="str">
        <f>IFERROR(__xludf.DUMMYFUNCTION("""COMPUTED_VALUE"""),"Exam Programme")</f>
        <v>Exam Programme</v>
      </c>
      <c r="E853" s="84">
        <f>IFERROR(__xludf.DUMMYFUNCTION("""COMPUTED_VALUE"""),46203.45486111111)</f>
        <v>46203.45486</v>
      </c>
      <c r="F853" s="86">
        <f>IFERROR(__xludf.DUMMYFUNCTION("""COMPUTED_VALUE"""),46202.68753555555)</f>
        <v>46202.68754</v>
      </c>
      <c r="G853" s="86" t="str">
        <f>IFERROR(__xludf.DUMMYFUNCTION("""COMPUTED_VALUE"""),"Done")</f>
        <v>Done</v>
      </c>
      <c r="H853" s="88">
        <f>IFERROR(__xludf.DUMMYFUNCTION("""COMPUTED_VALUE"""),0.0)</f>
        <v>0</v>
      </c>
      <c r="I853" s="90" t="str">
        <f>IFERROR(__xludf.DUMMYFUNCTION("""COMPUTED_VALUE"""),"EMP0042 HULESHWAR KUMAR SAHU")</f>
        <v>EMP0042 HULESHWAR KUMAR SAHU</v>
      </c>
      <c r="J853" s="91"/>
    </row>
    <row r="854">
      <c r="B854" s="76" t="str">
        <f>IFERROR(__xludf.DUMMYFUNCTION("""COMPUTED_VALUE"""),"Check api id from database and download jrmxl file                                    ")</f>
        <v>Check api id from database and download jrmxl file                                    </v>
      </c>
      <c r="C854" s="82">
        <f>IFERROR(__xludf.DUMMYFUNCTION("""COMPUTED_VALUE"""),5314.0)</f>
        <v>5314</v>
      </c>
      <c r="D854" s="76" t="str">
        <f>IFERROR(__xludf.DUMMYFUNCTION("""COMPUTED_VALUE"""),"student data")</f>
        <v>student data</v>
      </c>
      <c r="E854" s="84">
        <f>IFERROR(__xludf.DUMMYFUNCTION("""COMPUTED_VALUE"""),46203.66278626157)</f>
        <v>46203.66279</v>
      </c>
      <c r="F854" s="86">
        <f>IFERROR(__xludf.DUMMYFUNCTION("""COMPUTED_VALUE"""),46203.54992741898)</f>
        <v>46203.54993</v>
      </c>
      <c r="G854" s="86" t="str">
        <f>IFERROR(__xludf.DUMMYFUNCTION("""COMPUTED_VALUE"""),"Done")</f>
        <v>Done</v>
      </c>
      <c r="H854" s="88">
        <f>IFERROR(__xludf.DUMMYFUNCTION("""COMPUTED_VALUE"""),0.0)</f>
        <v>0</v>
      </c>
      <c r="I854" s="90" t="str">
        <f>IFERROR(__xludf.DUMMYFUNCTION("""COMPUTED_VALUE"""),"EMP0042 HULESHWAR KUMAR SAHU")</f>
        <v>EMP0042 HULESHWAR KUMAR SAHU</v>
      </c>
      <c r="J854" s="91"/>
    </row>
    <row r="855">
      <c r="B855" s="76" t="str">
        <f>IFERROR(__xludf.DUMMYFUNCTION("""COMPUTED_VALUE"""),"Check api id from database and download jrmxl file                                    ")</f>
        <v>Check api id from database and download jrmxl file                                    </v>
      </c>
      <c r="C855" s="82">
        <f>IFERROR(__xludf.DUMMYFUNCTION("""COMPUTED_VALUE"""),5315.0)</f>
        <v>5315</v>
      </c>
      <c r="D855" s="76" t="str">
        <f>IFERROR(__xludf.DUMMYFUNCTION("""COMPUTED_VALUE"""),"Result Datils ")</f>
        <v>Result Datils </v>
      </c>
      <c r="E855" s="84">
        <f>IFERROR(__xludf.DUMMYFUNCTION("""COMPUTED_VALUE"""),46203.680727962965)</f>
        <v>46203.68073</v>
      </c>
      <c r="F855" s="86">
        <f>IFERROR(__xludf.DUMMYFUNCTION("""COMPUTED_VALUE"""),46203.54994782407)</f>
        <v>46203.54995</v>
      </c>
      <c r="G855" s="86" t="str">
        <f>IFERROR(__xludf.DUMMYFUNCTION("""COMPUTED_VALUE"""),"Done")</f>
        <v>Done</v>
      </c>
      <c r="H855" s="88">
        <f>IFERROR(__xludf.DUMMYFUNCTION("""COMPUTED_VALUE"""),0.0)</f>
        <v>0</v>
      </c>
      <c r="I855" s="90" t="str">
        <f>IFERROR(__xludf.DUMMYFUNCTION("""COMPUTED_VALUE"""),"EMP0237 Swarnendu Chakraborty")</f>
        <v>EMP0237 Swarnendu Chakraborty</v>
      </c>
      <c r="J855" s="91"/>
    </row>
    <row r="856">
      <c r="B856" s="76" t="str">
        <f>IFERROR(__xludf.DUMMYFUNCTION("""COMPUTED_VALUE"""),"Check api id from database and download jrmxl file                                    ")</f>
        <v>Check api id from database and download jrmxl file                                    </v>
      </c>
      <c r="C856" s="82">
        <f>IFERROR(__xludf.DUMMYFUNCTION("""COMPUTED_VALUE"""),5316.0)</f>
        <v>5316</v>
      </c>
      <c r="D856" s="76" t="str">
        <f>IFERROR(__xludf.DUMMYFUNCTION("""COMPUTED_VALUE"""),"mark entery  report")</f>
        <v>mark entery  report</v>
      </c>
      <c r="E856" s="84">
        <f>IFERROR(__xludf.DUMMYFUNCTION("""COMPUTED_VALUE"""),46203.77859547454)</f>
        <v>46203.7786</v>
      </c>
      <c r="F856" s="86">
        <f>IFERROR(__xludf.DUMMYFUNCTION("""COMPUTED_VALUE"""),46203.67491984954)</f>
        <v>46203.67492</v>
      </c>
      <c r="G856" s="86" t="str">
        <f>IFERROR(__xludf.DUMMYFUNCTION("""COMPUTED_VALUE"""),"Done")</f>
        <v>Done</v>
      </c>
      <c r="H856" s="88">
        <f>IFERROR(__xludf.DUMMYFUNCTION("""COMPUTED_VALUE"""),0.0)</f>
        <v>0</v>
      </c>
      <c r="I856" s="90" t="str">
        <f>IFERROR(__xludf.DUMMYFUNCTION("""COMPUTED_VALUE"""),"EMP0042 HULESHWAR KUMAR SAHU")</f>
        <v>EMP0042 HULESHWAR KUMAR SAHU</v>
      </c>
      <c r="J856" s="91"/>
    </row>
    <row r="857">
      <c r="B857" s="76" t="str">
        <f>IFERROR(__xludf.DUMMYFUNCTION("""COMPUTED_VALUE"""),"Check api id from database and download jrmxl file                                    ")</f>
        <v>Check api id from database and download jrmxl file                                    </v>
      </c>
      <c r="C857" s="82">
        <f>IFERROR(__xludf.DUMMYFUNCTION("""COMPUTED_VALUE"""),5317.0)</f>
        <v>5317</v>
      </c>
      <c r="D857" s="76" t="str">
        <f>IFERROR(__xludf.DUMMYFUNCTION("""COMPUTED_VALUE"""),"TR PARAMEDICAL NEW LOGIC")</f>
        <v>TR PARAMEDICAL NEW LOGIC</v>
      </c>
      <c r="E857" s="84">
        <f>IFERROR(__xludf.DUMMYFUNCTION("""COMPUTED_VALUE"""),46203.82000744213)</f>
        <v>46203.82001</v>
      </c>
      <c r="F857" s="86">
        <f>IFERROR(__xludf.DUMMYFUNCTION("""COMPUTED_VALUE"""),46203.675127083334)</f>
        <v>46203.67513</v>
      </c>
      <c r="G857" s="86" t="str">
        <f>IFERROR(__xludf.DUMMYFUNCTION("""COMPUTED_VALUE"""),"Done")</f>
        <v>Done</v>
      </c>
      <c r="H857" s="88">
        <f>IFERROR(__xludf.DUMMYFUNCTION("""COMPUTED_VALUE"""),0.0)</f>
        <v>0</v>
      </c>
      <c r="I857" s="90" t="str">
        <f>IFERROR(__xludf.DUMMYFUNCTION("""COMPUTED_VALUE"""),"EMP0042 HULESHWAR KUMAR SAHU")</f>
        <v>EMP0042 HULESHWAR KUMAR SAHU</v>
      </c>
      <c r="J857" s="91"/>
    </row>
    <row r="858">
      <c r="B858" s="76" t="str">
        <f>IFERROR(__xludf.DUMMYFUNCTION("""COMPUTED_VALUE"""),"Check api id from database and download jrmxl file                                    ")</f>
        <v>Check api id from database and download jrmxl file                                    </v>
      </c>
      <c r="C858" s="82">
        <f>IFERROR(__xludf.DUMMYFUNCTION("""COMPUTED_VALUE"""),5318.0)</f>
        <v>5318</v>
      </c>
      <c r="D858" s="76" t="str">
        <f>IFERROR(__xludf.DUMMYFUNCTION("""COMPUTED_VALUE"""),"Multiple Report (Transcript)")</f>
        <v>Multiple Report (Transcript)</v>
      </c>
      <c r="E858" s="84">
        <f>IFERROR(__xludf.DUMMYFUNCTION("""COMPUTED_VALUE"""),46204.44097222222)</f>
        <v>46204.44097</v>
      </c>
      <c r="F858" s="86">
        <f>IFERROR(__xludf.DUMMYFUNCTION("""COMPUTED_VALUE"""),46203.675127083334)</f>
        <v>46203.67513</v>
      </c>
      <c r="G858" s="86" t="str">
        <f>IFERROR(__xludf.DUMMYFUNCTION("""COMPUTED_VALUE"""),"Done")</f>
        <v>Done</v>
      </c>
      <c r="H858" s="88">
        <f>IFERROR(__xludf.DUMMYFUNCTION("""COMPUTED_VALUE"""),0.0)</f>
        <v>0</v>
      </c>
      <c r="I858" s="90" t="str">
        <f>IFERROR(__xludf.DUMMYFUNCTION("""COMPUTED_VALUE"""),"EMP0237 Swarnendu Chakraborty")</f>
        <v>EMP0237 Swarnendu Chakraborty</v>
      </c>
      <c r="J858" s="91"/>
    </row>
    <row r="859">
      <c r="B859" s="76" t="str">
        <f>IFERROR(__xludf.DUMMYFUNCTION("""COMPUTED_VALUE"""),"Check api id from database and download jrmxl file                                    ")</f>
        <v>Check api id from database and download jrmxl file                                    </v>
      </c>
      <c r="C859" s="82">
        <f>IFERROR(__xludf.DUMMYFUNCTION("""COMPUTED_VALUE"""),5319.0)</f>
        <v>5319</v>
      </c>
      <c r="D859" s="76" t="str">
        <f>IFERROR(__xludf.DUMMYFUNCTION("""COMPUTED_VALUE"""),"2577")</f>
        <v>2577</v>
      </c>
      <c r="E859" s="84">
        <f>IFERROR(__xludf.DUMMYFUNCTION("""COMPUTED_VALUE"""),46204.60972222222)</f>
        <v>46204.60972</v>
      </c>
      <c r="F859" s="86">
        <f>IFERROR(__xludf.DUMMYFUNCTION("""COMPUTED_VALUE"""),46204.43944711806)</f>
        <v>46204.43945</v>
      </c>
      <c r="G859" s="86" t="str">
        <f>IFERROR(__xludf.DUMMYFUNCTION("""COMPUTED_VALUE"""),"Done")</f>
        <v>Done</v>
      </c>
      <c r="H859" s="88">
        <f>IFERROR(__xludf.DUMMYFUNCTION("""COMPUTED_VALUE"""),0.0)</f>
        <v>0</v>
      </c>
      <c r="I859" s="90" t="str">
        <f>IFERROR(__xludf.DUMMYFUNCTION("""COMPUTED_VALUE"""),"EMP5009 Rup Kumar Mandal")</f>
        <v>EMP5009 Rup Kumar Mandal</v>
      </c>
      <c r="J859" s="91"/>
    </row>
    <row r="860">
      <c r="B860" s="76" t="str">
        <f>IFERROR(__xludf.DUMMYFUNCTION("""COMPUTED_VALUE"""),"Check api id from database and download jrmxl file                                    ")</f>
        <v>Check api id from database and download jrmxl file                                    </v>
      </c>
      <c r="C860" s="82">
        <f>IFERROR(__xludf.DUMMYFUNCTION("""COMPUTED_VALUE"""),5320.0)</f>
        <v>5320</v>
      </c>
      <c r="D860" s="76" t="str">
        <f>IFERROR(__xludf.DUMMYFUNCTION("""COMPUTED_VALUE"""),"Analysis")</f>
        <v>Analysis</v>
      </c>
      <c r="E860" s="84">
        <f>IFERROR(__xludf.DUMMYFUNCTION("""COMPUTED_VALUE"""),46204.80591700231)</f>
        <v>46204.80592</v>
      </c>
      <c r="F860" s="86">
        <f>IFERROR(__xludf.DUMMYFUNCTION("""COMPUTED_VALUE"""),46204.64122194445)</f>
        <v>46204.64122</v>
      </c>
      <c r="G860" s="86" t="str">
        <f>IFERROR(__xludf.DUMMYFUNCTION("""COMPUTED_VALUE"""),"Done")</f>
        <v>Done</v>
      </c>
      <c r="H860" s="88">
        <f>IFERROR(__xludf.DUMMYFUNCTION("""COMPUTED_VALUE"""),0.0)</f>
        <v>0</v>
      </c>
      <c r="I860" s="90" t="str">
        <f>IFERROR(__xludf.DUMMYFUNCTION("""COMPUTED_VALUE"""),"EMP0021 Tamanna Dewangan")</f>
        <v>EMP0021 Tamanna Dewangan</v>
      </c>
      <c r="J860" s="91"/>
    </row>
    <row r="861">
      <c r="B861" s="76" t="str">
        <f>IFERROR(__xludf.DUMMYFUNCTION("""COMPUTED_VALUE"""),"Check api id from database and download jrmxl file                                    ")</f>
        <v>Check api id from database and download jrmxl file                                    </v>
      </c>
      <c r="C861" s="82">
        <f>IFERROR(__xludf.DUMMYFUNCTION("""COMPUTED_VALUE"""),5321.0)</f>
        <v>5321</v>
      </c>
      <c r="D861" s="76" t="str">
        <f>IFERROR(__xludf.DUMMYFUNCTION("""COMPUTED_VALUE"""),"Analysis")</f>
        <v>Analysis</v>
      </c>
      <c r="E861" s="84">
        <f>IFERROR(__xludf.DUMMYFUNCTION("""COMPUTED_VALUE"""),46204.80722954861)</f>
        <v>46204.80723</v>
      </c>
      <c r="F861" s="86">
        <f>IFERROR(__xludf.DUMMYFUNCTION("""COMPUTED_VALUE"""),46204.64127584491)</f>
        <v>46204.64128</v>
      </c>
      <c r="G861" s="86" t="str">
        <f>IFERROR(__xludf.DUMMYFUNCTION("""COMPUTED_VALUE"""),"Done")</f>
        <v>Done</v>
      </c>
      <c r="H861" s="88">
        <f>IFERROR(__xludf.DUMMYFUNCTION("""COMPUTED_VALUE"""),0.0)</f>
        <v>0</v>
      </c>
      <c r="I861" s="90" t="str">
        <f>IFERROR(__xludf.DUMMYFUNCTION("""COMPUTED_VALUE"""),"EMP0021 Tamanna Dewangan")</f>
        <v>EMP0021 Tamanna Dewangan</v>
      </c>
      <c r="J861" s="91"/>
    </row>
    <row r="862">
      <c r="B862" s="76" t="str">
        <f>IFERROR(__xludf.DUMMYFUNCTION("""COMPUTED_VALUE"""),"Check api id from database and download jrmxl file                                    ")</f>
        <v>Check api id from database and download jrmxl file                                    </v>
      </c>
      <c r="C862" s="82">
        <f>IFERROR(__xludf.DUMMYFUNCTION("""COMPUTED_VALUE"""),5322.0)</f>
        <v>5322</v>
      </c>
      <c r="D862" s="76" t="str">
        <f>IFERROR(__xludf.DUMMYFUNCTION("""COMPUTED_VALUE"""),"Analysis")</f>
        <v>Analysis</v>
      </c>
      <c r="E862" s="84">
        <f>IFERROR(__xludf.DUMMYFUNCTION("""COMPUTED_VALUE"""),46204.80827560185)</f>
        <v>46204.80828</v>
      </c>
      <c r="F862" s="86">
        <f>IFERROR(__xludf.DUMMYFUNCTION("""COMPUTED_VALUE"""),46204.64124957177)</f>
        <v>46204.64125</v>
      </c>
      <c r="G862" s="86" t="str">
        <f>IFERROR(__xludf.DUMMYFUNCTION("""COMPUTED_VALUE"""),"Done")</f>
        <v>Done</v>
      </c>
      <c r="H862" s="88">
        <f>IFERROR(__xludf.DUMMYFUNCTION("""COMPUTED_VALUE"""),0.0)</f>
        <v>0</v>
      </c>
      <c r="I862" s="90" t="str">
        <f>IFERROR(__xludf.DUMMYFUNCTION("""COMPUTED_VALUE"""),"EMP0021 Tamanna Dewangan")</f>
        <v>EMP0021 Tamanna Dewangan</v>
      </c>
      <c r="J862" s="91"/>
    </row>
    <row r="863">
      <c r="B863" s="76" t="str">
        <f>IFERROR(__xludf.DUMMYFUNCTION("""COMPUTED_VALUE"""),"Check api id from database and download jrmxl file                                    ")</f>
        <v>Check api id from database and download jrmxl file                                    </v>
      </c>
      <c r="C863" s="82">
        <f>IFERROR(__xludf.DUMMYFUNCTION("""COMPUTED_VALUE"""),5323.0)</f>
        <v>5323</v>
      </c>
      <c r="D863" s="76" t="str">
        <f>IFERROR(__xludf.DUMMYFUNCTION("""COMPUTED_VALUE"""),"TR AGRICULTURE 1st To 8th sem supply")</f>
        <v>TR AGRICULTURE 1st To 8th sem supply</v>
      </c>
      <c r="E863" s="84">
        <f>IFERROR(__xludf.DUMMYFUNCTION("""COMPUTED_VALUE"""),46204.81123269676)</f>
        <v>46204.81123</v>
      </c>
      <c r="F863" s="86">
        <f>IFERROR(__xludf.DUMMYFUNCTION("""COMPUTED_VALUE"""),46204.64127778935)</f>
        <v>46204.64128</v>
      </c>
      <c r="G863" s="86" t="str">
        <f>IFERROR(__xludf.DUMMYFUNCTION("""COMPUTED_VALUE"""),"Done")</f>
        <v>Done</v>
      </c>
      <c r="H863" s="88">
        <f>IFERROR(__xludf.DUMMYFUNCTION("""COMPUTED_VALUE"""),0.0)</f>
        <v>0</v>
      </c>
      <c r="I863" s="90" t="str">
        <f>IFERROR(__xludf.DUMMYFUNCTION("""COMPUTED_VALUE"""),"EMP0042 HULESHWAR KUMAR SAHU")</f>
        <v>EMP0042 HULESHWAR KUMAR SAHU</v>
      </c>
      <c r="J863" s="91"/>
    </row>
    <row r="864">
      <c r="B864" s="76" t="str">
        <f>IFERROR(__xludf.DUMMYFUNCTION("""COMPUTED_VALUE"""),"Check api id from database and download jrmxl file                                    ")</f>
        <v>Check api id from database and download jrmxl file                                    </v>
      </c>
      <c r="C864" s="82">
        <f>IFERROR(__xludf.DUMMYFUNCTION("""COMPUTED_VALUE"""),5324.0)</f>
        <v>5324</v>
      </c>
      <c r="D864" s="76" t="str">
        <f>IFERROR(__xludf.DUMMYFUNCTION("""COMPUTED_VALUE"""),"OLD DMC REPORT")</f>
        <v>OLD DMC REPORT</v>
      </c>
      <c r="E864" s="84">
        <f>IFERROR(__xludf.DUMMYFUNCTION("""COMPUTED_VALUE"""),46205.430555555555)</f>
        <v>46205.43056</v>
      </c>
      <c r="F864" s="86">
        <f>IFERROR(__xludf.DUMMYFUNCTION("""COMPUTED_VALUE"""),46204.68541212963)</f>
        <v>46204.68541</v>
      </c>
      <c r="G864" s="86" t="str">
        <f>IFERROR(__xludf.DUMMYFUNCTION("""COMPUTED_VALUE"""),"Done")</f>
        <v>Done</v>
      </c>
      <c r="H864" s="88">
        <f>IFERROR(__xludf.DUMMYFUNCTION("""COMPUTED_VALUE"""),0.0)</f>
        <v>0</v>
      </c>
      <c r="I864" s="90" t="str">
        <f>IFERROR(__xludf.DUMMYFUNCTION("""COMPUTED_VALUE"""),"EMP0237 Swarnendu Chakraborty")</f>
        <v>EMP0237 Swarnendu Chakraborty</v>
      </c>
      <c r="J864" s="91"/>
    </row>
    <row r="865">
      <c r="B865" s="76" t="str">
        <f>IFERROR(__xludf.DUMMYFUNCTION("""COMPUTED_VALUE"""),"Check api id from database and download jrmxl file                                    ")</f>
        <v>Check api id from database and download jrmxl file                                    </v>
      </c>
      <c r="C865" s="82">
        <f>IFERROR(__xludf.DUMMYFUNCTION("""COMPUTED_VALUE"""),5325.0)</f>
        <v>5325</v>
      </c>
      <c r="D865" s="76" t="str">
        <f>IFERROR(__xludf.DUMMYFUNCTION("""COMPUTED_VALUE"""),"REVEL")</f>
        <v>REVEL</v>
      </c>
      <c r="E865" s="84">
        <f>IFERROR(__xludf.DUMMYFUNCTION("""COMPUTED_VALUE"""),46206.50833333333)</f>
        <v>46206.50833</v>
      </c>
      <c r="F865" s="86">
        <f>IFERROR(__xludf.DUMMYFUNCTION("""COMPUTED_VALUE"""),46206.4695442824)</f>
        <v>46206.46954</v>
      </c>
      <c r="G865" s="86" t="str">
        <f>IFERROR(__xludf.DUMMYFUNCTION("""COMPUTED_VALUE"""),"Done")</f>
        <v>Done</v>
      </c>
      <c r="H865" s="88">
        <f>IFERROR(__xludf.DUMMYFUNCTION("""COMPUTED_VALUE"""),0.0)</f>
        <v>0</v>
      </c>
      <c r="I865" s="90" t="str">
        <f>IFERROR(__xludf.DUMMYFUNCTION("""COMPUTED_VALUE"""),"EMP0042 HULESHWAR KUMAR SAHU")</f>
        <v>EMP0042 HULESHWAR KUMAR SAHU</v>
      </c>
      <c r="J865" s="91"/>
    </row>
    <row r="866">
      <c r="B866" s="76" t="str">
        <f>IFERROR(__xludf.DUMMYFUNCTION("""COMPUTED_VALUE"""),"Check api id from database and download jrmxl file                                    ")</f>
        <v>Check api id from database and download jrmxl file                                    </v>
      </c>
      <c r="C866" s="82">
        <f>IFERROR(__xludf.DUMMYFUNCTION("""COMPUTED_VALUE"""),5326.0)</f>
        <v>5326</v>
      </c>
      <c r="D866" s="76" t="str">
        <f>IFERROR(__xludf.DUMMYFUNCTION("""COMPUTED_VALUE"""),"Attendance Sheet Re Appear HCEK-203 - Happy College of Education, Railway Station, Kosli (Rewari) Annual ( Annual) UG (B.ED(ADDI))-BACHELOR OF EDUCATION(additional)_SE22")</f>
        <v>Attendance Sheet Re Appear HCEK-203 - Happy College of Education, Railway Station, Kosli (Rewari) Annual ( Annual) UG (B.ED(ADDI))-BACHELOR OF EDUCATION(additional)_SE22</v>
      </c>
      <c r="E866" s="84">
        <f>IFERROR(__xludf.DUMMYFUNCTION("""COMPUTED_VALUE"""),46206.64292673611)</f>
        <v>46206.64293</v>
      </c>
      <c r="F866" s="86">
        <f>IFERROR(__xludf.DUMMYFUNCTION("""COMPUTED_VALUE"""),46206.46972825232)</f>
        <v>46206.46973</v>
      </c>
      <c r="G866" s="86" t="str">
        <f>IFERROR(__xludf.DUMMYFUNCTION("""COMPUTED_VALUE"""),"Done")</f>
        <v>Done</v>
      </c>
      <c r="H866" s="88">
        <f>IFERROR(__xludf.DUMMYFUNCTION("""COMPUTED_VALUE"""),0.0)</f>
        <v>0</v>
      </c>
      <c r="I866" s="90" t="str">
        <f>IFERROR(__xludf.DUMMYFUNCTION("""COMPUTED_VALUE"""),"EMP0042 HULESHWAR KUMAR SAHU")</f>
        <v>EMP0042 HULESHWAR KUMAR SAHU</v>
      </c>
      <c r="J866" s="91"/>
    </row>
    <row r="867">
      <c r="B867" s="76" t="str">
        <f>IFERROR(__xludf.DUMMYFUNCTION("""COMPUTED_VALUE"""),"Check api id from database and download jrmxl file                                    ")</f>
        <v>Check api id from database and download jrmxl file                                    </v>
      </c>
      <c r="C867" s="82">
        <f>IFERROR(__xludf.DUMMYFUNCTION("""COMPUTED_VALUE"""),5327.0)</f>
        <v>5327</v>
      </c>
      <c r="D867" s="76" t="str">
        <f>IFERROR(__xludf.DUMMYFUNCTION("""COMPUTED_VALUE"""),"Theory Attendance Sheet SCEM-188 - Saraswati College of Education, Majra Kalan, Mohindergarh Annual ( Annual) UG BACHELOR OF EDUCATION(additional) ( B.ED(ADDI))_SE22")</f>
        <v>Theory Attendance Sheet SCEM-188 - Saraswati College of Education, Majra Kalan, Mohindergarh Annual ( Annual) UG BACHELOR OF EDUCATION(additional) ( B.ED(ADDI))_SE22</v>
      </c>
      <c r="E867" s="84">
        <f>IFERROR(__xludf.DUMMYFUNCTION("""COMPUTED_VALUE"""),46206.64454478009)</f>
        <v>46206.64454</v>
      </c>
      <c r="F867" s="86">
        <f>IFERROR(__xludf.DUMMYFUNCTION("""COMPUTED_VALUE"""),46206.4810846875)</f>
        <v>46206.48108</v>
      </c>
      <c r="G867" s="86" t="str">
        <f>IFERROR(__xludf.DUMMYFUNCTION("""COMPUTED_VALUE"""),"Done")</f>
        <v>Done</v>
      </c>
      <c r="H867" s="88">
        <f>IFERROR(__xludf.DUMMYFUNCTION("""COMPUTED_VALUE"""),0.0)</f>
        <v>0</v>
      </c>
      <c r="I867" s="90" t="str">
        <f>IFERROR(__xludf.DUMMYFUNCTION("""COMPUTED_VALUE"""),"EMP0021 Tamanna Dewangan")</f>
        <v>EMP0021 Tamanna Dewangan</v>
      </c>
      <c r="J867" s="91"/>
    </row>
    <row r="868">
      <c r="B868" s="76" t="str">
        <f>IFERROR(__xludf.DUMMYFUNCTION("""COMPUTED_VALUE"""),"Check api id from database and download jrmxl file                                    ")</f>
        <v>Check api id from database and download jrmxl file                                    </v>
      </c>
      <c r="C868" s="82">
        <f>IFERROR(__xludf.DUMMYFUNCTION("""COMPUTED_VALUE"""),5328.0)</f>
        <v>5328</v>
      </c>
      <c r="D868" s="76" t="str">
        <f>IFERROR(__xludf.DUMMYFUNCTION("""COMPUTED_VALUE"""),"CBCS AND CGP 8th SEM (FINAL TR COMBINED) Eighth Semester ( Sem - 8) UG BACHELOR OF HOTEL MANAGEMENT &amp; CATERING TECHNOLOGY (B.H.M.C.T) ( B.H.M.C.T)_SE22")</f>
        <v>CBCS AND CGP 8th SEM (FINAL TR COMBINED) Eighth Semester ( Sem - 8) UG BACHELOR OF HOTEL MANAGEMENT &amp; CATERING TECHNOLOGY (B.H.M.C.T) ( B.H.M.C.T)_SE22</v>
      </c>
      <c r="E868" s="84">
        <f>IFERROR(__xludf.DUMMYFUNCTION("""COMPUTED_VALUE"""),46206.66506554398)</f>
        <v>46206.66507</v>
      </c>
      <c r="F868" s="86">
        <f>IFERROR(__xludf.DUMMYFUNCTION("""COMPUTED_VALUE"""),46206.49682157408)</f>
        <v>46206.49682</v>
      </c>
      <c r="G868" s="86" t="str">
        <f>IFERROR(__xludf.DUMMYFUNCTION("""COMPUTED_VALUE"""),"Done")</f>
        <v>Done</v>
      </c>
      <c r="H868" s="88">
        <f>IFERROR(__xludf.DUMMYFUNCTION("""COMPUTED_VALUE"""),0.0)</f>
        <v>0</v>
      </c>
      <c r="I868" s="90" t="str">
        <f>IFERROR(__xludf.DUMMYFUNCTION("""COMPUTED_VALUE"""),"EMP0042 HULESHWAR KUMAR SAHU")</f>
        <v>EMP0042 HULESHWAR KUMAR SAHU</v>
      </c>
      <c r="J868" s="91"/>
    </row>
    <row r="869">
      <c r="B869" s="76" t="str">
        <f>IFERROR(__xludf.DUMMYFUNCTION("""COMPUTED_VALUE"""),"Check api id from database and download jrmxl file                                    ")</f>
        <v>Check api id from database and download jrmxl file                                    </v>
      </c>
      <c r="C869" s="82">
        <f>IFERROR(__xludf.DUMMYFUNCTION("""COMPUTED_VALUE"""),5329.0)</f>
        <v>5329</v>
      </c>
      <c r="D869" s="76" t="str">
        <f>IFERROR(__xludf.DUMMYFUNCTION("""COMPUTED_VALUE"""),"TR NEW AGRICULTURE AND ALL")</f>
        <v>TR NEW AGRICULTURE AND ALL</v>
      </c>
      <c r="E869" s="84">
        <f>IFERROR(__xludf.DUMMYFUNCTION("""COMPUTED_VALUE"""),46206.72444258101)</f>
        <v>46206.72444</v>
      </c>
      <c r="F869" s="86">
        <f>IFERROR(__xludf.DUMMYFUNCTION("""COMPUTED_VALUE"""),46206.55214842593)</f>
        <v>46206.55215</v>
      </c>
      <c r="G869" s="86" t="str">
        <f>IFERROR(__xludf.DUMMYFUNCTION("""COMPUTED_VALUE"""),"Done")</f>
        <v>Done</v>
      </c>
      <c r="H869" s="88">
        <f>IFERROR(__xludf.DUMMYFUNCTION("""COMPUTED_VALUE"""),0.0)</f>
        <v>0</v>
      </c>
      <c r="I869" s="90" t="str">
        <f>IFERROR(__xludf.DUMMYFUNCTION("""COMPUTED_VALUE"""),"EMP0042 HULESHWAR KUMAR SAHU")</f>
        <v>EMP0042 HULESHWAR KUMAR SAHU</v>
      </c>
      <c r="J869" s="91"/>
    </row>
    <row r="870">
      <c r="B870" s="76" t="str">
        <f>IFERROR(__xludf.DUMMYFUNCTION("""COMPUTED_VALUE"""),"Check api id from database and download jrmxl file                                    ")</f>
        <v>Check api id from database and download jrmxl file                                    </v>
      </c>
      <c r="C870" s="82">
        <f>IFERROR(__xludf.DUMMYFUNCTION("""COMPUTED_VALUE"""),5330.0)</f>
        <v>5330</v>
      </c>
      <c r="D870" s="76" t="str">
        <f>IFERROR(__xludf.DUMMYFUNCTION("""COMPUTED_VALUE"""),"B.ED ADDITIONAL ANNUAL ATTENDENCE SHEET  RESOLVED ")</f>
        <v>B.ED ADDITIONAL ANNUAL ATTENDENCE SHEET  RESOLVED </v>
      </c>
      <c r="E870" s="84">
        <f>IFERROR(__xludf.DUMMYFUNCTION("""COMPUTED_VALUE"""),46207.45694444445)</f>
        <v>46207.45694</v>
      </c>
      <c r="F870" s="86">
        <f>IFERROR(__xludf.DUMMYFUNCTION("""COMPUTED_VALUE"""),46206.80403266203)</f>
        <v>46206.80403</v>
      </c>
      <c r="G870" s="86" t="str">
        <f>IFERROR(__xludf.DUMMYFUNCTION("""COMPUTED_VALUE"""),"Done")</f>
        <v>Done</v>
      </c>
      <c r="H870" s="88">
        <f>IFERROR(__xludf.DUMMYFUNCTION("""COMPUTED_VALUE"""),0.0)</f>
        <v>0</v>
      </c>
      <c r="I870" s="90" t="str">
        <f>IFERROR(__xludf.DUMMYFUNCTION("""COMPUTED_VALUE"""),"EMP5009 Rup Kumar Mandal")</f>
        <v>EMP5009 Rup Kumar Mandal</v>
      </c>
      <c r="J870" s="91"/>
    </row>
    <row r="871">
      <c r="B871" s="76" t="str">
        <f>IFERROR(__xludf.DUMMYFUNCTION("""COMPUTED_VALUE"""),"Check api id from database and download jrmxl file                                    ")</f>
        <v>Check api id from database and download jrmxl file                                    </v>
      </c>
      <c r="C871" s="82">
        <f>IFERROR(__xludf.DUMMYFUNCTION("""COMPUTED_VALUE"""),5331.0)</f>
        <v>5331</v>
      </c>
      <c r="D871" s="76" t="str">
        <f>IFERROR(__xludf.DUMMYFUNCTION("""COMPUTED_VALUE"""),"Correction")</f>
        <v>Correction</v>
      </c>
      <c r="E871" s="84">
        <f>IFERROR(__xludf.DUMMYFUNCTION("""COMPUTED_VALUE"""),46207.5125)</f>
        <v>46207.5125</v>
      </c>
      <c r="F871" s="86">
        <f>IFERROR(__xludf.DUMMYFUNCTION("""COMPUTED_VALUE"""),46206.80389662037)</f>
        <v>46206.8039</v>
      </c>
      <c r="G871" s="86" t="str">
        <f>IFERROR(__xludf.DUMMYFUNCTION("""COMPUTED_VALUE"""),"Done")</f>
        <v>Done</v>
      </c>
      <c r="H871" s="88">
        <f>IFERROR(__xludf.DUMMYFUNCTION("""COMPUTED_VALUE"""),0.0)</f>
        <v>0</v>
      </c>
      <c r="I871" s="90" t="str">
        <f>IFERROR(__xludf.DUMMYFUNCTION("""COMPUTED_VALUE"""),"EMP5009 Rup Kumar Mandal")</f>
        <v>EMP5009 Rup Kumar Mandal</v>
      </c>
      <c r="J871" s="91"/>
    </row>
    <row r="872">
      <c r="B872" s="76" t="str">
        <f>IFERROR(__xludf.DUMMYFUNCTION("""COMPUTED_VALUE"""),"Check api id from database and download jrmxl file                                    ")</f>
        <v>Check api id from database and download jrmxl file                                    </v>
      </c>
      <c r="C872" s="82">
        <f>IFERROR(__xludf.DUMMYFUNCTION("""COMPUTED_VALUE"""),5332.0)</f>
        <v>5332</v>
      </c>
      <c r="D872" s="76" t="str">
        <f>IFERROR(__xludf.DUMMYFUNCTION("""COMPUTED_VALUE"""),"Same students double entry correction in TR")</f>
        <v>Same students double entry correction in TR</v>
      </c>
      <c r="E872" s="84">
        <f>IFERROR(__xludf.DUMMYFUNCTION("""COMPUTED_VALUE"""),46213.49372828704)</f>
        <v>46213.49373</v>
      </c>
      <c r="F872" s="86">
        <f>IFERROR(__xludf.DUMMYFUNCTION("""COMPUTED_VALUE"""),46209.42983298611)</f>
        <v>46209.42983</v>
      </c>
      <c r="G872" s="86" t="str">
        <f>IFERROR(__xludf.DUMMYFUNCTION("""COMPUTED_VALUE"""),"Done")</f>
        <v>Done</v>
      </c>
      <c r="H872" s="88">
        <f>IFERROR(__xludf.DUMMYFUNCTION("""COMPUTED_VALUE"""),0.0)</f>
        <v>0</v>
      </c>
      <c r="I872" s="90" t="str">
        <f>IFERROR(__xludf.DUMMYFUNCTION("""COMPUTED_VALUE"""),"EMP5009 Rup Kumar Mandal")</f>
        <v>EMP5009 Rup Kumar Mandal</v>
      </c>
      <c r="J872" s="91"/>
    </row>
    <row r="873">
      <c r="B873" s="76" t="str">
        <f>IFERROR(__xludf.DUMMYFUNCTION("""COMPUTED_VALUE"""),"Check api id from database and download jrmxl file                                    ")</f>
        <v>Check api id from database and download jrmxl file                                    </v>
      </c>
      <c r="C873" s="82">
        <f>IFERROR(__xludf.DUMMYFUNCTION("""COMPUTED_VALUE"""),5333.0)</f>
        <v>5333</v>
      </c>
      <c r="D873" s="76" t="str">
        <f>IFERROR(__xludf.DUMMYFUNCTION("""COMPUTED_VALUE"""),"plaease update the fee report")</f>
        <v>plaease update the fee report</v>
      </c>
      <c r="E873" s="84">
        <f>IFERROR(__xludf.DUMMYFUNCTION("""COMPUTED_VALUE"""),46209.53055555555)</f>
        <v>46209.53056</v>
      </c>
      <c r="F873" s="86">
        <f>IFERROR(__xludf.DUMMYFUNCTION("""COMPUTED_VALUE"""),46209.42986678241)</f>
        <v>46209.42987</v>
      </c>
      <c r="G873" s="86" t="str">
        <f>IFERROR(__xludf.DUMMYFUNCTION("""COMPUTED_VALUE"""),"Done")</f>
        <v>Done</v>
      </c>
      <c r="H873" s="88">
        <f>IFERROR(__xludf.DUMMYFUNCTION("""COMPUTED_VALUE"""),0.0)</f>
        <v>0</v>
      </c>
      <c r="I873" s="90" t="str">
        <f>IFERROR(__xludf.DUMMYFUNCTION("""COMPUTED_VALUE"""),"EMP5009 Rup Kumar Mandal")</f>
        <v>EMP5009 Rup Kumar Mandal</v>
      </c>
      <c r="J873" s="91"/>
    </row>
    <row r="874">
      <c r="B874" s="76" t="str">
        <f>IFERROR(__xludf.DUMMYFUNCTION("""COMPUTED_VALUE"""),"Check api id from database and download jrmxl file                                    ")</f>
        <v>Check api id from database and download jrmxl file                                    </v>
      </c>
      <c r="C874" s="82">
        <f>IFERROR(__xludf.DUMMYFUNCTION("""COMPUTED_VALUE"""),5334.0)</f>
        <v>5334</v>
      </c>
      <c r="D874" s="76" t="str">
        <f>IFERROR(__xludf.DUMMYFUNCTION("""COMPUTED_VALUE"""),"Admit Card")</f>
        <v>Admit Card</v>
      </c>
      <c r="E874" s="84">
        <f>IFERROR(__xludf.DUMMYFUNCTION("""COMPUTED_VALUE"""),46209.618780219906)</f>
        <v>46209.61878</v>
      </c>
      <c r="F874" s="86">
        <f>IFERROR(__xludf.DUMMYFUNCTION("""COMPUTED_VALUE"""),46209.48349827546)</f>
        <v>46209.4835</v>
      </c>
      <c r="G874" s="86" t="str">
        <f>IFERROR(__xludf.DUMMYFUNCTION("""COMPUTED_VALUE"""),"Done")</f>
        <v>Done</v>
      </c>
      <c r="H874" s="88">
        <f>IFERROR(__xludf.DUMMYFUNCTION("""COMPUTED_VALUE"""),0.0)</f>
        <v>0</v>
      </c>
      <c r="I874" s="90" t="str">
        <f>IFERROR(__xludf.DUMMYFUNCTION("""COMPUTED_VALUE"""),"EMP0042 HULESHWAR KUMAR SAHU")</f>
        <v>EMP0042 HULESHWAR KUMAR SAHU</v>
      </c>
      <c r="J874" s="91"/>
    </row>
    <row r="875">
      <c r="B875" s="76" t="str">
        <f>IFERROR(__xludf.DUMMYFUNCTION("""COMPUTED_VALUE"""),"Check api id from database and download jrmxl file                                    ")</f>
        <v>Check api id from database and download jrmxl file                                    </v>
      </c>
      <c r="C875" s="82">
        <f>IFERROR(__xludf.DUMMYFUNCTION("""COMPUTED_VALUE"""),5335.0)</f>
        <v>5335</v>
      </c>
      <c r="D875" s="76" t="str">
        <f>IFERROR(__xludf.DUMMYFUNCTION("""COMPUTED_VALUE"""),"TR PARAMEDICAL NEW LOGIC")</f>
        <v>TR PARAMEDICAL NEW LOGIC</v>
      </c>
      <c r="E875" s="84">
        <f>IFERROR(__xludf.DUMMYFUNCTION("""COMPUTED_VALUE"""),46209.65974054398)</f>
        <v>46209.65974</v>
      </c>
      <c r="F875" s="86">
        <f>IFERROR(__xludf.DUMMYFUNCTION("""COMPUTED_VALUE"""),46209.49719083334)</f>
        <v>46209.49719</v>
      </c>
      <c r="G875" s="86" t="str">
        <f>IFERROR(__xludf.DUMMYFUNCTION("""COMPUTED_VALUE"""),"Done")</f>
        <v>Done</v>
      </c>
      <c r="H875" s="88">
        <f>IFERROR(__xludf.DUMMYFUNCTION("""COMPUTED_VALUE"""),0.0)</f>
        <v>0</v>
      </c>
      <c r="I875" s="90" t="str">
        <f>IFERROR(__xludf.DUMMYFUNCTION("""COMPUTED_VALUE"""),"EMP0042 HULESHWAR KUMAR SAHU")</f>
        <v>EMP0042 HULESHWAR KUMAR SAHU</v>
      </c>
      <c r="J875" s="91"/>
    </row>
    <row r="876">
      <c r="B876" s="76" t="str">
        <f>IFERROR(__xludf.DUMMYFUNCTION("""COMPUTED_VALUE"""),"Check api id from database and download jrmxl file                                    ")</f>
        <v>Check api id from database and download jrmxl file                                    </v>
      </c>
      <c r="C876" s="82">
        <f>IFERROR(__xludf.DUMMYFUNCTION("""COMPUTED_VALUE"""),5336.0)</f>
        <v>5336</v>
      </c>
      <c r="D876" s="76" t="str">
        <f>IFERROR(__xludf.DUMMYFUNCTION("""COMPUTED_VALUE"""),"Date Wise filter")</f>
        <v>Date Wise filter</v>
      </c>
      <c r="E876" s="84">
        <f>IFERROR(__xludf.DUMMYFUNCTION("""COMPUTED_VALUE"""),46209.70011300926)</f>
        <v>46209.70011</v>
      </c>
      <c r="F876" s="86">
        <f>IFERROR(__xludf.DUMMYFUNCTION("""COMPUTED_VALUE"""),46209.587964722225)</f>
        <v>46209.58796</v>
      </c>
      <c r="G876" s="86" t="str">
        <f>IFERROR(__xludf.DUMMYFUNCTION("""COMPUTED_VALUE"""),"Done")</f>
        <v>Done</v>
      </c>
      <c r="H876" s="88">
        <f>IFERROR(__xludf.DUMMYFUNCTION("""COMPUTED_VALUE"""),0.0)</f>
        <v>0</v>
      </c>
      <c r="I876" s="90" t="str">
        <f>IFERROR(__xludf.DUMMYFUNCTION("""COMPUTED_VALUE"""),"EMP5009 Rup Kumar Mandal")</f>
        <v>EMP5009 Rup Kumar Mandal</v>
      </c>
      <c r="J876" s="91"/>
    </row>
    <row r="877">
      <c r="B877" s="76" t="str">
        <f>IFERROR(__xludf.DUMMYFUNCTION("""COMPUTED_VALUE"""),"Check api id from database and download jrmxl file                                    ")</f>
        <v>Check api id from database and download jrmxl file                                    </v>
      </c>
      <c r="C877" s="82">
        <f>IFERROR(__xludf.DUMMYFUNCTION("""COMPUTED_VALUE"""),5337.0)</f>
        <v>5337</v>
      </c>
      <c r="D877" s="76" t="str">
        <f>IFERROR(__xludf.DUMMYFUNCTION("""COMPUTED_VALUE"""),"ALL PROVISIONAL FILES")</f>
        <v>ALL PROVISIONAL FILES</v>
      </c>
      <c r="E877" s="84">
        <f>IFERROR(__xludf.DUMMYFUNCTION("""COMPUTED_VALUE"""),46209.759800370375)</f>
        <v>46209.7598</v>
      </c>
      <c r="F877" s="86">
        <f>IFERROR(__xludf.DUMMYFUNCTION("""COMPUTED_VALUE"""),46209.58828995371)</f>
        <v>46209.58829</v>
      </c>
      <c r="G877" s="86" t="str">
        <f>IFERROR(__xludf.DUMMYFUNCTION("""COMPUTED_VALUE"""),"Done")</f>
        <v>Done</v>
      </c>
      <c r="H877" s="88">
        <f>IFERROR(__xludf.DUMMYFUNCTION("""COMPUTED_VALUE"""),0.0)</f>
        <v>0</v>
      </c>
      <c r="I877" s="90" t="str">
        <f>IFERROR(__xludf.DUMMYFUNCTION("""COMPUTED_VALUE"""),"EMP0042 HULESHWAR KUMAR SAHU")</f>
        <v>EMP0042 HULESHWAR KUMAR SAHU</v>
      </c>
      <c r="J877" s="91"/>
    </row>
    <row r="878">
      <c r="B878" s="76" t="str">
        <f>IFERROR(__xludf.DUMMYFUNCTION("""COMPUTED_VALUE"""),"Check api id from database and download jrmxl file                                    ")</f>
        <v>Check api id from database and download jrmxl file                                    </v>
      </c>
      <c r="C878" s="82">
        <f>IFERROR(__xludf.DUMMYFUNCTION("""COMPUTED_VALUE"""),5338.0)</f>
        <v>5338</v>
      </c>
      <c r="D878" s="76" t="str">
        <f>IFERROR(__xludf.DUMMYFUNCTION("""COMPUTED_VALUE"""),"Drop Down Selection")</f>
        <v>Drop Down Selection</v>
      </c>
      <c r="E878" s="84">
        <f>IFERROR(__xludf.DUMMYFUNCTION("""COMPUTED_VALUE"""),46210.46501157407)</f>
        <v>46210.46501</v>
      </c>
      <c r="F878" s="86">
        <f>IFERROR(__xludf.DUMMYFUNCTION("""COMPUTED_VALUE"""),46209.727510324075)</f>
        <v>46209.72751</v>
      </c>
      <c r="G878" s="86" t="str">
        <f>IFERROR(__xludf.DUMMYFUNCTION("""COMPUTED_VALUE"""),"Done")</f>
        <v>Done</v>
      </c>
      <c r="H878" s="88">
        <f>IFERROR(__xludf.DUMMYFUNCTION("""COMPUTED_VALUE"""),0.0)</f>
        <v>0</v>
      </c>
      <c r="I878" s="90" t="str">
        <f>IFERROR(__xludf.DUMMYFUNCTION("""COMPUTED_VALUE"""),"EMP0237 Swarnendu Chakraborty")</f>
        <v>EMP0237 Swarnendu Chakraborty</v>
      </c>
      <c r="J878" s="91"/>
    </row>
    <row r="879">
      <c r="B879" s="76" t="str">
        <f>IFERROR(__xludf.DUMMYFUNCTION("""COMPUTED_VALUE"""),"Check api id from database and download jrmxl file                                    ")</f>
        <v>Check api id from database and download jrmxl file                                    </v>
      </c>
      <c r="C879" s="82">
        <f>IFERROR(__xludf.DUMMYFUNCTION("""COMPUTED_VALUE"""),5339.0)</f>
        <v>5339</v>
      </c>
      <c r="D879" s="76" t="str">
        <f>IFERROR(__xludf.DUMMYFUNCTION("""COMPUTED_VALUE"""),"	Packet_Slip_Date_Wise")</f>
        <v>	Packet_Slip_Date_Wise</v>
      </c>
      <c r="E879" s="84">
        <f>IFERROR(__xludf.DUMMYFUNCTION("""COMPUTED_VALUE"""),46210.45763888889)</f>
        <v>46210.45764</v>
      </c>
      <c r="F879" s="86">
        <f>IFERROR(__xludf.DUMMYFUNCTION("""COMPUTED_VALUE"""),46209.727534212965)</f>
        <v>46209.72753</v>
      </c>
      <c r="G879" s="86" t="str">
        <f>IFERROR(__xludf.DUMMYFUNCTION("""COMPUTED_VALUE"""),"Done")</f>
        <v>Done</v>
      </c>
      <c r="H879" s="88">
        <f>IFERROR(__xludf.DUMMYFUNCTION("""COMPUTED_VALUE"""),0.0)</f>
        <v>0</v>
      </c>
      <c r="I879" s="90" t="str">
        <f>IFERROR(__xludf.DUMMYFUNCTION("""COMPUTED_VALUE"""),"EMP0042 HULESHWAR KUMAR SAHU")</f>
        <v>EMP0042 HULESHWAR KUMAR SAHU</v>
      </c>
      <c r="J879" s="91"/>
    </row>
    <row r="880">
      <c r="B880" s="76" t="str">
        <f>IFERROR(__xludf.DUMMYFUNCTION("""COMPUTED_VALUE"""),"Check api id from database and download jrmxl file                                    ")</f>
        <v>Check api id from database and download jrmxl file                                    </v>
      </c>
      <c r="C880" s="82">
        <f>IFERROR(__xludf.DUMMYFUNCTION("""COMPUTED_VALUE"""),5340.0)</f>
        <v>5340</v>
      </c>
      <c r="D880" s="76" t="str">
        <f>IFERROR(__xludf.DUMMYFUNCTION("""COMPUTED_VALUE"""),"TR-REPORT")</f>
        <v>TR-REPORT</v>
      </c>
      <c r="E880" s="84">
        <f>IFERROR(__xludf.DUMMYFUNCTION("""COMPUTED_VALUE"""),46210.70254115741)</f>
        <v>46210.70254</v>
      </c>
      <c r="F880" s="86">
        <f>IFERROR(__xludf.DUMMYFUNCTION("""COMPUTED_VALUE"""),46210.618744224535)</f>
        <v>46210.61874</v>
      </c>
      <c r="G880" s="86" t="str">
        <f>IFERROR(__xludf.DUMMYFUNCTION("""COMPUTED_VALUE"""),"Done")</f>
        <v>Done</v>
      </c>
      <c r="H880" s="88">
        <f>IFERROR(__xludf.DUMMYFUNCTION("""COMPUTED_VALUE"""),0.0)</f>
        <v>0</v>
      </c>
      <c r="I880" s="90" t="str">
        <f>IFERROR(__xludf.DUMMYFUNCTION("""COMPUTED_VALUE"""),"EMP0042 HULESHWAR KUMAR SAHU")</f>
        <v>EMP0042 HULESHWAR KUMAR SAHU</v>
      </c>
      <c r="J880" s="91"/>
    </row>
    <row r="881">
      <c r="B881" s="76" t="str">
        <f>IFERROR(__xludf.DUMMYFUNCTION("""COMPUTED_VALUE"""),"Check api id from database and download jrmxl file                                    ")</f>
        <v>Check api id from database and download jrmxl file                                    </v>
      </c>
      <c r="C881" s="82">
        <f>IFERROR(__xludf.DUMMYFUNCTION("""COMPUTED_VALUE"""),5341.0)</f>
        <v>5341</v>
      </c>
      <c r="D881" s="76" t="str">
        <f>IFERROR(__xludf.DUMMYFUNCTION("""COMPUTED_VALUE"""),"Attendance Report")</f>
        <v>Attendance Report</v>
      </c>
      <c r="E881" s="84">
        <f>IFERROR(__xludf.DUMMYFUNCTION("""COMPUTED_VALUE"""),46211.65589137731)</f>
        <v>46211.65589</v>
      </c>
      <c r="F881" s="86">
        <f>IFERROR(__xludf.DUMMYFUNCTION("""COMPUTED_VALUE"""),46211.52723706018)</f>
        <v>46211.52724</v>
      </c>
      <c r="G881" s="86" t="str">
        <f>IFERROR(__xludf.DUMMYFUNCTION("""COMPUTED_VALUE"""),"Done")</f>
        <v>Done</v>
      </c>
      <c r="H881" s="88">
        <f>IFERROR(__xludf.DUMMYFUNCTION("""COMPUTED_VALUE"""),0.0)</f>
        <v>0</v>
      </c>
      <c r="I881" s="90" t="str">
        <f>IFERROR(__xludf.DUMMYFUNCTION("""COMPUTED_VALUE"""),"EMP0237 Swarnendu Chakraborty")</f>
        <v>EMP0237 Swarnendu Chakraborty</v>
      </c>
      <c r="J881" s="91"/>
    </row>
    <row r="882">
      <c r="B882" s="76" t="str">
        <f>IFERROR(__xludf.DUMMYFUNCTION("""COMPUTED_VALUE"""),"Check api id from database and download jrmxl file                                    ")</f>
        <v>Check api id from database and download jrmxl file                                    </v>
      </c>
      <c r="C882" s="82">
        <f>IFERROR(__xludf.DUMMYFUNCTION("""COMPUTED_VALUE"""),5342.0)</f>
        <v>5342</v>
      </c>
      <c r="D882" s="76" t="str">
        <f>IFERROR(__xludf.DUMMYFUNCTION("""COMPUTED_VALUE"""),"Merit List")</f>
        <v>Merit List</v>
      </c>
      <c r="E882" s="84">
        <f>IFERROR(__xludf.DUMMYFUNCTION("""COMPUTED_VALUE"""),46211.72956158564)</f>
        <v>46211.72956</v>
      </c>
      <c r="F882" s="86">
        <f>IFERROR(__xludf.DUMMYFUNCTION("""COMPUTED_VALUE"""),46211.64664846064)</f>
        <v>46211.64665</v>
      </c>
      <c r="G882" s="86" t="str">
        <f>IFERROR(__xludf.DUMMYFUNCTION("""COMPUTED_VALUE"""),"Done")</f>
        <v>Done</v>
      </c>
      <c r="H882" s="88">
        <f>IFERROR(__xludf.DUMMYFUNCTION("""COMPUTED_VALUE"""),0.0)</f>
        <v>0</v>
      </c>
      <c r="I882" s="90" t="str">
        <f>IFERROR(__xludf.DUMMYFUNCTION("""COMPUTED_VALUE"""),"EMP0042 HULESHWAR KUMAR SAHU")</f>
        <v>EMP0042 HULESHWAR KUMAR SAHU</v>
      </c>
      <c r="J882" s="91"/>
    </row>
    <row r="883">
      <c r="B883" s="76" t="str">
        <f>IFERROR(__xludf.DUMMYFUNCTION("""COMPUTED_VALUE"""),"Check api id from database and download jrmxl file                                    ")</f>
        <v>Check api id from database and download jrmxl file                                    </v>
      </c>
      <c r="C883" s="82">
        <f>IFERROR(__xludf.DUMMYFUNCTION("""COMPUTED_VALUE"""),5343.0)</f>
        <v>5343</v>
      </c>
      <c r="D883" s="76" t="str">
        <f>IFERROR(__xludf.DUMMYFUNCTION("""COMPUTED_VALUE"""),"Multiple Report Bcom MS")</f>
        <v>Multiple Report Bcom MS</v>
      </c>
      <c r="E883" s="84">
        <f>IFERROR(__xludf.DUMMYFUNCTION("""COMPUTED_VALUE"""),46211.768808159715)</f>
        <v>46211.76881</v>
      </c>
      <c r="F883" s="86">
        <f>IFERROR(__xludf.DUMMYFUNCTION("""COMPUTED_VALUE"""),46211.64663618056)</f>
        <v>46211.64664</v>
      </c>
      <c r="G883" s="86" t="str">
        <f>IFERROR(__xludf.DUMMYFUNCTION("""COMPUTED_VALUE"""),"Done")</f>
        <v>Done</v>
      </c>
      <c r="H883" s="88">
        <f>IFERROR(__xludf.DUMMYFUNCTION("""COMPUTED_VALUE"""),0.0)</f>
        <v>0</v>
      </c>
      <c r="I883" s="90" t="str">
        <f>IFERROR(__xludf.DUMMYFUNCTION("""COMPUTED_VALUE"""),"EMP0042 HULESHWAR KUMAR SAHU")</f>
        <v>EMP0042 HULESHWAR KUMAR SAHU</v>
      </c>
      <c r="J883" s="91"/>
    </row>
    <row r="884">
      <c r="B884" s="76" t="str">
        <f>IFERROR(__xludf.DUMMYFUNCTION("""COMPUTED_VALUE"""),"Check api id from database and download jrmxl file                                    ")</f>
        <v>Check api id from database and download jrmxl file                                    </v>
      </c>
      <c r="C884" s="82">
        <f>IFERROR(__xludf.DUMMYFUNCTION("""COMPUTED_VALUE"""),5344.0)</f>
        <v>5344</v>
      </c>
      <c r="D884" s="76" t="str">
        <f>IFERROR(__xludf.DUMMYFUNCTION("""COMPUTED_VALUE"""),"GAU Attendancesheet")</f>
        <v>GAU Attendancesheet</v>
      </c>
      <c r="E884" s="84">
        <f>IFERROR(__xludf.DUMMYFUNCTION("""COMPUTED_VALUE"""),46212.48263888889)</f>
        <v>46212.48264</v>
      </c>
      <c r="F884" s="86">
        <f>IFERROR(__xludf.DUMMYFUNCTION("""COMPUTED_VALUE"""),46211.727420613424)</f>
        <v>46211.72742</v>
      </c>
      <c r="G884" s="86" t="str">
        <f>IFERROR(__xludf.DUMMYFUNCTION("""COMPUTED_VALUE"""),"Done")</f>
        <v>Done</v>
      </c>
      <c r="H884" s="88">
        <f>IFERROR(__xludf.DUMMYFUNCTION("""COMPUTED_VALUE"""),0.0)</f>
        <v>0</v>
      </c>
      <c r="I884" s="90" t="str">
        <f>IFERROR(__xludf.DUMMYFUNCTION("""COMPUTED_VALUE"""),"EMP0021 Tamanna Dewangan")</f>
        <v>EMP0021 Tamanna Dewangan</v>
      </c>
      <c r="J884" s="91"/>
    </row>
    <row r="885">
      <c r="B885" s="76" t="str">
        <f>IFERROR(__xludf.DUMMYFUNCTION("""COMPUTED_VALUE"""),"Check api id from database and download jrmxl file                                    ")</f>
        <v>Check api id from database and download jrmxl file                                    </v>
      </c>
      <c r="C885" s="82">
        <f>IFERROR(__xludf.DUMMYFUNCTION("""COMPUTED_VALUE"""),5345.0)</f>
        <v>5345</v>
      </c>
      <c r="D885" s="76" t="str">
        <f>IFERROR(__xludf.DUMMYFUNCTION("""COMPUTED_VALUE"""),"UG Attendance Sheet")</f>
        <v>UG Attendance Sheet</v>
      </c>
      <c r="E885" s="84">
        <f>IFERROR(__xludf.DUMMYFUNCTION("""COMPUTED_VALUE"""),46212.49166666667)</f>
        <v>46212.49167</v>
      </c>
      <c r="F885" s="86">
        <f>IFERROR(__xludf.DUMMYFUNCTION("""COMPUTED_VALUE"""),46211.73906408565)</f>
        <v>46211.73906</v>
      </c>
      <c r="G885" s="86" t="str">
        <f>IFERROR(__xludf.DUMMYFUNCTION("""COMPUTED_VALUE"""),"Done")</f>
        <v>Done</v>
      </c>
      <c r="H885" s="88">
        <f>IFERROR(__xludf.DUMMYFUNCTION("""COMPUTED_VALUE"""),0.0)</f>
        <v>0</v>
      </c>
      <c r="I885" s="90" t="str">
        <f>IFERROR(__xludf.DUMMYFUNCTION("""COMPUTED_VALUE"""),"EMP0021 Tamanna Dewangan")</f>
        <v>EMP0021 Tamanna Dewangan</v>
      </c>
      <c r="J885" s="91"/>
    </row>
    <row r="886">
      <c r="B886" s="76" t="str">
        <f>IFERROR(__xludf.DUMMYFUNCTION("""COMPUTED_VALUE"""),"Check api id from database and download jrmxl file                                    ")</f>
        <v>Check api id from database and download jrmxl file                                    </v>
      </c>
      <c r="C886" s="82">
        <f>IFERROR(__xludf.DUMMYFUNCTION("""COMPUTED_VALUE"""),5346.0)</f>
        <v>5346</v>
      </c>
      <c r="D886" s="76" t="str">
        <f>IFERROR(__xludf.DUMMYFUNCTION("""COMPUTED_VALUE"""),"Summary For UG")</f>
        <v>Summary For UG</v>
      </c>
      <c r="E886" s="84">
        <f>IFERROR(__xludf.DUMMYFUNCTION("""COMPUTED_VALUE"""),46212.49375)</f>
        <v>46212.49375</v>
      </c>
      <c r="F886" s="86">
        <f>IFERROR(__xludf.DUMMYFUNCTION("""COMPUTED_VALUE"""),46211.73908403935)</f>
        <v>46211.73908</v>
      </c>
      <c r="G886" s="86" t="str">
        <f>IFERROR(__xludf.DUMMYFUNCTION("""COMPUTED_VALUE"""),"Done")</f>
        <v>Done</v>
      </c>
      <c r="H886" s="88">
        <f>IFERROR(__xludf.DUMMYFUNCTION("""COMPUTED_VALUE"""),0.0)</f>
        <v>0</v>
      </c>
      <c r="I886" s="90" t="str">
        <f>IFERROR(__xludf.DUMMYFUNCTION("""COMPUTED_VALUE"""),"EMP0021 Tamanna Dewangan")</f>
        <v>EMP0021 Tamanna Dewangan</v>
      </c>
      <c r="J886" s="91"/>
    </row>
    <row r="887">
      <c r="B887" s="76" t="str">
        <f>IFERROR(__xludf.DUMMYFUNCTION("""COMPUTED_VALUE"""),"Check api id from database and download jrmxl file                                    ")</f>
        <v>Check api id from database and download jrmxl file                                    </v>
      </c>
      <c r="C887" s="82">
        <f>IFERROR(__xludf.DUMMYFUNCTION("""COMPUTED_VALUE"""),5347.0)</f>
        <v>5347</v>
      </c>
      <c r="D887" s="76" t="str">
        <f>IFERROR(__xludf.DUMMYFUNCTION("""COMPUTED_VALUE"""),"Cover Page")</f>
        <v>Cover Page</v>
      </c>
      <c r="E887" s="84">
        <f>IFERROR(__xludf.DUMMYFUNCTION("""COMPUTED_VALUE"""),46212.49513888889)</f>
        <v>46212.49514</v>
      </c>
      <c r="F887" s="86">
        <f>IFERROR(__xludf.DUMMYFUNCTION("""COMPUTED_VALUE"""),46211.73910938657)</f>
        <v>46211.73911</v>
      </c>
      <c r="G887" s="86" t="str">
        <f>IFERROR(__xludf.DUMMYFUNCTION("""COMPUTED_VALUE"""),"Done")</f>
        <v>Done</v>
      </c>
      <c r="H887" s="88">
        <f>IFERROR(__xludf.DUMMYFUNCTION("""COMPUTED_VALUE"""),0.0)</f>
        <v>0</v>
      </c>
      <c r="I887" s="90" t="str">
        <f>IFERROR(__xludf.DUMMYFUNCTION("""COMPUTED_VALUE"""),"EMP0021 Tamanna Dewangan")</f>
        <v>EMP0021 Tamanna Dewangan</v>
      </c>
      <c r="J887" s="91"/>
    </row>
    <row r="888">
      <c r="B888" s="76" t="str">
        <f>IFERROR(__xludf.DUMMYFUNCTION("""COMPUTED_VALUE"""),"Check api id from database and download jrmxl file                                    ")</f>
        <v>Check api id from database and download jrmxl file                                    </v>
      </c>
      <c r="C888" s="82">
        <f>IFERROR(__xludf.DUMMYFUNCTION("""COMPUTED_VALUE"""),5348.0)</f>
        <v>5348</v>
      </c>
      <c r="D888" s="76" t="str">
        <f>IFERROR(__xludf.DUMMYFUNCTION("""COMPUTED_VALUE"""),"inside Analysis report the fee detail is not working")</f>
        <v>inside Analysis report the fee detail is not working</v>
      </c>
      <c r="E888" s="84">
        <f>IFERROR(__xludf.DUMMYFUNCTION("""COMPUTED_VALUE"""),46212.60482331018)</f>
        <v>46212.60482</v>
      </c>
      <c r="F888" s="86">
        <f>IFERROR(__xludf.DUMMYFUNCTION("""COMPUTED_VALUE"""),46212.44961503472)</f>
        <v>46212.44962</v>
      </c>
      <c r="G888" s="86" t="str">
        <f>IFERROR(__xludf.DUMMYFUNCTION("""COMPUTED_VALUE"""),"Done")</f>
        <v>Done</v>
      </c>
      <c r="H888" s="88">
        <f>IFERROR(__xludf.DUMMYFUNCTION("""COMPUTED_VALUE"""),0.0)</f>
        <v>0</v>
      </c>
      <c r="I888" s="90" t="str">
        <f>IFERROR(__xludf.DUMMYFUNCTION("""COMPUTED_VALUE"""),"EMP0042 HULESHWAR KUMAR SAHU")</f>
        <v>EMP0042 HULESHWAR KUMAR SAHU</v>
      </c>
      <c r="J888" s="91"/>
    </row>
    <row r="889">
      <c r="B889" s="76" t="str">
        <f>IFERROR(__xludf.DUMMYFUNCTION("""COMPUTED_VALUE"""),"Check api id from database and download jrmxl file                                    ")</f>
        <v>Check api id from database and download jrmxl file                                    </v>
      </c>
      <c r="C889" s="82">
        <f>IFERROR(__xludf.DUMMYFUNCTION("""COMPUTED_VALUE"""),5349.0)</f>
        <v>5349</v>
      </c>
      <c r="D889" s="76" t="str">
        <f>IFERROR(__xludf.DUMMYFUNCTION("""COMPUTED_VALUE"""),"Challenge revaluation me RV show ho rha")</f>
        <v>Challenge revaluation me RV show ho rha</v>
      </c>
      <c r="E889" s="84">
        <f>IFERROR(__xludf.DUMMYFUNCTION("""COMPUTED_VALUE"""),46212.607765)</f>
        <v>46212.60777</v>
      </c>
      <c r="F889" s="86">
        <f>IFERROR(__xludf.DUMMYFUNCTION("""COMPUTED_VALUE"""),46212.44963038194)</f>
        <v>46212.44963</v>
      </c>
      <c r="G889" s="86" t="str">
        <f>IFERROR(__xludf.DUMMYFUNCTION("""COMPUTED_VALUE"""),"Done")</f>
        <v>Done</v>
      </c>
      <c r="H889" s="88">
        <f>IFERROR(__xludf.DUMMYFUNCTION("""COMPUTED_VALUE"""),0.0)</f>
        <v>0</v>
      </c>
      <c r="I889" s="90" t="str">
        <f>IFERROR(__xludf.DUMMYFUNCTION("""COMPUTED_VALUE"""),"EMP5009 Rup Kumar Mandal")</f>
        <v>EMP5009 Rup Kumar Mandal</v>
      </c>
      <c r="J889" s="91"/>
    </row>
    <row r="890">
      <c r="B890" s="76" t="str">
        <f>IFERROR(__xludf.DUMMYFUNCTION("""COMPUTED_VALUE"""),"Check api id from database and download jrmxl file                                    ")</f>
        <v>Check api id from database and download jrmxl file                                    </v>
      </c>
      <c r="C890" s="82">
        <f>IFERROR(__xludf.DUMMYFUNCTION("""COMPUTED_VALUE"""),5350.0)</f>
        <v>5350</v>
      </c>
      <c r="D890" s="76" t="str">
        <f>IFERROR(__xludf.DUMMYFUNCTION("""COMPUTED_VALUE"""),"Transcript")</f>
        <v>Transcript</v>
      </c>
      <c r="E890" s="84">
        <f>IFERROR(__xludf.DUMMYFUNCTION("""COMPUTED_VALUE"""),46212.618633240745)</f>
        <v>46212.61863</v>
      </c>
      <c r="F890" s="86">
        <f>IFERROR(__xludf.DUMMYFUNCTION("""COMPUTED_VALUE"""),46212.44964918982)</f>
        <v>46212.44965</v>
      </c>
      <c r="G890" s="86" t="str">
        <f>IFERROR(__xludf.DUMMYFUNCTION("""COMPUTED_VALUE"""),"Done")</f>
        <v>Done</v>
      </c>
      <c r="H890" s="88">
        <f>IFERROR(__xludf.DUMMYFUNCTION("""COMPUTED_VALUE"""),0.0)</f>
        <v>0</v>
      </c>
      <c r="I890" s="90" t="str">
        <f>IFERROR(__xludf.DUMMYFUNCTION("""COMPUTED_VALUE"""),"EMP0042 HULESHWAR KUMAR SAHU")</f>
        <v>EMP0042 HULESHWAR KUMAR SAHU</v>
      </c>
      <c r="J890" s="91"/>
    </row>
    <row r="891">
      <c r="B891" s="76" t="str">
        <f>IFERROR(__xludf.DUMMYFUNCTION("""COMPUTED_VALUE"""),"Check api id from database and download jrmxl file                                    ")</f>
        <v>Check api id from database and download jrmxl file                                    </v>
      </c>
      <c r="C891" s="82">
        <f>IFERROR(__xludf.DUMMYFUNCTION("""COMPUTED_VALUE"""),5351.0)</f>
        <v>5351</v>
      </c>
      <c r="D891" s="76" t="str">
        <f>IFERROR(__xludf.DUMMYFUNCTION("""COMPUTED_VALUE"""),"ATTANDANCE SHEET")</f>
        <v>ATTANDANCE SHEET</v>
      </c>
      <c r="E891" s="84">
        <f>IFERROR(__xludf.DUMMYFUNCTION("""COMPUTED_VALUE"""),46213.71424858797)</f>
        <v>46213.71425</v>
      </c>
      <c r="F891" s="86">
        <f>IFERROR(__xludf.DUMMYFUNCTION("""COMPUTED_VALUE"""),46213.62241988426)</f>
        <v>46213.62242</v>
      </c>
      <c r="G891" s="86" t="str">
        <f>IFERROR(__xludf.DUMMYFUNCTION("""COMPUTED_VALUE"""),"Done")</f>
        <v>Done</v>
      </c>
      <c r="H891" s="88">
        <f>IFERROR(__xludf.DUMMYFUNCTION("""COMPUTED_VALUE"""),0.0)</f>
        <v>0</v>
      </c>
      <c r="I891" s="90" t="str">
        <f>IFERROR(__xludf.DUMMYFUNCTION("""COMPUTED_VALUE"""),"EMP0042 HULESHWAR KUMAR SAHU")</f>
        <v>EMP0042 HULESHWAR KUMAR SAHU</v>
      </c>
      <c r="J891" s="91"/>
    </row>
    <row r="892">
      <c r="B892" s="76" t="str">
        <f>IFERROR(__xludf.DUMMYFUNCTION("""COMPUTED_VALUE"""),"Check api id from database and download jrmxl file                                    ")</f>
        <v>Check api id from database and download jrmxl file                                    </v>
      </c>
      <c r="C892" s="82">
        <f>IFERROR(__xludf.DUMMYFUNCTION("""COMPUTED_VALUE"""),5352.0)</f>
        <v>5352</v>
      </c>
      <c r="D892" s="76" t="str">
        <f>IFERROR(__xludf.DUMMYFUNCTION("""COMPUTED_VALUE"""),"Grade Card NEP (PG)")</f>
        <v>Grade Card NEP (PG)</v>
      </c>
      <c r="E892" s="84">
        <f>IFERROR(__xludf.DUMMYFUNCTION("""COMPUTED_VALUE"""),46213.745916527776)</f>
        <v>46213.74592</v>
      </c>
      <c r="F892" s="86">
        <f>IFERROR(__xludf.DUMMYFUNCTION("""COMPUTED_VALUE"""),46213.622444085646)</f>
        <v>46213.62244</v>
      </c>
      <c r="G892" s="86" t="str">
        <f>IFERROR(__xludf.DUMMYFUNCTION("""COMPUTED_VALUE"""),"Done")</f>
        <v>Done</v>
      </c>
      <c r="H892" s="88">
        <f>IFERROR(__xludf.DUMMYFUNCTION("""COMPUTED_VALUE"""),0.0)</f>
        <v>0</v>
      </c>
      <c r="I892" s="90" t="str">
        <f>IFERROR(__xludf.DUMMYFUNCTION("""COMPUTED_VALUE"""),"EMP5009 Rup Kumar Mandal")</f>
        <v>EMP5009 Rup Kumar Mandal</v>
      </c>
      <c r="J892" s="91"/>
    </row>
    <row r="893">
      <c r="B893" s="76" t="str">
        <f>IFERROR(__xludf.DUMMYFUNCTION("""COMPUTED_VALUE"""),"Check api id from database and download jrmxl file                                    ")</f>
        <v>Check api id from database and download jrmxl file                                    </v>
      </c>
      <c r="C893" s="82">
        <f>IFERROR(__xludf.DUMMYFUNCTION("""COMPUTED_VALUE"""),5353.0)</f>
        <v>5353</v>
      </c>
      <c r="D893" s="76" t="str">
        <f>IFERROR(__xludf.DUMMYFUNCTION("""COMPUTED_VALUE"""),"TR Format (Grading / Non-Grading)")</f>
        <v>TR Format (Grading / Non-Grading)</v>
      </c>
      <c r="E893" s="84">
        <f>IFERROR(__xludf.DUMMYFUNCTION("""COMPUTED_VALUE"""),46213.818176064815)</f>
        <v>46213.81818</v>
      </c>
      <c r="F893" s="86">
        <f>IFERROR(__xludf.DUMMYFUNCTION("""COMPUTED_VALUE"""),46213.64860497685)</f>
        <v>46213.6486</v>
      </c>
      <c r="G893" s="86" t="str">
        <f>IFERROR(__xludf.DUMMYFUNCTION("""COMPUTED_VALUE"""),"Done")</f>
        <v>Done</v>
      </c>
      <c r="H893" s="88">
        <f>IFERROR(__xludf.DUMMYFUNCTION("""COMPUTED_VALUE"""),0.0)</f>
        <v>0</v>
      </c>
      <c r="I893" s="90" t="str">
        <f>IFERROR(__xludf.DUMMYFUNCTION("""COMPUTED_VALUE"""),"EMP5009 Rup Kumar Mandal")</f>
        <v>EMP5009 Rup Kumar Mandal</v>
      </c>
      <c r="J893" s="91"/>
    </row>
    <row r="894">
      <c r="B894" s="76" t="str">
        <f>IFERROR(__xludf.DUMMYFUNCTION("""COMPUTED_VALUE"""),"Check api id from database and download jrmxl file                                    ")</f>
        <v>Check api id from database and download jrmxl file                                    </v>
      </c>
      <c r="C894" s="82">
        <f>IFERROR(__xludf.DUMMYFUNCTION("""COMPUTED_VALUE"""),5354.0)</f>
        <v>5354</v>
      </c>
      <c r="D894" s="76" t="str">
        <f>IFERROR(__xludf.DUMMYFUNCTION("""COMPUTED_VALUE"""),"Please update in scheme report for subject type, credits")</f>
        <v>Please update in scheme report for subject type, credits</v>
      </c>
      <c r="E894" s="84">
        <f>IFERROR(__xludf.DUMMYFUNCTION("""COMPUTED_VALUE"""),46214.666965613425)</f>
        <v>46214.66697</v>
      </c>
      <c r="F894" s="86">
        <f>IFERROR(__xludf.DUMMYFUNCTION("""COMPUTED_VALUE"""),46214.49860435185)</f>
        <v>46214.4986</v>
      </c>
      <c r="G894" s="86" t="str">
        <f>IFERROR(__xludf.DUMMYFUNCTION("""COMPUTED_VALUE"""),"Done")</f>
        <v>Done</v>
      </c>
      <c r="H894" s="88">
        <f>IFERROR(__xludf.DUMMYFUNCTION("""COMPUTED_VALUE"""),0.0)</f>
        <v>0</v>
      </c>
      <c r="I894" s="90" t="str">
        <f>IFERROR(__xludf.DUMMYFUNCTION("""COMPUTED_VALUE"""),"EMP0042 HULESHWAR KUMAR SAHU")</f>
        <v>EMP0042 HULESHWAR KUMAR SAHU</v>
      </c>
      <c r="J894" s="91"/>
    </row>
    <row r="895">
      <c r="B895" s="76" t="str">
        <f>IFERROR(__xludf.DUMMYFUNCTION("""COMPUTED_VALUE"""),"Check api id from database and download jrmxl file                                    ")</f>
        <v>Check api id from database and download jrmxl file                                    </v>
      </c>
      <c r="C895" s="82">
        <f>IFERROR(__xludf.DUMMYFUNCTION("""COMPUTED_VALUE"""),5355.0)</f>
        <v>5355</v>
      </c>
      <c r="D895" s="76" t="str">
        <f>IFERROR(__xludf.DUMMYFUNCTION("""COMPUTED_VALUE"""),"TR LLB NEW")</f>
        <v>TR LLB NEW</v>
      </c>
      <c r="E895" s="84">
        <f>IFERROR(__xludf.DUMMYFUNCTION("""COMPUTED_VALUE"""),46214.685372604166)</f>
        <v>46214.68537</v>
      </c>
      <c r="F895" s="86">
        <f>IFERROR(__xludf.DUMMYFUNCTION("""COMPUTED_VALUE"""),46214.722977013895)</f>
        <v>46214.72298</v>
      </c>
      <c r="G895" s="86" t="str">
        <f>IFERROR(__xludf.DUMMYFUNCTION("""COMPUTED_VALUE"""),"Done")</f>
        <v>Done</v>
      </c>
      <c r="H895" s="88">
        <f>IFERROR(__xludf.DUMMYFUNCTION("""COMPUTED_VALUE"""),0.037604409723289364)</f>
        <v>0.03760440972</v>
      </c>
      <c r="I895" s="90" t="str">
        <f>IFERROR(__xludf.DUMMYFUNCTION("""COMPUTED_VALUE"""),"EMP0042 HULESHWAR KUMAR SAHU")</f>
        <v>EMP0042 HULESHWAR KUMAR SAHU</v>
      </c>
      <c r="J895" s="91"/>
    </row>
    <row r="896">
      <c r="B896" s="76" t="str">
        <f>IFERROR(__xludf.DUMMYFUNCTION("""COMPUTED_VALUE"""),"Check api id from database and download jrmxl file                                    ")</f>
        <v>Check api id from database and download jrmxl file                                    </v>
      </c>
      <c r="C896" s="82">
        <f>IFERROR(__xludf.DUMMYFUNCTION("""COMPUTED_VALUE"""),5356.0)</f>
        <v>5356</v>
      </c>
      <c r="D896" s="76" t="str">
        <f>IFERROR(__xludf.DUMMYFUNCTION("""COMPUTED_VALUE"""),"Multiple Report ")</f>
        <v>Multiple Report </v>
      </c>
      <c r="E896" s="84">
        <f>IFERROR(__xludf.DUMMYFUNCTION("""COMPUTED_VALUE"""),46216.43125)</f>
        <v>46216.43125</v>
      </c>
      <c r="F896" s="86">
        <f>IFERROR(__xludf.DUMMYFUNCTION("""COMPUTED_VALUE"""),46214.72299633102)</f>
        <v>46214.723</v>
      </c>
      <c r="G896" s="86" t="str">
        <f>IFERROR(__xludf.DUMMYFUNCTION("""COMPUTED_VALUE"""),"Done")</f>
        <v>Done</v>
      </c>
      <c r="H896" s="88">
        <f>IFERROR(__xludf.DUMMYFUNCTION("""COMPUTED_VALUE"""),0.0)</f>
        <v>0</v>
      </c>
      <c r="I896" s="90" t="str">
        <f>IFERROR(__xludf.DUMMYFUNCTION("""COMPUTED_VALUE"""),"EMP0042 HULESHWAR KUMAR SAHU")</f>
        <v>EMP0042 HULESHWAR KUMAR SAHU</v>
      </c>
      <c r="J896" s="91"/>
    </row>
    <row r="897">
      <c r="B897" s="76" t="str">
        <f>IFERROR(__xludf.DUMMYFUNCTION("""COMPUTED_VALUE"""),"Check api id from database and download jrmxl file                                    ")</f>
        <v>Check api id from database and download jrmxl file                                    </v>
      </c>
      <c r="C897" s="82">
        <f>IFERROR(__xludf.DUMMYFUNCTION("""COMPUTED_VALUE"""),5357.0)</f>
        <v>5357</v>
      </c>
      <c r="D897" s="76" t="str">
        <f>IFERROR(__xludf.DUMMYFUNCTION("""COMPUTED_VALUE"""),"TR")</f>
        <v>TR</v>
      </c>
      <c r="E897" s="84">
        <f>IFERROR(__xludf.DUMMYFUNCTION("""COMPUTED_VALUE"""),46216.658174108794)</f>
        <v>46216.65817</v>
      </c>
      <c r="F897" s="86">
        <f>IFERROR(__xludf.DUMMYFUNCTION("""COMPUTED_VALUE"""),46216.50171766204)</f>
        <v>46216.50172</v>
      </c>
      <c r="G897" s="86" t="str">
        <f>IFERROR(__xludf.DUMMYFUNCTION("""COMPUTED_VALUE"""),"Done")</f>
        <v>Done</v>
      </c>
      <c r="H897" s="88">
        <f>IFERROR(__xludf.DUMMYFUNCTION("""COMPUTED_VALUE"""),0.0)</f>
        <v>0</v>
      </c>
      <c r="I897" s="90" t="str">
        <f>IFERROR(__xludf.DUMMYFUNCTION("""COMPUTED_VALUE"""),"EMP0042 HULESHWAR KUMAR SAHU")</f>
        <v>EMP0042 HULESHWAR KUMAR SAHU</v>
      </c>
      <c r="J897" s="91"/>
    </row>
    <row r="898">
      <c r="B898" s="76" t="str">
        <f>IFERROR(__xludf.DUMMYFUNCTION("""COMPUTED_VALUE"""),"Check api id from database and download jrmxl file                                    ")</f>
        <v>Check api id from database and download jrmxl file                                    </v>
      </c>
      <c r="C898" s="82">
        <f>IFERROR(__xludf.DUMMYFUNCTION("""COMPUTED_VALUE"""),5358.0)</f>
        <v>5358</v>
      </c>
      <c r="D898" s="76" t="str">
        <f>IFERROR(__xludf.DUMMYFUNCTION("""COMPUTED_VALUE"""),"PRE EXAM REPORT")</f>
        <v>PRE EXAM REPORT</v>
      </c>
      <c r="E898" s="84">
        <f>IFERROR(__xludf.DUMMYFUNCTION("""COMPUTED_VALUE"""),46216.71333550926)</f>
        <v>46216.71334</v>
      </c>
      <c r="F898" s="86">
        <f>IFERROR(__xludf.DUMMYFUNCTION("""COMPUTED_VALUE"""),46216.55235201389)</f>
        <v>46216.55235</v>
      </c>
      <c r="G898" s="86" t="str">
        <f>IFERROR(__xludf.DUMMYFUNCTION("""COMPUTED_VALUE"""),"Done")</f>
        <v>Done</v>
      </c>
      <c r="H898" s="88">
        <f>IFERROR(__xludf.DUMMYFUNCTION("""COMPUTED_VALUE"""),0.0)</f>
        <v>0</v>
      </c>
      <c r="I898" s="90" t="str">
        <f>IFERROR(__xludf.DUMMYFUNCTION("""COMPUTED_VALUE"""),"EMP0237 Swarnendu Chakraborty")</f>
        <v>EMP0237 Swarnendu Chakraborty</v>
      </c>
      <c r="J898" s="91"/>
    </row>
    <row r="899">
      <c r="B899" s="76" t="str">
        <f>IFERROR(__xludf.DUMMYFUNCTION("""COMPUTED_VALUE"""),"Check api id from database and download jrmxl file                                    ")</f>
        <v>Check api id from database and download jrmxl file                                    </v>
      </c>
      <c r="C899" s="82">
        <f>IFERROR(__xludf.DUMMYFUNCTION("""COMPUTED_VALUE"""),5359.0)</f>
        <v>5359</v>
      </c>
      <c r="D899" s="76" t="str">
        <f>IFERROR(__xludf.DUMMYFUNCTION("""COMPUTED_VALUE"""),"TRANSCRIPT")</f>
        <v>TRANSCRIPT</v>
      </c>
      <c r="E899" s="84">
        <f>IFERROR(__xludf.DUMMYFUNCTION("""COMPUTED_VALUE"""),46216.74929626158)</f>
        <v>46216.7493</v>
      </c>
      <c r="F899" s="86">
        <f>IFERROR(__xludf.DUMMYFUNCTION("""COMPUTED_VALUE"""),46216.64605424768)</f>
        <v>46216.64605</v>
      </c>
      <c r="G899" s="86" t="str">
        <f>IFERROR(__xludf.DUMMYFUNCTION("""COMPUTED_VALUE"""),"Done")</f>
        <v>Done</v>
      </c>
      <c r="H899" s="88">
        <f>IFERROR(__xludf.DUMMYFUNCTION("""COMPUTED_VALUE"""),0.0)</f>
        <v>0</v>
      </c>
      <c r="I899" s="90" t="str">
        <f>IFERROR(__xludf.DUMMYFUNCTION("""COMPUTED_VALUE"""),"EMP0042 HULESHWAR KUMAR SAHU")</f>
        <v>EMP0042 HULESHWAR KUMAR SAHU</v>
      </c>
      <c r="J899" s="91"/>
    </row>
    <row r="900">
      <c r="B900" s="76" t="str">
        <f>IFERROR(__xludf.DUMMYFUNCTION("""COMPUTED_VALUE"""),"Check api id from database and download jrmxl file                                    ")</f>
        <v>Check api id from database and download jrmxl file                                    </v>
      </c>
      <c r="C900" s="82">
        <f>IFERROR(__xludf.DUMMYFUNCTION("""COMPUTED_VALUE"""),5360.0)</f>
        <v>5360</v>
      </c>
      <c r="D900" s="76" t="str">
        <f>IFERROR(__xludf.DUMMYFUNCTION("""COMPUTED_VALUE"""),"TR REPORT ")</f>
        <v>TR REPORT </v>
      </c>
      <c r="E900" s="84">
        <f>IFERROR(__xludf.DUMMYFUNCTION("""COMPUTED_VALUE"""),46217.461805555555)</f>
        <v>46217.46181</v>
      </c>
      <c r="F900" s="86">
        <f>IFERROR(__xludf.DUMMYFUNCTION("""COMPUTED_VALUE"""),46216.75197871528)</f>
        <v>46216.75198</v>
      </c>
      <c r="G900" s="86" t="str">
        <f>IFERROR(__xludf.DUMMYFUNCTION("""COMPUTED_VALUE"""),"Done")</f>
        <v>Done</v>
      </c>
      <c r="H900" s="88">
        <f>IFERROR(__xludf.DUMMYFUNCTION("""COMPUTED_VALUE"""),0.0)</f>
        <v>0</v>
      </c>
      <c r="I900" s="90" t="str">
        <f>IFERROR(__xludf.DUMMYFUNCTION("""COMPUTED_VALUE"""),"EMP0237 Swarnendu Chakraborty")</f>
        <v>EMP0237 Swarnendu Chakraborty</v>
      </c>
      <c r="J900" s="91"/>
    </row>
    <row r="901">
      <c r="B901" s="76" t="str">
        <f>IFERROR(__xludf.DUMMYFUNCTION("""COMPUTED_VALUE"""),"Check api id from database and download jrmxl file                                    ")</f>
        <v>Check api id from database and download jrmxl file                                    </v>
      </c>
      <c r="C901" s="82">
        <f>IFERROR(__xludf.DUMMYFUNCTION("""COMPUTED_VALUE"""),5361.0)</f>
        <v>5361</v>
      </c>
      <c r="D901" s="76" t="str">
        <f>IFERROR(__xludf.DUMMYFUNCTION("""COMPUTED_VALUE"""),"Grade Card")</f>
        <v>Grade Card</v>
      </c>
      <c r="E901" s="84">
        <f>IFERROR(__xludf.DUMMYFUNCTION("""COMPUTED_VALUE"""),46217.68958333333)</f>
        <v>46217.68958</v>
      </c>
      <c r="F901" s="86">
        <f>IFERROR(__xludf.DUMMYFUNCTION("""COMPUTED_VALUE"""),46217.453878356486)</f>
        <v>46217.45388</v>
      </c>
      <c r="G901" s="86" t="str">
        <f>IFERROR(__xludf.DUMMYFUNCTION("""COMPUTED_VALUE"""),"Done")</f>
        <v>Done</v>
      </c>
      <c r="H901" s="88">
        <f>IFERROR(__xludf.DUMMYFUNCTION("""COMPUTED_VALUE"""),0.0)</f>
        <v>0</v>
      </c>
      <c r="I901" s="90" t="str">
        <f>IFERROR(__xludf.DUMMYFUNCTION("""COMPUTED_VALUE"""),"EMP5009 Rup Kumar Mandal")</f>
        <v>EMP5009 Rup Kumar Mandal</v>
      </c>
      <c r="J901" s="91"/>
    </row>
    <row r="902">
      <c r="B902" s="76" t="str">
        <f>IFERROR(__xludf.DUMMYFUNCTION("""COMPUTED_VALUE"""),"Check api id from database and download jrmxl file                                    ")</f>
        <v>Check api id from database and download jrmxl file                                    </v>
      </c>
      <c r="C902" s="82">
        <f>IFERROR(__xludf.DUMMYFUNCTION("""COMPUTED_VALUE"""),5362.0)</f>
        <v>5362</v>
      </c>
      <c r="D902" s="76" t="str">
        <f>IFERROR(__xludf.DUMMYFUNCTION("""COMPUTED_VALUE"""),"3443")</f>
        <v>3443</v>
      </c>
      <c r="E902" s="84">
        <f>IFERROR(__xludf.DUMMYFUNCTION("""COMPUTED_VALUE"""),46217.695138888885)</f>
        <v>46217.69514</v>
      </c>
      <c r="F902" s="86">
        <f>IFERROR(__xludf.DUMMYFUNCTION("""COMPUTED_VALUE"""),46217.453878368055)</f>
        <v>46217.45388</v>
      </c>
      <c r="G902" s="86" t="str">
        <f>IFERROR(__xludf.DUMMYFUNCTION("""COMPUTED_VALUE"""),"Done")</f>
        <v>Done</v>
      </c>
      <c r="H902" s="88">
        <f>IFERROR(__xludf.DUMMYFUNCTION("""COMPUTED_VALUE"""),0.0)</f>
        <v>0</v>
      </c>
      <c r="I902" s="90" t="str">
        <f>IFERROR(__xludf.DUMMYFUNCTION("""COMPUTED_VALUE"""),"EMP5009 Rup Kumar Mandal")</f>
        <v>EMP5009 Rup Kumar Mandal</v>
      </c>
      <c r="J902" s="91"/>
    </row>
    <row r="903">
      <c r="B903" s="76" t="str">
        <f>IFERROR(__xludf.DUMMYFUNCTION("""COMPUTED_VALUE"""),"Check api id from database and download jrmxl file                                    ")</f>
        <v>Check api id from database and download jrmxl file                                    </v>
      </c>
      <c r="C903" s="82">
        <f>IFERROR(__xludf.DUMMYFUNCTION("""COMPUTED_VALUE"""),5363.0)</f>
        <v>5363</v>
      </c>
      <c r="D903" s="76" t="str">
        <f>IFERROR(__xludf.DUMMYFUNCTION("""COMPUTED_VALUE"""),"3386")</f>
        <v>3386</v>
      </c>
      <c r="E903" s="84">
        <f>IFERROR(__xludf.DUMMYFUNCTION("""COMPUTED_VALUE"""),46217.697222222225)</f>
        <v>46217.69722</v>
      </c>
      <c r="F903" s="86">
        <f>IFERROR(__xludf.DUMMYFUNCTION("""COMPUTED_VALUE"""),46217.453882939815)</f>
        <v>46217.45388</v>
      </c>
      <c r="G903" s="86" t="str">
        <f>IFERROR(__xludf.DUMMYFUNCTION("""COMPUTED_VALUE"""),"Done")</f>
        <v>Done</v>
      </c>
      <c r="H903" s="88">
        <f>IFERROR(__xludf.DUMMYFUNCTION("""COMPUTED_VALUE"""),0.0)</f>
        <v>0</v>
      </c>
      <c r="I903" s="90" t="str">
        <f>IFERROR(__xludf.DUMMYFUNCTION("""COMPUTED_VALUE"""),"EMP5009 Rup Kumar Mandal")</f>
        <v>EMP5009 Rup Kumar Mandal</v>
      </c>
      <c r="J903" s="91"/>
    </row>
    <row r="904">
      <c r="B904" s="76" t="str">
        <f>IFERROR(__xludf.DUMMYFUNCTION("""COMPUTED_VALUE"""),"Check api id from database and download jrmxl file                                    ")</f>
        <v>Check api id from database and download jrmxl file                                    </v>
      </c>
      <c r="C904" s="82">
        <f>IFERROR(__xludf.DUMMYFUNCTION("""COMPUTED_VALUE"""),5364.0)</f>
        <v>5364</v>
      </c>
      <c r="D904" s="76" t="str">
        <f>IFERROR(__xludf.DUMMYFUNCTION("""COMPUTED_VALUE"""),"3285")</f>
        <v>3285</v>
      </c>
      <c r="E904" s="84">
        <f>IFERROR(__xludf.DUMMYFUNCTION("""COMPUTED_VALUE"""),46217.7)</f>
        <v>46217.7</v>
      </c>
      <c r="F904" s="86">
        <f>IFERROR(__xludf.DUMMYFUNCTION("""COMPUTED_VALUE"""),46217.453891006946)</f>
        <v>46217.45389</v>
      </c>
      <c r="G904" s="86" t="str">
        <f>IFERROR(__xludf.DUMMYFUNCTION("""COMPUTED_VALUE"""),"Done")</f>
        <v>Done</v>
      </c>
      <c r="H904" s="88">
        <f>IFERROR(__xludf.DUMMYFUNCTION("""COMPUTED_VALUE"""),0.0)</f>
        <v>0</v>
      </c>
      <c r="I904" s="90" t="str">
        <f>IFERROR(__xludf.DUMMYFUNCTION("""COMPUTED_VALUE"""),"EMP5009 Rup Kumar Mandal")</f>
        <v>EMP5009 Rup Kumar Mandal</v>
      </c>
      <c r="J904" s="91"/>
    </row>
    <row r="905">
      <c r="B905" s="76" t="str">
        <f>IFERROR(__xludf.DUMMYFUNCTION("""COMPUTED_VALUE"""),"Check api id from database and download jrmxl file                                    ")</f>
        <v>Check api id from database and download jrmxl file                                    </v>
      </c>
      <c r="C905" s="82">
        <f>IFERROR(__xludf.DUMMYFUNCTION("""COMPUTED_VALUE"""),5365.0)</f>
        <v>5365</v>
      </c>
      <c r="D905" s="76" t="str">
        <f>IFERROR(__xludf.DUMMYFUNCTION("""COMPUTED_VALUE"""),"3285")</f>
        <v>3285</v>
      </c>
      <c r="E905" s="84">
        <f>IFERROR(__xludf.DUMMYFUNCTION("""COMPUTED_VALUE"""),46217.70138888889)</f>
        <v>46217.70139</v>
      </c>
      <c r="F905" s="86">
        <f>IFERROR(__xludf.DUMMYFUNCTION("""COMPUTED_VALUE"""),46217.45389917825)</f>
        <v>46217.4539</v>
      </c>
      <c r="G905" s="86" t="str">
        <f>IFERROR(__xludf.DUMMYFUNCTION("""COMPUTED_VALUE"""),"Done")</f>
        <v>Done</v>
      </c>
      <c r="H905" s="88">
        <f>IFERROR(__xludf.DUMMYFUNCTION("""COMPUTED_VALUE"""),0.0)</f>
        <v>0</v>
      </c>
      <c r="I905" s="90" t="str">
        <f>IFERROR(__xludf.DUMMYFUNCTION("""COMPUTED_VALUE"""),"EMP5009 Rup Kumar Mandal")</f>
        <v>EMP5009 Rup Kumar Mandal</v>
      </c>
      <c r="J905" s="91"/>
    </row>
    <row r="906">
      <c r="B906" s="76" t="str">
        <f>IFERROR(__xludf.DUMMYFUNCTION("""COMPUTED_VALUE"""),"Check api id from database and download jrmxl file                                    ")</f>
        <v>Check api id from database and download jrmxl file                                    </v>
      </c>
      <c r="C906" s="82">
        <f>IFERROR(__xludf.DUMMYFUNCTION("""COMPUTED_VALUE"""),5366.0)</f>
        <v>5366</v>
      </c>
      <c r="D906" s="76" t="str">
        <f>IFERROR(__xludf.DUMMYFUNCTION("""COMPUTED_VALUE"""),"2577")</f>
        <v>2577</v>
      </c>
      <c r="E906" s="84">
        <f>IFERROR(__xludf.DUMMYFUNCTION("""COMPUTED_VALUE"""),46217.70277777778)</f>
        <v>46217.70278</v>
      </c>
      <c r="F906" s="86">
        <f>IFERROR(__xludf.DUMMYFUNCTION("""COMPUTED_VALUE"""),46217.45389917825)</f>
        <v>46217.4539</v>
      </c>
      <c r="G906" s="86" t="str">
        <f>IFERROR(__xludf.DUMMYFUNCTION("""COMPUTED_VALUE"""),"Done")</f>
        <v>Done</v>
      </c>
      <c r="H906" s="88">
        <f>IFERROR(__xludf.DUMMYFUNCTION("""COMPUTED_VALUE"""),0.0)</f>
        <v>0</v>
      </c>
      <c r="I906" s="90" t="str">
        <f>IFERROR(__xludf.DUMMYFUNCTION("""COMPUTED_VALUE"""),"EMP5009 Rup Kumar Mandal")</f>
        <v>EMP5009 Rup Kumar Mandal</v>
      </c>
      <c r="J906" s="91"/>
    </row>
    <row r="907">
      <c r="B907" s="76" t="str">
        <f>IFERROR(__xludf.DUMMYFUNCTION("""COMPUTED_VALUE"""),"Check api id from database and download jrmxl file                                    ")</f>
        <v>Check api id from database and download jrmxl file                                    </v>
      </c>
      <c r="C907" s="82">
        <f>IFERROR(__xludf.DUMMYFUNCTION("""COMPUTED_VALUE"""),5367.0)</f>
        <v>5367</v>
      </c>
      <c r="D907" s="76" t="str">
        <f>IFERROR(__xludf.DUMMYFUNCTION("""COMPUTED_VALUE"""),"2781")</f>
        <v>2781</v>
      </c>
      <c r="E907" s="84">
        <f>IFERROR(__xludf.DUMMYFUNCTION("""COMPUTED_VALUE"""),46217.705555555556)</f>
        <v>46217.70556</v>
      </c>
      <c r="F907" s="86">
        <f>IFERROR(__xludf.DUMMYFUNCTION("""COMPUTED_VALUE"""),46217.4539065625)</f>
        <v>46217.45391</v>
      </c>
      <c r="G907" s="86" t="str">
        <f>IFERROR(__xludf.DUMMYFUNCTION("""COMPUTED_VALUE"""),"Done")</f>
        <v>Done</v>
      </c>
      <c r="H907" s="88">
        <f>IFERROR(__xludf.DUMMYFUNCTION("""COMPUTED_VALUE"""),0.0)</f>
        <v>0</v>
      </c>
      <c r="I907" s="90" t="str">
        <f>IFERROR(__xludf.DUMMYFUNCTION("""COMPUTED_VALUE"""),"EMP5009 Rup Kumar Mandal")</f>
        <v>EMP5009 Rup Kumar Mandal</v>
      </c>
      <c r="J907" s="91"/>
    </row>
    <row r="908">
      <c r="B908" s="76" t="str">
        <f>IFERROR(__xludf.DUMMYFUNCTION("""COMPUTED_VALUE"""),"Check api id from database and download jrmxl file                                    ")</f>
        <v>Check api id from database and download jrmxl file                                    </v>
      </c>
      <c r="C908" s="82">
        <f>IFERROR(__xludf.DUMMYFUNCTION("""COMPUTED_VALUE"""),5368.0)</f>
        <v>5368</v>
      </c>
      <c r="D908" s="76" t="str">
        <f>IFERROR(__xludf.DUMMYFUNCTION("""COMPUTED_VALUE"""),"3361")</f>
        <v>3361</v>
      </c>
      <c r="E908" s="84">
        <f>IFERROR(__xludf.DUMMYFUNCTION("""COMPUTED_VALUE"""),46217.70694444445)</f>
        <v>46217.70694</v>
      </c>
      <c r="F908" s="86">
        <f>IFERROR(__xludf.DUMMYFUNCTION("""COMPUTED_VALUE"""),46217.45391487268)</f>
        <v>46217.45391</v>
      </c>
      <c r="G908" s="86" t="str">
        <f>IFERROR(__xludf.DUMMYFUNCTION("""COMPUTED_VALUE"""),"Done")</f>
        <v>Done</v>
      </c>
      <c r="H908" s="88">
        <f>IFERROR(__xludf.DUMMYFUNCTION("""COMPUTED_VALUE"""),0.0)</f>
        <v>0</v>
      </c>
      <c r="I908" s="90" t="str">
        <f>IFERROR(__xludf.DUMMYFUNCTION("""COMPUTED_VALUE"""),"EMP5009 Rup Kumar Mandal")</f>
        <v>EMP5009 Rup Kumar Mandal</v>
      </c>
      <c r="J908" s="91"/>
    </row>
    <row r="909">
      <c r="B909" s="76" t="str">
        <f>IFERROR(__xludf.DUMMYFUNCTION("""COMPUTED_VALUE"""),"Check api id from database and download jrmxl file                                    ")</f>
        <v>Check api id from database and download jrmxl file                                    </v>
      </c>
      <c r="C909" s="82">
        <f>IFERROR(__xludf.DUMMYFUNCTION("""COMPUTED_VALUE"""),5369.0)</f>
        <v>5369</v>
      </c>
      <c r="D909" s="76" t="str">
        <f>IFERROR(__xludf.DUMMYFUNCTION("""COMPUTED_VALUE"""),"33,083,375")</f>
        <v>33,083,375</v>
      </c>
      <c r="E909" s="84">
        <f>IFERROR(__xludf.DUMMYFUNCTION("""COMPUTED_VALUE"""),46217.709027777775)</f>
        <v>46217.70903</v>
      </c>
      <c r="F909" s="86">
        <f>IFERROR(__xludf.DUMMYFUNCTION("""COMPUTED_VALUE"""),46217.45392572917)</f>
        <v>46217.45393</v>
      </c>
      <c r="G909" s="86" t="str">
        <f>IFERROR(__xludf.DUMMYFUNCTION("""COMPUTED_VALUE"""),"Done")</f>
        <v>Done</v>
      </c>
      <c r="H909" s="88">
        <f>IFERROR(__xludf.DUMMYFUNCTION("""COMPUTED_VALUE"""),0.0)</f>
        <v>0</v>
      </c>
      <c r="I909" s="90" t="str">
        <f>IFERROR(__xludf.DUMMYFUNCTION("""COMPUTED_VALUE"""),"EMP5009 Rup Kumar Mandal")</f>
        <v>EMP5009 Rup Kumar Mandal</v>
      </c>
      <c r="J909" s="91"/>
    </row>
    <row r="910">
      <c r="B910" s="76" t="str">
        <f>IFERROR(__xludf.DUMMYFUNCTION("""COMPUTED_VALUE"""),"Check api id from database and download jrmxl file                                    ")</f>
        <v>Check api id from database and download jrmxl file                                    </v>
      </c>
      <c r="C910" s="82">
        <f>IFERROR(__xludf.DUMMYFUNCTION("""COMPUTED_VALUE"""),5370.0)</f>
        <v>5370</v>
      </c>
      <c r="D910" s="76" t="str">
        <f>IFERROR(__xludf.DUMMYFUNCTION("""COMPUTED_VALUE"""),"2782")</f>
        <v>2782</v>
      </c>
      <c r="E910" s="84">
        <f>IFERROR(__xludf.DUMMYFUNCTION("""COMPUTED_VALUE"""),46217.71041666667)</f>
        <v>46217.71042</v>
      </c>
      <c r="F910" s="86">
        <f>IFERROR(__xludf.DUMMYFUNCTION("""COMPUTED_VALUE"""),46217.61717438657)</f>
        <v>46217.61717</v>
      </c>
      <c r="G910" s="86" t="str">
        <f>IFERROR(__xludf.DUMMYFUNCTION("""COMPUTED_VALUE"""),"Done")</f>
        <v>Done</v>
      </c>
      <c r="H910" s="88">
        <f>IFERROR(__xludf.DUMMYFUNCTION("""COMPUTED_VALUE"""),0.0)</f>
        <v>0</v>
      </c>
      <c r="I910" s="90" t="str">
        <f>IFERROR(__xludf.DUMMYFUNCTION("""COMPUTED_VALUE"""),"EMP5009 Rup Kumar Mandal")</f>
        <v>EMP5009 Rup Kumar Mandal</v>
      </c>
      <c r="J910" s="91"/>
    </row>
    <row r="911">
      <c r="B911" s="76" t="str">
        <f>IFERROR(__xludf.DUMMYFUNCTION("""COMPUTED_VALUE"""),"Check api id from database and download jrmxl file                                    ")</f>
        <v>Check api id from database and download jrmxl file                                    </v>
      </c>
      <c r="C911" s="82">
        <f>IFERROR(__xludf.DUMMYFUNCTION("""COMPUTED_VALUE"""),5371.0)</f>
        <v>5371</v>
      </c>
      <c r="D911" s="76" t="str">
        <f>IFERROR(__xludf.DUMMYFUNCTION("""COMPUTED_VALUE"""),"MAR ENTRY")</f>
        <v>MAR ENTRY</v>
      </c>
      <c r="E911" s="84">
        <f>IFERROR(__xludf.DUMMYFUNCTION("""COMPUTED_VALUE"""),46217.73307180555)</f>
        <v>46217.73307</v>
      </c>
      <c r="F911" s="86">
        <f>IFERROR(__xludf.DUMMYFUNCTION("""COMPUTED_VALUE"""),46217.616996365745)</f>
        <v>46217.617</v>
      </c>
      <c r="G911" s="86" t="str">
        <f>IFERROR(__xludf.DUMMYFUNCTION("""COMPUTED_VALUE"""),"Done")</f>
        <v>Done</v>
      </c>
      <c r="H911" s="88">
        <f>IFERROR(__xludf.DUMMYFUNCTION("""COMPUTED_VALUE"""),0.0)</f>
        <v>0</v>
      </c>
      <c r="I911" s="90" t="str">
        <f>IFERROR(__xludf.DUMMYFUNCTION("""COMPUTED_VALUE"""),"EMP5009 Rup Kumar Mandal")</f>
        <v>EMP5009 Rup Kumar Mandal</v>
      </c>
      <c r="J911" s="91"/>
    </row>
    <row r="912">
      <c r="B912" s="76" t="str">
        <f>IFERROR(__xludf.DUMMYFUNCTION("""COMPUTED_VALUE"""),"Check api id from database and download jrmxl file                                    ")</f>
        <v>Check api id from database and download jrmxl file                                    </v>
      </c>
      <c r="C912" s="82">
        <f>IFERROR(__xludf.DUMMYFUNCTION("""COMPUTED_VALUE"""),5372.0)</f>
        <v>5372</v>
      </c>
      <c r="D912" s="76" t="str">
        <f>IFERROR(__xludf.DUMMYFUNCTION("""COMPUTED_VALUE"""),"TR/HOSTING-UG NEP TR ")</f>
        <v>TR/HOSTING-UG NEP TR </v>
      </c>
      <c r="E912" s="84">
        <f>IFERROR(__xludf.DUMMYFUNCTION("""COMPUTED_VALUE"""),46218.50625)</f>
        <v>46218.50625</v>
      </c>
      <c r="F912" s="86">
        <f>IFERROR(__xludf.DUMMYFUNCTION("""COMPUTED_VALUE"""),46217.817612314815)</f>
        <v>46217.81761</v>
      </c>
      <c r="G912" s="86" t="str">
        <f>IFERROR(__xludf.DUMMYFUNCTION("""COMPUTED_VALUE"""),"Done")</f>
        <v>Done</v>
      </c>
      <c r="H912" s="88">
        <f>IFERROR(__xludf.DUMMYFUNCTION("""COMPUTED_VALUE"""),0.0)</f>
        <v>0</v>
      </c>
      <c r="I912" s="90" t="str">
        <f>IFERROR(__xludf.DUMMYFUNCTION("""COMPUTED_VALUE"""),"EMP0042 HULESHWAR KUMAR SAHU")</f>
        <v>EMP0042 HULESHWAR KUMAR SAHU</v>
      </c>
      <c r="J912" s="91"/>
    </row>
    <row r="913">
      <c r="B913" s="76" t="str">
        <f>IFERROR(__xludf.DUMMYFUNCTION("""COMPUTED_VALUE"""),"Check api id from database and download jrmxl file                                    ")</f>
        <v>Check api id from database and download jrmxl file                                    </v>
      </c>
      <c r="C913" s="82">
        <f>IFERROR(__xludf.DUMMYFUNCTION("""COMPUTED_VALUE"""),5373.0)</f>
        <v>5373</v>
      </c>
      <c r="D913" s="76" t="str">
        <f>IFERROR(__xludf.DUMMYFUNCTION("""COMPUTED_VALUE"""),"TRANSCRIPT ")</f>
        <v>TRANSCRIPT </v>
      </c>
      <c r="E913" s="84">
        <f>IFERROR(__xludf.DUMMYFUNCTION("""COMPUTED_VALUE"""),46218.66947457176)</f>
        <v>46218.66947</v>
      </c>
      <c r="F913" s="86">
        <f>IFERROR(__xludf.DUMMYFUNCTION("""COMPUTED_VALUE"""),46218.50339539352)</f>
        <v>46218.5034</v>
      </c>
      <c r="G913" s="86" t="str">
        <f>IFERROR(__xludf.DUMMYFUNCTION("""COMPUTED_VALUE"""),"Done")</f>
        <v>Done</v>
      </c>
      <c r="H913" s="88">
        <f>IFERROR(__xludf.DUMMYFUNCTION("""COMPUTED_VALUE"""),0.0)</f>
        <v>0</v>
      </c>
      <c r="I913" s="90" t="str">
        <f>IFERROR(__xludf.DUMMYFUNCTION("""COMPUTED_VALUE"""),"EMP0021 Tamanna Dewangan")</f>
        <v>EMP0021 Tamanna Dewangan</v>
      </c>
      <c r="J913" s="91"/>
    </row>
    <row r="914">
      <c r="B914" s="76" t="str">
        <f>IFERROR(__xludf.DUMMYFUNCTION("""COMPUTED_VALUE"""),"Check api id from database and download jrmxl file                                    ")</f>
        <v>Check api id from database and download jrmxl file                                    </v>
      </c>
      <c r="C914" s="82">
        <f>IFERROR(__xludf.DUMMYFUNCTION("""COMPUTED_VALUE"""),5374.0)</f>
        <v>5374</v>
      </c>
      <c r="D914" s="76" t="str">
        <f>IFERROR(__xludf.DUMMYFUNCTION("""COMPUTED_VALUE"""),"TR HOSTING -UG NEP TR ")</f>
        <v>TR HOSTING -UG NEP TR </v>
      </c>
      <c r="E914" s="84">
        <f>IFERROR(__xludf.DUMMYFUNCTION("""COMPUTED_VALUE"""),46218.687471875)</f>
        <v>46218.68747</v>
      </c>
      <c r="F914" s="86">
        <f>IFERROR(__xludf.DUMMYFUNCTION("""COMPUTED_VALUE"""),46218.532123680554)</f>
        <v>46218.53212</v>
      </c>
      <c r="G914" s="86" t="str">
        <f>IFERROR(__xludf.DUMMYFUNCTION("""COMPUTED_VALUE"""),"Done")</f>
        <v>Done</v>
      </c>
      <c r="H914" s="88">
        <f>IFERROR(__xludf.DUMMYFUNCTION("""COMPUTED_VALUE"""),0.0)</f>
        <v>0</v>
      </c>
      <c r="I914" s="90" t="str">
        <f>IFERROR(__xludf.DUMMYFUNCTION("""COMPUTED_VALUE"""),"EMP0237 Swarnendu Chakraborty")</f>
        <v>EMP0237 Swarnendu Chakraborty</v>
      </c>
      <c r="J914" s="91"/>
    </row>
    <row r="915">
      <c r="B915" s="76" t="str">
        <f>IFERROR(__xludf.DUMMYFUNCTION("""COMPUTED_VALUE"""),"Check api id from database and download jrmxl file                                    ")</f>
        <v>Check api id from database and download jrmxl file                                    </v>
      </c>
      <c r="C915" s="82">
        <f>IFERROR(__xludf.DUMMYFUNCTION("""COMPUTED_VALUE"""),5375.0)</f>
        <v>5375</v>
      </c>
      <c r="D915" s="76" t="str">
        <f>IFERROR(__xludf.DUMMYFUNCTION("""COMPUTED_VALUE"""),"Migration certificate 241741105043_SE22")</f>
        <v>Migration certificate 241741105043_SE22</v>
      </c>
      <c r="E915" s="84">
        <f>IFERROR(__xludf.DUMMYFUNCTION("""COMPUTED_VALUE"""),46218.751388067125)</f>
        <v>46218.75139</v>
      </c>
      <c r="F915" s="86">
        <f>IFERROR(__xludf.DUMMYFUNCTION("""COMPUTED_VALUE"""),46218.64058409723)</f>
        <v>46218.64058</v>
      </c>
      <c r="G915" s="86" t="str">
        <f>IFERROR(__xludf.DUMMYFUNCTION("""COMPUTED_VALUE"""),"Done")</f>
        <v>Done</v>
      </c>
      <c r="H915" s="88">
        <f>IFERROR(__xludf.DUMMYFUNCTION("""COMPUTED_VALUE"""),0.0)</f>
        <v>0</v>
      </c>
      <c r="I915" s="90" t="str">
        <f>IFERROR(__xludf.DUMMYFUNCTION("""COMPUTED_VALUE"""),"EMP0042 HULESHWAR KUMAR SAHU")</f>
        <v>EMP0042 HULESHWAR KUMAR SAHU</v>
      </c>
      <c r="J915" s="91"/>
    </row>
    <row r="916">
      <c r="B916" s="76" t="str">
        <f>IFERROR(__xludf.DUMMYFUNCTION("""COMPUTED_VALUE"""),"Check api id from database and download jrmxl file                                    ")</f>
        <v>Check api id from database and download jrmxl file                                    </v>
      </c>
      <c r="C916" s="82">
        <f>IFERROR(__xludf.DUMMYFUNCTION("""COMPUTED_VALUE"""),5376.0)</f>
        <v>5376</v>
      </c>
      <c r="D916" s="76" t="str">
        <f>IFERROR(__xludf.DUMMYFUNCTION("""COMPUTED_VALUE"""),"TR report")</f>
        <v>TR report</v>
      </c>
      <c r="E916" s="84">
        <f>IFERROR(__xludf.DUMMYFUNCTION("""COMPUTED_VALUE"""),46218.76887699074)</f>
        <v>46218.76888</v>
      </c>
      <c r="F916" s="86">
        <f>IFERROR(__xludf.DUMMYFUNCTION("""COMPUTED_VALUE"""),46218.64085575232)</f>
        <v>46218.64086</v>
      </c>
      <c r="G916" s="86" t="str">
        <f>IFERROR(__xludf.DUMMYFUNCTION("""COMPUTED_VALUE"""),"Done")</f>
        <v>Done</v>
      </c>
      <c r="H916" s="88">
        <f>IFERROR(__xludf.DUMMYFUNCTION("""COMPUTED_VALUE"""),0.0)</f>
        <v>0</v>
      </c>
      <c r="I916" s="90" t="str">
        <f>IFERROR(__xludf.DUMMYFUNCTION("""COMPUTED_VALUE"""),"EMP0237 Swarnendu Chakraborty")</f>
        <v>EMP0237 Swarnendu Chakraborty</v>
      </c>
      <c r="J916" s="91"/>
    </row>
    <row r="917">
      <c r="B917" s="76" t="str">
        <f>IFERROR(__xludf.DUMMYFUNCTION("""COMPUTED_VALUE"""),"Check api id from database and download jrmxl file                                    ")</f>
        <v>Check api id from database and download jrmxl file                                    </v>
      </c>
      <c r="C917" s="82">
        <f>IFERROR(__xludf.DUMMYFUNCTION("""COMPUTED_VALUE"""),5377.0)</f>
        <v>5377</v>
      </c>
      <c r="D917" s="76" t="str">
        <f>IFERROR(__xludf.DUMMYFUNCTION("""COMPUTED_VALUE"""),"TR Report")</f>
        <v>TR Report</v>
      </c>
      <c r="E917" s="84">
        <f>IFERROR(__xludf.DUMMYFUNCTION("""COMPUTED_VALUE"""),46218.82233699074)</f>
        <v>46218.82234</v>
      </c>
      <c r="F917" s="86">
        <f>IFERROR(__xludf.DUMMYFUNCTION("""COMPUTED_VALUE"""),46218.6850294676)</f>
        <v>46218.68503</v>
      </c>
      <c r="G917" s="86" t="str">
        <f>IFERROR(__xludf.DUMMYFUNCTION("""COMPUTED_VALUE"""),"Done")</f>
        <v>Done</v>
      </c>
      <c r="H917" s="88">
        <f>IFERROR(__xludf.DUMMYFUNCTION("""COMPUTED_VALUE"""),0.0)</f>
        <v>0</v>
      </c>
      <c r="I917" s="90" t="str">
        <f>IFERROR(__xludf.DUMMYFUNCTION("""COMPUTED_VALUE"""),"EMP0237 Swarnendu Chakraborty")</f>
        <v>EMP0237 Swarnendu Chakraborty</v>
      </c>
      <c r="J917" s="91"/>
    </row>
    <row r="918">
      <c r="B918" s="76" t="str">
        <f>IFERROR(__xludf.DUMMYFUNCTION("""COMPUTED_VALUE"""),"Check api id from database and download jrmxl file                                    ")</f>
        <v>Check api id from database and download jrmxl file                                    </v>
      </c>
      <c r="C918" s="82">
        <f>IFERROR(__xludf.DUMMYFUNCTION("""COMPUTED_VALUE"""),5378.0)</f>
        <v>5378</v>
      </c>
      <c r="D918" s="76" t="str">
        <f>IFERROR(__xludf.DUMMYFUNCTION("""COMPUTED_VALUE"""),"TR")</f>
        <v>TR</v>
      </c>
      <c r="E918" s="84">
        <f>IFERROR(__xludf.DUMMYFUNCTION("""COMPUTED_VALUE"""),46220.42916666667)</f>
        <v>46220.42917</v>
      </c>
      <c r="F918" s="86">
        <f>IFERROR(__xludf.DUMMYFUNCTION("""COMPUTED_VALUE"""),46218.68524947917)</f>
        <v>46218.68525</v>
      </c>
      <c r="G918" s="86" t="str">
        <f>IFERROR(__xludf.DUMMYFUNCTION("""COMPUTED_VALUE"""),"Done")</f>
        <v>Done</v>
      </c>
      <c r="H918" s="88">
        <f>IFERROR(__xludf.DUMMYFUNCTION("""COMPUTED_VALUE"""),0.0)</f>
        <v>0</v>
      </c>
      <c r="I918" s="90" t="str">
        <f>IFERROR(__xludf.DUMMYFUNCTION("""COMPUTED_VALUE"""),"EMP0042 HULESHWAR KUMAR SAHU")</f>
        <v>EMP0042 HULESHWAR KUMAR SAHU</v>
      </c>
      <c r="J918" s="91"/>
    </row>
    <row r="919">
      <c r="B919" s="76" t="str">
        <f>IFERROR(__xludf.DUMMYFUNCTION("""COMPUTED_VALUE"""),"Check api id from database and download jrmxl file                                    ")</f>
        <v>Check api id from database and download jrmxl file                                    </v>
      </c>
      <c r="C919" s="82">
        <f>IFERROR(__xludf.DUMMYFUNCTION("""COMPUTED_VALUE"""),5379.0)</f>
        <v>5379</v>
      </c>
      <c r="D919" s="76" t="str">
        <f>IFERROR(__xludf.DUMMYFUNCTION("""COMPUTED_VALUE"""),"gradecard4_btech")</f>
        <v>gradecard4_btech</v>
      </c>
      <c r="E919" s="84">
        <f>IFERROR(__xludf.DUMMYFUNCTION("""COMPUTED_VALUE"""),46219.65530827546)</f>
        <v>46219.65531</v>
      </c>
      <c r="F919" s="86">
        <f>IFERROR(__xludf.DUMMYFUNCTION("""COMPUTED_VALUE"""),46219.48187643518)</f>
        <v>46219.48188</v>
      </c>
      <c r="G919" s="86" t="str">
        <f>IFERROR(__xludf.DUMMYFUNCTION("""COMPUTED_VALUE"""),"Done")</f>
        <v>Done</v>
      </c>
      <c r="H919" s="88">
        <f>IFERROR(__xludf.DUMMYFUNCTION("""COMPUTED_VALUE"""),0.0)</f>
        <v>0</v>
      </c>
      <c r="I919" s="90" t="str">
        <f>IFERROR(__xludf.DUMMYFUNCTION("""COMPUTED_VALUE"""),"EMP0042 HULESHWAR KUMAR SAHU")</f>
        <v>EMP0042 HULESHWAR KUMAR SAHU</v>
      </c>
      <c r="J919" s="91"/>
    </row>
    <row r="920">
      <c r="B920" s="76" t="str">
        <f>IFERROR(__xludf.DUMMYFUNCTION("""COMPUTED_VALUE"""),"Check api id from database and download jrmxl file                                    ")</f>
        <v>Check api id from database and download jrmxl file                                    </v>
      </c>
      <c r="C920" s="82">
        <f>IFERROR(__xludf.DUMMYFUNCTION("""COMPUTED_VALUE"""),5380.0)</f>
        <v>5380</v>
      </c>
      <c r="D920" s="76" t="str">
        <f>IFERROR(__xludf.DUMMYFUNCTION("""COMPUTED_VALUE"""),"Marksheet Paramedical")</f>
        <v>Marksheet Paramedical</v>
      </c>
      <c r="E920" s="84">
        <f>IFERROR(__xludf.DUMMYFUNCTION("""COMPUTED_VALUE"""),46219.72851136574)</f>
        <v>46219.72851</v>
      </c>
      <c r="F920" s="86">
        <f>IFERROR(__xludf.DUMMYFUNCTION("""COMPUTED_VALUE"""),46219.55874234954)</f>
        <v>46219.55874</v>
      </c>
      <c r="G920" s="86" t="str">
        <f>IFERROR(__xludf.DUMMYFUNCTION("""COMPUTED_VALUE"""),"Done")</f>
        <v>Done</v>
      </c>
      <c r="H920" s="88">
        <f>IFERROR(__xludf.DUMMYFUNCTION("""COMPUTED_VALUE"""),0.0)</f>
        <v>0</v>
      </c>
      <c r="I920" s="90" t="str">
        <f>IFERROR(__xludf.DUMMYFUNCTION("""COMPUTED_VALUE"""),"EMP0042 HULESHWAR KUMAR SAHU")</f>
        <v>EMP0042 HULESHWAR KUMAR SAHU</v>
      </c>
      <c r="J920" s="91"/>
    </row>
    <row r="921">
      <c r="B921" s="76" t="str">
        <f>IFERROR(__xludf.DUMMYFUNCTION("""COMPUTED_VALUE"""),"Check api id from database and download jrmxl file                                    ")</f>
        <v>Check api id from database and download jrmxl file                                    </v>
      </c>
      <c r="C921" s="82">
        <f>IFERROR(__xludf.DUMMYFUNCTION("""COMPUTED_VALUE"""),5381.0)</f>
        <v>5381</v>
      </c>
      <c r="D921" s="76" t="str">
        <f>IFERROR(__xludf.DUMMYFUNCTION("""COMPUTED_VALUE"""),"TR correction")</f>
        <v>TR correction</v>
      </c>
      <c r="E921" s="84">
        <f>IFERROR(__xludf.DUMMYFUNCTION("""COMPUTED_VALUE"""),46219.77170600695)</f>
        <v>46219.77171</v>
      </c>
      <c r="F921" s="86">
        <f>IFERROR(__xludf.DUMMYFUNCTION("""COMPUTED_VALUE"""),46219.713258020834)</f>
        <v>46219.71326</v>
      </c>
      <c r="G921" s="86" t="str">
        <f>IFERROR(__xludf.DUMMYFUNCTION("""COMPUTED_VALUE"""),"Done")</f>
        <v>Done</v>
      </c>
      <c r="H921" s="88">
        <f>IFERROR(__xludf.DUMMYFUNCTION("""COMPUTED_VALUE"""),0.0)</f>
        <v>0</v>
      </c>
      <c r="I921" s="90" t="str">
        <f>IFERROR(__xludf.DUMMYFUNCTION("""COMPUTED_VALUE"""),"EMP0042 HULESHWAR KUMAR SAHU")</f>
        <v>EMP0042 HULESHWAR KUMAR SAHU</v>
      </c>
      <c r="J921" s="91"/>
    </row>
    <row r="922">
      <c r="B922" s="76" t="str">
        <f>IFERROR(__xludf.DUMMYFUNCTION("""COMPUTED_VALUE"""),"Check api id from database and download jrmxl file                                    ")</f>
        <v>Check api id from database and download jrmxl file                                    </v>
      </c>
      <c r="C922" s="82">
        <f>IFERROR(__xludf.DUMMYFUNCTION("""COMPUTED_VALUE"""),5382.0)</f>
        <v>5382</v>
      </c>
      <c r="D922" s="76" t="str">
        <f>IFERROR(__xludf.DUMMYFUNCTION("""COMPUTED_VALUE"""),"Upshastri Controller  signature change")</f>
        <v>Upshastri Controller  signature change</v>
      </c>
      <c r="E922" s="84">
        <f>IFERROR(__xludf.DUMMYFUNCTION("""COMPUTED_VALUE"""),46219.782861377316)</f>
        <v>46219.78286</v>
      </c>
      <c r="F922" s="86">
        <f>IFERROR(__xludf.DUMMYFUNCTION("""COMPUTED_VALUE"""),46219.71329680556)</f>
        <v>46219.7133</v>
      </c>
      <c r="G922" s="86" t="str">
        <f>IFERROR(__xludf.DUMMYFUNCTION("""COMPUTED_VALUE"""),"Done")</f>
        <v>Done</v>
      </c>
      <c r="H922" s="88">
        <f>IFERROR(__xludf.DUMMYFUNCTION("""COMPUTED_VALUE"""),0.0)</f>
        <v>0</v>
      </c>
      <c r="I922" s="90" t="str">
        <f>IFERROR(__xludf.DUMMYFUNCTION("""COMPUTED_VALUE"""),"EMP0021 Tamanna Dewangan")</f>
        <v>EMP0021 Tamanna Dewangan</v>
      </c>
      <c r="J922" s="91"/>
    </row>
    <row r="923">
      <c r="B923" s="76" t="str">
        <f>IFERROR(__xludf.DUMMYFUNCTION("""COMPUTED_VALUE"""),"Check api id from database and download jrmxl file                                    ")</f>
        <v>Check api id from database and download jrmxl file                                    </v>
      </c>
      <c r="C923" s="82">
        <f>IFERROR(__xludf.DUMMYFUNCTION("""COMPUTED_VALUE"""),5383.0)</f>
        <v>5383</v>
      </c>
      <c r="D923" s="76" t="str">
        <f>IFERROR(__xludf.DUMMYFUNCTION("""COMPUTED_VALUE"""),"Shastri Semester marksheet Correction")</f>
        <v>Shastri Semester marksheet Correction</v>
      </c>
      <c r="E923" s="84">
        <f>IFERROR(__xludf.DUMMYFUNCTION("""COMPUTED_VALUE"""),46219.78395)</f>
        <v>46219.78395</v>
      </c>
      <c r="F923" s="86">
        <f>IFERROR(__xludf.DUMMYFUNCTION("""COMPUTED_VALUE"""),46219.71331840278)</f>
        <v>46219.71332</v>
      </c>
      <c r="G923" s="86" t="str">
        <f>IFERROR(__xludf.DUMMYFUNCTION("""COMPUTED_VALUE"""),"Done")</f>
        <v>Done</v>
      </c>
      <c r="H923" s="88">
        <f>IFERROR(__xludf.DUMMYFUNCTION("""COMPUTED_VALUE"""),0.0)</f>
        <v>0</v>
      </c>
      <c r="I923" s="90" t="str">
        <f>IFERROR(__xludf.DUMMYFUNCTION("""COMPUTED_VALUE"""),"EMP0042 HULESHWAR KUMAR SAHU")</f>
        <v>EMP0042 HULESHWAR KUMAR SAHU</v>
      </c>
      <c r="J923" s="91"/>
    </row>
    <row r="924">
      <c r="B924" s="76" t="str">
        <f>IFERROR(__xludf.DUMMYFUNCTION("""COMPUTED_VALUE"""),"Check api id from database and download jrmxl file                                    ")</f>
        <v>Check api id from database and download jrmxl file                                    </v>
      </c>
      <c r="C924" s="82">
        <f>IFERROR(__xludf.DUMMYFUNCTION("""COMPUTED_VALUE"""),5384.0)</f>
        <v>5384</v>
      </c>
      <c r="D924" s="76" t="str">
        <f>IFERROR(__xludf.DUMMYFUNCTION("""COMPUTED_VALUE"""),"Grade Carde B.Tech")</f>
        <v>Grade Carde B.Tech</v>
      </c>
      <c r="E924" s="84">
        <f>IFERROR(__xludf.DUMMYFUNCTION("""COMPUTED_VALUE"""),46220.42569444445)</f>
        <v>46220.42569</v>
      </c>
      <c r="F924" s="86">
        <f>IFERROR(__xludf.DUMMYFUNCTION("""COMPUTED_VALUE"""),46219.71333724537)</f>
        <v>46219.71334</v>
      </c>
      <c r="G924" s="86" t="str">
        <f>IFERROR(__xludf.DUMMYFUNCTION("""COMPUTED_VALUE"""),"Done")</f>
        <v>Done</v>
      </c>
      <c r="H924" s="88">
        <f>IFERROR(__xludf.DUMMYFUNCTION("""COMPUTED_VALUE"""),0.0)</f>
        <v>0</v>
      </c>
      <c r="I924" s="90" t="str">
        <f>IFERROR(__xludf.DUMMYFUNCTION("""COMPUTED_VALUE"""),"EMP0042 HULESHWAR KUMAR SAHU")</f>
        <v>EMP0042 HULESHWAR KUMAR SAHU</v>
      </c>
      <c r="J924" s="91"/>
    </row>
    <row r="925">
      <c r="B925" s="76" t="str">
        <f>IFERROR(__xludf.DUMMYFUNCTION("""COMPUTED_VALUE"""),"Check api id from database and download jrmxl file                                    ")</f>
        <v>Check api id from database and download jrmxl file                                    </v>
      </c>
      <c r="C925" s="82">
        <f>IFERROR(__xludf.DUMMYFUNCTION("""COMPUTED_VALUE"""),5385.0)</f>
        <v>5385</v>
      </c>
      <c r="D925" s="76" t="str">
        <f>IFERROR(__xludf.DUMMYFUNCTION("""COMPUTED_VALUE"""),"GRADE_CARD")</f>
        <v>GRADE_CARD</v>
      </c>
      <c r="E925" s="84">
        <f>IFERROR(__xludf.DUMMYFUNCTION("""COMPUTED_VALUE"""),46220.44236111111)</f>
        <v>46220.44236</v>
      </c>
      <c r="F925" s="86">
        <f>IFERROR(__xludf.DUMMYFUNCTION("""COMPUTED_VALUE"""),46219.7136559375)</f>
        <v>46219.71366</v>
      </c>
      <c r="G925" s="86" t="str">
        <f>IFERROR(__xludf.DUMMYFUNCTION("""COMPUTED_VALUE"""),"Done")</f>
        <v>Done</v>
      </c>
      <c r="H925" s="88">
        <f>IFERROR(__xludf.DUMMYFUNCTION("""COMPUTED_VALUE"""),0.0)</f>
        <v>0</v>
      </c>
      <c r="I925" s="90" t="str">
        <f>IFERROR(__xludf.DUMMYFUNCTION("""COMPUTED_VALUE"""),"EMP5009 Rup Kumar Mandal")</f>
        <v>EMP5009 Rup Kumar Mandal</v>
      </c>
      <c r="J925" s="91"/>
    </row>
    <row r="926">
      <c r="B926" s="76" t="str">
        <f>IFERROR(__xludf.DUMMYFUNCTION("""COMPUTED_VALUE"""),"Check api id from database and download jrmxl file                                    ")</f>
        <v>Check api id from database and download jrmxl file                                    </v>
      </c>
      <c r="C926" s="82">
        <f>IFERROR(__xludf.DUMMYFUNCTION("""COMPUTED_VALUE"""),5386.0)</f>
        <v>5386</v>
      </c>
      <c r="D926" s="76" t="str">
        <f>IFERROR(__xludf.DUMMYFUNCTION("""COMPUTED_VALUE"""),"TRS_REPORT")</f>
        <v>TRS_REPORT</v>
      </c>
      <c r="E926" s="84">
        <f>IFERROR(__xludf.DUMMYFUNCTION("""COMPUTED_VALUE"""),46220.44652777778)</f>
        <v>46220.44653</v>
      </c>
      <c r="F926" s="86">
        <f>IFERROR(__xludf.DUMMYFUNCTION("""COMPUTED_VALUE"""),46219.71367841435)</f>
        <v>46219.71368</v>
      </c>
      <c r="G926" s="86" t="str">
        <f>IFERROR(__xludf.DUMMYFUNCTION("""COMPUTED_VALUE"""),"Done")</f>
        <v>Done</v>
      </c>
      <c r="H926" s="88">
        <f>IFERROR(__xludf.DUMMYFUNCTION("""COMPUTED_VALUE"""),0.0)</f>
        <v>0</v>
      </c>
      <c r="I926" s="90" t="str">
        <f>IFERROR(__xludf.DUMMYFUNCTION("""COMPUTED_VALUE"""),"EMP5009 Rup Kumar Mandal")</f>
        <v>EMP5009 Rup Kumar Mandal</v>
      </c>
      <c r="J926" s="91"/>
    </row>
    <row r="927">
      <c r="B927" s="76" t="str">
        <f>IFERROR(__xludf.DUMMYFUNCTION("""COMPUTED_VALUE"""),"Check api id from database and download jrmxl file                                    ")</f>
        <v>Check api id from database and download jrmxl file                                    </v>
      </c>
      <c r="C927" s="82">
        <f>IFERROR(__xludf.DUMMYFUNCTION("""COMPUTED_VALUE"""),5387.0)</f>
        <v>5387</v>
      </c>
      <c r="D927" s="76" t="str">
        <f>IFERROR(__xludf.DUMMYFUNCTION("""COMPUTED_VALUE"""),"	Grade Card (OTHERS)")</f>
        <v>	Grade Card (OTHERS)</v>
      </c>
      <c r="E927" s="84">
        <f>IFERROR(__xludf.DUMMYFUNCTION("""COMPUTED_VALUE"""),46220.67517447917)</f>
        <v>46220.67517</v>
      </c>
      <c r="F927" s="86">
        <f>IFERROR(__xludf.DUMMYFUNCTION("""COMPUTED_VALUE"""),46220.57760012731)</f>
        <v>46220.5776</v>
      </c>
      <c r="G927" s="86" t="str">
        <f>IFERROR(__xludf.DUMMYFUNCTION("""COMPUTED_VALUE"""),"Done")</f>
        <v>Done</v>
      </c>
      <c r="H927" s="88">
        <f>IFERROR(__xludf.DUMMYFUNCTION("""COMPUTED_VALUE"""),0.0)</f>
        <v>0</v>
      </c>
      <c r="I927" s="90" t="str">
        <f>IFERROR(__xludf.DUMMYFUNCTION("""COMPUTED_VALUE"""),"EMP0021 Tamanna Dewangan")</f>
        <v>EMP0021 Tamanna Dewangan</v>
      </c>
      <c r="J927" s="91"/>
    </row>
    <row r="928">
      <c r="B928" s="76" t="str">
        <f>IFERROR(__xludf.DUMMYFUNCTION("""COMPUTED_VALUE"""),"Check api id from database and download jrmxl file                                    ")</f>
        <v>Check api id from database and download jrmxl file                                    </v>
      </c>
      <c r="C928" s="82">
        <f>IFERROR(__xludf.DUMMYFUNCTION("""COMPUTED_VALUE"""),5388.0)</f>
        <v>5388</v>
      </c>
      <c r="D928" s="76" t="str">
        <f>IFERROR(__xludf.DUMMYFUNCTION("""COMPUTED_VALUE"""),"	Provisional Certificate")</f>
        <v>	Provisional Certificate</v>
      </c>
      <c r="E928" s="84">
        <f>IFERROR(__xludf.DUMMYFUNCTION("""COMPUTED_VALUE"""),46220.73613575232)</f>
        <v>46220.73614</v>
      </c>
      <c r="F928" s="86">
        <f>IFERROR(__xludf.DUMMYFUNCTION("""COMPUTED_VALUE"""),46220.577620254626)</f>
        <v>46220.57762</v>
      </c>
      <c r="G928" s="86" t="str">
        <f>IFERROR(__xludf.DUMMYFUNCTION("""COMPUTED_VALUE"""),"Done")</f>
        <v>Done</v>
      </c>
      <c r="H928" s="88">
        <f>IFERROR(__xludf.DUMMYFUNCTION("""COMPUTED_VALUE"""),0.0)</f>
        <v>0</v>
      </c>
      <c r="I928" s="90" t="str">
        <f>IFERROR(__xludf.DUMMYFUNCTION("""COMPUTED_VALUE"""),"EMP0042 HULESHWAR KUMAR SAHU")</f>
        <v>EMP0042 HULESHWAR KUMAR SAHU</v>
      </c>
      <c r="J928" s="91"/>
    </row>
    <row r="929">
      <c r="B929" s="76" t="str">
        <f>IFERROR(__xludf.DUMMYFUNCTION("""COMPUTED_VALUE"""),"Check api id from database and download jrmxl file                                    ")</f>
        <v>Check api id from database and download jrmxl file                                    </v>
      </c>
      <c r="C929" s="82">
        <f>IFERROR(__xludf.DUMMYFUNCTION("""COMPUTED_VALUE"""),5389.0)</f>
        <v>5389</v>
      </c>
      <c r="D929" s="76" t="str">
        <f>IFERROR(__xludf.DUMMYFUNCTION("""COMPUTED_VALUE"""),"TR Format (Grading / Non-Grading) ")</f>
        <v>TR Format (Grading / Non-Grading) </v>
      </c>
      <c r="E929" s="84">
        <f>IFERROR(__xludf.DUMMYFUNCTION("""COMPUTED_VALUE"""),46221.513194444444)</f>
        <v>46221.51319</v>
      </c>
      <c r="F929" s="86">
        <f>IFERROR(__xludf.DUMMYFUNCTION("""COMPUTED_VALUE"""),46220.787193055556)</f>
        <v>46220.78719</v>
      </c>
      <c r="G929" s="86" t="str">
        <f>IFERROR(__xludf.DUMMYFUNCTION("""COMPUTED_VALUE"""),"Done")</f>
        <v>Done</v>
      </c>
      <c r="H929" s="88">
        <f>IFERROR(__xludf.DUMMYFUNCTION("""COMPUTED_VALUE"""),0.0)</f>
        <v>0</v>
      </c>
      <c r="I929" s="90" t="str">
        <f>IFERROR(__xludf.DUMMYFUNCTION("""COMPUTED_VALUE"""),"EMP5009 Rup Kumar Mandal")</f>
        <v>EMP5009 Rup Kumar Mandal</v>
      </c>
      <c r="J929" s="91"/>
    </row>
    <row r="930">
      <c r="B930" s="76" t="str">
        <f>IFERROR(__xludf.DUMMYFUNCTION("""COMPUTED_VALUE"""),"Check api id from database and download jrmxl file                                    ")</f>
        <v>Check api id from database and download jrmxl file                                    </v>
      </c>
      <c r="C930" s="82">
        <f>IFERROR(__xludf.DUMMYFUNCTION("""COMPUTED_VALUE"""),5390.0)</f>
        <v>5390</v>
      </c>
      <c r="D930" s="76" t="str">
        <f>IFERROR(__xludf.DUMMYFUNCTION("""COMPUTED_VALUE"""),"TR Format (Grading / Non-Grading) ")</f>
        <v>TR Format (Grading / Non-Grading) </v>
      </c>
      <c r="E930" s="84">
        <f>IFERROR(__xludf.DUMMYFUNCTION("""COMPUTED_VALUE"""),46221.51458333334)</f>
        <v>46221.51458</v>
      </c>
      <c r="F930" s="86">
        <f>IFERROR(__xludf.DUMMYFUNCTION("""COMPUTED_VALUE"""),46220.78720925926)</f>
        <v>46220.78721</v>
      </c>
      <c r="G930" s="86" t="str">
        <f>IFERROR(__xludf.DUMMYFUNCTION("""COMPUTED_VALUE"""),"Done")</f>
        <v>Done</v>
      </c>
      <c r="H930" s="88">
        <f>IFERROR(__xludf.DUMMYFUNCTION("""COMPUTED_VALUE"""),0.0)</f>
        <v>0</v>
      </c>
      <c r="I930" s="90" t="str">
        <f>IFERROR(__xludf.DUMMYFUNCTION("""COMPUTED_VALUE"""),"EMP0021 Tamanna Dewangan")</f>
        <v>EMP0021 Tamanna Dewangan</v>
      </c>
      <c r="J930" s="91"/>
    </row>
    <row r="931">
      <c r="B931" s="76" t="str">
        <f>IFERROR(__xludf.DUMMYFUNCTION("""COMPUTED_VALUE"""),"Check api id from database and download jrmxl file                                    ")</f>
        <v>Check api id from database and download jrmxl file                                    </v>
      </c>
      <c r="C931" s="82">
        <f>IFERROR(__xludf.DUMMYFUNCTION("""COMPUTED_VALUE"""),5391.0)</f>
        <v>5391</v>
      </c>
      <c r="D931" s="76" t="str">
        <f>IFERROR(__xludf.DUMMYFUNCTION("""COMPUTED_VALUE"""),"PG-SECTION Continuous Assesment Marks Report ")</f>
        <v>PG-SECTION Continuous Assesment Marks Report </v>
      </c>
      <c r="E931" s="84">
        <f>IFERROR(__xludf.DUMMYFUNCTION("""COMPUTED_VALUE"""),46221.51875)</f>
        <v>46221.51875</v>
      </c>
      <c r="F931" s="86">
        <f>IFERROR(__xludf.DUMMYFUNCTION("""COMPUTED_VALUE"""),46220.787234421296)</f>
        <v>46220.78723</v>
      </c>
      <c r="G931" s="86" t="str">
        <f>IFERROR(__xludf.DUMMYFUNCTION("""COMPUTED_VALUE"""),"Done")</f>
        <v>Done</v>
      </c>
      <c r="H931" s="88">
        <f>IFERROR(__xludf.DUMMYFUNCTION("""COMPUTED_VALUE"""),0.0)</f>
        <v>0</v>
      </c>
      <c r="I931" s="90" t="str">
        <f>IFERROR(__xludf.DUMMYFUNCTION("""COMPUTED_VALUE"""),"EMP5009 Rup Kumar Mandal")</f>
        <v>EMP5009 Rup Kumar Mandal</v>
      </c>
      <c r="J931" s="91"/>
    </row>
    <row r="932">
      <c r="B932" s="76" t="str">
        <f>IFERROR(__xludf.DUMMYFUNCTION("""COMPUTED_VALUE"""),"Check api id from database and download jrmxl file                                    ")</f>
        <v>Check api id from database and download jrmxl file                                    </v>
      </c>
      <c r="C932" s="82">
        <f>IFERROR(__xludf.DUMMYFUNCTION("""COMPUTED_VALUE"""),5392.0)</f>
        <v>5392</v>
      </c>
      <c r="D932" s="76" t="str">
        <f>IFERROR(__xludf.DUMMYFUNCTION("""COMPUTED_VALUE"""),"PG-SECTION Marks Entry Mis-Match Report")</f>
        <v>PG-SECTION Marks Entry Mis-Match Report</v>
      </c>
      <c r="E932" s="84">
        <f>IFERROR(__xludf.DUMMYFUNCTION("""COMPUTED_VALUE"""),46221.521527777775)</f>
        <v>46221.52153</v>
      </c>
      <c r="F932" s="86">
        <f>IFERROR(__xludf.DUMMYFUNCTION("""COMPUTED_VALUE"""),46220.787257523145)</f>
        <v>46220.78726</v>
      </c>
      <c r="G932" s="86" t="str">
        <f>IFERROR(__xludf.DUMMYFUNCTION("""COMPUTED_VALUE"""),"Done")</f>
        <v>Done</v>
      </c>
      <c r="H932" s="88">
        <f>IFERROR(__xludf.DUMMYFUNCTION("""COMPUTED_VALUE"""),0.0)</f>
        <v>0</v>
      </c>
      <c r="I932" s="90" t="str">
        <f>IFERROR(__xludf.DUMMYFUNCTION("""COMPUTED_VALUE"""),"EMP5009 Rup Kumar Mandal")</f>
        <v>EMP5009 Rup Kumar Mandal</v>
      </c>
      <c r="J932" s="91"/>
    </row>
    <row r="933">
      <c r="B933" s="76" t="str">
        <f>IFERROR(__xludf.DUMMYFUNCTION("""COMPUTED_VALUE"""),"Check api id from database and download jrmxl file                                    ")</f>
        <v>Check api id from database and download jrmxl file                                    </v>
      </c>
      <c r="C933" s="82">
        <f>IFERROR(__xludf.DUMMYFUNCTION("""COMPUTED_VALUE"""),5393.0)</f>
        <v>5393</v>
      </c>
      <c r="D933" s="76" t="str">
        <f>IFERROR(__xludf.DUMMYFUNCTION("""COMPUTED_VALUE"""),"Admit Card")</f>
        <v>Admit Card</v>
      </c>
      <c r="E933" s="84">
        <f>IFERROR(__xludf.DUMMYFUNCTION("""COMPUTED_VALUE"""),46221.62658079861)</f>
        <v>46221.62658</v>
      </c>
      <c r="F933" s="86">
        <f>IFERROR(__xludf.DUMMYFUNCTION("""COMPUTED_VALUE"""),46221.47045804398)</f>
        <v>46221.47046</v>
      </c>
      <c r="G933" s="86" t="str">
        <f>IFERROR(__xludf.DUMMYFUNCTION("""COMPUTED_VALUE"""),"Done")</f>
        <v>Done</v>
      </c>
      <c r="H933" s="88">
        <f>IFERROR(__xludf.DUMMYFUNCTION("""COMPUTED_VALUE"""),0.0)</f>
        <v>0</v>
      </c>
      <c r="I933" s="90" t="str">
        <f>IFERROR(__xludf.DUMMYFUNCTION("""COMPUTED_VALUE"""),"EMP0237 Swarnendu Chakraborty")</f>
        <v>EMP0237 Swarnendu Chakraborty</v>
      </c>
      <c r="J933" s="91"/>
    </row>
    <row r="934">
      <c r="B934" s="76" t="str">
        <f>IFERROR(__xludf.DUMMYFUNCTION("""COMPUTED_VALUE"""),"Check api id from database and download jrmxl file                                    ")</f>
        <v>Check api id from database and download jrmxl file                                    </v>
      </c>
      <c r="C934" s="82">
        <f>IFERROR(__xludf.DUMMYFUNCTION("""COMPUTED_VALUE"""),5394.0)</f>
        <v>5394</v>
      </c>
      <c r="D934" s="76" t="str">
        <f>IFERROR(__xludf.DUMMYFUNCTION("""COMPUTED_VALUE"""),"All marksheet scanner course name change as per discussion.")</f>
        <v>All marksheet scanner course name change as per discussion.</v>
      </c>
      <c r="E934" s="84">
        <f>IFERROR(__xludf.DUMMYFUNCTION("""COMPUTED_VALUE"""),46221.78299196759)</f>
        <v>46221.78299</v>
      </c>
      <c r="F934" s="86">
        <f>IFERROR(__xludf.DUMMYFUNCTION("""COMPUTED_VALUE"""),46221.61894155093)</f>
        <v>46221.61894</v>
      </c>
      <c r="G934" s="86" t="str">
        <f>IFERROR(__xludf.DUMMYFUNCTION("""COMPUTED_VALUE"""),"Done")</f>
        <v>Done</v>
      </c>
      <c r="H934" s="88">
        <f>IFERROR(__xludf.DUMMYFUNCTION("""COMPUTED_VALUE"""),0.0)</f>
        <v>0</v>
      </c>
      <c r="I934" s="90" t="str">
        <f>IFERROR(__xludf.DUMMYFUNCTION("""COMPUTED_VALUE"""),"EMP0042 HULESHWAR KUMAR SAHU")</f>
        <v>EMP0042 HULESHWAR KUMAR SAHU</v>
      </c>
      <c r="J934" s="91"/>
    </row>
    <row r="935">
      <c r="B935" s="76" t="str">
        <f>IFERROR(__xludf.DUMMYFUNCTION("""COMPUTED_VALUE"""),"Check api id from database and download jrmxl file                                    ")</f>
        <v>Check api id from database and download jrmxl file                                    </v>
      </c>
      <c r="C935" s="82">
        <f>IFERROR(__xludf.DUMMYFUNCTION("""COMPUTED_VALUE"""),5395.0)</f>
        <v>5395</v>
      </c>
      <c r="D935" s="76" t="str">
        <f>IFERROR(__xludf.DUMMYFUNCTION("""COMPUTED_VALUE"""),"TR Report")</f>
        <v>TR Report</v>
      </c>
      <c r="E935" s="84">
        <f>IFERROR(__xludf.DUMMYFUNCTION("""COMPUTED_VALUE"""),46223.53404589121)</f>
        <v>46223.53405</v>
      </c>
      <c r="F935" s="86">
        <f>IFERROR(__xludf.DUMMYFUNCTION("""COMPUTED_VALUE"""),46221.6364024074)</f>
        <v>46221.6364</v>
      </c>
      <c r="G935" s="86" t="str">
        <f>IFERROR(__xludf.DUMMYFUNCTION("""COMPUTED_VALUE"""),"Done")</f>
        <v>Done</v>
      </c>
      <c r="H935" s="88">
        <f>IFERROR(__xludf.DUMMYFUNCTION("""COMPUTED_VALUE"""),0.0)</f>
        <v>0</v>
      </c>
      <c r="I935" s="90" t="str">
        <f>IFERROR(__xludf.DUMMYFUNCTION("""COMPUTED_VALUE"""),"EMP0237 Swarnendu Chakraborty")</f>
        <v>EMP0237 Swarnendu Chakraborty</v>
      </c>
      <c r="J935" s="91"/>
    </row>
    <row r="936">
      <c r="B936" s="76" t="str">
        <f>IFERROR(__xludf.DUMMYFUNCTION("""COMPUTED_VALUE"""),"Check api id from database and download jrmxl file                                    ")</f>
        <v>Check api id from database and download jrmxl file                                    </v>
      </c>
      <c r="C936" s="82">
        <f>IFERROR(__xludf.DUMMYFUNCTION("""COMPUTED_VALUE"""),5396.0)</f>
        <v>5396</v>
      </c>
      <c r="D936" s="76" t="str">
        <f>IFERROR(__xludf.DUMMYFUNCTION("""COMPUTED_VALUE"""),"TR pdf to excel convert all course all semester")</f>
        <v>TR pdf to excel convert all course all semester</v>
      </c>
      <c r="E936" s="84">
        <f>IFERROR(__xludf.DUMMYFUNCTION("""COMPUTED_VALUE"""),46223.51666666666)</f>
        <v>46223.51667</v>
      </c>
      <c r="F936" s="86">
        <f>IFERROR(__xludf.DUMMYFUNCTION("""COMPUTED_VALUE"""),46223.47328597223)</f>
        <v>46223.47329</v>
      </c>
      <c r="G936" s="86" t="str">
        <f>IFERROR(__xludf.DUMMYFUNCTION("""COMPUTED_VALUE"""),"Done")</f>
        <v>Done</v>
      </c>
      <c r="H936" s="88">
        <f>IFERROR(__xludf.DUMMYFUNCTION("""COMPUTED_VALUE"""),0.0)</f>
        <v>0</v>
      </c>
      <c r="I936" s="90" t="str">
        <f>IFERROR(__xludf.DUMMYFUNCTION("""COMPUTED_VALUE"""),"EMP0042 HULESHWAR KUMAR SAHU")</f>
        <v>EMP0042 HULESHWAR KUMAR SAHU</v>
      </c>
      <c r="J936" s="91"/>
    </row>
    <row r="937">
      <c r="B937" s="76" t="str">
        <f>IFERROR(__xludf.DUMMYFUNCTION("""COMPUTED_VALUE"""),"Check api id from database and download jrmxl file                                    ")</f>
        <v>Check api id from database and download jrmxl file                                    </v>
      </c>
      <c r="C937" s="82">
        <f>IFERROR(__xludf.DUMMYFUNCTION("""COMPUTED_VALUE"""),5397.0)</f>
        <v>5397</v>
      </c>
      <c r="D937" s="76" t="str">
        <f>IFERROR(__xludf.DUMMYFUNCTION("""COMPUTED_VALUE"""),"gradecard4sem_ug_deploma")</f>
        <v>gradecard4sem_ug_deploma</v>
      </c>
      <c r="E937" s="84">
        <f>IFERROR(__xludf.DUMMYFUNCTION("""COMPUTED_VALUE"""),46223.64599733797)</f>
        <v>46223.646</v>
      </c>
      <c r="F937" s="86">
        <f>IFERROR(__xludf.DUMMYFUNCTION("""COMPUTED_VALUE"""),46223.47331912038)</f>
        <v>46223.47332</v>
      </c>
      <c r="G937" s="86" t="str">
        <f>IFERROR(__xludf.DUMMYFUNCTION("""COMPUTED_VALUE"""),"Done")</f>
        <v>Done</v>
      </c>
      <c r="H937" s="88">
        <f>IFERROR(__xludf.DUMMYFUNCTION("""COMPUTED_VALUE"""),0.0)</f>
        <v>0</v>
      </c>
      <c r="I937" s="90" t="str">
        <f>IFERROR(__xludf.DUMMYFUNCTION("""COMPUTED_VALUE"""),"EMP5009 Rup Kumar Mandal")</f>
        <v>EMP5009 Rup Kumar Mandal</v>
      </c>
      <c r="J937" s="91"/>
    </row>
    <row r="938">
      <c r="B938" s="76" t="str">
        <f>IFERROR(__xludf.DUMMYFUNCTION("""COMPUTED_VALUE"""),"Check api id from database and download jrmxl file                                    ")</f>
        <v>Check api id from database and download jrmxl file                                    </v>
      </c>
      <c r="C938" s="82">
        <f>IFERROR(__xludf.DUMMYFUNCTION("""COMPUTED_VALUE"""),5398.0)</f>
        <v>5398</v>
      </c>
      <c r="D938" s="76" t="str">
        <f>IFERROR(__xludf.DUMMYFUNCTION("""COMPUTED_VALUE"""),"MAR")</f>
        <v>MAR</v>
      </c>
      <c r="E938" s="84">
        <f>IFERROR(__xludf.DUMMYFUNCTION("""COMPUTED_VALUE"""),46223.75367027778)</f>
        <v>46223.75367</v>
      </c>
      <c r="F938" s="86">
        <f>IFERROR(__xludf.DUMMYFUNCTION("""COMPUTED_VALUE"""),46223.64479634259)</f>
        <v>46223.6448</v>
      </c>
      <c r="G938" s="86" t="str">
        <f>IFERROR(__xludf.DUMMYFUNCTION("""COMPUTED_VALUE"""),"Done")</f>
        <v>Done</v>
      </c>
      <c r="H938" s="88">
        <f>IFERROR(__xludf.DUMMYFUNCTION("""COMPUTED_VALUE"""),0.0)</f>
        <v>0</v>
      </c>
      <c r="I938" s="90" t="str">
        <f>IFERROR(__xludf.DUMMYFUNCTION("""COMPUTED_VALUE"""),"EMP5009 Rup Kumar Mandal")</f>
        <v>EMP5009 Rup Kumar Mandal</v>
      </c>
      <c r="J938" s="91"/>
    </row>
    <row r="939">
      <c r="B939" s="76" t="str">
        <f>IFERROR(__xludf.DUMMYFUNCTION("""COMPUTED_VALUE"""),"Check api id from database and download jrmxl file                                    ")</f>
        <v>Check api id from database and download jrmxl file                                    </v>
      </c>
      <c r="C939" s="82">
        <f>IFERROR(__xludf.DUMMYFUNCTION("""COMPUTED_VALUE"""),5399.0)</f>
        <v>5399</v>
      </c>
      <c r="D939" s="76" t="str">
        <f>IFERROR(__xludf.DUMMYFUNCTION("""COMPUTED_VALUE"""),"TR Correction for pre process")</f>
        <v>TR Correction for pre process</v>
      </c>
      <c r="E939" s="84">
        <f>IFERROR(__xludf.DUMMYFUNCTION("""COMPUTED_VALUE"""),46224.797753148145)</f>
        <v>46224.79775</v>
      </c>
      <c r="F939" s="86">
        <f>IFERROR(__xludf.DUMMYFUNCTION("""COMPUTED_VALUE"""),46224.69728141204)</f>
        <v>46224.69728</v>
      </c>
      <c r="G939" s="86" t="str">
        <f>IFERROR(__xludf.DUMMYFUNCTION("""COMPUTED_VALUE"""),"Done")</f>
        <v>Done</v>
      </c>
      <c r="H939" s="88">
        <f>IFERROR(__xludf.DUMMYFUNCTION("""COMPUTED_VALUE"""),0.0)</f>
        <v>0</v>
      </c>
      <c r="I939" s="90" t="str">
        <f>IFERROR(__xludf.DUMMYFUNCTION("""COMPUTED_VALUE"""),"EMP0042 HULESHWAR KUMAR SAHU")</f>
        <v>EMP0042 HULESHWAR KUMAR SAHU</v>
      </c>
      <c r="J939" s="91"/>
    </row>
    <row r="940">
      <c r="B940" s="76" t="str">
        <f>IFERROR(__xludf.DUMMYFUNCTION("""COMPUTED_VALUE"""),"Check api id from database and download jrmxl file                                    ")</f>
        <v>Check api id from database and download jrmxl file                                    </v>
      </c>
      <c r="C940" s="82">
        <f>IFERROR(__xludf.DUMMYFUNCTION("""COMPUTED_VALUE"""),5400.0)</f>
        <v>5400</v>
      </c>
      <c r="D940" s="76" t="str">
        <f>IFERROR(__xludf.DUMMYFUNCTION("""COMPUTED_VALUE"""),"Annual marks correction for regular student")</f>
        <v>Annual marks correction for regular student</v>
      </c>
      <c r="E940" s="84">
        <f>IFERROR(__xludf.DUMMYFUNCTION("""COMPUTED_VALUE"""),46224.79865506944)</f>
        <v>46224.79866</v>
      </c>
      <c r="F940" s="86">
        <f>IFERROR(__xludf.DUMMYFUNCTION("""COMPUTED_VALUE"""),46224.69732231481)</f>
        <v>46224.69732</v>
      </c>
      <c r="G940" s="86" t="str">
        <f>IFERROR(__xludf.DUMMYFUNCTION("""COMPUTED_VALUE"""),"Done")</f>
        <v>Done</v>
      </c>
      <c r="H940" s="88">
        <f>IFERROR(__xludf.DUMMYFUNCTION("""COMPUTED_VALUE"""),0.0)</f>
        <v>0</v>
      </c>
      <c r="I940" s="90" t="str">
        <f>IFERROR(__xludf.DUMMYFUNCTION("""COMPUTED_VALUE"""),"EMP0042 HULESHWAR KUMAR SAHU")</f>
        <v>EMP0042 HULESHWAR KUMAR SAHU</v>
      </c>
      <c r="J940" s="91"/>
    </row>
    <row r="941">
      <c r="B941" s="76" t="str">
        <f>IFERROR(__xludf.DUMMYFUNCTION("""COMPUTED_VALUE"""),"Check api id from database and download jrmxl file                                    ")</f>
        <v>Check api id from database and download jrmxl file                                    </v>
      </c>
      <c r="C941" s="82">
        <f>IFERROR(__xludf.DUMMYFUNCTION("""COMPUTED_VALUE"""),5401.0)</f>
        <v>5401</v>
      </c>
      <c r="D941" s="76" t="str">
        <f>IFERROR(__xludf.DUMMYFUNCTION("""COMPUTED_VALUE"""),"TR report ")</f>
        <v>TR report </v>
      </c>
      <c r="E941" s="84">
        <f>IFERROR(__xludf.DUMMYFUNCTION("""COMPUTED_VALUE"""),46225.60013077546)</f>
        <v>46225.60013</v>
      </c>
      <c r="F941" s="86">
        <f>IFERROR(__xludf.DUMMYFUNCTION("""COMPUTED_VALUE"""),46225.446887916674)</f>
        <v>46225.44689</v>
      </c>
      <c r="G941" s="86" t="str">
        <f>IFERROR(__xludf.DUMMYFUNCTION("""COMPUTED_VALUE"""),"Done")</f>
        <v>Done</v>
      </c>
      <c r="H941" s="88">
        <f>IFERROR(__xludf.DUMMYFUNCTION("""COMPUTED_VALUE"""),0.0)</f>
        <v>0</v>
      </c>
      <c r="I941" s="90" t="str">
        <f>IFERROR(__xludf.DUMMYFUNCTION("""COMPUTED_VALUE"""),"EMP0021 Tamanna Dewangan")</f>
        <v>EMP0021 Tamanna Dewangan</v>
      </c>
      <c r="J941" s="91"/>
    </row>
    <row r="942">
      <c r="B942" s="76" t="str">
        <f>IFERROR(__xludf.DUMMYFUNCTION("""COMPUTED_VALUE"""),"Check api id from database and download jrmxl file                                    ")</f>
        <v>Check api id from database and download jrmxl file                                    </v>
      </c>
      <c r="C942" s="82">
        <f>IFERROR(__xludf.DUMMYFUNCTION("""COMPUTED_VALUE"""),5402.0)</f>
        <v>5402</v>
      </c>
      <c r="D942" s="76" t="str">
        <f>IFERROR(__xludf.DUMMYFUNCTION("""COMPUTED_VALUE"""),"TR report")</f>
        <v>TR report</v>
      </c>
      <c r="E942" s="84">
        <f>IFERROR(__xludf.DUMMYFUNCTION("""COMPUTED_VALUE"""),46225.60314172454)</f>
        <v>46225.60314</v>
      </c>
      <c r="F942" s="86">
        <f>IFERROR(__xludf.DUMMYFUNCTION("""COMPUTED_VALUE"""),46225.44690484954)</f>
        <v>46225.4469</v>
      </c>
      <c r="G942" s="86" t="str">
        <f>IFERROR(__xludf.DUMMYFUNCTION("""COMPUTED_VALUE"""),"Done")</f>
        <v>Done</v>
      </c>
      <c r="H942" s="88">
        <f>IFERROR(__xludf.DUMMYFUNCTION("""COMPUTED_VALUE"""),0.0)</f>
        <v>0</v>
      </c>
      <c r="I942" s="90" t="str">
        <f>IFERROR(__xludf.DUMMYFUNCTION("""COMPUTED_VALUE"""),"EMP0237 Swarnendu Chakraborty")</f>
        <v>EMP0237 Swarnendu Chakraborty</v>
      </c>
      <c r="J942" s="91"/>
    </row>
    <row r="943">
      <c r="B943" s="76" t="str">
        <f>IFERROR(__xludf.DUMMYFUNCTION("""COMPUTED_VALUE"""),"Check api id from database and download jrmxl file                                    ")</f>
        <v>Check api id from database and download jrmxl file                                    </v>
      </c>
      <c r="C943" s="82">
        <f>IFERROR(__xludf.DUMMYFUNCTION("""COMPUTED_VALUE"""),5403.0)</f>
        <v>5403</v>
      </c>
      <c r="D943" s="76" t="str">
        <f>IFERROR(__xludf.DUMMYFUNCTION("""COMPUTED_VALUE"""),"Pre report")</f>
        <v>Pre report</v>
      </c>
      <c r="E943" s="84">
        <f>IFERROR(__xludf.DUMMYFUNCTION("""COMPUTED_VALUE"""),46225.6367497338)</f>
        <v>46225.63675</v>
      </c>
      <c r="F943" s="86">
        <f>IFERROR(__xludf.DUMMYFUNCTION("""COMPUTED_VALUE"""),46225.47252077546)</f>
        <v>46225.47252</v>
      </c>
      <c r="G943" s="86" t="str">
        <f>IFERROR(__xludf.DUMMYFUNCTION("""COMPUTED_VALUE"""),"Done")</f>
        <v>Done</v>
      </c>
      <c r="H943" s="88">
        <f>IFERROR(__xludf.DUMMYFUNCTION("""COMPUTED_VALUE"""),0.0)</f>
        <v>0</v>
      </c>
      <c r="I943" s="90" t="str">
        <f>IFERROR(__xludf.DUMMYFUNCTION("""COMPUTED_VALUE"""),"EMP5009 Rup Kumar Mandal")</f>
        <v>EMP5009 Rup Kumar Mandal</v>
      </c>
      <c r="J943" s="91"/>
    </row>
    <row r="944">
      <c r="B944" s="76" t="str">
        <f>IFERROR(__xludf.DUMMYFUNCTION("""COMPUTED_VALUE"""),"Check api id from database and download jrmxl file                                    ")</f>
        <v>Check api id from database and download jrmxl file                                    </v>
      </c>
      <c r="C944" s="82">
        <f>IFERROR(__xludf.DUMMYFUNCTION("""COMPUTED_VALUE"""),5404.0)</f>
        <v>5404</v>
      </c>
      <c r="D944" s="76" t="str">
        <f>IFERROR(__xludf.DUMMYFUNCTION("""COMPUTED_VALUE"""),"TR NEW AGRICULTURE AND ALL")</f>
        <v>TR NEW AGRICULTURE AND ALL</v>
      </c>
      <c r="E944" s="84">
        <f>IFERROR(__xludf.DUMMYFUNCTION("""COMPUTED_VALUE"""),46225.77625488425)</f>
        <v>46225.77625</v>
      </c>
      <c r="F944" s="86">
        <f>IFERROR(__xludf.DUMMYFUNCTION("""COMPUTED_VALUE"""),46225.65971219908)</f>
        <v>46225.65971</v>
      </c>
      <c r="G944" s="86" t="str">
        <f>IFERROR(__xludf.DUMMYFUNCTION("""COMPUTED_VALUE"""),"Done")</f>
        <v>Done</v>
      </c>
      <c r="H944" s="88">
        <f>IFERROR(__xludf.DUMMYFUNCTION("""COMPUTED_VALUE"""),0.0)</f>
        <v>0</v>
      </c>
      <c r="I944" s="90" t="str">
        <f>IFERROR(__xludf.DUMMYFUNCTION("""COMPUTED_VALUE"""),"EMP0042 HULESHWAR KUMAR SAHU")</f>
        <v>EMP0042 HULESHWAR KUMAR SAHU</v>
      </c>
      <c r="J944" s="91"/>
    </row>
    <row r="945">
      <c r="B945" s="76" t="str">
        <f>IFERROR(__xludf.DUMMYFUNCTION("""COMPUTED_VALUE"""),"Check api id from database and download jrmxl file                                    ")</f>
        <v>Check api id from database and download jrmxl file                                    </v>
      </c>
      <c r="C945" s="82">
        <f>IFERROR(__xludf.DUMMYFUNCTION("""COMPUTED_VALUE"""),5405.0)</f>
        <v>5405</v>
      </c>
      <c r="D945" s="76" t="str">
        <f>IFERROR(__xludf.DUMMYFUNCTION("""COMPUTED_VALUE"""),"marksheet")</f>
        <v>marksheet</v>
      </c>
      <c r="E945" s="84">
        <f>IFERROR(__xludf.DUMMYFUNCTION("""COMPUTED_VALUE"""),46226.64332086806)</f>
        <v>46226.64332</v>
      </c>
      <c r="F945" s="86">
        <f>IFERROR(__xludf.DUMMYFUNCTION("""COMPUTED_VALUE"""),46226.480976192135)</f>
        <v>46226.48098</v>
      </c>
      <c r="G945" s="86" t="str">
        <f>IFERROR(__xludf.DUMMYFUNCTION("""COMPUTED_VALUE"""),"Done")</f>
        <v>Done</v>
      </c>
      <c r="H945" s="88">
        <f>IFERROR(__xludf.DUMMYFUNCTION("""COMPUTED_VALUE"""),0.0)</f>
        <v>0</v>
      </c>
      <c r="I945" s="90" t="str">
        <f>IFERROR(__xludf.DUMMYFUNCTION("""COMPUTED_VALUE"""),"EMP0237 Swarnendu Chakraborty")</f>
        <v>EMP0237 Swarnendu Chakraborty</v>
      </c>
      <c r="J945" s="91"/>
    </row>
    <row r="946">
      <c r="B946" s="76" t="str">
        <f>IFERROR(__xludf.DUMMYFUNCTION("""COMPUTED_VALUE"""),"Check api id from database and download jrmxl file                                    ")</f>
        <v>Check api id from database and download jrmxl file                                    </v>
      </c>
      <c r="C946" s="82">
        <f>IFERROR(__xludf.DUMMYFUNCTION("""COMPUTED_VALUE"""),5406.0)</f>
        <v>5406</v>
      </c>
      <c r="D946" s="76" t="str">
        <f>IFERROR(__xludf.DUMMYFUNCTION("""COMPUTED_VALUE"""),"SHASTRI 5TH SEM ADMIT CARD NOT SO SEMESTER")</f>
        <v>SHASTRI 5TH SEM ADMIT CARD NOT SO SEMESTER</v>
      </c>
      <c r="E946" s="84">
        <f>IFERROR(__xludf.DUMMYFUNCTION("""COMPUTED_VALUE"""),46226.651883541665)</f>
        <v>46226.65188</v>
      </c>
      <c r="F946" s="86">
        <f>IFERROR(__xludf.DUMMYFUNCTION("""COMPUTED_VALUE"""),46226.48099719907)</f>
        <v>46226.481</v>
      </c>
      <c r="G946" s="86" t="str">
        <f>IFERROR(__xludf.DUMMYFUNCTION("""COMPUTED_VALUE"""),"Done")</f>
        <v>Done</v>
      </c>
      <c r="H946" s="88">
        <f>IFERROR(__xludf.DUMMYFUNCTION("""COMPUTED_VALUE"""),0.0)</f>
        <v>0</v>
      </c>
      <c r="I946" s="90" t="str">
        <f>IFERROR(__xludf.DUMMYFUNCTION("""COMPUTED_VALUE"""),"EMP0021 Tamanna Dewangan")</f>
        <v>EMP0021 Tamanna Dewangan</v>
      </c>
      <c r="J946" s="91"/>
    </row>
    <row r="947">
      <c r="B947" s="76" t="str">
        <f>IFERROR(__xludf.DUMMYFUNCTION("""COMPUTED_VALUE"""),"Check api id from database and download jrmxl file                                    ")</f>
        <v>Check api id from database and download jrmxl file                                    </v>
      </c>
      <c r="C947" s="82">
        <f>IFERROR(__xludf.DUMMYFUNCTION("""COMPUTED_VALUE"""),5407.0)</f>
        <v>5407</v>
      </c>
      <c r="D947" s="76" t="str">
        <f>IFERROR(__xludf.DUMMYFUNCTION("""COMPUTED_VALUE"""),"TR")</f>
        <v>TR</v>
      </c>
      <c r="E947" s="84">
        <f>IFERROR(__xludf.DUMMYFUNCTION("""COMPUTED_VALUE"""),46226.68801703704)</f>
        <v>46226.68802</v>
      </c>
      <c r="F947" s="86">
        <f>IFERROR(__xludf.DUMMYFUNCTION("""COMPUTED_VALUE"""),46226.60752510417)</f>
        <v>46226.60753</v>
      </c>
      <c r="G947" s="86" t="str">
        <f>IFERROR(__xludf.DUMMYFUNCTION("""COMPUTED_VALUE"""),"Done")</f>
        <v>Done</v>
      </c>
      <c r="H947" s="88">
        <f>IFERROR(__xludf.DUMMYFUNCTION("""COMPUTED_VALUE"""),0.0)</f>
        <v>0</v>
      </c>
      <c r="I947" s="90" t="str">
        <f>IFERROR(__xludf.DUMMYFUNCTION("""COMPUTED_VALUE"""),"EMP0042 HULESHWAR KUMAR SAHU")</f>
        <v>EMP0042 HULESHWAR KUMAR SAHU</v>
      </c>
      <c r="J947" s="91"/>
    </row>
    <row r="948">
      <c r="B948" s="76" t="str">
        <f>IFERROR(__xludf.DUMMYFUNCTION("""COMPUTED_VALUE"""),"Check api id from database and download jrmxl file                                    ")</f>
        <v>Check api id from database and download jrmxl file                                    </v>
      </c>
      <c r="C948" s="82">
        <f>IFERROR(__xludf.DUMMYFUNCTION("""COMPUTED_VALUE"""),5408.0)</f>
        <v>5408</v>
      </c>
      <c r="D948" s="76" t="str">
        <f>IFERROR(__xludf.DUMMYFUNCTION("""COMPUTED_VALUE"""),"DMC ")</f>
        <v>DMC </v>
      </c>
      <c r="E948" s="84">
        <f>IFERROR(__xludf.DUMMYFUNCTION("""COMPUTED_VALUE"""),46226.768458240746)</f>
        <v>46226.76846</v>
      </c>
      <c r="F948" s="86">
        <f>IFERROR(__xludf.DUMMYFUNCTION("""COMPUTED_VALUE"""),46226.60754509259)</f>
        <v>46226.60755</v>
      </c>
      <c r="G948" s="86" t="str">
        <f>IFERROR(__xludf.DUMMYFUNCTION("""COMPUTED_VALUE"""),"Done")</f>
        <v>Done</v>
      </c>
      <c r="H948" s="88">
        <f>IFERROR(__xludf.DUMMYFUNCTION("""COMPUTED_VALUE"""),0.0)</f>
        <v>0</v>
      </c>
      <c r="I948" s="90" t="str">
        <f>IFERROR(__xludf.DUMMYFUNCTION("""COMPUTED_VALUE"""),"EMP0237 Swarnendu Chakraborty")</f>
        <v>EMP0237 Swarnendu Chakraborty</v>
      </c>
      <c r="J948" s="91"/>
    </row>
    <row r="949">
      <c r="B949" s="76" t="str">
        <f>IFERROR(__xludf.DUMMYFUNCTION("""COMPUTED_VALUE"""),"Check api id from database and download jrmxl file                                    ")</f>
        <v>Check api id from database and download jrmxl file                                    </v>
      </c>
      <c r="C949" s="82">
        <f>IFERROR(__xludf.DUMMYFUNCTION("""COMPUTED_VALUE"""),5409.0)</f>
        <v>5409</v>
      </c>
      <c r="D949" s="76" t="str">
        <f>IFERROR(__xludf.DUMMYFUNCTION("""COMPUTED_VALUE"""),"SPGPA UPDATED IN DMC")</f>
        <v>SPGPA UPDATED IN DMC</v>
      </c>
      <c r="E949" s="84">
        <f>IFERROR(__xludf.DUMMYFUNCTION("""COMPUTED_VALUE"""),46226.769851481484)</f>
        <v>46226.76985</v>
      </c>
      <c r="F949" s="86">
        <f>IFERROR(__xludf.DUMMYFUNCTION("""COMPUTED_VALUE"""),46226.60756854167)</f>
        <v>46226.60757</v>
      </c>
      <c r="G949" s="86" t="str">
        <f>IFERROR(__xludf.DUMMYFUNCTION("""COMPUTED_VALUE"""),"Done")</f>
        <v>Done</v>
      </c>
      <c r="H949" s="88">
        <f>IFERROR(__xludf.DUMMYFUNCTION("""COMPUTED_VALUE"""),0.0)</f>
        <v>0</v>
      </c>
      <c r="I949" s="90" t="str">
        <f>IFERROR(__xludf.DUMMYFUNCTION("""COMPUTED_VALUE"""),"EMP5009 Rup Kumar Mandal")</f>
        <v>EMP5009 Rup Kumar Mandal</v>
      </c>
      <c r="J949" s="91"/>
    </row>
    <row r="950">
      <c r="B950" s="76" t="str">
        <f>IFERROR(__xludf.DUMMYFUNCTION("""COMPUTED_VALUE"""),"Check api id from database and download jrmxl file                                    ")</f>
        <v>Check api id from database and download jrmxl file                                    </v>
      </c>
      <c r="C950" s="82">
        <f>IFERROR(__xludf.DUMMYFUNCTION("""COMPUTED_VALUE"""),5410.0)</f>
        <v>5410</v>
      </c>
      <c r="D950" s="76" t="str">
        <f>IFERROR(__xludf.DUMMYFUNCTION("""COMPUTED_VALUE"""),"MULTIPLE REPORT")</f>
        <v>MULTIPLE REPORT</v>
      </c>
      <c r="E950" s="84">
        <f>IFERROR(__xludf.DUMMYFUNCTION("""COMPUTED_VALUE"""),46227.45277777778)</f>
        <v>46227.45278</v>
      </c>
      <c r="F950" s="86">
        <f>IFERROR(__xludf.DUMMYFUNCTION("""COMPUTED_VALUE"""),46226.72809261574)</f>
        <v>46226.72809</v>
      </c>
      <c r="G950" s="86" t="str">
        <f>IFERROR(__xludf.DUMMYFUNCTION("""COMPUTED_VALUE"""),"Done")</f>
        <v>Done</v>
      </c>
      <c r="H950" s="88">
        <f>IFERROR(__xludf.DUMMYFUNCTION("""COMPUTED_VALUE"""),0.0)</f>
        <v>0</v>
      </c>
      <c r="I950" s="90" t="str">
        <f>IFERROR(__xludf.DUMMYFUNCTION("""COMPUTED_VALUE"""),"EMP0021 Tamanna Dewangan")</f>
        <v>EMP0021 Tamanna Dewangan</v>
      </c>
      <c r="J950" s="91"/>
    </row>
    <row r="951">
      <c r="B951" s="76" t="str">
        <f>IFERROR(__xludf.DUMMYFUNCTION("""COMPUTED_VALUE"""),"Check api id from database and download jrmxl file                                    ")</f>
        <v>Check api id from database and download jrmxl file                                    </v>
      </c>
      <c r="C951" s="82">
        <f>IFERROR(__xludf.DUMMYFUNCTION("""COMPUTED_VALUE"""),5411.0)</f>
        <v>5411</v>
      </c>
      <c r="D951" s="76" t="str">
        <f>IFERROR(__xludf.DUMMYFUNCTION("""COMPUTED_VALUE"""),"	CBCS and CGP (TR COMBINED) Fourth Semester ( Sem - 4) PG MASTER OF SCIENCE (PSYCHOLOGY) ( M.Sc (PSYCHOLOGY)) SCHEME A ( SY01)_SE03")</f>
        <v>	CBCS and CGP (TR COMBINED) Fourth Semester ( Sem - 4) PG MASTER OF SCIENCE (PSYCHOLOGY) ( M.Sc (PSYCHOLOGY)) SCHEME A ( SY01)_SE03</v>
      </c>
      <c r="E951" s="84">
        <f>IFERROR(__xludf.DUMMYFUNCTION("""COMPUTED_VALUE"""),46227.42361111111)</f>
        <v>46227.42361</v>
      </c>
      <c r="F951" s="86">
        <f>IFERROR(__xludf.DUMMYFUNCTION("""COMPUTED_VALUE"""),46226.72823320601)</f>
        <v>46226.72823</v>
      </c>
      <c r="G951" s="86" t="str">
        <f>IFERROR(__xludf.DUMMYFUNCTION("""COMPUTED_VALUE"""),"Done")</f>
        <v>Done</v>
      </c>
      <c r="H951" s="88">
        <f>IFERROR(__xludf.DUMMYFUNCTION("""COMPUTED_VALUE"""),0.0)</f>
        <v>0</v>
      </c>
      <c r="I951" s="90" t="str">
        <f>IFERROR(__xludf.DUMMYFUNCTION("""COMPUTED_VALUE"""),"EMP0237 Swarnendu Chakraborty")</f>
        <v>EMP0237 Swarnendu Chakraborty</v>
      </c>
      <c r="J951" s="91"/>
    </row>
    <row r="952">
      <c r="B952" s="76" t="str">
        <f>IFERROR(__xludf.DUMMYFUNCTION("""COMPUTED_VALUE"""),"Check api id from database and download jrmxl file                                    ")</f>
        <v>Check api id from database and download jrmxl file                                    </v>
      </c>
      <c r="C952" s="82">
        <f>IFERROR(__xludf.DUMMYFUNCTION("""COMPUTED_VALUE"""),5412.0)</f>
        <v>5412</v>
      </c>
      <c r="D952" s="76" t="str">
        <f>IFERROR(__xludf.DUMMYFUNCTION("""COMPUTED_VALUE"""),"pass/fail report")</f>
        <v>pass/fail report</v>
      </c>
      <c r="E952" s="84">
        <f>IFERROR(__xludf.DUMMYFUNCTION("""COMPUTED_VALUE"""),46227.445138888885)</f>
        <v>46227.44514</v>
      </c>
      <c r="F952" s="86">
        <f>IFERROR(__xludf.DUMMYFUNCTION("""COMPUTED_VALUE"""),46226.728537870375)</f>
        <v>46226.72854</v>
      </c>
      <c r="G952" s="86" t="str">
        <f>IFERROR(__xludf.DUMMYFUNCTION("""COMPUTED_VALUE"""),"Done")</f>
        <v>Done</v>
      </c>
      <c r="H952" s="88">
        <f>IFERROR(__xludf.DUMMYFUNCTION("""COMPUTED_VALUE"""),0.0)</f>
        <v>0</v>
      </c>
      <c r="I952" s="90" t="str">
        <f>IFERROR(__xludf.DUMMYFUNCTION("""COMPUTED_VALUE"""),"EMP5009 Rup Kumar Mandal")</f>
        <v>EMP5009 Rup Kumar Mandal</v>
      </c>
      <c r="J952" s="91"/>
    </row>
    <row r="953">
      <c r="B953" s="76" t="str">
        <f>IFERROR(__xludf.DUMMYFUNCTION("""COMPUTED_VALUE"""),"Check api id from database and download jrmxl file                                    ")</f>
        <v>Check api id from database and download jrmxl file                                    </v>
      </c>
      <c r="C953" s="82">
        <f>IFERROR(__xludf.DUMMYFUNCTION("""COMPUTED_VALUE"""),5413.0)</f>
        <v>5413</v>
      </c>
      <c r="D953" s="76" t="str">
        <f>IFERROR(__xludf.DUMMYFUNCTION("""COMPUTED_VALUE"""),"Mark entry report")</f>
        <v>Mark entry report</v>
      </c>
      <c r="E953" s="84">
        <f>IFERROR(__xludf.DUMMYFUNCTION("""COMPUTED_VALUE"""),46227.46805555555)</f>
        <v>46227.46806</v>
      </c>
      <c r="F953" s="86">
        <f>IFERROR(__xludf.DUMMYFUNCTION("""COMPUTED_VALUE"""),46226.72855947917)</f>
        <v>46226.72856</v>
      </c>
      <c r="G953" s="86" t="str">
        <f>IFERROR(__xludf.DUMMYFUNCTION("""COMPUTED_VALUE"""),"Done")</f>
        <v>Done</v>
      </c>
      <c r="H953" s="88">
        <f>IFERROR(__xludf.DUMMYFUNCTION("""COMPUTED_VALUE"""),0.0)</f>
        <v>0</v>
      </c>
      <c r="I953" s="90" t="str">
        <f>IFERROR(__xludf.DUMMYFUNCTION("""COMPUTED_VALUE"""),"EMP0237 Swarnendu Chakraborty")</f>
        <v>EMP0237 Swarnendu Chakraborty</v>
      </c>
      <c r="J953" s="91"/>
    </row>
    <row r="954">
      <c r="B954" s="76" t="str">
        <f>IFERROR(__xludf.DUMMYFUNCTION("""COMPUTED_VALUE"""),"Check api id from database and download jrmxl file                                    ")</f>
        <v>Check api id from database and download jrmxl file                                    </v>
      </c>
      <c r="C954" s="82">
        <f>IFERROR(__xludf.DUMMYFUNCTION("""COMPUTED_VALUE"""),5414.0)</f>
        <v>5414</v>
      </c>
      <c r="D954" s="76" t="str">
        <f>IFERROR(__xludf.DUMMYFUNCTION("""COMPUTED_VALUE"""),"TR GAZZATE IN GRADE TABLE UPDATE")</f>
        <v>TR GAZZATE IN GRADE TABLE UPDATE</v>
      </c>
      <c r="E954" s="84">
        <f>IFERROR(__xludf.DUMMYFUNCTION("""COMPUTED_VALUE"""),46227.68163877315)</f>
        <v>46227.68164</v>
      </c>
      <c r="F954" s="86">
        <f>IFERROR(__xludf.DUMMYFUNCTION("""COMPUTED_VALUE"""),46227.509108275466)</f>
        <v>46227.50911</v>
      </c>
      <c r="G954" s="86" t="str">
        <f>IFERROR(__xludf.DUMMYFUNCTION("""COMPUTED_VALUE"""),"Done")</f>
        <v>Done</v>
      </c>
      <c r="H954" s="88">
        <f>IFERROR(__xludf.DUMMYFUNCTION("""COMPUTED_VALUE"""),0.0)</f>
        <v>0</v>
      </c>
      <c r="I954" s="90" t="str">
        <f>IFERROR(__xludf.DUMMYFUNCTION("""COMPUTED_VALUE"""),"EMP0237 Swarnendu Chakraborty")</f>
        <v>EMP0237 Swarnendu Chakraborty</v>
      </c>
      <c r="J954" s="91"/>
    </row>
    <row r="955">
      <c r="B955" s="76" t="str">
        <f>IFERROR(__xludf.DUMMYFUNCTION("""COMPUTED_VALUE"""),"Check api id from database and download jrmxl file                                    ")</f>
        <v>Check api id from database and download jrmxl file                                    </v>
      </c>
      <c r="C955" s="82">
        <f>IFERROR(__xludf.DUMMYFUNCTION("""COMPUTED_VALUE"""),5415.0)</f>
        <v>5415</v>
      </c>
      <c r="D955" s="76" t="str">
        <f>IFERROR(__xludf.DUMMYFUNCTION("""COMPUTED_VALUE"""),"Marks Sheet Heading name correction for LLB")</f>
        <v>Marks Sheet Heading name correction for LLB</v>
      </c>
      <c r="E955" s="84">
        <f>IFERROR(__xludf.DUMMYFUNCTION("""COMPUTED_VALUE"""),46228.45347222222)</f>
        <v>46228.45347</v>
      </c>
      <c r="F955" s="86">
        <f>IFERROR(__xludf.DUMMYFUNCTION("""COMPUTED_VALUE"""),46227.66237471065)</f>
        <v>46227.66237</v>
      </c>
      <c r="G955" s="86" t="str">
        <f>IFERROR(__xludf.DUMMYFUNCTION("""COMPUTED_VALUE"""),"Done")</f>
        <v>Done</v>
      </c>
      <c r="H955" s="88">
        <f>IFERROR(__xludf.DUMMYFUNCTION("""COMPUTED_VALUE"""),0.0)</f>
        <v>0</v>
      </c>
      <c r="I955" s="90" t="str">
        <f>IFERROR(__xludf.DUMMYFUNCTION("""COMPUTED_VALUE"""),"EMP0021 Tamanna Dewangan")</f>
        <v>EMP0021 Tamanna Dewangan</v>
      </c>
      <c r="J955" s="91"/>
    </row>
    <row r="956">
      <c r="B956" s="76" t="str">
        <f>IFERROR(__xludf.DUMMYFUNCTION("""COMPUTED_VALUE"""),"Check api id from database and download jrmxl file                                    ")</f>
        <v>Check api id from database and download jrmxl file                                    </v>
      </c>
      <c r="C956" s="82">
        <f>IFERROR(__xludf.DUMMYFUNCTION("""COMPUTED_VALUE"""),5416.0)</f>
        <v>5416</v>
      </c>
      <c r="D956" s="76" t="str">
        <f>IFERROR(__xludf.DUMMYFUNCTION("""COMPUTED_VALUE"""),"TR report")</f>
        <v>TR report</v>
      </c>
      <c r="E956" s="84">
        <f>IFERROR(__xludf.DUMMYFUNCTION("""COMPUTED_VALUE"""),46228.45277777778)</f>
        <v>46228.45278</v>
      </c>
      <c r="F956" s="86">
        <f>IFERROR(__xludf.DUMMYFUNCTION("""COMPUTED_VALUE"""),46227.712485752316)</f>
        <v>46227.71249</v>
      </c>
      <c r="G956" s="86" t="str">
        <f>IFERROR(__xludf.DUMMYFUNCTION("""COMPUTED_VALUE"""),"Done")</f>
        <v>Done</v>
      </c>
      <c r="H956" s="88">
        <f>IFERROR(__xludf.DUMMYFUNCTION("""COMPUTED_VALUE"""),0.0)</f>
        <v>0</v>
      </c>
      <c r="I956" s="90" t="str">
        <f>IFERROR(__xludf.DUMMYFUNCTION("""COMPUTED_VALUE"""),"EMP0237 Swarnendu Chakraborty")</f>
        <v>EMP0237 Swarnendu Chakraborty</v>
      </c>
      <c r="J956" s="91"/>
    </row>
    <row r="957">
      <c r="B957" s="76" t="str">
        <f>IFERROR(__xludf.DUMMYFUNCTION("""COMPUTED_VALUE"""),"Check api id from database and download jrmxl file                                    ")</f>
        <v>Check api id from database and download jrmxl file                                    </v>
      </c>
      <c r="C957" s="82">
        <f>IFERROR(__xludf.DUMMYFUNCTION("""COMPUTED_VALUE"""),5417.0)</f>
        <v>5417</v>
      </c>
      <c r="D957" s="76" t="str">
        <f>IFERROR(__xludf.DUMMYFUNCTION("""COMPUTED_VALUE"""),"TR Format (Grading / Non-Grading)")</f>
        <v>TR Format (Grading / Non-Grading)</v>
      </c>
      <c r="E957" s="84">
        <f>IFERROR(__xludf.DUMMYFUNCTION("""COMPUTED_VALUE"""),46228.46527777778)</f>
        <v>46228.46528</v>
      </c>
      <c r="F957" s="86">
        <f>IFERROR(__xludf.DUMMYFUNCTION("""COMPUTED_VALUE"""),46227.71249907407)</f>
        <v>46227.7125</v>
      </c>
      <c r="G957" s="86" t="str">
        <f>IFERROR(__xludf.DUMMYFUNCTION("""COMPUTED_VALUE"""),"Done")</f>
        <v>Done</v>
      </c>
      <c r="H957" s="88">
        <f>IFERROR(__xludf.DUMMYFUNCTION("""COMPUTED_VALUE"""),0.0)</f>
        <v>0</v>
      </c>
      <c r="I957" s="90" t="str">
        <f>IFERROR(__xludf.DUMMYFUNCTION("""COMPUTED_VALUE"""),"EMP5009 Rup Kumar Mandal")</f>
        <v>EMP5009 Rup Kumar Mandal</v>
      </c>
      <c r="J957" s="91"/>
    </row>
    <row r="958">
      <c r="B958" s="76" t="str">
        <f>IFERROR(__xludf.DUMMYFUNCTION("""COMPUTED_VALUE"""),"Check api id from database and download jrmxl file                                    ")</f>
        <v>Check api id from database and download jrmxl file                                    </v>
      </c>
      <c r="C958" s="82">
        <f>IFERROR(__xludf.DUMMYFUNCTION("""COMPUTED_VALUE"""),5418.0)</f>
        <v>5418</v>
      </c>
      <c r="D958" s="76" t="str">
        <f>IFERROR(__xludf.DUMMYFUNCTION("""COMPUTED_VALUE"""),"Grade Card NEP (PG)")</f>
        <v>Grade Card NEP (PG)</v>
      </c>
      <c r="E958" s="84">
        <f>IFERROR(__xludf.DUMMYFUNCTION("""COMPUTED_VALUE"""),46228.46666666667)</f>
        <v>46228.46667</v>
      </c>
      <c r="F958" s="86">
        <f>IFERROR(__xludf.DUMMYFUNCTION("""COMPUTED_VALUE"""),46227.712516481486)</f>
        <v>46227.71252</v>
      </c>
      <c r="G958" s="86" t="str">
        <f>IFERROR(__xludf.DUMMYFUNCTION("""COMPUTED_VALUE"""),"Done")</f>
        <v>Done</v>
      </c>
      <c r="H958" s="88">
        <f>IFERROR(__xludf.DUMMYFUNCTION("""COMPUTED_VALUE"""),0.0)</f>
        <v>0</v>
      </c>
      <c r="I958" s="90" t="str">
        <f>IFERROR(__xludf.DUMMYFUNCTION("""COMPUTED_VALUE"""),"EMP5009 Rup Kumar Mandal")</f>
        <v>EMP5009 Rup Kumar Mandal</v>
      </c>
      <c r="J958" s="91"/>
    </row>
    <row r="959">
      <c r="B959" s="76" t="str">
        <f>IFERROR(__xludf.DUMMYFUNCTION("""COMPUTED_VALUE"""),"Check api id from database and download jrmxl file                                    ")</f>
        <v>Check api id from database and download jrmxl file                                    </v>
      </c>
      <c r="C959" s="82">
        <f>IFERROR(__xludf.DUMMYFUNCTION("""COMPUTED_VALUE"""),5419.0)</f>
        <v>5419</v>
      </c>
      <c r="D959" s="76" t="str">
        <f>IFERROR(__xludf.DUMMYFUNCTION("""COMPUTED_VALUE"""),"Marksheet Paramedical")</f>
        <v>Marksheet Paramedical</v>
      </c>
      <c r="E959" s="84">
        <f>IFERROR(__xludf.DUMMYFUNCTION("""COMPUTED_VALUE"""),46228.608936909724)</f>
        <v>46228.60894</v>
      </c>
      <c r="F959" s="86">
        <f>IFERROR(__xludf.DUMMYFUNCTION("""COMPUTED_VALUE"""),46228.47207765046)</f>
        <v>46228.47208</v>
      </c>
      <c r="G959" s="86" t="str">
        <f>IFERROR(__xludf.DUMMYFUNCTION("""COMPUTED_VALUE"""),"Done")</f>
        <v>Done</v>
      </c>
      <c r="H959" s="88">
        <f>IFERROR(__xludf.DUMMYFUNCTION("""COMPUTED_VALUE"""),0.0)</f>
        <v>0</v>
      </c>
      <c r="I959" s="90" t="str">
        <f>IFERROR(__xludf.DUMMYFUNCTION("""COMPUTED_VALUE"""),"EMP0021 Tamanna Dewangan")</f>
        <v>EMP0021 Tamanna Dewangan</v>
      </c>
      <c r="J959" s="91"/>
    </row>
    <row r="960">
      <c r="B960" s="76" t="str">
        <f>IFERROR(__xludf.DUMMYFUNCTION("""COMPUTED_VALUE"""),"Check api id from database and download jrmxl file                                    ")</f>
        <v>Check api id from database and download jrmxl file                                    </v>
      </c>
      <c r="C960" s="82">
        <f>IFERROR(__xludf.DUMMYFUNCTION("""COMPUTED_VALUE"""),5420.0)</f>
        <v>5420</v>
      </c>
      <c r="D960" s="76" t="str">
        <f>IFERROR(__xludf.DUMMYFUNCTION("""COMPUTED_VALUE"""),"PROVISIONAL CERTIFICATE")</f>
        <v>PROVISIONAL CERTIFICATE</v>
      </c>
      <c r="E960" s="84">
        <f>IFERROR(__xludf.DUMMYFUNCTION("""COMPUTED_VALUE"""),46228.61582142361)</f>
        <v>46228.61582</v>
      </c>
      <c r="F960" s="86">
        <f>IFERROR(__xludf.DUMMYFUNCTION("""COMPUTED_VALUE"""),46228.4723046875)</f>
        <v>46228.4723</v>
      </c>
      <c r="G960" s="86" t="str">
        <f>IFERROR(__xludf.DUMMYFUNCTION("""COMPUTED_VALUE"""),"Done")</f>
        <v>Done</v>
      </c>
      <c r="H960" s="88">
        <f>IFERROR(__xludf.DUMMYFUNCTION("""COMPUTED_VALUE"""),0.0)</f>
        <v>0</v>
      </c>
      <c r="I960" s="90" t="str">
        <f>IFERROR(__xludf.DUMMYFUNCTION("""COMPUTED_VALUE"""),"EMP0042 HULESHWAR KUMAR SAHU")</f>
        <v>EMP0042 HULESHWAR KUMAR SAHU</v>
      </c>
      <c r="J960" s="91"/>
    </row>
    <row r="961">
      <c r="B961" s="76" t="str">
        <f>IFERROR(__xludf.DUMMYFUNCTION("""COMPUTED_VALUE"""),"Check api id from database and download jrmxl file                                    ")</f>
        <v>Check api id from database and download jrmxl file                                    </v>
      </c>
      <c r="C961" s="82">
        <f>IFERROR(__xludf.DUMMYFUNCTION("""COMPUTED_VALUE"""),5421.0)</f>
        <v>5421</v>
      </c>
      <c r="D961" s="76" t="str">
        <f>IFERROR(__xludf.DUMMYFUNCTION("""COMPUTED_VALUE"""),"Question Paper Packet slip Date Wise")</f>
        <v>Question Paper Packet slip Date Wise</v>
      </c>
      <c r="E961" s="84">
        <f>IFERROR(__xludf.DUMMYFUNCTION("""COMPUTED_VALUE"""),46228.61719096065)</f>
        <v>46228.61719</v>
      </c>
      <c r="F961" s="86">
        <f>IFERROR(__xludf.DUMMYFUNCTION("""COMPUTED_VALUE"""),46228.47247482639)</f>
        <v>46228.47247</v>
      </c>
      <c r="G961" s="86" t="str">
        <f>IFERROR(__xludf.DUMMYFUNCTION("""COMPUTED_VALUE"""),"Done")</f>
        <v>Done</v>
      </c>
      <c r="H961" s="88">
        <f>IFERROR(__xludf.DUMMYFUNCTION("""COMPUTED_VALUE"""),0.0)</f>
        <v>0</v>
      </c>
      <c r="I961" s="90" t="str">
        <f>IFERROR(__xludf.DUMMYFUNCTION("""COMPUTED_VALUE"""),"EMP0042 HULESHWAR KUMAR SAHU")</f>
        <v>EMP0042 HULESHWAR KUMAR SAHU</v>
      </c>
      <c r="J961" s="91"/>
    </row>
    <row r="962">
      <c r="B962" s="76" t="str">
        <f>IFERROR(__xludf.DUMMYFUNCTION("""COMPUTED_VALUE"""),"Check api id from database and download jrmxl file                                    ")</f>
        <v>Check api id from database and download jrmxl file                                    </v>
      </c>
      <c r="C962" s="82">
        <f>IFERROR(__xludf.DUMMYFUNCTION("""COMPUTED_VALUE"""),5422.0)</f>
        <v>5422</v>
      </c>
      <c r="D962" s="76" t="str">
        <f>IFERROR(__xludf.DUMMYFUNCTION("""COMPUTED_VALUE"""),"Marks sheet")</f>
        <v>Marks sheet</v>
      </c>
      <c r="E962" s="84">
        <f>IFERROR(__xludf.DUMMYFUNCTION("""COMPUTED_VALUE"""),46228.804883680554)</f>
        <v>46228.80488</v>
      </c>
      <c r="F962" s="86">
        <f>IFERROR(__xludf.DUMMYFUNCTION("""COMPUTED_VALUE"""),46228.66743972222)</f>
        <v>46228.66744</v>
      </c>
      <c r="G962" s="86" t="str">
        <f>IFERROR(__xludf.DUMMYFUNCTION("""COMPUTED_VALUE"""),"Done")</f>
        <v>Done</v>
      </c>
      <c r="H962" s="88">
        <f>IFERROR(__xludf.DUMMYFUNCTION("""COMPUTED_VALUE"""),0.0)</f>
        <v>0</v>
      </c>
      <c r="I962" s="90" t="str">
        <f>IFERROR(__xludf.DUMMYFUNCTION("""COMPUTED_VALUE"""),"EMP0042 HULESHWAR KUMAR SAHU")</f>
        <v>EMP0042 HULESHWAR KUMAR SAHU</v>
      </c>
      <c r="J962" s="91"/>
    </row>
    <row r="963">
      <c r="B963" s="76" t="str">
        <f>IFERROR(__xludf.DUMMYFUNCTION("""COMPUTED_VALUE"""),"Check api id from database and download jrmxl file                                    ")</f>
        <v>Check api id from database and download jrmxl file                                    </v>
      </c>
      <c r="C963" s="82">
        <f>IFERROR(__xludf.DUMMYFUNCTION("""COMPUTED_VALUE"""),5423.0)</f>
        <v>5423</v>
      </c>
      <c r="D963" s="76" t="str">
        <f>IFERROR(__xludf.DUMMYFUNCTION("""COMPUTED_VALUE"""),"Packet_Slip_Date_Wise")</f>
        <v>Packet_Slip_Date_Wise</v>
      </c>
      <c r="E963" s="84">
        <f>IFERROR(__xludf.DUMMYFUNCTION("""COMPUTED_VALUE"""),46230.60018601852)</f>
        <v>46230.60019</v>
      </c>
      <c r="F963" s="86">
        <f>IFERROR(__xludf.DUMMYFUNCTION("""COMPUTED_VALUE"""),46230.43558290509)</f>
        <v>46230.43558</v>
      </c>
      <c r="G963" s="86" t="str">
        <f>IFERROR(__xludf.DUMMYFUNCTION("""COMPUTED_VALUE"""),"Done")</f>
        <v>Done</v>
      </c>
      <c r="H963" s="88">
        <f>IFERROR(__xludf.DUMMYFUNCTION("""COMPUTED_VALUE"""),0.0)</f>
        <v>0</v>
      </c>
      <c r="I963" s="90" t="str">
        <f>IFERROR(__xludf.DUMMYFUNCTION("""COMPUTED_VALUE"""),"EMP0042 HULESHWAR KUMAR SAHU")</f>
        <v>EMP0042 HULESHWAR KUMAR SAHU</v>
      </c>
      <c r="J963" s="91"/>
    </row>
    <row r="964">
      <c r="B964" s="76" t="str">
        <f>IFERROR(__xludf.DUMMYFUNCTION("""COMPUTED_VALUE"""),"Check api id from database and download jrmxl file                                    ")</f>
        <v>Check api id from database and download jrmxl file                                    </v>
      </c>
      <c r="C964" s="82">
        <f>IFERROR(__xludf.DUMMYFUNCTION("""COMPUTED_VALUE"""),5424.0)</f>
        <v>5424</v>
      </c>
      <c r="D964" s="76" t="str">
        <f>IFERROR(__xludf.DUMMYFUNCTION("""COMPUTED_VALUE"""),"TR ")</f>
        <v>TR </v>
      </c>
      <c r="E964" s="84">
        <f>IFERROR(__xludf.DUMMYFUNCTION("""COMPUTED_VALUE"""),46230.68181534722)</f>
        <v>46230.68182</v>
      </c>
      <c r="F964" s="86">
        <f>IFERROR(__xludf.DUMMYFUNCTION("""COMPUTED_VALUE"""),46230.64302391204)</f>
        <v>46230.64302</v>
      </c>
      <c r="G964" s="86" t="str">
        <f>IFERROR(__xludf.DUMMYFUNCTION("""COMPUTED_VALUE"""),"Done")</f>
        <v>Done</v>
      </c>
      <c r="H964" s="88">
        <f>IFERROR(__xludf.DUMMYFUNCTION("""COMPUTED_VALUE"""),0.0)</f>
        <v>0</v>
      </c>
      <c r="I964" s="90" t="str">
        <f>IFERROR(__xludf.DUMMYFUNCTION("""COMPUTED_VALUE"""),"EMP0042 HULESHWAR KUMAR SAHU")</f>
        <v>EMP0042 HULESHWAR KUMAR SAHU</v>
      </c>
      <c r="J964" s="91"/>
    </row>
    <row r="965">
      <c r="B965" s="76" t="str">
        <f>IFERROR(__xludf.DUMMYFUNCTION("""COMPUTED_VALUE"""),"Check api id from database and download jrmxl file                                    ")</f>
        <v>Check api id from database and download jrmxl file                                    </v>
      </c>
      <c r="C965" s="82">
        <f>IFERROR(__xludf.DUMMYFUNCTION("""COMPUTED_VALUE"""),5425.0)</f>
        <v>5425</v>
      </c>
      <c r="D965" s="76" t="str">
        <f>IFERROR(__xludf.DUMMYFUNCTION("""COMPUTED_VALUE"""),"TR ADMIN")</f>
        <v>TR ADMIN</v>
      </c>
      <c r="E965" s="84">
        <f>IFERROR(__xludf.DUMMYFUNCTION("""COMPUTED_VALUE"""),46231.43472222222)</f>
        <v>46231.43472</v>
      </c>
      <c r="F965" s="86">
        <f>IFERROR(__xludf.DUMMYFUNCTION("""COMPUTED_VALUE"""),46230.69003621528)</f>
        <v>46230.69004</v>
      </c>
      <c r="G965" s="86" t="str">
        <f>IFERROR(__xludf.DUMMYFUNCTION("""COMPUTED_VALUE"""),"Done")</f>
        <v>Done</v>
      </c>
      <c r="H965" s="88">
        <f>IFERROR(__xludf.DUMMYFUNCTION("""COMPUTED_VALUE"""),0.0)</f>
        <v>0</v>
      </c>
      <c r="I965" s="90" t="str">
        <f>IFERROR(__xludf.DUMMYFUNCTION("""COMPUTED_VALUE"""),"EMP0042 HULESHWAR KUMAR SAHU")</f>
        <v>EMP0042 HULESHWAR KUMAR SAHU</v>
      </c>
      <c r="J965" s="91"/>
    </row>
    <row r="966">
      <c r="B966" s="76" t="str">
        <f>IFERROR(__xludf.DUMMYFUNCTION("""COMPUTED_VALUE"""),"Check api id from database and download jrmxl file                                    ")</f>
        <v>Check api id from database and download jrmxl file                                    </v>
      </c>
      <c r="C966" s="82">
        <f>IFERROR(__xludf.DUMMYFUNCTION("""COMPUTED_VALUE"""),5426.0)</f>
        <v>5426</v>
      </c>
      <c r="D966" s="76" t="str">
        <f>IFERROR(__xludf.DUMMYFUNCTION("""COMPUTED_VALUE"""),"CONSOLIDATED MARKS MEMORANDUM BCA")</f>
        <v>CONSOLIDATED MARKS MEMORANDUM BCA</v>
      </c>
      <c r="E966" s="84">
        <f>IFERROR(__xludf.DUMMYFUNCTION("""COMPUTED_VALUE"""),46231.47361111111)</f>
        <v>46231.47361</v>
      </c>
      <c r="F966" s="86">
        <f>IFERROR(__xludf.DUMMYFUNCTION("""COMPUTED_VALUE"""),46230.76298328704)</f>
        <v>46230.76298</v>
      </c>
      <c r="G966" s="86" t="str">
        <f>IFERROR(__xludf.DUMMYFUNCTION("""COMPUTED_VALUE"""),"Done")</f>
        <v>Done</v>
      </c>
      <c r="H966" s="88">
        <f>IFERROR(__xludf.DUMMYFUNCTION("""COMPUTED_VALUE"""),0.0)</f>
        <v>0</v>
      </c>
      <c r="I966" s="90" t="str">
        <f>IFERROR(__xludf.DUMMYFUNCTION("""COMPUTED_VALUE"""),"EMP0042 HULESHWAR KUMAR SAHU")</f>
        <v>EMP0042 HULESHWAR KUMAR SAHU</v>
      </c>
      <c r="J966" s="91"/>
    </row>
    <row r="967">
      <c r="B967" s="76" t="str">
        <f>IFERROR(__xludf.DUMMYFUNCTION("""COMPUTED_VALUE"""),"Check api id from database and download jrmxl file                                    ")</f>
        <v>Check api id from database and download jrmxl file                                    </v>
      </c>
      <c r="C967" s="82">
        <f>IFERROR(__xludf.DUMMYFUNCTION("""COMPUTED_VALUE"""),5427.0)</f>
        <v>5427</v>
      </c>
      <c r="D967" s="76" t="str">
        <f>IFERROR(__xludf.DUMMYFUNCTION("""COMPUTED_VALUE"""),"Admit Card")</f>
        <v>Admit Card</v>
      </c>
      <c r="E967" s="84">
        <f>IFERROR(__xludf.DUMMYFUNCTION("""COMPUTED_VALUE"""),46231.475)</f>
        <v>46231.475</v>
      </c>
      <c r="F967" s="86">
        <f>IFERROR(__xludf.DUMMYFUNCTION("""COMPUTED_VALUE"""),46230.76301056713)</f>
        <v>46230.76301</v>
      </c>
      <c r="G967" s="86" t="str">
        <f>IFERROR(__xludf.DUMMYFUNCTION("""COMPUTED_VALUE"""),"Done")</f>
        <v>Done</v>
      </c>
      <c r="H967" s="88">
        <f>IFERROR(__xludf.DUMMYFUNCTION("""COMPUTED_VALUE"""),0.0)</f>
        <v>0</v>
      </c>
      <c r="I967" s="90" t="str">
        <f>IFERROR(__xludf.DUMMYFUNCTION("""COMPUTED_VALUE"""),"EMP0042 HULESHWAR KUMAR SAHU")</f>
        <v>EMP0042 HULESHWAR KUMAR SAHU</v>
      </c>
      <c r="J967" s="91"/>
    </row>
    <row r="968">
      <c r="B968" s="76" t="str">
        <f>IFERROR(__xludf.DUMMYFUNCTION("""COMPUTED_VALUE"""),"Check api id from database and download jrmxl file                                    ")</f>
        <v>Check api id from database and download jrmxl file                                    </v>
      </c>
      <c r="C968" s="82">
        <f>IFERROR(__xludf.DUMMYFUNCTION("""COMPUTED_VALUE"""),5428.0)</f>
        <v>5428</v>
      </c>
      <c r="D968" s="76" t="str">
        <f>IFERROR(__xludf.DUMMYFUNCTION("""COMPUTED_VALUE"""),"MARKSHEET PARAMEDICAL")</f>
        <v>MARKSHEET PARAMEDICAL</v>
      </c>
      <c r="E968" s="84">
        <f>IFERROR(__xludf.DUMMYFUNCTION("""COMPUTED_VALUE"""),46231.475694444445)</f>
        <v>46231.47569</v>
      </c>
      <c r="F968" s="86">
        <f>IFERROR(__xludf.DUMMYFUNCTION("""COMPUTED_VALUE"""),46230.76303481482)</f>
        <v>46230.76303</v>
      </c>
      <c r="G968" s="86" t="str">
        <f>IFERROR(__xludf.DUMMYFUNCTION("""COMPUTED_VALUE"""),"Done")</f>
        <v>Done</v>
      </c>
      <c r="H968" s="88">
        <f>IFERROR(__xludf.DUMMYFUNCTION("""COMPUTED_VALUE"""),0.0)</f>
        <v>0</v>
      </c>
      <c r="I968" s="90" t="str">
        <f>IFERROR(__xludf.DUMMYFUNCTION("""COMPUTED_VALUE"""),"EMP0042 HULESHWAR KUMAR SAHU")</f>
        <v>EMP0042 HULESHWAR KUMAR SAHU</v>
      </c>
      <c r="J968" s="91"/>
    </row>
    <row r="969">
      <c r="B969" s="76" t="str">
        <f>IFERROR(__xludf.DUMMYFUNCTION("""COMPUTED_VALUE"""),"Check api id from database and download jrmxl file                                    ")</f>
        <v>Check api id from database and download jrmxl file                                    </v>
      </c>
      <c r="C969" s="82">
        <f>IFERROR(__xludf.DUMMYFUNCTION("""COMPUTED_VALUE"""),5429.0)</f>
        <v>5429</v>
      </c>
      <c r="D969" s="76" t="str">
        <f>IFERROR(__xludf.DUMMYFUNCTION("""COMPUTED_VALUE"""),"Question Paper Packet slip Date Wise")</f>
        <v>Question Paper Packet slip Date Wise</v>
      </c>
      <c r="E969" s="84">
        <f>IFERROR(__xludf.DUMMYFUNCTION("""COMPUTED_VALUE"""),46231.57238636574)</f>
        <v>46231.57239</v>
      </c>
      <c r="F969" s="86">
        <f>IFERROR(__xludf.DUMMYFUNCTION("""COMPUTED_VALUE"""),46231.44277234954)</f>
        <v>46231.44277</v>
      </c>
      <c r="G969" s="86" t="str">
        <f>IFERROR(__xludf.DUMMYFUNCTION("""COMPUTED_VALUE"""),"Done")</f>
        <v>Done</v>
      </c>
      <c r="H969" s="88">
        <f>IFERROR(__xludf.DUMMYFUNCTION("""COMPUTED_VALUE"""),0.0)</f>
        <v>0</v>
      </c>
      <c r="I969" s="90" t="str">
        <f>IFERROR(__xludf.DUMMYFUNCTION("""COMPUTED_VALUE"""),"EMP0042 HULESHWAR KUMAR SAHU")</f>
        <v>EMP0042 HULESHWAR KUMAR SAHU</v>
      </c>
      <c r="J969" s="91"/>
    </row>
    <row r="970">
      <c r="B970" s="76" t="str">
        <f>IFERROR(__xludf.DUMMYFUNCTION("""COMPUTED_VALUE"""),"Check api id from database and download jrmxl file                                    ")</f>
        <v>Check api id from database and download jrmxl file                                    </v>
      </c>
      <c r="C970" s="82">
        <f>IFERROR(__xludf.DUMMYFUNCTION("""COMPUTED_VALUE"""),5430.0)</f>
        <v>5430</v>
      </c>
      <c r="D970" s="76" t="str">
        <f>IFERROR(__xludf.DUMMYFUNCTION("""COMPUTED_VALUE"""),"Ayurveda TR")</f>
        <v>Ayurveda TR</v>
      </c>
      <c r="E970" s="84">
        <f>IFERROR(__xludf.DUMMYFUNCTION("""COMPUTED_VALUE"""),46231.61424766204)</f>
        <v>46231.61425</v>
      </c>
      <c r="F970" s="86">
        <f>IFERROR(__xludf.DUMMYFUNCTION("""COMPUTED_VALUE"""),46231.44278846065)</f>
        <v>46231.44279</v>
      </c>
      <c r="G970" s="86" t="str">
        <f>IFERROR(__xludf.DUMMYFUNCTION("""COMPUTED_VALUE"""),"Done")</f>
        <v>Done</v>
      </c>
      <c r="H970" s="88">
        <f>IFERROR(__xludf.DUMMYFUNCTION("""COMPUTED_VALUE"""),0.0)</f>
        <v>0</v>
      </c>
      <c r="I970" s="90" t="str">
        <f>IFERROR(__xludf.DUMMYFUNCTION("""COMPUTED_VALUE"""),"EMP0042 HULESHWAR KUMAR SAHU")</f>
        <v>EMP0042 HULESHWAR KUMAR SAHU</v>
      </c>
      <c r="J970" s="91"/>
    </row>
    <row r="971">
      <c r="B971" s="76" t="str">
        <f>IFERROR(__xludf.DUMMYFUNCTION("""COMPUTED_VALUE"""),"Check api id from database and download jrmxl file                                    ")</f>
        <v>Check api id from database and download jrmxl file                                    </v>
      </c>
      <c r="C971" s="82">
        <f>IFERROR(__xludf.DUMMYFUNCTION("""COMPUTED_VALUE"""),5431.0)</f>
        <v>5431</v>
      </c>
      <c r="D971" s="76" t="str">
        <f>IFERROR(__xludf.DUMMYFUNCTION("""COMPUTED_VALUE"""),"AYURVEDA MARKSHEET")</f>
        <v>AYURVEDA MARKSHEET</v>
      </c>
      <c r="E971" s="84">
        <f>IFERROR(__xludf.DUMMYFUNCTION("""COMPUTED_VALUE"""),46231.62299762731)</f>
        <v>46231.623</v>
      </c>
      <c r="F971" s="86">
        <f>IFERROR(__xludf.DUMMYFUNCTION("""COMPUTED_VALUE"""),46231.489352129625)</f>
        <v>46231.48935</v>
      </c>
      <c r="G971" s="86" t="str">
        <f>IFERROR(__xludf.DUMMYFUNCTION("""COMPUTED_VALUE"""),"Done")</f>
        <v>Done</v>
      </c>
      <c r="H971" s="88">
        <f>IFERROR(__xludf.DUMMYFUNCTION("""COMPUTED_VALUE"""),0.0)</f>
        <v>0</v>
      </c>
      <c r="I971" s="90" t="str">
        <f>IFERROR(__xludf.DUMMYFUNCTION("""COMPUTED_VALUE"""),"EMP0042 HULESHWAR KUMAR SAHU")</f>
        <v>EMP0042 HULESHWAR KUMAR SAHU</v>
      </c>
      <c r="J971" s="91"/>
    </row>
    <row r="972">
      <c r="B972" s="76" t="str">
        <f>IFERROR(__xludf.DUMMYFUNCTION("""COMPUTED_VALUE"""),"Check api id from database and download jrmxl file                                    ")</f>
        <v>Check api id from database and download jrmxl file                                    </v>
      </c>
      <c r="C972" s="82">
        <f>IFERROR(__xludf.DUMMYFUNCTION("""COMPUTED_VALUE"""),5432.0)</f>
        <v>5432</v>
      </c>
      <c r="D972" s="76" t="str">
        <f>IFERROR(__xludf.DUMMYFUNCTION("""COMPUTED_VALUE"""),"Marksheet correction ")</f>
        <v>Marksheet correction </v>
      </c>
      <c r="E972" s="84">
        <f>IFERROR(__xludf.DUMMYFUNCTION("""COMPUTED_VALUE"""),46231.66170520833)</f>
        <v>46231.66171</v>
      </c>
      <c r="F972" s="86">
        <f>IFERROR(__xludf.DUMMYFUNCTION("""COMPUTED_VALUE"""),46231.48936893518)</f>
        <v>46231.48937</v>
      </c>
      <c r="G972" s="86" t="str">
        <f>IFERROR(__xludf.DUMMYFUNCTION("""COMPUTED_VALUE"""),"Done")</f>
        <v>Done</v>
      </c>
      <c r="H972" s="88">
        <f>IFERROR(__xludf.DUMMYFUNCTION("""COMPUTED_VALUE"""),0.0)</f>
        <v>0</v>
      </c>
      <c r="I972" s="90" t="str">
        <f>IFERROR(__xludf.DUMMYFUNCTION("""COMPUTED_VALUE"""),"EMP0042 HULESHWAR KUMAR SAHU")</f>
        <v>EMP0042 HULESHWAR KUMAR SAHU</v>
      </c>
      <c r="J972" s="91"/>
    </row>
    <row r="973">
      <c r="B973" s="76" t="str">
        <f>IFERROR(__xludf.DUMMYFUNCTION("""COMPUTED_VALUE"""),"Check api id from database and download jrmxl file                                    ")</f>
        <v>Check api id from database and download jrmxl file                                    </v>
      </c>
      <c r="C973" s="82">
        <f>IFERROR(__xludf.DUMMYFUNCTION("""COMPUTED_VALUE"""),5433.0)</f>
        <v>5433</v>
      </c>
      <c r="D973" s="76" t="str">
        <f>IFERROR(__xludf.DUMMYFUNCTION("""COMPUTED_VALUE"""),"DMC\COURSE TYPE IN ALL ADD")</f>
        <v>DMC\COURSE TYPE IN ALL ADD</v>
      </c>
      <c r="E973" s="84">
        <f>IFERROR(__xludf.DUMMYFUNCTION("""COMPUTED_VALUE"""),46232.59010006945)</f>
        <v>46232.5901</v>
      </c>
      <c r="F973" s="86">
        <f>IFERROR(__xludf.DUMMYFUNCTION("""COMPUTED_VALUE"""),46232.4169902662)</f>
        <v>46232.41699</v>
      </c>
      <c r="G973" s="86" t="str">
        <f>IFERROR(__xludf.DUMMYFUNCTION("""COMPUTED_VALUE"""),"Done")</f>
        <v>Done</v>
      </c>
      <c r="H973" s="88">
        <f>IFERROR(__xludf.DUMMYFUNCTION("""COMPUTED_VALUE"""),0.0)</f>
        <v>0</v>
      </c>
      <c r="I973" s="90" t="str">
        <f>IFERROR(__xludf.DUMMYFUNCTION("""COMPUTED_VALUE"""),"EMP5009 Rup Kumar Mandal")</f>
        <v>EMP5009 Rup Kumar Mandal</v>
      </c>
      <c r="J973" s="91"/>
    </row>
    <row r="974">
      <c r="B974" s="76" t="str">
        <f>IFERROR(__xludf.DUMMYFUNCTION("""COMPUTED_VALUE"""),"Check api id from database and download jrmxl file                                    ")</f>
        <v>Check api id from database and download jrmxl file                                    </v>
      </c>
      <c r="C974" s="82">
        <f>IFERROR(__xludf.DUMMYFUNCTION("""COMPUTED_VALUE"""),5434.0)</f>
        <v>5434</v>
      </c>
      <c r="D974" s="76" t="str">
        <f>IFERROR(__xludf.DUMMYFUNCTION("""COMPUTED_VALUE"""),"GRADE CARD IT ONWARDS 2023")</f>
        <v>GRADE CARD IT ONWARDS 2023</v>
      </c>
      <c r="E974" s="84">
        <f>IFERROR(__xludf.DUMMYFUNCTION("""COMPUTED_VALUE"""),46232.595668194444)</f>
        <v>46232.59567</v>
      </c>
      <c r="F974" s="86">
        <f>IFERROR(__xludf.DUMMYFUNCTION("""COMPUTED_VALUE"""),46232.43849939815)</f>
        <v>46232.4385</v>
      </c>
      <c r="G974" s="86" t="str">
        <f>IFERROR(__xludf.DUMMYFUNCTION("""COMPUTED_VALUE"""),"Done")</f>
        <v>Done</v>
      </c>
      <c r="H974" s="88">
        <f>IFERROR(__xludf.DUMMYFUNCTION("""COMPUTED_VALUE"""),0.0)</f>
        <v>0</v>
      </c>
      <c r="I974" s="90" t="str">
        <f>IFERROR(__xludf.DUMMYFUNCTION("""COMPUTED_VALUE"""),"EMP0042 HULESHWAR KUMAR SAHU")</f>
        <v>EMP0042 HULESHWAR KUMAR SAHU</v>
      </c>
      <c r="J974" s="91"/>
    </row>
    <row r="975">
      <c r="B975" s="76" t="str">
        <f>IFERROR(__xludf.DUMMYFUNCTION("""COMPUTED_VALUE"""),"Check api id from database and download jrmxl file                                    ")</f>
        <v>Check api id from database and download jrmxl file                                    </v>
      </c>
      <c r="C975" s="82">
        <f>IFERROR(__xludf.DUMMYFUNCTION("""COMPUTED_VALUE"""),5435.0)</f>
        <v>5435</v>
      </c>
      <c r="D975" s="76" t="str">
        <f>IFERROR(__xludf.DUMMYFUNCTION("""COMPUTED_VALUE"""),"TR report")</f>
        <v>TR report</v>
      </c>
      <c r="E975" s="84">
        <f>IFERROR(__xludf.DUMMYFUNCTION("""COMPUTED_VALUE"""),46232.679384016206)</f>
        <v>46232.67938</v>
      </c>
      <c r="F975" s="86">
        <f>IFERROR(__xludf.DUMMYFUNCTION("""COMPUTED_VALUE"""),46232.509695231485)</f>
        <v>46232.5097</v>
      </c>
      <c r="G975" s="86" t="str">
        <f>IFERROR(__xludf.DUMMYFUNCTION("""COMPUTED_VALUE"""),"Done")</f>
        <v>Done</v>
      </c>
      <c r="H975" s="88">
        <f>IFERROR(__xludf.DUMMYFUNCTION("""COMPUTED_VALUE"""),0.0)</f>
        <v>0</v>
      </c>
      <c r="I975" s="90" t="str">
        <f>IFERROR(__xludf.DUMMYFUNCTION("""COMPUTED_VALUE"""),"EMP5009 Rup Kumar Mandal")</f>
        <v>EMP5009 Rup Kumar Mandal</v>
      </c>
      <c r="J975" s="91"/>
    </row>
    <row r="976">
      <c r="B976" s="76" t="str">
        <f>IFERROR(__xludf.DUMMYFUNCTION("""COMPUTED_VALUE"""),"Check api id from database and download jrmxl file                                    ")</f>
        <v>Check api id from database and download jrmxl file                                    </v>
      </c>
      <c r="C976" s="82">
        <f>IFERROR(__xludf.DUMMYFUNCTION("""COMPUTED_VALUE"""),5436.0)</f>
        <v>5436</v>
      </c>
      <c r="D976" s="76" t="str">
        <f>IFERROR(__xludf.DUMMYFUNCTION("""COMPUTED_VALUE"""),"Marks Sheet")</f>
        <v>Marks Sheet</v>
      </c>
      <c r="E976" s="84">
        <f>IFERROR(__xludf.DUMMYFUNCTION("""COMPUTED_VALUE"""),46232.68584587963)</f>
        <v>46232.68585</v>
      </c>
      <c r="F976" s="86">
        <f>IFERROR(__xludf.DUMMYFUNCTION("""COMPUTED_VALUE"""),46232.626028750004)</f>
        <v>46232.62603</v>
      </c>
      <c r="G976" s="86" t="str">
        <f>IFERROR(__xludf.DUMMYFUNCTION("""COMPUTED_VALUE"""),"Done")</f>
        <v>Done</v>
      </c>
      <c r="H976" s="88">
        <f>IFERROR(__xludf.DUMMYFUNCTION("""COMPUTED_VALUE"""),0.0)</f>
        <v>0</v>
      </c>
      <c r="I976" s="90" t="str">
        <f>IFERROR(__xludf.DUMMYFUNCTION("""COMPUTED_VALUE"""),"EMP0042 HULESHWAR KUMAR SAHU")</f>
        <v>EMP0042 HULESHWAR KUMAR SAHU</v>
      </c>
      <c r="J976" s="91"/>
    </row>
    <row r="977">
      <c r="B977" s="76" t="str">
        <f>IFERROR(__xludf.DUMMYFUNCTION("""COMPUTED_VALUE"""),"Check api id from database and download jrmxl file                                    ")</f>
        <v>Check api id from database and download jrmxl file                                    </v>
      </c>
      <c r="C977" s="82">
        <f>IFERROR(__xludf.DUMMYFUNCTION("""COMPUTED_VALUE"""),5437.0)</f>
        <v>5437</v>
      </c>
      <c r="D977" s="76" t="str">
        <f>IFERROR(__xludf.DUMMYFUNCTION("""COMPUTED_VALUE"""),"Marks Sheet")</f>
        <v>Marks Sheet</v>
      </c>
      <c r="E977" s="84">
        <f>IFERROR(__xludf.DUMMYFUNCTION("""COMPUTED_VALUE"""),46232.68697497685)</f>
        <v>46232.68697</v>
      </c>
      <c r="F977" s="86">
        <f>IFERROR(__xludf.DUMMYFUNCTION("""COMPUTED_VALUE"""),46232.626069791666)</f>
        <v>46232.62607</v>
      </c>
      <c r="G977" s="86" t="str">
        <f>IFERROR(__xludf.DUMMYFUNCTION("""COMPUTED_VALUE"""),"Done")</f>
        <v>Done</v>
      </c>
      <c r="H977" s="88">
        <f>IFERROR(__xludf.DUMMYFUNCTION("""COMPUTED_VALUE"""),0.0)</f>
        <v>0</v>
      </c>
      <c r="I977" s="90" t="str">
        <f>IFERROR(__xludf.DUMMYFUNCTION("""COMPUTED_VALUE"""),"EMP0042 HULESHWAR KUMAR SAHU")</f>
        <v>EMP0042 HULESHWAR KUMAR SAHU</v>
      </c>
      <c r="J977" s="91"/>
    </row>
    <row r="978">
      <c r="B978" s="76" t="str">
        <f>IFERROR(__xludf.DUMMYFUNCTION("""COMPUTED_VALUE"""),"Check api id from database and download jrmxl file                                    ")</f>
        <v>Check api id from database and download jrmxl file                                    </v>
      </c>
      <c r="C978" s="82">
        <f>IFERROR(__xludf.DUMMYFUNCTION("""COMPUTED_VALUE"""),5438.0)</f>
        <v>5438</v>
      </c>
      <c r="D978" s="76" t="str">
        <f>IFERROR(__xludf.DUMMYFUNCTION("""COMPUTED_VALUE"""),"MArks Sheet")</f>
        <v>MArks Sheet</v>
      </c>
      <c r="E978" s="84">
        <f>IFERROR(__xludf.DUMMYFUNCTION("""COMPUTED_VALUE"""),46232.68791194444)</f>
        <v>46232.68791</v>
      </c>
      <c r="F978" s="86">
        <f>IFERROR(__xludf.DUMMYFUNCTION("""COMPUTED_VALUE"""),46232.6260455324)</f>
        <v>46232.62605</v>
      </c>
      <c r="G978" s="86" t="str">
        <f>IFERROR(__xludf.DUMMYFUNCTION("""COMPUTED_VALUE"""),"Done")</f>
        <v>Done</v>
      </c>
      <c r="H978" s="88">
        <f>IFERROR(__xludf.DUMMYFUNCTION("""COMPUTED_VALUE"""),0.0)</f>
        <v>0</v>
      </c>
      <c r="I978" s="90" t="str">
        <f>IFERROR(__xludf.DUMMYFUNCTION("""COMPUTED_VALUE"""),"EMP0042 HULESHWAR KUMAR SAHU")</f>
        <v>EMP0042 HULESHWAR KUMAR SAHU</v>
      </c>
      <c r="J978" s="91"/>
    </row>
    <row r="979">
      <c r="B979" s="76" t="str">
        <f>IFERROR(__xludf.DUMMYFUNCTION("""COMPUTED_VALUE"""),"Check api id from database and download jrmxl file                                    ")</f>
        <v>Check api id from database and download jrmxl file                                    </v>
      </c>
      <c r="C979" s="82">
        <f>IFERROR(__xludf.DUMMYFUNCTION("""COMPUTED_VALUE"""),5439.0)</f>
        <v>5439</v>
      </c>
      <c r="D979" s="76" t="str">
        <f>IFERROR(__xludf.DUMMYFUNCTION("""COMPUTED_VALUE"""),"BCA, BMS, LAW MCA, MBA, BBA TRANSCRIPT REPORT")</f>
        <v>BCA, BMS, LAW MCA, MBA, BBA TRANSCRIPT REPORT</v>
      </c>
      <c r="E979" s="84">
        <f>IFERROR(__xludf.DUMMYFUNCTION("""COMPUTED_VALUE"""),46232.691042465274)</f>
        <v>46232.69104</v>
      </c>
      <c r="F979" s="86">
        <f>IFERROR(__xludf.DUMMYFUNCTION("""COMPUTED_VALUE"""),46232.6260775)</f>
        <v>46232.62608</v>
      </c>
      <c r="G979" s="86" t="str">
        <f>IFERROR(__xludf.DUMMYFUNCTION("""COMPUTED_VALUE"""),"Done")</f>
        <v>Done</v>
      </c>
      <c r="H979" s="88">
        <f>IFERROR(__xludf.DUMMYFUNCTION("""COMPUTED_VALUE"""),0.0)</f>
        <v>0</v>
      </c>
      <c r="I979" s="90" t="str">
        <f>IFERROR(__xludf.DUMMYFUNCTION("""COMPUTED_VALUE"""),"EMP0042 HULESHWAR KUMAR SAHU")</f>
        <v>EMP0042 HULESHWAR KUMAR SAHU</v>
      </c>
      <c r="J979" s="91"/>
    </row>
    <row r="980">
      <c r="B980" s="76" t="str">
        <f>IFERROR(__xludf.DUMMYFUNCTION("""COMPUTED_VALUE"""),"Check api id from database and download jrmxl file                                    ")</f>
        <v>Check api id from database and download jrmxl file                                    </v>
      </c>
      <c r="C980" s="82">
        <f>IFERROR(__xludf.DUMMYFUNCTION("""COMPUTED_VALUE"""),5440.0)</f>
        <v>5440</v>
      </c>
      <c r="D980" s="76" t="str">
        <f>IFERROR(__xludf.DUMMYFUNCTION("""COMPUTED_VALUE"""),"TR ")</f>
        <v>TR </v>
      </c>
      <c r="E980" s="84">
        <f>IFERROR(__xludf.DUMMYFUNCTION("""COMPUTED_VALUE"""),46233.71694424769)</f>
        <v>46233.71694</v>
      </c>
      <c r="F980" s="86">
        <f>IFERROR(__xludf.DUMMYFUNCTION("""COMPUTED_VALUE"""),46233.56545480324)</f>
        <v>46233.56545</v>
      </c>
      <c r="G980" s="86" t="str">
        <f>IFERROR(__xludf.DUMMYFUNCTION("""COMPUTED_VALUE"""),"Done")</f>
        <v>Done</v>
      </c>
      <c r="H980" s="88">
        <f>IFERROR(__xludf.DUMMYFUNCTION("""COMPUTED_VALUE"""),0.0)</f>
        <v>0</v>
      </c>
      <c r="I980" s="90" t="str">
        <f>IFERROR(__xludf.DUMMYFUNCTION("""COMPUTED_VALUE"""),"EMP0042 HULESHWAR KUMAR SAHU")</f>
        <v>EMP0042 HULESHWAR KUMAR SAHU</v>
      </c>
      <c r="J980" s="91"/>
    </row>
    <row r="981">
      <c r="B981" s="76" t="str">
        <f>IFERROR(__xludf.DUMMYFUNCTION("""COMPUTED_VALUE"""),"Check api id from database and download jrmxl file                                    ")</f>
        <v>Check api id from database and download jrmxl file                                    </v>
      </c>
      <c r="C981" s="82">
        <f>IFERROR(__xludf.DUMMYFUNCTION("""COMPUTED_VALUE"""),5441.0)</f>
        <v>5441</v>
      </c>
      <c r="D981" s="76" t="str">
        <f>IFERROR(__xludf.DUMMYFUNCTION("""COMPUTED_VALUE"""),"MARKSHEET PGDCA (SEMESTER)")</f>
        <v>MARKSHEET PGDCA (SEMESTER)</v>
      </c>
      <c r="E981" s="84">
        <f>IFERROR(__xludf.DUMMYFUNCTION("""COMPUTED_VALUE"""),46233.79812834491)</f>
        <v>46233.79813</v>
      </c>
      <c r="F981" s="86">
        <f>IFERROR(__xludf.DUMMYFUNCTION("""COMPUTED_VALUE"""),46233.71742195602)</f>
        <v>46233.71742</v>
      </c>
      <c r="G981" s="86" t="str">
        <f>IFERROR(__xludf.DUMMYFUNCTION("""COMPUTED_VALUE"""),"Done")</f>
        <v>Done</v>
      </c>
      <c r="H981" s="88">
        <f>IFERROR(__xludf.DUMMYFUNCTION("""COMPUTED_VALUE"""),0.0)</f>
        <v>0</v>
      </c>
      <c r="I981" s="90" t="str">
        <f>IFERROR(__xludf.DUMMYFUNCTION("""COMPUTED_VALUE"""),"EMP5009 Rup Kumar Mandal")</f>
        <v>EMP5009 Rup Kumar Mandal</v>
      </c>
      <c r="J981" s="91"/>
    </row>
    <row r="982">
      <c r="B982" s="76" t="str">
        <f>IFERROR(__xludf.DUMMYFUNCTION("""COMPUTED_VALUE"""),"Check api id from database and download jrmxl file                                    ")</f>
        <v>Check api id from database and download jrmxl file                                    </v>
      </c>
      <c r="C982" s="82">
        <f>IFERROR(__xludf.DUMMYFUNCTION("""COMPUTED_VALUE"""),5442.0)</f>
        <v>5442</v>
      </c>
      <c r="D982" s="76" t="str">
        <f>IFERROR(__xludf.DUMMYFUNCTION("""COMPUTED_VALUE"""),"Grade Card (OTHERS)")</f>
        <v>Grade Card (OTHERS)</v>
      </c>
      <c r="E982" s="84">
        <f>IFERROR(__xludf.DUMMYFUNCTION("""COMPUTED_VALUE"""),46234.676389837965)</f>
        <v>46234.67639</v>
      </c>
      <c r="F982" s="86">
        <f>IFERROR(__xludf.DUMMYFUNCTION("""COMPUTED_VALUE"""),46234.6565625)</f>
        <v>46234.65656</v>
      </c>
      <c r="G982" s="86" t="str">
        <f>IFERROR(__xludf.DUMMYFUNCTION("""COMPUTED_VALUE"""),"Done")</f>
        <v>Done</v>
      </c>
      <c r="H982" s="88">
        <f>IFERROR(__xludf.DUMMYFUNCTION("""COMPUTED_VALUE"""),0.0)</f>
        <v>0</v>
      </c>
      <c r="I982" s="90" t="str">
        <f>IFERROR(__xludf.DUMMYFUNCTION("""COMPUTED_VALUE"""),"EMP0042 HULESHWAR KUMAR SAHU")</f>
        <v>EMP0042 HULESHWAR KUMAR SAHU</v>
      </c>
      <c r="J982" s="91"/>
    </row>
    <row r="983">
      <c r="B983" s="76" t="str">
        <f>IFERROR(__xludf.DUMMYFUNCTION("""COMPUTED_VALUE"""),"Check api id from database and download jrmxl file                                    ")</f>
        <v>Check api id from database and download jrmxl file                                    </v>
      </c>
      <c r="C983" s="82">
        <f>IFERROR(__xludf.DUMMYFUNCTION("""COMPUTED_VALUE"""),5443.0)</f>
        <v>5443</v>
      </c>
      <c r="D983" s="76" t="str">
        <f>IFERROR(__xludf.DUMMYFUNCTION("""COMPUTED_VALUE"""),"Provisional Ceritificate")</f>
        <v>Provisional Ceritificate</v>
      </c>
      <c r="E983" s="84">
        <f>IFERROR(__xludf.DUMMYFUNCTION("""COMPUTED_VALUE"""),46234.67750833334)</f>
        <v>46234.67751</v>
      </c>
      <c r="F983" s="86">
        <f>IFERROR(__xludf.DUMMYFUNCTION("""COMPUTED_VALUE"""),46234.65659722222)</f>
        <v>46234.6566</v>
      </c>
      <c r="G983" s="86" t="str">
        <f>IFERROR(__xludf.DUMMYFUNCTION("""COMPUTED_VALUE"""),"Done")</f>
        <v>Done</v>
      </c>
      <c r="H983" s="88">
        <f>IFERROR(__xludf.DUMMYFUNCTION("""COMPUTED_VALUE"""),0.0)</f>
        <v>0</v>
      </c>
      <c r="I983" s="90" t="str">
        <f>IFERROR(__xludf.DUMMYFUNCTION("""COMPUTED_VALUE"""),"EMP0042 HULESHWAR KUMAR SAHU")</f>
        <v>EMP0042 HULESHWAR KUMAR SAHU</v>
      </c>
      <c r="J983" s="91"/>
    </row>
    <row r="984">
      <c r="B984" s="76" t="str">
        <f>IFERROR(__xludf.DUMMYFUNCTION("""COMPUTED_VALUE"""),"Check api id from database and download jrmxl file                                    ")</f>
        <v>Check api id from database and download jrmxl file                                    </v>
      </c>
      <c r="C984" s="82">
        <f>IFERROR(__xludf.DUMMYFUNCTION("""COMPUTED_VALUE"""),5444.0)</f>
        <v>5444</v>
      </c>
      <c r="D984" s="76" t="str">
        <f>IFERROR(__xludf.DUMMYFUNCTION("""COMPUTED_VALUE"""),"Document Report")</f>
        <v>Document Report</v>
      </c>
      <c r="E984" s="84">
        <f>IFERROR(__xludf.DUMMYFUNCTION("""COMPUTED_VALUE"""),46234.79114329861)</f>
        <v>46234.79114</v>
      </c>
      <c r="F984" s="86">
        <f>IFERROR(__xludf.DUMMYFUNCTION("""COMPUTED_VALUE"""),46234.782187592595)</f>
        <v>46234.78219</v>
      </c>
      <c r="G984" s="86" t="str">
        <f>IFERROR(__xludf.DUMMYFUNCTION("""COMPUTED_VALUE"""),"Done")</f>
        <v>Done</v>
      </c>
      <c r="H984" s="88">
        <f>IFERROR(__xludf.DUMMYFUNCTION("""COMPUTED_VALUE"""),0.0)</f>
        <v>0</v>
      </c>
      <c r="I984" s="90" t="str">
        <f>IFERROR(__xludf.DUMMYFUNCTION("""COMPUTED_VALUE"""),"EMP5009 Rup Kumar Mandal")</f>
        <v>EMP5009 Rup Kumar Mandal</v>
      </c>
      <c r="J984" s="91"/>
    </row>
    <row r="985">
      <c r="B985" s="76" t="str">
        <f>IFERROR(__xludf.DUMMYFUNCTION("""COMPUTED_VALUE"""),"Check api id from database and download jrmxl file                                    ")</f>
        <v>Check api id from database and download jrmxl file                                    </v>
      </c>
      <c r="C985" s="82">
        <f>IFERROR(__xludf.DUMMYFUNCTION("""COMPUTED_VALUE"""),5445.0)</f>
        <v>5445</v>
      </c>
      <c r="D985" s="76" t="str">
        <f>IFERROR(__xludf.DUMMYFUNCTION("""COMPUTED_VALUE"""),"TR for Diploma Course DIPLOMA First Year ( 1st ) Diploma in Pharmacy Regular REGULAR EXAMFORM_SE16")</f>
        <v>TR for Diploma Course DIPLOMA First Year ( 1st ) Diploma in Pharmacy Regular REGULAR EXAMFORM_SE16</v>
      </c>
      <c r="E985" s="84">
        <f>IFERROR(__xludf.DUMMYFUNCTION("""COMPUTED_VALUE"""),46234.82599351852)</f>
        <v>46234.82599</v>
      </c>
      <c r="F985" s="86">
        <f>IFERROR(__xludf.DUMMYFUNCTION("""COMPUTED_VALUE"""),46235.601212731475)</f>
        <v>46235.60121</v>
      </c>
      <c r="G985" s="86" t="str">
        <f>IFERROR(__xludf.DUMMYFUNCTION("""COMPUTED_VALUE"""),"Done")</f>
        <v>Done</v>
      </c>
      <c r="H985" s="88">
        <f>IFERROR(__xludf.DUMMYFUNCTION("""COMPUTED_VALUE"""),0.7752192129621869)</f>
        <v>0.775219213</v>
      </c>
      <c r="I985" s="90" t="str">
        <f>IFERROR(__xludf.DUMMYFUNCTION("""COMPUTED_VALUE"""),"EMP0042 HULESHWAR KUMAR SAHU")</f>
        <v>EMP0042 HULESHWAR KUMAR SAHU</v>
      </c>
      <c r="J985" s="91"/>
    </row>
    <row r="986">
      <c r="B986" s="76" t="str">
        <f>IFERROR(__xludf.DUMMYFUNCTION("""COMPUTED_VALUE"""),"Check api id from database and download jrmxl file                                    ")</f>
        <v>Check api id from database and download jrmxl file                                    </v>
      </c>
      <c r="C986" s="82">
        <f>IFERROR(__xludf.DUMMYFUNCTION("""COMPUTED_VALUE"""),5446.0)</f>
        <v>5446</v>
      </c>
      <c r="D986" s="76" t="str">
        <f>IFERROR(__xludf.DUMMYFUNCTION("""COMPUTED_VALUE"""),"TR Promoted BALLB BBALLB")</f>
        <v>TR Promoted BALLB BBALLB</v>
      </c>
      <c r="E986" s="84">
        <f>IFERROR(__xludf.DUMMYFUNCTION("""COMPUTED_VALUE"""),46235.722050509255)</f>
        <v>46235.72205</v>
      </c>
      <c r="F986" s="86">
        <f>IFERROR(__xludf.DUMMYFUNCTION("""COMPUTED_VALUE"""),46235.601178101846)</f>
        <v>46235.60118</v>
      </c>
      <c r="G986" s="86" t="str">
        <f>IFERROR(__xludf.DUMMYFUNCTION("""COMPUTED_VALUE"""),"Done")</f>
        <v>Done</v>
      </c>
      <c r="H986" s="88">
        <f>IFERROR(__xludf.DUMMYFUNCTION("""COMPUTED_VALUE"""),0.0)</f>
        <v>0</v>
      </c>
      <c r="I986" s="90" t="str">
        <f>IFERROR(__xludf.DUMMYFUNCTION("""COMPUTED_VALUE"""),"EMP5009 Rup Kumar Mandal")</f>
        <v>EMP5009 Rup Kumar Mandal</v>
      </c>
      <c r="J986" s="91"/>
    </row>
    <row r="987">
      <c r="B987" s="76" t="str">
        <f>IFERROR(__xludf.DUMMYFUNCTION("""COMPUTED_VALUE"""),"Check api id from database and download jrmxl file                                    ")</f>
        <v>Check api id from database and download jrmxl file                                    </v>
      </c>
      <c r="C987" s="82">
        <f>IFERROR(__xludf.DUMMYFUNCTION("""COMPUTED_VALUE"""),5447.0)</f>
        <v>5447</v>
      </c>
      <c r="D987" s="76" t="str">
        <f>IFERROR(__xludf.DUMMYFUNCTION("""COMPUTED_VALUE"""),"TR")</f>
        <v>TR</v>
      </c>
      <c r="E987" s="84">
        <f>IFERROR(__xludf.DUMMYFUNCTION("""COMPUTED_VALUE"""),46238.6140896875)</f>
        <v>46238.61409</v>
      </c>
      <c r="F987" s="86">
        <f>IFERROR(__xludf.DUMMYFUNCTION("""COMPUTED_VALUE"""),46238.52281486111)</f>
        <v>46238.52281</v>
      </c>
      <c r="G987" s="86" t="str">
        <f>IFERROR(__xludf.DUMMYFUNCTION("""COMPUTED_VALUE"""),"Done")</f>
        <v>Done</v>
      </c>
      <c r="H987" s="88">
        <f>IFERROR(__xludf.DUMMYFUNCTION("""COMPUTED_VALUE"""),0.0)</f>
        <v>0</v>
      </c>
      <c r="I987" s="90" t="str">
        <f>IFERROR(__xludf.DUMMYFUNCTION("""COMPUTED_VALUE"""),"EMP0042 HULESHWAR KUMAR SAHU")</f>
        <v>EMP0042 HULESHWAR KUMAR SAHU</v>
      </c>
      <c r="J987" s="91"/>
    </row>
    <row r="988">
      <c r="B988" s="76" t="str">
        <f>IFERROR(__xludf.DUMMYFUNCTION("""COMPUTED_VALUE"""),"Check api id from database and download jrmxl file                                    ")</f>
        <v>Check api id from database and download jrmxl file                                    </v>
      </c>
      <c r="C988" s="82">
        <f>IFERROR(__xludf.DUMMYFUNCTION("""COMPUTED_VALUE"""),5448.0)</f>
        <v>5448</v>
      </c>
      <c r="D988" s="76" t="str">
        <f>IFERROR(__xludf.DUMMYFUNCTION("""COMPUTED_VALUE"""),"TR")</f>
        <v>TR</v>
      </c>
      <c r="E988" s="84">
        <f>IFERROR(__xludf.DUMMYFUNCTION("""COMPUTED_VALUE"""),46239.59523251157)</f>
        <v>46239.59523</v>
      </c>
      <c r="F988" s="86">
        <f>IFERROR(__xludf.DUMMYFUNCTION("""COMPUTED_VALUE"""),46239.43772908565)</f>
        <v>46239.43773</v>
      </c>
      <c r="G988" s="86" t="str">
        <f>IFERROR(__xludf.DUMMYFUNCTION("""COMPUTED_VALUE"""),"Done")</f>
        <v>Done</v>
      </c>
      <c r="H988" s="88">
        <f>IFERROR(__xludf.DUMMYFUNCTION("""COMPUTED_VALUE"""),0.0)</f>
        <v>0</v>
      </c>
      <c r="I988" s="90" t="str">
        <f>IFERROR(__xludf.DUMMYFUNCTION("""COMPUTED_VALUE"""),"EMP0042 HULESHWAR KUMAR SAHU")</f>
        <v>EMP0042 HULESHWAR KUMAR SAHU</v>
      </c>
      <c r="J988" s="91"/>
    </row>
    <row r="989">
      <c r="B989" s="76" t="str">
        <f>IFERROR(__xludf.DUMMYFUNCTION("""COMPUTED_VALUE"""),"Check api id from database and download jrmxl file                                    ")</f>
        <v>Check api id from database and download jrmxl file                                    </v>
      </c>
      <c r="C989" s="82">
        <f>IFERROR(__xludf.DUMMYFUNCTION("""COMPUTED_VALUE"""),5449.0)</f>
        <v>5449</v>
      </c>
      <c r="D989" s="76" t="str">
        <f>IFERROR(__xludf.DUMMYFUNCTION("""COMPUTED_VALUE"""),"TR")</f>
        <v>TR</v>
      </c>
      <c r="E989" s="84">
        <f>IFERROR(__xludf.DUMMYFUNCTION("""COMPUTED_VALUE"""),46239.67385447917)</f>
        <v>46239.67385</v>
      </c>
      <c r="F989" s="86">
        <f>IFERROR(__xludf.DUMMYFUNCTION("""COMPUTED_VALUE"""),46239.52597635417)</f>
        <v>46239.52598</v>
      </c>
      <c r="G989" s="86" t="str">
        <f>IFERROR(__xludf.DUMMYFUNCTION("""COMPUTED_VALUE"""),"Done")</f>
        <v>Done</v>
      </c>
      <c r="H989" s="88">
        <f>IFERROR(__xludf.DUMMYFUNCTION("""COMPUTED_VALUE"""),0.0)</f>
        <v>0</v>
      </c>
      <c r="I989" s="90" t="str">
        <f>IFERROR(__xludf.DUMMYFUNCTION("""COMPUTED_VALUE"""),"EMP0042 HULESHWAR KUMAR SAHU")</f>
        <v>EMP0042 HULESHWAR KUMAR SAHU</v>
      </c>
      <c r="J989" s="91"/>
    </row>
    <row r="990">
      <c r="B990" s="76" t="str">
        <f>IFERROR(__xludf.DUMMYFUNCTION("""COMPUTED_VALUE"""),"Check api id from database and download jrmxl file                                    ")</f>
        <v>Check api id from database and download jrmxl file                                    </v>
      </c>
      <c r="C990" s="82">
        <f>IFERROR(__xludf.DUMMYFUNCTION("""COMPUTED_VALUE"""),5450.0)</f>
        <v>5450</v>
      </c>
      <c r="D990" s="76" t="str">
        <f>IFERROR(__xludf.DUMMYFUNCTION("""COMPUTED_VALUE"""),"MARKS HEET ")</f>
        <v>MARKS HEET </v>
      </c>
      <c r="E990" s="84">
        <f>IFERROR(__xludf.DUMMYFUNCTION("""COMPUTED_VALUE"""),46239.67575423611)</f>
        <v>46239.67575</v>
      </c>
      <c r="F990" s="86">
        <f>IFERROR(__xludf.DUMMYFUNCTION("""COMPUTED_VALUE"""),46239.52599826389)</f>
        <v>46239.526</v>
      </c>
      <c r="G990" s="86" t="str">
        <f>IFERROR(__xludf.DUMMYFUNCTION("""COMPUTED_VALUE"""),"Done")</f>
        <v>Done</v>
      </c>
      <c r="H990" s="88">
        <f>IFERROR(__xludf.DUMMYFUNCTION("""COMPUTED_VALUE"""),0.0)</f>
        <v>0</v>
      </c>
      <c r="I990" s="90" t="str">
        <f>IFERROR(__xludf.DUMMYFUNCTION("""COMPUTED_VALUE"""),"EMP0042 HULESHWAR KUMAR SAHU")</f>
        <v>EMP0042 HULESHWAR KUMAR SAHU</v>
      </c>
      <c r="J990" s="91"/>
    </row>
    <row r="991">
      <c r="B991" s="76" t="str">
        <f>IFERROR(__xludf.DUMMYFUNCTION("""COMPUTED_VALUE"""),"Check api id from database and download jrmxl file                                    ")</f>
        <v>Check api id from database and download jrmxl file                                    </v>
      </c>
      <c r="C991" s="82">
        <f>IFERROR(__xludf.DUMMYFUNCTION("""COMPUTED_VALUE"""),5451.0)</f>
        <v>5451</v>
      </c>
      <c r="D991" s="76" t="str">
        <f>IFERROR(__xludf.DUMMYFUNCTION("""COMPUTED_VALUE"""),"MARKSHEET")</f>
        <v>MARKSHEET</v>
      </c>
      <c r="E991" s="84">
        <f>IFERROR(__xludf.DUMMYFUNCTION("""COMPUTED_VALUE"""),46239.6810365625)</f>
        <v>46239.68104</v>
      </c>
      <c r="F991" s="86">
        <f>IFERROR(__xludf.DUMMYFUNCTION("""COMPUTED_VALUE"""),46239.526050196764)</f>
        <v>46239.52605</v>
      </c>
      <c r="G991" s="86" t="str">
        <f>IFERROR(__xludf.DUMMYFUNCTION("""COMPUTED_VALUE"""),"Done")</f>
        <v>Done</v>
      </c>
      <c r="H991" s="88">
        <f>IFERROR(__xludf.DUMMYFUNCTION("""COMPUTED_VALUE"""),0.0)</f>
        <v>0</v>
      </c>
      <c r="I991" s="90" t="str">
        <f>IFERROR(__xludf.DUMMYFUNCTION("""COMPUTED_VALUE"""),"EMP0042 HULESHWAR KUMAR SAHU")</f>
        <v>EMP0042 HULESHWAR KUMAR SAHU</v>
      </c>
      <c r="J991" s="91"/>
    </row>
    <row r="992">
      <c r="B992" s="76" t="str">
        <f>IFERROR(__xludf.DUMMYFUNCTION("""COMPUTED_VALUE"""),"Check api id from database and download jrmxl file                                    ")</f>
        <v>Check api id from database and download jrmxl file                                    </v>
      </c>
      <c r="C992" s="82">
        <f>IFERROR(__xludf.DUMMYFUNCTION("""COMPUTED_VALUE"""),5452.0)</f>
        <v>5452</v>
      </c>
      <c r="D992" s="76" t="str">
        <f>IFERROR(__xludf.DUMMYFUNCTION("""COMPUTED_VALUE"""),"Marks Sheet")</f>
        <v>Marks Sheet</v>
      </c>
      <c r="E992" s="84">
        <f>IFERROR(__xludf.DUMMYFUNCTION("""COMPUTED_VALUE"""),46239.825905289355)</f>
        <v>46239.82591</v>
      </c>
      <c r="F992" s="86">
        <f>IFERROR(__xludf.DUMMYFUNCTION("""COMPUTED_VALUE"""),46239.68110873842)</f>
        <v>46239.68111</v>
      </c>
      <c r="G992" s="86" t="str">
        <f>IFERROR(__xludf.DUMMYFUNCTION("""COMPUTED_VALUE"""),"Done")</f>
        <v>Done</v>
      </c>
      <c r="H992" s="88">
        <f>IFERROR(__xludf.DUMMYFUNCTION("""COMPUTED_VALUE"""),0.0)</f>
        <v>0</v>
      </c>
      <c r="I992" s="90" t="str">
        <f>IFERROR(__xludf.DUMMYFUNCTION("""COMPUTED_VALUE"""),"EMP0042 HULESHWAR KUMAR SAHU")</f>
        <v>EMP0042 HULESHWAR KUMAR SAHU</v>
      </c>
      <c r="J992" s="91"/>
    </row>
    <row r="993">
      <c r="B993" s="76" t="str">
        <f>IFERROR(__xludf.DUMMYFUNCTION("""COMPUTED_VALUE"""),"Check api id from database and download jrmxl file                                    ")</f>
        <v>Check api id from database and download jrmxl file                                    </v>
      </c>
      <c r="C993" s="82">
        <f>IFERROR(__xludf.DUMMYFUNCTION("""COMPUTED_VALUE"""),5453.0)</f>
        <v>5453</v>
      </c>
      <c r="D993" s="76" t="str">
        <f>IFERROR(__xludf.DUMMYFUNCTION("""COMPUTED_VALUE"""),"TR ")</f>
        <v>TR </v>
      </c>
      <c r="E993" s="84">
        <f>IFERROR(__xludf.DUMMYFUNCTION("""COMPUTED_VALUE"""),46240.599290300925)</f>
        <v>46240.59929</v>
      </c>
      <c r="F993" s="86">
        <f>IFERROR(__xludf.DUMMYFUNCTION("""COMPUTED_VALUE"""),46240.46051306713)</f>
        <v>46240.46051</v>
      </c>
      <c r="G993" s="86" t="str">
        <f>IFERROR(__xludf.DUMMYFUNCTION("""COMPUTED_VALUE"""),"Done")</f>
        <v>Done</v>
      </c>
      <c r="H993" s="88">
        <f>IFERROR(__xludf.DUMMYFUNCTION("""COMPUTED_VALUE"""),0.0)</f>
        <v>0</v>
      </c>
      <c r="I993" s="90" t="str">
        <f>IFERROR(__xludf.DUMMYFUNCTION("""COMPUTED_VALUE"""),"EMP0237 Swarnendu Chakraborty")</f>
        <v>EMP0237 Swarnendu Chakraborty</v>
      </c>
      <c r="J993" s="91"/>
    </row>
    <row r="994">
      <c r="B994" s="76" t="str">
        <f>IFERROR(__xludf.DUMMYFUNCTION("""COMPUTED_VALUE"""),"Check api id from database and download jrmxl file                                    ")</f>
        <v>Check api id from database and download jrmxl file                                    </v>
      </c>
      <c r="C994" s="82">
        <f>IFERROR(__xludf.DUMMYFUNCTION("""COMPUTED_VALUE"""),5454.0)</f>
        <v>5454</v>
      </c>
      <c r="D994" s="76" t="str">
        <f>IFERROR(__xludf.DUMMYFUNCTION("""COMPUTED_VALUE"""),"TR")</f>
        <v>TR</v>
      </c>
      <c r="E994" s="84">
        <f>IFERROR(__xludf.DUMMYFUNCTION("""COMPUTED_VALUE"""),46240.60079827546)</f>
        <v>46240.6008</v>
      </c>
      <c r="F994" s="86">
        <f>IFERROR(__xludf.DUMMYFUNCTION("""COMPUTED_VALUE"""),46240.46063084491)</f>
        <v>46240.46063</v>
      </c>
      <c r="G994" s="86" t="str">
        <f>IFERROR(__xludf.DUMMYFUNCTION("""COMPUTED_VALUE"""),"Done")</f>
        <v>Done</v>
      </c>
      <c r="H994" s="88">
        <f>IFERROR(__xludf.DUMMYFUNCTION("""COMPUTED_VALUE"""),0.0)</f>
        <v>0</v>
      </c>
      <c r="I994" s="90" t="str">
        <f>IFERROR(__xludf.DUMMYFUNCTION("""COMPUTED_VALUE"""),"EMP0237 Swarnendu Chakraborty")</f>
        <v>EMP0237 Swarnendu Chakraborty</v>
      </c>
      <c r="J994" s="91"/>
    </row>
    <row r="995">
      <c r="B995" s="76" t="str">
        <f>IFERROR(__xludf.DUMMYFUNCTION("""COMPUTED_VALUE"""),"Check api id from database and download jrmxl file                                    ")</f>
        <v>Check api id from database and download jrmxl file                                    </v>
      </c>
      <c r="C995" s="82">
        <f>IFERROR(__xludf.DUMMYFUNCTION("""COMPUTED_VALUE"""),5455.0)</f>
        <v>5455</v>
      </c>
      <c r="D995" s="76" t="str">
        <f>IFERROR(__xludf.DUMMYFUNCTION("""COMPUTED_VALUE"""),"TR REPORT ")</f>
        <v>TR REPORT </v>
      </c>
      <c r="E995" s="84">
        <f>IFERROR(__xludf.DUMMYFUNCTION("""COMPUTED_VALUE"""),46240.719174398146)</f>
        <v>46240.71917</v>
      </c>
      <c r="F995" s="86"/>
      <c r="G995" s="86"/>
      <c r="H995" s="88">
        <f>IFERROR(__xludf.DUMMYFUNCTION("""COMPUTED_VALUE"""),0.0)</f>
        <v>0</v>
      </c>
      <c r="I995" s="90"/>
      <c r="J995" s="91"/>
    </row>
    <row r="996">
      <c r="B996" s="76" t="str">
        <f>IFERROR(__xludf.DUMMYFUNCTION("""COMPUTED_VALUE"""),"Check api id from database and download jrmxl file                                    ")</f>
        <v>Check api id from database and download jrmxl file                                    </v>
      </c>
      <c r="C996" s="82">
        <f>IFERROR(__xludf.DUMMYFUNCTION("""COMPUTED_VALUE"""),5456.0)</f>
        <v>5456</v>
      </c>
      <c r="D996" s="76" t="str">
        <f>IFERROR(__xludf.DUMMYFUNCTION("""COMPUTED_VALUE"""),"TR ")</f>
        <v>TR </v>
      </c>
      <c r="E996" s="84">
        <f>IFERROR(__xludf.DUMMYFUNCTION("""COMPUTED_VALUE"""),46240.7307594213)</f>
        <v>46240.73076</v>
      </c>
      <c r="F996" s="86"/>
      <c r="G996" s="86"/>
      <c r="H996" s="88">
        <f>IFERROR(__xludf.DUMMYFUNCTION("""COMPUTED_VALUE"""),0.0)</f>
        <v>0</v>
      </c>
      <c r="I996" s="90"/>
      <c r="J996" s="91"/>
    </row>
    <row r="997">
      <c r="B997" s="76" t="str">
        <f>IFERROR(__xludf.DUMMYFUNCTION("""COMPUTED_VALUE"""),"Check api id from database and download jrmxl file                                    ")</f>
        <v>Check api id from database and download jrmxl file                                    </v>
      </c>
      <c r="C997" s="82">
        <f>IFERROR(__xludf.DUMMYFUNCTION("""COMPUTED_VALUE"""),5457.0)</f>
        <v>5457</v>
      </c>
      <c r="D997" s="76" t="str">
        <f>IFERROR(__xludf.DUMMYFUNCTION("""COMPUTED_VALUE"""),"PROVIOSNAL CERTIFICATE")</f>
        <v>PROVIOSNAL CERTIFICATE</v>
      </c>
      <c r="E997" s="84">
        <f>IFERROR(__xludf.DUMMYFUNCTION("""COMPUTED_VALUE"""),46240.78351313657)</f>
        <v>46240.78351</v>
      </c>
      <c r="F997" s="86"/>
      <c r="G997" s="86"/>
      <c r="H997" s="88">
        <f>IFERROR(__xludf.DUMMYFUNCTION("""COMPUTED_VALUE"""),0.0)</f>
        <v>0</v>
      </c>
      <c r="I997" s="90"/>
      <c r="J997" s="91"/>
    </row>
    <row r="998">
      <c r="B998" s="76" t="str">
        <f>IFERROR(__xludf.DUMMYFUNCTION("""COMPUTED_VALUE"""),"Debuging the error (Jasper end as well as Query end) and discuss with RM about logic ")</f>
        <v>Debuging the error (Jasper end as well as Query end) and discuss with RM about logic </v>
      </c>
      <c r="C998" s="82">
        <f>IFERROR(__xludf.DUMMYFUNCTION("""COMPUTED_VALUE"""),4960.0)</f>
        <v>4960</v>
      </c>
      <c r="D998" s="76" t="str">
        <f>IFERROR(__xludf.DUMMYFUNCTION("""COMPUTED_VALUE"""),"marks entry report")</f>
        <v>marks entry report</v>
      </c>
      <c r="E998" s="84">
        <f>IFERROR(__xludf.DUMMYFUNCTION("""COMPUTED_VALUE"""),46084.41875)</f>
        <v>46084.41875</v>
      </c>
      <c r="F998" s="86">
        <f>IFERROR(__xludf.DUMMYFUNCTION("""COMPUTED_VALUE"""),46083.63263956018)</f>
        <v>46083.63264</v>
      </c>
      <c r="G998" s="86" t="str">
        <f>IFERROR(__xludf.DUMMYFUNCTION("""COMPUTED_VALUE"""),"Done")</f>
        <v>Done</v>
      </c>
      <c r="H998" s="88">
        <f>IFERROR(__xludf.DUMMYFUNCTION("""COMPUTED_VALUE"""),0.0)</f>
        <v>0</v>
      </c>
      <c r="I998" s="90" t="str">
        <f>IFERROR(__xludf.DUMMYFUNCTION("""COMPUTED_VALUE"""),"EMP0042 HULESHWAR KUMAR SAHU")</f>
        <v>EMP0042 HULESHWAR KUMAR SAHU</v>
      </c>
      <c r="J998" s="91">
        <f t="shared" ref="J998:J1492" si="1">F998-E998</f>
        <v>-0.7861104398</v>
      </c>
      <c r="K998" s="76">
        <f>COUNTIF(G:G,"Done")</f>
        <v>2448</v>
      </c>
    </row>
    <row r="999">
      <c r="B999" s="76" t="str">
        <f>IFERROR(__xludf.DUMMYFUNCTION("""COMPUTED_VALUE"""),"Debuging the error (Jasper end as well as Query end) and discuss with RM about logic ")</f>
        <v>Debuging the error (Jasper end as well as Query end) and discuss with RM about logic </v>
      </c>
      <c r="C999" s="82">
        <f>IFERROR(__xludf.DUMMYFUNCTION("""COMPUTED_VALUE"""),4961.0)</f>
        <v>4961</v>
      </c>
      <c r="D999" s="76" t="str">
        <f>IFERROR(__xludf.DUMMYFUNCTION("""COMPUTED_VALUE"""),"overalll pass report")</f>
        <v>overalll pass report</v>
      </c>
      <c r="E999" s="84">
        <f>IFERROR(__xludf.DUMMYFUNCTION("""COMPUTED_VALUE"""),46084.49513888889)</f>
        <v>46084.49514</v>
      </c>
      <c r="F999" s="86">
        <f>IFERROR(__xludf.DUMMYFUNCTION("""COMPUTED_VALUE"""),46083.632689976854)</f>
        <v>46083.63269</v>
      </c>
      <c r="G999" s="86" t="str">
        <f>IFERROR(__xludf.DUMMYFUNCTION("""COMPUTED_VALUE"""),"495")</f>
        <v>495</v>
      </c>
      <c r="H999" s="88">
        <f>IFERROR(__xludf.DUMMYFUNCTION("""COMPUTED_VALUE"""),0.0)</f>
        <v>0</v>
      </c>
      <c r="I999" s="90" t="str">
        <f>IFERROR(__xludf.DUMMYFUNCTION("""COMPUTED_VALUE"""),"EMP0042 HULESHWAR KUMAR SAHU")</f>
        <v>EMP0042 HULESHWAR KUMAR SAHU</v>
      </c>
      <c r="J999" s="91">
        <f t="shared" si="1"/>
        <v>-0.862448912</v>
      </c>
    </row>
    <row r="1000">
      <c r="B1000" s="76" t="str">
        <f>IFERROR(__xludf.DUMMYFUNCTION("""COMPUTED_VALUE"""),"Debuging the error (Jasper end as well as Query end) and discuss with RM about logic ")</f>
        <v>Debuging the error (Jasper end as well as Query end) and discuss with RM about logic </v>
      </c>
      <c r="C1000" s="82">
        <f>IFERROR(__xludf.DUMMYFUNCTION("""COMPUTED_VALUE"""),4962.0)</f>
        <v>4962</v>
      </c>
      <c r="D1000" s="76" t="str">
        <f>IFERROR(__xludf.DUMMYFUNCTION("""COMPUTED_VALUE"""),"cbcs tr report")</f>
        <v>cbcs tr report</v>
      </c>
      <c r="E1000" s="84">
        <f>IFERROR(__xludf.DUMMYFUNCTION("""COMPUTED_VALUE"""),46084.49652777778)</f>
        <v>46084.49653</v>
      </c>
      <c r="F1000" s="86">
        <f>IFERROR(__xludf.DUMMYFUNCTION("""COMPUTED_VALUE"""),46083.632689895836)</f>
        <v>46083.63269</v>
      </c>
      <c r="G1000" s="86" t="str">
        <f>IFERROR(__xludf.DUMMYFUNCTION("""COMPUTED_VALUE"""),"493")</f>
        <v>493</v>
      </c>
      <c r="H1000" s="88">
        <f>IFERROR(__xludf.DUMMYFUNCTION("""COMPUTED_VALUE"""),0.0)</f>
        <v>0</v>
      </c>
      <c r="I1000" s="90" t="str">
        <f>IFERROR(__xludf.DUMMYFUNCTION("""COMPUTED_VALUE"""),"EMP0237 Swarnendu Chakraborty")</f>
        <v>EMP0237 Swarnendu Chakraborty</v>
      </c>
      <c r="J1000" s="91">
        <f t="shared" si="1"/>
        <v>-0.8638378819</v>
      </c>
    </row>
    <row r="1001">
      <c r="B1001" s="76" t="str">
        <f>IFERROR(__xludf.DUMMYFUNCTION("""COMPUTED_VALUE"""),"Debuging the error (Jasper end as well as Query end) and discuss with RM about logic ")</f>
        <v>Debuging the error (Jasper end as well as Query end) and discuss with RM about logic </v>
      </c>
      <c r="C1001" s="82">
        <f>IFERROR(__xludf.DUMMYFUNCTION("""COMPUTED_VALUE"""),4963.0)</f>
        <v>4963</v>
      </c>
      <c r="D1001" s="76" t="str">
        <f>IFERROR(__xludf.DUMMYFUNCTION("""COMPUTED_VALUE"""),"Marksheet")</f>
        <v>Marksheet</v>
      </c>
      <c r="E1001" s="84">
        <f>IFERROR(__xludf.DUMMYFUNCTION("""COMPUTED_VALUE"""),46086.47430555556)</f>
        <v>46086.47431</v>
      </c>
      <c r="F1001" s="86">
        <f>IFERROR(__xludf.DUMMYFUNCTION("""COMPUTED_VALUE"""),46084.638670949076)</f>
        <v>46084.63867</v>
      </c>
      <c r="G1001" s="86" t="str">
        <f>IFERROR(__xludf.DUMMYFUNCTION("""COMPUTED_VALUE"""),"2")</f>
        <v>2</v>
      </c>
      <c r="H1001" s="88">
        <f>IFERROR(__xludf.DUMMYFUNCTION("""COMPUTED_VALUE"""),0.0)</f>
        <v>0</v>
      </c>
      <c r="I1001" s="90" t="str">
        <f>IFERROR(__xludf.DUMMYFUNCTION("""COMPUTED_VALUE"""),"EMP0237 Swarnendu Chakraborty")</f>
        <v>EMP0237 Swarnendu Chakraborty</v>
      </c>
      <c r="J1001" s="91">
        <f t="shared" si="1"/>
        <v>-1.835634606</v>
      </c>
    </row>
    <row r="1002">
      <c r="B1002" s="76" t="str">
        <f>IFERROR(__xludf.DUMMYFUNCTION("""COMPUTED_VALUE"""),"Debuging the error (Jasper end as well as Query end) and discuss with RM about logic ")</f>
        <v>Debuging the error (Jasper end as well as Query end) and discuss with RM about logic </v>
      </c>
      <c r="C1002" s="82">
        <f>IFERROR(__xludf.DUMMYFUNCTION("""COMPUTED_VALUE"""),4964.0)</f>
        <v>4964</v>
      </c>
      <c r="D1002" s="76" t="str">
        <f>IFERROR(__xludf.DUMMYFUNCTION("""COMPUTED_VALUE"""),"FINEL RESULT")</f>
        <v>FINEL RESULT</v>
      </c>
      <c r="E1002" s="84">
        <f>IFERROR(__xludf.DUMMYFUNCTION("""COMPUTED_VALUE"""),46086.540972222225)</f>
        <v>46086.54097</v>
      </c>
      <c r="F1002" s="86">
        <f>IFERROR(__xludf.DUMMYFUNCTION("""COMPUTED_VALUE"""),46084.74438782408)</f>
        <v>46084.74439</v>
      </c>
      <c r="G1002" s="86" t="str">
        <f>IFERROR(__xludf.DUMMYFUNCTION("""COMPUTED_VALUE"""),"24/05/2026 15:31:42")</f>
        <v>24/05/2026 15:31:42</v>
      </c>
      <c r="H1002" s="88">
        <f>IFERROR(__xludf.DUMMYFUNCTION("""COMPUTED_VALUE"""),0.0)</f>
        <v>0</v>
      </c>
      <c r="I1002" s="90" t="str">
        <f>IFERROR(__xludf.DUMMYFUNCTION("""COMPUTED_VALUE"""),"EMP0042 HULESHWAR KUMAR SAHU")</f>
        <v>EMP0042 HULESHWAR KUMAR SAHU</v>
      </c>
      <c r="J1002" s="91">
        <f t="shared" si="1"/>
        <v>-1.796584398</v>
      </c>
    </row>
    <row r="1003">
      <c r="B1003" s="76" t="str">
        <f>IFERROR(__xludf.DUMMYFUNCTION("""COMPUTED_VALUE"""),"Debuging the error (Jasper end as well as Query end) and discuss with RM about logic ")</f>
        <v>Debuging the error (Jasper end as well as Query end) and discuss with RM about logic </v>
      </c>
      <c r="C1003" s="82">
        <f>IFERROR(__xludf.DUMMYFUNCTION("""COMPUTED_VALUE"""),4965.0)</f>
        <v>4965</v>
      </c>
      <c r="D1003" s="76" t="str">
        <f>IFERROR(__xludf.DUMMYFUNCTION("""COMPUTED_VALUE"""),"Pls do the needful as per format for the session 2024-25")</f>
        <v>Pls do the needful as per format for the session 2024-25</v>
      </c>
      <c r="E1003" s="84">
        <f>IFERROR(__xludf.DUMMYFUNCTION("""COMPUTED_VALUE"""),46086.71934600695)</f>
        <v>46086.71935</v>
      </c>
      <c r="F1003" s="86">
        <f>IFERROR(__xludf.DUMMYFUNCTION("""COMPUTED_VALUE"""),46086.4931369676)</f>
        <v>46086.49314</v>
      </c>
      <c r="G1003" s="86" t="str">
        <f>IFERROR(__xludf.DUMMYFUNCTION("""COMPUTED_VALUE"""),"24/05/2026 01:49:05")</f>
        <v>24/05/2026 01:49:05</v>
      </c>
      <c r="H1003" s="88">
        <f>IFERROR(__xludf.DUMMYFUNCTION("""COMPUTED_VALUE"""),0.0)</f>
        <v>0</v>
      </c>
      <c r="I1003" s="90" t="str">
        <f>IFERROR(__xludf.DUMMYFUNCTION("""COMPUTED_VALUE"""),"EMP0021 Tamanna Dewangan")</f>
        <v>EMP0021 Tamanna Dewangan</v>
      </c>
      <c r="J1003" s="91">
        <f t="shared" si="1"/>
        <v>-0.2262090393</v>
      </c>
    </row>
    <row r="1004">
      <c r="B1004" s="76" t="str">
        <f>IFERROR(__xludf.DUMMYFUNCTION("""COMPUTED_VALUE"""),"Debuging the error (Jasper end as well as Query end) and discuss with RM about logic ")</f>
        <v>Debuging the error (Jasper end as well as Query end) and discuss with RM about logic </v>
      </c>
      <c r="C1004" s="82">
        <f>IFERROR(__xludf.DUMMYFUNCTION("""COMPUTED_VALUE"""),4966.0)</f>
        <v>4966</v>
      </c>
      <c r="D1004" s="76" t="str">
        <f>IFERROR(__xludf.DUMMYFUNCTION("""COMPUTED_VALUE"""),"ENROLLMENT/REGISTRAION REPORT NEP")</f>
        <v>ENROLLMENT/REGISTRAION REPORT NEP</v>
      </c>
      <c r="E1004" s="84">
        <f>IFERROR(__xludf.DUMMYFUNCTION("""COMPUTED_VALUE"""),46087.549305555556)</f>
        <v>46087.54931</v>
      </c>
      <c r="F1004" s="86">
        <f>IFERROR(__xludf.DUMMYFUNCTION("""COMPUTED_VALUE"""),46086.71181302083)</f>
        <v>46086.71181</v>
      </c>
      <c r="G1004" s="86" t="str">
        <f>IFERROR(__xludf.DUMMYFUNCTION("""COMPUTED_VALUE"""),"Done")</f>
        <v>Done</v>
      </c>
      <c r="H1004" s="88">
        <f>IFERROR(__xludf.DUMMYFUNCTION("""COMPUTED_VALUE"""),0.0)</f>
        <v>0</v>
      </c>
      <c r="I1004" s="90" t="str">
        <f>IFERROR(__xludf.DUMMYFUNCTION("""COMPUTED_VALUE"""),"EMP5009 Rup Kumar Mandal")</f>
        <v>EMP5009 Rup Kumar Mandal</v>
      </c>
      <c r="J1004" s="91">
        <f t="shared" si="1"/>
        <v>-0.8374925347</v>
      </c>
    </row>
    <row r="1005">
      <c r="B1005" s="76" t="str">
        <f>IFERROR(__xludf.DUMMYFUNCTION("""COMPUTED_VALUE"""),"Debuging the error (Jasper end as well as Query end) and discuss with RM about logic ")</f>
        <v>Debuging the error (Jasper end as well as Query end) and discuss with RM about logic </v>
      </c>
      <c r="C1005" s="82">
        <f>IFERROR(__xludf.DUMMYFUNCTION("""COMPUTED_VALUE"""),4967.0)</f>
        <v>4967</v>
      </c>
      <c r="D1005" s="76" t="str">
        <f>IFERROR(__xludf.DUMMYFUNCTION("""COMPUTED_VALUE"""),"TR REPORT")</f>
        <v>TR REPORT</v>
      </c>
      <c r="E1005" s="84">
        <f>IFERROR(__xludf.DUMMYFUNCTION("""COMPUTED_VALUE"""),46087.55138888889)</f>
        <v>46087.55139</v>
      </c>
      <c r="F1005" s="86">
        <f>IFERROR(__xludf.DUMMYFUNCTION("""COMPUTED_VALUE"""),46086.71181302083)</f>
        <v>46086.71181</v>
      </c>
      <c r="G1005" s="86" t="str">
        <f>IFERROR(__xludf.DUMMYFUNCTION("""COMPUTED_VALUE"""),"Done")</f>
        <v>Done</v>
      </c>
      <c r="H1005" s="88">
        <f>IFERROR(__xludf.DUMMYFUNCTION("""COMPUTED_VALUE"""),0.0)</f>
        <v>0</v>
      </c>
      <c r="I1005" s="90" t="str">
        <f>IFERROR(__xludf.DUMMYFUNCTION("""COMPUTED_VALUE"""),"EMP5009 Rup Kumar Mandal")</f>
        <v>EMP5009 Rup Kumar Mandal</v>
      </c>
      <c r="J1005" s="91">
        <f t="shared" si="1"/>
        <v>-0.8395758681</v>
      </c>
    </row>
    <row r="1006">
      <c r="B1006" s="76" t="str">
        <f>IFERROR(__xludf.DUMMYFUNCTION("""COMPUTED_VALUE"""),"Debuging the error (Jasper end as well as Query end) and discuss with RM about logic ")</f>
        <v>Debuging the error (Jasper end as well as Query end) and discuss with RM about logic </v>
      </c>
      <c r="C1006" s="82">
        <f>IFERROR(__xludf.DUMMYFUNCTION("""COMPUTED_VALUE"""),4968.0)</f>
        <v>4968</v>
      </c>
      <c r="D1006" s="76" t="str">
        <f>IFERROR(__xludf.DUMMYFUNCTION("""COMPUTED_VALUE"""),"B.SC  2ND SEM REVAL MAY-2019 MARKSHEET BLANK")</f>
        <v>B.SC  2ND SEM REVAL MAY-2019 MARKSHEET BLANK</v>
      </c>
      <c r="E1006" s="84">
        <f>IFERROR(__xludf.DUMMYFUNCTION("""COMPUTED_VALUE"""),46087.73483582176)</f>
        <v>46087.73484</v>
      </c>
      <c r="F1006" s="86">
        <f>IFERROR(__xludf.DUMMYFUNCTION("""COMPUTED_VALUE"""),46087.47382075231)</f>
        <v>46087.47382</v>
      </c>
      <c r="G1006" s="86" t="str">
        <f>IFERROR(__xludf.DUMMYFUNCTION("""COMPUTED_VALUE"""),"Done")</f>
        <v>Done</v>
      </c>
      <c r="H1006" s="88">
        <f>IFERROR(__xludf.DUMMYFUNCTION("""COMPUTED_VALUE"""),0.0)</f>
        <v>0</v>
      </c>
      <c r="I1006" s="90" t="str">
        <f>IFERROR(__xludf.DUMMYFUNCTION("""COMPUTED_VALUE"""),"EMP0042 HULESHWAR KUMAR SAHU")</f>
        <v>EMP0042 HULESHWAR KUMAR SAHU</v>
      </c>
      <c r="J1006" s="91">
        <f t="shared" si="1"/>
        <v>-0.2610150694</v>
      </c>
    </row>
    <row r="1007">
      <c r="B1007" s="76" t="str">
        <f>IFERROR(__xludf.DUMMYFUNCTION("""COMPUTED_VALUE"""),"Debuging the error (Jasper end as well as Query end) and discuss with RM about logic ")</f>
        <v>Debuging the error (Jasper end as well as Query end) and discuss with RM about logic </v>
      </c>
      <c r="C1007" s="82">
        <f>IFERROR(__xludf.DUMMYFUNCTION("""COMPUTED_VALUE"""),4969.0)</f>
        <v>4969</v>
      </c>
      <c r="D1007" s="76" t="str">
        <f>IFERROR(__xludf.DUMMYFUNCTION("""COMPUTED_VALUE"""),"GAU Generate Attendance Sheet BAMS MARCH 2026")</f>
        <v>GAU Generate Attendance Sheet BAMS MARCH 2026</v>
      </c>
      <c r="E1007" s="84">
        <f>IFERROR(__xludf.DUMMYFUNCTION("""COMPUTED_VALUE"""),46088.52083333333)</f>
        <v>46088.52083</v>
      </c>
      <c r="F1007" s="86">
        <f>IFERROR(__xludf.DUMMYFUNCTION("""COMPUTED_VALUE"""),46088.41774597223)</f>
        <v>46088.41775</v>
      </c>
      <c r="G1007" s="86" t="str">
        <f>IFERROR(__xludf.DUMMYFUNCTION("""COMPUTED_VALUE"""),"Done")</f>
        <v>Done</v>
      </c>
      <c r="H1007" s="88">
        <f>IFERROR(__xludf.DUMMYFUNCTION("""COMPUTED_VALUE"""),0.0)</f>
        <v>0</v>
      </c>
      <c r="I1007" s="90" t="str">
        <f>IFERROR(__xludf.DUMMYFUNCTION("""COMPUTED_VALUE"""),"EMP0021 Tamanna Dewangan")</f>
        <v>EMP0021 Tamanna Dewangan</v>
      </c>
      <c r="J1007" s="91">
        <f t="shared" si="1"/>
        <v>-0.1030873611</v>
      </c>
    </row>
    <row r="1008">
      <c r="B1008" s="76" t="str">
        <f>IFERROR(__xludf.DUMMYFUNCTION("""COMPUTED_VALUE"""),"Debuging the error (Jasper end as well as Query end) and discuss with RM about logic ")</f>
        <v>Debuging the error (Jasper end as well as Query end) and discuss with RM about logic </v>
      </c>
      <c r="C1008" s="82">
        <f>IFERROR(__xludf.DUMMYFUNCTION("""COMPUTED_VALUE"""),4970.0)</f>
        <v>4970</v>
      </c>
      <c r="D1008" s="76" t="str">
        <f>IFERROR(__xludf.DUMMYFUNCTION("""COMPUTED_VALUE"""),"Marks Entry Report")</f>
        <v>Marks Entry Report</v>
      </c>
      <c r="E1008" s="84">
        <f>IFERROR(__xludf.DUMMYFUNCTION("""COMPUTED_VALUE"""),46088.59375)</f>
        <v>46088.59375</v>
      </c>
      <c r="F1008" s="86">
        <f>IFERROR(__xludf.DUMMYFUNCTION("""COMPUTED_VALUE"""),46087.735998425924)</f>
        <v>46087.736</v>
      </c>
      <c r="G1008" s="86" t="str">
        <f>IFERROR(__xludf.DUMMYFUNCTION("""COMPUTED_VALUE"""),"Done")</f>
        <v>Done</v>
      </c>
      <c r="H1008" s="88">
        <f>IFERROR(__xludf.DUMMYFUNCTION("""COMPUTED_VALUE"""),0.0)</f>
        <v>0</v>
      </c>
      <c r="I1008" s="90" t="str">
        <f>IFERROR(__xludf.DUMMYFUNCTION("""COMPUTED_VALUE"""),"EMP0042 HULESHWAR KUMAR SAHU")</f>
        <v>EMP0042 HULESHWAR KUMAR SAHU</v>
      </c>
      <c r="J1008" s="91">
        <f t="shared" si="1"/>
        <v>-0.8577515741</v>
      </c>
    </row>
    <row r="1009">
      <c r="B1009" s="76" t="str">
        <f>IFERROR(__xludf.DUMMYFUNCTION("""COMPUTED_VALUE"""),"Debuging the error (Jasper end as well as Query end) and discuss with RM about logic ")</f>
        <v>Debuging the error (Jasper end as well as Query end) and discuss with RM about logic </v>
      </c>
      <c r="C1009" s="82">
        <f>IFERROR(__xludf.DUMMYFUNCTION("""COMPUTED_VALUE"""),4971.0)</f>
        <v>4971</v>
      </c>
      <c r="D1009" s="76" t="str">
        <f>IFERROR(__xludf.DUMMYFUNCTION("""COMPUTED_VALUE"""),"exam time table repoort")</f>
        <v>exam time table repoort</v>
      </c>
      <c r="E1009" s="84">
        <f>IFERROR(__xludf.DUMMYFUNCTION("""COMPUTED_VALUE"""),46088.63680555555)</f>
        <v>46088.63681</v>
      </c>
      <c r="F1009" s="86">
        <f>IFERROR(__xludf.DUMMYFUNCTION("""COMPUTED_VALUE"""),46088.418142083334)</f>
        <v>46088.41814</v>
      </c>
      <c r="G1009" s="86" t="str">
        <f>IFERROR(__xludf.DUMMYFUNCTION("""COMPUTED_VALUE"""),"Done")</f>
        <v>Done</v>
      </c>
      <c r="H1009" s="88">
        <f>IFERROR(__xludf.DUMMYFUNCTION("""COMPUTED_VALUE"""),0.0)</f>
        <v>0</v>
      </c>
      <c r="I1009" s="90" t="str">
        <f>IFERROR(__xludf.DUMMYFUNCTION("""COMPUTED_VALUE"""),"EMP0042 HULESHWAR KUMAR SAHU")</f>
        <v>EMP0042 HULESHWAR KUMAR SAHU</v>
      </c>
      <c r="J1009" s="91">
        <f t="shared" si="1"/>
        <v>-0.2186634722</v>
      </c>
    </row>
    <row r="1010">
      <c r="B1010" s="76" t="str">
        <f>IFERROR(__xludf.DUMMYFUNCTION("""COMPUTED_VALUE"""),"Debuging the error (Jasper end as well as Query end) and discuss with RM about logic ")</f>
        <v>Debuging the error (Jasper end as well as Query end) and discuss with RM about logic </v>
      </c>
      <c r="C1010" s="82">
        <f>IFERROR(__xludf.DUMMYFUNCTION("""COMPUTED_VALUE"""),4972.0)</f>
        <v>4972</v>
      </c>
      <c r="D1010" s="76" t="str">
        <f>IFERROR(__xludf.DUMMYFUNCTION("""COMPUTED_VALUE"""),"GAU Generate Attendance Sheet BAMS MARCH 2026 2nd LOT")</f>
        <v>GAU Generate Attendance Sheet BAMS MARCH 2026 2nd LOT</v>
      </c>
      <c r="E1010" s="84">
        <f>IFERROR(__xludf.DUMMYFUNCTION("""COMPUTED_VALUE"""),46088.694791319445)</f>
        <v>46088.69479</v>
      </c>
      <c r="F1010" s="86">
        <f>IFERROR(__xludf.DUMMYFUNCTION("""COMPUTED_VALUE"""),46088.41816032407)</f>
        <v>46088.41816</v>
      </c>
      <c r="G1010" s="86" t="str">
        <f>IFERROR(__xludf.DUMMYFUNCTION("""COMPUTED_VALUE"""),"Done")</f>
        <v>Done</v>
      </c>
      <c r="H1010" s="88">
        <f>IFERROR(__xludf.DUMMYFUNCTION("""COMPUTED_VALUE"""),0.0)</f>
        <v>0</v>
      </c>
      <c r="I1010" s="90" t="str">
        <f>IFERROR(__xludf.DUMMYFUNCTION("""COMPUTED_VALUE"""),"EMP0021 Tamanna Dewangan")</f>
        <v>EMP0021 Tamanna Dewangan</v>
      </c>
      <c r="J1010" s="91">
        <f t="shared" si="1"/>
        <v>-0.2766309954</v>
      </c>
    </row>
    <row r="1011">
      <c r="B1011" s="76" t="str">
        <f>IFERROR(__xludf.DUMMYFUNCTION("""COMPUTED_VALUE"""),"Debuging the error (Jasper end as well as Query end) and discuss with RM about logic ")</f>
        <v>Debuging the error (Jasper end as well as Query end) and discuss with RM about logic </v>
      </c>
      <c r="C1011" s="82">
        <f>IFERROR(__xludf.DUMMYFUNCTION("""COMPUTED_VALUE"""),4973.0)</f>
        <v>4973</v>
      </c>
      <c r="D1011" s="76" t="str">
        <f>IFERROR(__xludf.DUMMYFUNCTION("""COMPUTED_VALUE"""),"Marks Sheet NEP")</f>
        <v>Marks Sheet NEP</v>
      </c>
      <c r="E1011" s="84">
        <f>IFERROR(__xludf.DUMMYFUNCTION("""COMPUTED_VALUE"""),46088.72069596065)</f>
        <v>46088.7207</v>
      </c>
      <c r="F1011" s="86">
        <f>IFERROR(__xludf.DUMMYFUNCTION("""COMPUTED_VALUE"""),46088.44883821759)</f>
        <v>46088.44884</v>
      </c>
      <c r="G1011" s="86" t="str">
        <f>IFERROR(__xludf.DUMMYFUNCTION("""COMPUTED_VALUE"""),"Done")</f>
        <v>Done</v>
      </c>
      <c r="H1011" s="88">
        <f>IFERROR(__xludf.DUMMYFUNCTION("""COMPUTED_VALUE"""),0.0)</f>
        <v>0</v>
      </c>
      <c r="I1011" s="90" t="str">
        <f>IFERROR(__xludf.DUMMYFUNCTION("""COMPUTED_VALUE"""),"EMP0042 HULESHWAR KUMAR SAHU")</f>
        <v>EMP0042 HULESHWAR KUMAR SAHU</v>
      </c>
      <c r="J1011" s="91">
        <f t="shared" si="1"/>
        <v>-0.2718577431</v>
      </c>
    </row>
    <row r="1012">
      <c r="B1012" s="76" t="str">
        <f>IFERROR(__xludf.DUMMYFUNCTION("""COMPUTED_VALUE"""),"Debuging the error (Jasper end as well as Query end) and discuss with RM about logic ")</f>
        <v>Debuging the error (Jasper end as well as Query end) and discuss with RM about logic </v>
      </c>
      <c r="C1012" s="82">
        <f>IFERROR(__xludf.DUMMYFUNCTION("""COMPUTED_VALUE"""),4974.0)</f>
        <v>4974</v>
      </c>
      <c r="D1012" s="76" t="str">
        <f>IFERROR(__xludf.DUMMYFUNCTION("""COMPUTED_VALUE"""),"M.S.W 3RD SEM TR NO OF PAGES")</f>
        <v>M.S.W 3RD SEM TR NO OF PAGES</v>
      </c>
      <c r="E1012" s="84">
        <f>IFERROR(__xludf.DUMMYFUNCTION("""COMPUTED_VALUE"""),46090.77413725694)</f>
        <v>46090.77414</v>
      </c>
      <c r="F1012" s="86">
        <f>IFERROR(__xludf.DUMMYFUNCTION("""COMPUTED_VALUE"""),46090.67171430556)</f>
        <v>46090.67171</v>
      </c>
      <c r="G1012" s="86" t="str">
        <f>IFERROR(__xludf.DUMMYFUNCTION("""COMPUTED_VALUE"""),"Done")</f>
        <v>Done</v>
      </c>
      <c r="H1012" s="88">
        <f>IFERROR(__xludf.DUMMYFUNCTION("""COMPUTED_VALUE"""),0.0)</f>
        <v>0</v>
      </c>
      <c r="I1012" s="90" t="str">
        <f>IFERROR(__xludf.DUMMYFUNCTION("""COMPUTED_VALUE"""),"EMP0042 HULESHWAR KUMAR SAHU")</f>
        <v>EMP0042 HULESHWAR KUMAR SAHU</v>
      </c>
      <c r="J1012" s="91">
        <f t="shared" si="1"/>
        <v>-0.1024229514</v>
      </c>
    </row>
    <row r="1013">
      <c r="B1013" s="76" t="str">
        <f>IFERROR(__xludf.DUMMYFUNCTION("""COMPUTED_VALUE"""),"Debuging the error (Jasper end as well as Query end) and discuss with RM about logic ")</f>
        <v>Debuging the error (Jasper end as well as Query end) and discuss with RM about logic </v>
      </c>
      <c r="C1013" s="82">
        <f>IFERROR(__xludf.DUMMYFUNCTION("""COMPUTED_VALUE"""),4975.0)</f>
        <v>4975</v>
      </c>
      <c r="D1013" s="76" t="str">
        <f>IFERROR(__xludf.DUMMYFUNCTION("""COMPUTED_VALUE"""),"Gold Medel Certificate Gnsu")</f>
        <v>Gold Medel Certificate Gnsu</v>
      </c>
      <c r="E1013" s="84">
        <f>IFERROR(__xludf.DUMMYFUNCTION("""COMPUTED_VALUE"""),46090.81259929398)</f>
        <v>46090.8126</v>
      </c>
      <c r="F1013" s="86">
        <f>IFERROR(__xludf.DUMMYFUNCTION("""COMPUTED_VALUE"""),46090.6717959838)</f>
        <v>46090.6718</v>
      </c>
      <c r="G1013" s="86" t="str">
        <f>IFERROR(__xludf.DUMMYFUNCTION("""COMPUTED_VALUE"""),"Done")</f>
        <v>Done</v>
      </c>
      <c r="H1013" s="88">
        <f>IFERROR(__xludf.DUMMYFUNCTION("""COMPUTED_VALUE"""),0.0)</f>
        <v>0</v>
      </c>
      <c r="I1013" s="90" t="str">
        <f>IFERROR(__xludf.DUMMYFUNCTION("""COMPUTED_VALUE"""),"EMP0042 HULESHWAR KUMAR SAHU")</f>
        <v>EMP0042 HULESHWAR KUMAR SAHU</v>
      </c>
      <c r="J1013" s="91">
        <f t="shared" si="1"/>
        <v>-0.1408033102</v>
      </c>
    </row>
    <row r="1014">
      <c r="B1014" s="76" t="str">
        <f>IFERROR(__xludf.DUMMYFUNCTION("""COMPUTED_VALUE"""),"Debuging the error (Jasper end as well as Query end) and discuss with RM about logic ")</f>
        <v>Debuging the error (Jasper end as well as Query end) and discuss with RM about logic </v>
      </c>
      <c r="C1014" s="82">
        <f>IFERROR(__xludf.DUMMYFUNCTION("""COMPUTED_VALUE"""),4976.0)</f>
        <v>4976</v>
      </c>
      <c r="D1014" s="76" t="str">
        <f>IFERROR(__xludf.DUMMYFUNCTION("""COMPUTED_VALUE"""),"ADMIT CARD ")</f>
        <v>ADMIT CARD </v>
      </c>
      <c r="E1014" s="84">
        <f>IFERROR(__xludf.DUMMYFUNCTION("""COMPUTED_VALUE"""),46090.815677997685)</f>
        <v>46090.81568</v>
      </c>
      <c r="F1014" s="86">
        <f>IFERROR(__xludf.DUMMYFUNCTION("""COMPUTED_VALUE"""),46090.62469237269)</f>
        <v>46090.62469</v>
      </c>
      <c r="G1014" s="86" t="str">
        <f>IFERROR(__xludf.DUMMYFUNCTION("""COMPUTED_VALUE"""),"Done")</f>
        <v>Done</v>
      </c>
      <c r="H1014" s="88">
        <f>IFERROR(__xludf.DUMMYFUNCTION("""COMPUTED_VALUE"""),0.0)</f>
        <v>0</v>
      </c>
      <c r="I1014" s="90" t="str">
        <f>IFERROR(__xludf.DUMMYFUNCTION("""COMPUTED_VALUE"""),"EMP0021 Tamanna Dewangan")</f>
        <v>EMP0021 Tamanna Dewangan</v>
      </c>
      <c r="J1014" s="91">
        <f t="shared" si="1"/>
        <v>-0.190985625</v>
      </c>
    </row>
    <row r="1015">
      <c r="B1015" s="76" t="str">
        <f>IFERROR(__xludf.DUMMYFUNCTION("""COMPUTED_VALUE"""),"Debuging the error (Jasper end as well as Query end) and discuss with RM about logic ")</f>
        <v>Debuging the error (Jasper end as well as Query end) and discuss with RM about logic </v>
      </c>
      <c r="C1015" s="82">
        <f>IFERROR(__xludf.DUMMYFUNCTION("""COMPUTED_VALUE"""),4977.0)</f>
        <v>4977</v>
      </c>
      <c r="D1015" s="76" t="str">
        <f>IFERROR(__xludf.DUMMYFUNCTION("""COMPUTED_VALUE"""),"Enrolment/Exam form report")</f>
        <v>Enrolment/Exam form report</v>
      </c>
      <c r="E1015" s="84">
        <f>IFERROR(__xludf.DUMMYFUNCTION("""COMPUTED_VALUE"""),46090.81812584491)</f>
        <v>46090.81813</v>
      </c>
      <c r="F1015" s="86">
        <f>IFERROR(__xludf.DUMMYFUNCTION("""COMPUTED_VALUE"""),46090.5499378125)</f>
        <v>46090.54994</v>
      </c>
      <c r="G1015" s="86" t="str">
        <f>IFERROR(__xludf.DUMMYFUNCTION("""COMPUTED_VALUE"""),"Done")</f>
        <v>Done</v>
      </c>
      <c r="H1015" s="88">
        <f>IFERROR(__xludf.DUMMYFUNCTION("""COMPUTED_VALUE"""),0.0)</f>
        <v>0</v>
      </c>
      <c r="I1015" s="90" t="str">
        <f>IFERROR(__xludf.DUMMYFUNCTION("""COMPUTED_VALUE"""),"EMP0237 Swarnendu Chakraborty")</f>
        <v>EMP0237 Swarnendu Chakraborty</v>
      </c>
      <c r="J1015" s="91">
        <f t="shared" si="1"/>
        <v>-0.2681880324</v>
      </c>
    </row>
    <row r="1016">
      <c r="B1016" s="76" t="str">
        <f>IFERROR(__xludf.DUMMYFUNCTION("""COMPUTED_VALUE"""),"Debuging the error (Jasper end as well as Query end) and discuss with RM about logic ")</f>
        <v>Debuging the error (Jasper end as well as Query end) and discuss with RM about logic </v>
      </c>
      <c r="C1016" s="82">
        <f>IFERROR(__xludf.DUMMYFUNCTION("""COMPUTED_VALUE"""),4978.0)</f>
        <v>4978</v>
      </c>
      <c r="D1016" s="76" t="str">
        <f>IFERROR(__xludf.DUMMYFUNCTION("""COMPUTED_VALUE"""),"MULTIPLE REPORT")</f>
        <v>MULTIPLE REPORT</v>
      </c>
      <c r="E1016" s="84">
        <f>IFERROR(__xludf.DUMMYFUNCTION("""COMPUTED_VALUE"""),46091.45763888889)</f>
        <v>46091.45764</v>
      </c>
      <c r="F1016" s="86">
        <f>IFERROR(__xludf.DUMMYFUNCTION("""COMPUTED_VALUE"""),46090.77306460649)</f>
        <v>46090.77306</v>
      </c>
      <c r="G1016" s="86" t="str">
        <f>IFERROR(__xludf.DUMMYFUNCTION("""COMPUTED_VALUE"""),"Done")</f>
        <v>Done</v>
      </c>
      <c r="H1016" s="88">
        <f>IFERROR(__xludf.DUMMYFUNCTION("""COMPUTED_VALUE"""),0.0)</f>
        <v>0</v>
      </c>
      <c r="I1016" s="90" t="str">
        <f>IFERROR(__xludf.DUMMYFUNCTION("""COMPUTED_VALUE"""),"EMP0042 HULESHWAR KUMAR SAHU")</f>
        <v>EMP0042 HULESHWAR KUMAR SAHU</v>
      </c>
      <c r="J1016" s="91">
        <f t="shared" si="1"/>
        <v>-0.6845742824</v>
      </c>
    </row>
    <row r="1017">
      <c r="B1017" s="76" t="str">
        <f>IFERROR(__xludf.DUMMYFUNCTION("""COMPUTED_VALUE"""),"Debuging the error (Jasper end as well as Query end) and discuss with RM about logic ")</f>
        <v>Debuging the error (Jasper end as well as Query end) and discuss with RM about logic </v>
      </c>
      <c r="C1017" s="82">
        <f>IFERROR(__xludf.DUMMYFUNCTION("""COMPUTED_VALUE"""),4979.0)</f>
        <v>4979</v>
      </c>
      <c r="D1017" s="76" t="str">
        <f>IFERROR(__xludf.DUMMYFUNCTION("""COMPUTED_VALUE"""),"Degree certificate correction")</f>
        <v>Degree certificate correction</v>
      </c>
      <c r="E1017" s="84">
        <f>IFERROR(__xludf.DUMMYFUNCTION("""COMPUTED_VALUE"""),46091.476388888885)</f>
        <v>46091.47639</v>
      </c>
      <c r="F1017" s="86">
        <f>IFERROR(__xludf.DUMMYFUNCTION("""COMPUTED_VALUE"""),46091.46856538195)</f>
        <v>46091.46857</v>
      </c>
      <c r="G1017" s="86" t="str">
        <f>IFERROR(__xludf.DUMMYFUNCTION("""COMPUTED_VALUE"""),"Done")</f>
        <v>Done</v>
      </c>
      <c r="H1017" s="88">
        <f>IFERROR(__xludf.DUMMYFUNCTION("""COMPUTED_VALUE"""),0.0)</f>
        <v>0</v>
      </c>
      <c r="I1017" s="90" t="str">
        <f>IFERROR(__xludf.DUMMYFUNCTION("""COMPUTED_VALUE"""),"EMP0042 HULESHWAR KUMAR SAHU")</f>
        <v>EMP0042 HULESHWAR KUMAR SAHU</v>
      </c>
      <c r="J1017" s="91">
        <f t="shared" si="1"/>
        <v>-0.007823506938</v>
      </c>
    </row>
    <row r="1018">
      <c r="B1018" s="76" t="str">
        <f>IFERROR(__xludf.DUMMYFUNCTION("""COMPUTED_VALUE"""),"Debuging the error (Jasper end as well as Query end) and discuss with RM about logic ")</f>
        <v>Debuging the error (Jasper end as well as Query end) and discuss with RM about logic </v>
      </c>
      <c r="C1018" s="82">
        <f>IFERROR(__xludf.DUMMYFUNCTION("""COMPUTED_VALUE"""),4980.0)</f>
        <v>4980</v>
      </c>
      <c r="D1018" s="76" t="str">
        <f>IFERROR(__xludf.DUMMYFUNCTION("""COMPUTED_VALUE"""),"provisional certificate")</f>
        <v>provisional certificate</v>
      </c>
      <c r="E1018" s="84">
        <f>IFERROR(__xludf.DUMMYFUNCTION("""COMPUTED_VALUE"""),46092.45833333333)</f>
        <v>46092.45833</v>
      </c>
      <c r="F1018" s="86">
        <f>IFERROR(__xludf.DUMMYFUNCTION("""COMPUTED_VALUE"""),46091.77643290509)</f>
        <v>46091.77643</v>
      </c>
      <c r="G1018" s="86" t="str">
        <f>IFERROR(__xludf.DUMMYFUNCTION("""COMPUTED_VALUE"""),"Done")</f>
        <v>Done</v>
      </c>
      <c r="H1018" s="88">
        <f>IFERROR(__xludf.DUMMYFUNCTION("""COMPUTED_VALUE"""),0.0)</f>
        <v>0</v>
      </c>
      <c r="I1018" s="90" t="str">
        <f>IFERROR(__xludf.DUMMYFUNCTION("""COMPUTED_VALUE"""),"EMP0021 Tamanna Dewangan")</f>
        <v>EMP0021 Tamanna Dewangan</v>
      </c>
      <c r="J1018" s="91">
        <f t="shared" si="1"/>
        <v>-0.6819004282</v>
      </c>
    </row>
    <row r="1019">
      <c r="B1019" s="76" t="str">
        <f>IFERROR(__xludf.DUMMYFUNCTION("""COMPUTED_VALUE"""),"Debuging the error (Jasper end as well as Query end) and discuss with RM about logic ")</f>
        <v>Debuging the error (Jasper end as well as Query end) and discuss with RM about logic </v>
      </c>
      <c r="C1019" s="82">
        <f>IFERROR(__xludf.DUMMYFUNCTION("""COMPUTED_VALUE"""),4981.0)</f>
        <v>4981</v>
      </c>
      <c r="D1019" s="76" t="str">
        <f>IFERROR(__xludf.DUMMYFUNCTION("""COMPUTED_VALUE"""),"COLLEGE WISE TIME TABLE")</f>
        <v>COLLEGE WISE TIME TABLE</v>
      </c>
      <c r="E1019" s="84">
        <f>IFERROR(__xludf.DUMMYFUNCTION("""COMPUTED_VALUE"""),46092.4625)</f>
        <v>46092.4625</v>
      </c>
      <c r="F1019" s="86">
        <f>IFERROR(__xludf.DUMMYFUNCTION("""COMPUTED_VALUE"""),46091.77626208334)</f>
        <v>46091.77626</v>
      </c>
      <c r="G1019" s="86" t="str">
        <f>IFERROR(__xludf.DUMMYFUNCTION("""COMPUTED_VALUE"""),"Done")</f>
        <v>Done</v>
      </c>
      <c r="H1019" s="88">
        <f>IFERROR(__xludf.DUMMYFUNCTION("""COMPUTED_VALUE"""),0.0)</f>
        <v>0</v>
      </c>
      <c r="I1019" s="90" t="str">
        <f>IFERROR(__xludf.DUMMYFUNCTION("""COMPUTED_VALUE"""),"EMP0042 HULESHWAR KUMAR SAHU")</f>
        <v>EMP0042 HULESHWAR KUMAR SAHU</v>
      </c>
      <c r="J1019" s="91">
        <f t="shared" si="1"/>
        <v>-0.6862379167</v>
      </c>
    </row>
    <row r="1020">
      <c r="B1020" s="76" t="str">
        <f>IFERROR(__xludf.DUMMYFUNCTION("""COMPUTED_VALUE"""),"Debuging the error (Jasper end as well as Query end) and discuss with RM about logic ")</f>
        <v>Debuging the error (Jasper end as well as Query end) and discuss with RM about logic </v>
      </c>
      <c r="C1020" s="82">
        <f>IFERROR(__xludf.DUMMYFUNCTION("""COMPUTED_VALUE"""),4982.0)</f>
        <v>4982</v>
      </c>
      <c r="D1020" s="76" t="str">
        <f>IFERROR(__xludf.DUMMYFUNCTION("""COMPUTED_VALUE"""),"TR")</f>
        <v>TR</v>
      </c>
      <c r="E1020" s="84">
        <f>IFERROR(__xludf.DUMMYFUNCTION("""COMPUTED_VALUE"""),46092.59930555556)</f>
        <v>46092.59931</v>
      </c>
      <c r="F1020" s="86">
        <f>IFERROR(__xludf.DUMMYFUNCTION("""COMPUTED_VALUE"""),46092.43224246528)</f>
        <v>46092.43224</v>
      </c>
      <c r="G1020" s="86" t="str">
        <f>IFERROR(__xludf.DUMMYFUNCTION("""COMPUTED_VALUE"""),"Done")</f>
        <v>Done</v>
      </c>
      <c r="H1020" s="88">
        <f>IFERROR(__xludf.DUMMYFUNCTION("""COMPUTED_VALUE"""),0.0)</f>
        <v>0</v>
      </c>
      <c r="I1020" s="90" t="str">
        <f>IFERROR(__xludf.DUMMYFUNCTION("""COMPUTED_VALUE"""),"EMP0042 HULESHWAR KUMAR SAHU")</f>
        <v>EMP0042 HULESHWAR KUMAR SAHU</v>
      </c>
      <c r="J1020" s="91">
        <f t="shared" si="1"/>
        <v>-0.1670630903</v>
      </c>
    </row>
    <row r="1021">
      <c r="B1021" s="76" t="str">
        <f>IFERROR(__xludf.DUMMYFUNCTION("""COMPUTED_VALUE"""),"Debuging the error (Jasper end as well as Query end) and discuss with RM about logic ")</f>
        <v>Debuging the error (Jasper end as well as Query end) and discuss with RM about logic </v>
      </c>
      <c r="C1021" s="82">
        <f>IFERROR(__xludf.DUMMYFUNCTION("""COMPUTED_VALUE"""),4983.0)</f>
        <v>4983</v>
      </c>
      <c r="D1021" s="76" t="str">
        <f>IFERROR(__xludf.DUMMYFUNCTION("""COMPUTED_VALUE"""),"3152")</f>
        <v>3152</v>
      </c>
      <c r="E1021" s="84">
        <f>IFERROR(__xludf.DUMMYFUNCTION("""COMPUTED_VALUE"""),46092.67361111111)</f>
        <v>46092.67361</v>
      </c>
      <c r="F1021" s="86">
        <f>IFERROR(__xludf.DUMMYFUNCTION("""COMPUTED_VALUE"""),46092.4322053125)</f>
        <v>46092.43221</v>
      </c>
      <c r="G1021" s="86" t="str">
        <f>IFERROR(__xludf.DUMMYFUNCTION("""COMPUTED_VALUE"""),"Done")</f>
        <v>Done</v>
      </c>
      <c r="H1021" s="88">
        <f>IFERROR(__xludf.DUMMYFUNCTION("""COMPUTED_VALUE"""),0.0)</f>
        <v>0</v>
      </c>
      <c r="I1021" s="90" t="str">
        <f>IFERROR(__xludf.DUMMYFUNCTION("""COMPUTED_VALUE"""),"EMP5009 Rup Kumar Mandal")</f>
        <v>EMP5009 Rup Kumar Mandal</v>
      </c>
      <c r="J1021" s="91">
        <f t="shared" si="1"/>
        <v>-0.2414057986</v>
      </c>
    </row>
    <row r="1022">
      <c r="B1022" s="76" t="str">
        <f>IFERROR(__xludf.DUMMYFUNCTION("""COMPUTED_VALUE"""),"Debuging the error (Jasper end as well as Query end) and discuss with RM about logic ")</f>
        <v>Debuging the error (Jasper end as well as Query end) and discuss with RM about logic </v>
      </c>
      <c r="C1022" s="82">
        <f>IFERROR(__xludf.DUMMYFUNCTION("""COMPUTED_VALUE"""),4984.0)</f>
        <v>4984</v>
      </c>
      <c r="D1022" s="76" t="str">
        <f>IFERROR(__xludf.DUMMYFUNCTION("""COMPUTED_VALUE"""),"Upshastri TR not Download ")</f>
        <v>Upshastri TR not Download </v>
      </c>
      <c r="E1022" s="84">
        <f>IFERROR(__xludf.DUMMYFUNCTION("""COMPUTED_VALUE"""),46093.47361111111)</f>
        <v>46093.47361</v>
      </c>
      <c r="F1022" s="86">
        <f>IFERROR(__xludf.DUMMYFUNCTION("""COMPUTED_VALUE"""),46092.74106677083)</f>
        <v>46092.74107</v>
      </c>
      <c r="G1022" s="86" t="str">
        <f>IFERROR(__xludf.DUMMYFUNCTION("""COMPUTED_VALUE"""),"Done")</f>
        <v>Done</v>
      </c>
      <c r="H1022" s="88">
        <f>IFERROR(__xludf.DUMMYFUNCTION("""COMPUTED_VALUE"""),0.0)</f>
        <v>0</v>
      </c>
      <c r="I1022" s="90" t="str">
        <f>IFERROR(__xludf.DUMMYFUNCTION("""COMPUTED_VALUE"""),"EMP0042 HULESHWAR KUMAR SAHU")</f>
        <v>EMP0042 HULESHWAR KUMAR SAHU</v>
      </c>
      <c r="J1022" s="91">
        <f t="shared" si="1"/>
        <v>-0.7325443403</v>
      </c>
    </row>
    <row r="1023">
      <c r="B1023" s="76" t="str">
        <f>IFERROR(__xludf.DUMMYFUNCTION("""COMPUTED_VALUE"""),"Debuging the error (Jasper end as well as Query end) and discuss with RM about logic ")</f>
        <v>Debuging the error (Jasper end as well as Query end) and discuss with RM about logic </v>
      </c>
      <c r="C1023" s="82">
        <f>IFERROR(__xludf.DUMMYFUNCTION("""COMPUTED_VALUE"""),4985.0)</f>
        <v>4985</v>
      </c>
      <c r="D1023" s="76" t="str">
        <f>IFERROR(__xludf.DUMMYFUNCTION("""COMPUTED_VALUE"""),"CBCS TR chnage the filter all and add collge wise")</f>
        <v>CBCS TR chnage the filter all and add collge wise</v>
      </c>
      <c r="E1023" s="84">
        <f>IFERROR(__xludf.DUMMYFUNCTION("""COMPUTED_VALUE"""),46093.72750377315)</f>
        <v>46093.7275</v>
      </c>
      <c r="F1023" s="86">
        <f>IFERROR(__xludf.DUMMYFUNCTION("""COMPUTED_VALUE"""),46093.545114375)</f>
        <v>46093.54511</v>
      </c>
      <c r="G1023" s="86" t="str">
        <f>IFERROR(__xludf.DUMMYFUNCTION("""COMPUTED_VALUE"""),"Done")</f>
        <v>Done</v>
      </c>
      <c r="H1023" s="88">
        <f>IFERROR(__xludf.DUMMYFUNCTION("""COMPUTED_VALUE"""),0.0)</f>
        <v>0</v>
      </c>
      <c r="I1023" s="90" t="str">
        <f>IFERROR(__xludf.DUMMYFUNCTION("""COMPUTED_VALUE"""),"EMP0021 Tamanna Dewangan")</f>
        <v>EMP0021 Tamanna Dewangan</v>
      </c>
      <c r="J1023" s="91">
        <f t="shared" si="1"/>
        <v>-0.1823893981</v>
      </c>
    </row>
    <row r="1024">
      <c r="B1024" s="76" t="str">
        <f>IFERROR(__xludf.DUMMYFUNCTION("""COMPUTED_VALUE"""),"Debuging the error (Jasper end as well as Query end) and discuss with RM about logic ")</f>
        <v>Debuging the error (Jasper end as well as Query end) and discuss with RM about logic </v>
      </c>
      <c r="C1024" s="82">
        <f>IFERROR(__xludf.DUMMYFUNCTION("""COMPUTED_VALUE"""),4986.0)</f>
        <v>4986</v>
      </c>
      <c r="D1024" s="76" t="str">
        <f>IFERROR(__xludf.DUMMYFUNCTION("""COMPUTED_VALUE"""),"Marksheet chnage the filter all and add collge wise")</f>
        <v>Marksheet chnage the filter all and add collge wise</v>
      </c>
      <c r="E1024" s="84">
        <f>IFERROR(__xludf.DUMMYFUNCTION("""COMPUTED_VALUE"""),46093.728314976855)</f>
        <v>46093.72831</v>
      </c>
      <c r="F1024" s="86">
        <f>IFERROR(__xludf.DUMMYFUNCTION("""COMPUTED_VALUE"""),46093.545114375)</f>
        <v>46093.54511</v>
      </c>
      <c r="G1024" s="86" t="str">
        <f>IFERROR(__xludf.DUMMYFUNCTION("""COMPUTED_VALUE"""),"Done")</f>
        <v>Done</v>
      </c>
      <c r="H1024" s="88">
        <f>IFERROR(__xludf.DUMMYFUNCTION("""COMPUTED_VALUE"""),0.0)</f>
        <v>0</v>
      </c>
      <c r="I1024" s="90" t="str">
        <f>IFERROR(__xludf.DUMMYFUNCTION("""COMPUTED_VALUE"""),"EMP5009 Rup Kumar Mandal")</f>
        <v>EMP5009 Rup Kumar Mandal</v>
      </c>
      <c r="J1024" s="91">
        <f t="shared" si="1"/>
        <v>-0.1832006019</v>
      </c>
    </row>
    <row r="1025">
      <c r="B1025" s="76" t="str">
        <f>IFERROR(__xludf.DUMMYFUNCTION("""COMPUTED_VALUE"""),"Debuging the error (Jasper end as well as Query end) and discuss with RM about logic ")</f>
        <v>Debuging the error (Jasper end as well as Query end) and discuss with RM about logic </v>
      </c>
      <c r="C1025" s="82">
        <f>IFERROR(__xludf.DUMMYFUNCTION("""COMPUTED_VALUE"""),4987.0)</f>
        <v>4987</v>
      </c>
      <c r="D1025" s="76" t="str">
        <f>IFERROR(__xludf.DUMMYFUNCTION("""COMPUTED_VALUE"""),"Marksheet OLD chnage the filter all and add collge wise")</f>
        <v>Marksheet OLD chnage the filter all and add collge wise</v>
      </c>
      <c r="E1025" s="84">
        <f>IFERROR(__xludf.DUMMYFUNCTION("""COMPUTED_VALUE"""),46093.728975590275)</f>
        <v>46093.72898</v>
      </c>
      <c r="F1025" s="86">
        <f>IFERROR(__xludf.DUMMYFUNCTION("""COMPUTED_VALUE"""),46093.545114375)</f>
        <v>46093.54511</v>
      </c>
      <c r="G1025" s="86" t="str">
        <f>IFERROR(__xludf.DUMMYFUNCTION("""COMPUTED_VALUE"""),"Done")</f>
        <v>Done</v>
      </c>
      <c r="H1025" s="88">
        <f>IFERROR(__xludf.DUMMYFUNCTION("""COMPUTED_VALUE"""),0.0)</f>
        <v>0</v>
      </c>
      <c r="I1025" s="90" t="str">
        <f>IFERROR(__xludf.DUMMYFUNCTION("""COMPUTED_VALUE"""),"EMP5009 Rup Kumar Mandal")</f>
        <v>EMP5009 Rup Kumar Mandal</v>
      </c>
      <c r="J1025" s="91">
        <f t="shared" si="1"/>
        <v>-0.1838612153</v>
      </c>
    </row>
    <row r="1026">
      <c r="B1026" s="76" t="str">
        <f>IFERROR(__xludf.DUMMYFUNCTION("""COMPUTED_VALUE"""),"Debuging the error (Jasper end as well as Query end) and discuss with RM about logic ")</f>
        <v>Debuging the error (Jasper end as well as Query end) and discuss with RM about logic </v>
      </c>
      <c r="C1026" s="82">
        <f>IFERROR(__xludf.DUMMYFUNCTION("""COMPUTED_VALUE"""),4988.0)</f>
        <v>4988</v>
      </c>
      <c r="D1026" s="76" t="str">
        <f>IFERROR(__xludf.DUMMYFUNCTION("""COMPUTED_VALUE"""),"Marksheet New chnage the filter all and add collge wise")</f>
        <v>Marksheet New chnage the filter all and add collge wise</v>
      </c>
      <c r="E1026" s="84">
        <f>IFERROR(__xludf.DUMMYFUNCTION("""COMPUTED_VALUE"""),46093.72963631944)</f>
        <v>46093.72964</v>
      </c>
      <c r="F1026" s="86">
        <f>IFERROR(__xludf.DUMMYFUNCTION("""COMPUTED_VALUE"""),46093.545174293984)</f>
        <v>46093.54517</v>
      </c>
      <c r="G1026" s="86" t="str">
        <f>IFERROR(__xludf.DUMMYFUNCTION("""COMPUTED_VALUE"""),"Done")</f>
        <v>Done</v>
      </c>
      <c r="H1026" s="88">
        <f>IFERROR(__xludf.DUMMYFUNCTION("""COMPUTED_VALUE"""),0.0)</f>
        <v>0</v>
      </c>
      <c r="I1026" s="90" t="str">
        <f>IFERROR(__xludf.DUMMYFUNCTION("""COMPUTED_VALUE"""),"EMP5009 Rup Kumar Mandal")</f>
        <v>EMP5009 Rup Kumar Mandal</v>
      </c>
      <c r="J1026" s="91">
        <f t="shared" si="1"/>
        <v>-0.1844620255</v>
      </c>
    </row>
    <row r="1027">
      <c r="B1027" s="76" t="str">
        <f>IFERROR(__xludf.DUMMYFUNCTION("""COMPUTED_VALUE"""),"Debuging the error (Jasper end as well as Query end) and discuss with RM about logic ")</f>
        <v>Debuging the error (Jasper end as well as Query end) and discuss with RM about logic </v>
      </c>
      <c r="C1027" s="82">
        <f>IFERROR(__xludf.DUMMYFUNCTION("""COMPUTED_VALUE"""),4989.0)</f>
        <v>4989</v>
      </c>
      <c r="D1027" s="76" t="str">
        <f>IFERROR(__xludf.DUMMYFUNCTION("""COMPUTED_VALUE"""),"Student enrooment report")</f>
        <v>Student enrooment report</v>
      </c>
      <c r="E1027" s="84">
        <f>IFERROR(__xludf.DUMMYFUNCTION("""COMPUTED_VALUE"""),46093.798026840275)</f>
        <v>46093.79803</v>
      </c>
      <c r="F1027" s="86">
        <f>IFERROR(__xludf.DUMMYFUNCTION("""COMPUTED_VALUE"""),46093.545151018516)</f>
        <v>46093.54515</v>
      </c>
      <c r="G1027" s="86" t="str">
        <f>IFERROR(__xludf.DUMMYFUNCTION("""COMPUTED_VALUE"""),"Done")</f>
        <v>Done</v>
      </c>
      <c r="H1027" s="88">
        <f>IFERROR(__xludf.DUMMYFUNCTION("""COMPUTED_VALUE"""),0.0)</f>
        <v>0</v>
      </c>
      <c r="I1027" s="90" t="str">
        <f>IFERROR(__xludf.DUMMYFUNCTION("""COMPUTED_VALUE"""),"EMP5009 Rup Kumar Mandal")</f>
        <v>EMP5009 Rup Kumar Mandal</v>
      </c>
      <c r="J1027" s="91">
        <f t="shared" si="1"/>
        <v>-0.2528758218</v>
      </c>
    </row>
    <row r="1028">
      <c r="B1028" s="76" t="str">
        <f>IFERROR(__xludf.DUMMYFUNCTION("""COMPUTED_VALUE"""),"Debuging the error (Jasper end as well as Query end) and discuss with RM about logic ")</f>
        <v>Debuging the error (Jasper end as well as Query end) and discuss with RM about logic </v>
      </c>
      <c r="C1028" s="82">
        <f>IFERROR(__xludf.DUMMYFUNCTION("""COMPUTED_VALUE"""),4990.0)</f>
        <v>4990</v>
      </c>
      <c r="D1028" s="76" t="str">
        <f>IFERROR(__xludf.DUMMYFUNCTION("""COMPUTED_VALUE"""),"Award Sheet Locked/Blank BMDCEM-201 - Baba Mohan Das College of Education, Motla Kalan, Rewari. PG MASTER OF EDUCATION ( M.ED) First Semester ( Sem - 1) Sessional Blank ENROLLMENTFORM_SE21")</f>
        <v>Award Sheet Locked/Blank BMDCEM-201 - Baba Mohan Das College of Education, Motla Kalan, Rewari. PG MASTER OF EDUCATION ( M.ED) First Semester ( Sem - 1) Sessional Blank ENROLLMENTFORM_SE21</v>
      </c>
      <c r="E1028" s="84">
        <f>IFERROR(__xludf.DUMMYFUNCTION("""COMPUTED_VALUE"""),46093.83209185185)</f>
        <v>46093.83209</v>
      </c>
      <c r="F1028" s="86">
        <f>IFERROR(__xludf.DUMMYFUNCTION("""COMPUTED_VALUE"""),46093.689394016204)</f>
        <v>46093.68939</v>
      </c>
      <c r="G1028" s="86" t="str">
        <f>IFERROR(__xludf.DUMMYFUNCTION("""COMPUTED_VALUE"""),"Done")</f>
        <v>Done</v>
      </c>
      <c r="H1028" s="88">
        <f>IFERROR(__xludf.DUMMYFUNCTION("""COMPUTED_VALUE"""),0.0)</f>
        <v>0</v>
      </c>
      <c r="I1028" s="90" t="str">
        <f>IFERROR(__xludf.DUMMYFUNCTION("""COMPUTED_VALUE"""),"EMP0021 Tamanna Dewangan")</f>
        <v>EMP0021 Tamanna Dewangan</v>
      </c>
      <c r="J1028" s="91">
        <f t="shared" si="1"/>
        <v>-0.1426978356</v>
      </c>
    </row>
    <row r="1029">
      <c r="B1029" s="76" t="str">
        <f>IFERROR(__xludf.DUMMYFUNCTION("""COMPUTED_VALUE"""),"Debuging the error (Jasper end as well as Query end) and discuss with RM about logic ")</f>
        <v>Debuging the error (Jasper end as well as Query end) and discuss with RM about logic </v>
      </c>
      <c r="C1029" s="82">
        <f>IFERROR(__xludf.DUMMYFUNCTION("""COMPUTED_VALUE"""),4991.0)</f>
        <v>4991</v>
      </c>
      <c r="D1029" s="76" t="str">
        <f>IFERROR(__xludf.DUMMYFUNCTION("""COMPUTED_VALUE"""),"CERTIFICATE")</f>
        <v>CERTIFICATE</v>
      </c>
      <c r="E1029" s="84">
        <f>IFERROR(__xludf.DUMMYFUNCTION("""COMPUTED_VALUE"""),46094.450694444444)</f>
        <v>46094.45069</v>
      </c>
      <c r="F1029" s="86">
        <f>IFERROR(__xludf.DUMMYFUNCTION("""COMPUTED_VALUE"""),46093.676973553236)</f>
        <v>46093.67697</v>
      </c>
      <c r="G1029" s="86" t="str">
        <f>IFERROR(__xludf.DUMMYFUNCTION("""COMPUTED_VALUE"""),"Done")</f>
        <v>Done</v>
      </c>
      <c r="H1029" s="88">
        <f>IFERROR(__xludf.DUMMYFUNCTION("""COMPUTED_VALUE"""),0.0)</f>
        <v>0</v>
      </c>
      <c r="I1029" s="90" t="str">
        <f>IFERROR(__xludf.DUMMYFUNCTION("""COMPUTED_VALUE"""),"EMP0042 HULESHWAR KUMAR SAHU")</f>
        <v>EMP0042 HULESHWAR KUMAR SAHU</v>
      </c>
      <c r="J1029" s="91">
        <f t="shared" si="1"/>
        <v>-0.7737208912</v>
      </c>
    </row>
    <row r="1030">
      <c r="B1030" s="76" t="str">
        <f>IFERROR(__xludf.DUMMYFUNCTION("""COMPUTED_VALUE"""),"Debuging the error (Jasper end as well as Query end) and discuss with RM about logic ")</f>
        <v>Debuging the error (Jasper end as well as Query end) and discuss with RM about logic </v>
      </c>
      <c r="C1030" s="82">
        <f>IFERROR(__xludf.DUMMYFUNCTION("""COMPUTED_VALUE"""),4992.0)</f>
        <v>4992</v>
      </c>
      <c r="D1030" s="76" t="str">
        <f>IFERROR(__xludf.DUMMYFUNCTION("""COMPUTED_VALUE"""),"PROVISIONAL CERTIFICATE")</f>
        <v>PROVISIONAL CERTIFICATE</v>
      </c>
      <c r="E1030" s="84">
        <f>IFERROR(__xludf.DUMMYFUNCTION("""COMPUTED_VALUE"""),46094.527083333334)</f>
        <v>46094.52708</v>
      </c>
      <c r="F1030" s="86">
        <f>IFERROR(__xludf.DUMMYFUNCTION("""COMPUTED_VALUE"""),46094.45245928241)</f>
        <v>46094.45246</v>
      </c>
      <c r="G1030" s="86" t="str">
        <f>IFERROR(__xludf.DUMMYFUNCTION("""COMPUTED_VALUE"""),"Done")</f>
        <v>Done</v>
      </c>
      <c r="H1030" s="88">
        <f>IFERROR(__xludf.DUMMYFUNCTION("""COMPUTED_VALUE"""),0.0)</f>
        <v>0</v>
      </c>
      <c r="I1030" s="90" t="str">
        <f>IFERROR(__xludf.DUMMYFUNCTION("""COMPUTED_VALUE"""),"EMP0237 Swarnendu Chakraborty")</f>
        <v>EMP0237 Swarnendu Chakraborty</v>
      </c>
      <c r="J1030" s="91">
        <f t="shared" si="1"/>
        <v>-0.07462405093</v>
      </c>
    </row>
    <row r="1031">
      <c r="B1031" s="76" t="str">
        <f>IFERROR(__xludf.DUMMYFUNCTION("""COMPUTED_VALUE"""),"Debuging the error (Jasper end as well as Query end) and discuss with RM about logic ")</f>
        <v>Debuging the error (Jasper end as well as Query end) and discuss with RM about logic </v>
      </c>
      <c r="C1031" s="82">
        <f>IFERROR(__xludf.DUMMYFUNCTION("""COMPUTED_VALUE"""),4993.0)</f>
        <v>4993</v>
      </c>
      <c r="D1031" s="76" t="str">
        <f>IFERROR(__xludf.DUMMYFUNCTION("""COMPUTED_VALUE"""),"3152")</f>
        <v>3152</v>
      </c>
      <c r="E1031" s="84">
        <f>IFERROR(__xludf.DUMMYFUNCTION("""COMPUTED_VALUE"""),46094.5875)</f>
        <v>46094.5875</v>
      </c>
      <c r="F1031" s="86">
        <f>IFERROR(__xludf.DUMMYFUNCTION("""COMPUTED_VALUE"""),46093.74961827547)</f>
        <v>46093.74962</v>
      </c>
      <c r="G1031" s="86" t="str">
        <f>IFERROR(__xludf.DUMMYFUNCTION("""COMPUTED_VALUE"""),"Done")</f>
        <v>Done</v>
      </c>
      <c r="H1031" s="88">
        <f>IFERROR(__xludf.DUMMYFUNCTION("""COMPUTED_VALUE"""),0.0)</f>
        <v>0</v>
      </c>
      <c r="I1031" s="90" t="str">
        <f>IFERROR(__xludf.DUMMYFUNCTION("""COMPUTED_VALUE"""),"EMP5009 Rup Kumar Mandal")</f>
        <v>EMP5009 Rup Kumar Mandal</v>
      </c>
      <c r="J1031" s="91">
        <f t="shared" si="1"/>
        <v>-0.8378817245</v>
      </c>
    </row>
    <row r="1032">
      <c r="B1032" s="76" t="str">
        <f>IFERROR(__xludf.DUMMYFUNCTION("""COMPUTED_VALUE"""),"Debuging the error (Jasper end as well as Query end) and discuss with RM about logic ")</f>
        <v>Debuging the error (Jasper end as well as Query end) and discuss with RM about logic </v>
      </c>
      <c r="C1032" s="82">
        <f>IFERROR(__xludf.DUMMYFUNCTION("""COMPUTED_VALUE"""),4994.0)</f>
        <v>4994</v>
      </c>
      <c r="D1032" s="76" t="str">
        <f>IFERROR(__xludf.DUMMYFUNCTION("""COMPUTED_VALUE"""),"TR REPORT")</f>
        <v>TR REPORT</v>
      </c>
      <c r="E1032" s="84">
        <f>IFERROR(__xludf.DUMMYFUNCTION("""COMPUTED_VALUE"""),46094.59513888889)</f>
        <v>46094.59514</v>
      </c>
      <c r="F1032" s="86">
        <f>IFERROR(__xludf.DUMMYFUNCTION("""COMPUTED_VALUE"""),46093.74961827547)</f>
        <v>46093.74962</v>
      </c>
      <c r="G1032" s="86" t="str">
        <f>IFERROR(__xludf.DUMMYFUNCTION("""COMPUTED_VALUE"""),"Done")</f>
        <v>Done</v>
      </c>
      <c r="H1032" s="88">
        <f>IFERROR(__xludf.DUMMYFUNCTION("""COMPUTED_VALUE"""),0.0)</f>
        <v>0</v>
      </c>
      <c r="I1032" s="90" t="str">
        <f>IFERROR(__xludf.DUMMYFUNCTION("""COMPUTED_VALUE"""),"EMP5009 Rup Kumar Mandal")</f>
        <v>EMP5009 Rup Kumar Mandal</v>
      </c>
      <c r="J1032" s="91">
        <f t="shared" si="1"/>
        <v>-0.8455206134</v>
      </c>
    </row>
    <row r="1033">
      <c r="B1033" s="76" t="str">
        <f>IFERROR(__xludf.DUMMYFUNCTION("""COMPUTED_VALUE"""),"Debuging the error (Jasper end as well as Query end) and discuss with RM about logic ")</f>
        <v>Debuging the error (Jasper end as well as Query end) and discuss with RM about logic </v>
      </c>
      <c r="C1033" s="82">
        <f>IFERROR(__xludf.DUMMYFUNCTION("""COMPUTED_VALUE"""),4995.0)</f>
        <v>4995</v>
      </c>
      <c r="D1033" s="76" t="str">
        <f>IFERROR(__xludf.DUMMYFUNCTION("""COMPUTED_VALUE"""),"TR ")</f>
        <v>TR </v>
      </c>
      <c r="E1033" s="84">
        <f>IFERROR(__xludf.DUMMYFUNCTION("""COMPUTED_VALUE"""),46094.72331457176)</f>
        <v>46094.72331</v>
      </c>
      <c r="F1033" s="86">
        <f>IFERROR(__xludf.DUMMYFUNCTION("""COMPUTED_VALUE"""),46094.47681716435)</f>
        <v>46094.47682</v>
      </c>
      <c r="G1033" s="86" t="str">
        <f>IFERROR(__xludf.DUMMYFUNCTION("""COMPUTED_VALUE"""),"Done")</f>
        <v>Done</v>
      </c>
      <c r="H1033" s="88">
        <f>IFERROR(__xludf.DUMMYFUNCTION("""COMPUTED_VALUE"""),0.0)</f>
        <v>0</v>
      </c>
      <c r="I1033" s="90" t="str">
        <f>IFERROR(__xludf.DUMMYFUNCTION("""COMPUTED_VALUE"""),"EMP0042 HULESHWAR KUMAR SAHU")</f>
        <v>EMP0042 HULESHWAR KUMAR SAHU</v>
      </c>
      <c r="J1033" s="91">
        <f t="shared" si="1"/>
        <v>-0.2464974074</v>
      </c>
    </row>
    <row r="1034">
      <c r="B1034" s="76" t="str">
        <f>IFERROR(__xludf.DUMMYFUNCTION("""COMPUTED_VALUE"""),"Debuging the error (Jasper end as well as Query end) and discuss with RM about logic ")</f>
        <v>Debuging the error (Jasper end as well as Query end) and discuss with RM about logic </v>
      </c>
      <c r="C1034" s="82">
        <f>IFERROR(__xludf.DUMMYFUNCTION("""COMPUTED_VALUE"""),4996.0)</f>
        <v>4996</v>
      </c>
      <c r="D1034" s="76" t="str">
        <f>IFERROR(__xludf.DUMMYFUNCTION("""COMPUTED_VALUE"""),"RESULT DATA")</f>
        <v>RESULT DATA</v>
      </c>
      <c r="E1034" s="84">
        <f>IFERROR(__xludf.DUMMYFUNCTION("""COMPUTED_VALUE"""),46094.76683831019)</f>
        <v>46094.76684</v>
      </c>
      <c r="F1034" s="86">
        <f>IFERROR(__xludf.DUMMYFUNCTION("""COMPUTED_VALUE"""),46094.508600856476)</f>
        <v>46094.5086</v>
      </c>
      <c r="G1034" s="86" t="str">
        <f>IFERROR(__xludf.DUMMYFUNCTION("""COMPUTED_VALUE"""),"Done")</f>
        <v>Done</v>
      </c>
      <c r="H1034" s="88">
        <f>IFERROR(__xludf.DUMMYFUNCTION("""COMPUTED_VALUE"""),0.0)</f>
        <v>0</v>
      </c>
      <c r="I1034" s="90" t="str">
        <f>IFERROR(__xludf.DUMMYFUNCTION("""COMPUTED_VALUE"""),"EMP5009 Rup Kumar Mandal")</f>
        <v>EMP5009 Rup Kumar Mandal</v>
      </c>
      <c r="J1034" s="91">
        <f t="shared" si="1"/>
        <v>-0.2582374537</v>
      </c>
    </row>
    <row r="1035">
      <c r="B1035" s="76" t="str">
        <f>IFERROR(__xludf.DUMMYFUNCTION("""COMPUTED_VALUE"""),"Debuging the error (Jasper end as well as Query end) and discuss with RM about logic ")</f>
        <v>Debuging the error (Jasper end as well as Query end) and discuss with RM about logic </v>
      </c>
      <c r="C1035" s="82">
        <f>IFERROR(__xludf.DUMMYFUNCTION("""COMPUTED_VALUE"""),4997.0)</f>
        <v>4997</v>
      </c>
      <c r="D1035" s="76" t="str">
        <f>IFERROR(__xludf.DUMMYFUNCTION("""COMPUTED_VALUE"""),"Admit card")</f>
        <v>Admit card</v>
      </c>
      <c r="E1035" s="84">
        <f>IFERROR(__xludf.DUMMYFUNCTION("""COMPUTED_VALUE"""),46094.79983945602)</f>
        <v>46094.79984</v>
      </c>
      <c r="F1035" s="86">
        <f>IFERROR(__xludf.DUMMYFUNCTION("""COMPUTED_VALUE"""),46094.56233538194)</f>
        <v>46094.56234</v>
      </c>
      <c r="G1035" s="86" t="str">
        <f>IFERROR(__xludf.DUMMYFUNCTION("""COMPUTED_VALUE"""),"Done")</f>
        <v>Done</v>
      </c>
      <c r="H1035" s="88">
        <f>IFERROR(__xludf.DUMMYFUNCTION("""COMPUTED_VALUE"""),0.0)</f>
        <v>0</v>
      </c>
      <c r="I1035" s="90" t="str">
        <f>IFERROR(__xludf.DUMMYFUNCTION("""COMPUTED_VALUE"""),"EMP5009 Rup Kumar Mandal")</f>
        <v>EMP5009 Rup Kumar Mandal</v>
      </c>
      <c r="J1035" s="91">
        <f t="shared" si="1"/>
        <v>-0.2375040741</v>
      </c>
    </row>
    <row r="1036">
      <c r="B1036" s="76" t="str">
        <f>IFERROR(__xludf.DUMMYFUNCTION("""COMPUTED_VALUE"""),"Debuging the error (Jasper end as well as Query end) and discuss with RM about logic ")</f>
        <v>Debuging the error (Jasper end as well as Query end) and discuss with RM about logic </v>
      </c>
      <c r="C1036" s="82">
        <f>IFERROR(__xludf.DUMMYFUNCTION("""COMPUTED_VALUE"""),4998.0)</f>
        <v>4998</v>
      </c>
      <c r="D1036" s="76" t="str">
        <f>IFERROR(__xludf.DUMMYFUNCTION("""COMPUTED_VALUE"""),"Attendance Report")</f>
        <v>Attendance Report</v>
      </c>
      <c r="E1036" s="84">
        <f>IFERROR(__xludf.DUMMYFUNCTION("""COMPUTED_VALUE"""),46094.80183196759)</f>
        <v>46094.80183</v>
      </c>
      <c r="F1036" s="86">
        <f>IFERROR(__xludf.DUMMYFUNCTION("""COMPUTED_VALUE"""),46094.56265921296)</f>
        <v>46094.56266</v>
      </c>
      <c r="G1036" s="86" t="str">
        <f>IFERROR(__xludf.DUMMYFUNCTION("""COMPUTED_VALUE"""),"Done")</f>
        <v>Done</v>
      </c>
      <c r="H1036" s="88">
        <f>IFERROR(__xludf.DUMMYFUNCTION("""COMPUTED_VALUE"""),0.0)</f>
        <v>0</v>
      </c>
      <c r="I1036" s="90" t="str">
        <f>IFERROR(__xludf.DUMMYFUNCTION("""COMPUTED_VALUE"""),"EMP0237 Swarnendu Chakraborty")</f>
        <v>EMP0237 Swarnendu Chakraborty</v>
      </c>
      <c r="J1036" s="91">
        <f t="shared" si="1"/>
        <v>-0.2391727546</v>
      </c>
    </row>
    <row r="1037">
      <c r="B1037" s="76" t="str">
        <f>IFERROR(__xludf.DUMMYFUNCTION("""COMPUTED_VALUE"""),"Debuging the error (Jasper end as well as Query end) and discuss with RM about logic ")</f>
        <v>Debuging the error (Jasper end as well as Query end) and discuss with RM about logic </v>
      </c>
      <c r="C1037" s="82">
        <f>IFERROR(__xludf.DUMMYFUNCTION("""COMPUTED_VALUE"""),4999.0)</f>
        <v>4999</v>
      </c>
      <c r="D1037" s="76" t="str">
        <f>IFERROR(__xludf.DUMMYFUNCTION("""COMPUTED_VALUE"""),"Seating Plan")</f>
        <v>Seating Plan</v>
      </c>
      <c r="E1037" s="84">
        <f>IFERROR(__xludf.DUMMYFUNCTION("""COMPUTED_VALUE"""),46095.52916666667)</f>
        <v>46095.52917</v>
      </c>
      <c r="F1037" s="86">
        <f>IFERROR(__xludf.DUMMYFUNCTION("""COMPUTED_VALUE"""),46094.908191250004)</f>
        <v>46094.90819</v>
      </c>
      <c r="G1037" s="86" t="str">
        <f>IFERROR(__xludf.DUMMYFUNCTION("""COMPUTED_VALUE"""),"Done")</f>
        <v>Done</v>
      </c>
      <c r="H1037" s="88">
        <f>IFERROR(__xludf.DUMMYFUNCTION("""COMPUTED_VALUE"""),0.0)</f>
        <v>0</v>
      </c>
      <c r="I1037" s="90" t="str">
        <f>IFERROR(__xludf.DUMMYFUNCTION("""COMPUTED_VALUE"""),"EMP0042 HULESHWAR KUMAR SAHU")</f>
        <v>EMP0042 HULESHWAR KUMAR SAHU</v>
      </c>
      <c r="J1037" s="91">
        <f t="shared" si="1"/>
        <v>-0.6209754167</v>
      </c>
    </row>
    <row r="1038">
      <c r="B1038" s="76" t="str">
        <f>IFERROR(__xludf.DUMMYFUNCTION("""COMPUTED_VALUE"""),"Debuging the error (Jasper end as well as Query end) and discuss with RM about logic ")</f>
        <v>Debuging the error (Jasper end as well as Query end) and discuss with RM about logic </v>
      </c>
      <c r="C1038" s="82">
        <f>IFERROR(__xludf.DUMMYFUNCTION("""COMPUTED_VALUE"""),5000.0)</f>
        <v>5000</v>
      </c>
      <c r="D1038" s="76" t="str">
        <f>IFERROR(__xludf.DUMMYFUNCTION("""COMPUTED_VALUE"""),"TR ")</f>
        <v>TR </v>
      </c>
      <c r="E1038" s="84">
        <f>IFERROR(__xludf.DUMMYFUNCTION("""COMPUTED_VALUE"""),46095.59583333333)</f>
        <v>46095.59583</v>
      </c>
      <c r="F1038" s="86">
        <f>IFERROR(__xludf.DUMMYFUNCTION("""COMPUTED_VALUE"""),46094.78348439815)</f>
        <v>46094.78348</v>
      </c>
      <c r="G1038" s="86" t="str">
        <f>IFERROR(__xludf.DUMMYFUNCTION("""COMPUTED_VALUE"""),"Done")</f>
        <v>Done</v>
      </c>
      <c r="H1038" s="88">
        <f>IFERROR(__xludf.DUMMYFUNCTION("""COMPUTED_VALUE"""),0.0)</f>
        <v>0</v>
      </c>
      <c r="I1038" s="90" t="str">
        <f>IFERROR(__xludf.DUMMYFUNCTION("""COMPUTED_VALUE"""),"EMP0042 HULESHWAR KUMAR SAHU")</f>
        <v>EMP0042 HULESHWAR KUMAR SAHU</v>
      </c>
      <c r="J1038" s="91">
        <f t="shared" si="1"/>
        <v>-0.8123489352</v>
      </c>
    </row>
    <row r="1039">
      <c r="B1039" s="76" t="str">
        <f>IFERROR(__xludf.DUMMYFUNCTION("""COMPUTED_VALUE"""),"Debuging the error (Jasper end as well as Query end) and discuss with RM about logic ")</f>
        <v>Debuging the error (Jasper end as well as Query end) and discuss with RM about logic </v>
      </c>
      <c r="C1039" s="82">
        <f>IFERROR(__xludf.DUMMYFUNCTION("""COMPUTED_VALUE"""),5001.0)</f>
        <v>5001</v>
      </c>
      <c r="D1039" s="76" t="str">
        <f>IFERROR(__xludf.DUMMYFUNCTION("""COMPUTED_VALUE"""),"Please provide the practical Data for M.Ed. 1st &amp; 3rd Semester, Re-appear, Regular, Mercy Chance,")</f>
        <v>Please provide the practical Data for M.Ed. 1st &amp; 3rd Semester, Re-appear, Regular, Mercy Chance,</v>
      </c>
      <c r="E1039" s="84">
        <f>IFERROR(__xludf.DUMMYFUNCTION("""COMPUTED_VALUE"""),46095.73753204861)</f>
        <v>46095.73753</v>
      </c>
      <c r="F1039" s="86">
        <f>IFERROR(__xludf.DUMMYFUNCTION("""COMPUTED_VALUE"""),46095.52257568287)</f>
        <v>46095.52258</v>
      </c>
      <c r="G1039" s="86" t="str">
        <f>IFERROR(__xludf.DUMMYFUNCTION("""COMPUTED_VALUE"""),"Done")</f>
        <v>Done</v>
      </c>
      <c r="H1039" s="88">
        <f>IFERROR(__xludf.DUMMYFUNCTION("""COMPUTED_VALUE"""),0.0)</f>
        <v>0</v>
      </c>
      <c r="I1039" s="90" t="str">
        <f>IFERROR(__xludf.DUMMYFUNCTION("""COMPUTED_VALUE"""),"EMP0042 HULESHWAR KUMAR SAHU")</f>
        <v>EMP0042 HULESHWAR KUMAR SAHU</v>
      </c>
      <c r="J1039" s="91">
        <f t="shared" si="1"/>
        <v>-0.2149563657</v>
      </c>
    </row>
    <row r="1040">
      <c r="B1040" s="76" t="str">
        <f>IFERROR(__xludf.DUMMYFUNCTION("""COMPUTED_VALUE"""),"Debuging the error (Jasper end as well as Query end) and discuss with RM about logic ")</f>
        <v>Debuging the error (Jasper end as well as Query end) and discuss with RM about logic </v>
      </c>
      <c r="C1040" s="82">
        <f>IFERROR(__xludf.DUMMYFUNCTION("""COMPUTED_VALUE"""),5002.0)</f>
        <v>5002</v>
      </c>
      <c r="D1040" s="76" t="str">
        <f>IFERROR(__xludf.DUMMYFUNCTION("""COMPUTED_VALUE"""),"OLD formate mrksheet correction")</f>
        <v>OLD formate mrksheet correction</v>
      </c>
      <c r="E1040" s="84">
        <f>IFERROR(__xludf.DUMMYFUNCTION("""COMPUTED_VALUE"""),46097.55886574074)</f>
        <v>46097.55887</v>
      </c>
      <c r="F1040" s="86">
        <f>IFERROR(__xludf.DUMMYFUNCTION("""COMPUTED_VALUE"""),46097.53200424769)</f>
        <v>46097.532</v>
      </c>
      <c r="G1040" s="86" t="str">
        <f>IFERROR(__xludf.DUMMYFUNCTION("""COMPUTED_VALUE"""),"Done")</f>
        <v>Done</v>
      </c>
      <c r="H1040" s="88">
        <f>IFERROR(__xludf.DUMMYFUNCTION("""COMPUTED_VALUE"""),0.0)</f>
        <v>0</v>
      </c>
      <c r="I1040" s="90" t="str">
        <f>IFERROR(__xludf.DUMMYFUNCTION("""COMPUTED_VALUE"""),"EMP0237 Swarnendu Chakraborty")</f>
        <v>EMP0237 Swarnendu Chakraborty</v>
      </c>
      <c r="J1040" s="91">
        <f t="shared" si="1"/>
        <v>-0.02686149305</v>
      </c>
    </row>
    <row r="1041">
      <c r="B1041" s="76" t="str">
        <f>IFERROR(__xludf.DUMMYFUNCTION("""COMPUTED_VALUE"""),"Debuging the error (Jasper end as well as Query end) and discuss with RM about logic ")</f>
        <v>Debuging the error (Jasper end as well as Query end) and discuss with RM about logic </v>
      </c>
      <c r="C1041" s="82">
        <f>IFERROR(__xludf.DUMMYFUNCTION("""COMPUTED_VALUE"""),5003.0)</f>
        <v>5003</v>
      </c>
      <c r="D1041" s="76" t="str">
        <f>IFERROR(__xludf.DUMMYFUNCTION("""COMPUTED_VALUE"""),"NEW formate mrksheet correction")</f>
        <v>NEW formate mrksheet correction</v>
      </c>
      <c r="E1041" s="84">
        <f>IFERROR(__xludf.DUMMYFUNCTION("""COMPUTED_VALUE"""),46097.55886574074)</f>
        <v>46097.55887</v>
      </c>
      <c r="F1041" s="86">
        <f>IFERROR(__xludf.DUMMYFUNCTION("""COMPUTED_VALUE"""),46097.53202831018)</f>
        <v>46097.53203</v>
      </c>
      <c r="G1041" s="86" t="str">
        <f>IFERROR(__xludf.DUMMYFUNCTION("""COMPUTED_VALUE"""),"Done")</f>
        <v>Done</v>
      </c>
      <c r="H1041" s="88">
        <f>IFERROR(__xludf.DUMMYFUNCTION("""COMPUTED_VALUE"""),0.0)</f>
        <v>0</v>
      </c>
      <c r="I1041" s="90" t="str">
        <f>IFERROR(__xludf.DUMMYFUNCTION("""COMPUTED_VALUE"""),"EMP0237 Swarnendu Chakraborty")</f>
        <v>EMP0237 Swarnendu Chakraborty</v>
      </c>
      <c r="J1041" s="91">
        <f t="shared" si="1"/>
        <v>-0.02683743056</v>
      </c>
    </row>
    <row r="1042">
      <c r="B1042" s="76" t="str">
        <f>IFERROR(__xludf.DUMMYFUNCTION("""COMPUTED_VALUE"""),"Debuging the error (Jasper end as well as Query end) and discuss with RM about logic ")</f>
        <v>Debuging the error (Jasper end as well as Query end) and discuss with RM about logic </v>
      </c>
      <c r="C1042" s="82">
        <f>IFERROR(__xludf.DUMMYFUNCTION("""COMPUTED_VALUE"""),5004.0)</f>
        <v>5004</v>
      </c>
      <c r="D1042" s="76" t="str">
        <f>IFERROR(__xludf.DUMMYFUNCTION("""COMPUTED_VALUE"""),"FINAL CERTIFICATE")</f>
        <v>FINAL CERTIFICATE</v>
      </c>
      <c r="E1042" s="84">
        <f>IFERROR(__xludf.DUMMYFUNCTION("""COMPUTED_VALUE"""),46097.79518652778)</f>
        <v>46097.79519</v>
      </c>
      <c r="F1042" s="86">
        <f>IFERROR(__xludf.DUMMYFUNCTION("""COMPUTED_VALUE"""),46097.53596641204)</f>
        <v>46097.53597</v>
      </c>
      <c r="G1042" s="86" t="str">
        <f>IFERROR(__xludf.DUMMYFUNCTION("""COMPUTED_VALUE"""),"Done")</f>
        <v>Done</v>
      </c>
      <c r="H1042" s="88">
        <f>IFERROR(__xludf.DUMMYFUNCTION("""COMPUTED_VALUE"""),0.0)</f>
        <v>0</v>
      </c>
      <c r="I1042" s="90" t="str">
        <f>IFERROR(__xludf.DUMMYFUNCTION("""COMPUTED_VALUE"""),"EMP5009 Rup Kumar Mandal")</f>
        <v>EMP5009 Rup Kumar Mandal</v>
      </c>
      <c r="J1042" s="91">
        <f t="shared" si="1"/>
        <v>-0.2592201157</v>
      </c>
    </row>
    <row r="1043">
      <c r="B1043" s="76" t="str">
        <f>IFERROR(__xludf.DUMMYFUNCTION("""COMPUTED_VALUE"""),"Debuging the error (Jasper end as well as Query end) and discuss with RM about logic ")</f>
        <v>Debuging the error (Jasper end as well as Query end) and discuss with RM about logic </v>
      </c>
      <c r="C1043" s="82">
        <f>IFERROR(__xludf.DUMMYFUNCTION("""COMPUTED_VALUE"""),5005.0)</f>
        <v>5005</v>
      </c>
      <c r="D1043" s="76" t="str">
        <f>IFERROR(__xludf.DUMMYFUNCTION("""COMPUTED_VALUE"""),"attendance sheet")</f>
        <v>attendance sheet</v>
      </c>
      <c r="E1043" s="84">
        <f>IFERROR(__xludf.DUMMYFUNCTION("""COMPUTED_VALUE"""),46098.49791666667)</f>
        <v>46098.49792</v>
      </c>
      <c r="F1043" s="86">
        <f>IFERROR(__xludf.DUMMYFUNCTION("""COMPUTED_VALUE"""),46097.67577421296)</f>
        <v>46097.67577</v>
      </c>
      <c r="G1043" s="86" t="str">
        <f>IFERROR(__xludf.DUMMYFUNCTION("""COMPUTED_VALUE"""),"Done")</f>
        <v>Done</v>
      </c>
      <c r="H1043" s="88">
        <f>IFERROR(__xludf.DUMMYFUNCTION("""COMPUTED_VALUE"""),0.0)</f>
        <v>0</v>
      </c>
      <c r="I1043" s="90" t="str">
        <f>IFERROR(__xludf.DUMMYFUNCTION("""COMPUTED_VALUE"""),"EMP0021 Tamanna Dewangan")</f>
        <v>EMP0021 Tamanna Dewangan</v>
      </c>
      <c r="J1043" s="91">
        <f t="shared" si="1"/>
        <v>-0.8221424537</v>
      </c>
    </row>
    <row r="1044">
      <c r="B1044" s="76" t="str">
        <f>IFERROR(__xludf.DUMMYFUNCTION("""COMPUTED_VALUE"""),"Debuging the error (Jasper end as well as Query end) and discuss with RM about logic ")</f>
        <v>Debuging the error (Jasper end as well as Query end) and discuss with RM about logic </v>
      </c>
      <c r="C1044" s="82">
        <f>IFERROR(__xludf.DUMMYFUNCTION("""COMPUTED_VALUE"""),5006.0)</f>
        <v>5006</v>
      </c>
      <c r="D1044" s="76" t="str">
        <f>IFERROR(__xludf.DUMMYFUNCTION("""COMPUTED_VALUE"""),"NEP TR M.A HINDI &amp; SANSKRIT")</f>
        <v>NEP TR M.A HINDI &amp; SANSKRIT</v>
      </c>
      <c r="E1044" s="84">
        <f>IFERROR(__xludf.DUMMYFUNCTION("""COMPUTED_VALUE"""),46099.58819444444)</f>
        <v>46099.58819</v>
      </c>
      <c r="F1044" s="86">
        <f>IFERROR(__xludf.DUMMYFUNCTION("""COMPUTED_VALUE"""),46099.50877028936)</f>
        <v>46099.50877</v>
      </c>
      <c r="G1044" s="86" t="str">
        <f>IFERROR(__xludf.DUMMYFUNCTION("""COMPUTED_VALUE"""),"Done")</f>
        <v>Done</v>
      </c>
      <c r="H1044" s="88">
        <f>IFERROR(__xludf.DUMMYFUNCTION("""COMPUTED_VALUE"""),0.0)</f>
        <v>0</v>
      </c>
      <c r="I1044" s="90" t="str">
        <f>IFERROR(__xludf.DUMMYFUNCTION("""COMPUTED_VALUE"""),"EMP0042 HULESHWAR KUMAR SAHU")</f>
        <v>EMP0042 HULESHWAR KUMAR SAHU</v>
      </c>
      <c r="J1044" s="91">
        <f t="shared" si="1"/>
        <v>-0.07942415508</v>
      </c>
    </row>
    <row r="1045">
      <c r="B1045" s="76" t="str">
        <f>IFERROR(__xludf.DUMMYFUNCTION("""COMPUTED_VALUE"""),"Debuging the error (Jasper end as well as Query end) and discuss with RM about logic ")</f>
        <v>Debuging the error (Jasper end as well as Query end) and discuss with RM about logic </v>
      </c>
      <c r="C1045" s="82">
        <f>IFERROR(__xludf.DUMMYFUNCTION("""COMPUTED_VALUE"""),5007.0)</f>
        <v>5007</v>
      </c>
      <c r="D1045" s="76" t="str">
        <f>IFERROR(__xludf.DUMMYFUNCTION("""COMPUTED_VALUE"""),"Grade Card (B.PHARMA)")</f>
        <v>Grade Card (B.PHARMA)</v>
      </c>
      <c r="E1045" s="84">
        <f>IFERROR(__xludf.DUMMYFUNCTION("""COMPUTED_VALUE"""),46099.589583333334)</f>
        <v>46099.58958</v>
      </c>
      <c r="F1045" s="86">
        <f>IFERROR(__xludf.DUMMYFUNCTION("""COMPUTED_VALUE"""),46099.570752314816)</f>
        <v>46099.57075</v>
      </c>
      <c r="G1045" s="86" t="str">
        <f>IFERROR(__xludf.DUMMYFUNCTION("""COMPUTED_VALUE"""),"Done")</f>
        <v>Done</v>
      </c>
      <c r="H1045" s="88">
        <f>IFERROR(__xludf.DUMMYFUNCTION("""COMPUTED_VALUE"""),0.0)</f>
        <v>0</v>
      </c>
      <c r="I1045" s="90" t="str">
        <f>IFERROR(__xludf.DUMMYFUNCTION("""COMPUTED_VALUE"""),"EMP0042 HULESHWAR KUMAR SAHU")</f>
        <v>EMP0042 HULESHWAR KUMAR SAHU</v>
      </c>
      <c r="J1045" s="91">
        <f t="shared" si="1"/>
        <v>-0.01883101852</v>
      </c>
    </row>
    <row r="1046">
      <c r="B1046" s="76" t="str">
        <f>IFERROR(__xludf.DUMMYFUNCTION("""COMPUTED_VALUE"""),"Debuging the error (Jasper end as well as Query end) and discuss with RM about logic ")</f>
        <v>Debuging the error (Jasper end as well as Query end) and discuss with RM about logic </v>
      </c>
      <c r="C1046" s="82">
        <f>IFERROR(__xludf.DUMMYFUNCTION("""COMPUTED_VALUE"""),5008.0)</f>
        <v>5008</v>
      </c>
      <c r="D1046" s="76" t="str">
        <f>IFERROR(__xludf.DUMMYFUNCTION("""COMPUTED_VALUE"""),"NEP SUMMARY 3RD SEM M.A HINDI")</f>
        <v>NEP SUMMARY 3RD SEM M.A HINDI</v>
      </c>
      <c r="E1046" s="84">
        <f>IFERROR(__xludf.DUMMYFUNCTION("""COMPUTED_VALUE"""),46099.59166666667)</f>
        <v>46099.59167</v>
      </c>
      <c r="F1046" s="86">
        <f>IFERROR(__xludf.DUMMYFUNCTION("""COMPUTED_VALUE"""),46099.57078703704)</f>
        <v>46099.57079</v>
      </c>
      <c r="G1046" s="86" t="str">
        <f>IFERROR(__xludf.DUMMYFUNCTION("""COMPUTED_VALUE"""),"Done")</f>
        <v>Done</v>
      </c>
      <c r="H1046" s="88">
        <f>IFERROR(__xludf.DUMMYFUNCTION("""COMPUTED_VALUE"""),0.0)</f>
        <v>0</v>
      </c>
      <c r="I1046" s="90" t="str">
        <f>IFERROR(__xludf.DUMMYFUNCTION("""COMPUTED_VALUE"""),"EMP0042 HULESHWAR KUMAR SAHU")</f>
        <v>EMP0042 HULESHWAR KUMAR SAHU</v>
      </c>
      <c r="J1046" s="91">
        <f t="shared" si="1"/>
        <v>-0.02087962963</v>
      </c>
    </row>
    <row r="1047">
      <c r="B1047" s="76" t="str">
        <f>IFERROR(__xludf.DUMMYFUNCTION("""COMPUTED_VALUE"""),"Debuging the error (Jasper end as well as Query end) and discuss with RM about logic ")</f>
        <v>Debuging the error (Jasper end as well as Query end) and discuss with RM about logic </v>
      </c>
      <c r="C1047" s="82">
        <f>IFERROR(__xludf.DUMMYFUNCTION("""COMPUTED_VALUE"""),5009.0)</f>
        <v>5009</v>
      </c>
      <c r="D1047" s="76" t="str">
        <f>IFERROR(__xludf.DUMMYFUNCTION("""COMPUTED_VALUE"""),"NEP SCHEMA M.A SANSKRIT")</f>
        <v>NEP SCHEMA M.A SANSKRIT</v>
      </c>
      <c r="E1047" s="84">
        <f>IFERROR(__xludf.DUMMYFUNCTION("""COMPUTED_VALUE"""),46099.59513888889)</f>
        <v>46099.59514</v>
      </c>
      <c r="F1047" s="86">
        <f>IFERROR(__xludf.DUMMYFUNCTION("""COMPUTED_VALUE"""),46099.57079861111)</f>
        <v>46099.5708</v>
      </c>
      <c r="G1047" s="86" t="str">
        <f>IFERROR(__xludf.DUMMYFUNCTION("""COMPUTED_VALUE"""),"Done")</f>
        <v>Done</v>
      </c>
      <c r="H1047" s="88">
        <f>IFERROR(__xludf.DUMMYFUNCTION("""COMPUTED_VALUE"""),0.0)</f>
        <v>0</v>
      </c>
      <c r="I1047" s="90" t="str">
        <f>IFERROR(__xludf.DUMMYFUNCTION("""COMPUTED_VALUE"""),"EMP0042 HULESHWAR KUMAR SAHU")</f>
        <v>EMP0042 HULESHWAR KUMAR SAHU</v>
      </c>
      <c r="J1047" s="91">
        <f t="shared" si="1"/>
        <v>-0.02434027779</v>
      </c>
    </row>
    <row r="1048">
      <c r="B1048" s="76" t="str">
        <f>IFERROR(__xludf.DUMMYFUNCTION("""COMPUTED_VALUE"""),"Debuging the error (Jasper end as well as Query end) and discuss with RM about logic ")</f>
        <v>Debuging the error (Jasper end as well as Query end) and discuss with RM about logic </v>
      </c>
      <c r="C1048" s="82">
        <f>IFERROR(__xludf.DUMMYFUNCTION("""COMPUTED_VALUE"""),5010.0)</f>
        <v>5010</v>
      </c>
      <c r="D1048" s="76" t="str">
        <f>IFERROR(__xludf.DUMMYFUNCTION("""COMPUTED_VALUE"""),"NEP MA SANSKRIT 3RD SEM  MARKSHEET ")</f>
        <v>NEP MA SANSKRIT 3RD SEM  MARKSHEET </v>
      </c>
      <c r="E1048" s="84">
        <f>IFERROR(__xludf.DUMMYFUNCTION("""COMPUTED_VALUE"""),46099.59722222222)</f>
        <v>46099.59722</v>
      </c>
      <c r="F1048" s="86">
        <f>IFERROR(__xludf.DUMMYFUNCTION("""COMPUTED_VALUE"""),46099.57082175926)</f>
        <v>46099.57082</v>
      </c>
      <c r="G1048" s="86" t="str">
        <f>IFERROR(__xludf.DUMMYFUNCTION("""COMPUTED_VALUE"""),"Done")</f>
        <v>Done</v>
      </c>
      <c r="H1048" s="88">
        <f>IFERROR(__xludf.DUMMYFUNCTION("""COMPUTED_VALUE"""),0.0)</f>
        <v>0</v>
      </c>
      <c r="I1048" s="90" t="str">
        <f>IFERROR(__xludf.DUMMYFUNCTION("""COMPUTED_VALUE"""),"EMP0021 Tamanna Dewangan")</f>
        <v>EMP0021 Tamanna Dewangan</v>
      </c>
      <c r="J1048" s="91">
        <f t="shared" si="1"/>
        <v>-0.02640046296</v>
      </c>
    </row>
    <row r="1049">
      <c r="B1049" s="76" t="str">
        <f>IFERROR(__xludf.DUMMYFUNCTION("""COMPUTED_VALUE"""),"Debuging the error (Jasper end as well as Query end) and discuss with RM about logic ")</f>
        <v>Debuging the error (Jasper end as well as Query end) and discuss with RM about logic </v>
      </c>
      <c r="C1049" s="82">
        <f>IFERROR(__xludf.DUMMYFUNCTION("""COMPUTED_VALUE"""),5011.0)</f>
        <v>5011</v>
      </c>
      <c r="D1049" s="76" t="str">
        <f>IFERROR(__xludf.DUMMYFUNCTION("""COMPUTED_VALUE"""),"Tabulation Report BPH (LE) 3rd sem")</f>
        <v>Tabulation Report BPH (LE) 3rd sem</v>
      </c>
      <c r="E1049" s="84">
        <f>IFERROR(__xludf.DUMMYFUNCTION("""COMPUTED_VALUE"""),46099.7409824537)</f>
        <v>46099.74098</v>
      </c>
      <c r="F1049" s="86">
        <f>IFERROR(__xludf.DUMMYFUNCTION("""COMPUTED_VALUE"""),46099.487370243056)</f>
        <v>46099.48737</v>
      </c>
      <c r="G1049" s="86" t="str">
        <f>IFERROR(__xludf.DUMMYFUNCTION("""COMPUTED_VALUE"""),"Done")</f>
        <v>Done</v>
      </c>
      <c r="H1049" s="88">
        <f>IFERROR(__xludf.DUMMYFUNCTION("""COMPUTED_VALUE"""),0.0)</f>
        <v>0</v>
      </c>
      <c r="I1049" s="90" t="str">
        <f>IFERROR(__xludf.DUMMYFUNCTION("""COMPUTED_VALUE"""),"EMP5009 Rup Kumar Mandal")</f>
        <v>EMP5009 Rup Kumar Mandal</v>
      </c>
      <c r="J1049" s="91">
        <f t="shared" si="1"/>
        <v>-0.2536122106</v>
      </c>
    </row>
    <row r="1050">
      <c r="B1050" s="76" t="str">
        <f>IFERROR(__xludf.DUMMYFUNCTION("""COMPUTED_VALUE"""),"Debuging the error (Jasper end as well as Query end) and discuss with RM about logic ")</f>
        <v>Debuging the error (Jasper end as well as Query end) and discuss with RM about logic </v>
      </c>
      <c r="C1050" s="82">
        <f>IFERROR(__xludf.DUMMYFUNCTION("""COMPUTED_VALUE"""),5012.0)</f>
        <v>5012</v>
      </c>
      <c r="D1050" s="76" t="str">
        <f>IFERROR(__xludf.DUMMYFUNCTION("""COMPUTED_VALUE"""),"TR")</f>
        <v>TR</v>
      </c>
      <c r="E1050" s="84">
        <f>IFERROR(__xludf.DUMMYFUNCTION("""COMPUTED_VALUE"""),46100.75203960648)</f>
        <v>46100.75204</v>
      </c>
      <c r="F1050" s="86">
        <f>IFERROR(__xludf.DUMMYFUNCTION("""COMPUTED_VALUE"""),46100.61351962963)</f>
        <v>46100.61352</v>
      </c>
      <c r="G1050" s="86" t="str">
        <f>IFERROR(__xludf.DUMMYFUNCTION("""COMPUTED_VALUE"""),"Done")</f>
        <v>Done</v>
      </c>
      <c r="H1050" s="88">
        <f>IFERROR(__xludf.DUMMYFUNCTION("""COMPUTED_VALUE"""),0.0)</f>
        <v>0</v>
      </c>
      <c r="I1050" s="90" t="str">
        <f>IFERROR(__xludf.DUMMYFUNCTION("""COMPUTED_VALUE"""),"EMP0042 HULESHWAR KUMAR SAHU")</f>
        <v>EMP0042 HULESHWAR KUMAR SAHU</v>
      </c>
      <c r="J1050" s="91">
        <f t="shared" si="1"/>
        <v>-0.1385199768</v>
      </c>
    </row>
    <row r="1051">
      <c r="B1051" s="76" t="str">
        <f>IFERROR(__xludf.DUMMYFUNCTION("""COMPUTED_VALUE"""),"Debuging the error (Jasper end as well as Query end) and discuss with RM about logic ")</f>
        <v>Debuging the error (Jasper end as well as Query end) and discuss with RM about logic </v>
      </c>
      <c r="C1051" s="82">
        <f>IFERROR(__xludf.DUMMYFUNCTION("""COMPUTED_VALUE"""),5013.0)</f>
        <v>5013</v>
      </c>
      <c r="D1051" s="76" t="str">
        <f>IFERROR(__xludf.DUMMYFUNCTION("""COMPUTED_VALUE"""),"Student wise data add new culum session")</f>
        <v>Student wise data add new culum session</v>
      </c>
      <c r="E1051" s="84">
        <f>IFERROR(__xludf.DUMMYFUNCTION("""COMPUTED_VALUE"""),46101.47361111111)</f>
        <v>46101.47361</v>
      </c>
      <c r="F1051" s="86">
        <f>IFERROR(__xludf.DUMMYFUNCTION("""COMPUTED_VALUE"""),46100.64561894676)</f>
        <v>46100.64562</v>
      </c>
      <c r="G1051" s="86" t="str">
        <f>IFERROR(__xludf.DUMMYFUNCTION("""COMPUTED_VALUE"""),"Done")</f>
        <v>Done</v>
      </c>
      <c r="H1051" s="88">
        <f>IFERROR(__xludf.DUMMYFUNCTION("""COMPUTED_VALUE"""),0.0)</f>
        <v>0</v>
      </c>
      <c r="I1051" s="90" t="str">
        <f>IFERROR(__xludf.DUMMYFUNCTION("""COMPUTED_VALUE"""),"EMP5009 Rup Kumar Mandal")</f>
        <v>EMP5009 Rup Kumar Mandal</v>
      </c>
      <c r="J1051" s="91">
        <f t="shared" si="1"/>
        <v>-0.8279921644</v>
      </c>
    </row>
    <row r="1052">
      <c r="B1052" s="76" t="str">
        <f>IFERROR(__xludf.DUMMYFUNCTION("""COMPUTED_VALUE"""),"Debuging the error (Jasper end as well as Query end) and discuss with RM about logic ")</f>
        <v>Debuging the error (Jasper end as well as Query end) and discuss with RM about logic </v>
      </c>
      <c r="C1052" s="82">
        <f>IFERROR(__xludf.DUMMYFUNCTION("""COMPUTED_VALUE"""),5014.0)</f>
        <v>5014</v>
      </c>
      <c r="D1052" s="76" t="str">
        <f>IFERROR(__xludf.DUMMYFUNCTION("""COMPUTED_VALUE"""),"MULTIPLE REPORT")</f>
        <v>MULTIPLE REPORT</v>
      </c>
      <c r="E1052" s="84">
        <f>IFERROR(__xludf.DUMMYFUNCTION("""COMPUTED_VALUE"""),46100.57638888889)</f>
        <v>46100.57639</v>
      </c>
      <c r="F1052" s="86">
        <f>IFERROR(__xludf.DUMMYFUNCTION("""COMPUTED_VALUE"""),46100.77142640046)</f>
        <v>46100.77143</v>
      </c>
      <c r="G1052" s="86" t="str">
        <f>IFERROR(__xludf.DUMMYFUNCTION("""COMPUTED_VALUE"""),"Done")</f>
        <v>Done</v>
      </c>
      <c r="H1052" s="88">
        <f>IFERROR(__xludf.DUMMYFUNCTION("""COMPUTED_VALUE"""),0.19503751157462382)</f>
        <v>0.1950375116</v>
      </c>
      <c r="I1052" s="90" t="str">
        <f>IFERROR(__xludf.DUMMYFUNCTION("""COMPUTED_VALUE"""),"EMP0042 HULESHWAR KUMAR SAHU")</f>
        <v>EMP0042 HULESHWAR KUMAR SAHU</v>
      </c>
      <c r="J1052" s="91">
        <f t="shared" si="1"/>
        <v>0.1950375116</v>
      </c>
    </row>
    <row r="1053">
      <c r="B1053" s="76" t="str">
        <f>IFERROR(__xludf.DUMMYFUNCTION("""COMPUTED_VALUE"""),"Debuging the error (Jasper end as well as Query end) and discuss with RM about logic ")</f>
        <v>Debuging the error (Jasper end as well as Query end) and discuss with RM about logic </v>
      </c>
      <c r="C1053" s="82">
        <f>IFERROR(__xludf.DUMMYFUNCTION("""COMPUTED_VALUE"""),5015.0)</f>
        <v>5015</v>
      </c>
      <c r="D1053" s="76" t="str">
        <f>IFERROR(__xludf.DUMMYFUNCTION("""COMPUTED_VALUE"""),"ENROLLMENT REPORT")</f>
        <v>ENROLLMENT REPORT</v>
      </c>
      <c r="E1053" s="84">
        <f>IFERROR(__xludf.DUMMYFUNCTION("""COMPUTED_VALUE"""),46104.6597181713)</f>
        <v>46104.65972</v>
      </c>
      <c r="F1053" s="86">
        <f>IFERROR(__xludf.DUMMYFUNCTION("""COMPUTED_VALUE"""),46104.51040648147)</f>
        <v>46104.51041</v>
      </c>
      <c r="G1053" s="86" t="str">
        <f>IFERROR(__xludf.DUMMYFUNCTION("""COMPUTED_VALUE"""),"Done")</f>
        <v>Done</v>
      </c>
      <c r="H1053" s="88">
        <f>IFERROR(__xludf.DUMMYFUNCTION("""COMPUTED_VALUE"""),0.0)</f>
        <v>0</v>
      </c>
      <c r="I1053" s="90" t="str">
        <f>IFERROR(__xludf.DUMMYFUNCTION("""COMPUTED_VALUE"""),"EMP0021 Tamanna Dewangan")</f>
        <v>EMP0021 Tamanna Dewangan</v>
      </c>
      <c r="J1053" s="91">
        <f t="shared" si="1"/>
        <v>-0.1493116898</v>
      </c>
    </row>
    <row r="1054">
      <c r="B1054" s="76" t="str">
        <f>IFERROR(__xludf.DUMMYFUNCTION("""COMPUTED_VALUE"""),"Debuging the error (Jasper end as well as Query end) and discuss with RM about logic ")</f>
        <v>Debuging the error (Jasper end as well as Query end) and discuss with RM about logic </v>
      </c>
      <c r="C1054" s="82">
        <f>IFERROR(__xludf.DUMMYFUNCTION("""COMPUTED_VALUE"""),5016.0)</f>
        <v>5016</v>
      </c>
      <c r="D1054" s="76" t="str">
        <f>IFERROR(__xludf.DUMMYFUNCTION("""COMPUTED_VALUE"""),"NEP MISSING REPORT STEP-5(PRE-PROCESSING ERROR)")</f>
        <v>NEP MISSING REPORT STEP-5(PRE-PROCESSING ERROR)</v>
      </c>
      <c r="E1054" s="84">
        <f>IFERROR(__xludf.DUMMYFUNCTION("""COMPUTED_VALUE"""),46104.59513888889)</f>
        <v>46104.59514</v>
      </c>
      <c r="F1054" s="86">
        <f>IFERROR(__xludf.DUMMYFUNCTION("""COMPUTED_VALUE"""),46101.73623275463)</f>
        <v>46101.73623</v>
      </c>
      <c r="G1054" s="86" t="str">
        <f>IFERROR(__xludf.DUMMYFUNCTION("""COMPUTED_VALUE"""),"Done")</f>
        <v>Done</v>
      </c>
      <c r="H1054" s="88">
        <f>IFERROR(__xludf.DUMMYFUNCTION("""COMPUTED_VALUE"""),0.0)</f>
        <v>0</v>
      </c>
      <c r="I1054" s="90" t="str">
        <f>IFERROR(__xludf.DUMMYFUNCTION("""COMPUTED_VALUE"""),"EMP0237 Swarnendu Chakraborty")</f>
        <v>EMP0237 Swarnendu Chakraborty</v>
      </c>
      <c r="J1054" s="91">
        <f t="shared" si="1"/>
        <v>-2.858906134</v>
      </c>
    </row>
    <row r="1055">
      <c r="B1055" s="76" t="str">
        <f>IFERROR(__xludf.DUMMYFUNCTION("""COMPUTED_VALUE"""),"Debuging the error (Jasper end as well as Query end) and discuss with RM about logic ")</f>
        <v>Debuging the error (Jasper end as well as Query end) and discuss with RM about logic </v>
      </c>
      <c r="C1055" s="82">
        <f>IFERROR(__xludf.DUMMYFUNCTION("""COMPUTED_VALUE"""),5017.0)</f>
        <v>5017</v>
      </c>
      <c r="D1055" s="76" t="str">
        <f>IFERROR(__xludf.DUMMYFUNCTION("""COMPUTED_VALUE"""),"	CERTIFICATE")</f>
        <v>	CERTIFICATE</v>
      </c>
      <c r="E1055" s="84">
        <f>IFERROR(__xludf.DUMMYFUNCTION("""COMPUTED_VALUE"""),46104.62777777778)</f>
        <v>46104.62778</v>
      </c>
      <c r="F1055" s="86">
        <f>IFERROR(__xludf.DUMMYFUNCTION("""COMPUTED_VALUE"""),46101.77499133102)</f>
        <v>46101.77499</v>
      </c>
      <c r="G1055" s="86" t="str">
        <f>IFERROR(__xludf.DUMMYFUNCTION("""COMPUTED_VALUE"""),"Done")</f>
        <v>Done</v>
      </c>
      <c r="H1055" s="88">
        <f>IFERROR(__xludf.DUMMYFUNCTION("""COMPUTED_VALUE"""),0.0)</f>
        <v>0</v>
      </c>
      <c r="I1055" s="90" t="str">
        <f>IFERROR(__xludf.DUMMYFUNCTION("""COMPUTED_VALUE"""),"EMP0237 Swarnendu Chakraborty")</f>
        <v>EMP0237 Swarnendu Chakraborty</v>
      </c>
      <c r="J1055" s="91">
        <f t="shared" si="1"/>
        <v>-2.852786447</v>
      </c>
    </row>
    <row r="1056">
      <c r="B1056" s="76" t="str">
        <f>IFERROR(__xludf.DUMMYFUNCTION("""COMPUTED_VALUE"""),"Debuging the error (Jasper end as well as Query end) and discuss with RM about logic ")</f>
        <v>Debuging the error (Jasper end as well as Query end) and discuss with RM about logic </v>
      </c>
      <c r="C1056" s="82">
        <f>IFERROR(__xludf.DUMMYFUNCTION("""COMPUTED_VALUE"""),5018.0)</f>
        <v>5018</v>
      </c>
      <c r="D1056" s="76" t="str">
        <f>IFERROR(__xludf.DUMMYFUNCTION("""COMPUTED_VALUE"""),"CERTIFICATE")</f>
        <v>CERTIFICATE</v>
      </c>
      <c r="E1056" s="84">
        <f>IFERROR(__xludf.DUMMYFUNCTION("""COMPUTED_VALUE"""),46105.52291666667)</f>
        <v>46105.52292</v>
      </c>
      <c r="F1056" s="86">
        <f>IFERROR(__xludf.DUMMYFUNCTION("""COMPUTED_VALUE"""),46104.687520092586)</f>
        <v>46104.68752</v>
      </c>
      <c r="G1056" s="86" t="str">
        <f>IFERROR(__xludf.DUMMYFUNCTION("""COMPUTED_VALUE"""),"Done")</f>
        <v>Done</v>
      </c>
      <c r="H1056" s="88">
        <f>IFERROR(__xludf.DUMMYFUNCTION("""COMPUTED_VALUE"""),0.0)</f>
        <v>0</v>
      </c>
      <c r="I1056" s="90" t="str">
        <f>IFERROR(__xludf.DUMMYFUNCTION("""COMPUTED_VALUE"""),"EMP0042 HULESHWAR KUMAR SAHU")</f>
        <v>EMP0042 HULESHWAR KUMAR SAHU</v>
      </c>
      <c r="J1056" s="91">
        <f t="shared" si="1"/>
        <v>-0.8353965741</v>
      </c>
    </row>
    <row r="1057">
      <c r="B1057" s="76" t="str">
        <f>IFERROR(__xludf.DUMMYFUNCTION("""COMPUTED_VALUE"""),"Debuging the error (Jasper end as well as Query end) and discuss with RM about logic ")</f>
        <v>Debuging the error (Jasper end as well as Query end) and discuss with RM about logic </v>
      </c>
      <c r="C1057" s="82">
        <f>IFERROR(__xludf.DUMMYFUNCTION("""COMPUTED_VALUE"""),5019.0)</f>
        <v>5019</v>
      </c>
      <c r="D1057" s="76" t="str">
        <f>IFERROR(__xludf.DUMMYFUNCTION("""COMPUTED_VALUE"""),"MARKSHEET DMC 05 INTEREGATED 6TH SEM")</f>
        <v>MARKSHEET DMC 05 INTEREGATED 6TH SEM</v>
      </c>
      <c r="E1057" s="84">
        <f>IFERROR(__xludf.DUMMYFUNCTION("""COMPUTED_VALUE"""),46105.558333333334)</f>
        <v>46105.55833</v>
      </c>
      <c r="F1057" s="86">
        <f>IFERROR(__xludf.DUMMYFUNCTION("""COMPUTED_VALUE"""),46104.734985358795)</f>
        <v>46104.73499</v>
      </c>
      <c r="G1057" s="86" t="str">
        <f>IFERROR(__xludf.DUMMYFUNCTION("""COMPUTED_VALUE"""),"Done")</f>
        <v>Done</v>
      </c>
      <c r="H1057" s="88">
        <f>IFERROR(__xludf.DUMMYFUNCTION("""COMPUTED_VALUE"""),0.0)</f>
        <v>0</v>
      </c>
      <c r="I1057" s="90" t="str">
        <f>IFERROR(__xludf.DUMMYFUNCTION("""COMPUTED_VALUE"""),"EMP0237 Swarnendu Chakraborty")</f>
        <v>EMP0237 Swarnendu Chakraborty</v>
      </c>
      <c r="J1057" s="91">
        <f t="shared" si="1"/>
        <v>-0.8233479745</v>
      </c>
    </row>
    <row r="1058">
      <c r="B1058" s="76" t="str">
        <f>IFERROR(__xludf.DUMMYFUNCTION("""COMPUTED_VALUE"""),"Debuging the error (Jasper end as well as Query end) and discuss with RM about logic ")</f>
        <v>Debuging the error (Jasper end as well as Query end) and discuss with RM about logic </v>
      </c>
      <c r="C1058" s="82">
        <f>IFERROR(__xludf.DUMMYFUNCTION("""COMPUTED_VALUE"""),5020.0)</f>
        <v>5020</v>
      </c>
      <c r="D1058" s="76" t="str">
        <f>IFERROR(__xludf.DUMMYFUNCTION("""COMPUTED_VALUE"""),"Marksheet please upate the logo and signeture")</f>
        <v>Marksheet please upate the logo and signeture</v>
      </c>
      <c r="E1058" s="84">
        <f>IFERROR(__xludf.DUMMYFUNCTION("""COMPUTED_VALUE"""),46105.57916666666)</f>
        <v>46105.57917</v>
      </c>
      <c r="F1058" s="86">
        <f>IFERROR(__xludf.DUMMYFUNCTION("""COMPUTED_VALUE"""),46104.735006539355)</f>
        <v>46104.73501</v>
      </c>
      <c r="G1058" s="86" t="str">
        <f>IFERROR(__xludf.DUMMYFUNCTION("""COMPUTED_VALUE"""),"Done")</f>
        <v>Done</v>
      </c>
      <c r="H1058" s="88">
        <f>IFERROR(__xludf.DUMMYFUNCTION("""COMPUTED_VALUE"""),0.0)</f>
        <v>0</v>
      </c>
      <c r="I1058" s="90" t="str">
        <f>IFERROR(__xludf.DUMMYFUNCTION("""COMPUTED_VALUE"""),"EMP5009 Rup Kumar Mandal")</f>
        <v>EMP5009 Rup Kumar Mandal</v>
      </c>
      <c r="J1058" s="91">
        <f t="shared" si="1"/>
        <v>-0.8441601273</v>
      </c>
    </row>
    <row r="1059">
      <c r="B1059" s="76" t="str">
        <f>IFERROR(__xludf.DUMMYFUNCTION("""COMPUTED_VALUE"""),"Debuging the error (Jasper end as well as Query end) and discuss with RM about logic ")</f>
        <v>Debuging the error (Jasper end as well as Query end) and discuss with RM about logic </v>
      </c>
      <c r="C1059" s="82">
        <f>IFERROR(__xludf.DUMMYFUNCTION("""COMPUTED_VALUE"""),5021.0)</f>
        <v>5021</v>
      </c>
      <c r="D1059" s="76" t="str">
        <f>IFERROR(__xludf.DUMMYFUNCTION("""COMPUTED_VALUE"""),"MArksheet correction acoding to atteched file and dicsuction")</f>
        <v>MArksheet correction acoding to atteched file and dicsuction</v>
      </c>
      <c r="E1059" s="84">
        <f>IFERROR(__xludf.DUMMYFUNCTION("""COMPUTED_VALUE"""),46106.55416666667)</f>
        <v>46106.55417</v>
      </c>
      <c r="F1059" s="86">
        <f>IFERROR(__xludf.DUMMYFUNCTION("""COMPUTED_VALUE"""),46105.77848018518)</f>
        <v>46105.77848</v>
      </c>
      <c r="G1059" s="86" t="str">
        <f>IFERROR(__xludf.DUMMYFUNCTION("""COMPUTED_VALUE"""),"Done")</f>
        <v>Done</v>
      </c>
      <c r="H1059" s="88">
        <f>IFERROR(__xludf.DUMMYFUNCTION("""COMPUTED_VALUE"""),0.0)</f>
        <v>0</v>
      </c>
      <c r="I1059" s="90" t="str">
        <f>IFERROR(__xludf.DUMMYFUNCTION("""COMPUTED_VALUE"""),"EMP0237 Swarnendu Chakraborty")</f>
        <v>EMP0237 Swarnendu Chakraborty</v>
      </c>
      <c r="J1059" s="91">
        <f t="shared" si="1"/>
        <v>-0.7756864815</v>
      </c>
    </row>
    <row r="1060">
      <c r="B1060" s="76" t="str">
        <f>IFERROR(__xludf.DUMMYFUNCTION("""COMPUTED_VALUE"""),"Debuging the error (Jasper end as well as Query end) and discuss with RM about logic ")</f>
        <v>Debuging the error (Jasper end as well as Query end) and discuss with RM about logic </v>
      </c>
      <c r="C1060" s="82">
        <f>IFERROR(__xludf.DUMMYFUNCTION("""COMPUTED_VALUE"""),5022.0)</f>
        <v>5022</v>
      </c>
      <c r="D1060" s="76" t="str">
        <f>IFERROR(__xludf.DUMMYFUNCTION("""COMPUTED_VALUE"""),"TR")</f>
        <v>TR</v>
      </c>
      <c r="E1060" s="84">
        <f>IFERROR(__xludf.DUMMYFUNCTION("""COMPUTED_VALUE"""),46106.74002806713)</f>
        <v>46106.74003</v>
      </c>
      <c r="F1060" s="86">
        <f>IFERROR(__xludf.DUMMYFUNCTION("""COMPUTED_VALUE"""),46106.63626108796)</f>
        <v>46106.63626</v>
      </c>
      <c r="G1060" s="86" t="str">
        <f>IFERROR(__xludf.DUMMYFUNCTION("""COMPUTED_VALUE"""),"Done")</f>
        <v>Done</v>
      </c>
      <c r="H1060" s="88">
        <f>IFERROR(__xludf.DUMMYFUNCTION("""COMPUTED_VALUE"""),0.0)</f>
        <v>0</v>
      </c>
      <c r="I1060" s="90" t="str">
        <f>IFERROR(__xludf.DUMMYFUNCTION("""COMPUTED_VALUE"""),"EMP0042 HULESHWAR KUMAR SAHU")</f>
        <v>EMP0042 HULESHWAR KUMAR SAHU</v>
      </c>
      <c r="J1060" s="91">
        <f t="shared" si="1"/>
        <v>-0.1037669792</v>
      </c>
    </row>
    <row r="1061">
      <c r="B1061" s="76" t="str">
        <f>IFERROR(__xludf.DUMMYFUNCTION("""COMPUTED_VALUE"""),"Debuging the error (Jasper end as well as Query end) and discuss with RM about logic ")</f>
        <v>Debuging the error (Jasper end as well as Query end) and discuss with RM about logic </v>
      </c>
      <c r="C1061" s="82">
        <f>IFERROR(__xludf.DUMMYFUNCTION("""COMPUTED_VALUE"""),5023.0)</f>
        <v>5023</v>
      </c>
      <c r="D1061" s="76" t="str">
        <f>IFERROR(__xludf.DUMMYFUNCTION("""COMPUTED_VALUE"""),"Mark Is Greater Than Max mark(Step 7) First Semester ( Sem - 1) BACHELOR OF COMMERCE B.COM_SE02")</f>
        <v>Mark Is Greater Than Max mark(Step 7) First Semester ( Sem - 1) BACHELOR OF COMMERCE B.COM_SE02</v>
      </c>
      <c r="E1061" s="84">
        <f>IFERROR(__xludf.DUMMYFUNCTION("""COMPUTED_VALUE"""),46107.47222222222)</f>
        <v>46107.47222</v>
      </c>
      <c r="F1061" s="86">
        <f>IFERROR(__xludf.DUMMYFUNCTION("""COMPUTED_VALUE"""),46106.63626108796)</f>
        <v>46106.63626</v>
      </c>
      <c r="G1061" s="86" t="str">
        <f>IFERROR(__xludf.DUMMYFUNCTION("""COMPUTED_VALUE"""),"Done")</f>
        <v>Done</v>
      </c>
      <c r="H1061" s="88">
        <f>IFERROR(__xludf.DUMMYFUNCTION("""COMPUTED_VALUE"""),0.0)</f>
        <v>0</v>
      </c>
      <c r="I1061" s="90" t="str">
        <f>IFERROR(__xludf.DUMMYFUNCTION("""COMPUTED_VALUE"""),"EMP0237 Swarnendu Chakraborty")</f>
        <v>EMP0237 Swarnendu Chakraborty</v>
      </c>
      <c r="J1061" s="91">
        <f t="shared" si="1"/>
        <v>-0.8359611343</v>
      </c>
    </row>
    <row r="1062">
      <c r="B1062" s="76" t="str">
        <f>IFERROR(__xludf.DUMMYFUNCTION("""COMPUTED_VALUE"""),"Debuging the error (Jasper end as well as Query end) and discuss with RM about logic ")</f>
        <v>Debuging the error (Jasper end as well as Query end) and discuss with RM about logic </v>
      </c>
      <c r="C1062" s="82">
        <f>IFERROR(__xludf.DUMMYFUNCTION("""COMPUTED_VALUE"""),5024.0)</f>
        <v>5024</v>
      </c>
      <c r="D1062" s="76" t="str">
        <f>IFERROR(__xludf.DUMMYFUNCTION("""COMPUTED_VALUE"""),"Multiple reports ")</f>
        <v>Multiple reports </v>
      </c>
      <c r="E1062" s="84">
        <f>IFERROR(__xludf.DUMMYFUNCTION("""COMPUTED_VALUE"""),46107.476388888885)</f>
        <v>46107.47639</v>
      </c>
      <c r="F1062" s="86">
        <f>IFERROR(__xludf.DUMMYFUNCTION("""COMPUTED_VALUE"""),46106.68379711806)</f>
        <v>46106.6838</v>
      </c>
      <c r="G1062" s="86" t="str">
        <f>IFERROR(__xludf.DUMMYFUNCTION("""COMPUTED_VALUE"""),"Done")</f>
        <v>Done</v>
      </c>
      <c r="H1062" s="88">
        <f>IFERROR(__xludf.DUMMYFUNCTION("""COMPUTED_VALUE"""),0.0)</f>
        <v>0</v>
      </c>
      <c r="I1062" s="90" t="str">
        <f>IFERROR(__xludf.DUMMYFUNCTION("""COMPUTED_VALUE"""),"EMP0042 HULESHWAR KUMAR SAHU")</f>
        <v>EMP0042 HULESHWAR KUMAR SAHU</v>
      </c>
      <c r="J1062" s="91">
        <f t="shared" si="1"/>
        <v>-0.7925917708</v>
      </c>
    </row>
    <row r="1063">
      <c r="B1063" s="76" t="str">
        <f>IFERROR(__xludf.DUMMYFUNCTION("""COMPUTED_VALUE"""),"Debuging the error (Jasper end as well as Query end) and discuss with RM about logic ")</f>
        <v>Debuging the error (Jasper end as well as Query end) and discuss with RM about logic </v>
      </c>
      <c r="C1063" s="82">
        <f>IFERROR(__xludf.DUMMYFUNCTION("""COMPUTED_VALUE"""),5025.0)</f>
        <v>5025</v>
      </c>
      <c r="D1063" s="76" t="str">
        <f>IFERROR(__xludf.DUMMYFUNCTION("""COMPUTED_VALUE"""),"TR Format (Grading / Non-Grading) ")</f>
        <v>TR Format (Grading / Non-Grading) </v>
      </c>
      <c r="E1063" s="84">
        <f>IFERROR(__xludf.DUMMYFUNCTION("""COMPUTED_VALUE"""),46107.57152777778)</f>
        <v>46107.57153</v>
      </c>
      <c r="F1063" s="86">
        <f>IFERROR(__xludf.DUMMYFUNCTION("""COMPUTED_VALUE"""),46106.75637378472)</f>
        <v>46106.75637</v>
      </c>
      <c r="G1063" s="86" t="str">
        <f>IFERROR(__xludf.DUMMYFUNCTION("""COMPUTED_VALUE"""),"Done")</f>
        <v>Done</v>
      </c>
      <c r="H1063" s="88">
        <f>IFERROR(__xludf.DUMMYFUNCTION("""COMPUTED_VALUE"""),0.0)</f>
        <v>0</v>
      </c>
      <c r="I1063" s="90" t="str">
        <f>IFERROR(__xludf.DUMMYFUNCTION("""COMPUTED_VALUE"""),"EMP5009 Rup Kumar Mandal")</f>
        <v>EMP5009 Rup Kumar Mandal</v>
      </c>
      <c r="J1063" s="91">
        <f t="shared" si="1"/>
        <v>-0.8151539931</v>
      </c>
    </row>
    <row r="1064">
      <c r="B1064" s="76" t="str">
        <f>IFERROR(__xludf.DUMMYFUNCTION("""COMPUTED_VALUE"""),"Debuging the error (Jasper end as well as Query end) and discuss with RM about logic ")</f>
        <v>Debuging the error (Jasper end as well as Query end) and discuss with RM about logic </v>
      </c>
      <c r="C1064" s="82">
        <f>IFERROR(__xludf.DUMMYFUNCTION("""COMPUTED_VALUE"""),5026.0)</f>
        <v>5026</v>
      </c>
      <c r="D1064" s="76" t="str">
        <f>IFERROR(__xludf.DUMMYFUNCTION("""COMPUTED_VALUE"""),"	Grade Card NEP (PG) ")</f>
        <v>	Grade Card NEP (PG) </v>
      </c>
      <c r="E1064" s="84">
        <f>IFERROR(__xludf.DUMMYFUNCTION("""COMPUTED_VALUE"""),46107.57916666666)</f>
        <v>46107.57917</v>
      </c>
      <c r="F1064" s="86">
        <f>IFERROR(__xludf.DUMMYFUNCTION("""COMPUTED_VALUE"""),46106.75638695602)</f>
        <v>46106.75639</v>
      </c>
      <c r="G1064" s="86" t="str">
        <f>IFERROR(__xludf.DUMMYFUNCTION("""COMPUTED_VALUE"""),"Done")</f>
        <v>Done</v>
      </c>
      <c r="H1064" s="88">
        <f>IFERROR(__xludf.DUMMYFUNCTION("""COMPUTED_VALUE"""),0.0)</f>
        <v>0</v>
      </c>
      <c r="I1064" s="90" t="str">
        <f>IFERROR(__xludf.DUMMYFUNCTION("""COMPUTED_VALUE"""),"EMP5009 Rup Kumar Mandal")</f>
        <v>EMP5009 Rup Kumar Mandal</v>
      </c>
      <c r="J1064" s="91">
        <f t="shared" si="1"/>
        <v>-0.8227797106</v>
      </c>
    </row>
    <row r="1065">
      <c r="B1065" s="76" t="str">
        <f>IFERROR(__xludf.DUMMYFUNCTION("""COMPUTED_VALUE"""),"Debuging the error (Jasper end as well as Query end) and discuss with RM about logic ")</f>
        <v>Debuging the error (Jasper end as well as Query end) and discuss with RM about logic </v>
      </c>
      <c r="C1065" s="82">
        <f>IFERROR(__xludf.DUMMYFUNCTION("""COMPUTED_VALUE"""),5027.0)</f>
        <v>5027</v>
      </c>
      <c r="D1065" s="76" t="str">
        <f>IFERROR(__xludf.DUMMYFUNCTION("""COMPUTED_VALUE"""),"Result Recomendation")</f>
        <v>Result Recomendation</v>
      </c>
      <c r="E1065" s="84">
        <f>IFERROR(__xludf.DUMMYFUNCTION("""COMPUTED_VALUE"""),46107.75896859953)</f>
        <v>46107.75897</v>
      </c>
      <c r="F1065" s="86">
        <f>IFERROR(__xludf.DUMMYFUNCTION("""COMPUTED_VALUE"""),46107.584436122685)</f>
        <v>46107.58444</v>
      </c>
      <c r="G1065" s="86" t="str">
        <f>IFERROR(__xludf.DUMMYFUNCTION("""COMPUTED_VALUE"""),"Done")</f>
        <v>Done</v>
      </c>
      <c r="H1065" s="88">
        <f>IFERROR(__xludf.DUMMYFUNCTION("""COMPUTED_VALUE"""),0.0)</f>
        <v>0</v>
      </c>
      <c r="I1065" s="90" t="str">
        <f>IFERROR(__xludf.DUMMYFUNCTION("""COMPUTED_VALUE"""),"EMP0042 HULESHWAR KUMAR SAHU")</f>
        <v>EMP0042 HULESHWAR KUMAR SAHU</v>
      </c>
      <c r="J1065" s="91">
        <f t="shared" si="1"/>
        <v>-0.1745324768</v>
      </c>
    </row>
    <row r="1066">
      <c r="B1066" s="76" t="str">
        <f>IFERROR(__xludf.DUMMYFUNCTION("""COMPUTED_VALUE"""),"Debuging the error (Jasper end as well as Query end) and discuss with RM about logic ")</f>
        <v>Debuging the error (Jasper end as well as Query end) and discuss with RM about logic </v>
      </c>
      <c r="C1066" s="82">
        <f>IFERROR(__xludf.DUMMYFUNCTION("""COMPUTED_VALUE"""),5028.0)</f>
        <v>5028</v>
      </c>
      <c r="D1066" s="76" t="str">
        <f>IFERROR(__xludf.DUMMYFUNCTION("""COMPUTED_VALUE"""),"ENROLLMENT REPORT")</f>
        <v>ENROLLMENT REPORT</v>
      </c>
      <c r="E1066" s="84">
        <f>IFERROR(__xludf.DUMMYFUNCTION("""COMPUTED_VALUE"""),46107.78229045139)</f>
        <v>46107.78229</v>
      </c>
      <c r="F1066" s="86">
        <f>IFERROR(__xludf.DUMMYFUNCTION("""COMPUTED_VALUE"""),46107.58445167824)</f>
        <v>46107.58445</v>
      </c>
      <c r="G1066" s="86" t="str">
        <f>IFERROR(__xludf.DUMMYFUNCTION("""COMPUTED_VALUE"""),"Done")</f>
        <v>Done</v>
      </c>
      <c r="H1066" s="88">
        <f>IFERROR(__xludf.DUMMYFUNCTION("""COMPUTED_VALUE"""),0.0)</f>
        <v>0</v>
      </c>
      <c r="I1066" s="90" t="str">
        <f>IFERROR(__xludf.DUMMYFUNCTION("""COMPUTED_VALUE"""),"EMP5009 Rup Kumar Mandal")</f>
        <v>EMP5009 Rup Kumar Mandal</v>
      </c>
      <c r="J1066" s="91">
        <f t="shared" si="1"/>
        <v>-0.1978387732</v>
      </c>
    </row>
    <row r="1067">
      <c r="B1067" s="76" t="str">
        <f>IFERROR(__xludf.DUMMYFUNCTION("""COMPUTED_VALUE"""),"Debuging the error (Jasper end as well as Query end) and discuss with RM about logic ")</f>
        <v>Debuging the error (Jasper end as well as Query end) and discuss with RM about logic </v>
      </c>
      <c r="C1067" s="82">
        <f>IFERROR(__xludf.DUMMYFUNCTION("""COMPUTED_VALUE"""),5029.0)</f>
        <v>5029</v>
      </c>
      <c r="D1067" s="76" t="str">
        <f>IFERROR(__xludf.DUMMYFUNCTION("""COMPUTED_VALUE"""),"ENROLLMENT REPORT")</f>
        <v>ENROLLMENT REPORT</v>
      </c>
      <c r="E1067" s="84">
        <f>IFERROR(__xludf.DUMMYFUNCTION("""COMPUTED_VALUE"""),46107.78703659723)</f>
        <v>46107.78704</v>
      </c>
      <c r="F1067" s="86">
        <f>IFERROR(__xludf.DUMMYFUNCTION("""COMPUTED_VALUE"""),46107.58446777778)</f>
        <v>46107.58447</v>
      </c>
      <c r="G1067" s="86" t="str">
        <f>IFERROR(__xludf.DUMMYFUNCTION("""COMPUTED_VALUE"""),"Done")</f>
        <v>Done</v>
      </c>
      <c r="H1067" s="88">
        <f>IFERROR(__xludf.DUMMYFUNCTION("""COMPUTED_VALUE"""),0.0)</f>
        <v>0</v>
      </c>
      <c r="I1067" s="90" t="str">
        <f>IFERROR(__xludf.DUMMYFUNCTION("""COMPUTED_VALUE"""),"EMP5009 Rup Kumar Mandal")</f>
        <v>EMP5009 Rup Kumar Mandal</v>
      </c>
      <c r="J1067" s="91">
        <f t="shared" si="1"/>
        <v>-0.2025688194</v>
      </c>
    </row>
    <row r="1068">
      <c r="B1068" s="76" t="str">
        <f>IFERROR(__xludf.DUMMYFUNCTION("""COMPUTED_VALUE"""),"Debuging the error (Jasper end as well as Query end) and discuss with RM about logic ")</f>
        <v>Debuging the error (Jasper end as well as Query end) and discuss with RM about logic </v>
      </c>
      <c r="C1068" s="82">
        <f>IFERROR(__xludf.DUMMYFUNCTION("""COMPUTED_VALUE"""),5030.0)</f>
        <v>5030</v>
      </c>
      <c r="D1068" s="76" t="str">
        <f>IFERROR(__xludf.DUMMYFUNCTION("""COMPUTED_VALUE"""),"The course name should be taken from the main header in all result reports.")</f>
        <v>The course name should be taken from the main header in all result reports.</v>
      </c>
      <c r="E1068" s="84">
        <f>IFERROR(__xludf.DUMMYFUNCTION("""COMPUTED_VALUE"""),46107.810280034726)</f>
        <v>46107.81028</v>
      </c>
      <c r="F1068" s="86">
        <f>IFERROR(__xludf.DUMMYFUNCTION("""COMPUTED_VALUE"""),46107.584483101855)</f>
        <v>46107.58448</v>
      </c>
      <c r="G1068" s="86" t="str">
        <f>IFERROR(__xludf.DUMMYFUNCTION("""COMPUTED_VALUE"""),"Done")</f>
        <v>Done</v>
      </c>
      <c r="H1068" s="88">
        <f>IFERROR(__xludf.DUMMYFUNCTION("""COMPUTED_VALUE"""),0.0)</f>
        <v>0</v>
      </c>
      <c r="I1068" s="90" t="str">
        <f>IFERROR(__xludf.DUMMYFUNCTION("""COMPUTED_VALUE"""),"EMP0237 Swarnendu Chakraborty")</f>
        <v>EMP0237 Swarnendu Chakraborty</v>
      </c>
      <c r="J1068" s="91">
        <f t="shared" si="1"/>
        <v>-0.2257969329</v>
      </c>
    </row>
    <row r="1069">
      <c r="B1069" s="76" t="str">
        <f>IFERROR(__xludf.DUMMYFUNCTION("""COMPUTED_VALUE"""),"Debuging the error (Jasper end as well as Query end) and discuss with RM about logic ")</f>
        <v>Debuging the error (Jasper end as well as Query end) and discuss with RM about logic </v>
      </c>
      <c r="C1069" s="82">
        <f>IFERROR(__xludf.DUMMYFUNCTION("""COMPUTED_VALUE"""),5031.0)</f>
        <v>5031</v>
      </c>
      <c r="D1069" s="76" t="str">
        <f>IFERROR(__xludf.DUMMYFUNCTION("""COMPUTED_VALUE"""),"STUDENTS REGISTRATION COUNT")</f>
        <v>STUDENTS REGISTRATION COUNT</v>
      </c>
      <c r="E1069" s="84">
        <f>IFERROR(__xludf.DUMMYFUNCTION("""COMPUTED_VALUE"""),46108.45138888889)</f>
        <v>46108.45139</v>
      </c>
      <c r="F1069" s="86">
        <f>IFERROR(__xludf.DUMMYFUNCTION("""COMPUTED_VALUE"""),46107.58450309028)</f>
        <v>46107.5845</v>
      </c>
      <c r="G1069" s="86" t="str">
        <f>IFERROR(__xludf.DUMMYFUNCTION("""COMPUTED_VALUE"""),"Done")</f>
        <v>Done</v>
      </c>
      <c r="H1069" s="88">
        <f>IFERROR(__xludf.DUMMYFUNCTION("""COMPUTED_VALUE"""),0.0)</f>
        <v>0</v>
      </c>
      <c r="I1069" s="90" t="str">
        <f>IFERROR(__xludf.DUMMYFUNCTION("""COMPUTED_VALUE"""),"EMP0237 Swarnendu Chakraborty")</f>
        <v>EMP0237 Swarnendu Chakraborty</v>
      </c>
      <c r="J1069" s="91">
        <f t="shared" si="1"/>
        <v>-0.8668857986</v>
      </c>
    </row>
    <row r="1070">
      <c r="B1070" s="76" t="str">
        <f>IFERROR(__xludf.DUMMYFUNCTION("""COMPUTED_VALUE"""),"Debuging the error (Jasper end as well as Query end) and discuss with RM about logic ")</f>
        <v>Debuging the error (Jasper end as well as Query end) and discuss with RM about logic </v>
      </c>
      <c r="C1070" s="82">
        <f>IFERROR(__xludf.DUMMYFUNCTION("""COMPUTED_VALUE"""),5032.0)</f>
        <v>5032</v>
      </c>
      <c r="D1070" s="76" t="str">
        <f>IFERROR(__xludf.DUMMYFUNCTION("""COMPUTED_VALUE"""),"TR")</f>
        <v>TR</v>
      </c>
      <c r="E1070" s="84">
        <f>IFERROR(__xludf.DUMMYFUNCTION("""COMPUTED_VALUE"""),46108.812326307874)</f>
        <v>46108.81233</v>
      </c>
      <c r="F1070" s="86">
        <f>IFERROR(__xludf.DUMMYFUNCTION("""COMPUTED_VALUE"""),46108.584386574075)</f>
        <v>46108.58439</v>
      </c>
      <c r="G1070" s="86" t="str">
        <f>IFERROR(__xludf.DUMMYFUNCTION("""COMPUTED_VALUE"""),"Done")</f>
        <v>Done</v>
      </c>
      <c r="H1070" s="88">
        <f>IFERROR(__xludf.DUMMYFUNCTION("""COMPUTED_VALUE"""),0.0)</f>
        <v>0</v>
      </c>
      <c r="I1070" s="90" t="str">
        <f>IFERROR(__xludf.DUMMYFUNCTION("""COMPUTED_VALUE"""),"EMP0042 HULESHWAR KUMAR SAHU")</f>
        <v>EMP0042 HULESHWAR KUMAR SAHU</v>
      </c>
      <c r="J1070" s="91">
        <f t="shared" si="1"/>
        <v>-0.2279397338</v>
      </c>
    </row>
    <row r="1071">
      <c r="B1071" s="76" t="str">
        <f>IFERROR(__xludf.DUMMYFUNCTION("""COMPUTED_VALUE"""),"Debuging the error (Jasper end as well as Query end) and discuss with RM about logic ")</f>
        <v>Debuging the error (Jasper end as well as Query end) and discuss with RM about logic </v>
      </c>
      <c r="C1071" s="82">
        <f>IFERROR(__xludf.DUMMYFUNCTION("""COMPUTED_VALUE"""),5033.0)</f>
        <v>5033</v>
      </c>
      <c r="D1071" s="76" t="str">
        <f>IFERROR(__xludf.DUMMYFUNCTION("""COMPUTED_VALUE"""),"NEP TR ")</f>
        <v>NEP TR </v>
      </c>
      <c r="E1071" s="84">
        <f>IFERROR(__xludf.DUMMYFUNCTION("""COMPUTED_VALUE"""),46109.53472222222)</f>
        <v>46109.53472</v>
      </c>
      <c r="F1071" s="86">
        <f>IFERROR(__xludf.DUMMYFUNCTION("""COMPUTED_VALUE"""),46108.78992048611)</f>
        <v>46108.78992</v>
      </c>
      <c r="G1071" s="86" t="str">
        <f>IFERROR(__xludf.DUMMYFUNCTION("""COMPUTED_VALUE"""),"Done")</f>
        <v>Done</v>
      </c>
      <c r="H1071" s="88">
        <f>IFERROR(__xludf.DUMMYFUNCTION("""COMPUTED_VALUE"""),0.0)</f>
        <v>0</v>
      </c>
      <c r="I1071" s="90" t="str">
        <f>IFERROR(__xludf.DUMMYFUNCTION("""COMPUTED_VALUE"""),"EMP0042 HULESHWAR KUMAR SAHU")</f>
        <v>EMP0042 HULESHWAR KUMAR SAHU</v>
      </c>
      <c r="J1071" s="91">
        <f t="shared" si="1"/>
        <v>-0.7448017361</v>
      </c>
    </row>
    <row r="1072">
      <c r="B1072" s="76" t="str">
        <f>IFERROR(__xludf.DUMMYFUNCTION("""COMPUTED_VALUE"""),"Debuging the error (Jasper end as well as Query end) and discuss with RM about logic ")</f>
        <v>Debuging the error (Jasper end as well as Query end) and discuss with RM about logic </v>
      </c>
      <c r="C1072" s="82">
        <f>IFERROR(__xludf.DUMMYFUNCTION("""COMPUTED_VALUE"""),5034.0)</f>
        <v>5034</v>
      </c>
      <c r="D1072" s="76" t="str">
        <f>IFERROR(__xludf.DUMMYFUNCTION("""COMPUTED_VALUE"""),"PRE PROCESS ERROR STEP-7")</f>
        <v>PRE PROCESS ERROR STEP-7</v>
      </c>
      <c r="E1072" s="84">
        <f>IFERROR(__xludf.DUMMYFUNCTION("""COMPUTED_VALUE"""),46109.56597222222)</f>
        <v>46109.56597</v>
      </c>
      <c r="F1072" s="86">
        <f>IFERROR(__xludf.DUMMYFUNCTION("""COMPUTED_VALUE"""),46108.790072812495)</f>
        <v>46108.79007</v>
      </c>
      <c r="G1072" s="86" t="str">
        <f>IFERROR(__xludf.DUMMYFUNCTION("""COMPUTED_VALUE"""),"Done")</f>
        <v>Done</v>
      </c>
      <c r="H1072" s="88">
        <f>IFERROR(__xludf.DUMMYFUNCTION("""COMPUTED_VALUE"""),0.0)</f>
        <v>0</v>
      </c>
      <c r="I1072" s="90" t="str">
        <f>IFERROR(__xludf.DUMMYFUNCTION("""COMPUTED_VALUE"""),"EMP0237 Swarnendu Chakraborty")</f>
        <v>EMP0237 Swarnendu Chakraborty</v>
      </c>
      <c r="J1072" s="91">
        <f t="shared" si="1"/>
        <v>-0.7758994097</v>
      </c>
    </row>
    <row r="1073">
      <c r="B1073" s="76" t="str">
        <f>IFERROR(__xludf.DUMMYFUNCTION("""COMPUTED_VALUE"""),"Debuging the error (Jasper end as well as Query end) and discuss with RM about logic ")</f>
        <v>Debuging the error (Jasper end as well as Query end) and discuss with RM about logic </v>
      </c>
      <c r="C1073" s="82">
        <f>IFERROR(__xludf.DUMMYFUNCTION("""COMPUTED_VALUE"""),5035.0)</f>
        <v>5035</v>
      </c>
      <c r="D1073" s="76" t="str">
        <f>IFERROR(__xludf.DUMMYFUNCTION("""COMPUTED_VALUE"""),"NEP ENROLLMENT/REGISTRATION REPORT")</f>
        <v>NEP ENROLLMENT/REGISTRATION REPORT</v>
      </c>
      <c r="E1073" s="84">
        <f>IFERROR(__xludf.DUMMYFUNCTION("""COMPUTED_VALUE"""),46109.75377959491)</f>
        <v>46109.75378</v>
      </c>
      <c r="F1073" s="86">
        <f>IFERROR(__xludf.DUMMYFUNCTION("""COMPUTED_VALUE"""),46109.62214047454)</f>
        <v>46109.62214</v>
      </c>
      <c r="G1073" s="86" t="str">
        <f>IFERROR(__xludf.DUMMYFUNCTION("""COMPUTED_VALUE"""),"Done")</f>
        <v>Done</v>
      </c>
      <c r="H1073" s="88">
        <f>IFERROR(__xludf.DUMMYFUNCTION("""COMPUTED_VALUE"""),0.0)</f>
        <v>0</v>
      </c>
      <c r="I1073" s="90" t="str">
        <f>IFERROR(__xludf.DUMMYFUNCTION("""COMPUTED_VALUE"""),"EMP0042 HULESHWAR KUMAR SAHU")</f>
        <v>EMP0042 HULESHWAR KUMAR SAHU</v>
      </c>
      <c r="J1073" s="91">
        <f t="shared" si="1"/>
        <v>-0.1316391204</v>
      </c>
    </row>
    <row r="1074">
      <c r="B1074" s="76" t="str">
        <f>IFERROR(__xludf.DUMMYFUNCTION("""COMPUTED_VALUE"""),"Debuging the error (Jasper end as well as Query end) and discuss with RM about logic ")</f>
        <v>Debuging the error (Jasper end as well as Query end) and discuss with RM about logic </v>
      </c>
      <c r="C1074" s="82">
        <f>IFERROR(__xludf.DUMMYFUNCTION("""COMPUTED_VALUE"""),5036.0)</f>
        <v>5036</v>
      </c>
      <c r="D1074" s="76" t="str">
        <f>IFERROR(__xludf.DUMMYFUNCTION("""COMPUTED_VALUE"""),"MUTIPLE REPORT")</f>
        <v>MUTIPLE REPORT</v>
      </c>
      <c r="E1074" s="84">
        <f>IFERROR(__xludf.DUMMYFUNCTION("""COMPUTED_VALUE"""),46109.77871115741)</f>
        <v>46109.77871</v>
      </c>
      <c r="F1074" s="86">
        <f>IFERROR(__xludf.DUMMYFUNCTION("""COMPUTED_VALUE"""),46109.62215575232)</f>
        <v>46109.62216</v>
      </c>
      <c r="G1074" s="86" t="str">
        <f>IFERROR(__xludf.DUMMYFUNCTION("""COMPUTED_VALUE"""),"Done")</f>
        <v>Done</v>
      </c>
      <c r="H1074" s="88">
        <f>IFERROR(__xludf.DUMMYFUNCTION("""COMPUTED_VALUE"""),0.0)</f>
        <v>0</v>
      </c>
      <c r="I1074" s="90" t="str">
        <f>IFERROR(__xludf.DUMMYFUNCTION("""COMPUTED_VALUE"""),"EMP0042 HULESHWAR KUMAR SAHU")</f>
        <v>EMP0042 HULESHWAR KUMAR SAHU</v>
      </c>
      <c r="J1074" s="91">
        <f t="shared" si="1"/>
        <v>-0.1565554051</v>
      </c>
    </row>
    <row r="1075">
      <c r="B1075" s="76" t="str">
        <f>IFERROR(__xludf.DUMMYFUNCTION("""COMPUTED_VALUE"""),"Debuging the error (Jasper end as well as Query end) and discuss with RM about logic ")</f>
        <v>Debuging the error (Jasper end as well as Query end) and discuss with RM about logic </v>
      </c>
      <c r="C1075" s="82">
        <f>IFERROR(__xludf.DUMMYFUNCTION("""COMPUTED_VALUE"""),5037.0)</f>
        <v>5037</v>
      </c>
      <c r="D1075" s="76" t="str">
        <f>IFERROR(__xludf.DUMMYFUNCTION("""COMPUTED_VALUE"""),"NEP M.A political1ST SEM TR ")</f>
        <v>NEP M.A political1ST SEM TR </v>
      </c>
      <c r="E1075" s="84">
        <f>IFERROR(__xludf.DUMMYFUNCTION("""COMPUTED_VALUE"""),46109.79800628472)</f>
        <v>46109.79801</v>
      </c>
      <c r="F1075" s="86">
        <f>IFERROR(__xludf.DUMMYFUNCTION("""COMPUTED_VALUE"""),46109.622175543984)</f>
        <v>46109.62218</v>
      </c>
      <c r="G1075" s="86" t="str">
        <f>IFERROR(__xludf.DUMMYFUNCTION("""COMPUTED_VALUE"""),"Done")</f>
        <v>Done</v>
      </c>
      <c r="H1075" s="88">
        <f>IFERROR(__xludf.DUMMYFUNCTION("""COMPUTED_VALUE"""),0.0)</f>
        <v>0</v>
      </c>
      <c r="I1075" s="90" t="str">
        <f>IFERROR(__xludf.DUMMYFUNCTION("""COMPUTED_VALUE"""),"EMP0042 HULESHWAR KUMAR SAHU")</f>
        <v>EMP0042 HULESHWAR KUMAR SAHU</v>
      </c>
      <c r="J1075" s="91">
        <f t="shared" si="1"/>
        <v>-0.1758307407</v>
      </c>
    </row>
    <row r="1076">
      <c r="B1076" s="76" t="str">
        <f>IFERROR(__xludf.DUMMYFUNCTION("""COMPUTED_VALUE"""),"Debuging the error (Jasper end as well as Query end) and discuss with RM about logic ")</f>
        <v>Debuging the error (Jasper end as well as Query end) and discuss with RM about logic </v>
      </c>
      <c r="C1076" s="82">
        <f>IFERROR(__xludf.DUMMYFUNCTION("""COMPUTED_VALUE"""),5038.0)</f>
        <v>5038</v>
      </c>
      <c r="D1076" s="76" t="str">
        <f>IFERROR(__xludf.DUMMYFUNCTION("""COMPUTED_VALUE"""),"NEP SCHEMA REPORT")</f>
        <v>NEP SCHEMA REPORT</v>
      </c>
      <c r="E1076" s="84">
        <f>IFERROR(__xludf.DUMMYFUNCTION("""COMPUTED_VALUE"""),46109.81498430555)</f>
        <v>46109.81498</v>
      </c>
      <c r="F1076" s="86">
        <f>IFERROR(__xludf.DUMMYFUNCTION("""COMPUTED_VALUE"""),46109.622199074074)</f>
        <v>46109.6222</v>
      </c>
      <c r="G1076" s="86" t="str">
        <f>IFERROR(__xludf.DUMMYFUNCTION("""COMPUTED_VALUE"""),"Done")</f>
        <v>Done</v>
      </c>
      <c r="H1076" s="88">
        <f>IFERROR(__xludf.DUMMYFUNCTION("""COMPUTED_VALUE"""),0.0)</f>
        <v>0</v>
      </c>
      <c r="I1076" s="90" t="str">
        <f>IFERROR(__xludf.DUMMYFUNCTION("""COMPUTED_VALUE"""),"EMP0042 HULESHWAR KUMAR SAHU")</f>
        <v>EMP0042 HULESHWAR KUMAR SAHU</v>
      </c>
      <c r="J1076" s="91">
        <f t="shared" si="1"/>
        <v>-0.1927852315</v>
      </c>
    </row>
    <row r="1077">
      <c r="B1077" s="76" t="str">
        <f>IFERROR(__xludf.DUMMYFUNCTION("""COMPUTED_VALUE"""),"Debuging the error (Jasper end as well as Query end) and discuss with RM about logic ")</f>
        <v>Debuging the error (Jasper end as well as Query end) and discuss with RM about logic </v>
      </c>
      <c r="C1077" s="82">
        <f>IFERROR(__xludf.DUMMYFUNCTION("""COMPUTED_VALUE"""),5039.0)</f>
        <v>5039</v>
      </c>
      <c r="D1077" s="76" t="str">
        <f>IFERROR(__xludf.DUMMYFUNCTION("""COMPUTED_VALUE"""),"NEP TR REPORT")</f>
        <v>NEP TR REPORT</v>
      </c>
      <c r="E1077" s="84">
        <f>IFERROR(__xludf.DUMMYFUNCTION("""COMPUTED_VALUE"""),46109.81992105323)</f>
        <v>46109.81992</v>
      </c>
      <c r="F1077" s="86">
        <f>IFERROR(__xludf.DUMMYFUNCTION("""COMPUTED_VALUE"""),46109.62222194444)</f>
        <v>46109.62222</v>
      </c>
      <c r="G1077" s="86" t="str">
        <f>IFERROR(__xludf.DUMMYFUNCTION("""COMPUTED_VALUE"""),"Done")</f>
        <v>Done</v>
      </c>
      <c r="H1077" s="88">
        <f>IFERROR(__xludf.DUMMYFUNCTION("""COMPUTED_VALUE"""),0.0)</f>
        <v>0</v>
      </c>
      <c r="I1077" s="90" t="str">
        <f>IFERROR(__xludf.DUMMYFUNCTION("""COMPUTED_VALUE"""),"EMP0042 HULESHWAR KUMAR SAHU")</f>
        <v>EMP0042 HULESHWAR KUMAR SAHU</v>
      </c>
      <c r="J1077" s="91">
        <f t="shared" si="1"/>
        <v>-0.1976991088</v>
      </c>
    </row>
    <row r="1078">
      <c r="B1078" s="76" t="str">
        <f>IFERROR(__xludf.DUMMYFUNCTION("""COMPUTED_VALUE"""),"Debuging the error (Jasper end as well as Query end) and discuss with RM about logic ")</f>
        <v>Debuging the error (Jasper end as well as Query end) and discuss with RM about logic </v>
      </c>
      <c r="C1078" s="82">
        <f>IFERROR(__xludf.DUMMYFUNCTION("""COMPUTED_VALUE"""),5040.0)</f>
        <v>5040</v>
      </c>
      <c r="D1078" s="76" t="str">
        <f>IFERROR(__xludf.DUMMYFUNCTION("""COMPUTED_VALUE"""),"Correction in Calculation MD Anatomy,3rd year")</f>
        <v>Correction in Calculation MD Anatomy,3rd year</v>
      </c>
      <c r="E1078" s="84">
        <f>IFERROR(__xludf.DUMMYFUNCTION("""COMPUTED_VALUE"""),46111.6122456713)</f>
        <v>46111.61225</v>
      </c>
      <c r="F1078" s="86">
        <f>IFERROR(__xludf.DUMMYFUNCTION("""COMPUTED_VALUE"""),46109.67676289352)</f>
        <v>46109.67676</v>
      </c>
      <c r="G1078" s="86" t="str">
        <f>IFERROR(__xludf.DUMMYFUNCTION("""COMPUTED_VALUE"""),"Done")</f>
        <v>Done</v>
      </c>
      <c r="H1078" s="88">
        <f>IFERROR(__xludf.DUMMYFUNCTION("""COMPUTED_VALUE"""),0.0)</f>
        <v>0</v>
      </c>
      <c r="I1078" s="90" t="str">
        <f>IFERROR(__xludf.DUMMYFUNCTION("""COMPUTED_VALUE"""),"EMP0042 HULESHWAR KUMAR SAHU")</f>
        <v>EMP0042 HULESHWAR KUMAR SAHU</v>
      </c>
      <c r="J1078" s="91">
        <f t="shared" si="1"/>
        <v>-1.935482778</v>
      </c>
    </row>
    <row r="1079">
      <c r="B1079" s="76" t="str">
        <f>IFERROR(__xludf.DUMMYFUNCTION("""COMPUTED_VALUE"""),"Debuging the error (Jasper end as well as Query end) and discuss with RM about logic ")</f>
        <v>Debuging the error (Jasper end as well as Query end) and discuss with RM about logic </v>
      </c>
      <c r="C1079" s="82">
        <f>IFERROR(__xludf.DUMMYFUNCTION("""COMPUTED_VALUE"""),5041.0)</f>
        <v>5041</v>
      </c>
      <c r="D1079" s="76" t="str">
        <f>IFERROR(__xludf.DUMMYFUNCTION("""COMPUTED_VALUE"""),"result commetee")</f>
        <v>result commetee</v>
      </c>
      <c r="E1079" s="84">
        <f>IFERROR(__xludf.DUMMYFUNCTION("""COMPUTED_VALUE"""),46111.61294839121)</f>
        <v>46111.61295</v>
      </c>
      <c r="F1079" s="86">
        <f>IFERROR(__xludf.DUMMYFUNCTION("""COMPUTED_VALUE"""),46109.676777789355)</f>
        <v>46109.67678</v>
      </c>
      <c r="G1079" s="86" t="str">
        <f>IFERROR(__xludf.DUMMYFUNCTION("""COMPUTED_VALUE"""),"Done")</f>
        <v>Done</v>
      </c>
      <c r="H1079" s="88">
        <f>IFERROR(__xludf.DUMMYFUNCTION("""COMPUTED_VALUE"""),0.0)</f>
        <v>0</v>
      </c>
      <c r="I1079" s="90" t="str">
        <f>IFERROR(__xludf.DUMMYFUNCTION("""COMPUTED_VALUE"""),"EMP0042 HULESHWAR KUMAR SAHU")</f>
        <v>EMP0042 HULESHWAR KUMAR SAHU</v>
      </c>
      <c r="J1079" s="91">
        <f t="shared" si="1"/>
        <v>-1.936170602</v>
      </c>
    </row>
    <row r="1080">
      <c r="B1080" s="76" t="str">
        <f>IFERROR(__xludf.DUMMYFUNCTION("""COMPUTED_VALUE"""),"Debuging the error (Jasper end as well as Query end) and discuss with RM about logic ")</f>
        <v>Debuging the error (Jasper end as well as Query end) and discuss with RM about logic </v>
      </c>
      <c r="C1080" s="82">
        <f>IFERROR(__xludf.DUMMYFUNCTION("""COMPUTED_VALUE"""),5042.0)</f>
        <v>5042</v>
      </c>
      <c r="D1080" s="76" t="str">
        <f>IFERROR(__xludf.DUMMYFUNCTION("""COMPUTED_VALUE"""),"Correction in Calculation MD Physiology ,3rd year")</f>
        <v>Correction in Calculation MD Physiology ,3rd year</v>
      </c>
      <c r="E1080" s="84">
        <f>IFERROR(__xludf.DUMMYFUNCTION("""COMPUTED_VALUE"""),46111.6140321875)</f>
        <v>46111.61403</v>
      </c>
      <c r="F1080" s="86">
        <f>IFERROR(__xludf.DUMMYFUNCTION("""COMPUTED_VALUE"""),46109.67679510417)</f>
        <v>46109.6768</v>
      </c>
      <c r="G1080" s="86" t="str">
        <f>IFERROR(__xludf.DUMMYFUNCTION("""COMPUTED_VALUE"""),"Done")</f>
        <v>Done</v>
      </c>
      <c r="H1080" s="88">
        <f>IFERROR(__xludf.DUMMYFUNCTION("""COMPUTED_VALUE"""),0.0)</f>
        <v>0</v>
      </c>
      <c r="I1080" s="90" t="str">
        <f>IFERROR(__xludf.DUMMYFUNCTION("""COMPUTED_VALUE"""),"EMP0042 HULESHWAR KUMAR SAHU")</f>
        <v>EMP0042 HULESHWAR KUMAR SAHU</v>
      </c>
      <c r="J1080" s="91">
        <f t="shared" si="1"/>
        <v>-1.937237083</v>
      </c>
    </row>
    <row r="1081">
      <c r="B1081" s="76" t="str">
        <f>IFERROR(__xludf.DUMMYFUNCTION("""COMPUTED_VALUE"""),"Debuging the error (Jasper end as well as Query end) and discuss with RM about logic ")</f>
        <v>Debuging the error (Jasper end as well as Query end) and discuss with RM about logic </v>
      </c>
      <c r="C1081" s="82">
        <f>IFERROR(__xludf.DUMMYFUNCTION("""COMPUTED_VALUE"""),5043.0)</f>
        <v>5043</v>
      </c>
      <c r="D1081" s="76" t="str">
        <f>IFERROR(__xludf.DUMMYFUNCTION("""COMPUTED_VALUE"""),"TR ")</f>
        <v>TR </v>
      </c>
      <c r="E1081" s="84">
        <f>IFERROR(__xludf.DUMMYFUNCTION("""COMPUTED_VALUE"""),46111.617522175926)</f>
        <v>46111.61752</v>
      </c>
      <c r="F1081" s="86">
        <f>IFERROR(__xludf.DUMMYFUNCTION("""COMPUTED_VALUE"""),46109.67681326389)</f>
        <v>46109.67681</v>
      </c>
      <c r="G1081" s="86" t="str">
        <f>IFERROR(__xludf.DUMMYFUNCTION("""COMPUTED_VALUE"""),"Done")</f>
        <v>Done</v>
      </c>
      <c r="H1081" s="88">
        <f>IFERROR(__xludf.DUMMYFUNCTION("""COMPUTED_VALUE"""),0.0)</f>
        <v>0</v>
      </c>
      <c r="I1081" s="90" t="str">
        <f>IFERROR(__xludf.DUMMYFUNCTION("""COMPUTED_VALUE"""),"EMP0042 HULESHWAR KUMAR SAHU")</f>
        <v>EMP0042 HULESHWAR KUMAR SAHU</v>
      </c>
      <c r="J1081" s="91">
        <f t="shared" si="1"/>
        <v>-1.940708912</v>
      </c>
    </row>
    <row r="1082">
      <c r="B1082" s="76" t="str">
        <f>IFERROR(__xludf.DUMMYFUNCTION("""COMPUTED_VALUE"""),"Debuging the error (Jasper end as well as Query end) and discuss with RM about logic ")</f>
        <v>Debuging the error (Jasper end as well as Query end) and discuss with RM about logic </v>
      </c>
      <c r="C1082" s="82">
        <f>IFERROR(__xludf.DUMMYFUNCTION("""COMPUTED_VALUE"""),5044.0)</f>
        <v>5044</v>
      </c>
      <c r="D1082" s="76" t="str">
        <f>IFERROR(__xludf.DUMMYFUNCTION("""COMPUTED_VALUE"""),"ENROLLMENT REPORT (EXAMFORM REPORT ALL)")</f>
        <v>ENROLLMENT REPORT (EXAMFORM REPORT ALL)</v>
      </c>
      <c r="E1082" s="84">
        <f>IFERROR(__xludf.DUMMYFUNCTION("""COMPUTED_VALUE"""),46111.80132832176)</f>
        <v>46111.80133</v>
      </c>
      <c r="F1082" s="86">
        <f>IFERROR(__xludf.DUMMYFUNCTION("""COMPUTED_VALUE"""),46111.546137488425)</f>
        <v>46111.54614</v>
      </c>
      <c r="G1082" s="86" t="str">
        <f>IFERROR(__xludf.DUMMYFUNCTION("""COMPUTED_VALUE"""),"Done")</f>
        <v>Done</v>
      </c>
      <c r="H1082" s="88">
        <f>IFERROR(__xludf.DUMMYFUNCTION("""COMPUTED_VALUE"""),0.0)</f>
        <v>0</v>
      </c>
      <c r="I1082" s="90" t="str">
        <f>IFERROR(__xludf.DUMMYFUNCTION("""COMPUTED_VALUE"""),"EMP0237 Swarnendu Chakraborty")</f>
        <v>EMP0237 Swarnendu Chakraborty</v>
      </c>
      <c r="J1082" s="91">
        <f t="shared" si="1"/>
        <v>-0.2551908333</v>
      </c>
    </row>
    <row r="1083">
      <c r="B1083" s="76" t="str">
        <f>IFERROR(__xludf.DUMMYFUNCTION("""COMPUTED_VALUE"""),"Debuging the error (Jasper end as well as Query end) and discuss with RM about logic ")</f>
        <v>Debuging the error (Jasper end as well as Query end) and discuss with RM about logic </v>
      </c>
      <c r="C1083" s="82">
        <f>IFERROR(__xludf.DUMMYFUNCTION("""COMPUTED_VALUE"""),5045.0)</f>
        <v>5045</v>
      </c>
      <c r="D1083" s="76" t="str">
        <f>IFERROR(__xludf.DUMMYFUNCTION("""COMPUTED_VALUE"""),"TR REPORT")</f>
        <v>TR REPORT</v>
      </c>
      <c r="E1083" s="84">
        <f>IFERROR(__xludf.DUMMYFUNCTION("""COMPUTED_VALUE"""),46112.429861111115)</f>
        <v>46112.42986</v>
      </c>
      <c r="F1083" s="86">
        <f>IFERROR(__xludf.DUMMYFUNCTION("""COMPUTED_VALUE"""),46111.6565616088)</f>
        <v>46111.65656</v>
      </c>
      <c r="G1083" s="86" t="str">
        <f>IFERROR(__xludf.DUMMYFUNCTION("""COMPUTED_VALUE"""),"Done")</f>
        <v>Done</v>
      </c>
      <c r="H1083" s="88">
        <f>IFERROR(__xludf.DUMMYFUNCTION("""COMPUTED_VALUE"""),0.0)</f>
        <v>0</v>
      </c>
      <c r="I1083" s="90" t="str">
        <f>IFERROR(__xludf.DUMMYFUNCTION("""COMPUTED_VALUE"""),"EMP5009 Rup Kumar Mandal")</f>
        <v>EMP5009 Rup Kumar Mandal</v>
      </c>
      <c r="J1083" s="91">
        <f t="shared" si="1"/>
        <v>-0.7732995023</v>
      </c>
    </row>
    <row r="1084">
      <c r="B1084" s="76" t="str">
        <f>IFERROR(__xludf.DUMMYFUNCTION("""COMPUTED_VALUE"""),"Debuging the error (Jasper end as well as Query end) and discuss with RM about logic ")</f>
        <v>Debuging the error (Jasper end as well as Query end) and discuss with RM about logic </v>
      </c>
      <c r="C1084" s="82">
        <f>IFERROR(__xludf.DUMMYFUNCTION("""COMPUTED_VALUE"""),5046.0)</f>
        <v>5046</v>
      </c>
      <c r="D1084" s="76" t="str">
        <f>IFERROR(__xludf.DUMMYFUNCTION("""COMPUTED_VALUE"""),"3629")</f>
        <v>3629</v>
      </c>
      <c r="E1084" s="84">
        <f>IFERROR(__xludf.DUMMYFUNCTION("""COMPUTED_VALUE"""),46112.52083333333)</f>
        <v>46112.52083</v>
      </c>
      <c r="F1084" s="86">
        <f>IFERROR(__xludf.DUMMYFUNCTION("""COMPUTED_VALUE"""),46111.6565616088)</f>
        <v>46111.65656</v>
      </c>
      <c r="G1084" s="86" t="str">
        <f>IFERROR(__xludf.DUMMYFUNCTION("""COMPUTED_VALUE"""),"Done")</f>
        <v>Done</v>
      </c>
      <c r="H1084" s="88">
        <f>IFERROR(__xludf.DUMMYFUNCTION("""COMPUTED_VALUE"""),0.0)</f>
        <v>0</v>
      </c>
      <c r="I1084" s="90" t="str">
        <f>IFERROR(__xludf.DUMMYFUNCTION("""COMPUTED_VALUE"""),"EMP5009 Rup Kumar Mandal")</f>
        <v>EMP5009 Rup Kumar Mandal</v>
      </c>
      <c r="J1084" s="91">
        <f t="shared" si="1"/>
        <v>-0.8642717245</v>
      </c>
    </row>
    <row r="1085">
      <c r="B1085" s="76" t="str">
        <f>IFERROR(__xludf.DUMMYFUNCTION("""COMPUTED_VALUE"""),"Debuging the error (Jasper end as well as Query end) and discuss with RM about logic ")</f>
        <v>Debuging the error (Jasper end as well as Query end) and discuss with RM about logic </v>
      </c>
      <c r="C1085" s="82">
        <f>IFERROR(__xludf.DUMMYFUNCTION("""COMPUTED_VALUE"""),5047.0)</f>
        <v>5047</v>
      </c>
      <c r="D1085" s="76" t="str">
        <f>IFERROR(__xludf.DUMMYFUNCTION("""COMPUTED_VALUE"""),"3630")</f>
        <v>3630</v>
      </c>
      <c r="E1085" s="84">
        <f>IFERROR(__xludf.DUMMYFUNCTION("""COMPUTED_VALUE"""),46112.52222222222)</f>
        <v>46112.52222</v>
      </c>
      <c r="F1085" s="86">
        <f>IFERROR(__xludf.DUMMYFUNCTION("""COMPUTED_VALUE"""),46111.6565616088)</f>
        <v>46111.65656</v>
      </c>
      <c r="G1085" s="86" t="str">
        <f>IFERROR(__xludf.DUMMYFUNCTION("""COMPUTED_VALUE"""),"Done")</f>
        <v>Done</v>
      </c>
      <c r="H1085" s="88">
        <f>IFERROR(__xludf.DUMMYFUNCTION("""COMPUTED_VALUE"""),0.0)</f>
        <v>0</v>
      </c>
      <c r="I1085" s="90" t="str">
        <f>IFERROR(__xludf.DUMMYFUNCTION("""COMPUTED_VALUE"""),"EMP5009 Rup Kumar Mandal")</f>
        <v>EMP5009 Rup Kumar Mandal</v>
      </c>
      <c r="J1085" s="91">
        <f t="shared" si="1"/>
        <v>-0.8656606134</v>
      </c>
    </row>
    <row r="1086">
      <c r="B1086" s="76" t="str">
        <f>IFERROR(__xludf.DUMMYFUNCTION("""COMPUTED_VALUE"""),"Debuging the error (Jasper end as well as Query end) and discuss with RM about logic ")</f>
        <v>Debuging the error (Jasper end as well as Query end) and discuss with RM about logic </v>
      </c>
      <c r="C1086" s="82">
        <f>IFERROR(__xludf.DUMMYFUNCTION("""COMPUTED_VALUE"""),5048.0)</f>
        <v>5048</v>
      </c>
      <c r="D1086" s="76" t="str">
        <f>IFERROR(__xludf.DUMMYFUNCTION("""COMPUTED_VALUE"""),"3629")</f>
        <v>3629</v>
      </c>
      <c r="E1086" s="84">
        <f>IFERROR(__xludf.DUMMYFUNCTION("""COMPUTED_VALUE"""),46112.52291666667)</f>
        <v>46112.52292</v>
      </c>
      <c r="F1086" s="86">
        <f>IFERROR(__xludf.DUMMYFUNCTION("""COMPUTED_VALUE"""),46111.65656319445)</f>
        <v>46111.65656</v>
      </c>
      <c r="G1086" s="86" t="str">
        <f>IFERROR(__xludf.DUMMYFUNCTION("""COMPUTED_VALUE"""),"Done")</f>
        <v>Done</v>
      </c>
      <c r="H1086" s="88">
        <f>IFERROR(__xludf.DUMMYFUNCTION("""COMPUTED_VALUE"""),0.0)</f>
        <v>0</v>
      </c>
      <c r="I1086" s="90" t="str">
        <f>IFERROR(__xludf.DUMMYFUNCTION("""COMPUTED_VALUE"""),"EMP5009 Rup Kumar Mandal")</f>
        <v>EMP5009 Rup Kumar Mandal</v>
      </c>
      <c r="J1086" s="91">
        <f t="shared" si="1"/>
        <v>-0.8663534722</v>
      </c>
    </row>
    <row r="1087">
      <c r="B1087" s="76" t="str">
        <f>IFERROR(__xludf.DUMMYFUNCTION("""COMPUTED_VALUE"""),"Debuging the error (Jasper end as well as Query end) and discuss with RM about logic ")</f>
        <v>Debuging the error (Jasper end as well as Query end) and discuss with RM about logic </v>
      </c>
      <c r="C1087" s="82">
        <f>IFERROR(__xludf.DUMMYFUNCTION("""COMPUTED_VALUE"""),5049.0)</f>
        <v>5049</v>
      </c>
      <c r="D1087" s="76" t="str">
        <f>IFERROR(__xludf.DUMMYFUNCTION("""COMPUTED_VALUE"""),"3630")</f>
        <v>3630</v>
      </c>
      <c r="E1087" s="84">
        <f>IFERROR(__xludf.DUMMYFUNCTION("""COMPUTED_VALUE"""),46112.524305555555)</f>
        <v>46112.52431</v>
      </c>
      <c r="F1087" s="86">
        <f>IFERROR(__xludf.DUMMYFUNCTION("""COMPUTED_VALUE"""),46111.65656319445)</f>
        <v>46111.65656</v>
      </c>
      <c r="G1087" s="86" t="str">
        <f>IFERROR(__xludf.DUMMYFUNCTION("""COMPUTED_VALUE"""),"Done")</f>
        <v>Done</v>
      </c>
      <c r="H1087" s="88">
        <f>IFERROR(__xludf.DUMMYFUNCTION("""COMPUTED_VALUE"""),0.0)</f>
        <v>0</v>
      </c>
      <c r="I1087" s="90" t="str">
        <f>IFERROR(__xludf.DUMMYFUNCTION("""COMPUTED_VALUE"""),"EMP5009 Rup Kumar Mandal")</f>
        <v>EMP5009 Rup Kumar Mandal</v>
      </c>
      <c r="J1087" s="91">
        <f t="shared" si="1"/>
        <v>-0.8677423611</v>
      </c>
    </row>
    <row r="1088">
      <c r="B1088" s="76" t="str">
        <f>IFERROR(__xludf.DUMMYFUNCTION("""COMPUTED_VALUE"""),"Debuging the error (Jasper end as well as Query end) and discuss with RM about logic ")</f>
        <v>Debuging the error (Jasper end as well as Query end) and discuss with RM about logic </v>
      </c>
      <c r="C1088" s="82">
        <f>IFERROR(__xludf.DUMMYFUNCTION("""COMPUTED_VALUE"""),5050.0)</f>
        <v>5050</v>
      </c>
      <c r="D1088" s="76" t="str">
        <f>IFERROR(__xludf.DUMMYFUNCTION("""COMPUTED_VALUE"""),"TR")</f>
        <v>TR</v>
      </c>
      <c r="E1088" s="84">
        <f>IFERROR(__xludf.DUMMYFUNCTION("""COMPUTED_VALUE"""),46112.57916666666)</f>
        <v>46112.57917</v>
      </c>
      <c r="F1088" s="86">
        <f>IFERROR(__xludf.DUMMYFUNCTION("""COMPUTED_VALUE"""),46111.80259842592)</f>
        <v>46111.8026</v>
      </c>
      <c r="G1088" s="86" t="str">
        <f>IFERROR(__xludf.DUMMYFUNCTION("""COMPUTED_VALUE"""),"Done")</f>
        <v>Done</v>
      </c>
      <c r="H1088" s="88">
        <f>IFERROR(__xludf.DUMMYFUNCTION("""COMPUTED_VALUE"""),0.0)</f>
        <v>0</v>
      </c>
      <c r="I1088" s="90" t="str">
        <f>IFERROR(__xludf.DUMMYFUNCTION("""COMPUTED_VALUE"""),"EMP0042 HULESHWAR KUMAR SAHU")</f>
        <v>EMP0042 HULESHWAR KUMAR SAHU</v>
      </c>
      <c r="J1088" s="91">
        <f t="shared" si="1"/>
        <v>-0.7765682407</v>
      </c>
    </row>
    <row r="1089">
      <c r="B1089" s="76" t="str">
        <f>IFERROR(__xludf.DUMMYFUNCTION("""COMPUTED_VALUE"""),"Debuging the error (Jasper end as well as Query end) and discuss with RM about logic ")</f>
        <v>Debuging the error (Jasper end as well as Query end) and discuss with RM about logic </v>
      </c>
      <c r="C1089" s="82">
        <f>IFERROR(__xludf.DUMMYFUNCTION("""COMPUTED_VALUE"""),5051.0)</f>
        <v>5051</v>
      </c>
      <c r="D1089" s="76" t="str">
        <f>IFERROR(__xludf.DUMMYFUNCTION("""COMPUTED_VALUE"""),"Teacher entered  marks entry  [Theory Marks Entry (Teacher)]")</f>
        <v>Teacher entered  marks entry  [Theory Marks Entry (Teacher)]</v>
      </c>
      <c r="E1089" s="84">
        <f>IFERROR(__xludf.DUMMYFUNCTION("""COMPUTED_VALUE"""),46112.76373800926)</f>
        <v>46112.76374</v>
      </c>
      <c r="F1089" s="86">
        <f>IFERROR(__xludf.DUMMYFUNCTION("""COMPUTED_VALUE"""),46112.48989966435)</f>
        <v>46112.4899</v>
      </c>
      <c r="G1089" s="86" t="str">
        <f>IFERROR(__xludf.DUMMYFUNCTION("""COMPUTED_VALUE"""),"Done")</f>
        <v>Done</v>
      </c>
      <c r="H1089" s="88">
        <f>IFERROR(__xludf.DUMMYFUNCTION("""COMPUTED_VALUE"""),0.0)</f>
        <v>0</v>
      </c>
      <c r="I1089" s="90" t="str">
        <f>IFERROR(__xludf.DUMMYFUNCTION("""COMPUTED_VALUE"""),"EMP5009 Rup Kumar Mandal")</f>
        <v>EMP5009 Rup Kumar Mandal</v>
      </c>
      <c r="J1089" s="91">
        <f t="shared" si="1"/>
        <v>-0.2738383449</v>
      </c>
    </row>
    <row r="1090">
      <c r="B1090" s="76" t="str">
        <f>IFERROR(__xludf.DUMMYFUNCTION("""COMPUTED_VALUE"""),"Debuging the error (Jasper end as well as Query end) and discuss with RM about logic ")</f>
        <v>Debuging the error (Jasper end as well as Query end) and discuss with RM about logic </v>
      </c>
      <c r="C1090" s="82">
        <f>IFERROR(__xludf.DUMMYFUNCTION("""COMPUTED_VALUE"""),5052.0)</f>
        <v>5052</v>
      </c>
      <c r="D1090" s="76" t="str">
        <f>IFERROR(__xludf.DUMMYFUNCTION("""COMPUTED_VALUE"""),"Marks entry report [theory marks entry]")</f>
        <v>Marks entry report [theory marks entry]</v>
      </c>
      <c r="E1090" s="84">
        <f>IFERROR(__xludf.DUMMYFUNCTION("""COMPUTED_VALUE"""),46112.76631974537)</f>
        <v>46112.76632</v>
      </c>
      <c r="F1090" s="86">
        <f>IFERROR(__xludf.DUMMYFUNCTION("""COMPUTED_VALUE"""),46112.48985694444)</f>
        <v>46112.48986</v>
      </c>
      <c r="G1090" s="86" t="str">
        <f>IFERROR(__xludf.DUMMYFUNCTION("""COMPUTED_VALUE"""),"Done")</f>
        <v>Done</v>
      </c>
      <c r="H1090" s="88">
        <f>IFERROR(__xludf.DUMMYFUNCTION("""COMPUTED_VALUE"""),0.0)</f>
        <v>0</v>
      </c>
      <c r="I1090" s="90" t="str">
        <f>IFERROR(__xludf.DUMMYFUNCTION("""COMPUTED_VALUE"""),"EMP5009 Rup Kumar Mandal")</f>
        <v>EMP5009 Rup Kumar Mandal</v>
      </c>
      <c r="J1090" s="91">
        <f t="shared" si="1"/>
        <v>-0.2764628009</v>
      </c>
    </row>
    <row r="1091">
      <c r="B1091" s="76" t="str">
        <f>IFERROR(__xludf.DUMMYFUNCTION("""COMPUTED_VALUE"""),"Debuging the error (Jasper end as well as Query end) and discuss with RM about logic ")</f>
        <v>Debuging the error (Jasper end as well as Query end) and discuss with RM about logic </v>
      </c>
      <c r="C1091" s="82">
        <f>IFERROR(__xludf.DUMMYFUNCTION("""COMPUTED_VALUE"""),5053.0)</f>
        <v>5053</v>
      </c>
      <c r="D1091" s="76" t="str">
        <f>IFERROR(__xludf.DUMMYFUNCTION("""COMPUTED_VALUE"""),"TR_phd_NEW_FORMAT")</f>
        <v>TR_phd_NEW_FORMAT</v>
      </c>
      <c r="E1091" s="84">
        <f>IFERROR(__xludf.DUMMYFUNCTION("""COMPUTED_VALUE"""),46113.74784567129)</f>
        <v>46113.74785</v>
      </c>
      <c r="F1091" s="86">
        <f>IFERROR(__xludf.DUMMYFUNCTION("""COMPUTED_VALUE"""),46113.51520876158)</f>
        <v>46113.51521</v>
      </c>
      <c r="G1091" s="86" t="str">
        <f>IFERROR(__xludf.DUMMYFUNCTION("""COMPUTED_VALUE"""),"Done")</f>
        <v>Done</v>
      </c>
      <c r="H1091" s="88">
        <f>IFERROR(__xludf.DUMMYFUNCTION("""COMPUTED_VALUE"""),0.0)</f>
        <v>0</v>
      </c>
      <c r="I1091" s="90" t="str">
        <f>IFERROR(__xludf.DUMMYFUNCTION("""COMPUTED_VALUE"""),"EMP0042 HULESHWAR KUMAR SAHU")</f>
        <v>EMP0042 HULESHWAR KUMAR SAHU</v>
      </c>
      <c r="J1091" s="91">
        <f t="shared" si="1"/>
        <v>-0.2326369097</v>
      </c>
    </row>
    <row r="1092">
      <c r="B1092" s="76" t="str">
        <f>IFERROR(__xludf.DUMMYFUNCTION("""COMPUTED_VALUE"""),"Debuging the error (Jasper end as well as Query end) and discuss with RM about logic ")</f>
        <v>Debuging the error (Jasper end as well as Query end) and discuss with RM about logic </v>
      </c>
      <c r="C1092" s="82">
        <f>IFERROR(__xludf.DUMMYFUNCTION("""COMPUTED_VALUE"""),5054.0)</f>
        <v>5054</v>
      </c>
      <c r="D1092" s="76" t="str">
        <f>IFERROR(__xludf.DUMMYFUNCTION("""COMPUTED_VALUE"""),"TR ")</f>
        <v>TR </v>
      </c>
      <c r="E1092" s="84">
        <f>IFERROR(__xludf.DUMMYFUNCTION("""COMPUTED_VALUE"""),46113.79170841435)</f>
        <v>46113.79171</v>
      </c>
      <c r="F1092" s="86">
        <f>IFERROR(__xludf.DUMMYFUNCTION("""COMPUTED_VALUE"""),46113.519178449074)</f>
        <v>46113.51918</v>
      </c>
      <c r="G1092" s="86" t="str">
        <f>IFERROR(__xludf.DUMMYFUNCTION("""COMPUTED_VALUE"""),"Done")</f>
        <v>Done</v>
      </c>
      <c r="H1092" s="88">
        <f>IFERROR(__xludf.DUMMYFUNCTION("""COMPUTED_VALUE"""),0.0)</f>
        <v>0</v>
      </c>
      <c r="I1092" s="90" t="str">
        <f>IFERROR(__xludf.DUMMYFUNCTION("""COMPUTED_VALUE"""),"EMP0042 HULESHWAR KUMAR SAHU")</f>
        <v>EMP0042 HULESHWAR KUMAR SAHU</v>
      </c>
      <c r="J1092" s="91">
        <f t="shared" si="1"/>
        <v>-0.2725299653</v>
      </c>
    </row>
    <row r="1093">
      <c r="B1093" s="76" t="str">
        <f>IFERROR(__xludf.DUMMYFUNCTION("""COMPUTED_VALUE"""),"Debuging the error (Jasper end as well as Query end) and discuss with RM about logic ")</f>
        <v>Debuging the error (Jasper end as well as Query end) and discuss with RM about logic </v>
      </c>
      <c r="C1093" s="82">
        <f>IFERROR(__xludf.DUMMYFUNCTION("""COMPUTED_VALUE"""),5055.0)</f>
        <v>5055</v>
      </c>
      <c r="D1093" s="76" t="str">
        <f>IFERROR(__xludf.DUMMYFUNCTION("""COMPUTED_VALUE"""),"TR ")</f>
        <v>TR </v>
      </c>
      <c r="E1093" s="84">
        <f>IFERROR(__xludf.DUMMYFUNCTION("""COMPUTED_VALUE"""),46113.8011680787)</f>
        <v>46113.80117</v>
      </c>
      <c r="F1093" s="86">
        <f>IFERROR(__xludf.DUMMYFUNCTION("""COMPUTED_VALUE"""),46113.55008089121)</f>
        <v>46113.55008</v>
      </c>
      <c r="G1093" s="86" t="str">
        <f>IFERROR(__xludf.DUMMYFUNCTION("""COMPUTED_VALUE"""),"Done")</f>
        <v>Done</v>
      </c>
      <c r="H1093" s="88">
        <f>IFERROR(__xludf.DUMMYFUNCTION("""COMPUTED_VALUE"""),0.0)</f>
        <v>0</v>
      </c>
      <c r="I1093" s="90" t="str">
        <f>IFERROR(__xludf.DUMMYFUNCTION("""COMPUTED_VALUE"""),"EMP0042 HULESHWAR KUMAR SAHU")</f>
        <v>EMP0042 HULESHWAR KUMAR SAHU</v>
      </c>
      <c r="J1093" s="91">
        <f t="shared" si="1"/>
        <v>-0.2510871875</v>
      </c>
    </row>
    <row r="1094">
      <c r="B1094" s="76" t="str">
        <f>IFERROR(__xludf.DUMMYFUNCTION("""COMPUTED_VALUE"""),"Debuging the error (Jasper end as well as Query end) and discuss with RM about logic ")</f>
        <v>Debuging the error (Jasper end as well as Query end) and discuss with RM about logic </v>
      </c>
      <c r="C1094" s="82">
        <f>IFERROR(__xludf.DUMMYFUNCTION("""COMPUTED_VALUE"""),5056.0)</f>
        <v>5056</v>
      </c>
      <c r="D1094" s="76" t="str">
        <f>IFERROR(__xludf.DUMMYFUNCTION("""COMPUTED_VALUE"""),"Provisional Certificate Sign change ")</f>
        <v>Provisional Certificate Sign change </v>
      </c>
      <c r="E1094" s="84">
        <f>IFERROR(__xludf.DUMMYFUNCTION("""COMPUTED_VALUE"""),46113.81005554398)</f>
        <v>46113.81006</v>
      </c>
      <c r="F1094" s="86">
        <f>IFERROR(__xludf.DUMMYFUNCTION("""COMPUTED_VALUE"""),46113.5501246875)</f>
        <v>46113.55012</v>
      </c>
      <c r="G1094" s="86" t="str">
        <f>IFERROR(__xludf.DUMMYFUNCTION("""COMPUTED_VALUE"""),"Done")</f>
        <v>Done</v>
      </c>
      <c r="H1094" s="88">
        <f>IFERROR(__xludf.DUMMYFUNCTION("""COMPUTED_VALUE"""),0.0)</f>
        <v>0</v>
      </c>
      <c r="I1094" s="90" t="str">
        <f>IFERROR(__xludf.DUMMYFUNCTION("""COMPUTED_VALUE"""),"EMP0042 HULESHWAR KUMAR SAHU")</f>
        <v>EMP0042 HULESHWAR KUMAR SAHU</v>
      </c>
      <c r="J1094" s="91">
        <f t="shared" si="1"/>
        <v>-0.2599308565</v>
      </c>
    </row>
    <row r="1095">
      <c r="B1095" s="76" t="str">
        <f>IFERROR(__xludf.DUMMYFUNCTION("""COMPUTED_VALUE"""),"Debuging the error (Jasper end as well as Query end) and discuss with RM about logic ")</f>
        <v>Debuging the error (Jasper end as well as Query end) and discuss with RM about logic </v>
      </c>
      <c r="C1095" s="82">
        <f>IFERROR(__xludf.DUMMYFUNCTION("""COMPUTED_VALUE"""),5057.0)</f>
        <v>5057</v>
      </c>
      <c r="D1095" s="76" t="str">
        <f>IFERROR(__xludf.DUMMYFUNCTION("""COMPUTED_VALUE"""),"Marksheet MBBS New Format")</f>
        <v>Marksheet MBBS New Format</v>
      </c>
      <c r="E1095" s="84">
        <f>IFERROR(__xludf.DUMMYFUNCTION("""COMPUTED_VALUE"""),46113.81161010417)</f>
        <v>46113.81161</v>
      </c>
      <c r="F1095" s="86">
        <f>IFERROR(__xludf.DUMMYFUNCTION("""COMPUTED_VALUE"""),46113.55014047454)</f>
        <v>46113.55014</v>
      </c>
      <c r="G1095" s="86" t="str">
        <f>IFERROR(__xludf.DUMMYFUNCTION("""COMPUTED_VALUE"""),"Done")</f>
        <v>Done</v>
      </c>
      <c r="H1095" s="88">
        <f>IFERROR(__xludf.DUMMYFUNCTION("""COMPUTED_VALUE"""),0.0)</f>
        <v>0</v>
      </c>
      <c r="I1095" s="90" t="str">
        <f>IFERROR(__xludf.DUMMYFUNCTION("""COMPUTED_VALUE"""),"EMP0042 HULESHWAR KUMAR SAHU")</f>
        <v>EMP0042 HULESHWAR KUMAR SAHU</v>
      </c>
      <c r="J1095" s="91">
        <f t="shared" si="1"/>
        <v>-0.2614696296</v>
      </c>
    </row>
    <row r="1096">
      <c r="B1096" s="76" t="str">
        <f>IFERROR(__xludf.DUMMYFUNCTION("""COMPUTED_VALUE"""),"Debuging the error (Jasper end as well as Query end) and discuss with RM about logic ")</f>
        <v>Debuging the error (Jasper end as well as Query end) and discuss with RM about logic </v>
      </c>
      <c r="C1096" s="82">
        <f>IFERROR(__xludf.DUMMYFUNCTION("""COMPUTED_VALUE"""),5058.0)</f>
        <v>5058</v>
      </c>
      <c r="D1096" s="76" t="str">
        <f>IFERROR(__xludf.DUMMYFUNCTION("""COMPUTED_VALUE"""),"TR_phd_NEW_FORMAT")</f>
        <v>TR_phd_NEW_FORMAT</v>
      </c>
      <c r="E1096" s="84">
        <f>IFERROR(__xludf.DUMMYFUNCTION("""COMPUTED_VALUE"""),46113.81251305555)</f>
        <v>46113.81251</v>
      </c>
      <c r="F1096" s="86">
        <f>IFERROR(__xludf.DUMMYFUNCTION("""COMPUTED_VALUE"""),46113.55018092592)</f>
        <v>46113.55018</v>
      </c>
      <c r="G1096" s="86" t="str">
        <f>IFERROR(__xludf.DUMMYFUNCTION("""COMPUTED_VALUE"""),"Done")</f>
        <v>Done</v>
      </c>
      <c r="H1096" s="88">
        <f>IFERROR(__xludf.DUMMYFUNCTION("""COMPUTED_VALUE"""),0.0)</f>
        <v>0</v>
      </c>
      <c r="I1096" s="90" t="str">
        <f>IFERROR(__xludf.DUMMYFUNCTION("""COMPUTED_VALUE"""),"EMP0021 Tamanna Dewangan")</f>
        <v>EMP0021 Tamanna Dewangan</v>
      </c>
      <c r="J1096" s="91">
        <f t="shared" si="1"/>
        <v>-0.2623321296</v>
      </c>
    </row>
    <row r="1097">
      <c r="B1097" s="76" t="str">
        <f>IFERROR(__xludf.DUMMYFUNCTION("""COMPUTED_VALUE"""),"Debuging the error (Jasper end as well as Query end) and discuss with RM about logic ")</f>
        <v>Debuging the error (Jasper end as well as Query end) and discuss with RM about logic </v>
      </c>
      <c r="C1097" s="82">
        <f>IFERROR(__xludf.DUMMYFUNCTION("""COMPUTED_VALUE"""),5059.0)</f>
        <v>5059</v>
      </c>
      <c r="D1097" s="76" t="str">
        <f>IFERROR(__xludf.DUMMYFUNCTION("""COMPUTED_VALUE"""),"TR REPORT")</f>
        <v>TR REPORT</v>
      </c>
      <c r="E1097" s="84">
        <f>IFERROR(__xludf.DUMMYFUNCTION("""COMPUTED_VALUE"""),46114.55416666667)</f>
        <v>46114.55417</v>
      </c>
      <c r="F1097" s="86">
        <f>IFERROR(__xludf.DUMMYFUNCTION("""COMPUTED_VALUE"""),46113.78364159723)</f>
        <v>46113.78364</v>
      </c>
      <c r="G1097" s="86" t="str">
        <f>IFERROR(__xludf.DUMMYFUNCTION("""COMPUTED_VALUE"""),"Done")</f>
        <v>Done</v>
      </c>
      <c r="H1097" s="88">
        <f>IFERROR(__xludf.DUMMYFUNCTION("""COMPUTED_VALUE"""),0.0)</f>
        <v>0</v>
      </c>
      <c r="I1097" s="90" t="str">
        <f>IFERROR(__xludf.DUMMYFUNCTION("""COMPUTED_VALUE"""),"EMP5009 Rup Kumar Mandal")</f>
        <v>EMP5009 Rup Kumar Mandal</v>
      </c>
      <c r="J1097" s="91">
        <f t="shared" si="1"/>
        <v>-0.7705250694</v>
      </c>
    </row>
    <row r="1098">
      <c r="B1098" s="76" t="str">
        <f>IFERROR(__xludf.DUMMYFUNCTION("""COMPUTED_VALUE"""),"Debuging the error (Jasper end as well as Query end) and discuss with RM about logic ")</f>
        <v>Debuging the error (Jasper end as well as Query end) and discuss with RM about logic </v>
      </c>
      <c r="C1098" s="82">
        <f>IFERROR(__xludf.DUMMYFUNCTION("""COMPUTED_VALUE"""),5060.0)</f>
        <v>5060</v>
      </c>
      <c r="D1098" s="76" t="str">
        <f>IFERROR(__xludf.DUMMYFUNCTION("""COMPUTED_VALUE"""),"RESULT DATA FORMATE")</f>
        <v>RESULT DATA FORMATE</v>
      </c>
      <c r="E1098" s="84">
        <f>IFERROR(__xludf.DUMMYFUNCTION("""COMPUTED_VALUE"""),46114.55625)</f>
        <v>46114.55625</v>
      </c>
      <c r="F1098" s="86">
        <f>IFERROR(__xludf.DUMMYFUNCTION("""COMPUTED_VALUE"""),46113.78364159723)</f>
        <v>46113.78364</v>
      </c>
      <c r="G1098" s="86" t="str">
        <f>IFERROR(__xludf.DUMMYFUNCTION("""COMPUTED_VALUE"""),"Done")</f>
        <v>Done</v>
      </c>
      <c r="H1098" s="88">
        <f>IFERROR(__xludf.DUMMYFUNCTION("""COMPUTED_VALUE"""),0.0)</f>
        <v>0</v>
      </c>
      <c r="I1098" s="90" t="str">
        <f>IFERROR(__xludf.DUMMYFUNCTION("""COMPUTED_VALUE"""),"EMP5009 Rup Kumar Mandal")</f>
        <v>EMP5009 Rup Kumar Mandal</v>
      </c>
      <c r="J1098" s="91">
        <f t="shared" si="1"/>
        <v>-0.7726084028</v>
      </c>
    </row>
    <row r="1099">
      <c r="B1099" s="76" t="str">
        <f>IFERROR(__xludf.DUMMYFUNCTION("""COMPUTED_VALUE"""),"Debuging the error (Jasper end as well as Query end) and discuss with RM about logic ")</f>
        <v>Debuging the error (Jasper end as well as Query end) and discuss with RM about logic </v>
      </c>
      <c r="C1099" s="82">
        <f>IFERROR(__xludf.DUMMYFUNCTION("""COMPUTED_VALUE"""),5061.0)</f>
        <v>5061</v>
      </c>
      <c r="D1099" s="76" t="str">
        <f>IFERROR(__xludf.DUMMYFUNCTION("""COMPUTED_VALUE"""),"College filter change to all")</f>
        <v>College filter change to all</v>
      </c>
      <c r="E1099" s="84">
        <f>IFERROR(__xludf.DUMMYFUNCTION("""COMPUTED_VALUE"""),46114.58194444445)</f>
        <v>46114.58194</v>
      </c>
      <c r="F1099" s="86">
        <f>IFERROR(__xludf.DUMMYFUNCTION("""COMPUTED_VALUE"""),46113.78364159723)</f>
        <v>46113.78364</v>
      </c>
      <c r="G1099" s="86" t="str">
        <f>IFERROR(__xludf.DUMMYFUNCTION("""COMPUTED_VALUE"""),"Done")</f>
        <v>Done</v>
      </c>
      <c r="H1099" s="88">
        <f>IFERROR(__xludf.DUMMYFUNCTION("""COMPUTED_VALUE"""),0.0)</f>
        <v>0</v>
      </c>
      <c r="I1099" s="90" t="str">
        <f>IFERROR(__xludf.DUMMYFUNCTION("""COMPUTED_VALUE"""),"EMP0021 Tamanna Dewangan")</f>
        <v>EMP0021 Tamanna Dewangan</v>
      </c>
      <c r="J1099" s="91">
        <f t="shared" si="1"/>
        <v>-0.7983028472</v>
      </c>
    </row>
    <row r="1100">
      <c r="B1100" s="76" t="str">
        <f>IFERROR(__xludf.DUMMYFUNCTION("""COMPUTED_VALUE"""),"Debuging the error (Jasper end as well as Query end) and discuss with RM about logic ")</f>
        <v>Debuging the error (Jasper end as well as Query end) and discuss with RM about logic </v>
      </c>
      <c r="C1100" s="82">
        <f>IFERROR(__xludf.DUMMYFUNCTION("""COMPUTED_VALUE"""),5062.0)</f>
        <v>5062</v>
      </c>
      <c r="D1100" s="76" t="str">
        <f>IFERROR(__xludf.DUMMYFUNCTION("""COMPUTED_VALUE"""),"download TR but downloaded marksheet but TR is not downloading")</f>
        <v>download TR but downloaded marksheet but TR is not downloading</v>
      </c>
      <c r="E1100" s="84">
        <f>IFERROR(__xludf.DUMMYFUNCTION("""COMPUTED_VALUE"""),46114.59444444445)</f>
        <v>46114.59444</v>
      </c>
      <c r="F1100" s="86">
        <f>IFERROR(__xludf.DUMMYFUNCTION("""COMPUTED_VALUE"""),46113.783634722226)</f>
        <v>46113.78363</v>
      </c>
      <c r="G1100" s="86" t="str">
        <f>IFERROR(__xludf.DUMMYFUNCTION("""COMPUTED_VALUE"""),"Done")</f>
        <v>Done</v>
      </c>
      <c r="H1100" s="88">
        <f>IFERROR(__xludf.DUMMYFUNCTION("""COMPUTED_VALUE"""),0.0)</f>
        <v>0</v>
      </c>
      <c r="I1100" s="90" t="str">
        <f>IFERROR(__xludf.DUMMYFUNCTION("""COMPUTED_VALUE"""),"EMP0042 HULESHWAR KUMAR SAHU")</f>
        <v>EMP0042 HULESHWAR KUMAR SAHU</v>
      </c>
      <c r="J1100" s="91">
        <f t="shared" si="1"/>
        <v>-0.8108097222</v>
      </c>
    </row>
    <row r="1101">
      <c r="B1101" s="76" t="str">
        <f>IFERROR(__xludf.DUMMYFUNCTION("""COMPUTED_VALUE"""),"Debuging the error (Jasper end as well as Query end) and discuss with RM about logic ")</f>
        <v>Debuging the error (Jasper end as well as Query end) and discuss with RM about logic </v>
      </c>
      <c r="C1101" s="82">
        <f>IFERROR(__xludf.DUMMYFUNCTION("""COMPUTED_VALUE"""),5063.0)</f>
        <v>5063</v>
      </c>
      <c r="D1101" s="76" t="str">
        <f>IFERROR(__xludf.DUMMYFUNCTION("""COMPUTED_VALUE"""),"TR")</f>
        <v>TR</v>
      </c>
      <c r="E1101" s="84">
        <f>IFERROR(__xludf.DUMMYFUNCTION("""COMPUTED_VALUE"""),46114.59722222222)</f>
        <v>46114.59722</v>
      </c>
      <c r="F1101" s="86">
        <f>IFERROR(__xludf.DUMMYFUNCTION("""COMPUTED_VALUE"""),46113.78430128472)</f>
        <v>46113.7843</v>
      </c>
      <c r="G1101" s="86" t="str">
        <f>IFERROR(__xludf.DUMMYFUNCTION("""COMPUTED_VALUE"""),"Done")</f>
        <v>Done</v>
      </c>
      <c r="H1101" s="88">
        <f>IFERROR(__xludf.DUMMYFUNCTION("""COMPUTED_VALUE"""),0.0)</f>
        <v>0</v>
      </c>
      <c r="I1101" s="90" t="str">
        <f>IFERROR(__xludf.DUMMYFUNCTION("""COMPUTED_VALUE"""),"EMP0042 HULESHWAR KUMAR SAHU")</f>
        <v>EMP0042 HULESHWAR KUMAR SAHU</v>
      </c>
      <c r="J1101" s="91">
        <f t="shared" si="1"/>
        <v>-0.8129209375</v>
      </c>
    </row>
    <row r="1102">
      <c r="B1102" s="76" t="str">
        <f>IFERROR(__xludf.DUMMYFUNCTION("""COMPUTED_VALUE"""),"Debuging the error (Jasper end as well as Query end) and discuss with RM about logic ")</f>
        <v>Debuging the error (Jasper end as well as Query end) and discuss with RM about logic </v>
      </c>
      <c r="C1102" s="82">
        <f>IFERROR(__xludf.DUMMYFUNCTION("""COMPUTED_VALUE"""),5064.0)</f>
        <v>5064</v>
      </c>
      <c r="D1102" s="76" t="str">
        <f>IFERROR(__xludf.DUMMYFUNCTION("""COMPUTED_VALUE"""),"Press Release")</f>
        <v>Press Release</v>
      </c>
      <c r="E1102" s="84">
        <f>IFERROR(__xludf.DUMMYFUNCTION("""COMPUTED_VALUE"""),46114.597916666666)</f>
        <v>46114.59792</v>
      </c>
      <c r="F1102" s="86">
        <f>IFERROR(__xludf.DUMMYFUNCTION("""COMPUTED_VALUE"""),46113.784351319446)</f>
        <v>46113.78435</v>
      </c>
      <c r="G1102" s="86" t="str">
        <f>IFERROR(__xludf.DUMMYFUNCTION("""COMPUTED_VALUE"""),"Done")</f>
        <v>Done</v>
      </c>
      <c r="H1102" s="88">
        <f>IFERROR(__xludf.DUMMYFUNCTION("""COMPUTED_VALUE"""),0.0)</f>
        <v>0</v>
      </c>
      <c r="I1102" s="90" t="str">
        <f>IFERROR(__xludf.DUMMYFUNCTION("""COMPUTED_VALUE"""),"EMP0042 HULESHWAR KUMAR SAHU")</f>
        <v>EMP0042 HULESHWAR KUMAR SAHU</v>
      </c>
      <c r="J1102" s="91">
        <f t="shared" si="1"/>
        <v>-0.8135653472</v>
      </c>
    </row>
    <row r="1103">
      <c r="B1103" s="76" t="str">
        <f>IFERROR(__xludf.DUMMYFUNCTION("""COMPUTED_VALUE"""),"Debuging the error (Jasper end as well as Query end) and discuss with RM about logic ")</f>
        <v>Debuging the error (Jasper end as well as Query end) and discuss with RM about logic </v>
      </c>
      <c r="C1103" s="82">
        <f>IFERROR(__xludf.DUMMYFUNCTION("""COMPUTED_VALUE"""),5065.0)</f>
        <v>5065</v>
      </c>
      <c r="D1103" s="76" t="str">
        <f>IFERROR(__xludf.DUMMYFUNCTION("""COMPUTED_VALUE"""),"Pre Processing Error")</f>
        <v>Pre Processing Error</v>
      </c>
      <c r="E1103" s="84">
        <f>IFERROR(__xludf.DUMMYFUNCTION("""COMPUTED_VALUE"""),46115.45625)</f>
        <v>46115.45625</v>
      </c>
      <c r="F1103" s="86">
        <f>IFERROR(__xludf.DUMMYFUNCTION("""COMPUTED_VALUE"""),46114.61489201389)</f>
        <v>46114.61489</v>
      </c>
      <c r="G1103" s="86" t="str">
        <f>IFERROR(__xludf.DUMMYFUNCTION("""COMPUTED_VALUE"""),"Done")</f>
        <v>Done</v>
      </c>
      <c r="H1103" s="88">
        <f>IFERROR(__xludf.DUMMYFUNCTION("""COMPUTED_VALUE"""),0.0)</f>
        <v>0</v>
      </c>
      <c r="I1103" s="90" t="str">
        <f>IFERROR(__xludf.DUMMYFUNCTION("""COMPUTED_VALUE"""),"EMP0237 Swarnendu Chakraborty")</f>
        <v>EMP0237 Swarnendu Chakraborty</v>
      </c>
      <c r="J1103" s="91">
        <f t="shared" si="1"/>
        <v>-0.8413579861</v>
      </c>
    </row>
    <row r="1104">
      <c r="B1104" s="76" t="str">
        <f>IFERROR(__xludf.DUMMYFUNCTION("""COMPUTED_VALUE"""),"Debuging the error (Jasper end as well as Query end) and discuss with RM about logic ")</f>
        <v>Debuging the error (Jasper end as well as Query end) and discuss with RM about logic </v>
      </c>
      <c r="C1104" s="82">
        <f>IFERROR(__xludf.DUMMYFUNCTION("""COMPUTED_VALUE"""),5066.0)</f>
        <v>5066</v>
      </c>
      <c r="D1104" s="76" t="str">
        <f>IFERROR(__xludf.DUMMYFUNCTION("""COMPUTED_VALUE"""),"Pre Processing Error ")</f>
        <v>Pre Processing Error </v>
      </c>
      <c r="E1104" s="84">
        <f>IFERROR(__xludf.DUMMYFUNCTION("""COMPUTED_VALUE"""),46115.47708333333)</f>
        <v>46115.47708</v>
      </c>
      <c r="F1104" s="86">
        <f>IFERROR(__xludf.DUMMYFUNCTION("""COMPUTED_VALUE"""),46114.78765726852)</f>
        <v>46114.78766</v>
      </c>
      <c r="G1104" s="86" t="str">
        <f>IFERROR(__xludf.DUMMYFUNCTION("""COMPUTED_VALUE"""),"Done")</f>
        <v>Done</v>
      </c>
      <c r="H1104" s="88">
        <f>IFERROR(__xludf.DUMMYFUNCTION("""COMPUTED_VALUE"""),0.0)</f>
        <v>0</v>
      </c>
      <c r="I1104" s="90" t="str">
        <f>IFERROR(__xludf.DUMMYFUNCTION("""COMPUTED_VALUE"""),"EMP0237 Swarnendu Chakraborty")</f>
        <v>EMP0237 Swarnendu Chakraborty</v>
      </c>
      <c r="J1104" s="91">
        <f t="shared" si="1"/>
        <v>-0.6894260648</v>
      </c>
    </row>
    <row r="1105">
      <c r="B1105" s="76" t="str">
        <f>IFERROR(__xludf.DUMMYFUNCTION("""COMPUTED_VALUE"""),"Debuging the error (Jasper end as well as Query end) and discuss with RM about logic ")</f>
        <v>Debuging the error (Jasper end as well as Query end) and discuss with RM about logic </v>
      </c>
      <c r="C1105" s="82">
        <f>IFERROR(__xludf.DUMMYFUNCTION("""COMPUTED_VALUE"""),5067.0)</f>
        <v>5067</v>
      </c>
      <c r="D1105" s="76" t="str">
        <f>IFERROR(__xludf.DUMMYFUNCTION("""COMPUTED_VALUE"""),"REVEL FORM")</f>
        <v>REVEL FORM</v>
      </c>
      <c r="E1105" s="84">
        <f>IFERROR(__xludf.DUMMYFUNCTION("""COMPUTED_VALUE"""),46115.5375)</f>
        <v>46115.5375</v>
      </c>
      <c r="F1105" s="86">
        <f>IFERROR(__xludf.DUMMYFUNCTION("""COMPUTED_VALUE"""),46114.71440878473)</f>
        <v>46114.71441</v>
      </c>
      <c r="G1105" s="86" t="str">
        <f>IFERROR(__xludf.DUMMYFUNCTION("""COMPUTED_VALUE"""),"Done")</f>
        <v>Done</v>
      </c>
      <c r="H1105" s="88">
        <f>IFERROR(__xludf.DUMMYFUNCTION("""COMPUTED_VALUE"""),0.0)</f>
        <v>0</v>
      </c>
      <c r="I1105" s="90" t="str">
        <f>IFERROR(__xludf.DUMMYFUNCTION("""COMPUTED_VALUE"""),"EMP0042 HULESHWAR KUMAR SAHU")</f>
        <v>EMP0042 HULESHWAR KUMAR SAHU</v>
      </c>
      <c r="J1105" s="91">
        <f t="shared" si="1"/>
        <v>-0.8230912153</v>
      </c>
    </row>
    <row r="1106">
      <c r="B1106" s="76" t="str">
        <f>IFERROR(__xludf.DUMMYFUNCTION("""COMPUTED_VALUE"""),"Debuging the error (Jasper end as well as Query end) and discuss with RM about logic ")</f>
        <v>Debuging the error (Jasper end as well as Query end) and discuss with RM about logic </v>
      </c>
      <c r="C1106" s="82">
        <f>IFERROR(__xludf.DUMMYFUNCTION("""COMPUTED_VALUE"""),5068.0)</f>
        <v>5068</v>
      </c>
      <c r="D1106" s="76" t="str">
        <f>IFERROR(__xludf.DUMMYFUNCTION("""COMPUTED_VALUE"""),"RESULT DATA")</f>
        <v>RESULT DATA</v>
      </c>
      <c r="E1106" s="84">
        <f>IFERROR(__xludf.DUMMYFUNCTION("""COMPUTED_VALUE"""),46115.538888888885)</f>
        <v>46115.53889</v>
      </c>
      <c r="F1106" s="86">
        <f>IFERROR(__xludf.DUMMYFUNCTION("""COMPUTED_VALUE"""),46114.71441252314)</f>
        <v>46114.71441</v>
      </c>
      <c r="G1106" s="86" t="str">
        <f>IFERROR(__xludf.DUMMYFUNCTION("""COMPUTED_VALUE"""),"Done")</f>
        <v>Done</v>
      </c>
      <c r="H1106" s="88">
        <f>IFERROR(__xludf.DUMMYFUNCTION("""COMPUTED_VALUE"""),0.0)</f>
        <v>0</v>
      </c>
      <c r="I1106" s="90" t="str">
        <f>IFERROR(__xludf.DUMMYFUNCTION("""COMPUTED_VALUE"""),"EMP0042 HULESHWAR KUMAR SAHU")</f>
        <v>EMP0042 HULESHWAR KUMAR SAHU</v>
      </c>
      <c r="J1106" s="91">
        <f t="shared" si="1"/>
        <v>-0.8244763657</v>
      </c>
    </row>
    <row r="1107">
      <c r="B1107" s="76" t="str">
        <f>IFERROR(__xludf.DUMMYFUNCTION("""COMPUTED_VALUE"""),"Debuging the error (Jasper end as well as Query end) and discuss with RM about logic ")</f>
        <v>Debuging the error (Jasper end as well as Query end) and discuss with RM about logic </v>
      </c>
      <c r="C1107" s="82">
        <f>IFERROR(__xludf.DUMMYFUNCTION("""COMPUTED_VALUE"""),5069.0)</f>
        <v>5069</v>
      </c>
      <c r="D1107" s="76" t="str">
        <f>IFERROR(__xludf.DUMMYFUNCTION("""COMPUTED_VALUE"""),"CA/CIA MARK ENTRY")</f>
        <v>CA/CIA MARK ENTRY</v>
      </c>
      <c r="E1107" s="84">
        <f>IFERROR(__xludf.DUMMYFUNCTION("""COMPUTED_VALUE"""),46115.7505719676)</f>
        <v>46115.75057</v>
      </c>
      <c r="F1107" s="86">
        <f>IFERROR(__xludf.DUMMYFUNCTION("""COMPUTED_VALUE"""),46115.51621256945)</f>
        <v>46115.51621</v>
      </c>
      <c r="G1107" s="86" t="str">
        <f>IFERROR(__xludf.DUMMYFUNCTION("""COMPUTED_VALUE"""),"Done")</f>
        <v>Done</v>
      </c>
      <c r="H1107" s="88">
        <f>IFERROR(__xludf.DUMMYFUNCTION("""COMPUTED_VALUE"""),0.0)</f>
        <v>0</v>
      </c>
      <c r="I1107" s="90" t="str">
        <f>IFERROR(__xludf.DUMMYFUNCTION("""COMPUTED_VALUE"""),"EMP5009 Rup Kumar Mandal")</f>
        <v>EMP5009 Rup Kumar Mandal</v>
      </c>
      <c r="J1107" s="91">
        <f t="shared" si="1"/>
        <v>-0.2343593981</v>
      </c>
    </row>
    <row r="1108">
      <c r="B1108" s="76" t="str">
        <f>IFERROR(__xludf.DUMMYFUNCTION("""COMPUTED_VALUE"""),"Debuging the error (Jasper end as well as Query end) and discuss with RM about logic ")</f>
        <v>Debuging the error (Jasper end as well as Query end) and discuss with RM about logic </v>
      </c>
      <c r="C1108" s="82">
        <f>IFERROR(__xludf.DUMMYFUNCTION("""COMPUTED_VALUE"""),5070.0)</f>
        <v>5070</v>
      </c>
      <c r="D1108" s="76" t="str">
        <f>IFERROR(__xludf.DUMMYFUNCTION("""COMPUTED_VALUE"""),"grade card pg")</f>
        <v>grade card pg</v>
      </c>
      <c r="E1108" s="84">
        <f>IFERROR(__xludf.DUMMYFUNCTION("""COMPUTED_VALUE"""),46115.75678355324)</f>
        <v>46115.75678</v>
      </c>
      <c r="F1108" s="86">
        <f>IFERROR(__xludf.DUMMYFUNCTION("""COMPUTED_VALUE"""),46115.51622262732)</f>
        <v>46115.51622</v>
      </c>
      <c r="G1108" s="86" t="str">
        <f>IFERROR(__xludf.DUMMYFUNCTION("""COMPUTED_VALUE"""),"Done")</f>
        <v>Done</v>
      </c>
      <c r="H1108" s="88">
        <f>IFERROR(__xludf.DUMMYFUNCTION("""COMPUTED_VALUE"""),0.0)</f>
        <v>0</v>
      </c>
      <c r="I1108" s="90" t="str">
        <f>IFERROR(__xludf.DUMMYFUNCTION("""COMPUTED_VALUE"""),"EMP5009 Rup Kumar Mandal")</f>
        <v>EMP5009 Rup Kumar Mandal</v>
      </c>
      <c r="J1108" s="91">
        <f t="shared" si="1"/>
        <v>-0.2405609259</v>
      </c>
    </row>
    <row r="1109">
      <c r="B1109" s="76" t="str">
        <f>IFERROR(__xludf.DUMMYFUNCTION("""COMPUTED_VALUE"""),"Debuging the error (Jasper end as well as Query end) and discuss with RM about logic ")</f>
        <v>Debuging the error (Jasper end as well as Query end) and discuss with RM about logic </v>
      </c>
      <c r="C1109" s="82">
        <f>IFERROR(__xludf.DUMMYFUNCTION("""COMPUTED_VALUE"""),5071.0)</f>
        <v>5071</v>
      </c>
      <c r="D1109" s="76" t="str">
        <f>IFERROR(__xludf.DUMMYFUNCTION("""COMPUTED_VALUE"""),"TR Format (Grading / Non-Grading)")</f>
        <v>TR Format (Grading / Non-Grading)</v>
      </c>
      <c r="E1109" s="84">
        <f>IFERROR(__xludf.DUMMYFUNCTION("""COMPUTED_VALUE"""),46115.760596562504)</f>
        <v>46115.7606</v>
      </c>
      <c r="F1109" s="86">
        <f>IFERROR(__xludf.DUMMYFUNCTION("""COMPUTED_VALUE"""),46115.65296166667)</f>
        <v>46115.65296</v>
      </c>
      <c r="G1109" s="86" t="str">
        <f>IFERROR(__xludf.DUMMYFUNCTION("""COMPUTED_VALUE"""),"Done")</f>
        <v>Done</v>
      </c>
      <c r="H1109" s="88">
        <f>IFERROR(__xludf.DUMMYFUNCTION("""COMPUTED_VALUE"""),0.0)</f>
        <v>0</v>
      </c>
      <c r="I1109" s="90" t="str">
        <f>IFERROR(__xludf.DUMMYFUNCTION("""COMPUTED_VALUE"""),"EMP0042 HULESHWAR KUMAR SAHU")</f>
        <v>EMP0042 HULESHWAR KUMAR SAHU</v>
      </c>
      <c r="J1109" s="91">
        <f t="shared" si="1"/>
        <v>-0.1076348958</v>
      </c>
    </row>
    <row r="1110">
      <c r="B1110" s="76" t="str">
        <f>IFERROR(__xludf.DUMMYFUNCTION("""COMPUTED_VALUE"""),"Debuging the error (Jasper end as well as Query end) and discuss with RM about logic ")</f>
        <v>Debuging the error (Jasper end as well as Query end) and discuss with RM about logic </v>
      </c>
      <c r="C1110" s="82">
        <f>IFERROR(__xludf.DUMMYFUNCTION("""COMPUTED_VALUE"""),5072.0)</f>
        <v>5072</v>
      </c>
      <c r="D1110" s="76" t="str">
        <f>IFERROR(__xludf.DUMMYFUNCTION("""COMPUTED_VALUE"""),"MULTIPLE REPOPRT")</f>
        <v>MULTIPLE REPOPRT</v>
      </c>
      <c r="E1110" s="84">
        <f>IFERROR(__xludf.DUMMYFUNCTION("""COMPUTED_VALUE"""),46115.82271434028)</f>
        <v>46115.82271</v>
      </c>
      <c r="F1110" s="86">
        <f>IFERROR(__xludf.DUMMYFUNCTION("""COMPUTED_VALUE"""),46115.65332873842)</f>
        <v>46115.65333</v>
      </c>
      <c r="G1110" s="86" t="str">
        <f>IFERROR(__xludf.DUMMYFUNCTION("""COMPUTED_VALUE"""),"Done")</f>
        <v>Done</v>
      </c>
      <c r="H1110" s="88">
        <f>IFERROR(__xludf.DUMMYFUNCTION("""COMPUTED_VALUE"""),0.0)</f>
        <v>0</v>
      </c>
      <c r="I1110" s="90" t="str">
        <f>IFERROR(__xludf.DUMMYFUNCTION("""COMPUTED_VALUE"""),"EMP0042 HULESHWAR KUMAR SAHU")</f>
        <v>EMP0042 HULESHWAR KUMAR SAHU</v>
      </c>
      <c r="J1110" s="91">
        <f t="shared" si="1"/>
        <v>-0.1693856019</v>
      </c>
    </row>
    <row r="1111">
      <c r="B1111" s="76" t="str">
        <f>IFERROR(__xludf.DUMMYFUNCTION("""COMPUTED_VALUE"""),"Debuging the error (Jasper end as well as Query end) and discuss with RM about logic ")</f>
        <v>Debuging the error (Jasper end as well as Query end) and discuss with RM about logic </v>
      </c>
      <c r="C1111" s="82">
        <f>IFERROR(__xludf.DUMMYFUNCTION("""COMPUTED_VALUE"""),5073.0)</f>
        <v>5073</v>
      </c>
      <c r="D1111" s="76" t="str">
        <f>IFERROR(__xludf.DUMMYFUNCTION("""COMPUTED_VALUE"""),"TR ")</f>
        <v>TR </v>
      </c>
      <c r="E1111" s="84">
        <f>IFERROR(__xludf.DUMMYFUNCTION("""COMPUTED_VALUE"""),46116.43888888889)</f>
        <v>46116.43889</v>
      </c>
      <c r="F1111" s="86">
        <f>IFERROR(__xludf.DUMMYFUNCTION("""COMPUTED_VALUE"""),46115.652760833334)</f>
        <v>46115.65276</v>
      </c>
      <c r="G1111" s="86" t="str">
        <f>IFERROR(__xludf.DUMMYFUNCTION("""COMPUTED_VALUE"""),"Done")</f>
        <v>Done</v>
      </c>
      <c r="H1111" s="88">
        <f>IFERROR(__xludf.DUMMYFUNCTION("""COMPUTED_VALUE"""),0.0)</f>
        <v>0</v>
      </c>
      <c r="I1111" s="90" t="str">
        <f>IFERROR(__xludf.DUMMYFUNCTION("""COMPUTED_VALUE"""),"EMP0042 HULESHWAR KUMAR SAHU")</f>
        <v>EMP0042 HULESHWAR KUMAR SAHU</v>
      </c>
      <c r="J1111" s="91">
        <f t="shared" si="1"/>
        <v>-0.7861280556</v>
      </c>
    </row>
    <row r="1112">
      <c r="B1112" s="76" t="str">
        <f>IFERROR(__xludf.DUMMYFUNCTION("""COMPUTED_VALUE"""),"Debuging the error (Jasper end as well as Query end) and discuss with RM about logic ")</f>
        <v>Debuging the error (Jasper end as well as Query end) and discuss with RM about logic </v>
      </c>
      <c r="C1112" s="82">
        <f>IFERROR(__xludf.DUMMYFUNCTION("""COMPUTED_VALUE"""),5074.0)</f>
        <v>5074</v>
      </c>
      <c r="D1112" s="76" t="str">
        <f>IFERROR(__xludf.DUMMYFUNCTION("""COMPUTED_VALUE"""),"TR REPORT")</f>
        <v>TR REPORT</v>
      </c>
      <c r="E1112" s="84">
        <f>IFERROR(__xludf.DUMMYFUNCTION("""COMPUTED_VALUE"""),46116.49861111111)</f>
        <v>46116.49861</v>
      </c>
      <c r="F1112" s="86">
        <f>IFERROR(__xludf.DUMMYFUNCTION("""COMPUTED_VALUE"""),46115.69575678241)</f>
        <v>46115.69576</v>
      </c>
      <c r="G1112" s="86" t="str">
        <f>IFERROR(__xludf.DUMMYFUNCTION("""COMPUTED_VALUE"""),"Done")</f>
        <v>Done</v>
      </c>
      <c r="H1112" s="88">
        <f>IFERROR(__xludf.DUMMYFUNCTION("""COMPUTED_VALUE"""),0.0)</f>
        <v>0</v>
      </c>
      <c r="I1112" s="90" t="str">
        <f>IFERROR(__xludf.DUMMYFUNCTION("""COMPUTED_VALUE"""),"EMP5009 Rup Kumar Mandal")</f>
        <v>EMP5009 Rup Kumar Mandal</v>
      </c>
      <c r="J1112" s="91">
        <f t="shared" si="1"/>
        <v>-0.8028543287</v>
      </c>
    </row>
    <row r="1113">
      <c r="B1113" s="76" t="str">
        <f>IFERROR(__xludf.DUMMYFUNCTION("""COMPUTED_VALUE"""),"Debuging the error (Jasper end as well as Query end) and discuss with RM about logic ")</f>
        <v>Debuging the error (Jasper end as well as Query end) and discuss with RM about logic </v>
      </c>
      <c r="C1113" s="82">
        <f>IFERROR(__xludf.DUMMYFUNCTION("""COMPUTED_VALUE"""),5075.0)</f>
        <v>5075</v>
      </c>
      <c r="D1113" s="76" t="str">
        <f>IFERROR(__xludf.DUMMYFUNCTION("""COMPUTED_VALUE"""),"Packet Summary Report")</f>
        <v>Packet Summary Report</v>
      </c>
      <c r="E1113" s="84">
        <f>IFERROR(__xludf.DUMMYFUNCTION("""COMPUTED_VALUE"""),46118.59788194444)</f>
        <v>46118.59788</v>
      </c>
      <c r="F1113" s="86">
        <f>IFERROR(__xludf.DUMMYFUNCTION("""COMPUTED_VALUE"""),46116.71574864583)</f>
        <v>46116.71575</v>
      </c>
      <c r="G1113" s="86" t="str">
        <f>IFERROR(__xludf.DUMMYFUNCTION("""COMPUTED_VALUE"""),"Done")</f>
        <v>Done</v>
      </c>
      <c r="H1113" s="88">
        <f>IFERROR(__xludf.DUMMYFUNCTION("""COMPUTED_VALUE"""),0.0)</f>
        <v>0</v>
      </c>
      <c r="I1113" s="90" t="str">
        <f>IFERROR(__xludf.DUMMYFUNCTION("""COMPUTED_VALUE"""),"EMP0042 HULESHWAR KUMAR SAHU")</f>
        <v>EMP0042 HULESHWAR KUMAR SAHU</v>
      </c>
      <c r="J1113" s="91">
        <f t="shared" si="1"/>
        <v>-1.882133299</v>
      </c>
    </row>
    <row r="1114">
      <c r="B1114" s="76" t="str">
        <f>IFERROR(__xludf.DUMMYFUNCTION("""COMPUTED_VALUE"""),"Debuging the error (Jasper end as well as Query end) and discuss with RM about logic ")</f>
        <v>Debuging the error (Jasper end as well as Query end) and discuss with RM about logic </v>
      </c>
      <c r="C1114" s="82">
        <f>IFERROR(__xludf.DUMMYFUNCTION("""COMPUTED_VALUE"""),5076.0)</f>
        <v>5076</v>
      </c>
      <c r="D1114" s="76" t="str">
        <f>IFERROR(__xludf.DUMMYFUNCTION("""COMPUTED_VALUE"""),"PRE PROCESS ERROR STEP-7")</f>
        <v>PRE PROCESS ERROR STEP-7</v>
      </c>
      <c r="E1114" s="84">
        <f>IFERROR(__xludf.DUMMYFUNCTION("""COMPUTED_VALUE"""),46118.75863384259)</f>
        <v>46118.75863</v>
      </c>
      <c r="F1114" s="86">
        <f>IFERROR(__xludf.DUMMYFUNCTION("""COMPUTED_VALUE"""),46118.48852421296)</f>
        <v>46118.48852</v>
      </c>
      <c r="G1114" s="86" t="str">
        <f>IFERROR(__xludf.DUMMYFUNCTION("""COMPUTED_VALUE"""),"Done")</f>
        <v>Done</v>
      </c>
      <c r="H1114" s="88">
        <f>IFERROR(__xludf.DUMMYFUNCTION("""COMPUTED_VALUE"""),0.0)</f>
        <v>0</v>
      </c>
      <c r="I1114" s="90" t="str">
        <f>IFERROR(__xludf.DUMMYFUNCTION("""COMPUTED_VALUE"""),"EMP0237 Swarnendu Chakraborty")</f>
        <v>EMP0237 Swarnendu Chakraborty</v>
      </c>
      <c r="J1114" s="91">
        <f t="shared" si="1"/>
        <v>-0.2701096296</v>
      </c>
    </row>
    <row r="1115">
      <c r="B1115" s="76" t="str">
        <f>IFERROR(__xludf.DUMMYFUNCTION("""COMPUTED_VALUE"""),"Debuging the error (Jasper end as well as Query end) and discuss with RM about logic ")</f>
        <v>Debuging the error (Jasper end as well as Query end) and discuss with RM about logic </v>
      </c>
      <c r="C1115" s="82">
        <f>IFERROR(__xludf.DUMMYFUNCTION("""COMPUTED_VALUE"""),5077.0)</f>
        <v>5077</v>
      </c>
      <c r="D1115" s="76" t="str">
        <f>IFERROR(__xludf.DUMMYFUNCTION("""COMPUTED_VALUE"""),"College wise Allotment List")</f>
        <v>College wise Allotment List</v>
      </c>
      <c r="E1115" s="84">
        <f>IFERROR(__xludf.DUMMYFUNCTION("""COMPUTED_VALUE"""),46119.555555555555)</f>
        <v>46119.55556</v>
      </c>
      <c r="F1115" s="86">
        <f>IFERROR(__xludf.DUMMYFUNCTION("""COMPUTED_VALUE"""),46118.76209135417)</f>
        <v>46118.76209</v>
      </c>
      <c r="G1115" s="86" t="str">
        <f>IFERROR(__xludf.DUMMYFUNCTION("""COMPUTED_VALUE"""),"Done")</f>
        <v>Done</v>
      </c>
      <c r="H1115" s="88">
        <f>IFERROR(__xludf.DUMMYFUNCTION("""COMPUTED_VALUE"""),0.0)</f>
        <v>0</v>
      </c>
      <c r="I1115" s="90" t="str">
        <f>IFERROR(__xludf.DUMMYFUNCTION("""COMPUTED_VALUE"""),"EMP5009 Rup Kumar Mandal")</f>
        <v>EMP5009 Rup Kumar Mandal</v>
      </c>
      <c r="J1115" s="91">
        <f t="shared" si="1"/>
        <v>-0.7934642014</v>
      </c>
    </row>
    <row r="1116">
      <c r="B1116" s="76" t="str">
        <f>IFERROR(__xludf.DUMMYFUNCTION("""COMPUTED_VALUE"""),"Debuging the error (Jasper end as well as Query end) and discuss with RM about logic ")</f>
        <v>Debuging the error (Jasper end as well as Query end) and discuss with RM about logic </v>
      </c>
      <c r="C1116" s="82">
        <f>IFERROR(__xludf.DUMMYFUNCTION("""COMPUTED_VALUE"""),5078.0)</f>
        <v>5078</v>
      </c>
      <c r="D1116" s="76" t="str">
        <f>IFERROR(__xludf.DUMMYFUNCTION("""COMPUTED_VALUE"""),"NEP")</f>
        <v>NEP</v>
      </c>
      <c r="E1116" s="84">
        <f>IFERROR(__xludf.DUMMYFUNCTION("""COMPUTED_VALUE"""),46119.597916666666)</f>
        <v>46119.59792</v>
      </c>
      <c r="F1116" s="86">
        <f>IFERROR(__xludf.DUMMYFUNCTION("""COMPUTED_VALUE"""),46118.7621262963)</f>
        <v>46118.76213</v>
      </c>
      <c r="G1116" s="86" t="str">
        <f>IFERROR(__xludf.DUMMYFUNCTION("""COMPUTED_VALUE"""),"Done")</f>
        <v>Done</v>
      </c>
      <c r="H1116" s="88">
        <f>IFERROR(__xludf.DUMMYFUNCTION("""COMPUTED_VALUE"""),0.0)</f>
        <v>0</v>
      </c>
      <c r="I1116" s="90" t="str">
        <f>IFERROR(__xludf.DUMMYFUNCTION("""COMPUTED_VALUE"""),"EMP0042 HULESHWAR KUMAR SAHU")</f>
        <v>EMP0042 HULESHWAR KUMAR SAHU</v>
      </c>
      <c r="J1116" s="91">
        <f t="shared" si="1"/>
        <v>-0.8357903704</v>
      </c>
    </row>
    <row r="1117">
      <c r="B1117" s="76" t="str">
        <f>IFERROR(__xludf.DUMMYFUNCTION("""COMPUTED_VALUE"""),"Debuging the error (Jasper end as well as Query end) and discuss with RM about logic ")</f>
        <v>Debuging the error (Jasper end as well as Query end) and discuss with RM about logic </v>
      </c>
      <c r="C1117" s="82">
        <f>IFERROR(__xludf.DUMMYFUNCTION("""COMPUTED_VALUE"""),5079.0)</f>
        <v>5079</v>
      </c>
      <c r="D1117" s="76" t="str">
        <f>IFERROR(__xludf.DUMMYFUNCTION("""COMPUTED_VALUE"""),"3rd Semester B.Sc. Nursing Examination 2025 (II)	Admit Card update	2024-25 (S)	REAPPER")</f>
        <v>3rd Semester B.Sc. Nursing Examination 2025 (II)	Admit Card update	2024-25 (S)	REAPPER</v>
      </c>
      <c r="E1117" s="84">
        <f>IFERROR(__xludf.DUMMYFUNCTION("""COMPUTED_VALUE"""),46119.59861111111)</f>
        <v>46119.59861</v>
      </c>
      <c r="F1117" s="86">
        <f>IFERROR(__xludf.DUMMYFUNCTION("""COMPUTED_VALUE"""),46118.76214650463)</f>
        <v>46118.76215</v>
      </c>
      <c r="G1117" s="86" t="str">
        <f>IFERROR(__xludf.DUMMYFUNCTION("""COMPUTED_VALUE"""),"Done")</f>
        <v>Done</v>
      </c>
      <c r="H1117" s="88">
        <f>IFERROR(__xludf.DUMMYFUNCTION("""COMPUTED_VALUE"""),0.0)</f>
        <v>0</v>
      </c>
      <c r="I1117" s="90" t="str">
        <f>IFERROR(__xludf.DUMMYFUNCTION("""COMPUTED_VALUE"""),"EMP5009 Rup Kumar Mandal")</f>
        <v>EMP5009 Rup Kumar Mandal</v>
      </c>
      <c r="J1117" s="91">
        <f t="shared" si="1"/>
        <v>-0.8364646065</v>
      </c>
    </row>
    <row r="1118">
      <c r="B1118" s="76" t="str">
        <f>IFERROR(__xludf.DUMMYFUNCTION("""COMPUTED_VALUE"""),"Debuging the error (Jasper end as well as Query end) and discuss with RM about logic ")</f>
        <v>Debuging the error (Jasper end as well as Query end) and discuss with RM about logic </v>
      </c>
      <c r="C1118" s="82">
        <f>IFERROR(__xludf.DUMMYFUNCTION("""COMPUTED_VALUE"""),5080.0)</f>
        <v>5080</v>
      </c>
      <c r="D1118" s="76" t="str">
        <f>IFERROR(__xludf.DUMMYFUNCTION("""COMPUTED_VALUE"""),"3rd Year B.Sc. Nursing Examination 2025 (II)	Admit Card update	2024-25 (S)	REAPPER")</f>
        <v>3rd Year B.Sc. Nursing Examination 2025 (II)	Admit Card update	2024-25 (S)	REAPPER</v>
      </c>
      <c r="E1118" s="84">
        <f>IFERROR(__xludf.DUMMYFUNCTION("""COMPUTED_VALUE"""),46119.6)</f>
        <v>46119.6</v>
      </c>
      <c r="F1118" s="86">
        <f>IFERROR(__xludf.DUMMYFUNCTION("""COMPUTED_VALUE"""),46118.76217559027)</f>
        <v>46118.76218</v>
      </c>
      <c r="G1118" s="86" t="str">
        <f>IFERROR(__xludf.DUMMYFUNCTION("""COMPUTED_VALUE"""),"Done")</f>
        <v>Done</v>
      </c>
      <c r="H1118" s="88">
        <f>IFERROR(__xludf.DUMMYFUNCTION("""COMPUTED_VALUE"""),0.0)</f>
        <v>0</v>
      </c>
      <c r="I1118" s="90" t="str">
        <f>IFERROR(__xludf.DUMMYFUNCTION("""COMPUTED_VALUE"""),"EMP0237 Swarnendu Chakraborty")</f>
        <v>EMP0237 Swarnendu Chakraborty</v>
      </c>
      <c r="J1118" s="91">
        <f t="shared" si="1"/>
        <v>-0.8378244097</v>
      </c>
    </row>
    <row r="1119">
      <c r="B1119" s="76" t="str">
        <f>IFERROR(__xludf.DUMMYFUNCTION("""COMPUTED_VALUE"""),"Debuging the error (Jasper end as well as Query end) and discuss with RM about logic ")</f>
        <v>Debuging the error (Jasper end as well as Query end) and discuss with RM about logic </v>
      </c>
      <c r="C1119" s="82">
        <f>IFERROR(__xludf.DUMMYFUNCTION("""COMPUTED_VALUE"""),5081.0)</f>
        <v>5081</v>
      </c>
      <c r="D1119" s="76" t="str">
        <f>IFERROR(__xludf.DUMMYFUNCTION("""COMPUTED_VALUE"""),"CUT LIST ")</f>
        <v>CUT LIST </v>
      </c>
      <c r="E1119" s="84">
        <f>IFERROR(__xludf.DUMMYFUNCTION("""COMPUTED_VALUE"""),46119.75044950232)</f>
        <v>46119.75045</v>
      </c>
      <c r="F1119" s="86">
        <f>IFERROR(__xludf.DUMMYFUNCTION("""COMPUTED_VALUE"""),46119.48480640046)</f>
        <v>46119.48481</v>
      </c>
      <c r="G1119" s="86" t="str">
        <f>IFERROR(__xludf.DUMMYFUNCTION("""COMPUTED_VALUE"""),"Done")</f>
        <v>Done</v>
      </c>
      <c r="H1119" s="88">
        <f>IFERROR(__xludf.DUMMYFUNCTION("""COMPUTED_VALUE"""),0.0)</f>
        <v>0</v>
      </c>
      <c r="I1119" s="90" t="str">
        <f>IFERROR(__xludf.DUMMYFUNCTION("""COMPUTED_VALUE"""),"EMP0042 HULESHWAR KUMAR SAHU")</f>
        <v>EMP0042 HULESHWAR KUMAR SAHU</v>
      </c>
      <c r="J1119" s="91">
        <f t="shared" si="1"/>
        <v>-0.2656431019</v>
      </c>
    </row>
    <row r="1120">
      <c r="B1120" s="76" t="str">
        <f>IFERROR(__xludf.DUMMYFUNCTION("""COMPUTED_VALUE"""),"Debuging the error (Jasper end as well as Query end) and discuss with RM about logic ")</f>
        <v>Debuging the error (Jasper end as well as Query end) and discuss with RM about logic </v>
      </c>
      <c r="C1120" s="82">
        <f>IFERROR(__xludf.DUMMYFUNCTION("""COMPUTED_VALUE"""),5082.0)</f>
        <v>5082</v>
      </c>
      <c r="D1120" s="76" t="str">
        <f>IFERROR(__xludf.DUMMYFUNCTION("""COMPUTED_VALUE"""),"SCHEME")</f>
        <v>SCHEME</v>
      </c>
      <c r="E1120" s="84">
        <f>IFERROR(__xludf.DUMMYFUNCTION("""COMPUTED_VALUE"""),46119.752491087966)</f>
        <v>46119.75249</v>
      </c>
      <c r="F1120" s="86">
        <f>IFERROR(__xludf.DUMMYFUNCTION("""COMPUTED_VALUE"""),46119.61176655093)</f>
        <v>46119.61177</v>
      </c>
      <c r="G1120" s="86" t="str">
        <f>IFERROR(__xludf.DUMMYFUNCTION("""COMPUTED_VALUE"""),"Done")</f>
        <v>Done</v>
      </c>
      <c r="H1120" s="88">
        <f>IFERROR(__xludf.DUMMYFUNCTION("""COMPUTED_VALUE"""),0.0)</f>
        <v>0</v>
      </c>
      <c r="I1120" s="90" t="str">
        <f>IFERROR(__xludf.DUMMYFUNCTION("""COMPUTED_VALUE"""),"EMP0042 HULESHWAR KUMAR SAHU")</f>
        <v>EMP0042 HULESHWAR KUMAR SAHU</v>
      </c>
      <c r="J1120" s="91">
        <f t="shared" si="1"/>
        <v>-0.140724537</v>
      </c>
    </row>
    <row r="1121">
      <c r="B1121" s="76" t="str">
        <f>IFERROR(__xludf.DUMMYFUNCTION("""COMPUTED_VALUE"""),"Debuging the error (Jasper end as well as Query end) and discuss with RM about logic ")</f>
        <v>Debuging the error (Jasper end as well as Query end) and discuss with RM about logic </v>
      </c>
      <c r="C1121" s="82">
        <f>IFERROR(__xludf.DUMMYFUNCTION("""COMPUTED_VALUE"""),5083.0)</f>
        <v>5083</v>
      </c>
      <c r="D1121" s="76" t="str">
        <f>IFERROR(__xludf.DUMMYFUNCTION("""COMPUTED_VALUE"""),"College  course wise statistic")</f>
        <v>College  course wise statistic</v>
      </c>
      <c r="E1121" s="84">
        <f>IFERROR(__xludf.DUMMYFUNCTION("""COMPUTED_VALUE"""),46119.78392313657)</f>
        <v>46119.78392</v>
      </c>
      <c r="F1121" s="86">
        <f>IFERROR(__xludf.DUMMYFUNCTION("""COMPUTED_VALUE"""),46119.554263645834)</f>
        <v>46119.55426</v>
      </c>
      <c r="G1121" s="86" t="str">
        <f>IFERROR(__xludf.DUMMYFUNCTION("""COMPUTED_VALUE"""),"Done")</f>
        <v>Done</v>
      </c>
      <c r="H1121" s="88">
        <f>IFERROR(__xludf.DUMMYFUNCTION("""COMPUTED_VALUE"""),0.0)</f>
        <v>0</v>
      </c>
      <c r="I1121" s="90" t="str">
        <f>IFERROR(__xludf.DUMMYFUNCTION("""COMPUTED_VALUE"""),"EMP0021 Tamanna Dewangan")</f>
        <v>EMP0021 Tamanna Dewangan</v>
      </c>
      <c r="J1121" s="91">
        <f t="shared" si="1"/>
        <v>-0.2296594907</v>
      </c>
    </row>
    <row r="1122">
      <c r="B1122" s="76" t="str">
        <f>IFERROR(__xludf.DUMMYFUNCTION("""COMPUTED_VALUE"""),"Debuging the error (Jasper end as well as Query end) and discuss with RM about logic ")</f>
        <v>Debuging the error (Jasper end as well as Query end) and discuss with RM about logic </v>
      </c>
      <c r="C1122" s="82">
        <f>IFERROR(__xludf.DUMMYFUNCTION("""COMPUTED_VALUE"""),5084.0)</f>
        <v>5084</v>
      </c>
      <c r="D1122" s="76" t="str">
        <f>IFERROR(__xludf.DUMMYFUNCTION("""COMPUTED_VALUE"""),"College statistic")</f>
        <v>College statistic</v>
      </c>
      <c r="E1122" s="84">
        <f>IFERROR(__xludf.DUMMYFUNCTION("""COMPUTED_VALUE"""),46119.788105949076)</f>
        <v>46119.78811</v>
      </c>
      <c r="F1122" s="86">
        <f>IFERROR(__xludf.DUMMYFUNCTION("""COMPUTED_VALUE"""),46119.611528981484)</f>
        <v>46119.61153</v>
      </c>
      <c r="G1122" s="86" t="str">
        <f>IFERROR(__xludf.DUMMYFUNCTION("""COMPUTED_VALUE"""),"Done")</f>
        <v>Done</v>
      </c>
      <c r="H1122" s="88">
        <f>IFERROR(__xludf.DUMMYFUNCTION("""COMPUTED_VALUE"""),0.0)</f>
        <v>0</v>
      </c>
      <c r="I1122" s="90" t="str">
        <f>IFERROR(__xludf.DUMMYFUNCTION("""COMPUTED_VALUE"""),"EMP5009 Rup Kumar Mandal")</f>
        <v>EMP5009 Rup Kumar Mandal</v>
      </c>
      <c r="J1122" s="91">
        <f t="shared" si="1"/>
        <v>-0.1765769676</v>
      </c>
    </row>
    <row r="1123">
      <c r="B1123" s="76" t="str">
        <f>IFERROR(__xludf.DUMMYFUNCTION("""COMPUTED_VALUE"""),"Debuging the error (Jasper end as well as Query end) and discuss with RM about logic ")</f>
        <v>Debuging the error (Jasper end as well as Query end) and discuss with RM about logic </v>
      </c>
      <c r="C1123" s="82">
        <f>IFERROR(__xludf.DUMMYFUNCTION("""COMPUTED_VALUE"""),5085.0)</f>
        <v>5085</v>
      </c>
      <c r="D1123" s="76" t="str">
        <f>IFERROR(__xludf.DUMMYFUNCTION("""COMPUTED_VALUE"""),"Grade Card NEP (PG)")</f>
        <v>Grade Card NEP (PG)</v>
      </c>
      <c r="E1123" s="84">
        <f>IFERROR(__xludf.DUMMYFUNCTION("""COMPUTED_VALUE"""),46119.80854907407)</f>
        <v>46119.80855</v>
      </c>
      <c r="F1123" s="86">
        <f>IFERROR(__xludf.DUMMYFUNCTION("""COMPUTED_VALUE"""),46119.554276608804)</f>
        <v>46119.55428</v>
      </c>
      <c r="G1123" s="86" t="str">
        <f>IFERROR(__xludf.DUMMYFUNCTION("""COMPUTED_VALUE"""),"Done")</f>
        <v>Done</v>
      </c>
      <c r="H1123" s="88">
        <f>IFERROR(__xludf.DUMMYFUNCTION("""COMPUTED_VALUE"""),0.0)</f>
        <v>0</v>
      </c>
      <c r="I1123" s="90" t="str">
        <f>IFERROR(__xludf.DUMMYFUNCTION("""COMPUTED_VALUE"""),"EMP5009 Rup Kumar Mandal")</f>
        <v>EMP5009 Rup Kumar Mandal</v>
      </c>
      <c r="J1123" s="91">
        <f t="shared" si="1"/>
        <v>-0.2542724653</v>
      </c>
    </row>
    <row r="1124">
      <c r="B1124" s="76" t="str">
        <f>IFERROR(__xludf.DUMMYFUNCTION("""COMPUTED_VALUE"""),"Debuging the error (Jasper end as well as Query end) and discuss with RM about logic ")</f>
        <v>Debuging the error (Jasper end as well as Query end) and discuss with RM about logic </v>
      </c>
      <c r="C1124" s="82">
        <f>IFERROR(__xludf.DUMMYFUNCTION("""COMPUTED_VALUE"""),5086.0)</f>
        <v>5086</v>
      </c>
      <c r="D1124" s="76" t="str">
        <f>IFERROR(__xludf.DUMMYFUNCTION("""COMPUTED_VALUE"""),"Multiple reports ")</f>
        <v>Multiple reports </v>
      </c>
      <c r="E1124" s="84">
        <f>IFERROR(__xludf.DUMMYFUNCTION("""COMPUTED_VALUE"""),46120.5625)</f>
        <v>46120.5625</v>
      </c>
      <c r="F1124" s="86">
        <f>IFERROR(__xludf.DUMMYFUNCTION("""COMPUTED_VALUE"""),46119.70885222222)</f>
        <v>46119.70885</v>
      </c>
      <c r="G1124" s="86" t="str">
        <f>IFERROR(__xludf.DUMMYFUNCTION("""COMPUTED_VALUE"""),"Done")</f>
        <v>Done</v>
      </c>
      <c r="H1124" s="88">
        <f>IFERROR(__xludf.DUMMYFUNCTION("""COMPUTED_VALUE"""),0.0)</f>
        <v>0</v>
      </c>
      <c r="I1124" s="90" t="str">
        <f>IFERROR(__xludf.DUMMYFUNCTION("""COMPUTED_VALUE"""),"EMP0042 HULESHWAR KUMAR SAHU")</f>
        <v>EMP0042 HULESHWAR KUMAR SAHU</v>
      </c>
      <c r="J1124" s="91">
        <f t="shared" si="1"/>
        <v>-0.8536477778</v>
      </c>
    </row>
    <row r="1125">
      <c r="B1125" s="76" t="str">
        <f>IFERROR(__xludf.DUMMYFUNCTION("""COMPUTED_VALUE"""),"Debuging the error (Jasper end as well as Query end) and discuss with RM about logic ")</f>
        <v>Debuging the error (Jasper end as well as Query end) and discuss with RM about logic </v>
      </c>
      <c r="C1125" s="82">
        <f>IFERROR(__xludf.DUMMYFUNCTION("""COMPUTED_VALUE"""),5087.0)</f>
        <v>5087</v>
      </c>
      <c r="D1125" s="76" t="str">
        <f>IFERROR(__xludf.DUMMYFUNCTION("""COMPUTED_VALUE"""),"Multiple reports ")</f>
        <v>Multiple reports </v>
      </c>
      <c r="E1125" s="84">
        <f>IFERROR(__xludf.DUMMYFUNCTION("""COMPUTED_VALUE"""),46120.57708333334)</f>
        <v>46120.57708</v>
      </c>
      <c r="F1125" s="86">
        <f>IFERROR(__xludf.DUMMYFUNCTION("""COMPUTED_VALUE"""),46119.71921416667)</f>
        <v>46119.71921</v>
      </c>
      <c r="G1125" s="86" t="str">
        <f>IFERROR(__xludf.DUMMYFUNCTION("""COMPUTED_VALUE"""),"Done")</f>
        <v>Done</v>
      </c>
      <c r="H1125" s="88">
        <f>IFERROR(__xludf.DUMMYFUNCTION("""COMPUTED_VALUE"""),0.0)</f>
        <v>0</v>
      </c>
      <c r="I1125" s="90" t="str">
        <f>IFERROR(__xludf.DUMMYFUNCTION("""COMPUTED_VALUE"""),"EMP0021 Tamanna Dewangan")</f>
        <v>EMP0021 Tamanna Dewangan</v>
      </c>
      <c r="J1125" s="91">
        <f t="shared" si="1"/>
        <v>-0.8578691667</v>
      </c>
    </row>
    <row r="1126">
      <c r="B1126" s="76" t="str">
        <f>IFERROR(__xludf.DUMMYFUNCTION("""COMPUTED_VALUE"""),"Debuging the error (Jasper end as well as Query end) and discuss with RM about logic ")</f>
        <v>Debuging the error (Jasper end as well as Query end) and discuss with RM about logic </v>
      </c>
      <c r="C1126" s="82">
        <f>IFERROR(__xludf.DUMMYFUNCTION("""COMPUTED_VALUE"""),5088.0)</f>
        <v>5088</v>
      </c>
      <c r="D1126" s="76" t="str">
        <f>IFERROR(__xludf.DUMMYFUNCTION("""COMPUTED_VALUE"""),"UPSHASTRI MARKSHEET")</f>
        <v>UPSHASTRI MARKSHEET</v>
      </c>
      <c r="E1126" s="84">
        <f>IFERROR(__xludf.DUMMYFUNCTION("""COMPUTED_VALUE"""),46120.788798622685)</f>
        <v>46120.7888</v>
      </c>
      <c r="F1126" s="86">
        <f>IFERROR(__xludf.DUMMYFUNCTION("""COMPUTED_VALUE"""),46120.642722476856)</f>
        <v>46120.64272</v>
      </c>
      <c r="G1126" s="86" t="str">
        <f>IFERROR(__xludf.DUMMYFUNCTION("""COMPUTED_VALUE"""),"Done")</f>
        <v>Done</v>
      </c>
      <c r="H1126" s="88">
        <f>IFERROR(__xludf.DUMMYFUNCTION("""COMPUTED_VALUE"""),0.0)</f>
        <v>0</v>
      </c>
      <c r="I1126" s="90" t="str">
        <f>IFERROR(__xludf.DUMMYFUNCTION("""COMPUTED_VALUE"""),"EMP0237 Swarnendu Chakraborty")</f>
        <v>EMP0237 Swarnendu Chakraborty</v>
      </c>
      <c r="J1126" s="91">
        <f t="shared" si="1"/>
        <v>-0.1460761458</v>
      </c>
    </row>
    <row r="1127">
      <c r="B1127" s="76" t="str">
        <f>IFERROR(__xludf.DUMMYFUNCTION("""COMPUTED_VALUE"""),"Debuging the error (Jasper end as well as Query end) and discuss with RM about logic ")</f>
        <v>Debuging the error (Jasper end as well as Query end) and discuss with RM about logic </v>
      </c>
      <c r="C1127" s="82">
        <f>IFERROR(__xludf.DUMMYFUNCTION("""COMPUTED_VALUE"""),5089.0)</f>
        <v>5089</v>
      </c>
      <c r="D1127" s="76" t="str">
        <f>IFERROR(__xludf.DUMMYFUNCTION("""COMPUTED_VALUE"""),"Marksheet Paramedical")</f>
        <v>Marksheet Paramedical</v>
      </c>
      <c r="E1127" s="84">
        <f>IFERROR(__xludf.DUMMYFUNCTION("""COMPUTED_VALUE"""),46120.81275994213)</f>
        <v>46120.81276</v>
      </c>
      <c r="F1127" s="86">
        <f>IFERROR(__xludf.DUMMYFUNCTION("""COMPUTED_VALUE"""),46120.64273501157)</f>
        <v>46120.64274</v>
      </c>
      <c r="G1127" s="86" t="str">
        <f>IFERROR(__xludf.DUMMYFUNCTION("""COMPUTED_VALUE"""),"Done")</f>
        <v>Done</v>
      </c>
      <c r="H1127" s="88">
        <f>IFERROR(__xludf.DUMMYFUNCTION("""COMPUTED_VALUE"""),0.0)</f>
        <v>0</v>
      </c>
      <c r="I1127" s="90" t="str">
        <f>IFERROR(__xludf.DUMMYFUNCTION("""COMPUTED_VALUE"""),"EMP0042 HULESHWAR KUMAR SAHU")</f>
        <v>EMP0042 HULESHWAR KUMAR SAHU</v>
      </c>
      <c r="J1127" s="91">
        <f t="shared" si="1"/>
        <v>-0.1700249306</v>
      </c>
    </row>
    <row r="1128">
      <c r="B1128" s="76" t="str">
        <f>IFERROR(__xludf.DUMMYFUNCTION("""COMPUTED_VALUE"""),"Debuging the error (Jasper end as well as Query end) and discuss with RM about logic ")</f>
        <v>Debuging the error (Jasper end as well as Query end) and discuss with RM about logic </v>
      </c>
      <c r="C1128" s="82">
        <f>IFERROR(__xludf.DUMMYFUNCTION("""COMPUTED_VALUE"""),5090.0)</f>
        <v>5090</v>
      </c>
      <c r="D1128" s="76" t="str">
        <f>IFERROR(__xludf.DUMMYFUNCTION("""COMPUTED_VALUE"""),"Methodology Deviation Report")</f>
        <v>Methodology Deviation Report</v>
      </c>
      <c r="E1128" s="84">
        <f>IFERROR(__xludf.DUMMYFUNCTION("""COMPUTED_VALUE"""),46121.57847222222)</f>
        <v>46121.57847</v>
      </c>
      <c r="F1128" s="86">
        <f>IFERROR(__xludf.DUMMYFUNCTION("""COMPUTED_VALUE"""),46120.731359756945)</f>
        <v>46120.73136</v>
      </c>
      <c r="G1128" s="86" t="str">
        <f>IFERROR(__xludf.DUMMYFUNCTION("""COMPUTED_VALUE"""),"Done")</f>
        <v>Done</v>
      </c>
      <c r="H1128" s="88">
        <f>IFERROR(__xludf.DUMMYFUNCTION("""COMPUTED_VALUE"""),0.0)</f>
        <v>0</v>
      </c>
      <c r="I1128" s="90" t="str">
        <f>IFERROR(__xludf.DUMMYFUNCTION("""COMPUTED_VALUE"""),"EMP0042 HULESHWAR KUMAR SAHU")</f>
        <v>EMP0042 HULESHWAR KUMAR SAHU</v>
      </c>
      <c r="J1128" s="91">
        <f t="shared" si="1"/>
        <v>-0.8471124653</v>
      </c>
    </row>
    <row r="1129">
      <c r="B1129" s="76" t="str">
        <f>IFERROR(__xludf.DUMMYFUNCTION("""COMPUTED_VALUE"""),"Debuging the error (Jasper end as well as Query end) and discuss with RM about logic ")</f>
        <v>Debuging the error (Jasper end as well as Query end) and discuss with RM about logic </v>
      </c>
      <c r="C1129" s="82">
        <f>IFERROR(__xludf.DUMMYFUNCTION("""COMPUTED_VALUE"""),5091.0)</f>
        <v>5091</v>
      </c>
      <c r="D1129" s="76" t="str">
        <f>IFERROR(__xludf.DUMMYFUNCTION("""COMPUTED_VALUE"""),"TR")</f>
        <v>TR</v>
      </c>
      <c r="E1129" s="84">
        <f>IFERROR(__xludf.DUMMYFUNCTION("""COMPUTED_VALUE"""),46121.5875)</f>
        <v>46121.5875</v>
      </c>
      <c r="F1129" s="86">
        <f>IFERROR(__xludf.DUMMYFUNCTION("""COMPUTED_VALUE"""),46120.73137719907)</f>
        <v>46120.73138</v>
      </c>
      <c r="G1129" s="86" t="str">
        <f>IFERROR(__xludf.DUMMYFUNCTION("""COMPUTED_VALUE"""),"Done")</f>
        <v>Done</v>
      </c>
      <c r="H1129" s="88">
        <f>IFERROR(__xludf.DUMMYFUNCTION("""COMPUTED_VALUE"""),0.0)</f>
        <v>0</v>
      </c>
      <c r="I1129" s="90" t="str">
        <f>IFERROR(__xludf.DUMMYFUNCTION("""COMPUTED_VALUE"""),"EMP0021 Tamanna Dewangan")</f>
        <v>EMP0021 Tamanna Dewangan</v>
      </c>
      <c r="J1129" s="91">
        <f t="shared" si="1"/>
        <v>-0.8561228009</v>
      </c>
    </row>
    <row r="1130">
      <c r="B1130" s="76" t="str">
        <f>IFERROR(__xludf.DUMMYFUNCTION("""COMPUTED_VALUE"""),"Debuging the error (Jasper end as well as Query end) and discuss with RM about logic ")</f>
        <v>Debuging the error (Jasper end as well as Query end) and discuss with RM about logic </v>
      </c>
      <c r="C1130" s="82">
        <f>IFERROR(__xludf.DUMMYFUNCTION("""COMPUTED_VALUE"""),5092.0)</f>
        <v>5092</v>
      </c>
      <c r="D1130" s="76" t="str">
        <f>IFERROR(__xludf.DUMMYFUNCTION("""COMPUTED_VALUE"""),"TR ")</f>
        <v>TR </v>
      </c>
      <c r="E1130" s="84">
        <f>IFERROR(__xludf.DUMMYFUNCTION("""COMPUTED_VALUE"""),46121.58819444444)</f>
        <v>46121.58819</v>
      </c>
      <c r="F1130" s="86">
        <f>IFERROR(__xludf.DUMMYFUNCTION("""COMPUTED_VALUE"""),46120.73139664352)</f>
        <v>46120.7314</v>
      </c>
      <c r="G1130" s="86" t="str">
        <f>IFERROR(__xludf.DUMMYFUNCTION("""COMPUTED_VALUE"""),"Done")</f>
        <v>Done</v>
      </c>
      <c r="H1130" s="88">
        <f>IFERROR(__xludf.DUMMYFUNCTION("""COMPUTED_VALUE"""),0.0)</f>
        <v>0</v>
      </c>
      <c r="I1130" s="90" t="str">
        <f>IFERROR(__xludf.DUMMYFUNCTION("""COMPUTED_VALUE"""),"EMP0042 HULESHWAR KUMAR SAHU")</f>
        <v>EMP0042 HULESHWAR KUMAR SAHU</v>
      </c>
      <c r="J1130" s="91">
        <f t="shared" si="1"/>
        <v>-0.8567978009</v>
      </c>
    </row>
    <row r="1131">
      <c r="B1131" s="76" t="str">
        <f>IFERROR(__xludf.DUMMYFUNCTION("""COMPUTED_VALUE"""),"Debuging the error (Jasper end as well as Query end) and discuss with RM about logic ")</f>
        <v>Debuging the error (Jasper end as well as Query end) and discuss with RM about logic </v>
      </c>
      <c r="C1131" s="82">
        <f>IFERROR(__xludf.DUMMYFUNCTION("""COMPUTED_VALUE"""),5093.0)</f>
        <v>5093</v>
      </c>
      <c r="D1131" s="76" t="str">
        <f>IFERROR(__xludf.DUMMYFUNCTION("""COMPUTED_VALUE"""),"TR")</f>
        <v>TR</v>
      </c>
      <c r="E1131" s="84">
        <f>IFERROR(__xludf.DUMMYFUNCTION("""COMPUTED_VALUE"""),46121.81380048611)</f>
        <v>46121.8138</v>
      </c>
      <c r="F1131" s="86">
        <f>IFERROR(__xludf.DUMMYFUNCTION("""COMPUTED_VALUE"""),46121.645024143516)</f>
        <v>46121.64502</v>
      </c>
      <c r="G1131" s="86" t="str">
        <f>IFERROR(__xludf.DUMMYFUNCTION("""COMPUTED_VALUE"""),"Done")</f>
        <v>Done</v>
      </c>
      <c r="H1131" s="88">
        <f>IFERROR(__xludf.DUMMYFUNCTION("""COMPUTED_VALUE"""),0.0)</f>
        <v>0</v>
      </c>
      <c r="I1131" s="90" t="str">
        <f>IFERROR(__xludf.DUMMYFUNCTION("""COMPUTED_VALUE"""),"EMP5009 Rup Kumar Mandal")</f>
        <v>EMP5009 Rup Kumar Mandal</v>
      </c>
      <c r="J1131" s="91">
        <f t="shared" si="1"/>
        <v>-0.1687763426</v>
      </c>
    </row>
    <row r="1132">
      <c r="B1132" s="76" t="str">
        <f>IFERROR(__xludf.DUMMYFUNCTION("""COMPUTED_VALUE"""),"Debuging the error (Jasper end as well as Query end) and discuss with RM about logic ")</f>
        <v>Debuging the error (Jasper end as well as Query end) and discuss with RM about logic </v>
      </c>
      <c r="C1132" s="82">
        <f>IFERROR(__xludf.DUMMYFUNCTION("""COMPUTED_VALUE"""),5094.0)</f>
        <v>5094</v>
      </c>
      <c r="D1132" s="76" t="str">
        <f>IFERROR(__xludf.DUMMYFUNCTION("""COMPUTED_VALUE"""),"Result Data")</f>
        <v>Result Data</v>
      </c>
      <c r="E1132" s="84">
        <f>IFERROR(__xludf.DUMMYFUNCTION("""COMPUTED_VALUE"""),46122.45208333334)</f>
        <v>46122.45208</v>
      </c>
      <c r="F1132" s="86">
        <f>IFERROR(__xludf.DUMMYFUNCTION("""COMPUTED_VALUE"""),46121.645024143516)</f>
        <v>46121.64502</v>
      </c>
      <c r="G1132" s="86" t="str">
        <f>IFERROR(__xludf.DUMMYFUNCTION("""COMPUTED_VALUE"""),"Done")</f>
        <v>Done</v>
      </c>
      <c r="H1132" s="88">
        <f>IFERROR(__xludf.DUMMYFUNCTION("""COMPUTED_VALUE"""),0.0)</f>
        <v>0</v>
      </c>
      <c r="I1132" s="90" t="str">
        <f>IFERROR(__xludf.DUMMYFUNCTION("""COMPUTED_VALUE"""),"EMP0237 Swarnendu Chakraborty")</f>
        <v>EMP0237 Swarnendu Chakraborty</v>
      </c>
      <c r="J1132" s="91">
        <f t="shared" si="1"/>
        <v>-0.8070591898</v>
      </c>
    </row>
    <row r="1133">
      <c r="B1133" s="76" t="str">
        <f>IFERROR(__xludf.DUMMYFUNCTION("""COMPUTED_VALUE"""),"Debuging the error (Jasper end as well as Query end) and discuss with RM about logic ")</f>
        <v>Debuging the error (Jasper end as well as Query end) and discuss with RM about logic </v>
      </c>
      <c r="C1133" s="82">
        <f>IFERROR(__xludf.DUMMYFUNCTION("""COMPUTED_VALUE"""),5095.0)</f>
        <v>5095</v>
      </c>
      <c r="D1133" s="76" t="str">
        <f>IFERROR(__xludf.DUMMYFUNCTION("""COMPUTED_VALUE"""),"TR semester (NEW)")</f>
        <v>TR semester (NEW)</v>
      </c>
      <c r="E1133" s="84">
        <f>IFERROR(__xludf.DUMMYFUNCTION("""COMPUTED_VALUE"""),46122.52638888889)</f>
        <v>46122.52639</v>
      </c>
      <c r="F1133" s="86">
        <f>IFERROR(__xludf.DUMMYFUNCTION("""COMPUTED_VALUE"""),46121.64520241898)</f>
        <v>46121.6452</v>
      </c>
      <c r="G1133" s="86" t="str">
        <f>IFERROR(__xludf.DUMMYFUNCTION("""COMPUTED_VALUE"""),"Done")</f>
        <v>Done</v>
      </c>
      <c r="H1133" s="88">
        <f>IFERROR(__xludf.DUMMYFUNCTION("""COMPUTED_VALUE"""),0.0)</f>
        <v>0</v>
      </c>
      <c r="I1133" s="90" t="str">
        <f>IFERROR(__xludf.DUMMYFUNCTION("""COMPUTED_VALUE"""),"EMP5009 Rup Kumar Mandal")</f>
        <v>EMP5009 Rup Kumar Mandal</v>
      </c>
      <c r="J1133" s="91">
        <f t="shared" si="1"/>
        <v>-0.8811864699</v>
      </c>
    </row>
    <row r="1134">
      <c r="B1134" s="76" t="str">
        <f>IFERROR(__xludf.DUMMYFUNCTION("""COMPUTED_VALUE"""),"Debuging the error (Jasper end as well as Query end) and discuss with RM about logic ")</f>
        <v>Debuging the error (Jasper end as well as Query end) and discuss with RM about logic </v>
      </c>
      <c r="C1134" s="82">
        <f>IFERROR(__xludf.DUMMYFUNCTION("""COMPUTED_VALUE"""),5096.0)</f>
        <v>5096</v>
      </c>
      <c r="D1134" s="76" t="str">
        <f>IFERROR(__xludf.DUMMYFUNCTION("""COMPUTED_VALUE"""),"Grade Carde B.Tech")</f>
        <v>Grade Carde B.Tech</v>
      </c>
      <c r="E1134" s="84">
        <f>IFERROR(__xludf.DUMMYFUNCTION("""COMPUTED_VALUE"""),46122.53125)</f>
        <v>46122.53125</v>
      </c>
      <c r="F1134" s="86">
        <f>IFERROR(__xludf.DUMMYFUNCTION("""COMPUTED_VALUE"""),46121.69308559028)</f>
        <v>46121.69309</v>
      </c>
      <c r="G1134" s="86" t="str">
        <f>IFERROR(__xludf.DUMMYFUNCTION("""COMPUTED_VALUE"""),"Done")</f>
        <v>Done</v>
      </c>
      <c r="H1134" s="88">
        <f>IFERROR(__xludf.DUMMYFUNCTION("""COMPUTED_VALUE"""),0.0)</f>
        <v>0</v>
      </c>
      <c r="I1134" s="90" t="str">
        <f>IFERROR(__xludf.DUMMYFUNCTION("""COMPUTED_VALUE"""),"EMP0042 HULESHWAR KUMAR SAHU")</f>
        <v>EMP0042 HULESHWAR KUMAR SAHU</v>
      </c>
      <c r="J1134" s="91">
        <f t="shared" si="1"/>
        <v>-0.8381644097</v>
      </c>
    </row>
    <row r="1135">
      <c r="B1135" s="76" t="str">
        <f>IFERROR(__xludf.DUMMYFUNCTION("""COMPUTED_VALUE"""),"Debuging the error (Jasper end as well as Query end) and discuss with RM about logic ")</f>
        <v>Debuging the error (Jasper end as well as Query end) and discuss with RM about logic </v>
      </c>
      <c r="C1135" s="82">
        <f>IFERROR(__xludf.DUMMYFUNCTION("""COMPUTED_VALUE"""),5097.0)</f>
        <v>5097</v>
      </c>
      <c r="D1135" s="76" t="str">
        <f>IFERROR(__xludf.DUMMYFUNCTION("""COMPUTED_VALUE"""),"Shastri Semester Marksheet publication date to current date change")</f>
        <v>Shastri Semester Marksheet publication date to current date change</v>
      </c>
      <c r="E1135" s="84">
        <f>IFERROR(__xludf.DUMMYFUNCTION("""COMPUTED_VALUE"""),46123.41666666667)</f>
        <v>46123.41667</v>
      </c>
      <c r="F1135" s="86">
        <f>IFERROR(__xludf.DUMMYFUNCTION("""COMPUTED_VALUE"""),46122.63407425926)</f>
        <v>46122.63407</v>
      </c>
      <c r="G1135" s="86" t="str">
        <f>IFERROR(__xludf.DUMMYFUNCTION("""COMPUTED_VALUE"""),"Done")</f>
        <v>Done</v>
      </c>
      <c r="H1135" s="88">
        <f>IFERROR(__xludf.DUMMYFUNCTION("""COMPUTED_VALUE"""),0.0)</f>
        <v>0</v>
      </c>
      <c r="I1135" s="90" t="str">
        <f>IFERROR(__xludf.DUMMYFUNCTION("""COMPUTED_VALUE"""),"EMP0021 Tamanna Dewangan")</f>
        <v>EMP0021 Tamanna Dewangan</v>
      </c>
      <c r="J1135" s="91">
        <f t="shared" si="1"/>
        <v>-0.7825924074</v>
      </c>
    </row>
    <row r="1136">
      <c r="B1136" s="76" t="str">
        <f>IFERROR(__xludf.DUMMYFUNCTION("""COMPUTED_VALUE"""),"Debuging the error (Jasper end as well as Query end) and discuss with RM about logic ")</f>
        <v>Debuging the error (Jasper end as well as Query end) and discuss with RM about logic </v>
      </c>
      <c r="C1136" s="82">
        <f>IFERROR(__xludf.DUMMYFUNCTION("""COMPUTED_VALUE"""),5098.0)</f>
        <v>5098</v>
      </c>
      <c r="D1136" s="76" t="str">
        <f>IFERROR(__xludf.DUMMYFUNCTION("""COMPUTED_VALUE"""),"GRADE CARD AGRICULTURE")</f>
        <v>GRADE CARD AGRICULTURE</v>
      </c>
      <c r="E1136" s="84">
        <f>IFERROR(__xludf.DUMMYFUNCTION("""COMPUTED_VALUE"""),46126.554861111115)</f>
        <v>46126.55486</v>
      </c>
      <c r="F1136" s="86">
        <f>IFERROR(__xludf.DUMMYFUNCTION("""COMPUTED_VALUE"""),46125.719063449076)</f>
        <v>46125.71906</v>
      </c>
      <c r="G1136" s="86" t="str">
        <f>IFERROR(__xludf.DUMMYFUNCTION("""COMPUTED_VALUE"""),"Done")</f>
        <v>Done</v>
      </c>
      <c r="H1136" s="88">
        <f>IFERROR(__xludf.DUMMYFUNCTION("""COMPUTED_VALUE"""),0.0)</f>
        <v>0</v>
      </c>
      <c r="I1136" s="90" t="str">
        <f>IFERROR(__xludf.DUMMYFUNCTION("""COMPUTED_VALUE"""),"EMP0042 HULESHWAR KUMAR SAHU")</f>
        <v>EMP0042 HULESHWAR KUMAR SAHU</v>
      </c>
      <c r="J1136" s="91">
        <f t="shared" si="1"/>
        <v>-0.835797662</v>
      </c>
    </row>
    <row r="1137">
      <c r="B1137" s="76" t="str">
        <f>IFERROR(__xludf.DUMMYFUNCTION("""COMPUTED_VALUE"""),"Debuging the error (Jasper end as well as Query end) and discuss with RM about logic ")</f>
        <v>Debuging the error (Jasper end as well as Query end) and discuss with RM about logic </v>
      </c>
      <c r="C1137" s="82">
        <f>IFERROR(__xludf.DUMMYFUNCTION("""COMPUTED_VALUE"""),5099.0)</f>
        <v>5099</v>
      </c>
      <c r="D1137" s="76" t="str">
        <f>IFERROR(__xludf.DUMMYFUNCTION("""COMPUTED_VALUE"""),"TR_phd_NEW_FORMAT")</f>
        <v>TR_phd_NEW_FORMAT</v>
      </c>
      <c r="E1137" s="84">
        <f>IFERROR(__xludf.DUMMYFUNCTION("""COMPUTED_VALUE"""),46126.555555555555)</f>
        <v>46126.55556</v>
      </c>
      <c r="F1137" s="86">
        <f>IFERROR(__xludf.DUMMYFUNCTION("""COMPUTED_VALUE"""),46125.719084236116)</f>
        <v>46125.71908</v>
      </c>
      <c r="G1137" s="86" t="str">
        <f>IFERROR(__xludf.DUMMYFUNCTION("""COMPUTED_VALUE"""),"Done")</f>
        <v>Done</v>
      </c>
      <c r="H1137" s="88">
        <f>IFERROR(__xludf.DUMMYFUNCTION("""COMPUTED_VALUE"""),0.0)</f>
        <v>0</v>
      </c>
      <c r="I1137" s="90" t="str">
        <f>IFERROR(__xludf.DUMMYFUNCTION("""COMPUTED_VALUE"""),"EMP0042 HULESHWAR KUMAR SAHU")</f>
        <v>EMP0042 HULESHWAR KUMAR SAHU</v>
      </c>
      <c r="J1137" s="91">
        <f t="shared" si="1"/>
        <v>-0.8364713194</v>
      </c>
    </row>
    <row r="1138">
      <c r="B1138" s="76" t="str">
        <f>IFERROR(__xludf.DUMMYFUNCTION("""COMPUTED_VALUE"""),"Debuging the error (Jasper end as well as Query end) and discuss with RM about logic ")</f>
        <v>Debuging the error (Jasper end as well as Query end) and discuss with RM about logic </v>
      </c>
      <c r="C1138" s="82">
        <f>IFERROR(__xludf.DUMMYFUNCTION("""COMPUTED_VALUE"""),5100.0)</f>
        <v>5100</v>
      </c>
      <c r="D1138" s="76" t="str">
        <f>IFERROR(__xludf.DUMMYFUNCTION("""COMPUTED_VALUE"""),"Session - 2024-25 (S), MBBS ,SUPPLEMENTARY. 1st Professional MBBS Examination 2025 (II), correction in the  supplementary marksheet.")</f>
        <v>Session - 2024-25 (S), MBBS ,SUPPLEMENTARY. 1st Professional MBBS Examination 2025 (II), correction in the  supplementary marksheet.</v>
      </c>
      <c r="E1138" s="84">
        <f>IFERROR(__xludf.DUMMYFUNCTION("""COMPUTED_VALUE"""),46127.54583333334)</f>
        <v>46127.54583</v>
      </c>
      <c r="F1138" s="86">
        <f>IFERROR(__xludf.DUMMYFUNCTION("""COMPUTED_VALUE"""),46126.78162519676)</f>
        <v>46126.78163</v>
      </c>
      <c r="G1138" s="86" t="str">
        <f>IFERROR(__xludf.DUMMYFUNCTION("""COMPUTED_VALUE"""),"Done")</f>
        <v>Done</v>
      </c>
      <c r="H1138" s="88">
        <f>IFERROR(__xludf.DUMMYFUNCTION("""COMPUTED_VALUE"""),0.0)</f>
        <v>0</v>
      </c>
      <c r="I1138" s="90" t="str">
        <f>IFERROR(__xludf.DUMMYFUNCTION("""COMPUTED_VALUE"""),"EMP0042 HULESHWAR KUMAR SAHU")</f>
        <v>EMP0042 HULESHWAR KUMAR SAHU</v>
      </c>
      <c r="J1138" s="91">
        <f t="shared" si="1"/>
        <v>-0.7642081366</v>
      </c>
    </row>
    <row r="1139">
      <c r="B1139" s="76" t="str">
        <f>IFERROR(__xludf.DUMMYFUNCTION("""COMPUTED_VALUE"""),"Debuging the error (Jasper end as well as Query end) and discuss with RM about logic ")</f>
        <v>Debuging the error (Jasper end as well as Query end) and discuss with RM about logic </v>
      </c>
      <c r="C1139" s="82">
        <f>IFERROR(__xludf.DUMMYFUNCTION("""COMPUTED_VALUE"""),5101.0)</f>
        <v>5101</v>
      </c>
      <c r="D1139" s="76" t="str">
        <f>IFERROR(__xludf.DUMMYFUNCTION("""COMPUTED_VALUE"""),"Upshastri marksheet not downloading SE23")</f>
        <v>Upshastri marksheet not downloading SE23</v>
      </c>
      <c r="E1139" s="84">
        <f>IFERROR(__xludf.DUMMYFUNCTION("""COMPUTED_VALUE"""),46128.44375)</f>
        <v>46128.44375</v>
      </c>
      <c r="F1139" s="86">
        <f>IFERROR(__xludf.DUMMYFUNCTION("""COMPUTED_VALUE"""),46127.6166)</f>
        <v>46127.6166</v>
      </c>
      <c r="G1139" s="86" t="str">
        <f>IFERROR(__xludf.DUMMYFUNCTION("""COMPUTED_VALUE"""),"Done")</f>
        <v>Done</v>
      </c>
      <c r="H1139" s="88">
        <f>IFERROR(__xludf.DUMMYFUNCTION("""COMPUTED_VALUE"""),0.0)</f>
        <v>0</v>
      </c>
      <c r="I1139" s="90" t="str">
        <f>IFERROR(__xludf.DUMMYFUNCTION("""COMPUTED_VALUE"""),"EMP0021 Tamanna Dewangan")</f>
        <v>EMP0021 Tamanna Dewangan</v>
      </c>
      <c r="J1139" s="91">
        <f t="shared" si="1"/>
        <v>-0.82715</v>
      </c>
    </row>
    <row r="1140">
      <c r="B1140" s="76" t="str">
        <f>IFERROR(__xludf.DUMMYFUNCTION("""COMPUTED_VALUE"""),"Debuging the error (Jasper end as well as Query end) and discuss with RM about logic ")</f>
        <v>Debuging the error (Jasper end as well as Query end) and discuss with RM about logic </v>
      </c>
      <c r="C1140" s="82">
        <f>IFERROR(__xludf.DUMMYFUNCTION("""COMPUTED_VALUE"""),5102.0)</f>
        <v>5102</v>
      </c>
      <c r="D1140" s="76" t="str">
        <f>IFERROR(__xludf.DUMMYFUNCTION("""COMPUTED_VALUE"""),"Marksheet cumulative nep major minor")</f>
        <v>Marksheet cumulative nep major minor</v>
      </c>
      <c r="E1140" s="84">
        <f>IFERROR(__xludf.DUMMYFUNCTION("""COMPUTED_VALUE"""),46128.76197791667)</f>
        <v>46128.76198</v>
      </c>
      <c r="F1140" s="86">
        <f>IFERROR(__xludf.DUMMYFUNCTION("""COMPUTED_VALUE"""),46128.516367199074)</f>
        <v>46128.51637</v>
      </c>
      <c r="G1140" s="86" t="str">
        <f>IFERROR(__xludf.DUMMYFUNCTION("""COMPUTED_VALUE"""),"Done")</f>
        <v>Done</v>
      </c>
      <c r="H1140" s="88">
        <f>IFERROR(__xludf.DUMMYFUNCTION("""COMPUTED_VALUE"""),0.0)</f>
        <v>0</v>
      </c>
      <c r="I1140" s="90" t="str">
        <f>IFERROR(__xludf.DUMMYFUNCTION("""COMPUTED_VALUE"""),"EMP0042 HULESHWAR KUMAR SAHU")</f>
        <v>EMP0042 HULESHWAR KUMAR SAHU</v>
      </c>
      <c r="J1140" s="91">
        <f t="shared" si="1"/>
        <v>-0.2456107176</v>
      </c>
    </row>
    <row r="1141">
      <c r="B1141" s="76" t="str">
        <f>IFERROR(__xludf.DUMMYFUNCTION("""COMPUTED_VALUE"""),"Debuging the error (Jasper end as well as Query end) and discuss with RM about logic ")</f>
        <v>Debuging the error (Jasper end as well as Query end) and discuss with RM about logic </v>
      </c>
      <c r="C1141" s="82">
        <f>IFERROR(__xludf.DUMMYFUNCTION("""COMPUTED_VALUE"""),5103.0)</f>
        <v>5103</v>
      </c>
      <c r="D1141" s="76" t="str">
        <f>IFERROR(__xludf.DUMMYFUNCTION("""COMPUTED_VALUE"""),"Multiple Report ")</f>
        <v>Multiple Report </v>
      </c>
      <c r="E1141" s="84">
        <f>IFERROR(__xludf.DUMMYFUNCTION("""COMPUTED_VALUE"""),46128.78024129629)</f>
        <v>46128.78024</v>
      </c>
      <c r="F1141" s="86">
        <f>IFERROR(__xludf.DUMMYFUNCTION("""COMPUTED_VALUE"""),46128.51634466435)</f>
        <v>46128.51634</v>
      </c>
      <c r="G1141" s="86" t="str">
        <f>IFERROR(__xludf.DUMMYFUNCTION("""COMPUTED_VALUE"""),"Done")</f>
        <v>Done</v>
      </c>
      <c r="H1141" s="88">
        <f>IFERROR(__xludf.DUMMYFUNCTION("""COMPUTED_VALUE"""),0.0)</f>
        <v>0</v>
      </c>
      <c r="I1141" s="90" t="str">
        <f>IFERROR(__xludf.DUMMYFUNCTION("""COMPUTED_VALUE"""),"EMP0042 HULESHWAR KUMAR SAHU")</f>
        <v>EMP0042 HULESHWAR KUMAR SAHU</v>
      </c>
      <c r="J1141" s="91">
        <f t="shared" si="1"/>
        <v>-0.2638966319</v>
      </c>
    </row>
    <row r="1142">
      <c r="B1142" s="76" t="str">
        <f>IFERROR(__xludf.DUMMYFUNCTION("""COMPUTED_VALUE"""),"Debuging the error (Jasper end as well as Query end) and discuss with RM about logic ")</f>
        <v>Debuging the error (Jasper end as well as Query end) and discuss with RM about logic </v>
      </c>
      <c r="C1142" s="82">
        <f>IFERROR(__xludf.DUMMYFUNCTION("""COMPUTED_VALUE"""),5104.0)</f>
        <v>5104</v>
      </c>
      <c r="D1142" s="76" t="str">
        <f>IFERROR(__xludf.DUMMYFUNCTION("""COMPUTED_VALUE"""),"TR")</f>
        <v>TR</v>
      </c>
      <c r="E1142" s="84">
        <f>IFERROR(__xludf.DUMMYFUNCTION("""COMPUTED_VALUE"""),46129.5375)</f>
        <v>46129.5375</v>
      </c>
      <c r="F1142" s="86">
        <f>IFERROR(__xludf.DUMMYFUNCTION("""COMPUTED_VALUE"""),46129.438846840276)</f>
        <v>46129.43885</v>
      </c>
      <c r="G1142" s="86" t="str">
        <f>IFERROR(__xludf.DUMMYFUNCTION("""COMPUTED_VALUE"""),"Done")</f>
        <v>Done</v>
      </c>
      <c r="H1142" s="88">
        <f>IFERROR(__xludf.DUMMYFUNCTION("""COMPUTED_VALUE"""),0.0)</f>
        <v>0</v>
      </c>
      <c r="I1142" s="90" t="str">
        <f>IFERROR(__xludf.DUMMYFUNCTION("""COMPUTED_VALUE"""),"EMP0042 HULESHWAR KUMAR SAHU")</f>
        <v>EMP0042 HULESHWAR KUMAR SAHU</v>
      </c>
      <c r="J1142" s="91">
        <f t="shared" si="1"/>
        <v>-0.09865315972</v>
      </c>
    </row>
    <row r="1143">
      <c r="B1143" s="76" t="str">
        <f>IFERROR(__xludf.DUMMYFUNCTION("""COMPUTED_VALUE"""),"Debuging the error (Jasper end as well as Query end) and discuss with RM about logic ")</f>
        <v>Debuging the error (Jasper end as well as Query end) and discuss with RM about logic </v>
      </c>
      <c r="C1143" s="82">
        <f>IFERROR(__xludf.DUMMYFUNCTION("""COMPUTED_VALUE"""),5105.0)</f>
        <v>5105</v>
      </c>
      <c r="D1143" s="76" t="str">
        <f>IFERROR(__xludf.DUMMYFUNCTION("""COMPUTED_VALUE"""),"Grade Carde B.Tech")</f>
        <v>Grade Carde B.Tech</v>
      </c>
      <c r="E1143" s="84">
        <f>IFERROR(__xludf.DUMMYFUNCTION("""COMPUTED_VALUE"""),46129.75070481482)</f>
        <v>46129.7507</v>
      </c>
      <c r="F1143" s="86">
        <f>IFERROR(__xludf.DUMMYFUNCTION("""COMPUTED_VALUE"""),46129.51068569445)</f>
        <v>46129.51069</v>
      </c>
      <c r="G1143" s="86" t="str">
        <f>IFERROR(__xludf.DUMMYFUNCTION("""COMPUTED_VALUE"""),"Done")</f>
        <v>Done</v>
      </c>
      <c r="H1143" s="88">
        <f>IFERROR(__xludf.DUMMYFUNCTION("""COMPUTED_VALUE"""),0.0)</f>
        <v>0</v>
      </c>
      <c r="I1143" s="90" t="str">
        <f>IFERROR(__xludf.DUMMYFUNCTION("""COMPUTED_VALUE"""),"EMP5009 Rup Kumar Mandal")</f>
        <v>EMP5009 Rup Kumar Mandal</v>
      </c>
      <c r="J1143" s="91">
        <f t="shared" si="1"/>
        <v>-0.2400191204</v>
      </c>
    </row>
    <row r="1144">
      <c r="B1144" s="76" t="str">
        <f>IFERROR(__xludf.DUMMYFUNCTION("""COMPUTED_VALUE"""),"Debuging the error (Jasper end as well as Query end) and discuss with RM about logic ")</f>
        <v>Debuging the error (Jasper end as well as Query end) and discuss with RM about logic </v>
      </c>
      <c r="C1144" s="82">
        <f>IFERROR(__xludf.DUMMYFUNCTION("""COMPUTED_VALUE"""),5106.0)</f>
        <v>5106</v>
      </c>
      <c r="D1144" s="76" t="str">
        <f>IFERROR(__xludf.DUMMYFUNCTION("""COMPUTED_VALUE"""),"TR.....&amp; ALL REPORTS")</f>
        <v>TR.....&amp; ALL REPORTS</v>
      </c>
      <c r="E1144" s="84">
        <f>IFERROR(__xludf.DUMMYFUNCTION("""COMPUTED_VALUE"""),46130.45416666666)</f>
        <v>46130.45417</v>
      </c>
      <c r="F1144" s="86">
        <f>IFERROR(__xludf.DUMMYFUNCTION("""COMPUTED_VALUE"""),46129.606488854166)</f>
        <v>46129.60649</v>
      </c>
      <c r="G1144" s="86" t="str">
        <f>IFERROR(__xludf.DUMMYFUNCTION("""COMPUTED_VALUE"""),"Done")</f>
        <v>Done</v>
      </c>
      <c r="H1144" s="88">
        <f>IFERROR(__xludf.DUMMYFUNCTION("""COMPUTED_VALUE"""),0.0)</f>
        <v>0</v>
      </c>
      <c r="I1144" s="90" t="str">
        <f>IFERROR(__xludf.DUMMYFUNCTION("""COMPUTED_VALUE"""),"EMP5009 Rup Kumar Mandal")</f>
        <v>EMP5009 Rup Kumar Mandal</v>
      </c>
      <c r="J1144" s="91">
        <f t="shared" si="1"/>
        <v>-0.8476778125</v>
      </c>
    </row>
    <row r="1145">
      <c r="B1145" s="76" t="str">
        <f>IFERROR(__xludf.DUMMYFUNCTION("""COMPUTED_VALUE"""),"Debuging the error (Jasper end as well as Query end) and discuss with RM about logic ")</f>
        <v>Debuging the error (Jasper end as well as Query end) and discuss with RM about logic </v>
      </c>
      <c r="C1145" s="82">
        <f>IFERROR(__xludf.DUMMYFUNCTION("""COMPUTED_VALUE"""),5107.0)</f>
        <v>5107</v>
      </c>
      <c r="D1145" s="76" t="str">
        <f>IFERROR(__xludf.DUMMYFUNCTION("""COMPUTED_VALUE"""),"TR.....&amp; all reports")</f>
        <v>TR.....&amp; all reports</v>
      </c>
      <c r="E1145" s="84">
        <f>IFERROR(__xludf.DUMMYFUNCTION("""COMPUTED_VALUE"""),46130.45625)</f>
        <v>46130.45625</v>
      </c>
      <c r="F1145" s="86">
        <f>IFERROR(__xludf.DUMMYFUNCTION("""COMPUTED_VALUE"""),46129.606504930554)</f>
        <v>46129.6065</v>
      </c>
      <c r="G1145" s="86" t="str">
        <f>IFERROR(__xludf.DUMMYFUNCTION("""COMPUTED_VALUE"""),"Done")</f>
        <v>Done</v>
      </c>
      <c r="H1145" s="88">
        <f>IFERROR(__xludf.DUMMYFUNCTION("""COMPUTED_VALUE"""),0.0)</f>
        <v>0</v>
      </c>
      <c r="I1145" s="90" t="str">
        <f>IFERROR(__xludf.DUMMYFUNCTION("""COMPUTED_VALUE"""),"EMP5009 Rup Kumar Mandal")</f>
        <v>EMP5009 Rup Kumar Mandal</v>
      </c>
      <c r="J1145" s="91">
        <f t="shared" si="1"/>
        <v>-0.8497450694</v>
      </c>
    </row>
    <row r="1146">
      <c r="B1146" s="76" t="str">
        <f>IFERROR(__xludf.DUMMYFUNCTION("""COMPUTED_VALUE"""),"Debuging the error (Jasper end as well as Query end) and discuss with RM about logic ")</f>
        <v>Debuging the error (Jasper end as well as Query end) and discuss with RM about logic </v>
      </c>
      <c r="C1146" s="82">
        <f>IFERROR(__xludf.DUMMYFUNCTION("""COMPUTED_VALUE"""),5108.0)</f>
        <v>5108</v>
      </c>
      <c r="D1146" s="76" t="str">
        <f>IFERROR(__xludf.DUMMYFUNCTION("""COMPUTED_VALUE"""),"Mark Entry")</f>
        <v>Mark Entry</v>
      </c>
      <c r="E1146" s="84">
        <f>IFERROR(__xludf.DUMMYFUNCTION("""COMPUTED_VALUE"""),46132.80370848379)</f>
        <v>46132.80371</v>
      </c>
      <c r="F1146" s="86">
        <f>IFERROR(__xludf.DUMMYFUNCTION("""COMPUTED_VALUE"""),46132.628132337966)</f>
        <v>46132.62813</v>
      </c>
      <c r="G1146" s="86" t="str">
        <f>IFERROR(__xludf.DUMMYFUNCTION("""COMPUTED_VALUE"""),"Done")</f>
        <v>Done</v>
      </c>
      <c r="H1146" s="88">
        <f>IFERROR(__xludf.DUMMYFUNCTION("""COMPUTED_VALUE"""),0.0)</f>
        <v>0</v>
      </c>
      <c r="I1146" s="90" t="str">
        <f>IFERROR(__xludf.DUMMYFUNCTION("""COMPUTED_VALUE"""),"EMP0237 Swarnendu Chakraborty")</f>
        <v>EMP0237 Swarnendu Chakraborty</v>
      </c>
      <c r="J1146" s="91">
        <f t="shared" si="1"/>
        <v>-0.1755761458</v>
      </c>
    </row>
    <row r="1147">
      <c r="B1147" s="76" t="str">
        <f>IFERROR(__xludf.DUMMYFUNCTION("""COMPUTED_VALUE"""),"Debuging the error (Jasper end as well as Query end) and discuss with RM about logic ")</f>
        <v>Debuging the error (Jasper end as well as Query end) and discuss with RM about logic </v>
      </c>
      <c r="C1147" s="82">
        <f>IFERROR(__xludf.DUMMYFUNCTION("""COMPUTED_VALUE"""),5109.0)</f>
        <v>5109</v>
      </c>
      <c r="D1147" s="76" t="str">
        <f>IFERROR(__xludf.DUMMYFUNCTION("""COMPUTED_VALUE"""),"Mark Entry")</f>
        <v>Mark Entry</v>
      </c>
      <c r="E1147" s="84">
        <f>IFERROR(__xludf.DUMMYFUNCTION("""COMPUTED_VALUE"""),46132.80534079861)</f>
        <v>46132.80534</v>
      </c>
      <c r="F1147" s="86">
        <f>IFERROR(__xludf.DUMMYFUNCTION("""COMPUTED_VALUE"""),46132.628352638894)</f>
        <v>46132.62835</v>
      </c>
      <c r="G1147" s="86" t="str">
        <f>IFERROR(__xludf.DUMMYFUNCTION("""COMPUTED_VALUE"""),"Done")</f>
        <v>Done</v>
      </c>
      <c r="H1147" s="88">
        <f>IFERROR(__xludf.DUMMYFUNCTION("""COMPUTED_VALUE"""),0.0)</f>
        <v>0</v>
      </c>
      <c r="I1147" s="90" t="str">
        <f>IFERROR(__xludf.DUMMYFUNCTION("""COMPUTED_VALUE"""),"EMP5009 Rup Kumar Mandal")</f>
        <v>EMP5009 Rup Kumar Mandal</v>
      </c>
      <c r="J1147" s="91">
        <f t="shared" si="1"/>
        <v>-0.1769881597</v>
      </c>
    </row>
    <row r="1148">
      <c r="B1148" s="76" t="str">
        <f>IFERROR(__xludf.DUMMYFUNCTION("""COMPUTED_VALUE"""),"Debuging the error (Jasper end as well as Query end) and discuss with RM about logic ")</f>
        <v>Debuging the error (Jasper end as well as Query end) and discuss with RM about logic </v>
      </c>
      <c r="C1148" s="82">
        <f>IFERROR(__xludf.DUMMYFUNCTION("""COMPUTED_VALUE"""),5110.0)</f>
        <v>5110</v>
      </c>
      <c r="D1148" s="76" t="str">
        <f>IFERROR(__xludf.DUMMYFUNCTION("""COMPUTED_VALUE"""),"RR ENROLLMENT FEES OVERALL")</f>
        <v>RR ENROLLMENT FEES OVERALL</v>
      </c>
      <c r="E1148" s="84">
        <f>IFERROR(__xludf.DUMMYFUNCTION("""COMPUTED_VALUE"""),46133.58333333333)</f>
        <v>46133.58333</v>
      </c>
      <c r="F1148" s="86">
        <f>IFERROR(__xludf.DUMMYFUNCTION("""COMPUTED_VALUE"""),46132.83249799769)</f>
        <v>46132.8325</v>
      </c>
      <c r="G1148" s="86" t="str">
        <f>IFERROR(__xludf.DUMMYFUNCTION("""COMPUTED_VALUE"""),"Done")</f>
        <v>Done</v>
      </c>
      <c r="H1148" s="88">
        <f>IFERROR(__xludf.DUMMYFUNCTION("""COMPUTED_VALUE"""),0.0)</f>
        <v>0</v>
      </c>
      <c r="I1148" s="90" t="str">
        <f>IFERROR(__xludf.DUMMYFUNCTION("""COMPUTED_VALUE"""),"EMP0042 HULESHWAR KUMAR SAHU")</f>
        <v>EMP0042 HULESHWAR KUMAR SAHU</v>
      </c>
      <c r="J1148" s="91">
        <f t="shared" si="1"/>
        <v>-0.7508353356</v>
      </c>
    </row>
    <row r="1149">
      <c r="B1149" s="76" t="str">
        <f>IFERROR(__xludf.DUMMYFUNCTION("""COMPUTED_VALUE"""),"Debuging the error (Jasper end as well as Query end) and discuss with RM about logic ")</f>
        <v>Debuging the error (Jasper end as well as Query end) and discuss with RM about logic </v>
      </c>
      <c r="C1149" s="82">
        <f>IFERROR(__xludf.DUMMYFUNCTION("""COMPUTED_VALUE"""),5111.0)</f>
        <v>5111</v>
      </c>
      <c r="D1149" s="76" t="str">
        <f>IFERROR(__xludf.DUMMYFUNCTION("""COMPUTED_VALUE"""),"3386")</f>
        <v>3386</v>
      </c>
      <c r="E1149" s="84">
        <f>IFERROR(__xludf.DUMMYFUNCTION("""COMPUTED_VALUE"""),46133.67569444445)</f>
        <v>46133.67569</v>
      </c>
      <c r="F1149" s="86">
        <f>IFERROR(__xludf.DUMMYFUNCTION("""COMPUTED_VALUE"""),46132.83248081018)</f>
        <v>46132.83248</v>
      </c>
      <c r="G1149" s="86" t="str">
        <f>IFERROR(__xludf.DUMMYFUNCTION("""COMPUTED_VALUE"""),"Done")</f>
        <v>Done</v>
      </c>
      <c r="H1149" s="88">
        <f>IFERROR(__xludf.DUMMYFUNCTION("""COMPUTED_VALUE"""),0.0)</f>
        <v>0</v>
      </c>
      <c r="I1149" s="90" t="str">
        <f>IFERROR(__xludf.DUMMYFUNCTION("""COMPUTED_VALUE"""),"EMP0021 Tamanna Dewangan")</f>
        <v>EMP0021 Tamanna Dewangan</v>
      </c>
      <c r="J1149" s="91">
        <f t="shared" si="1"/>
        <v>-0.8432136343</v>
      </c>
    </row>
    <row r="1150">
      <c r="B1150" s="76" t="str">
        <f>IFERROR(__xludf.DUMMYFUNCTION("""COMPUTED_VALUE"""),"Debuging the error (Jasper end as well as Query end) and discuss with RM about logic ")</f>
        <v>Debuging the error (Jasper end as well as Query end) and discuss with RM about logic </v>
      </c>
      <c r="C1150" s="82">
        <f>IFERROR(__xludf.DUMMYFUNCTION("""COMPUTED_VALUE"""),5112.0)</f>
        <v>5112</v>
      </c>
      <c r="D1150" s="76" t="str">
        <f>IFERROR(__xludf.DUMMYFUNCTION("""COMPUTED_VALUE"""),"Admit Card")</f>
        <v>Admit Card</v>
      </c>
      <c r="E1150" s="84">
        <f>IFERROR(__xludf.DUMMYFUNCTION("""COMPUTED_VALUE"""),46134.589583333334)</f>
        <v>46134.58958</v>
      </c>
      <c r="F1150" s="86">
        <f>IFERROR(__xludf.DUMMYFUNCTION("""COMPUTED_VALUE"""),46133.77973729167)</f>
        <v>46133.77974</v>
      </c>
      <c r="G1150" s="86" t="str">
        <f>IFERROR(__xludf.DUMMYFUNCTION("""COMPUTED_VALUE"""),"Done")</f>
        <v>Done</v>
      </c>
      <c r="H1150" s="88">
        <f>IFERROR(__xludf.DUMMYFUNCTION("""COMPUTED_VALUE"""),0.0)</f>
        <v>0</v>
      </c>
      <c r="I1150" s="90" t="str">
        <f>IFERROR(__xludf.DUMMYFUNCTION("""COMPUTED_VALUE"""),"EMP5009 Rup Kumar Mandal")</f>
        <v>EMP5009 Rup Kumar Mandal</v>
      </c>
      <c r="J1150" s="91">
        <f t="shared" si="1"/>
        <v>-0.8098460417</v>
      </c>
    </row>
    <row r="1151">
      <c r="B1151" s="76" t="str">
        <f>IFERROR(__xludf.DUMMYFUNCTION("""COMPUTED_VALUE"""),"Debuging the error (Jasper end as well as Query end) and discuss with RM about logic ")</f>
        <v>Debuging the error (Jasper end as well as Query end) and discuss with RM about logic </v>
      </c>
      <c r="C1151" s="82">
        <f>IFERROR(__xludf.DUMMYFUNCTION("""COMPUTED_VALUE"""),5113.0)</f>
        <v>5113</v>
      </c>
      <c r="D1151" s="76" t="str">
        <f>IFERROR(__xludf.DUMMYFUNCTION("""COMPUTED_VALUE"""),"Marks Sheet NEP")</f>
        <v>Marks Sheet NEP</v>
      </c>
      <c r="E1151" s="84">
        <f>IFERROR(__xludf.DUMMYFUNCTION("""COMPUTED_VALUE"""),46135.729283113425)</f>
        <v>46135.72928</v>
      </c>
      <c r="F1151" s="86">
        <f>IFERROR(__xludf.DUMMYFUNCTION("""COMPUTED_VALUE"""),46135.544491759254)</f>
        <v>46135.54449</v>
      </c>
      <c r="G1151" s="86" t="str">
        <f>IFERROR(__xludf.DUMMYFUNCTION("""COMPUTED_VALUE"""),"Done")</f>
        <v>Done</v>
      </c>
      <c r="H1151" s="88">
        <f>IFERROR(__xludf.DUMMYFUNCTION("""COMPUTED_VALUE"""),0.0)</f>
        <v>0</v>
      </c>
      <c r="I1151" s="90" t="str">
        <f>IFERROR(__xludf.DUMMYFUNCTION("""COMPUTED_VALUE"""),"EMP0042 HULESHWAR KUMAR SAHU")</f>
        <v>EMP0042 HULESHWAR KUMAR SAHU</v>
      </c>
      <c r="J1151" s="91">
        <f t="shared" si="1"/>
        <v>-0.1847913542</v>
      </c>
    </row>
    <row r="1152">
      <c r="B1152" s="76" t="str">
        <f>IFERROR(__xludf.DUMMYFUNCTION("""COMPUTED_VALUE"""),"Debuging the error (Jasper end as well as Query end) and discuss with RM about logic ")</f>
        <v>Debuging the error (Jasper end as well as Query end) and discuss with RM about logic </v>
      </c>
      <c r="C1152" s="82">
        <f>IFERROR(__xludf.DUMMYFUNCTION("""COMPUTED_VALUE"""),5114.0)</f>
        <v>5114</v>
      </c>
      <c r="D1152" s="76" t="str">
        <f>IFERROR(__xludf.DUMMYFUNCTION("""COMPUTED_VALUE"""),"Marks Sheet Old")</f>
        <v>Marks Sheet Old</v>
      </c>
      <c r="E1152" s="84">
        <f>IFERROR(__xludf.DUMMYFUNCTION("""COMPUTED_VALUE"""),46135.72986222222)</f>
        <v>46135.72986</v>
      </c>
      <c r="F1152" s="86">
        <f>IFERROR(__xludf.DUMMYFUNCTION("""COMPUTED_VALUE"""),46135.55299939815)</f>
        <v>46135.553</v>
      </c>
      <c r="G1152" s="86" t="str">
        <f>IFERROR(__xludf.DUMMYFUNCTION("""COMPUTED_VALUE"""),"Done")</f>
        <v>Done</v>
      </c>
      <c r="H1152" s="88">
        <f>IFERROR(__xludf.DUMMYFUNCTION("""COMPUTED_VALUE"""),0.0)</f>
        <v>0</v>
      </c>
      <c r="I1152" s="90" t="str">
        <f>IFERROR(__xludf.DUMMYFUNCTION("""COMPUTED_VALUE"""),"EMP0042 HULESHWAR KUMAR SAHU")</f>
        <v>EMP0042 HULESHWAR KUMAR SAHU</v>
      </c>
      <c r="J1152" s="91">
        <f t="shared" si="1"/>
        <v>-0.1768628241</v>
      </c>
    </row>
    <row r="1153">
      <c r="B1153" s="76" t="str">
        <f>IFERROR(__xludf.DUMMYFUNCTION("""COMPUTED_VALUE"""),"Debuging the error (Jasper end as well as Query end) and discuss with RM about logic ")</f>
        <v>Debuging the error (Jasper end as well as Query end) and discuss with RM about logic </v>
      </c>
      <c r="C1153" s="82">
        <f>IFERROR(__xludf.DUMMYFUNCTION("""COMPUTED_VALUE"""),5115.0)</f>
        <v>5115</v>
      </c>
      <c r="D1153" s="76" t="str">
        <f>IFERROR(__xludf.DUMMYFUNCTION("""COMPUTED_VALUE"""),"admitcard")</f>
        <v>admitcard</v>
      </c>
      <c r="E1153" s="84">
        <f>IFERROR(__xludf.DUMMYFUNCTION("""COMPUTED_VALUE"""),46135.79666987268)</f>
        <v>46135.79667</v>
      </c>
      <c r="F1153" s="86">
        <f>IFERROR(__xludf.DUMMYFUNCTION("""COMPUTED_VALUE"""),46135.54449696759)</f>
        <v>46135.5445</v>
      </c>
      <c r="G1153" s="86" t="str">
        <f>IFERROR(__xludf.DUMMYFUNCTION("""COMPUTED_VALUE"""),"Done")</f>
        <v>Done</v>
      </c>
      <c r="H1153" s="88">
        <f>IFERROR(__xludf.DUMMYFUNCTION("""COMPUTED_VALUE"""),0.0)</f>
        <v>0</v>
      </c>
      <c r="I1153" s="90" t="str">
        <f>IFERROR(__xludf.DUMMYFUNCTION("""COMPUTED_VALUE"""),"EMP5009 Rup Kumar Mandal")</f>
        <v>EMP5009 Rup Kumar Mandal</v>
      </c>
      <c r="J1153" s="91">
        <f t="shared" si="1"/>
        <v>-0.2521729051</v>
      </c>
    </row>
    <row r="1154">
      <c r="B1154" s="76" t="str">
        <f>IFERROR(__xludf.DUMMYFUNCTION("""COMPUTED_VALUE"""),"Debuging the error (Jasper end as well as Query end) and discuss with RM about logic ")</f>
        <v>Debuging the error (Jasper end as well as Query end) and discuss with RM about logic </v>
      </c>
      <c r="C1154" s="82">
        <f>IFERROR(__xludf.DUMMYFUNCTION("""COMPUTED_VALUE"""),5116.0)</f>
        <v>5116</v>
      </c>
      <c r="D1154" s="76" t="str">
        <f>IFERROR(__xludf.DUMMYFUNCTION("""COMPUTED_VALUE"""),"grade-card-nep")</f>
        <v>grade-card-nep</v>
      </c>
      <c r="E1154" s="84">
        <f>IFERROR(__xludf.DUMMYFUNCTION("""COMPUTED_VALUE"""),46135.80013535879)</f>
        <v>46135.80014</v>
      </c>
      <c r="F1154" s="86">
        <f>IFERROR(__xludf.DUMMYFUNCTION("""COMPUTED_VALUE"""),46135.54450788194)</f>
        <v>46135.54451</v>
      </c>
      <c r="G1154" s="86" t="str">
        <f>IFERROR(__xludf.DUMMYFUNCTION("""COMPUTED_VALUE"""),"Done")</f>
        <v>Done</v>
      </c>
      <c r="H1154" s="88">
        <f>IFERROR(__xludf.DUMMYFUNCTION("""COMPUTED_VALUE"""),0.0)</f>
        <v>0</v>
      </c>
      <c r="I1154" s="90" t="str">
        <f>IFERROR(__xludf.DUMMYFUNCTION("""COMPUTED_VALUE"""),"EMP0021 Tamanna Dewangan")</f>
        <v>EMP0021 Tamanna Dewangan</v>
      </c>
      <c r="J1154" s="91">
        <f t="shared" si="1"/>
        <v>-0.2556274769</v>
      </c>
    </row>
    <row r="1155">
      <c r="B1155" s="76" t="str">
        <f>IFERROR(__xludf.DUMMYFUNCTION("""COMPUTED_VALUE"""),"Debuging the error (Jasper end as well as Query end) and discuss with RM about logic ")</f>
        <v>Debuging the error (Jasper end as well as Query end) and discuss with RM about logic </v>
      </c>
      <c r="C1155" s="82">
        <f>IFERROR(__xludf.DUMMYFUNCTION("""COMPUTED_VALUE"""),5117.0)</f>
        <v>5117</v>
      </c>
      <c r="D1155" s="76" t="str">
        <f>IFERROR(__xludf.DUMMYFUNCTION("""COMPUTED_VALUE"""),"Regarding BA/BCom-6th Sem Practical/Sessional Award Sheet")</f>
        <v>Regarding BA/BCom-6th Sem Practical/Sessional Award Sheet</v>
      </c>
      <c r="E1155" s="84">
        <f>IFERROR(__xludf.DUMMYFUNCTION("""COMPUTED_VALUE"""),46136.495833333334)</f>
        <v>46136.49583</v>
      </c>
      <c r="F1155" s="86">
        <f>IFERROR(__xludf.DUMMYFUNCTION("""COMPUTED_VALUE"""),46135.633369097224)</f>
        <v>46135.63337</v>
      </c>
      <c r="G1155" s="86" t="str">
        <f>IFERROR(__xludf.DUMMYFUNCTION("""COMPUTED_VALUE"""),"Done")</f>
        <v>Done</v>
      </c>
      <c r="H1155" s="88">
        <f>IFERROR(__xludf.DUMMYFUNCTION("""COMPUTED_VALUE"""),0.0)</f>
        <v>0</v>
      </c>
      <c r="I1155" s="90" t="str">
        <f>IFERROR(__xludf.DUMMYFUNCTION("""COMPUTED_VALUE"""),"EMP0237 Swarnendu Chakraborty")</f>
        <v>EMP0237 Swarnendu Chakraborty</v>
      </c>
      <c r="J1155" s="91">
        <f t="shared" si="1"/>
        <v>-0.8624642361</v>
      </c>
    </row>
    <row r="1156">
      <c r="B1156" s="76" t="str">
        <f>IFERROR(__xludf.DUMMYFUNCTION("""COMPUTED_VALUE"""),"Debuging the error (Jasper end as well as Query end) and discuss with RM about logic ")</f>
        <v>Debuging the error (Jasper end as well as Query end) and discuss with RM about logic </v>
      </c>
      <c r="C1156" s="82">
        <f>IFERROR(__xludf.DUMMYFUNCTION("""COMPUTED_VALUE"""),5118.0)</f>
        <v>5118</v>
      </c>
      <c r="D1156" s="76" t="str">
        <f>IFERROR(__xludf.DUMMYFUNCTION("""COMPUTED_VALUE"""),"TR semester (NEW)")</f>
        <v>TR semester (NEW)</v>
      </c>
      <c r="E1156" s="84">
        <f>IFERROR(__xludf.DUMMYFUNCTION("""COMPUTED_VALUE"""),46136.523611111115)</f>
        <v>46136.52361</v>
      </c>
      <c r="F1156" s="86">
        <f>IFERROR(__xludf.DUMMYFUNCTION("""COMPUTED_VALUE"""),46135.65621133102)</f>
        <v>46135.65621</v>
      </c>
      <c r="G1156" s="86" t="str">
        <f>IFERROR(__xludf.DUMMYFUNCTION("""COMPUTED_VALUE"""),"Done")</f>
        <v>Done</v>
      </c>
      <c r="H1156" s="88">
        <f>IFERROR(__xludf.DUMMYFUNCTION("""COMPUTED_VALUE"""),0.0)</f>
        <v>0</v>
      </c>
      <c r="I1156" s="90" t="str">
        <f>IFERROR(__xludf.DUMMYFUNCTION("""COMPUTED_VALUE"""),"EMP5009 Rup Kumar Mandal")</f>
        <v>EMP5009 Rup Kumar Mandal</v>
      </c>
      <c r="J1156" s="91">
        <f t="shared" si="1"/>
        <v>-0.8673997801</v>
      </c>
    </row>
    <row r="1157">
      <c r="B1157" s="76" t="str">
        <f>IFERROR(__xludf.DUMMYFUNCTION("""COMPUTED_VALUE"""),"Debuging the error (Jasper end as well as Query end) and discuss with RM about logic ")</f>
        <v>Debuging the error (Jasper end as well as Query end) and discuss with RM about logic </v>
      </c>
      <c r="C1157" s="82">
        <f>IFERROR(__xludf.DUMMYFUNCTION("""COMPUTED_VALUE"""),5119.0)</f>
        <v>5119</v>
      </c>
      <c r="D1157" s="76" t="str">
        <f>IFERROR(__xludf.DUMMYFUNCTION("""COMPUTED_VALUE"""),"Old marksheet report data not correcte please check as discus ")</f>
        <v>Old marksheet report data not correcte please check as discus </v>
      </c>
      <c r="E1157" s="84">
        <f>IFERROR(__xludf.DUMMYFUNCTION("""COMPUTED_VALUE"""),46136.79794119213)</f>
        <v>46136.79794</v>
      </c>
      <c r="F1157" s="86">
        <f>IFERROR(__xludf.DUMMYFUNCTION("""COMPUTED_VALUE"""),46136.527378900464)</f>
        <v>46136.52738</v>
      </c>
      <c r="G1157" s="86" t="str">
        <f>IFERROR(__xludf.DUMMYFUNCTION("""COMPUTED_VALUE"""),"Done")</f>
        <v>Done</v>
      </c>
      <c r="H1157" s="88">
        <f>IFERROR(__xludf.DUMMYFUNCTION("""COMPUTED_VALUE"""),0.0)</f>
        <v>0</v>
      </c>
      <c r="I1157" s="90" t="str">
        <f>IFERROR(__xludf.DUMMYFUNCTION("""COMPUTED_VALUE"""),"EMP0237 Swarnendu Chakraborty")</f>
        <v>EMP0237 Swarnendu Chakraborty</v>
      </c>
      <c r="J1157" s="91">
        <f t="shared" si="1"/>
        <v>-0.2705622917</v>
      </c>
    </row>
    <row r="1158">
      <c r="B1158" s="76" t="str">
        <f>IFERROR(__xludf.DUMMYFUNCTION("""COMPUTED_VALUE"""),"Debuging the error (Jasper end as well as Query end) and discuss with RM about logic ")</f>
        <v>Debuging the error (Jasper end as well as Query end) and discuss with RM about logic </v>
      </c>
      <c r="C1158" s="82">
        <f>IFERROR(__xludf.DUMMYFUNCTION("""COMPUTED_VALUE"""),5120.0)</f>
        <v>5120</v>
      </c>
      <c r="D1158" s="76" t="str">
        <f>IFERROR(__xludf.DUMMYFUNCTION("""COMPUTED_VALUE"""),"NEP TR REPORT")</f>
        <v>NEP TR REPORT</v>
      </c>
      <c r="E1158" s="84">
        <f>IFERROR(__xludf.DUMMYFUNCTION("""COMPUTED_VALUE"""),46136.79922984954)</f>
        <v>46136.79923</v>
      </c>
      <c r="F1158" s="86">
        <f>IFERROR(__xludf.DUMMYFUNCTION("""COMPUTED_VALUE"""),46136.527062326386)</f>
        <v>46136.52706</v>
      </c>
      <c r="G1158" s="86" t="str">
        <f>IFERROR(__xludf.DUMMYFUNCTION("""COMPUTED_VALUE"""),"Done")</f>
        <v>Done</v>
      </c>
      <c r="H1158" s="88">
        <f>IFERROR(__xludf.DUMMYFUNCTION("""COMPUTED_VALUE"""),0.0)</f>
        <v>0</v>
      </c>
      <c r="I1158" s="90" t="str">
        <f>IFERROR(__xludf.DUMMYFUNCTION("""COMPUTED_VALUE"""),"EMP5009 Rup Kumar Mandal")</f>
        <v>EMP5009 Rup Kumar Mandal</v>
      </c>
      <c r="J1158" s="91">
        <f t="shared" si="1"/>
        <v>-0.2721675232</v>
      </c>
    </row>
    <row r="1159">
      <c r="B1159" s="76" t="str">
        <f>IFERROR(__xludf.DUMMYFUNCTION("""COMPUTED_VALUE"""),"Debuging the error (Jasper end as well as Query end) and discuss with RM about logic ")</f>
        <v>Debuging the error (Jasper end as well as Query end) and discuss with RM about logic </v>
      </c>
      <c r="C1159" s="82">
        <f>IFERROR(__xludf.DUMMYFUNCTION("""COMPUTED_VALUE"""),5121.0)</f>
        <v>5121</v>
      </c>
      <c r="D1159" s="76" t="str">
        <f>IFERROR(__xludf.DUMMYFUNCTION("""COMPUTED_VALUE"""),"TR REPORT NEP")</f>
        <v>TR REPORT NEP</v>
      </c>
      <c r="E1159" s="84">
        <f>IFERROR(__xludf.DUMMYFUNCTION("""COMPUTED_VALUE"""),46136.80142484954)</f>
        <v>46136.80142</v>
      </c>
      <c r="F1159" s="86">
        <f>IFERROR(__xludf.DUMMYFUNCTION("""COMPUTED_VALUE"""),46136.54554697917)</f>
        <v>46136.54555</v>
      </c>
      <c r="G1159" s="86" t="str">
        <f>IFERROR(__xludf.DUMMYFUNCTION("""COMPUTED_VALUE"""),"Done")</f>
        <v>Done</v>
      </c>
      <c r="H1159" s="88">
        <f>IFERROR(__xludf.DUMMYFUNCTION("""COMPUTED_VALUE"""),0.0)</f>
        <v>0</v>
      </c>
      <c r="I1159" s="90" t="str">
        <f>IFERROR(__xludf.DUMMYFUNCTION("""COMPUTED_VALUE"""),"EMP5009 Rup Kumar Mandal")</f>
        <v>EMP5009 Rup Kumar Mandal</v>
      </c>
      <c r="J1159" s="91">
        <f t="shared" si="1"/>
        <v>-0.2558778704</v>
      </c>
    </row>
    <row r="1160">
      <c r="B1160" s="76" t="str">
        <f>IFERROR(__xludf.DUMMYFUNCTION("""COMPUTED_VALUE"""),"Debuging the error (Jasper end as well as Query end) and discuss with RM about logic ")</f>
        <v>Debuging the error (Jasper end as well as Query end) and discuss with RM about logic </v>
      </c>
      <c r="C1160" s="82">
        <f>IFERROR(__xludf.DUMMYFUNCTION("""COMPUTED_VALUE"""),5122.0)</f>
        <v>5122</v>
      </c>
      <c r="D1160" s="76" t="str">
        <f>IFERROR(__xludf.DUMMYFUNCTION("""COMPUTED_VALUE"""),"TR REPORT NON-NEP")</f>
        <v>TR REPORT NON-NEP</v>
      </c>
      <c r="E1160" s="84">
        <f>IFERROR(__xludf.DUMMYFUNCTION("""COMPUTED_VALUE"""),46136.81794190972)</f>
        <v>46136.81794</v>
      </c>
      <c r="F1160" s="86">
        <f>IFERROR(__xludf.DUMMYFUNCTION("""COMPUTED_VALUE"""),46136.54555815972)</f>
        <v>46136.54556</v>
      </c>
      <c r="G1160" s="86" t="str">
        <f>IFERROR(__xludf.DUMMYFUNCTION("""COMPUTED_VALUE"""),"Done")</f>
        <v>Done</v>
      </c>
      <c r="H1160" s="88">
        <f>IFERROR(__xludf.DUMMYFUNCTION("""COMPUTED_VALUE"""),0.0)</f>
        <v>0</v>
      </c>
      <c r="I1160" s="90" t="str">
        <f>IFERROR(__xludf.DUMMYFUNCTION("""COMPUTED_VALUE"""),"EMP5009 Rup Kumar Mandal")</f>
        <v>EMP5009 Rup Kumar Mandal</v>
      </c>
      <c r="J1160" s="91">
        <f t="shared" si="1"/>
        <v>-0.27238375</v>
      </c>
    </row>
    <row r="1161">
      <c r="B1161" s="76" t="str">
        <f>IFERROR(__xludf.DUMMYFUNCTION("""COMPUTED_VALUE"""),"Debuging the error (Jasper end as well as Query end) and discuss with RM about logic ")</f>
        <v>Debuging the error (Jasper end as well as Query end) and discuss with RM about logic </v>
      </c>
      <c r="C1161" s="82">
        <f>IFERROR(__xludf.DUMMYFUNCTION("""COMPUTED_VALUE"""),5123.0)</f>
        <v>5123</v>
      </c>
      <c r="D1161" s="76" t="str">
        <f>IFERROR(__xludf.DUMMYFUNCTION("""COMPUTED_VALUE"""),"quick sight anaylisys report")</f>
        <v>quick sight anaylisys report</v>
      </c>
      <c r="E1161" s="84">
        <f>IFERROR(__xludf.DUMMYFUNCTION("""COMPUTED_VALUE"""),46139.79513171296)</f>
        <v>46139.79513</v>
      </c>
      <c r="F1161" s="86">
        <f>IFERROR(__xludf.DUMMYFUNCTION("""COMPUTED_VALUE"""),46139.54276237268)</f>
        <v>46139.54276</v>
      </c>
      <c r="G1161" s="86" t="str">
        <f>IFERROR(__xludf.DUMMYFUNCTION("""COMPUTED_VALUE"""),"Done")</f>
        <v>Done</v>
      </c>
      <c r="H1161" s="88">
        <f>IFERROR(__xludf.DUMMYFUNCTION("""COMPUTED_VALUE"""),0.0)</f>
        <v>0</v>
      </c>
      <c r="I1161" s="90" t="str">
        <f>IFERROR(__xludf.DUMMYFUNCTION("""COMPUTED_VALUE"""),"EMP0021 Tamanna Dewangan")</f>
        <v>EMP0021 Tamanna Dewangan</v>
      </c>
      <c r="J1161" s="91">
        <f t="shared" si="1"/>
        <v>-0.2523693403</v>
      </c>
    </row>
    <row r="1162">
      <c r="B1162" s="76" t="str">
        <f>IFERROR(__xludf.DUMMYFUNCTION("""COMPUTED_VALUE"""),"Debuging the error (Jasper end as well as Query end) and discuss with RM about logic ")</f>
        <v>Debuging the error (Jasper end as well as Query end) and discuss with RM about logic </v>
      </c>
      <c r="C1162" s="82">
        <f>IFERROR(__xludf.DUMMYFUNCTION("""COMPUTED_VALUE"""),5124.0)</f>
        <v>5124</v>
      </c>
      <c r="D1162" s="76" t="str">
        <f>IFERROR(__xludf.DUMMYFUNCTION("""COMPUTED_VALUE"""),"NURSING GRADE CARD")</f>
        <v>NURSING GRADE CARD</v>
      </c>
      <c r="E1162" s="84">
        <f>IFERROR(__xludf.DUMMYFUNCTION("""COMPUTED_VALUE"""),46139.81675697916)</f>
        <v>46139.81676</v>
      </c>
      <c r="F1162" s="86">
        <f>IFERROR(__xludf.DUMMYFUNCTION("""COMPUTED_VALUE"""),46139.61772505787)</f>
        <v>46139.61773</v>
      </c>
      <c r="G1162" s="86" t="str">
        <f>IFERROR(__xludf.DUMMYFUNCTION("""COMPUTED_VALUE"""),"Done")</f>
        <v>Done</v>
      </c>
      <c r="H1162" s="88">
        <f>IFERROR(__xludf.DUMMYFUNCTION("""COMPUTED_VALUE"""),0.0)</f>
        <v>0</v>
      </c>
      <c r="I1162" s="90" t="str">
        <f>IFERROR(__xludf.DUMMYFUNCTION("""COMPUTED_VALUE"""),"EMP0042 HULESHWAR KUMAR SAHU")</f>
        <v>EMP0042 HULESHWAR KUMAR SAHU</v>
      </c>
      <c r="J1162" s="91">
        <f t="shared" si="1"/>
        <v>-0.1990319213</v>
      </c>
    </row>
    <row r="1163">
      <c r="B1163" s="76" t="str">
        <f>IFERROR(__xludf.DUMMYFUNCTION("""COMPUTED_VALUE"""),"Debuging the error (Jasper end as well as Query end) and discuss with RM about logic ")</f>
        <v>Debuging the error (Jasper end as well as Query end) and discuss with RM about logic </v>
      </c>
      <c r="C1163" s="82">
        <f>IFERROR(__xludf.DUMMYFUNCTION("""COMPUTED_VALUE"""),5125.0)</f>
        <v>5125</v>
      </c>
      <c r="D1163" s="76" t="str">
        <f>IFERROR(__xludf.DUMMYFUNCTION("""COMPUTED_VALUE"""),"ADMITCARD")</f>
        <v>ADMITCARD</v>
      </c>
      <c r="E1163" s="84">
        <f>IFERROR(__xludf.DUMMYFUNCTION("""COMPUTED_VALUE"""),46140.60833333334)</f>
        <v>46140.60833</v>
      </c>
      <c r="F1163" s="86">
        <f>IFERROR(__xludf.DUMMYFUNCTION("""COMPUTED_VALUE"""),46139.76929520833)</f>
        <v>46139.7693</v>
      </c>
      <c r="G1163" s="86" t="str">
        <f>IFERROR(__xludf.DUMMYFUNCTION("""COMPUTED_VALUE"""),"Done")</f>
        <v>Done</v>
      </c>
      <c r="H1163" s="88">
        <f>IFERROR(__xludf.DUMMYFUNCTION("""COMPUTED_VALUE"""),0.0)</f>
        <v>0</v>
      </c>
      <c r="I1163" s="90" t="str">
        <f>IFERROR(__xludf.DUMMYFUNCTION("""COMPUTED_VALUE"""),"EMP5009 Rup Kumar Mandal")</f>
        <v>EMP5009 Rup Kumar Mandal</v>
      </c>
      <c r="J1163" s="91">
        <f t="shared" si="1"/>
        <v>-0.839038125</v>
      </c>
    </row>
    <row r="1164">
      <c r="B1164" s="76" t="str">
        <f>IFERROR(__xludf.DUMMYFUNCTION("""COMPUTED_VALUE"""),"Debuging the error (Jasper end as well as Query end) and discuss with RM about logic ")</f>
        <v>Debuging the error (Jasper end as well as Query end) and discuss with RM about logic </v>
      </c>
      <c r="C1164" s="82">
        <f>IFERROR(__xludf.DUMMYFUNCTION("""COMPUTED_VALUE"""),5126.0)</f>
        <v>5126</v>
      </c>
      <c r="D1164" s="76" t="str">
        <f>IFERROR(__xludf.DUMMYFUNCTION("""COMPUTED_VALUE"""),"ROLL LIST")</f>
        <v>ROLL LIST</v>
      </c>
      <c r="E1164" s="84">
        <f>IFERROR(__xludf.DUMMYFUNCTION("""COMPUTED_VALUE"""),46140.60902777778)</f>
        <v>46140.60903</v>
      </c>
      <c r="F1164" s="86">
        <f>IFERROR(__xludf.DUMMYFUNCTION("""COMPUTED_VALUE"""),46139.769313958335)</f>
        <v>46139.76931</v>
      </c>
      <c r="G1164" s="86" t="str">
        <f>IFERROR(__xludf.DUMMYFUNCTION("""COMPUTED_VALUE"""),"Done")</f>
        <v>Done</v>
      </c>
      <c r="H1164" s="88">
        <f>IFERROR(__xludf.DUMMYFUNCTION("""COMPUTED_VALUE"""),0.0)</f>
        <v>0</v>
      </c>
      <c r="I1164" s="90" t="str">
        <f>IFERROR(__xludf.DUMMYFUNCTION("""COMPUTED_VALUE"""),"EMP5009 Rup Kumar Mandal")</f>
        <v>EMP5009 Rup Kumar Mandal</v>
      </c>
      <c r="J1164" s="91">
        <f t="shared" si="1"/>
        <v>-0.8397138194</v>
      </c>
    </row>
    <row r="1165">
      <c r="B1165" s="76" t="str">
        <f>IFERROR(__xludf.DUMMYFUNCTION("""COMPUTED_VALUE"""),"Debuging the error (Jasper end as well as Query end) and discuss with RM about logic ")</f>
        <v>Debuging the error (Jasper end as well as Query end) and discuss with RM about logic </v>
      </c>
      <c r="C1165" s="82">
        <f>IFERROR(__xludf.DUMMYFUNCTION("""COMPUTED_VALUE"""),5127.0)</f>
        <v>5127</v>
      </c>
      <c r="D1165" s="76" t="str">
        <f>IFERROR(__xludf.DUMMYFUNCTION("""COMPUTED_VALUE"""),"The details of Total Credits, Grade Point Average, and Total Credit Earned will be available shortly. please update this mgs in student result section if any semester SGPA/AGPA missing")</f>
        <v>The details of Total Credits, Grade Point Average, and Total Credit Earned will be available shortly. please update this mgs in student result section if any semester SGPA/AGPA missing</v>
      </c>
      <c r="E1165" s="84">
        <f>IFERROR(__xludf.DUMMYFUNCTION("""COMPUTED_VALUE"""),46142.81017077546)</f>
        <v>46142.81017</v>
      </c>
      <c r="F1165" s="86">
        <f>IFERROR(__xludf.DUMMYFUNCTION("""COMPUTED_VALUE"""),46142.53963314815)</f>
        <v>46142.53963</v>
      </c>
      <c r="G1165" s="86" t="str">
        <f>IFERROR(__xludf.DUMMYFUNCTION("""COMPUTED_VALUE"""),"Done")</f>
        <v>Done</v>
      </c>
      <c r="H1165" s="88">
        <f>IFERROR(__xludf.DUMMYFUNCTION("""COMPUTED_VALUE"""),0.0)</f>
        <v>0</v>
      </c>
      <c r="I1165" s="90" t="str">
        <f>IFERROR(__xludf.DUMMYFUNCTION("""COMPUTED_VALUE"""),"EMP0237 Swarnendu Chakraborty")</f>
        <v>EMP0237 Swarnendu Chakraborty</v>
      </c>
      <c r="J1165" s="91">
        <f t="shared" si="1"/>
        <v>-0.2705376273</v>
      </c>
    </row>
    <row r="1166">
      <c r="B1166" s="76" t="str">
        <f>IFERROR(__xludf.DUMMYFUNCTION("""COMPUTED_VALUE"""),"Debuging the error (Jasper end as well as Query end) and discuss with RM about logic ")</f>
        <v>Debuging the error (Jasper end as well as Query end) and discuss with RM about logic </v>
      </c>
      <c r="C1166" s="82">
        <f>IFERROR(__xludf.DUMMYFUNCTION("""COMPUTED_VALUE"""),5128.0)</f>
        <v>5128</v>
      </c>
      <c r="D1166" s="76" t="str">
        <f>IFERROR(__xludf.DUMMYFUNCTION("""COMPUTED_VALUE"""),"Marks Sheet NEP")</f>
        <v>Marks Sheet NEP</v>
      </c>
      <c r="E1166" s="84">
        <f>IFERROR(__xludf.DUMMYFUNCTION("""COMPUTED_VALUE"""),46143.82005148148)</f>
        <v>46143.82005</v>
      </c>
      <c r="F1166" s="86">
        <f>IFERROR(__xludf.DUMMYFUNCTION("""COMPUTED_VALUE"""),46143.61519614584)</f>
        <v>46143.6152</v>
      </c>
      <c r="G1166" s="86" t="str">
        <f>IFERROR(__xludf.DUMMYFUNCTION("""COMPUTED_VALUE"""),"Done")</f>
        <v>Done</v>
      </c>
      <c r="H1166" s="88">
        <f>IFERROR(__xludf.DUMMYFUNCTION("""COMPUTED_VALUE"""),0.0)</f>
        <v>0</v>
      </c>
      <c r="I1166" s="90" t="str">
        <f>IFERROR(__xludf.DUMMYFUNCTION("""COMPUTED_VALUE"""),"EMP0042 HULESHWAR KUMAR SAHU")</f>
        <v>EMP0042 HULESHWAR KUMAR SAHU</v>
      </c>
      <c r="J1166" s="91">
        <f t="shared" si="1"/>
        <v>-0.2048553356</v>
      </c>
    </row>
    <row r="1167">
      <c r="B1167" s="76" t="str">
        <f>IFERROR(__xludf.DUMMYFUNCTION("""COMPUTED_VALUE"""),"Debuging the error (Jasper end as well as Query end) and discuss with RM about logic ")</f>
        <v>Debuging the error (Jasper end as well as Query end) and discuss with RM about logic </v>
      </c>
      <c r="C1167" s="82">
        <f>IFERROR(__xludf.DUMMYFUNCTION("""COMPUTED_VALUE"""),5129.0)</f>
        <v>5129</v>
      </c>
      <c r="D1167" s="76" t="str">
        <f>IFERROR(__xludf.DUMMYFUNCTION("""COMPUTED_VALUE"""),"GAU BARCODE GENERATE")</f>
        <v>GAU BARCODE GENERATE</v>
      </c>
      <c r="E1167" s="84">
        <f>IFERROR(__xludf.DUMMYFUNCTION("""COMPUTED_VALUE"""),46144.49652777778)</f>
        <v>46144.49653</v>
      </c>
      <c r="F1167" s="86">
        <f>IFERROR(__xludf.DUMMYFUNCTION("""COMPUTED_VALUE"""),46143.61525001157)</f>
        <v>46143.61525</v>
      </c>
      <c r="G1167" s="86" t="str">
        <f>IFERROR(__xludf.DUMMYFUNCTION("""COMPUTED_VALUE"""),"Done")</f>
        <v>Done</v>
      </c>
      <c r="H1167" s="88">
        <f>IFERROR(__xludf.DUMMYFUNCTION("""COMPUTED_VALUE"""),0.0)</f>
        <v>0</v>
      </c>
      <c r="I1167" s="90" t="str">
        <f>IFERROR(__xludf.DUMMYFUNCTION("""COMPUTED_VALUE"""),"EMP0021 Tamanna Dewangan")</f>
        <v>EMP0021 Tamanna Dewangan</v>
      </c>
      <c r="J1167" s="91">
        <f t="shared" si="1"/>
        <v>-0.8812777662</v>
      </c>
    </row>
    <row r="1168">
      <c r="B1168" s="76" t="str">
        <f>IFERROR(__xludf.DUMMYFUNCTION("""COMPUTED_VALUE"""),"Debuging the error (Jasper end as well as Query end) and discuss with RM about logic ")</f>
        <v>Debuging the error (Jasper end as well as Query end) and discuss with RM about logic </v>
      </c>
      <c r="C1168" s="82">
        <f>IFERROR(__xludf.DUMMYFUNCTION("""COMPUTED_VALUE"""),5130.0)</f>
        <v>5130</v>
      </c>
      <c r="D1168" s="76" t="str">
        <f>IFERROR(__xludf.DUMMYFUNCTION("""COMPUTED_VALUE"""),"Marks Sheet Old")</f>
        <v>Marks Sheet Old</v>
      </c>
      <c r="E1168" s="84">
        <f>IFERROR(__xludf.DUMMYFUNCTION("""COMPUTED_VALUE"""),46144.52638888889)</f>
        <v>46144.52639</v>
      </c>
      <c r="F1168" s="86">
        <f>IFERROR(__xludf.DUMMYFUNCTION("""COMPUTED_VALUE"""),46143.66654177083)</f>
        <v>46143.66654</v>
      </c>
      <c r="G1168" s="86" t="str">
        <f>IFERROR(__xludf.DUMMYFUNCTION("""COMPUTED_VALUE"""),"Done")</f>
        <v>Done</v>
      </c>
      <c r="H1168" s="88">
        <f>IFERROR(__xludf.DUMMYFUNCTION("""COMPUTED_VALUE"""),0.0)</f>
        <v>0</v>
      </c>
      <c r="I1168" s="90" t="str">
        <f>IFERROR(__xludf.DUMMYFUNCTION("""COMPUTED_VALUE"""),"EMP0042 HULESHWAR KUMAR SAHU")</f>
        <v>EMP0042 HULESHWAR KUMAR SAHU</v>
      </c>
      <c r="J1168" s="91">
        <f t="shared" si="1"/>
        <v>-0.8598471181</v>
      </c>
    </row>
    <row r="1169">
      <c r="B1169" s="76" t="str">
        <f>IFERROR(__xludf.DUMMYFUNCTION("""COMPUTED_VALUE"""),"Debuging the error (Jasper end as well as Query end) and discuss with RM about logic ")</f>
        <v>Debuging the error (Jasper end as well as Query end) and discuss with RM about logic </v>
      </c>
      <c r="C1169" s="82">
        <f>IFERROR(__xludf.DUMMYFUNCTION("""COMPUTED_VALUE"""),5131.0)</f>
        <v>5131</v>
      </c>
      <c r="D1169" s="76" t="str">
        <f>IFERROR(__xludf.DUMMYFUNCTION("""COMPUTED_VALUE"""),"roll list PG")</f>
        <v>roll list PG</v>
      </c>
      <c r="E1169" s="84">
        <f>IFERROR(__xludf.DUMMYFUNCTION("""COMPUTED_VALUE"""),46144.566666666666)</f>
        <v>46144.56667</v>
      </c>
      <c r="F1169" s="86">
        <f>IFERROR(__xludf.DUMMYFUNCTION("""COMPUTED_VALUE"""),46143.778711493054)</f>
        <v>46143.77871</v>
      </c>
      <c r="G1169" s="86" t="str">
        <f>IFERROR(__xludf.DUMMYFUNCTION("""COMPUTED_VALUE"""),"Done")</f>
        <v>Done</v>
      </c>
      <c r="H1169" s="88">
        <f>IFERROR(__xludf.DUMMYFUNCTION("""COMPUTED_VALUE"""),0.0)</f>
        <v>0</v>
      </c>
      <c r="I1169" s="90" t="str">
        <f>IFERROR(__xludf.DUMMYFUNCTION("""COMPUTED_VALUE"""),"EMP0237 Swarnendu Chakraborty")</f>
        <v>EMP0237 Swarnendu Chakraborty</v>
      </c>
      <c r="J1169" s="91">
        <f t="shared" si="1"/>
        <v>-0.7879551736</v>
      </c>
    </row>
    <row r="1170">
      <c r="B1170" s="76" t="str">
        <f>IFERROR(__xludf.DUMMYFUNCTION("""COMPUTED_VALUE"""),"Debuging the error (Jasper end as well as Query end) and discuss with RM about logic ")</f>
        <v>Debuging the error (Jasper end as well as Query end) and discuss with RM about logic </v>
      </c>
      <c r="C1170" s="82">
        <f>IFERROR(__xludf.DUMMYFUNCTION("""COMPUTED_VALUE"""),5132.0)</f>
        <v>5132</v>
      </c>
      <c r="D1170" s="76" t="str">
        <f>IFERROR(__xludf.DUMMYFUNCTION("""COMPUTED_VALUE"""),"Old Marks sheet")</f>
        <v>Old Marks sheet</v>
      </c>
      <c r="E1170" s="84">
        <f>IFERROR(__xludf.DUMMYFUNCTION("""COMPUTED_VALUE"""),46144.76750850695)</f>
        <v>46144.76751</v>
      </c>
      <c r="F1170" s="86">
        <f>IFERROR(__xludf.DUMMYFUNCTION("""COMPUTED_VALUE"""),46144.57677861111)</f>
        <v>46144.57678</v>
      </c>
      <c r="G1170" s="86" t="str">
        <f>IFERROR(__xludf.DUMMYFUNCTION("""COMPUTED_VALUE"""),"Done")</f>
        <v>Done</v>
      </c>
      <c r="H1170" s="88">
        <f>IFERROR(__xludf.DUMMYFUNCTION("""COMPUTED_VALUE"""),0.0)</f>
        <v>0</v>
      </c>
      <c r="I1170" s="90" t="str">
        <f>IFERROR(__xludf.DUMMYFUNCTION("""COMPUTED_VALUE"""),"EMP0042 HULESHWAR KUMAR SAHU")</f>
        <v>EMP0042 HULESHWAR KUMAR SAHU</v>
      </c>
      <c r="J1170" s="91">
        <f t="shared" si="1"/>
        <v>-0.1907298958</v>
      </c>
    </row>
    <row r="1171">
      <c r="B1171" s="76" t="str">
        <f>IFERROR(__xludf.DUMMYFUNCTION("""COMPUTED_VALUE"""),"Debuging the error (Jasper end as well as Query end) and discuss with RM about logic ")</f>
        <v>Debuging the error (Jasper end as well as Query end) and discuss with RM about logic </v>
      </c>
      <c r="C1171" s="82">
        <f>IFERROR(__xludf.DUMMYFUNCTION("""COMPUTED_VALUE"""),5133.0)</f>
        <v>5133</v>
      </c>
      <c r="D1171" s="76" t="str">
        <f>IFERROR(__xludf.DUMMYFUNCTION("""COMPUTED_VALUE"""),"Attendance report")</f>
        <v>Attendance report</v>
      </c>
      <c r="E1171" s="84">
        <f>IFERROR(__xludf.DUMMYFUNCTION("""COMPUTED_VALUE"""),46144.80004930555)</f>
        <v>46144.80005</v>
      </c>
      <c r="F1171" s="86">
        <f>IFERROR(__xludf.DUMMYFUNCTION("""COMPUTED_VALUE"""),46144.576673449075)</f>
        <v>46144.57667</v>
      </c>
      <c r="G1171" s="86" t="str">
        <f>IFERROR(__xludf.DUMMYFUNCTION("""COMPUTED_VALUE"""),"Done")</f>
        <v>Done</v>
      </c>
      <c r="H1171" s="88">
        <f>IFERROR(__xludf.DUMMYFUNCTION("""COMPUTED_VALUE"""),0.0)</f>
        <v>0</v>
      </c>
      <c r="I1171" s="90" t="str">
        <f>IFERROR(__xludf.DUMMYFUNCTION("""COMPUTED_VALUE"""),"EMP0237 Swarnendu Chakraborty")</f>
        <v>EMP0237 Swarnendu Chakraborty</v>
      </c>
      <c r="J1171" s="91">
        <f t="shared" si="1"/>
        <v>-0.2233758565</v>
      </c>
    </row>
    <row r="1172">
      <c r="B1172" s="76" t="str">
        <f>IFERROR(__xludf.DUMMYFUNCTION("""COMPUTED_VALUE"""),"Debuging the error (Jasper end as well as Query end) and discuss with RM about logic ")</f>
        <v>Debuging the error (Jasper end as well as Query end) and discuss with RM about logic </v>
      </c>
      <c r="C1172" s="82">
        <f>IFERROR(__xludf.DUMMYFUNCTION("""COMPUTED_VALUE"""),5134.0)</f>
        <v>5134</v>
      </c>
      <c r="D1172" s="76" t="str">
        <f>IFERROR(__xludf.DUMMYFUNCTION("""COMPUTED_VALUE"""),"subject_wise_report_rsos")</f>
        <v>subject_wise_report_rsos</v>
      </c>
      <c r="E1172" s="84">
        <f>IFERROR(__xludf.DUMMYFUNCTION("""COMPUTED_VALUE"""),46146.44652777778)</f>
        <v>46146.44653</v>
      </c>
      <c r="F1172" s="86">
        <f>IFERROR(__xludf.DUMMYFUNCTION("""COMPUTED_VALUE"""),46144.57707326389)</f>
        <v>46144.57707</v>
      </c>
      <c r="G1172" s="86" t="str">
        <f>IFERROR(__xludf.DUMMYFUNCTION("""COMPUTED_VALUE"""),"Done")</f>
        <v>Done</v>
      </c>
      <c r="H1172" s="88">
        <f>IFERROR(__xludf.DUMMYFUNCTION("""COMPUTED_VALUE"""),0.0)</f>
        <v>0</v>
      </c>
      <c r="I1172" s="90" t="str">
        <f>IFERROR(__xludf.DUMMYFUNCTION("""COMPUTED_VALUE"""),"EMP0021 Tamanna Dewangan")</f>
        <v>EMP0021 Tamanna Dewangan</v>
      </c>
      <c r="J1172" s="91">
        <f t="shared" si="1"/>
        <v>-1.869454514</v>
      </c>
    </row>
    <row r="1173">
      <c r="B1173" s="76" t="str">
        <f>IFERROR(__xludf.DUMMYFUNCTION("""COMPUTED_VALUE"""),"Debuging the error (Jasper end as well as Query end) and discuss with RM about logic ")</f>
        <v>Debuging the error (Jasper end as well as Query end) and discuss with RM about logic </v>
      </c>
      <c r="C1173" s="82">
        <f>IFERROR(__xludf.DUMMYFUNCTION("""COMPUTED_VALUE"""),5135.0)</f>
        <v>5135</v>
      </c>
      <c r="D1173" s="76" t="str">
        <f>IFERROR(__xludf.DUMMYFUNCTION("""COMPUTED_VALUE"""),"Packet_Issue_Receive_Report.jasper")</f>
        <v>Packet_Issue_Receive_Report.jasper</v>
      </c>
      <c r="E1173" s="84">
        <f>IFERROR(__xludf.DUMMYFUNCTION("""COMPUTED_VALUE"""),46147.478472222225)</f>
        <v>46147.47847</v>
      </c>
      <c r="F1173" s="86">
        <f>IFERROR(__xludf.DUMMYFUNCTION("""COMPUTED_VALUE"""),46146.65496550926)</f>
        <v>46146.65497</v>
      </c>
      <c r="G1173" s="86" t="str">
        <f>IFERROR(__xludf.DUMMYFUNCTION("""COMPUTED_VALUE"""),"Done")</f>
        <v>Done</v>
      </c>
      <c r="H1173" s="88">
        <f>IFERROR(__xludf.DUMMYFUNCTION("""COMPUTED_VALUE"""),0.0)</f>
        <v>0</v>
      </c>
      <c r="I1173" s="90" t="str">
        <f>IFERROR(__xludf.DUMMYFUNCTION("""COMPUTED_VALUE"""),"EMP0042 HULESHWAR KUMAR SAHU")</f>
        <v>EMP0042 HULESHWAR KUMAR SAHU</v>
      </c>
      <c r="J1173" s="91">
        <f t="shared" si="1"/>
        <v>-0.823506713</v>
      </c>
    </row>
    <row r="1174">
      <c r="B1174" s="76" t="str">
        <f>IFERROR(__xludf.DUMMYFUNCTION("""COMPUTED_VALUE"""),"Debuging the error (Jasper end as well as Query end) and discuss with RM about logic ")</f>
        <v>Debuging the error (Jasper end as well as Query end) and discuss with RM about logic </v>
      </c>
      <c r="C1174" s="82">
        <f>IFERROR(__xludf.DUMMYFUNCTION("""COMPUTED_VALUE"""),5136.0)</f>
        <v>5136</v>
      </c>
      <c r="D1174" s="76" t="str">
        <f>IFERROR(__xludf.DUMMYFUNCTION("""COMPUTED_VALUE"""),"Marksheet nep camulative Nep Major miner")</f>
        <v>Marksheet nep camulative Nep Major miner</v>
      </c>
      <c r="E1174" s="84">
        <f>IFERROR(__xludf.DUMMYFUNCTION("""COMPUTED_VALUE"""),46147.549305555556)</f>
        <v>46147.54931</v>
      </c>
      <c r="F1174" s="86">
        <f>IFERROR(__xludf.DUMMYFUNCTION("""COMPUTED_VALUE"""),46146.71602716435)</f>
        <v>46146.71603</v>
      </c>
      <c r="G1174" s="86" t="str">
        <f>IFERROR(__xludf.DUMMYFUNCTION("""COMPUTED_VALUE"""),"Done")</f>
        <v>Done</v>
      </c>
      <c r="H1174" s="88">
        <f>IFERROR(__xludf.DUMMYFUNCTION("""COMPUTED_VALUE"""),0.0)</f>
        <v>0</v>
      </c>
      <c r="I1174" s="90" t="str">
        <f>IFERROR(__xludf.DUMMYFUNCTION("""COMPUTED_VALUE"""),"EMP0021 Tamanna Dewangan")</f>
        <v>EMP0021 Tamanna Dewangan</v>
      </c>
      <c r="J1174" s="91">
        <f t="shared" si="1"/>
        <v>-0.8332783912</v>
      </c>
    </row>
    <row r="1175">
      <c r="B1175" s="76" t="str">
        <f>IFERROR(__xludf.DUMMYFUNCTION("""COMPUTED_VALUE"""),"Debuging the error (Jasper end as well as Query end) and discuss with RM about logic ")</f>
        <v>Debuging the error (Jasper end as well as Query end) and discuss with RM about logic </v>
      </c>
      <c r="C1175" s="82">
        <f>IFERROR(__xludf.DUMMYFUNCTION("""COMPUTED_VALUE"""),5137.0)</f>
        <v>5137</v>
      </c>
      <c r="D1175" s="76" t="str">
        <f>IFERROR(__xludf.DUMMYFUNCTION("""COMPUTED_VALUE"""),"NURSING GRADE CARD")</f>
        <v>NURSING GRADE CARD</v>
      </c>
      <c r="E1175" s="84">
        <f>IFERROR(__xludf.DUMMYFUNCTION("""COMPUTED_VALUE"""),46147.57916666666)</f>
        <v>46147.57917</v>
      </c>
      <c r="F1175" s="86">
        <f>IFERROR(__xludf.DUMMYFUNCTION("""COMPUTED_VALUE"""),46146.75016163194)</f>
        <v>46146.75016</v>
      </c>
      <c r="G1175" s="86" t="str">
        <f>IFERROR(__xludf.DUMMYFUNCTION("""COMPUTED_VALUE"""),"Done")</f>
        <v>Done</v>
      </c>
      <c r="H1175" s="88">
        <f>IFERROR(__xludf.DUMMYFUNCTION("""COMPUTED_VALUE"""),0.0)</f>
        <v>0</v>
      </c>
      <c r="I1175" s="90" t="str">
        <f>IFERROR(__xludf.DUMMYFUNCTION("""COMPUTED_VALUE"""),"EMP0042 HULESHWAR KUMAR SAHU")</f>
        <v>EMP0042 HULESHWAR KUMAR SAHU</v>
      </c>
      <c r="J1175" s="91">
        <f t="shared" si="1"/>
        <v>-0.8290050347</v>
      </c>
    </row>
    <row r="1176">
      <c r="B1176" s="76" t="str">
        <f>IFERROR(__xludf.DUMMYFUNCTION("""COMPUTED_VALUE"""),"Debuging the error (Jasper end as well as Query end) and discuss with RM about logic ")</f>
        <v>Debuging the error (Jasper end as well as Query end) and discuss with RM about logic </v>
      </c>
      <c r="C1176" s="82">
        <f>IFERROR(__xludf.DUMMYFUNCTION("""COMPUTED_VALUE"""),5138.0)</f>
        <v>5138</v>
      </c>
      <c r="D1176" s="76" t="str">
        <f>IFERROR(__xludf.DUMMYFUNCTION("""COMPUTED_VALUE"""),"	TR PHD Nursing")</f>
        <v>	TR PHD Nursing</v>
      </c>
      <c r="E1176" s="84">
        <f>IFERROR(__xludf.DUMMYFUNCTION("""COMPUTED_VALUE"""),46147.75977878472)</f>
        <v>46147.75978</v>
      </c>
      <c r="F1176" s="86">
        <f>IFERROR(__xludf.DUMMYFUNCTION("""COMPUTED_VALUE"""),46147.50832601852)</f>
        <v>46147.50833</v>
      </c>
      <c r="G1176" s="86" t="str">
        <f>IFERROR(__xludf.DUMMYFUNCTION("""COMPUTED_VALUE"""),"Done")</f>
        <v>Done</v>
      </c>
      <c r="H1176" s="88">
        <f>IFERROR(__xludf.DUMMYFUNCTION("""COMPUTED_VALUE"""),0.0)</f>
        <v>0</v>
      </c>
      <c r="I1176" s="90" t="str">
        <f>IFERROR(__xludf.DUMMYFUNCTION("""COMPUTED_VALUE"""),"EMP0021 Tamanna Dewangan")</f>
        <v>EMP0021 Tamanna Dewangan</v>
      </c>
      <c r="J1176" s="91">
        <f t="shared" si="1"/>
        <v>-0.2514527662</v>
      </c>
    </row>
    <row r="1177">
      <c r="B1177" s="76" t="str">
        <f>IFERROR(__xludf.DUMMYFUNCTION("""COMPUTED_VALUE"""),"Debuging the error (Jasper end as well as Query end) and discuss with RM about logic ")</f>
        <v>Debuging the error (Jasper end as well as Query end) and discuss with RM about logic </v>
      </c>
      <c r="C1177" s="82">
        <f>IFERROR(__xludf.DUMMYFUNCTION("""COMPUTED_VALUE"""),5139.0)</f>
        <v>5139</v>
      </c>
      <c r="D1177" s="76" t="str">
        <f>IFERROR(__xludf.DUMMYFUNCTION("""COMPUTED_VALUE"""),"MARKSHEET 4SEM")</f>
        <v>MARKSHEET 4SEM</v>
      </c>
      <c r="E1177" s="84">
        <f>IFERROR(__xludf.DUMMYFUNCTION("""COMPUTED_VALUE"""),46148.83330430555)</f>
        <v>46148.8333</v>
      </c>
      <c r="F1177" s="86">
        <f>IFERROR(__xludf.DUMMYFUNCTION("""COMPUTED_VALUE"""),46148.639481666665)</f>
        <v>46148.63948</v>
      </c>
      <c r="G1177" s="86" t="str">
        <f>IFERROR(__xludf.DUMMYFUNCTION("""COMPUTED_VALUE"""),"Done")</f>
        <v>Done</v>
      </c>
      <c r="H1177" s="88">
        <f>IFERROR(__xludf.DUMMYFUNCTION("""COMPUTED_VALUE"""),0.0)</f>
        <v>0</v>
      </c>
      <c r="I1177" s="90" t="str">
        <f>IFERROR(__xludf.DUMMYFUNCTION("""COMPUTED_VALUE"""),"EMP5009 Rup Kumar Mandal")</f>
        <v>EMP5009 Rup Kumar Mandal</v>
      </c>
      <c r="J1177" s="91">
        <f t="shared" si="1"/>
        <v>-0.1938226389</v>
      </c>
    </row>
    <row r="1178">
      <c r="B1178" s="76" t="str">
        <f>IFERROR(__xludf.DUMMYFUNCTION("""COMPUTED_VALUE"""),"Debuging the error (Jasper end as well as Query end) and discuss with RM about logic ")</f>
        <v>Debuging the error (Jasper end as well as Query end) and discuss with RM about logic </v>
      </c>
      <c r="C1178" s="82">
        <f>IFERROR(__xludf.DUMMYFUNCTION("""COMPUTED_VALUE"""),5140.0)</f>
        <v>5140</v>
      </c>
      <c r="D1178" s="76" t="str">
        <f>IFERROR(__xludf.DUMMYFUNCTION("""COMPUTED_VALUE"""),"Multiple Report:ICR marksheet: marksheet llb")</f>
        <v>Multiple Report:ICR marksheet: marksheet llb</v>
      </c>
      <c r="E1178" s="84">
        <f>IFERROR(__xludf.DUMMYFUNCTION("""COMPUTED_VALUE"""),46149.56180555555)</f>
        <v>46149.56181</v>
      </c>
      <c r="F1178" s="86">
        <f>IFERROR(__xludf.DUMMYFUNCTION("""COMPUTED_VALUE"""),46148.76812836806)</f>
        <v>46148.76813</v>
      </c>
      <c r="G1178" s="86" t="str">
        <f>IFERROR(__xludf.DUMMYFUNCTION("""COMPUTED_VALUE"""),"Done")</f>
        <v>Done</v>
      </c>
      <c r="H1178" s="88">
        <f>IFERROR(__xludf.DUMMYFUNCTION("""COMPUTED_VALUE"""),0.0)</f>
        <v>0</v>
      </c>
      <c r="I1178" s="90" t="str">
        <f>IFERROR(__xludf.DUMMYFUNCTION("""COMPUTED_VALUE"""),"EMP0042 HULESHWAR KUMAR SAHU")</f>
        <v>EMP0042 HULESHWAR KUMAR SAHU</v>
      </c>
      <c r="J1178" s="91">
        <f t="shared" si="1"/>
        <v>-0.7936771875</v>
      </c>
    </row>
    <row r="1179">
      <c r="B1179" s="76" t="str">
        <f>IFERROR(__xludf.DUMMYFUNCTION("""COMPUTED_VALUE"""),"Debuging the error (Jasper end as well as Query end) and discuss with RM about logic ")</f>
        <v>Debuging the error (Jasper end as well as Query end) and discuss with RM about logic </v>
      </c>
      <c r="C1179" s="82">
        <f>IFERROR(__xludf.DUMMYFUNCTION("""COMPUTED_VALUE"""),5141.0)</f>
        <v>5141</v>
      </c>
      <c r="D1179" s="76" t="str">
        <f>IFERROR(__xludf.DUMMYFUNCTION("""COMPUTED_VALUE"""),"gradecard")</f>
        <v>gradecard</v>
      </c>
      <c r="E1179" s="84">
        <f>IFERROR(__xludf.DUMMYFUNCTION("""COMPUTED_VALUE"""),46150.53333333333)</f>
        <v>46150.53333</v>
      </c>
      <c r="F1179" s="86">
        <f>IFERROR(__xludf.DUMMYFUNCTION("""COMPUTED_VALUE"""),46150.479437650465)</f>
        <v>46150.47944</v>
      </c>
      <c r="G1179" s="86" t="str">
        <f>IFERROR(__xludf.DUMMYFUNCTION("""COMPUTED_VALUE"""),"Done")</f>
        <v>Done</v>
      </c>
      <c r="H1179" s="88">
        <f>IFERROR(__xludf.DUMMYFUNCTION("""COMPUTED_VALUE"""),0.0)</f>
        <v>0</v>
      </c>
      <c r="I1179" s="90" t="str">
        <f>IFERROR(__xludf.DUMMYFUNCTION("""COMPUTED_VALUE"""),"EMP0021 Tamanna Dewangan")</f>
        <v>EMP0021 Tamanna Dewangan</v>
      </c>
      <c r="J1179" s="91">
        <f t="shared" si="1"/>
        <v>-0.05389568287</v>
      </c>
    </row>
    <row r="1180">
      <c r="B1180" s="76" t="str">
        <f>IFERROR(__xludf.DUMMYFUNCTION("""COMPUTED_VALUE"""),"Debuging the error (Jasper end as well as Query end) and discuss with RM about logic ")</f>
        <v>Debuging the error (Jasper end as well as Query end) and discuss with RM about logic </v>
      </c>
      <c r="C1180" s="82">
        <f>IFERROR(__xludf.DUMMYFUNCTION("""COMPUTED_VALUE"""),5142.0)</f>
        <v>5142</v>
      </c>
      <c r="D1180" s="76" t="str">
        <f>IFERROR(__xludf.DUMMYFUNCTION("""COMPUTED_VALUE"""),"GRADE CARD AGRICULTURE")</f>
        <v>GRADE CARD AGRICULTURE</v>
      </c>
      <c r="E1180" s="84">
        <f>IFERROR(__xludf.DUMMYFUNCTION("""COMPUTED_VALUE"""),46150.56388888889)</f>
        <v>46150.56389</v>
      </c>
      <c r="F1180" s="86">
        <f>IFERROR(__xludf.DUMMYFUNCTION("""COMPUTED_VALUE"""),46150.47945788194)</f>
        <v>46150.47946</v>
      </c>
      <c r="G1180" s="86" t="str">
        <f>IFERROR(__xludf.DUMMYFUNCTION("""COMPUTED_VALUE"""),"Done")</f>
        <v>Done</v>
      </c>
      <c r="H1180" s="88">
        <f>IFERROR(__xludf.DUMMYFUNCTION("""COMPUTED_VALUE"""),0.0)</f>
        <v>0</v>
      </c>
      <c r="I1180" s="90" t="str">
        <f>IFERROR(__xludf.DUMMYFUNCTION("""COMPUTED_VALUE"""),"EMP0042 HULESHWAR KUMAR SAHU")</f>
        <v>EMP0042 HULESHWAR KUMAR SAHU</v>
      </c>
      <c r="J1180" s="91">
        <f t="shared" si="1"/>
        <v>-0.08443100695</v>
      </c>
    </row>
    <row r="1181">
      <c r="B1181" s="76" t="str">
        <f>IFERROR(__xludf.DUMMYFUNCTION("""COMPUTED_VALUE"""),"Debuging the error (Jasper end as well as Query end) and discuss with RM about logic ")</f>
        <v>Debuging the error (Jasper end as well as Query end) and discuss with RM about logic </v>
      </c>
      <c r="C1181" s="82">
        <f>IFERROR(__xludf.DUMMYFUNCTION("""COMPUTED_VALUE"""),5143.0)</f>
        <v>5143</v>
      </c>
      <c r="D1181" s="76" t="str">
        <f>IFERROR(__xludf.DUMMYFUNCTION("""COMPUTED_VALUE"""),"SATISH KUMAR")</f>
        <v>SATISH KUMAR</v>
      </c>
      <c r="E1181" s="84">
        <f>IFERROR(__xludf.DUMMYFUNCTION("""COMPUTED_VALUE"""),46151.59722222222)</f>
        <v>46151.59722</v>
      </c>
      <c r="F1181" s="86">
        <f>IFERROR(__xludf.DUMMYFUNCTION("""COMPUTED_VALUE"""),46151.4546830324)</f>
        <v>46151.45468</v>
      </c>
      <c r="G1181" s="86" t="str">
        <f>IFERROR(__xludf.DUMMYFUNCTION("""COMPUTED_VALUE"""),"Done")</f>
        <v>Done</v>
      </c>
      <c r="H1181" s="88">
        <f>IFERROR(__xludf.DUMMYFUNCTION("""COMPUTED_VALUE"""),0.0)</f>
        <v>0</v>
      </c>
      <c r="I1181" s="90" t="str">
        <f>IFERROR(__xludf.DUMMYFUNCTION("""COMPUTED_VALUE"""),"EMP0042 HULESHWAR KUMAR SAHU")</f>
        <v>EMP0042 HULESHWAR KUMAR SAHU</v>
      </c>
      <c r="J1181" s="91">
        <f t="shared" si="1"/>
        <v>-0.1425391898</v>
      </c>
    </row>
    <row r="1182">
      <c r="B1182" s="76" t="str">
        <f>IFERROR(__xludf.DUMMYFUNCTION("""COMPUTED_VALUE"""),"Debuging the error (Jasper end as well as Query end) and discuss with RM about logic ")</f>
        <v>Debuging the error (Jasper end as well as Query end) and discuss with RM about logic </v>
      </c>
      <c r="C1182" s="82">
        <f>IFERROR(__xludf.DUMMYFUNCTION("""COMPUTED_VALUE"""),5144.0)</f>
        <v>5144</v>
      </c>
      <c r="D1182" s="76" t="str">
        <f>IFERROR(__xludf.DUMMYFUNCTION("""COMPUTED_VALUE"""),"SATISH KUMAR")</f>
        <v>SATISH KUMAR</v>
      </c>
      <c r="E1182" s="84">
        <f>IFERROR(__xludf.DUMMYFUNCTION("""COMPUTED_VALUE"""),46151.597916666666)</f>
        <v>46151.59792</v>
      </c>
      <c r="F1182" s="86">
        <f>IFERROR(__xludf.DUMMYFUNCTION("""COMPUTED_VALUE"""),46151.499323125)</f>
        <v>46151.49932</v>
      </c>
      <c r="G1182" s="86" t="str">
        <f>IFERROR(__xludf.DUMMYFUNCTION("""COMPUTED_VALUE"""),"Done")</f>
        <v>Done</v>
      </c>
      <c r="H1182" s="88">
        <f>IFERROR(__xludf.DUMMYFUNCTION("""COMPUTED_VALUE"""),0.0)</f>
        <v>0</v>
      </c>
      <c r="I1182" s="90" t="str">
        <f>IFERROR(__xludf.DUMMYFUNCTION("""COMPUTED_VALUE"""),"EMP0042 HULESHWAR KUMAR SAHU")</f>
        <v>EMP0042 HULESHWAR KUMAR SAHU</v>
      </c>
      <c r="J1182" s="91">
        <f t="shared" si="1"/>
        <v>-0.09859354167</v>
      </c>
    </row>
    <row r="1183">
      <c r="B1183" s="76" t="str">
        <f>IFERROR(__xludf.DUMMYFUNCTION("""COMPUTED_VALUE"""),"Debuging the error (Jasper end as well as Query end) and discuss with RM about logic ")</f>
        <v>Debuging the error (Jasper end as well as Query end) and discuss with RM about logic </v>
      </c>
      <c r="C1183" s="82">
        <f>IFERROR(__xludf.DUMMYFUNCTION("""COMPUTED_VALUE"""),5145.0)</f>
        <v>5145</v>
      </c>
      <c r="D1183" s="76" t="str">
        <f>IFERROR(__xludf.DUMMYFUNCTION("""COMPUTED_VALUE"""),"STUDENT_ATTENDANCE")</f>
        <v>STUDENT_ATTENDANCE</v>
      </c>
      <c r="E1183" s="84">
        <f>IFERROR(__xludf.DUMMYFUNCTION("""COMPUTED_VALUE"""),46153.49722222222)</f>
        <v>46153.49722</v>
      </c>
      <c r="F1183" s="86">
        <f>IFERROR(__xludf.DUMMYFUNCTION("""COMPUTED_VALUE"""),46151.62573780093)</f>
        <v>46151.62574</v>
      </c>
      <c r="G1183" s="86" t="str">
        <f>IFERROR(__xludf.DUMMYFUNCTION("""COMPUTED_VALUE"""),"Done")</f>
        <v>Done</v>
      </c>
      <c r="H1183" s="88">
        <f>IFERROR(__xludf.DUMMYFUNCTION("""COMPUTED_VALUE"""),0.0)</f>
        <v>0</v>
      </c>
      <c r="I1183" s="90" t="str">
        <f>IFERROR(__xludf.DUMMYFUNCTION("""COMPUTED_VALUE"""),"EMP5009 Rup Kumar Mandal")</f>
        <v>EMP5009 Rup Kumar Mandal</v>
      </c>
      <c r="J1183" s="91">
        <f t="shared" si="1"/>
        <v>-1.871484421</v>
      </c>
    </row>
    <row r="1184">
      <c r="B1184" s="76" t="str">
        <f>IFERROR(__xludf.DUMMYFUNCTION("""COMPUTED_VALUE"""),"Debuging the error (Jasper end as well as Query end) and discuss with RM about logic ")</f>
        <v>Debuging the error (Jasper end as well as Query end) and discuss with RM about logic </v>
      </c>
      <c r="C1184" s="82">
        <f>IFERROR(__xludf.DUMMYFUNCTION("""COMPUTED_VALUE"""),5146.0)</f>
        <v>5146</v>
      </c>
      <c r="D1184" s="76" t="str">
        <f>IFERROR(__xludf.DUMMYFUNCTION("""COMPUTED_VALUE"""),"STUDENT_ATTENDANCE ")</f>
        <v>STUDENT_ATTENDANCE </v>
      </c>
      <c r="E1184" s="84">
        <f>IFERROR(__xludf.DUMMYFUNCTION("""COMPUTED_VALUE"""),46153.49861111111)</f>
        <v>46153.49861</v>
      </c>
      <c r="F1184" s="86">
        <f>IFERROR(__xludf.DUMMYFUNCTION("""COMPUTED_VALUE"""),46151.62574473379)</f>
        <v>46151.62574</v>
      </c>
      <c r="G1184" s="86" t="str">
        <f>IFERROR(__xludf.DUMMYFUNCTION("""COMPUTED_VALUE"""),"Done")</f>
        <v>Done</v>
      </c>
      <c r="H1184" s="88">
        <f>IFERROR(__xludf.DUMMYFUNCTION("""COMPUTED_VALUE"""),0.0)</f>
        <v>0</v>
      </c>
      <c r="I1184" s="90" t="str">
        <f>IFERROR(__xludf.DUMMYFUNCTION("""COMPUTED_VALUE"""),"EMP5009 Rup Kumar Mandal")</f>
        <v>EMP5009 Rup Kumar Mandal</v>
      </c>
      <c r="J1184" s="91">
        <f t="shared" si="1"/>
        <v>-1.872866377</v>
      </c>
    </row>
    <row r="1185">
      <c r="B1185" s="76" t="str">
        <f>IFERROR(__xludf.DUMMYFUNCTION("""COMPUTED_VALUE"""),"Debuging the error (Jasper end as well as Query end) and discuss with RM about logic ")</f>
        <v>Debuging the error (Jasper end as well as Query end) and discuss with RM about logic </v>
      </c>
      <c r="C1185" s="82">
        <f>IFERROR(__xludf.DUMMYFUNCTION("""COMPUTED_VALUE"""),5147.0)</f>
        <v>5147</v>
      </c>
      <c r="D1185" s="76" t="str">
        <f>IFERROR(__xludf.DUMMYFUNCTION("""COMPUTED_VALUE"""),"	TR NEW AGRICULTURE AND ALL")</f>
        <v>	TR NEW AGRICULTURE AND ALL</v>
      </c>
      <c r="E1185" s="84">
        <f>IFERROR(__xludf.DUMMYFUNCTION("""COMPUTED_VALUE"""),46153.56805555556)</f>
        <v>46153.56806</v>
      </c>
      <c r="F1185" s="86">
        <f>IFERROR(__xludf.DUMMYFUNCTION("""COMPUTED_VALUE"""),46153.46864644676)</f>
        <v>46153.46865</v>
      </c>
      <c r="G1185" s="86" t="str">
        <f>IFERROR(__xludf.DUMMYFUNCTION("""COMPUTED_VALUE"""),"Done")</f>
        <v>Done</v>
      </c>
      <c r="H1185" s="88">
        <f>IFERROR(__xludf.DUMMYFUNCTION("""COMPUTED_VALUE"""),0.0)</f>
        <v>0</v>
      </c>
      <c r="I1185" s="90" t="str">
        <f>IFERROR(__xludf.DUMMYFUNCTION("""COMPUTED_VALUE"""),"EMP0042 HULESHWAR KUMAR SAHU")</f>
        <v>EMP0042 HULESHWAR KUMAR SAHU</v>
      </c>
      <c r="J1185" s="91">
        <f t="shared" si="1"/>
        <v>-0.0994091088</v>
      </c>
    </row>
    <row r="1186">
      <c r="B1186" s="76" t="str">
        <f>IFERROR(__xludf.DUMMYFUNCTION("""COMPUTED_VALUE"""),"Debuging the error (Jasper end as well as Query end) and discuss with RM about logic ")</f>
        <v>Debuging the error (Jasper end as well as Query end) and discuss with RM about logic </v>
      </c>
      <c r="C1186" s="82">
        <f>IFERROR(__xludf.DUMMYFUNCTION("""COMPUTED_VALUE"""),5148.0)</f>
        <v>5148</v>
      </c>
      <c r="D1186" s="76" t="str">
        <f>IFERROR(__xludf.DUMMYFUNCTION("""COMPUTED_VALUE"""),"2019-20 BATCHES BA COURSE MATHAMTICS SUBJECT NOT SHOWING UNIT PARTS IN DMC")</f>
        <v>2019-20 BATCHES BA COURSE MATHAMTICS SUBJECT NOT SHOWING UNIT PARTS IN DMC</v>
      </c>
      <c r="E1186" s="84">
        <f>IFERROR(__xludf.DUMMYFUNCTION("""COMPUTED_VALUE"""),46153.771851516205)</f>
        <v>46153.77185</v>
      </c>
      <c r="F1186" s="86">
        <f>IFERROR(__xludf.DUMMYFUNCTION("""COMPUTED_VALUE"""),46153.694055127315)</f>
        <v>46153.69406</v>
      </c>
      <c r="G1186" s="86" t="str">
        <f>IFERROR(__xludf.DUMMYFUNCTION("""COMPUTED_VALUE"""),"Done")</f>
        <v>Done</v>
      </c>
      <c r="H1186" s="88">
        <f>IFERROR(__xludf.DUMMYFUNCTION("""COMPUTED_VALUE"""),0.0)</f>
        <v>0</v>
      </c>
      <c r="I1186" s="90" t="str">
        <f>IFERROR(__xludf.DUMMYFUNCTION("""COMPUTED_VALUE"""),"EMP0237 Swarnendu Chakraborty")</f>
        <v>EMP0237 Swarnendu Chakraborty</v>
      </c>
      <c r="J1186" s="91">
        <f t="shared" si="1"/>
        <v>-0.07779638889</v>
      </c>
    </row>
    <row r="1187">
      <c r="B1187" s="76" t="str">
        <f>IFERROR(__xludf.DUMMYFUNCTION("""COMPUTED_VALUE"""),"Debuging the error (Jasper end as well as Query end) and discuss with RM about logic ")</f>
        <v>Debuging the error (Jasper end as well as Query end) and discuss with RM about logic </v>
      </c>
      <c r="C1187" s="82">
        <f>IFERROR(__xludf.DUMMYFUNCTION("""COMPUTED_VALUE"""),5149.0)</f>
        <v>5149</v>
      </c>
      <c r="D1187" s="76" t="str">
        <f>IFERROR(__xludf.DUMMYFUNCTION("""COMPUTED_VALUE"""),"	Marksheet MBBS New Format")</f>
        <v>	Marksheet MBBS New Format</v>
      </c>
      <c r="E1187" s="84">
        <f>IFERROR(__xludf.DUMMYFUNCTION("""COMPUTED_VALUE"""),46155.52916666667)</f>
        <v>46155.52917</v>
      </c>
      <c r="F1187" s="86">
        <f>IFERROR(__xludf.DUMMYFUNCTION("""COMPUTED_VALUE"""),46154.667426747685)</f>
        <v>46154.66743</v>
      </c>
      <c r="G1187" s="86" t="str">
        <f>IFERROR(__xludf.DUMMYFUNCTION("""COMPUTED_VALUE"""),"Done")</f>
        <v>Done</v>
      </c>
      <c r="H1187" s="88">
        <f>IFERROR(__xludf.DUMMYFUNCTION("""COMPUTED_VALUE"""),0.0)</f>
        <v>0</v>
      </c>
      <c r="I1187" s="90" t="str">
        <f>IFERROR(__xludf.DUMMYFUNCTION("""COMPUTED_VALUE"""),"EMP0042 HULESHWAR KUMAR SAHU")</f>
        <v>EMP0042 HULESHWAR KUMAR SAHU</v>
      </c>
      <c r="J1187" s="91">
        <f t="shared" si="1"/>
        <v>-0.861739919</v>
      </c>
    </row>
    <row r="1188">
      <c r="B1188" s="76" t="str">
        <f>IFERROR(__xludf.DUMMYFUNCTION("""COMPUTED_VALUE"""),"Debuging the error (Jasper end as well as Query end) and discuss with RM about logic ")</f>
        <v>Debuging the error (Jasper end as well as Query end) and discuss with RM about logic </v>
      </c>
      <c r="C1188" s="82">
        <f>IFERROR(__xludf.DUMMYFUNCTION("""COMPUTED_VALUE"""),5150.0)</f>
        <v>5150</v>
      </c>
      <c r="D1188" s="76" t="str">
        <f>IFERROR(__xludf.DUMMYFUNCTION("""COMPUTED_VALUE"""),"Transcript PG")</f>
        <v>Transcript PG</v>
      </c>
      <c r="E1188" s="84">
        <f>IFERROR(__xludf.DUMMYFUNCTION("""COMPUTED_VALUE"""),46155.53263888889)</f>
        <v>46155.53264</v>
      </c>
      <c r="F1188" s="86">
        <f>IFERROR(__xludf.DUMMYFUNCTION("""COMPUTED_VALUE"""),46154.667442881946)</f>
        <v>46154.66744</v>
      </c>
      <c r="G1188" s="86" t="str">
        <f>IFERROR(__xludf.DUMMYFUNCTION("""COMPUTED_VALUE"""),"Done")</f>
        <v>Done</v>
      </c>
      <c r="H1188" s="88">
        <f>IFERROR(__xludf.DUMMYFUNCTION("""COMPUTED_VALUE"""),0.0)</f>
        <v>0</v>
      </c>
      <c r="I1188" s="90" t="str">
        <f>IFERROR(__xludf.DUMMYFUNCTION("""COMPUTED_VALUE"""),"EMP0042 HULESHWAR KUMAR SAHU")</f>
        <v>EMP0042 HULESHWAR KUMAR SAHU</v>
      </c>
      <c r="J1188" s="91">
        <f t="shared" si="1"/>
        <v>-0.8651960069</v>
      </c>
    </row>
    <row r="1189">
      <c r="B1189" s="76" t="str">
        <f>IFERROR(__xludf.DUMMYFUNCTION("""COMPUTED_VALUE"""),"Debuging the error (Jasper end as well as Query end) and discuss with RM about logic ")</f>
        <v>Debuging the error (Jasper end as well as Query end) and discuss with RM about logic </v>
      </c>
      <c r="C1189" s="82">
        <f>IFERROR(__xludf.DUMMYFUNCTION("""COMPUTED_VALUE"""),5151.0)</f>
        <v>5151</v>
      </c>
      <c r="D1189" s="76" t="str">
        <f>IFERROR(__xludf.DUMMYFUNCTION("""COMPUTED_VALUE"""),"Marksheet LLB")</f>
        <v>Marksheet LLB</v>
      </c>
      <c r="E1189" s="84">
        <f>IFERROR(__xludf.DUMMYFUNCTION("""COMPUTED_VALUE"""),46155.56388888889)</f>
        <v>46155.56389</v>
      </c>
      <c r="F1189" s="86">
        <f>IFERROR(__xludf.DUMMYFUNCTION("""COMPUTED_VALUE"""),46155.521666712964)</f>
        <v>46155.52167</v>
      </c>
      <c r="G1189" s="86" t="str">
        <f>IFERROR(__xludf.DUMMYFUNCTION("""COMPUTED_VALUE"""),"Done")</f>
        <v>Done</v>
      </c>
      <c r="H1189" s="88">
        <f>IFERROR(__xludf.DUMMYFUNCTION("""COMPUTED_VALUE"""),0.0)</f>
        <v>0</v>
      </c>
      <c r="I1189" s="90" t="str">
        <f>IFERROR(__xludf.DUMMYFUNCTION("""COMPUTED_VALUE"""),"EMP0042 HULESHWAR KUMAR SAHU")</f>
        <v>EMP0042 HULESHWAR KUMAR SAHU</v>
      </c>
      <c r="J1189" s="91">
        <f t="shared" si="1"/>
        <v>-0.04222217593</v>
      </c>
    </row>
    <row r="1190">
      <c r="B1190" s="76" t="str">
        <f>IFERROR(__xludf.DUMMYFUNCTION("""COMPUTED_VALUE"""),"Debuging the error (Jasper end as well as Query end) and discuss with RM about logic ")</f>
        <v>Debuging the error (Jasper end as well as Query end) and discuss with RM about logic </v>
      </c>
      <c r="C1190" s="82">
        <f>IFERROR(__xludf.DUMMYFUNCTION("""COMPUTED_VALUE"""),5152.0)</f>
        <v>5152</v>
      </c>
      <c r="D1190" s="76" t="str">
        <f>IFERROR(__xludf.DUMMYFUNCTION("""COMPUTED_VALUE"""),"NEP Marksheet")</f>
        <v>NEP Marksheet</v>
      </c>
      <c r="E1190" s="84">
        <f>IFERROR(__xludf.DUMMYFUNCTION("""COMPUTED_VALUE"""),46157.5375)</f>
        <v>46157.5375</v>
      </c>
      <c r="F1190" s="86">
        <f>IFERROR(__xludf.DUMMYFUNCTION("""COMPUTED_VALUE"""),46156.68261871528)</f>
        <v>46156.68262</v>
      </c>
      <c r="G1190" s="86" t="str">
        <f>IFERROR(__xludf.DUMMYFUNCTION("""COMPUTED_VALUE"""),"Done")</f>
        <v>Done</v>
      </c>
      <c r="H1190" s="88">
        <f>IFERROR(__xludf.DUMMYFUNCTION("""COMPUTED_VALUE"""),0.0)</f>
        <v>0</v>
      </c>
      <c r="I1190" s="90" t="str">
        <f>IFERROR(__xludf.DUMMYFUNCTION("""COMPUTED_VALUE"""),"EMP0042 HULESHWAR KUMAR SAHU")</f>
        <v>EMP0042 HULESHWAR KUMAR SAHU</v>
      </c>
      <c r="J1190" s="91">
        <f t="shared" si="1"/>
        <v>-0.8548812847</v>
      </c>
    </row>
    <row r="1191">
      <c r="B1191" s="76" t="str">
        <f>IFERROR(__xludf.DUMMYFUNCTION("""COMPUTED_VALUE"""),"Debuging the error (Jasper end as well as Query end) and discuss with RM about logic ")</f>
        <v>Debuging the error (Jasper end as well as Query end) and discuss with RM about logic </v>
      </c>
      <c r="C1191" s="82">
        <f>IFERROR(__xludf.DUMMYFUNCTION("""COMPUTED_VALUE"""),5153.0)</f>
        <v>5153</v>
      </c>
      <c r="D1191" s="76" t="str">
        <f>IFERROR(__xludf.DUMMYFUNCTION("""COMPUTED_VALUE"""),"OLD Marksheet")</f>
        <v>OLD Marksheet</v>
      </c>
      <c r="E1191" s="84">
        <f>IFERROR(__xludf.DUMMYFUNCTION("""COMPUTED_VALUE"""),46157.53958333333)</f>
        <v>46157.53958</v>
      </c>
      <c r="F1191" s="86">
        <f>IFERROR(__xludf.DUMMYFUNCTION("""COMPUTED_VALUE"""),46156.68249474537)</f>
        <v>46156.68249</v>
      </c>
      <c r="G1191" s="86" t="str">
        <f>IFERROR(__xludf.DUMMYFUNCTION("""COMPUTED_VALUE"""),"Done")</f>
        <v>Done</v>
      </c>
      <c r="H1191" s="88">
        <f>IFERROR(__xludf.DUMMYFUNCTION("""COMPUTED_VALUE"""),0.0)</f>
        <v>0</v>
      </c>
      <c r="I1191" s="90" t="str">
        <f>IFERROR(__xludf.DUMMYFUNCTION("""COMPUTED_VALUE"""),"EMP0021 Tamanna Dewangan")</f>
        <v>EMP0021 Tamanna Dewangan</v>
      </c>
      <c r="J1191" s="91">
        <f t="shared" si="1"/>
        <v>-0.857088588</v>
      </c>
    </row>
    <row r="1192">
      <c r="B1192" s="76" t="str">
        <f>IFERROR(__xludf.DUMMYFUNCTION("""COMPUTED_VALUE"""),"Debuging the error (Jasper end as well as Query end) and discuss with RM about logic ")</f>
        <v>Debuging the error (Jasper end as well as Query end) and discuss with RM about logic </v>
      </c>
      <c r="C1192" s="82">
        <f>IFERROR(__xludf.DUMMYFUNCTION("""COMPUTED_VALUE"""),5154.0)</f>
        <v>5154</v>
      </c>
      <c r="D1192" s="76" t="str">
        <f>IFERROR(__xludf.DUMMYFUNCTION("""COMPUTED_VALUE"""),"TR Report")</f>
        <v>TR Report</v>
      </c>
      <c r="E1192" s="84">
        <f>IFERROR(__xludf.DUMMYFUNCTION("""COMPUTED_VALUE"""),46157.5625)</f>
        <v>46157.5625</v>
      </c>
      <c r="F1192" s="86">
        <f>IFERROR(__xludf.DUMMYFUNCTION("""COMPUTED_VALUE"""),46157.46470377315)</f>
        <v>46157.4647</v>
      </c>
      <c r="G1192" s="86" t="str">
        <f>IFERROR(__xludf.DUMMYFUNCTION("""COMPUTED_VALUE"""),"Done")</f>
        <v>Done</v>
      </c>
      <c r="H1192" s="88">
        <f>IFERROR(__xludf.DUMMYFUNCTION("""COMPUTED_VALUE"""),0.0)</f>
        <v>0</v>
      </c>
      <c r="I1192" s="90" t="str">
        <f>IFERROR(__xludf.DUMMYFUNCTION("""COMPUTED_VALUE"""),"EMP0021 Tamanna Dewangan")</f>
        <v>EMP0021 Tamanna Dewangan</v>
      </c>
      <c r="J1192" s="91">
        <f t="shared" si="1"/>
        <v>-0.09779622685</v>
      </c>
    </row>
    <row r="1193">
      <c r="B1193" s="76" t="str">
        <f>IFERROR(__xludf.DUMMYFUNCTION("""COMPUTED_VALUE"""),"Debuging the error (Jasper end as well as Query end) and discuss with RM about logic ")</f>
        <v>Debuging the error (Jasper end as well as Query end) and discuss with RM about logic </v>
      </c>
      <c r="C1193" s="82">
        <f>IFERROR(__xludf.DUMMYFUNCTION("""COMPUTED_VALUE"""),5155.0)</f>
        <v>5155</v>
      </c>
      <c r="D1193" s="76" t="str">
        <f>IFERROR(__xludf.DUMMYFUNCTION("""COMPUTED_VALUE"""),"Marksheet LLB(Absorption)")</f>
        <v>Marksheet LLB(Absorption)</v>
      </c>
      <c r="E1193" s="84">
        <f>IFERROR(__xludf.DUMMYFUNCTION("""COMPUTED_VALUE"""),46157.56388888889)</f>
        <v>46157.56389</v>
      </c>
      <c r="F1193" s="86">
        <f>IFERROR(__xludf.DUMMYFUNCTION("""COMPUTED_VALUE"""),46157.46472189815)</f>
        <v>46157.46472</v>
      </c>
      <c r="G1193" s="86" t="str">
        <f>IFERROR(__xludf.DUMMYFUNCTION("""COMPUTED_VALUE"""),"Done")</f>
        <v>Done</v>
      </c>
      <c r="H1193" s="88">
        <f>IFERROR(__xludf.DUMMYFUNCTION("""COMPUTED_VALUE"""),0.0)</f>
        <v>0</v>
      </c>
      <c r="I1193" s="90" t="str">
        <f>IFERROR(__xludf.DUMMYFUNCTION("""COMPUTED_VALUE"""),"EMP0042 HULESHWAR KUMAR SAHU")</f>
        <v>EMP0042 HULESHWAR KUMAR SAHU</v>
      </c>
      <c r="J1193" s="91">
        <f t="shared" si="1"/>
        <v>-0.09916699075</v>
      </c>
    </row>
    <row r="1194">
      <c r="B1194" s="76" t="str">
        <f>IFERROR(__xludf.DUMMYFUNCTION("""COMPUTED_VALUE"""),"Debuging the error (Jasper end as well as Query end) and discuss with RM about logic ")</f>
        <v>Debuging the error (Jasper end as well as Query end) and discuss with RM about logic </v>
      </c>
      <c r="C1194" s="82">
        <f>IFERROR(__xludf.DUMMYFUNCTION("""COMPUTED_VALUE"""),5156.0)</f>
        <v>5156</v>
      </c>
      <c r="D1194" s="76" t="str">
        <f>IFERROR(__xludf.DUMMYFUNCTION("""COMPUTED_VALUE"""),"MISCELLEROUS REPORT IN FILED ADD ")</f>
        <v>MISCELLEROUS REPORT IN FILED ADD </v>
      </c>
      <c r="E1194" s="84">
        <f>IFERROR(__xludf.DUMMYFUNCTION("""COMPUTED_VALUE"""),46158.78440164352)</f>
        <v>46158.7844</v>
      </c>
      <c r="F1194" s="86">
        <f>IFERROR(__xludf.DUMMYFUNCTION("""COMPUTED_VALUE"""),46158.51643396991)</f>
        <v>46158.51643</v>
      </c>
      <c r="G1194" s="86" t="str">
        <f>IFERROR(__xludf.DUMMYFUNCTION("""COMPUTED_VALUE"""),"Done")</f>
        <v>Done</v>
      </c>
      <c r="H1194" s="88">
        <f>IFERROR(__xludf.DUMMYFUNCTION("""COMPUTED_VALUE"""),0.0)</f>
        <v>0</v>
      </c>
      <c r="I1194" s="90" t="str">
        <f>IFERROR(__xludf.DUMMYFUNCTION("""COMPUTED_VALUE"""),"EMP0237 Swarnendu Chakraborty")</f>
        <v>EMP0237 Swarnendu Chakraborty</v>
      </c>
      <c r="J1194" s="91">
        <f t="shared" si="1"/>
        <v>-0.2679676736</v>
      </c>
    </row>
    <row r="1195">
      <c r="B1195" s="76" t="str">
        <f>IFERROR(__xludf.DUMMYFUNCTION("""COMPUTED_VALUE"""),"Debuging the error (Jasper end as well as Query end) and discuss with RM about logic ")</f>
        <v>Debuging the error (Jasper end as well as Query end) and discuss with RM about logic </v>
      </c>
      <c r="C1195" s="82">
        <f>IFERROR(__xludf.DUMMYFUNCTION("""COMPUTED_VALUE"""),5157.0)</f>
        <v>5157</v>
      </c>
      <c r="D1195" s="76" t="str">
        <f>IFERROR(__xludf.DUMMYFUNCTION("""COMPUTED_VALUE"""),"Student Checklist")</f>
        <v>Student Checklist</v>
      </c>
      <c r="E1195" s="84">
        <f>IFERROR(__xludf.DUMMYFUNCTION("""COMPUTED_VALUE"""),46160.48055555555)</f>
        <v>46160.48056</v>
      </c>
      <c r="F1195" s="86">
        <f>IFERROR(__xludf.DUMMYFUNCTION("""COMPUTED_VALUE"""),46158.67194611111)</f>
        <v>46158.67195</v>
      </c>
      <c r="G1195" s="86" t="str">
        <f>IFERROR(__xludf.DUMMYFUNCTION("""COMPUTED_VALUE"""),"Done")</f>
        <v>Done</v>
      </c>
      <c r="H1195" s="88">
        <f>IFERROR(__xludf.DUMMYFUNCTION("""COMPUTED_VALUE"""),0.0)</f>
        <v>0</v>
      </c>
      <c r="I1195" s="90" t="str">
        <f>IFERROR(__xludf.DUMMYFUNCTION("""COMPUTED_VALUE"""),"EMP5009 Rup Kumar Mandal")</f>
        <v>EMP5009 Rup Kumar Mandal</v>
      </c>
      <c r="J1195" s="91">
        <f t="shared" si="1"/>
        <v>-1.808609444</v>
      </c>
    </row>
    <row r="1196">
      <c r="B1196" s="76" t="str">
        <f>IFERROR(__xludf.DUMMYFUNCTION("""COMPUTED_VALUE"""),"Debuging the error (Jasper end as well as Query end) and discuss with RM about logic ")</f>
        <v>Debuging the error (Jasper end as well as Query end) and discuss with RM about logic </v>
      </c>
      <c r="C1196" s="82">
        <f>IFERROR(__xludf.DUMMYFUNCTION("""COMPUTED_VALUE"""),5158.0)</f>
        <v>5158</v>
      </c>
      <c r="D1196" s="76" t="str">
        <f>IFERROR(__xludf.DUMMYFUNCTION("""COMPUTED_VALUE"""),"ADMIT")</f>
        <v>ADMIT</v>
      </c>
      <c r="E1196" s="84">
        <f>IFERROR(__xludf.DUMMYFUNCTION("""COMPUTED_VALUE"""),46160.48333333334)</f>
        <v>46160.48333</v>
      </c>
      <c r="F1196" s="86">
        <f>IFERROR(__xludf.DUMMYFUNCTION("""COMPUTED_VALUE"""),46158.67194611111)</f>
        <v>46158.67195</v>
      </c>
      <c r="G1196" s="86" t="str">
        <f>IFERROR(__xludf.DUMMYFUNCTION("""COMPUTED_VALUE"""),"Done")</f>
        <v>Done</v>
      </c>
      <c r="H1196" s="88">
        <f>IFERROR(__xludf.DUMMYFUNCTION("""COMPUTED_VALUE"""),0.0)</f>
        <v>0</v>
      </c>
      <c r="I1196" s="90" t="str">
        <f>IFERROR(__xludf.DUMMYFUNCTION("""COMPUTED_VALUE"""),"EMP5009 Rup Kumar Mandal")</f>
        <v>EMP5009 Rup Kumar Mandal</v>
      </c>
      <c r="J1196" s="91">
        <f t="shared" si="1"/>
        <v>-1.811387222</v>
      </c>
    </row>
    <row r="1197">
      <c r="B1197" s="76" t="str">
        <f>IFERROR(__xludf.DUMMYFUNCTION("""COMPUTED_VALUE"""),"Debuging the error (Jasper end as well as Query end) and discuss with RM about logic ")</f>
        <v>Debuging the error (Jasper end as well as Query end) and discuss with RM about logic </v>
      </c>
      <c r="C1197" s="82">
        <f>IFERROR(__xludf.DUMMYFUNCTION("""COMPUTED_VALUE"""),5159.0)</f>
        <v>5159</v>
      </c>
      <c r="D1197" s="76" t="str">
        <f>IFERROR(__xludf.DUMMYFUNCTION("""COMPUTED_VALUE"""),"ATTENDANCE (AR/DR)")</f>
        <v>ATTENDANCE (AR/DR)</v>
      </c>
      <c r="E1197" s="84">
        <f>IFERROR(__xludf.DUMMYFUNCTION("""COMPUTED_VALUE"""),46160.48472222222)</f>
        <v>46160.48472</v>
      </c>
      <c r="F1197" s="86">
        <f>IFERROR(__xludf.DUMMYFUNCTION("""COMPUTED_VALUE"""),46158.67195393518)</f>
        <v>46158.67195</v>
      </c>
      <c r="G1197" s="86" t="str">
        <f>IFERROR(__xludf.DUMMYFUNCTION("""COMPUTED_VALUE"""),"Done")</f>
        <v>Done</v>
      </c>
      <c r="H1197" s="88">
        <f>IFERROR(__xludf.DUMMYFUNCTION("""COMPUTED_VALUE"""),0.0)</f>
        <v>0</v>
      </c>
      <c r="I1197" s="90" t="str">
        <f>IFERROR(__xludf.DUMMYFUNCTION("""COMPUTED_VALUE"""),"EMP5009 Rup Kumar Mandal")</f>
        <v>EMP5009 Rup Kumar Mandal</v>
      </c>
      <c r="J1197" s="91">
        <f t="shared" si="1"/>
        <v>-1.812768287</v>
      </c>
    </row>
    <row r="1198">
      <c r="B1198" s="76" t="str">
        <f>IFERROR(__xludf.DUMMYFUNCTION("""COMPUTED_VALUE"""),"Debuging the error (Jasper end as well as Query end) and discuss with RM about logic ")</f>
        <v>Debuging the error (Jasper end as well as Query end) and discuss with RM about logic </v>
      </c>
      <c r="C1198" s="82">
        <f>IFERROR(__xludf.DUMMYFUNCTION("""COMPUTED_VALUE"""),5160.0)</f>
        <v>5160</v>
      </c>
      <c r="D1198" s="76" t="str">
        <f>IFERROR(__xludf.DUMMYFUNCTION("""COMPUTED_VALUE"""),"TOP SHEET (BEFORE)")</f>
        <v>TOP SHEET (BEFORE)</v>
      </c>
      <c r="E1198" s="84">
        <f>IFERROR(__xludf.DUMMYFUNCTION("""COMPUTED_VALUE"""),46160.48611111111)</f>
        <v>46160.48611</v>
      </c>
      <c r="F1198" s="86">
        <f>IFERROR(__xludf.DUMMYFUNCTION("""COMPUTED_VALUE"""),46158.67195393518)</f>
        <v>46158.67195</v>
      </c>
      <c r="G1198" s="86" t="str">
        <f>IFERROR(__xludf.DUMMYFUNCTION("""COMPUTED_VALUE"""),"Done")</f>
        <v>Done</v>
      </c>
      <c r="H1198" s="88">
        <f>IFERROR(__xludf.DUMMYFUNCTION("""COMPUTED_VALUE"""),0.0)</f>
        <v>0</v>
      </c>
      <c r="I1198" s="90" t="str">
        <f>IFERROR(__xludf.DUMMYFUNCTION("""COMPUTED_VALUE"""),"EMP5009 Rup Kumar Mandal")</f>
        <v>EMP5009 Rup Kumar Mandal</v>
      </c>
      <c r="J1198" s="91">
        <f t="shared" si="1"/>
        <v>-1.814157176</v>
      </c>
    </row>
    <row r="1199">
      <c r="B1199" s="76" t="str">
        <f>IFERROR(__xludf.DUMMYFUNCTION("""COMPUTED_VALUE"""),"Debuging the error (Jasper end as well as Query end) and discuss with RM about logic ")</f>
        <v>Debuging the error (Jasper end as well as Query end) and discuss with RM about logic </v>
      </c>
      <c r="C1199" s="82">
        <f>IFERROR(__xludf.DUMMYFUNCTION("""COMPUTED_VALUE"""),5161.0)</f>
        <v>5161</v>
      </c>
      <c r="D1199" s="76" t="str">
        <f>IFERROR(__xludf.DUMMYFUNCTION("""COMPUTED_VALUE"""),"PREVIOUS ")</f>
        <v>PREVIOUS </v>
      </c>
      <c r="E1199" s="84">
        <f>IFERROR(__xludf.DUMMYFUNCTION("""COMPUTED_VALUE"""),46160.486805555556)</f>
        <v>46160.48681</v>
      </c>
      <c r="F1199" s="86">
        <f>IFERROR(__xludf.DUMMYFUNCTION("""COMPUTED_VALUE"""),46158.671965208334)</f>
        <v>46158.67197</v>
      </c>
      <c r="G1199" s="86" t="str">
        <f>IFERROR(__xludf.DUMMYFUNCTION("""COMPUTED_VALUE"""),"Done")</f>
        <v>Done</v>
      </c>
      <c r="H1199" s="88">
        <f>IFERROR(__xludf.DUMMYFUNCTION("""COMPUTED_VALUE"""),0.0)</f>
        <v>0</v>
      </c>
      <c r="I1199" s="90" t="str">
        <f>IFERROR(__xludf.DUMMYFUNCTION("""COMPUTED_VALUE"""),"EMP5009 Rup Kumar Mandal")</f>
        <v>EMP5009 Rup Kumar Mandal</v>
      </c>
      <c r="J1199" s="91">
        <f t="shared" si="1"/>
        <v>-1.814840347</v>
      </c>
    </row>
    <row r="1200">
      <c r="B1200" s="76" t="str">
        <f>IFERROR(__xludf.DUMMYFUNCTION("""COMPUTED_VALUE"""),"Debuging the error (Jasper end as well as Query end) and discuss with RM about logic ")</f>
        <v>Debuging the error (Jasper end as well as Query end) and discuss with RM about logic </v>
      </c>
      <c r="C1200" s="82">
        <f>IFERROR(__xludf.DUMMYFUNCTION("""COMPUTED_VALUE"""),5162.0)</f>
        <v>5162</v>
      </c>
      <c r="D1200" s="76" t="str">
        <f>IFERROR(__xludf.DUMMYFUNCTION("""COMPUTED_VALUE"""),"Marks Entry Report")</f>
        <v>Marks Entry Report</v>
      </c>
      <c r="E1200" s="84">
        <f>IFERROR(__xludf.DUMMYFUNCTION("""COMPUTED_VALUE"""),46160.82730256944)</f>
        <v>46160.8273</v>
      </c>
      <c r="F1200" s="86">
        <f>IFERROR(__xludf.DUMMYFUNCTION("""COMPUTED_VALUE"""),46160.62264275463)</f>
        <v>46160.62264</v>
      </c>
      <c r="G1200" s="86" t="str">
        <f>IFERROR(__xludf.DUMMYFUNCTION("""COMPUTED_VALUE"""),"Done")</f>
        <v>Done</v>
      </c>
      <c r="H1200" s="88">
        <f>IFERROR(__xludf.DUMMYFUNCTION("""COMPUTED_VALUE"""),0.0)</f>
        <v>0</v>
      </c>
      <c r="I1200" s="90" t="str">
        <f>IFERROR(__xludf.DUMMYFUNCTION("""COMPUTED_VALUE"""),"EMP0042 HULESHWAR KUMAR SAHU")</f>
        <v>EMP0042 HULESHWAR KUMAR SAHU</v>
      </c>
      <c r="J1200" s="91">
        <f t="shared" si="1"/>
        <v>-0.2046598148</v>
      </c>
    </row>
    <row r="1201">
      <c r="B1201" s="76" t="str">
        <f>IFERROR(__xludf.DUMMYFUNCTION("""COMPUTED_VALUE"""),"Debuging the error (Jasper end as well as Query end) and discuss with RM about logic ")</f>
        <v>Debuging the error (Jasper end as well as Query end) and discuss with RM about logic </v>
      </c>
      <c r="C1201" s="82">
        <f>IFERROR(__xludf.DUMMYFUNCTION("""COMPUTED_VALUE"""),5163.0)</f>
        <v>5163</v>
      </c>
      <c r="D1201" s="76" t="str">
        <f>IFERROR(__xludf.DUMMYFUNCTION("""COMPUTED_VALUE"""),"Seat Allotment Paper List/DATE WISE SUBJECT LIST")</f>
        <v>Seat Allotment Paper List/DATE WISE SUBJECT LIST</v>
      </c>
      <c r="E1201" s="84">
        <f>IFERROR(__xludf.DUMMYFUNCTION("""COMPUTED_VALUE"""),46161.59444444445)</f>
        <v>46161.59444</v>
      </c>
      <c r="F1201" s="86">
        <f>IFERROR(__xludf.DUMMYFUNCTION("""COMPUTED_VALUE"""),46160.73722372685)</f>
        <v>46160.73722</v>
      </c>
      <c r="G1201" s="86" t="str">
        <f>IFERROR(__xludf.DUMMYFUNCTION("""COMPUTED_VALUE"""),"Done")</f>
        <v>Done</v>
      </c>
      <c r="H1201" s="88">
        <f>IFERROR(__xludf.DUMMYFUNCTION("""COMPUTED_VALUE"""),0.0)</f>
        <v>0</v>
      </c>
      <c r="I1201" s="90" t="str">
        <f>IFERROR(__xludf.DUMMYFUNCTION("""COMPUTED_VALUE"""),"EMP0042 HULESHWAR KUMAR SAHU")</f>
        <v>EMP0042 HULESHWAR KUMAR SAHU</v>
      </c>
      <c r="J1201" s="91">
        <f t="shared" si="1"/>
        <v>-0.8572207176</v>
      </c>
    </row>
    <row r="1202">
      <c r="B1202" s="76" t="str">
        <f>IFERROR(__xludf.DUMMYFUNCTION("""COMPUTED_VALUE"""),"Debuging the error (Jasper end as well as Query end) and discuss with RM about logic ")</f>
        <v>Debuging the error (Jasper end as well as Query end) and discuss with RM about logic </v>
      </c>
      <c r="C1202" s="82">
        <f>IFERROR(__xludf.DUMMYFUNCTION("""COMPUTED_VALUE"""),5164.0)</f>
        <v>5164</v>
      </c>
      <c r="D1202" s="76" t="str">
        <f>IFERROR(__xludf.DUMMYFUNCTION("""COMPUTED_VALUE"""),"	DESK SLIP")</f>
        <v>	DESK SLIP</v>
      </c>
      <c r="E1202" s="84">
        <f>IFERROR(__xludf.DUMMYFUNCTION("""COMPUTED_VALUE"""),46161.59513888889)</f>
        <v>46161.59514</v>
      </c>
      <c r="F1202" s="86">
        <f>IFERROR(__xludf.DUMMYFUNCTION("""COMPUTED_VALUE"""),46160.73724631945)</f>
        <v>46160.73725</v>
      </c>
      <c r="G1202" s="86" t="str">
        <f>IFERROR(__xludf.DUMMYFUNCTION("""COMPUTED_VALUE"""),"Done")</f>
        <v>Done</v>
      </c>
      <c r="H1202" s="88">
        <f>IFERROR(__xludf.DUMMYFUNCTION("""COMPUTED_VALUE"""),0.0)</f>
        <v>0</v>
      </c>
      <c r="I1202" s="90" t="str">
        <f>IFERROR(__xludf.DUMMYFUNCTION("""COMPUTED_VALUE"""),"EMP0042 HULESHWAR KUMAR SAHU")</f>
        <v>EMP0042 HULESHWAR KUMAR SAHU</v>
      </c>
      <c r="J1202" s="91">
        <f t="shared" si="1"/>
        <v>-0.8578925694</v>
      </c>
    </row>
    <row r="1203">
      <c r="B1203" s="76" t="str">
        <f>IFERROR(__xludf.DUMMYFUNCTION("""COMPUTED_VALUE"""),"Debuging the error (Jasper end as well as Query end) and discuss with RM about logic ")</f>
        <v>Debuging the error (Jasper end as well as Query end) and discuss with RM about logic </v>
      </c>
      <c r="C1203" s="82">
        <f>IFERROR(__xludf.DUMMYFUNCTION("""COMPUTED_VALUE"""),5165.0)</f>
        <v>5165</v>
      </c>
      <c r="D1203" s="76" t="str">
        <f>IFERROR(__xludf.DUMMYFUNCTION("""COMPUTED_VALUE"""),"Marks Sheet")</f>
        <v>Marks Sheet</v>
      </c>
      <c r="E1203" s="84">
        <f>IFERROR(__xludf.DUMMYFUNCTION("""COMPUTED_VALUE"""),46161.611805555556)</f>
        <v>46161.61181</v>
      </c>
      <c r="F1203" s="86">
        <f>IFERROR(__xludf.DUMMYFUNCTION("""COMPUTED_VALUE"""),46160.752212708336)</f>
        <v>46160.75221</v>
      </c>
      <c r="G1203" s="86" t="str">
        <f>IFERROR(__xludf.DUMMYFUNCTION("""COMPUTED_VALUE"""),"Done")</f>
        <v>Done</v>
      </c>
      <c r="H1203" s="88">
        <f>IFERROR(__xludf.DUMMYFUNCTION("""COMPUTED_VALUE"""),0.0)</f>
        <v>0</v>
      </c>
      <c r="I1203" s="90" t="str">
        <f>IFERROR(__xludf.DUMMYFUNCTION("""COMPUTED_VALUE"""),"EMP0042 HULESHWAR KUMAR SAHU")</f>
        <v>EMP0042 HULESHWAR KUMAR SAHU</v>
      </c>
      <c r="J1203" s="91">
        <f t="shared" si="1"/>
        <v>-0.8595928472</v>
      </c>
    </row>
    <row r="1204">
      <c r="B1204" s="76" t="str">
        <f>IFERROR(__xludf.DUMMYFUNCTION("""COMPUTED_VALUE"""),"Debuging the error (Jasper end as well as Query end) and discuss with RM about logic ")</f>
        <v>Debuging the error (Jasper end as well as Query end) and discuss with RM about logic </v>
      </c>
      <c r="C1204" s="82">
        <f>IFERROR(__xludf.DUMMYFUNCTION("""COMPUTED_VALUE"""),5166.0)</f>
        <v>5166</v>
      </c>
      <c r="D1204" s="76" t="str">
        <f>IFERROR(__xludf.DUMMYFUNCTION("""COMPUTED_VALUE"""),"TR Report")</f>
        <v>TR Report</v>
      </c>
      <c r="E1204" s="84">
        <f>IFERROR(__xludf.DUMMYFUNCTION("""COMPUTED_VALUE"""),46161.74207310186)</f>
        <v>46161.74207</v>
      </c>
      <c r="F1204" s="86">
        <f>IFERROR(__xludf.DUMMYFUNCTION("""COMPUTED_VALUE"""),46161.521353564814)</f>
        <v>46161.52135</v>
      </c>
      <c r="G1204" s="86" t="str">
        <f>IFERROR(__xludf.DUMMYFUNCTION("""COMPUTED_VALUE"""),"Done")</f>
        <v>Done</v>
      </c>
      <c r="H1204" s="88">
        <f>IFERROR(__xludf.DUMMYFUNCTION("""COMPUTED_VALUE"""),0.0)</f>
        <v>0</v>
      </c>
      <c r="I1204" s="90" t="str">
        <f>IFERROR(__xludf.DUMMYFUNCTION("""COMPUTED_VALUE"""),"EMP0237 Swarnendu Chakraborty")</f>
        <v>EMP0237 Swarnendu Chakraborty</v>
      </c>
      <c r="J1204" s="91">
        <f t="shared" si="1"/>
        <v>-0.220719537</v>
      </c>
    </row>
    <row r="1205">
      <c r="B1205" s="76" t="str">
        <f>IFERROR(__xludf.DUMMYFUNCTION("""COMPUTED_VALUE"""),"Debuging the error (Jasper end as well as Query end) and discuss with RM about logic ")</f>
        <v>Debuging the error (Jasper end as well as Query end) and discuss with RM about logic </v>
      </c>
      <c r="C1205" s="82">
        <f>IFERROR(__xludf.DUMMYFUNCTION("""COMPUTED_VALUE"""),5167.0)</f>
        <v>5167</v>
      </c>
      <c r="D1205" s="76" t="str">
        <f>IFERROR(__xludf.DUMMYFUNCTION("""COMPUTED_VALUE"""),"TR")</f>
        <v>TR</v>
      </c>
      <c r="E1205" s="84">
        <f>IFERROR(__xludf.DUMMYFUNCTION("""COMPUTED_VALUE"""),46161.796391793985)</f>
        <v>46161.79639</v>
      </c>
      <c r="F1205" s="86">
        <f>IFERROR(__xludf.DUMMYFUNCTION("""COMPUTED_VALUE"""),46161.519246979165)</f>
        <v>46161.51925</v>
      </c>
      <c r="G1205" s="86" t="str">
        <f>IFERROR(__xludf.DUMMYFUNCTION("""COMPUTED_VALUE"""),"Done")</f>
        <v>Done</v>
      </c>
      <c r="H1205" s="88">
        <f>IFERROR(__xludf.DUMMYFUNCTION("""COMPUTED_VALUE"""),0.0)</f>
        <v>0</v>
      </c>
      <c r="I1205" s="90" t="str">
        <f>IFERROR(__xludf.DUMMYFUNCTION("""COMPUTED_VALUE"""),"EMP0042 HULESHWAR KUMAR SAHU")</f>
        <v>EMP0042 HULESHWAR KUMAR SAHU</v>
      </c>
      <c r="J1205" s="91">
        <f t="shared" si="1"/>
        <v>-0.2771448148</v>
      </c>
    </row>
    <row r="1206">
      <c r="B1206" s="76" t="str">
        <f>IFERROR(__xludf.DUMMYFUNCTION("""COMPUTED_VALUE"""),"Debuging the error (Jasper end as well as Query end) and discuss with RM about logic ")</f>
        <v>Debuging the error (Jasper end as well as Query end) and discuss with RM about logic </v>
      </c>
      <c r="C1206" s="82">
        <f>IFERROR(__xludf.DUMMYFUNCTION("""COMPUTED_VALUE"""),5168.0)</f>
        <v>5168</v>
      </c>
      <c r="D1206" s="76" t="str">
        <f>IFERROR(__xludf.DUMMYFUNCTION("""COMPUTED_VALUE"""),"NEP UG TR COLLEGEWISE")</f>
        <v>NEP UG TR COLLEGEWISE</v>
      </c>
      <c r="E1206" s="84">
        <f>IFERROR(__xludf.DUMMYFUNCTION("""COMPUTED_VALUE"""),46161.8118994213)</f>
        <v>46161.8119</v>
      </c>
      <c r="F1206" s="86">
        <f>IFERROR(__xludf.DUMMYFUNCTION("""COMPUTED_VALUE"""),46161.6158049074)</f>
        <v>46161.6158</v>
      </c>
      <c r="G1206" s="86" t="str">
        <f>IFERROR(__xludf.DUMMYFUNCTION("""COMPUTED_VALUE"""),"Done")</f>
        <v>Done</v>
      </c>
      <c r="H1206" s="88">
        <f>IFERROR(__xludf.DUMMYFUNCTION("""COMPUTED_VALUE"""),0.0)</f>
        <v>0</v>
      </c>
      <c r="I1206" s="90" t="str">
        <f>IFERROR(__xludf.DUMMYFUNCTION("""COMPUTED_VALUE"""),"EMP0042 HULESHWAR KUMAR SAHU")</f>
        <v>EMP0042 HULESHWAR KUMAR SAHU</v>
      </c>
      <c r="J1206" s="91">
        <f t="shared" si="1"/>
        <v>-0.1960945139</v>
      </c>
    </row>
    <row r="1207">
      <c r="B1207" s="76" t="str">
        <f>IFERROR(__xludf.DUMMYFUNCTION("""COMPUTED_VALUE"""),"Debuging the error (Jasper end as well as Query end) and discuss with RM about logic ")</f>
        <v>Debuging the error (Jasper end as well as Query end) and discuss with RM about logic </v>
      </c>
      <c r="C1207" s="82">
        <f>IFERROR(__xludf.DUMMYFUNCTION("""COMPUTED_VALUE"""),5169.0)</f>
        <v>5169</v>
      </c>
      <c r="D1207" s="76" t="str">
        <f>IFERROR(__xludf.DUMMYFUNCTION("""COMPUTED_VALUE"""),"Marks Sheet Old")</f>
        <v>Marks Sheet Old</v>
      </c>
      <c r="E1207" s="84">
        <f>IFERROR(__xludf.DUMMYFUNCTION("""COMPUTED_VALUE"""),46162.52569444444)</f>
        <v>46162.52569</v>
      </c>
      <c r="F1207" s="86">
        <f>IFERROR(__xludf.DUMMYFUNCTION("""COMPUTED_VALUE"""),46161.703556932865)</f>
        <v>46161.70356</v>
      </c>
      <c r="G1207" s="86" t="str">
        <f>IFERROR(__xludf.DUMMYFUNCTION("""COMPUTED_VALUE"""),"Done")</f>
        <v>Done</v>
      </c>
      <c r="H1207" s="88">
        <f>IFERROR(__xludf.DUMMYFUNCTION("""COMPUTED_VALUE"""),0.0)</f>
        <v>0</v>
      </c>
      <c r="I1207" s="90" t="str">
        <f>IFERROR(__xludf.DUMMYFUNCTION("""COMPUTED_VALUE"""),"EMP0042 HULESHWAR KUMAR SAHU")</f>
        <v>EMP0042 HULESHWAR KUMAR SAHU</v>
      </c>
      <c r="J1207" s="91">
        <f t="shared" si="1"/>
        <v>-0.8221375116</v>
      </c>
    </row>
    <row r="1208">
      <c r="B1208" s="76" t="str">
        <f>IFERROR(__xludf.DUMMYFUNCTION("""COMPUTED_VALUE"""),"Debuging the error (Jasper end as well as Query end) and discuss with RM about logic ")</f>
        <v>Debuging the error (Jasper end as well as Query end) and discuss with RM about logic </v>
      </c>
      <c r="C1208" s="82">
        <f>IFERROR(__xludf.DUMMYFUNCTION("""COMPUTED_VALUE"""),5170.0)</f>
        <v>5170</v>
      </c>
      <c r="D1208" s="76" t="str">
        <f>IFERROR(__xludf.DUMMYFUNCTION("""COMPUTED_VALUE"""),"NEP M.A HISTRIY ADMIT CARD ERROR SOLVED ")</f>
        <v>NEP M.A HISTRIY ADMIT CARD ERROR SOLVED </v>
      </c>
      <c r="E1208" s="84">
        <f>IFERROR(__xludf.DUMMYFUNCTION("""COMPUTED_VALUE"""),46162.60416666667)</f>
        <v>46162.60417</v>
      </c>
      <c r="F1208" s="86">
        <f>IFERROR(__xludf.DUMMYFUNCTION("""COMPUTED_VALUE"""),46162.4782887963)</f>
        <v>46162.47829</v>
      </c>
      <c r="G1208" s="86" t="str">
        <f>IFERROR(__xludf.DUMMYFUNCTION("""COMPUTED_VALUE"""),"Done")</f>
        <v>Done</v>
      </c>
      <c r="H1208" s="88">
        <f>IFERROR(__xludf.DUMMYFUNCTION("""COMPUTED_VALUE"""),0.0)</f>
        <v>0</v>
      </c>
      <c r="I1208" s="90" t="str">
        <f>IFERROR(__xludf.DUMMYFUNCTION("""COMPUTED_VALUE"""),"EMP0042 HULESHWAR KUMAR SAHU")</f>
        <v>EMP0042 HULESHWAR KUMAR SAHU</v>
      </c>
      <c r="J1208" s="91">
        <f t="shared" si="1"/>
        <v>-0.1258778704</v>
      </c>
    </row>
    <row r="1209">
      <c r="B1209" s="76" t="str">
        <f>IFERROR(__xludf.DUMMYFUNCTION("""COMPUTED_VALUE"""),"Debuging the error (Jasper end as well as Query end) and discuss with RM about logic ")</f>
        <v>Debuging the error (Jasper end as well as Query end) and discuss with RM about logic </v>
      </c>
      <c r="C1209" s="82">
        <f>IFERROR(__xludf.DUMMYFUNCTION("""COMPUTED_VALUE"""),5171.0)</f>
        <v>5171</v>
      </c>
      <c r="D1209" s="76" t="str">
        <f>IFERROR(__xludf.DUMMYFUNCTION("""COMPUTED_VALUE"""),"Multiple Report")</f>
        <v>Multiple Report</v>
      </c>
      <c r="E1209" s="84">
        <f>IFERROR(__xludf.DUMMYFUNCTION("""COMPUTED_VALUE"""),46163.57430555555)</f>
        <v>46163.57431</v>
      </c>
      <c r="F1209" s="86">
        <f>IFERROR(__xludf.DUMMYFUNCTION("""COMPUTED_VALUE"""),46163.431981365735)</f>
        <v>46163.43198</v>
      </c>
      <c r="G1209" s="86" t="str">
        <f>IFERROR(__xludf.DUMMYFUNCTION("""COMPUTED_VALUE"""),"Done")</f>
        <v>Done</v>
      </c>
      <c r="H1209" s="88">
        <f>IFERROR(__xludf.DUMMYFUNCTION("""COMPUTED_VALUE"""),0.0)</f>
        <v>0</v>
      </c>
      <c r="I1209" s="90" t="str">
        <f>IFERROR(__xludf.DUMMYFUNCTION("""COMPUTED_VALUE"""),"EMP5009 Rup Kumar Mandal")</f>
        <v>EMP5009 Rup Kumar Mandal</v>
      </c>
      <c r="J1209" s="91">
        <f t="shared" si="1"/>
        <v>-0.1423241898</v>
      </c>
    </row>
    <row r="1210">
      <c r="B1210" s="76" t="str">
        <f>IFERROR(__xludf.DUMMYFUNCTION("""COMPUTED_VALUE"""),"Debuging the error (Jasper end as well as Query end) and discuss with RM about logic ")</f>
        <v>Debuging the error (Jasper end as well as Query end) and discuss with RM about logic </v>
      </c>
      <c r="C1210" s="82">
        <f>IFERROR(__xludf.DUMMYFUNCTION("""COMPUTED_VALUE"""),5172.0)</f>
        <v>5172</v>
      </c>
      <c r="D1210" s="76" t="str">
        <f>IFERROR(__xludf.DUMMYFUNCTION("""COMPUTED_VALUE"""),"ppr/pps report")</f>
        <v>ppr/pps report</v>
      </c>
      <c r="E1210" s="84">
        <f>IFERROR(__xludf.DUMMYFUNCTION("""COMPUTED_VALUE"""),46163.73958597222)</f>
        <v>46163.73959</v>
      </c>
      <c r="F1210" s="86">
        <f>IFERROR(__xludf.DUMMYFUNCTION("""COMPUTED_VALUE"""),46163.52333157408)</f>
        <v>46163.52333</v>
      </c>
      <c r="G1210" s="86" t="str">
        <f>IFERROR(__xludf.DUMMYFUNCTION("""COMPUTED_VALUE"""),"Done")</f>
        <v>Done</v>
      </c>
      <c r="H1210" s="88">
        <f>IFERROR(__xludf.DUMMYFUNCTION("""COMPUTED_VALUE"""),0.0)</f>
        <v>0</v>
      </c>
      <c r="I1210" s="90" t="str">
        <f>IFERROR(__xludf.DUMMYFUNCTION("""COMPUTED_VALUE"""),"EMP0237 Swarnendu Chakraborty")</f>
        <v>EMP0237 Swarnendu Chakraborty</v>
      </c>
      <c r="J1210" s="91">
        <f t="shared" si="1"/>
        <v>-0.2162543981</v>
      </c>
    </row>
    <row r="1211">
      <c r="B1211" s="76" t="str">
        <f>IFERROR(__xludf.DUMMYFUNCTION("""COMPUTED_VALUE"""),"Debuging the error (Jasper end as well as Query end) and discuss with RM about logic ")</f>
        <v>Debuging the error (Jasper end as well as Query end) and discuss with RM about logic </v>
      </c>
      <c r="C1211" s="82">
        <f>IFERROR(__xludf.DUMMYFUNCTION("""COMPUTED_VALUE"""),5173.0)</f>
        <v>5173</v>
      </c>
      <c r="D1211" s="76" t="str">
        <f>IFERROR(__xludf.DUMMYFUNCTION("""COMPUTED_VALUE"""),"SMKV")</f>
        <v>SMKV</v>
      </c>
      <c r="E1211" s="84">
        <f>IFERROR(__xludf.DUMMYFUNCTION("""COMPUTED_VALUE"""),46163.80487990741)</f>
        <v>46163.80488</v>
      </c>
      <c r="F1211" s="86">
        <f>IFERROR(__xludf.DUMMYFUNCTION("""COMPUTED_VALUE"""),46163.557550763886)</f>
        <v>46163.55755</v>
      </c>
      <c r="G1211" s="86" t="str">
        <f>IFERROR(__xludf.DUMMYFUNCTION("""COMPUTED_VALUE"""),"Done")</f>
        <v>Done</v>
      </c>
      <c r="H1211" s="88">
        <f>IFERROR(__xludf.DUMMYFUNCTION("""COMPUTED_VALUE"""),0.0)</f>
        <v>0</v>
      </c>
      <c r="I1211" s="90" t="str">
        <f>IFERROR(__xludf.DUMMYFUNCTION("""COMPUTED_VALUE"""),"EMP0042 HULESHWAR KUMAR SAHU")</f>
        <v>EMP0042 HULESHWAR KUMAR SAHU</v>
      </c>
      <c r="J1211" s="91">
        <f t="shared" si="1"/>
        <v>-0.2473291435</v>
      </c>
    </row>
    <row r="1212">
      <c r="B1212" s="76" t="str">
        <f>IFERROR(__xludf.DUMMYFUNCTION("""COMPUTED_VALUE"""),"Debuging the error (Jasper end as well as Query end) and discuss with RM about logic ")</f>
        <v>Debuging the error (Jasper end as well as Query end) and discuss with RM about logic </v>
      </c>
      <c r="C1212" s="82">
        <f>IFERROR(__xludf.DUMMYFUNCTION("""COMPUTED_VALUE"""),5174.0)</f>
        <v>5174</v>
      </c>
      <c r="D1212" s="76" t="str">
        <f>IFERROR(__xludf.DUMMYFUNCTION("""COMPUTED_VALUE"""),"Marks Sheet NEP")</f>
        <v>Marks Sheet NEP</v>
      </c>
      <c r="E1212" s="84">
        <f>IFERROR(__xludf.DUMMYFUNCTION("""COMPUTED_VALUE"""),46163.8186500463)</f>
        <v>46163.81865</v>
      </c>
      <c r="F1212" s="86">
        <f>IFERROR(__xludf.DUMMYFUNCTION("""COMPUTED_VALUE"""),46163.55753464121)</f>
        <v>46163.55753</v>
      </c>
      <c r="G1212" s="86" t="str">
        <f>IFERROR(__xludf.DUMMYFUNCTION("""COMPUTED_VALUE"""),"Done")</f>
        <v>Done</v>
      </c>
      <c r="H1212" s="88">
        <f>IFERROR(__xludf.DUMMYFUNCTION("""COMPUTED_VALUE"""),0.0)</f>
        <v>0</v>
      </c>
      <c r="I1212" s="90" t="str">
        <f>IFERROR(__xludf.DUMMYFUNCTION("""COMPUTED_VALUE"""),"EMP0042 HULESHWAR KUMAR SAHU")</f>
        <v>EMP0042 HULESHWAR KUMAR SAHU</v>
      </c>
      <c r="J1212" s="91">
        <f t="shared" si="1"/>
        <v>-0.2611154051</v>
      </c>
    </row>
    <row r="1213">
      <c r="B1213" s="76" t="str">
        <f>IFERROR(__xludf.DUMMYFUNCTION("""COMPUTED_VALUE"""),"Debuging the error (Jasper end as well as Query end) and discuss with RM about logic ")</f>
        <v>Debuging the error (Jasper end as well as Query end) and discuss with RM about logic </v>
      </c>
      <c r="C1213" s="82">
        <f>IFERROR(__xludf.DUMMYFUNCTION("""COMPUTED_VALUE"""),5175.0)</f>
        <v>5175</v>
      </c>
      <c r="D1213" s="76" t="str">
        <f>IFERROR(__xludf.DUMMYFUNCTION("""COMPUTED_VALUE"""),"Marksheet")</f>
        <v>Marksheet</v>
      </c>
      <c r="E1213" s="84">
        <f>IFERROR(__xludf.DUMMYFUNCTION("""COMPUTED_VALUE"""),46163.8279409838)</f>
        <v>46163.82794</v>
      </c>
      <c r="F1213" s="86">
        <f>IFERROR(__xludf.DUMMYFUNCTION("""COMPUTED_VALUE"""),46163.557515196764)</f>
        <v>46163.55752</v>
      </c>
      <c r="G1213" s="86" t="str">
        <f>IFERROR(__xludf.DUMMYFUNCTION("""COMPUTED_VALUE"""),"Done")</f>
        <v>Done</v>
      </c>
      <c r="H1213" s="88">
        <f>IFERROR(__xludf.DUMMYFUNCTION("""COMPUTED_VALUE"""),0.0)</f>
        <v>0</v>
      </c>
      <c r="I1213" s="90" t="str">
        <f>IFERROR(__xludf.DUMMYFUNCTION("""COMPUTED_VALUE"""),"EMP0237 Swarnendu Chakraborty")</f>
        <v>EMP0237 Swarnendu Chakraborty</v>
      </c>
      <c r="J1213" s="91">
        <f t="shared" si="1"/>
        <v>-0.270425787</v>
      </c>
    </row>
    <row r="1214">
      <c r="B1214" s="76" t="str">
        <f>IFERROR(__xludf.DUMMYFUNCTION("""COMPUTED_VALUE"""),"Debuging the error (Jasper end as well as Query end) and discuss with RM about logic ")</f>
        <v>Debuging the error (Jasper end as well as Query end) and discuss with RM about logic </v>
      </c>
      <c r="C1214" s="82">
        <f>IFERROR(__xludf.DUMMYFUNCTION("""COMPUTED_VALUE"""),5176.0)</f>
        <v>5176</v>
      </c>
      <c r="D1214" s="76" t="str">
        <f>IFERROR(__xludf.DUMMYFUNCTION("""COMPUTED_VALUE"""),"Tr hosting ug nep tr ")</f>
        <v>Tr hosting ug nep tr </v>
      </c>
      <c r="E1214" s="84">
        <f>IFERROR(__xludf.DUMMYFUNCTION("""COMPUTED_VALUE"""),46163.82814934028)</f>
        <v>46163.82815</v>
      </c>
      <c r="F1214" s="86">
        <f>IFERROR(__xludf.DUMMYFUNCTION("""COMPUTED_VALUE"""),46163.55749180556)</f>
        <v>46163.55749</v>
      </c>
      <c r="G1214" s="86" t="str">
        <f>IFERROR(__xludf.DUMMYFUNCTION("""COMPUTED_VALUE"""),"Done")</f>
        <v>Done</v>
      </c>
      <c r="H1214" s="88">
        <f>IFERROR(__xludf.DUMMYFUNCTION("""COMPUTED_VALUE"""),0.0)</f>
        <v>0</v>
      </c>
      <c r="I1214" s="90" t="str">
        <f>IFERROR(__xludf.DUMMYFUNCTION("""COMPUTED_VALUE"""),"EMP0042 HULESHWAR KUMAR SAHU")</f>
        <v>EMP0042 HULESHWAR KUMAR SAHU</v>
      </c>
      <c r="J1214" s="91">
        <f t="shared" si="1"/>
        <v>-0.2706575347</v>
      </c>
    </row>
    <row r="1215">
      <c r="B1215" s="76" t="str">
        <f>IFERROR(__xludf.DUMMYFUNCTION("""COMPUTED_VALUE"""),"Debuging the error (Jasper end as well as Query end) and discuss with RM about logic ")</f>
        <v>Debuging the error (Jasper end as well as Query end) and discuss with RM about logic </v>
      </c>
      <c r="C1215" s="82">
        <f>IFERROR(__xludf.DUMMYFUNCTION("""COMPUTED_VALUE"""),5177.0)</f>
        <v>5177</v>
      </c>
      <c r="D1215" s="76" t="str">
        <f>IFERROR(__xludf.DUMMYFUNCTION("""COMPUTED_VALUE"""),"ADMIT CARD")</f>
        <v>ADMIT CARD</v>
      </c>
      <c r="E1215" s="84">
        <f>IFERROR(__xludf.DUMMYFUNCTION("""COMPUTED_VALUE"""),46164.54513888889)</f>
        <v>46164.54514</v>
      </c>
      <c r="F1215" s="86">
        <f>IFERROR(__xludf.DUMMYFUNCTION("""COMPUTED_VALUE"""),46163.70171496528)</f>
        <v>46163.70171</v>
      </c>
      <c r="G1215" s="86" t="str">
        <f>IFERROR(__xludf.DUMMYFUNCTION("""COMPUTED_VALUE"""),"Done")</f>
        <v>Done</v>
      </c>
      <c r="H1215" s="88">
        <f>IFERROR(__xludf.DUMMYFUNCTION("""COMPUTED_VALUE"""),0.0)</f>
        <v>0</v>
      </c>
      <c r="I1215" s="90" t="str">
        <f>IFERROR(__xludf.DUMMYFUNCTION("""COMPUTED_VALUE"""),"EMP5009 Rup Kumar Mandal")</f>
        <v>EMP5009 Rup Kumar Mandal</v>
      </c>
      <c r="J1215" s="91">
        <f t="shared" si="1"/>
        <v>-0.8434239236</v>
      </c>
    </row>
    <row r="1216">
      <c r="B1216" s="76" t="str">
        <f>IFERROR(__xludf.DUMMYFUNCTION("""COMPUTED_VALUE"""),"Debuging the error (Jasper end as well as Query end) and discuss with RM about logic ")</f>
        <v>Debuging the error (Jasper end as well as Query end) and discuss with RM about logic </v>
      </c>
      <c r="C1216" s="82">
        <f>IFERROR(__xludf.DUMMYFUNCTION("""COMPUTED_VALUE"""),5178.0)</f>
        <v>5178</v>
      </c>
      <c r="D1216" s="76" t="str">
        <f>IFERROR(__xludf.DUMMYFUNCTION("""COMPUTED_VALUE"""),"ADMIT CARD ROLL WISE")</f>
        <v>ADMIT CARD ROLL WISE</v>
      </c>
      <c r="E1216" s="84">
        <f>IFERROR(__xludf.DUMMYFUNCTION("""COMPUTED_VALUE"""),46164.54652777778)</f>
        <v>46164.54653</v>
      </c>
      <c r="F1216" s="86">
        <f>IFERROR(__xludf.DUMMYFUNCTION("""COMPUTED_VALUE"""),46164.44635886574)</f>
        <v>46164.44636</v>
      </c>
      <c r="G1216" s="86" t="str">
        <f>IFERROR(__xludf.DUMMYFUNCTION("""COMPUTED_VALUE"""),"Done")</f>
        <v>Done</v>
      </c>
      <c r="H1216" s="88">
        <f>IFERROR(__xludf.DUMMYFUNCTION("""COMPUTED_VALUE"""),0.0)</f>
        <v>0</v>
      </c>
      <c r="I1216" s="90" t="str">
        <f>IFERROR(__xludf.DUMMYFUNCTION("""COMPUTED_VALUE"""),"EMP5009 Rup Kumar Mandal")</f>
        <v>EMP5009 Rup Kumar Mandal</v>
      </c>
      <c r="J1216" s="91">
        <f t="shared" si="1"/>
        <v>-0.100168912</v>
      </c>
    </row>
    <row r="1217">
      <c r="B1217" s="76" t="str">
        <f>IFERROR(__xludf.DUMMYFUNCTION("""COMPUTED_VALUE"""),"Debuging the error (Jasper end as well as Query end) and discuss with RM about logic ")</f>
        <v>Debuging the error (Jasper end as well as Query end) and discuss with RM about logic </v>
      </c>
      <c r="C1217" s="82">
        <f>IFERROR(__xludf.DUMMYFUNCTION("""COMPUTED_VALUE"""),5179.0)</f>
        <v>5179</v>
      </c>
      <c r="D1217" s="76" t="str">
        <f>IFERROR(__xludf.DUMMYFUNCTION("""COMPUTED_VALUE"""),"Schedule IV")</f>
        <v>Schedule IV</v>
      </c>
      <c r="E1217" s="84">
        <f>IFERROR(__xludf.DUMMYFUNCTION("""COMPUTED_VALUE"""),46164.566666666666)</f>
        <v>46164.56667</v>
      </c>
      <c r="F1217" s="86">
        <f>IFERROR(__xludf.DUMMYFUNCTION("""COMPUTED_VALUE"""),46163.74686762731)</f>
        <v>46163.74687</v>
      </c>
      <c r="G1217" s="86" t="str">
        <f>IFERROR(__xludf.DUMMYFUNCTION("""COMPUTED_VALUE"""),"Done")</f>
        <v>Done</v>
      </c>
      <c r="H1217" s="88">
        <f>IFERROR(__xludf.DUMMYFUNCTION("""COMPUTED_VALUE"""),0.0)</f>
        <v>0</v>
      </c>
      <c r="I1217" s="90" t="str">
        <f>IFERROR(__xludf.DUMMYFUNCTION("""COMPUTED_VALUE"""),"EMP0042 HULESHWAR KUMAR SAHU")</f>
        <v>EMP0042 HULESHWAR KUMAR SAHU</v>
      </c>
      <c r="J1217" s="91">
        <f t="shared" si="1"/>
        <v>-0.8197990394</v>
      </c>
    </row>
    <row r="1218">
      <c r="B1218" s="76" t="str">
        <f>IFERROR(__xludf.DUMMYFUNCTION("""COMPUTED_VALUE"""),"Debuging the error (Jasper end as well as Query end) and discuss with RM about logic ")</f>
        <v>Debuging the error (Jasper end as well as Query end) and discuss with RM about logic </v>
      </c>
      <c r="C1218" s="82">
        <f>IFERROR(__xludf.DUMMYFUNCTION("""COMPUTED_VALUE"""),5180.0)</f>
        <v>5180</v>
      </c>
      <c r="D1218" s="76" t="str">
        <f>IFERROR(__xludf.DUMMYFUNCTION("""COMPUTED_VALUE"""),"packet upload report.")</f>
        <v>packet upload report.</v>
      </c>
      <c r="E1218" s="84">
        <f>IFERROR(__xludf.DUMMYFUNCTION("""COMPUTED_VALUE"""),46164.618055555555)</f>
        <v>46164.61806</v>
      </c>
      <c r="F1218" s="86">
        <f>IFERROR(__xludf.DUMMYFUNCTION("""COMPUTED_VALUE"""),46163.79945311343)</f>
        <v>46163.79945</v>
      </c>
      <c r="G1218" s="86" t="str">
        <f>IFERROR(__xludf.DUMMYFUNCTION("""COMPUTED_VALUE"""),"Done")</f>
        <v>Done</v>
      </c>
      <c r="H1218" s="88">
        <f>IFERROR(__xludf.DUMMYFUNCTION("""COMPUTED_VALUE"""),0.0)</f>
        <v>0</v>
      </c>
      <c r="I1218" s="90" t="str">
        <f>IFERROR(__xludf.DUMMYFUNCTION("""COMPUTED_VALUE"""),"EMP5009 Rup Kumar Mandal")</f>
        <v>EMP5009 Rup Kumar Mandal</v>
      </c>
      <c r="J1218" s="91">
        <f t="shared" si="1"/>
        <v>-0.8186024421</v>
      </c>
    </row>
    <row r="1219">
      <c r="B1219" s="76" t="str">
        <f>IFERROR(__xludf.DUMMYFUNCTION("""COMPUTED_VALUE"""),"Debuging the error (Jasper end as well as Query end) and discuss with RM about logic ")</f>
        <v>Debuging the error (Jasper end as well as Query end) and discuss with RM about logic </v>
      </c>
      <c r="C1219" s="82">
        <f>IFERROR(__xludf.DUMMYFUNCTION("""COMPUTED_VALUE"""),5181.0)</f>
        <v>5181</v>
      </c>
      <c r="D1219" s="76" t="str">
        <f>IFERROR(__xludf.DUMMYFUNCTION("""COMPUTED_VALUE"""),"M.COM HONS 6TH SEM NEW GRADING MARKSHEET ERROR SOLVED")</f>
        <v>M.COM HONS 6TH SEM NEW GRADING MARKSHEET ERROR SOLVED</v>
      </c>
      <c r="E1219" s="84">
        <f>IFERROR(__xludf.DUMMYFUNCTION("""COMPUTED_VALUE"""),46164.65555555555)</f>
        <v>46164.65556</v>
      </c>
      <c r="F1219" s="86">
        <f>IFERROR(__xludf.DUMMYFUNCTION("""COMPUTED_VALUE"""),46163.80807886574)</f>
        <v>46163.80808</v>
      </c>
      <c r="G1219" s="86" t="str">
        <f>IFERROR(__xludf.DUMMYFUNCTION("""COMPUTED_VALUE"""),"Done")</f>
        <v>Done</v>
      </c>
      <c r="H1219" s="88">
        <f>IFERROR(__xludf.DUMMYFUNCTION("""COMPUTED_VALUE"""),0.0)</f>
        <v>0</v>
      </c>
      <c r="I1219" s="90" t="str">
        <f>IFERROR(__xludf.DUMMYFUNCTION("""COMPUTED_VALUE"""),"EMP0042 HULESHWAR KUMAR SAHU")</f>
        <v>EMP0042 HULESHWAR KUMAR SAHU</v>
      </c>
      <c r="J1219" s="91">
        <f t="shared" si="1"/>
        <v>-0.8474766898</v>
      </c>
    </row>
    <row r="1220">
      <c r="B1220" s="76" t="str">
        <f>IFERROR(__xludf.DUMMYFUNCTION("""COMPUTED_VALUE"""),"Debuging the error (Jasper end as well as Query end) and discuss with RM about logic ")</f>
        <v>Debuging the error (Jasper end as well as Query end) and discuss with RM about logic </v>
      </c>
      <c r="C1220" s="82">
        <f>IFERROR(__xludf.DUMMYFUNCTION("""COMPUTED_VALUE"""),5182.0)</f>
        <v>5182</v>
      </c>
      <c r="D1220" s="76" t="str">
        <f>IFERROR(__xludf.DUMMYFUNCTION("""COMPUTED_VALUE"""),"Marksheet")</f>
        <v>Marksheet</v>
      </c>
      <c r="E1220" s="84">
        <f>IFERROR(__xludf.DUMMYFUNCTION("""COMPUTED_VALUE"""),46164.777672696764)</f>
        <v>46164.77767</v>
      </c>
      <c r="F1220" s="86">
        <f>IFERROR(__xludf.DUMMYFUNCTION("""COMPUTED_VALUE"""),46164.603925752315)</f>
        <v>46164.60393</v>
      </c>
      <c r="G1220" s="86" t="str">
        <f>IFERROR(__xludf.DUMMYFUNCTION("""COMPUTED_VALUE"""),"Done")</f>
        <v>Done</v>
      </c>
      <c r="H1220" s="88">
        <f>IFERROR(__xludf.DUMMYFUNCTION("""COMPUTED_VALUE"""),0.0)</f>
        <v>0</v>
      </c>
      <c r="I1220" s="90" t="str">
        <f>IFERROR(__xludf.DUMMYFUNCTION("""COMPUTED_VALUE"""),"EMP0237 Swarnendu Chakraborty")</f>
        <v>EMP0237 Swarnendu Chakraborty</v>
      </c>
      <c r="J1220" s="91">
        <f t="shared" si="1"/>
        <v>-0.1737469444</v>
      </c>
    </row>
    <row r="1221">
      <c r="B1221" s="76" t="str">
        <f>IFERROR(__xludf.DUMMYFUNCTION("""COMPUTED_VALUE"""),"Debuging the error (Jasper end as well as Query end) and discuss with RM about logic ")</f>
        <v>Debuging the error (Jasper end as well as Query end) and discuss with RM about logic </v>
      </c>
      <c r="C1221" s="82">
        <f>IFERROR(__xludf.DUMMYFUNCTION("""COMPUTED_VALUE"""),5183.0)</f>
        <v>5183</v>
      </c>
      <c r="D1221" s="76" t="str">
        <f>IFERROR(__xludf.DUMMYFUNCTION("""COMPUTED_VALUE"""),"	Grade Card (OTHERS)")</f>
        <v>	Grade Card (OTHERS)</v>
      </c>
      <c r="E1221" s="84">
        <f>IFERROR(__xludf.DUMMYFUNCTION("""COMPUTED_VALUE"""),46165.53263888889)</f>
        <v>46165.53264</v>
      </c>
      <c r="F1221" s="86">
        <f>IFERROR(__xludf.DUMMYFUNCTION("""COMPUTED_VALUE"""),46164.75587103009)</f>
        <v>46164.75587</v>
      </c>
      <c r="G1221" s="86" t="str">
        <f>IFERROR(__xludf.DUMMYFUNCTION("""COMPUTED_VALUE"""),"Done")</f>
        <v>Done</v>
      </c>
      <c r="H1221" s="88">
        <f>IFERROR(__xludf.DUMMYFUNCTION("""COMPUTED_VALUE"""),0.0)</f>
        <v>0</v>
      </c>
      <c r="I1221" s="90" t="str">
        <f>IFERROR(__xludf.DUMMYFUNCTION("""COMPUTED_VALUE"""),"EMP0042 HULESHWAR KUMAR SAHU")</f>
        <v>EMP0042 HULESHWAR KUMAR SAHU</v>
      </c>
      <c r="J1221" s="91">
        <f t="shared" si="1"/>
        <v>-0.7767678588</v>
      </c>
    </row>
    <row r="1222">
      <c r="B1222" s="76" t="str">
        <f>IFERROR(__xludf.DUMMYFUNCTION("""COMPUTED_VALUE"""),"Debuging the error (Jasper end as well as Query end) and discuss with RM about logic ")</f>
        <v>Debuging the error (Jasper end as well as Query end) and discuss with RM about logic </v>
      </c>
      <c r="C1222" s="82">
        <f>IFERROR(__xludf.DUMMYFUNCTION("""COMPUTED_VALUE"""),5184.0)</f>
        <v>5184</v>
      </c>
      <c r="D1222" s="76" t="str">
        <f>IFERROR(__xludf.DUMMYFUNCTION("""COMPUTED_VALUE"""),"Lable")</f>
        <v>Lable</v>
      </c>
      <c r="E1222" s="84">
        <f>IFERROR(__xludf.DUMMYFUNCTION("""COMPUTED_VALUE"""),46165.55902777778)</f>
        <v>46165.55903</v>
      </c>
      <c r="F1222" s="86">
        <f>IFERROR(__xludf.DUMMYFUNCTION("""COMPUTED_VALUE"""),46164.69130927083)</f>
        <v>46164.69131</v>
      </c>
      <c r="G1222" s="86" t="str">
        <f>IFERROR(__xludf.DUMMYFUNCTION("""COMPUTED_VALUE"""),"Done")</f>
        <v>Done</v>
      </c>
      <c r="H1222" s="88">
        <f>IFERROR(__xludf.DUMMYFUNCTION("""COMPUTED_VALUE"""),0.0)</f>
        <v>0</v>
      </c>
      <c r="I1222" s="90" t="str">
        <f>IFERROR(__xludf.DUMMYFUNCTION("""COMPUTED_VALUE"""),"EMP5009 Rup Kumar Mandal")</f>
        <v>EMP5009 Rup Kumar Mandal</v>
      </c>
      <c r="J1222" s="91">
        <f t="shared" si="1"/>
        <v>-0.867718507</v>
      </c>
    </row>
    <row r="1223">
      <c r="B1223" s="76" t="str">
        <f>IFERROR(__xludf.DUMMYFUNCTION("""COMPUTED_VALUE"""),"Debuging the error (Jasper end as well as Query end) and discuss with RM about logic ")</f>
        <v>Debuging the error (Jasper end as well as Query end) and discuss with RM about logic </v>
      </c>
      <c r="C1223" s="82">
        <f>IFERROR(__xludf.DUMMYFUNCTION("""COMPUTED_VALUE"""),5185.0)</f>
        <v>5185</v>
      </c>
      <c r="D1223" s="76" t="str">
        <f>IFERROR(__xludf.DUMMYFUNCTION("""COMPUTED_VALUE"""),"Mark sheet")</f>
        <v>Mark sheet</v>
      </c>
      <c r="E1223" s="84">
        <f>IFERROR(__xludf.DUMMYFUNCTION("""COMPUTED_VALUE"""),46165.56041666667)</f>
        <v>46165.56042</v>
      </c>
      <c r="F1223" s="86">
        <f>IFERROR(__xludf.DUMMYFUNCTION("""COMPUTED_VALUE"""),46164.69130944444)</f>
        <v>46164.69131</v>
      </c>
      <c r="G1223" s="86" t="str">
        <f>IFERROR(__xludf.DUMMYFUNCTION("""COMPUTED_VALUE"""),"Done")</f>
        <v>Done</v>
      </c>
      <c r="H1223" s="88">
        <f>IFERROR(__xludf.DUMMYFUNCTION("""COMPUTED_VALUE"""),0.0)</f>
        <v>0</v>
      </c>
      <c r="I1223" s="90" t="str">
        <f>IFERROR(__xludf.DUMMYFUNCTION("""COMPUTED_VALUE"""),"EMP5009 Rup Kumar Mandal")</f>
        <v>EMP5009 Rup Kumar Mandal</v>
      </c>
      <c r="J1223" s="91">
        <f t="shared" si="1"/>
        <v>-0.8691072222</v>
      </c>
    </row>
    <row r="1224">
      <c r="B1224" s="76" t="str">
        <f>IFERROR(__xludf.DUMMYFUNCTION("""COMPUTED_VALUE"""),"Debuging the error (Jasper end as well as Query end) and discuss with RM about logic ")</f>
        <v>Debuging the error (Jasper end as well as Query end) and discuss with RM about logic </v>
      </c>
      <c r="C1224" s="82">
        <f>IFERROR(__xludf.DUMMYFUNCTION("""COMPUTED_VALUE"""),5186.0)</f>
        <v>5186</v>
      </c>
      <c r="D1224" s="76" t="str">
        <f>IFERROR(__xludf.DUMMYFUNCTION("""COMPUTED_VALUE"""),"LABEL ")</f>
        <v>LABEL </v>
      </c>
      <c r="E1224" s="84">
        <f>IFERROR(__xludf.DUMMYFUNCTION("""COMPUTED_VALUE"""),46165.56111111111)</f>
        <v>46165.56111</v>
      </c>
      <c r="F1224" s="86">
        <f>IFERROR(__xludf.DUMMYFUNCTION("""COMPUTED_VALUE"""),46164.69130944444)</f>
        <v>46164.69131</v>
      </c>
      <c r="G1224" s="86" t="str">
        <f>IFERROR(__xludf.DUMMYFUNCTION("""COMPUTED_VALUE"""),"Done")</f>
        <v>Done</v>
      </c>
      <c r="H1224" s="88">
        <f>IFERROR(__xludf.DUMMYFUNCTION("""COMPUTED_VALUE"""),0.0)</f>
        <v>0</v>
      </c>
      <c r="I1224" s="90" t="str">
        <f>IFERROR(__xludf.DUMMYFUNCTION("""COMPUTED_VALUE"""),"EMP5009 Rup Kumar Mandal")</f>
        <v>EMP5009 Rup Kumar Mandal</v>
      </c>
      <c r="J1224" s="91">
        <f t="shared" si="1"/>
        <v>-0.8698016667</v>
      </c>
    </row>
    <row r="1225">
      <c r="B1225" s="76" t="str">
        <f>IFERROR(__xludf.DUMMYFUNCTION("""COMPUTED_VALUE"""),"Debuging the error (Jasper end as well as Query end) and discuss with RM about logic ")</f>
        <v>Debuging the error (Jasper end as well as Query end) and discuss with RM about logic </v>
      </c>
      <c r="C1225" s="82">
        <f>IFERROR(__xludf.DUMMYFUNCTION("""COMPUTED_VALUE"""),5187.0)</f>
        <v>5187</v>
      </c>
      <c r="D1225" s="76" t="str">
        <f>IFERROR(__xludf.DUMMYFUNCTION("""COMPUTED_VALUE"""),"Attendance Register (DR-AR)")</f>
        <v>Attendance Register (DR-AR)</v>
      </c>
      <c r="E1225" s="84">
        <f>IFERROR(__xludf.DUMMYFUNCTION("""COMPUTED_VALUE"""),46165.53055555555)</f>
        <v>46165.53056</v>
      </c>
      <c r="F1225" s="86">
        <f>IFERROR(__xludf.DUMMYFUNCTION("""COMPUTED_VALUE"""),46164.69130944444)</f>
        <v>46164.69131</v>
      </c>
      <c r="G1225" s="86" t="str">
        <f>IFERROR(__xludf.DUMMYFUNCTION("""COMPUTED_VALUE"""),"Done")</f>
        <v>Done</v>
      </c>
      <c r="H1225" s="88">
        <f>IFERROR(__xludf.DUMMYFUNCTION("""COMPUTED_VALUE"""),0.0)</f>
        <v>0</v>
      </c>
      <c r="I1225" s="90" t="str">
        <f>IFERROR(__xludf.DUMMYFUNCTION("""COMPUTED_VALUE"""),"EMP5009 Rup Kumar Mandal")</f>
        <v>EMP5009 Rup Kumar Mandal</v>
      </c>
      <c r="J1225" s="91">
        <f t="shared" si="1"/>
        <v>-0.8392461111</v>
      </c>
    </row>
    <row r="1226">
      <c r="B1226" s="76" t="str">
        <f>IFERROR(__xludf.DUMMYFUNCTION("""COMPUTED_VALUE"""),"Debuging the error (Jasper end as well as Query end) and discuss with RM about logic ")</f>
        <v>Debuging the error (Jasper end as well as Query end) and discuss with RM about logic </v>
      </c>
      <c r="C1226" s="82">
        <f>IFERROR(__xludf.DUMMYFUNCTION("""COMPUTED_VALUE"""),5188.0)</f>
        <v>5188</v>
      </c>
      <c r="D1226" s="76" t="str">
        <f>IFERROR(__xludf.DUMMYFUNCTION("""COMPUTED_VALUE"""),"Attendance Register (DR-AR)")</f>
        <v>Attendance Register (DR-AR)</v>
      </c>
      <c r="E1226" s="84">
        <f>IFERROR(__xludf.DUMMYFUNCTION("""COMPUTED_VALUE"""),46165.53263888889)</f>
        <v>46165.53264</v>
      </c>
      <c r="F1226" s="86">
        <f>IFERROR(__xludf.DUMMYFUNCTION("""COMPUTED_VALUE"""),46164.69130944444)</f>
        <v>46164.69131</v>
      </c>
      <c r="G1226" s="86" t="str">
        <f>IFERROR(__xludf.DUMMYFUNCTION("""COMPUTED_VALUE"""),"Done")</f>
        <v>Done</v>
      </c>
      <c r="H1226" s="88">
        <f>IFERROR(__xludf.DUMMYFUNCTION("""COMPUTED_VALUE"""),0.0)</f>
        <v>0</v>
      </c>
      <c r="I1226" s="90" t="str">
        <f>IFERROR(__xludf.DUMMYFUNCTION("""COMPUTED_VALUE"""),"EMP5009 Rup Kumar Mandal")</f>
        <v>EMP5009 Rup Kumar Mandal</v>
      </c>
      <c r="J1226" s="91">
        <f t="shared" si="1"/>
        <v>-0.8413294445</v>
      </c>
    </row>
    <row r="1227">
      <c r="B1227" s="76" t="str">
        <f>IFERROR(__xludf.DUMMYFUNCTION("""COMPUTED_VALUE"""),"Debuging the error (Jasper end as well as Query end) and discuss with RM about logic ")</f>
        <v>Debuging the error (Jasper end as well as Query end) and discuss with RM about logic </v>
      </c>
      <c r="C1227" s="82">
        <f>IFERROR(__xludf.DUMMYFUNCTION("""COMPUTED_VALUE"""),5189.0)</f>
        <v>5189</v>
      </c>
      <c r="D1227" s="76" t="str">
        <f>IFERROR(__xludf.DUMMYFUNCTION("""COMPUTED_VALUE"""),"ADMIT")</f>
        <v>ADMIT</v>
      </c>
      <c r="E1227" s="84">
        <f>IFERROR(__xludf.DUMMYFUNCTION("""COMPUTED_VALUE"""),46165.53472222222)</f>
        <v>46165.53472</v>
      </c>
      <c r="F1227" s="86">
        <f>IFERROR(__xludf.DUMMYFUNCTION("""COMPUTED_VALUE"""),46164.69130944444)</f>
        <v>46164.69131</v>
      </c>
      <c r="G1227" s="86" t="str">
        <f>IFERROR(__xludf.DUMMYFUNCTION("""COMPUTED_VALUE"""),"Done")</f>
        <v>Done</v>
      </c>
      <c r="H1227" s="88">
        <f>IFERROR(__xludf.DUMMYFUNCTION("""COMPUTED_VALUE"""),0.0)</f>
        <v>0</v>
      </c>
      <c r="I1227" s="90" t="str">
        <f>IFERROR(__xludf.DUMMYFUNCTION("""COMPUTED_VALUE"""),"EMP5009 Rup Kumar Mandal")</f>
        <v>EMP5009 Rup Kumar Mandal</v>
      </c>
      <c r="J1227" s="91">
        <f t="shared" si="1"/>
        <v>-0.8434127778</v>
      </c>
    </row>
    <row r="1228">
      <c r="B1228" s="76" t="str">
        <f>IFERROR(__xludf.DUMMYFUNCTION("""COMPUTED_VALUE"""),"Debuging the error (Jasper end as well as Query end) and discuss with RM about logic ")</f>
        <v>Debuging the error (Jasper end as well as Query end) and discuss with RM about logic </v>
      </c>
      <c r="C1228" s="82">
        <f>IFERROR(__xludf.DUMMYFUNCTION("""COMPUTED_VALUE"""),5190.0)</f>
        <v>5190</v>
      </c>
      <c r="D1228" s="76" t="str">
        <f>IFERROR(__xludf.DUMMYFUNCTION("""COMPUTED_VALUE"""),"Top sheet  before attendance sheet")</f>
        <v>Top sheet  before attendance sheet</v>
      </c>
      <c r="E1228" s="84">
        <f>IFERROR(__xludf.DUMMYFUNCTION("""COMPUTED_VALUE"""),46165.54166666667)</f>
        <v>46165.54167</v>
      </c>
      <c r="F1228" s="86">
        <f>IFERROR(__xludf.DUMMYFUNCTION("""COMPUTED_VALUE"""),46164.69130944444)</f>
        <v>46164.69131</v>
      </c>
      <c r="G1228" s="86" t="str">
        <f>IFERROR(__xludf.DUMMYFUNCTION("""COMPUTED_VALUE"""),"Done")</f>
        <v>Done</v>
      </c>
      <c r="H1228" s="88">
        <f>IFERROR(__xludf.DUMMYFUNCTION("""COMPUTED_VALUE"""),0.0)</f>
        <v>0</v>
      </c>
      <c r="I1228" s="90" t="str">
        <f>IFERROR(__xludf.DUMMYFUNCTION("""COMPUTED_VALUE"""),"EMP5009 Rup Kumar Mandal")</f>
        <v>EMP5009 Rup Kumar Mandal</v>
      </c>
      <c r="J1228" s="91">
        <f t="shared" si="1"/>
        <v>-0.8503572222</v>
      </c>
    </row>
    <row r="1229">
      <c r="B1229" s="76" t="str">
        <f>IFERROR(__xludf.DUMMYFUNCTION("""COMPUTED_VALUE"""),"Debuging the error (Jasper end as well as Query end) and discuss with RM about logic ")</f>
        <v>Debuging the error (Jasper end as well as Query end) and discuss with RM about logic </v>
      </c>
      <c r="C1229" s="82">
        <f>IFERROR(__xludf.DUMMYFUNCTION("""COMPUTED_VALUE"""),5191.0)</f>
        <v>5191</v>
      </c>
      <c r="D1229" s="76" t="str">
        <f>IFERROR(__xludf.DUMMYFUNCTION("""COMPUTED_VALUE"""),"Top sheet  after attendance sheet")</f>
        <v>Top sheet  after attendance sheet</v>
      </c>
      <c r="E1229" s="84">
        <f>IFERROR(__xludf.DUMMYFUNCTION("""COMPUTED_VALUE"""),46165.54305555555)</f>
        <v>46165.54306</v>
      </c>
      <c r="F1229" s="86">
        <f>IFERROR(__xludf.DUMMYFUNCTION("""COMPUTED_VALUE"""),46164.69130944444)</f>
        <v>46164.69131</v>
      </c>
      <c r="G1229" s="86" t="str">
        <f>IFERROR(__xludf.DUMMYFUNCTION("""COMPUTED_VALUE"""),"Done")</f>
        <v>Done</v>
      </c>
      <c r="H1229" s="88">
        <f>IFERROR(__xludf.DUMMYFUNCTION("""COMPUTED_VALUE"""),0.0)</f>
        <v>0</v>
      </c>
      <c r="I1229" s="90" t="str">
        <f>IFERROR(__xludf.DUMMYFUNCTION("""COMPUTED_VALUE"""),"EMP5009 Rup Kumar Mandal")</f>
        <v>EMP5009 Rup Kumar Mandal</v>
      </c>
      <c r="J1229" s="91">
        <f t="shared" si="1"/>
        <v>-0.8517461111</v>
      </c>
    </row>
    <row r="1230">
      <c r="B1230" s="76" t="str">
        <f>IFERROR(__xludf.DUMMYFUNCTION("""COMPUTED_VALUE"""),"Debuging the error (Jasper end as well as Query end) and discuss with RM about logic ")</f>
        <v>Debuging the error (Jasper end as well as Query end) and discuss with RM about logic </v>
      </c>
      <c r="C1230" s="82">
        <f>IFERROR(__xludf.DUMMYFUNCTION("""COMPUTED_VALUE"""),5192.0)</f>
        <v>5192</v>
      </c>
      <c r="D1230" s="76" t="str">
        <f>IFERROR(__xludf.DUMMYFUNCTION("""COMPUTED_VALUE"""),"LABLE")</f>
        <v>LABLE</v>
      </c>
      <c r="E1230" s="84">
        <f>IFERROR(__xludf.DUMMYFUNCTION("""COMPUTED_VALUE"""),46165.544444444444)</f>
        <v>46165.54444</v>
      </c>
      <c r="F1230" s="86">
        <f>IFERROR(__xludf.DUMMYFUNCTION("""COMPUTED_VALUE"""),46164.69133581019)</f>
        <v>46164.69134</v>
      </c>
      <c r="G1230" s="86" t="str">
        <f>IFERROR(__xludf.DUMMYFUNCTION("""COMPUTED_VALUE"""),"Done")</f>
        <v>Done</v>
      </c>
      <c r="H1230" s="88">
        <f>IFERROR(__xludf.DUMMYFUNCTION("""COMPUTED_VALUE"""),0.0)</f>
        <v>0</v>
      </c>
      <c r="I1230" s="90" t="str">
        <f>IFERROR(__xludf.DUMMYFUNCTION("""COMPUTED_VALUE"""),"EMP5009 Rup Kumar Mandal")</f>
        <v>EMP5009 Rup Kumar Mandal</v>
      </c>
      <c r="J1230" s="91">
        <f t="shared" si="1"/>
        <v>-0.8531086343</v>
      </c>
    </row>
    <row r="1231">
      <c r="B1231" s="76" t="str">
        <f>IFERROR(__xludf.DUMMYFUNCTION("""COMPUTED_VALUE"""),"Debuging the error (Jasper end as well as Query end) and discuss with RM about logic ")</f>
        <v>Debuging the error (Jasper end as well as Query end) and discuss with RM about logic </v>
      </c>
      <c r="C1231" s="82">
        <f>IFERROR(__xludf.DUMMYFUNCTION("""COMPUTED_VALUE"""),5193.0)</f>
        <v>5193</v>
      </c>
      <c r="D1231" s="76" t="str">
        <f>IFERROR(__xludf.DUMMYFUNCTION("""COMPUTED_VALUE"""),"BBA sem III NEP W-25 Marksheet Correction ")</f>
        <v>BBA sem III NEP W-25 Marksheet Correction </v>
      </c>
      <c r="E1231" s="84">
        <f>IFERROR(__xludf.DUMMYFUNCTION("""COMPUTED_VALUE"""),46165.56875)</f>
        <v>46165.56875</v>
      </c>
      <c r="F1231" s="86">
        <f>IFERROR(__xludf.DUMMYFUNCTION("""COMPUTED_VALUE"""),46164.75546489583)</f>
        <v>46164.75546</v>
      </c>
      <c r="G1231" s="86" t="str">
        <f>IFERROR(__xludf.DUMMYFUNCTION("""COMPUTED_VALUE"""),"Done")</f>
        <v>Done</v>
      </c>
      <c r="H1231" s="88">
        <f>IFERROR(__xludf.DUMMYFUNCTION("""COMPUTED_VALUE"""),0.0)</f>
        <v>0</v>
      </c>
      <c r="I1231" s="90" t="str">
        <f>IFERROR(__xludf.DUMMYFUNCTION("""COMPUTED_VALUE"""),"EMP0042 HULESHWAR KUMAR SAHU")</f>
        <v>EMP0042 HULESHWAR KUMAR SAHU</v>
      </c>
      <c r="J1231" s="91">
        <f t="shared" si="1"/>
        <v>-0.8132851042</v>
      </c>
    </row>
    <row r="1232">
      <c r="B1232" s="76" t="str">
        <f>IFERROR(__xludf.DUMMYFUNCTION("""COMPUTED_VALUE"""),"Debuging the error (Jasper end as well as Query end) and discuss with RM about logic ")</f>
        <v>Debuging the error (Jasper end as well as Query end) and discuss with RM about logic </v>
      </c>
      <c r="C1232" s="82">
        <f>IFERROR(__xludf.DUMMYFUNCTION("""COMPUTED_VALUE"""),5194.0)</f>
        <v>5194</v>
      </c>
      <c r="D1232" s="76" t="str">
        <f>IFERROR(__xludf.DUMMYFUNCTION("""COMPUTED_VALUE"""),"College summary")</f>
        <v>College summary</v>
      </c>
      <c r="E1232" s="84">
        <f>IFERROR(__xludf.DUMMYFUNCTION("""COMPUTED_VALUE"""),46165.57708333334)</f>
        <v>46165.57708</v>
      </c>
      <c r="F1232" s="86">
        <f>IFERROR(__xludf.DUMMYFUNCTION("""COMPUTED_VALUE"""),46164.75631605324)</f>
        <v>46164.75632</v>
      </c>
      <c r="G1232" s="86" t="str">
        <f>IFERROR(__xludf.DUMMYFUNCTION("""COMPUTED_VALUE"""),"Done")</f>
        <v>Done</v>
      </c>
      <c r="H1232" s="88">
        <f>IFERROR(__xludf.DUMMYFUNCTION("""COMPUTED_VALUE"""),0.0)</f>
        <v>0</v>
      </c>
      <c r="I1232" s="90" t="str">
        <f>IFERROR(__xludf.DUMMYFUNCTION("""COMPUTED_VALUE"""),"EMP5009 Rup Kumar Mandal")</f>
        <v>EMP5009 Rup Kumar Mandal</v>
      </c>
      <c r="J1232" s="91">
        <f t="shared" si="1"/>
        <v>-0.8207672801</v>
      </c>
    </row>
    <row r="1233">
      <c r="B1233" s="76" t="str">
        <f>IFERROR(__xludf.DUMMYFUNCTION("""COMPUTED_VALUE"""),"Debuging the error (Jasper end as well as Query end) and discuss with RM about logic ")</f>
        <v>Debuging the error (Jasper end as well as Query end) and discuss with RM about logic </v>
      </c>
      <c r="C1233" s="82">
        <f>IFERROR(__xludf.DUMMYFUNCTION("""COMPUTED_VALUE"""),5195.0)</f>
        <v>5195</v>
      </c>
      <c r="D1233" s="76" t="str">
        <f>IFERROR(__xludf.DUMMYFUNCTION("""COMPUTED_VALUE"""),"RE-APPEAR")</f>
        <v>RE-APPEAR</v>
      </c>
      <c r="E1233" s="84">
        <f>IFERROR(__xludf.DUMMYFUNCTION("""COMPUTED_VALUE"""),46165.58541666667)</f>
        <v>46165.58542</v>
      </c>
      <c r="F1233" s="86">
        <f>IFERROR(__xludf.DUMMYFUNCTION("""COMPUTED_VALUE"""),46164.75632988426)</f>
        <v>46164.75633</v>
      </c>
      <c r="G1233" s="86" t="str">
        <f>IFERROR(__xludf.DUMMYFUNCTION("""COMPUTED_VALUE"""),"Done")</f>
        <v>Done</v>
      </c>
      <c r="H1233" s="88">
        <f>IFERROR(__xludf.DUMMYFUNCTION("""COMPUTED_VALUE"""),0.0)</f>
        <v>0</v>
      </c>
      <c r="I1233" s="90" t="str">
        <f>IFERROR(__xludf.DUMMYFUNCTION("""COMPUTED_VALUE"""),"EMP5009 Rup Kumar Mandal")</f>
        <v>EMP5009 Rup Kumar Mandal</v>
      </c>
      <c r="J1233" s="91">
        <f t="shared" si="1"/>
        <v>-0.8290867824</v>
      </c>
    </row>
    <row r="1234">
      <c r="B1234" s="76" t="str">
        <f>IFERROR(__xludf.DUMMYFUNCTION("""COMPUTED_VALUE"""),"Debuging the error (Jasper end as well as Query end) and discuss with RM about logic ")</f>
        <v>Debuging the error (Jasper end as well as Query end) and discuss with RM about logic </v>
      </c>
      <c r="C1234" s="82">
        <f>IFERROR(__xludf.DUMMYFUNCTION("""COMPUTED_VALUE"""),5196.0)</f>
        <v>5196</v>
      </c>
      <c r="D1234" s="76" t="str">
        <f>IFERROR(__xludf.DUMMYFUNCTION("""COMPUTED_VALUE"""),"GRADE CARD OTHERS")</f>
        <v>GRADE CARD OTHERS</v>
      </c>
      <c r="E1234" s="84">
        <f>IFERROR(__xludf.DUMMYFUNCTION("""COMPUTED_VALUE"""),46165.66534835648)</f>
        <v>46165.66535</v>
      </c>
      <c r="F1234" s="86">
        <f>IFERROR(__xludf.DUMMYFUNCTION("""COMPUTED_VALUE"""),46165.462258680556)</f>
        <v>46165.46226</v>
      </c>
      <c r="G1234" s="86" t="str">
        <f>IFERROR(__xludf.DUMMYFUNCTION("""COMPUTED_VALUE"""),"Done")</f>
        <v>Done</v>
      </c>
      <c r="H1234" s="88">
        <f>IFERROR(__xludf.DUMMYFUNCTION("""COMPUTED_VALUE"""),0.0)</f>
        <v>0</v>
      </c>
      <c r="I1234" s="90" t="str">
        <f>IFERROR(__xludf.DUMMYFUNCTION("""COMPUTED_VALUE"""),"EMP0042 HULESHWAR KUMAR SAHU")</f>
        <v>EMP0042 HULESHWAR KUMAR SAHU</v>
      </c>
      <c r="J1234" s="91">
        <f t="shared" si="1"/>
        <v>-0.2030896759</v>
      </c>
    </row>
    <row r="1235">
      <c r="B1235" s="76" t="str">
        <f>IFERROR(__xludf.DUMMYFUNCTION("""COMPUTED_VALUE"""),"Debuging the error (Jasper end as well as Query end) and discuss with RM about logic ")</f>
        <v>Debuging the error (Jasper end as well as Query end) and discuss with RM about logic </v>
      </c>
      <c r="C1235" s="82">
        <f>IFERROR(__xludf.DUMMYFUNCTION("""COMPUTED_VALUE"""),5197.0)</f>
        <v>5197</v>
      </c>
      <c r="D1235" s="76" t="str">
        <f>IFERROR(__xludf.DUMMYFUNCTION("""COMPUTED_VALUE"""),"Multiple Report ")</f>
        <v>Multiple Report </v>
      </c>
      <c r="E1235" s="84">
        <f>IFERROR(__xludf.DUMMYFUNCTION("""COMPUTED_VALUE"""),46167.58231481482)</f>
        <v>46167.58231</v>
      </c>
      <c r="F1235" s="86">
        <f>IFERROR(__xludf.DUMMYFUNCTION("""COMPUTED_VALUE"""),46165.67241472222)</f>
        <v>46165.67241</v>
      </c>
      <c r="G1235" s="86" t="str">
        <f>IFERROR(__xludf.DUMMYFUNCTION("""COMPUTED_VALUE"""),"Done")</f>
        <v>Done</v>
      </c>
      <c r="H1235" s="88">
        <f>IFERROR(__xludf.DUMMYFUNCTION("""COMPUTED_VALUE"""),0.0)</f>
        <v>0</v>
      </c>
      <c r="I1235" s="90" t="str">
        <f>IFERROR(__xludf.DUMMYFUNCTION("""COMPUTED_VALUE"""),"EMP0042 HULESHWAR KUMAR SAHU")</f>
        <v>EMP0042 HULESHWAR KUMAR SAHU</v>
      </c>
      <c r="J1235" s="91">
        <f t="shared" si="1"/>
        <v>-1.909900093</v>
      </c>
    </row>
    <row r="1236">
      <c r="B1236" s="76" t="str">
        <f>IFERROR(__xludf.DUMMYFUNCTION("""COMPUTED_VALUE"""),"Debuging the error (Jasper end as well as Query end) and discuss with RM about logic ")</f>
        <v>Debuging the error (Jasper end as well as Query end) and discuss with RM about logic </v>
      </c>
      <c r="C1236" s="82">
        <f>IFERROR(__xludf.DUMMYFUNCTION("""COMPUTED_VALUE"""),5198.0)</f>
        <v>5198</v>
      </c>
      <c r="D1236" s="76" t="str">
        <f>IFERROR(__xludf.DUMMYFUNCTION("""COMPUTED_VALUE"""),"TR NEP COLLEGE WISE")</f>
        <v>TR NEP COLLEGE WISE</v>
      </c>
      <c r="E1236" s="84">
        <f>IFERROR(__xludf.DUMMYFUNCTION("""COMPUTED_VALUE"""),46167.78480376158)</f>
        <v>46167.7848</v>
      </c>
      <c r="F1236" s="86">
        <f>IFERROR(__xludf.DUMMYFUNCTION("""COMPUTED_VALUE"""),46167.55488554398)</f>
        <v>46167.55489</v>
      </c>
      <c r="G1236" s="86" t="str">
        <f>IFERROR(__xludf.DUMMYFUNCTION("""COMPUTED_VALUE"""),"Done")</f>
        <v>Done</v>
      </c>
      <c r="H1236" s="88">
        <f>IFERROR(__xludf.DUMMYFUNCTION("""COMPUTED_VALUE"""),0.0)</f>
        <v>0</v>
      </c>
      <c r="I1236" s="90" t="str">
        <f>IFERROR(__xludf.DUMMYFUNCTION("""COMPUTED_VALUE"""),"EMP0042 HULESHWAR KUMAR SAHU")</f>
        <v>EMP0042 HULESHWAR KUMAR SAHU</v>
      </c>
      <c r="J1236" s="91">
        <f t="shared" si="1"/>
        <v>-0.2299182176</v>
      </c>
    </row>
    <row r="1237">
      <c r="B1237" s="76" t="str">
        <f>IFERROR(__xludf.DUMMYFUNCTION("""COMPUTED_VALUE"""),"Debuging the error (Jasper end as well as Query end) and discuss with RM about logic ")</f>
        <v>Debuging the error (Jasper end as well as Query end) and discuss with RM about logic </v>
      </c>
      <c r="C1237" s="82">
        <f>IFERROR(__xludf.DUMMYFUNCTION("""COMPUTED_VALUE"""),5199.0)</f>
        <v>5199</v>
      </c>
      <c r="D1237" s="76" t="str">
        <f>IFERROR(__xludf.DUMMYFUNCTION("""COMPUTED_VALUE"""),"Transcript PG")</f>
        <v>Transcript PG</v>
      </c>
      <c r="E1237" s="84">
        <f>IFERROR(__xludf.DUMMYFUNCTION("""COMPUTED_VALUE"""),46168.56597222222)</f>
        <v>46168.56597</v>
      </c>
      <c r="F1237" s="86">
        <f>IFERROR(__xludf.DUMMYFUNCTION("""COMPUTED_VALUE"""),46168.00876737269)</f>
        <v>46168.00877</v>
      </c>
      <c r="G1237" s="86" t="str">
        <f>IFERROR(__xludf.DUMMYFUNCTION("""COMPUTED_VALUE"""),"Done")</f>
        <v>Done</v>
      </c>
      <c r="H1237" s="88">
        <f>IFERROR(__xludf.DUMMYFUNCTION("""COMPUTED_VALUE"""),0.0)</f>
        <v>0</v>
      </c>
      <c r="I1237" s="90" t="str">
        <f>IFERROR(__xludf.DUMMYFUNCTION("""COMPUTED_VALUE"""),"EMP0042 HULESHWAR KUMAR SAHU")</f>
        <v>EMP0042 HULESHWAR KUMAR SAHU</v>
      </c>
      <c r="J1237" s="91">
        <f t="shared" si="1"/>
        <v>-0.5572048495</v>
      </c>
    </row>
    <row r="1238">
      <c r="B1238" s="76" t="str">
        <f>IFERROR(__xludf.DUMMYFUNCTION("""COMPUTED_VALUE"""),"Debuging the error (Jasper end as well as Query end) and discuss with RM about logic ")</f>
        <v>Debuging the error (Jasper end as well as Query end) and discuss with RM about logic </v>
      </c>
      <c r="C1238" s="82">
        <f>IFERROR(__xludf.DUMMYFUNCTION("""COMPUTED_VALUE"""),5200.0)</f>
        <v>5200</v>
      </c>
      <c r="D1238" s="76" t="str">
        <f>IFERROR(__xludf.DUMMYFUNCTION("""COMPUTED_VALUE"""),"P.G 4sem Attandance &amp; roll sheet correction Examination -2024 to Examination -2026")</f>
        <v>P.G 4sem Attandance &amp; roll sheet correction Examination -2024 to Examination -2026</v>
      </c>
      <c r="E1238" s="84">
        <f>IFERROR(__xludf.DUMMYFUNCTION("""COMPUTED_VALUE"""),46168.575)</f>
        <v>46168.575</v>
      </c>
      <c r="F1238" s="86">
        <f>IFERROR(__xludf.DUMMYFUNCTION("""COMPUTED_VALUE"""),46167.729455)</f>
        <v>46167.72946</v>
      </c>
      <c r="G1238" s="86" t="str">
        <f>IFERROR(__xludf.DUMMYFUNCTION("""COMPUTED_VALUE"""),"Done")</f>
        <v>Done</v>
      </c>
      <c r="H1238" s="88">
        <f>IFERROR(__xludf.DUMMYFUNCTION("""COMPUTED_VALUE"""),0.0)</f>
        <v>0</v>
      </c>
      <c r="I1238" s="90" t="str">
        <f>IFERROR(__xludf.DUMMYFUNCTION("""COMPUTED_VALUE"""),"EMP5009 Rup Kumar Mandal")</f>
        <v>EMP5009 Rup Kumar Mandal</v>
      </c>
      <c r="J1238" s="91">
        <f t="shared" si="1"/>
        <v>-0.845545</v>
      </c>
    </row>
    <row r="1239">
      <c r="B1239" s="76" t="str">
        <f>IFERROR(__xludf.DUMMYFUNCTION("""COMPUTED_VALUE"""),"Debuging the error (Jasper end as well as Query end) and discuss with RM about logic ")</f>
        <v>Debuging the error (Jasper end as well as Query end) and discuss with RM about logic </v>
      </c>
      <c r="C1239" s="82">
        <f>IFERROR(__xludf.DUMMYFUNCTION("""COMPUTED_VALUE"""),5201.0)</f>
        <v>5201</v>
      </c>
      <c r="D1239" s="76" t="str">
        <f>IFERROR(__xludf.DUMMYFUNCTION("""COMPUTED_VALUE"""),"grade card")</f>
        <v>grade card</v>
      </c>
      <c r="E1239" s="84">
        <f>IFERROR(__xludf.DUMMYFUNCTION("""COMPUTED_VALUE"""),46168.58541666667)</f>
        <v>46168.58542</v>
      </c>
      <c r="F1239" s="86">
        <f>IFERROR(__xludf.DUMMYFUNCTION("""COMPUTED_VALUE"""),46167.72946041667)</f>
        <v>46167.72946</v>
      </c>
      <c r="G1239" s="86" t="str">
        <f>IFERROR(__xludf.DUMMYFUNCTION("""COMPUTED_VALUE"""),"Done")</f>
        <v>Done</v>
      </c>
      <c r="H1239" s="88">
        <f>IFERROR(__xludf.DUMMYFUNCTION("""COMPUTED_VALUE"""),0.0)</f>
        <v>0</v>
      </c>
      <c r="I1239" s="90" t="str">
        <f>IFERROR(__xludf.DUMMYFUNCTION("""COMPUTED_VALUE"""),"EMP5009 Rup Kumar Mandal")</f>
        <v>EMP5009 Rup Kumar Mandal</v>
      </c>
      <c r="J1239" s="91">
        <f t="shared" si="1"/>
        <v>-0.85595625</v>
      </c>
    </row>
    <row r="1240">
      <c r="B1240" s="76" t="str">
        <f>IFERROR(__xludf.DUMMYFUNCTION("""COMPUTED_VALUE"""),"Debuging the error (Jasper end as well as Query end) and discuss with RM about logic ")</f>
        <v>Debuging the error (Jasper end as well as Query end) and discuss with RM about logic </v>
      </c>
      <c r="C1240" s="82">
        <f>IFERROR(__xludf.DUMMYFUNCTION("""COMPUTED_VALUE"""),5202.0)</f>
        <v>5202</v>
      </c>
      <c r="D1240" s="76" t="str">
        <f>IFERROR(__xludf.DUMMYFUNCTION("""COMPUTED_VALUE"""),"grade card")</f>
        <v>grade card</v>
      </c>
      <c r="E1240" s="84">
        <f>IFERROR(__xludf.DUMMYFUNCTION("""COMPUTED_VALUE"""),46168.5875)</f>
        <v>46168.5875</v>
      </c>
      <c r="F1240" s="86">
        <f>IFERROR(__xludf.DUMMYFUNCTION("""COMPUTED_VALUE"""),46167.729469328704)</f>
        <v>46167.72947</v>
      </c>
      <c r="G1240" s="86" t="str">
        <f>IFERROR(__xludf.DUMMYFUNCTION("""COMPUTED_VALUE"""),"Done")</f>
        <v>Done</v>
      </c>
      <c r="H1240" s="88">
        <f>IFERROR(__xludf.DUMMYFUNCTION("""COMPUTED_VALUE"""),0.0)</f>
        <v>0</v>
      </c>
      <c r="I1240" s="90" t="str">
        <f>IFERROR(__xludf.DUMMYFUNCTION("""COMPUTED_VALUE"""),"EMP5009 Rup Kumar Mandal")</f>
        <v>EMP5009 Rup Kumar Mandal</v>
      </c>
      <c r="J1240" s="91">
        <f t="shared" si="1"/>
        <v>-0.8580306713</v>
      </c>
    </row>
    <row r="1241">
      <c r="B1241" s="76" t="str">
        <f>IFERROR(__xludf.DUMMYFUNCTION("""COMPUTED_VALUE"""),"Debuging the error (Jasper end as well as Query end) and discuss with RM about logic ")</f>
        <v>Debuging the error (Jasper end as well as Query end) and discuss with RM about logic </v>
      </c>
      <c r="C1241" s="82">
        <f>IFERROR(__xludf.DUMMYFUNCTION("""COMPUTED_VALUE"""),5203.0)</f>
        <v>5203</v>
      </c>
      <c r="D1241" s="76" t="str">
        <f>IFERROR(__xludf.DUMMYFUNCTION("""COMPUTED_VALUE"""),"Admit Card (PG Section)")</f>
        <v>Admit Card (PG Section)</v>
      </c>
      <c r="E1241" s="84">
        <f>IFERROR(__xludf.DUMMYFUNCTION("""COMPUTED_VALUE"""),46168.59722222222)</f>
        <v>46168.59722</v>
      </c>
      <c r="F1241" s="86">
        <f>IFERROR(__xludf.DUMMYFUNCTION("""COMPUTED_VALUE"""),46167.74102458333)</f>
        <v>46167.74102</v>
      </c>
      <c r="G1241" s="86" t="str">
        <f>IFERROR(__xludf.DUMMYFUNCTION("""COMPUTED_VALUE"""),"Done")</f>
        <v>Done</v>
      </c>
      <c r="H1241" s="88">
        <f>IFERROR(__xludf.DUMMYFUNCTION("""COMPUTED_VALUE"""),0.0)</f>
        <v>0</v>
      </c>
      <c r="I1241" s="90" t="str">
        <f>IFERROR(__xludf.DUMMYFUNCTION("""COMPUTED_VALUE"""),"EMP5009 Rup Kumar Mandal")</f>
        <v>EMP5009 Rup Kumar Mandal</v>
      </c>
      <c r="J1241" s="91">
        <f t="shared" si="1"/>
        <v>-0.8561976389</v>
      </c>
    </row>
    <row r="1242">
      <c r="B1242" s="76" t="str">
        <f>IFERROR(__xludf.DUMMYFUNCTION("""COMPUTED_VALUE"""),"Debuging the error (Jasper end as well as Query end) and discuss with RM about logic ")</f>
        <v>Debuging the error (Jasper end as well as Query end) and discuss with RM about logic </v>
      </c>
      <c r="C1242" s="82">
        <f>IFERROR(__xludf.DUMMYFUNCTION("""COMPUTED_VALUE"""),5204.0)</f>
        <v>5204</v>
      </c>
      <c r="D1242" s="76" t="str">
        <f>IFERROR(__xludf.DUMMYFUNCTION("""COMPUTED_VALUE"""),"5231")</f>
        <v>5231</v>
      </c>
      <c r="E1242" s="84">
        <f>IFERROR(__xludf.DUMMYFUNCTION("""COMPUTED_VALUE"""),46168.64166666666)</f>
        <v>46168.64167</v>
      </c>
      <c r="F1242" s="86">
        <f>IFERROR(__xludf.DUMMYFUNCTION("""COMPUTED_VALUE"""),46168.4457625463)</f>
        <v>46168.44576</v>
      </c>
      <c r="G1242" s="86" t="str">
        <f>IFERROR(__xludf.DUMMYFUNCTION("""COMPUTED_VALUE"""),"Done")</f>
        <v>Done</v>
      </c>
      <c r="H1242" s="88">
        <f>IFERROR(__xludf.DUMMYFUNCTION("""COMPUTED_VALUE"""),0.0)</f>
        <v>0</v>
      </c>
      <c r="I1242" s="90" t="str">
        <f>IFERROR(__xludf.DUMMYFUNCTION("""COMPUTED_VALUE"""),"EMP5009 Rup Kumar Mandal")</f>
        <v>EMP5009 Rup Kumar Mandal</v>
      </c>
      <c r="J1242" s="91">
        <f t="shared" si="1"/>
        <v>-0.1959041204</v>
      </c>
    </row>
    <row r="1243">
      <c r="B1243" s="76" t="str">
        <f>IFERROR(__xludf.DUMMYFUNCTION("""COMPUTED_VALUE"""),"Debuging the error (Jasper end as well as Query end) and discuss with RM about logic ")</f>
        <v>Debuging the error (Jasper end as well as Query end) and discuss with RM about logic </v>
      </c>
      <c r="C1243" s="82">
        <f>IFERROR(__xludf.DUMMYFUNCTION("""COMPUTED_VALUE"""),5205.0)</f>
        <v>5205</v>
      </c>
      <c r="D1243" s="76" t="str">
        <f>IFERROR(__xludf.DUMMYFUNCTION("""COMPUTED_VALUE"""),"5190")</f>
        <v>5190</v>
      </c>
      <c r="E1243" s="84">
        <f>IFERROR(__xludf.DUMMYFUNCTION("""COMPUTED_VALUE"""),46168.64236111111)</f>
        <v>46168.64236</v>
      </c>
      <c r="F1243" s="86">
        <f>IFERROR(__xludf.DUMMYFUNCTION("""COMPUTED_VALUE"""),46168.4457625463)</f>
        <v>46168.44576</v>
      </c>
      <c r="G1243" s="86" t="str">
        <f>IFERROR(__xludf.DUMMYFUNCTION("""COMPUTED_VALUE"""),"Done")</f>
        <v>Done</v>
      </c>
      <c r="H1243" s="88">
        <f>IFERROR(__xludf.DUMMYFUNCTION("""COMPUTED_VALUE"""),0.0)</f>
        <v>0</v>
      </c>
      <c r="I1243" s="90" t="str">
        <f>IFERROR(__xludf.DUMMYFUNCTION("""COMPUTED_VALUE"""),"EMP5009 Rup Kumar Mandal")</f>
        <v>EMP5009 Rup Kumar Mandal</v>
      </c>
      <c r="J1243" s="91">
        <f t="shared" si="1"/>
        <v>-0.1965985648</v>
      </c>
    </row>
    <row r="1244">
      <c r="B1244" s="76" t="str">
        <f>IFERROR(__xludf.DUMMYFUNCTION("""COMPUTED_VALUE"""),"Debuging the error (Jasper end as well as Query end) and discuss with RM about logic ")</f>
        <v>Debuging the error (Jasper end as well as Query end) and discuss with RM about logic </v>
      </c>
      <c r="C1244" s="82">
        <f>IFERROR(__xludf.DUMMYFUNCTION("""COMPUTED_VALUE"""),5206.0)</f>
        <v>5206</v>
      </c>
      <c r="D1244" s="76" t="str">
        <f>IFERROR(__xludf.DUMMYFUNCTION("""COMPUTED_VALUE"""),"5189")</f>
        <v>5189</v>
      </c>
      <c r="E1244" s="84">
        <f>IFERROR(__xludf.DUMMYFUNCTION("""COMPUTED_VALUE"""),46168.64375)</f>
        <v>46168.64375</v>
      </c>
      <c r="F1244" s="86">
        <f>IFERROR(__xludf.DUMMYFUNCTION("""COMPUTED_VALUE"""),46168.44577392361)</f>
        <v>46168.44577</v>
      </c>
      <c r="G1244" s="86" t="str">
        <f>IFERROR(__xludf.DUMMYFUNCTION("""COMPUTED_VALUE"""),"Done")</f>
        <v>Done</v>
      </c>
      <c r="H1244" s="88">
        <f>IFERROR(__xludf.DUMMYFUNCTION("""COMPUTED_VALUE"""),0.0)</f>
        <v>0</v>
      </c>
      <c r="I1244" s="90" t="str">
        <f>IFERROR(__xludf.DUMMYFUNCTION("""COMPUTED_VALUE"""),"EMP5009 Rup Kumar Mandal")</f>
        <v>EMP5009 Rup Kumar Mandal</v>
      </c>
      <c r="J1244" s="91">
        <f t="shared" si="1"/>
        <v>-0.1979760764</v>
      </c>
    </row>
    <row r="1245">
      <c r="B1245" s="76" t="str">
        <f>IFERROR(__xludf.DUMMYFUNCTION("""COMPUTED_VALUE"""),"Debuging the error (Jasper end as well as Query end) and discuss with RM about logic ")</f>
        <v>Debuging the error (Jasper end as well as Query end) and discuss with RM about logic </v>
      </c>
      <c r="C1245" s="82">
        <f>IFERROR(__xludf.DUMMYFUNCTION("""COMPUTED_VALUE"""),5207.0)</f>
        <v>5207</v>
      </c>
      <c r="D1245" s="76" t="str">
        <f>IFERROR(__xludf.DUMMYFUNCTION("""COMPUTED_VALUE"""),"Roll List (PG Section)")</f>
        <v>Roll List (PG Section)</v>
      </c>
      <c r="E1245" s="84">
        <f>IFERROR(__xludf.DUMMYFUNCTION("""COMPUTED_VALUE"""),46169.540972222225)</f>
        <v>46169.54097</v>
      </c>
      <c r="F1245" s="86">
        <f>IFERROR(__xludf.DUMMYFUNCTION("""COMPUTED_VALUE"""),46168.68597341435)</f>
        <v>46168.68597</v>
      </c>
      <c r="G1245" s="86" t="str">
        <f>IFERROR(__xludf.DUMMYFUNCTION("""COMPUTED_VALUE"""),"Done")</f>
        <v>Done</v>
      </c>
      <c r="H1245" s="88">
        <f>IFERROR(__xludf.DUMMYFUNCTION("""COMPUTED_VALUE"""),0.0)</f>
        <v>0</v>
      </c>
      <c r="I1245" s="90" t="str">
        <f>IFERROR(__xludf.DUMMYFUNCTION("""COMPUTED_VALUE"""),"EMP5009 Rup Kumar Mandal")</f>
        <v>EMP5009 Rup Kumar Mandal</v>
      </c>
      <c r="J1245" s="91">
        <f t="shared" si="1"/>
        <v>-0.8549988079</v>
      </c>
    </row>
    <row r="1246">
      <c r="B1246" s="76" t="str">
        <f>IFERROR(__xludf.DUMMYFUNCTION("""COMPUTED_VALUE"""),"Debuging the error (Jasper end as well as Query end) and discuss with RM about logic ")</f>
        <v>Debuging the error (Jasper end as well as Query end) and discuss with RM about logic </v>
      </c>
      <c r="C1246" s="82">
        <f>IFERROR(__xludf.DUMMYFUNCTION("""COMPUTED_VALUE"""),5208.0)</f>
        <v>5208</v>
      </c>
      <c r="D1246" s="76" t="str">
        <f>IFERROR(__xludf.DUMMYFUNCTION("""COMPUTED_VALUE"""),"admit cad corretion")</f>
        <v>admit cad corretion</v>
      </c>
      <c r="E1246" s="84">
        <f>IFERROR(__xludf.DUMMYFUNCTION("""COMPUTED_VALUE"""),46169.78788856482)</f>
        <v>46169.78789</v>
      </c>
      <c r="F1246" s="86">
        <f>IFERROR(__xludf.DUMMYFUNCTION("""COMPUTED_VALUE"""),46169.53741751157)</f>
        <v>46169.53742</v>
      </c>
      <c r="G1246" s="86" t="str">
        <f>IFERROR(__xludf.DUMMYFUNCTION("""COMPUTED_VALUE"""),"Done")</f>
        <v>Done</v>
      </c>
      <c r="H1246" s="88">
        <f>IFERROR(__xludf.DUMMYFUNCTION("""COMPUTED_VALUE"""),0.0)</f>
        <v>0</v>
      </c>
      <c r="I1246" s="90" t="str">
        <f>IFERROR(__xludf.DUMMYFUNCTION("""COMPUTED_VALUE"""),"EMP0042 HULESHWAR KUMAR SAHU")</f>
        <v>EMP0042 HULESHWAR KUMAR SAHU</v>
      </c>
      <c r="J1246" s="91">
        <f t="shared" si="1"/>
        <v>-0.2504710532</v>
      </c>
    </row>
    <row r="1247">
      <c r="B1247" s="76" t="str">
        <f>IFERROR(__xludf.DUMMYFUNCTION("""COMPUTED_VALUE"""),"Debuging the error (Jasper end as well as Query end) and discuss with RM about logic ")</f>
        <v>Debuging the error (Jasper end as well as Query end) and discuss with RM about logic </v>
      </c>
      <c r="C1247" s="82">
        <f>IFERROR(__xludf.DUMMYFUNCTION("""COMPUTED_VALUE"""),5209.0)</f>
        <v>5209</v>
      </c>
      <c r="D1247" s="76" t="str">
        <f>IFERROR(__xludf.DUMMYFUNCTION("""COMPUTED_VALUE"""),"attendance sheet")</f>
        <v>attendance sheet</v>
      </c>
      <c r="E1247" s="84">
        <f>IFERROR(__xludf.DUMMYFUNCTION("""COMPUTED_VALUE"""),46170.53402777778)</f>
        <v>46170.53403</v>
      </c>
      <c r="F1247" s="86">
        <f>IFERROR(__xludf.DUMMYFUNCTION("""COMPUTED_VALUE"""),46169.76092881944)</f>
        <v>46169.76093</v>
      </c>
      <c r="G1247" s="86" t="str">
        <f>IFERROR(__xludf.DUMMYFUNCTION("""COMPUTED_VALUE"""),"Done")</f>
        <v>Done</v>
      </c>
      <c r="H1247" s="88">
        <f>IFERROR(__xludf.DUMMYFUNCTION("""COMPUTED_VALUE"""),0.0)</f>
        <v>0</v>
      </c>
      <c r="I1247" s="90" t="str">
        <f>IFERROR(__xludf.DUMMYFUNCTION("""COMPUTED_VALUE"""),"EMP5009 Rup Kumar Mandal")</f>
        <v>EMP5009 Rup Kumar Mandal</v>
      </c>
      <c r="J1247" s="91">
        <f t="shared" si="1"/>
        <v>-0.7730989583</v>
      </c>
    </row>
    <row r="1248">
      <c r="B1248" s="76" t="str">
        <f>IFERROR(__xludf.DUMMYFUNCTION("""COMPUTED_VALUE"""),"Debuging the error (Jasper end as well as Query end) and discuss with RM about logic ")</f>
        <v>Debuging the error (Jasper end as well as Query end) and discuss with RM about logic </v>
      </c>
      <c r="C1248" s="82">
        <f>IFERROR(__xludf.DUMMYFUNCTION("""COMPUTED_VALUE"""),5210.0)</f>
        <v>5210</v>
      </c>
      <c r="D1248" s="76" t="str">
        <f>IFERROR(__xludf.DUMMYFUNCTION("""COMPUTED_VALUE"""),"packet wise marks entry report")</f>
        <v>packet wise marks entry report</v>
      </c>
      <c r="E1248" s="84">
        <f>IFERROR(__xludf.DUMMYFUNCTION("""COMPUTED_VALUE"""),46170.59027777778)</f>
        <v>46170.59028</v>
      </c>
      <c r="F1248" s="86">
        <f>IFERROR(__xludf.DUMMYFUNCTION("""COMPUTED_VALUE"""),46169.76094436343)</f>
        <v>46169.76094</v>
      </c>
      <c r="G1248" s="86" t="str">
        <f>IFERROR(__xludf.DUMMYFUNCTION("""COMPUTED_VALUE"""),"Done")</f>
        <v>Done</v>
      </c>
      <c r="H1248" s="88">
        <f>IFERROR(__xludf.DUMMYFUNCTION("""COMPUTED_VALUE"""),0.0)</f>
        <v>0</v>
      </c>
      <c r="I1248" s="90" t="str">
        <f>IFERROR(__xludf.DUMMYFUNCTION("""COMPUTED_VALUE"""),"EMP0021 Tamanna Dewangan")</f>
        <v>EMP0021 Tamanna Dewangan</v>
      </c>
      <c r="J1248" s="91">
        <f t="shared" si="1"/>
        <v>-0.8293334144</v>
      </c>
    </row>
    <row r="1249">
      <c r="B1249" s="76" t="str">
        <f>IFERROR(__xludf.DUMMYFUNCTION("""COMPUTED_VALUE"""),"Debuging the error (Jasper end as well as Query end) and discuss with RM about logic ")</f>
        <v>Debuging the error (Jasper end as well as Query end) and discuss with RM about logic </v>
      </c>
      <c r="C1249" s="82">
        <f>IFERROR(__xludf.DUMMYFUNCTION("""COMPUTED_VALUE"""),5211.0)</f>
        <v>5211</v>
      </c>
      <c r="D1249" s="76" t="str">
        <f>IFERROR(__xludf.DUMMYFUNCTION("""COMPUTED_VALUE"""),"TR")</f>
        <v>TR</v>
      </c>
      <c r="E1249" s="84">
        <f>IFERROR(__xludf.DUMMYFUNCTION("""COMPUTED_VALUE"""),46170.59166666667)</f>
        <v>46170.59167</v>
      </c>
      <c r="F1249" s="86">
        <f>IFERROR(__xludf.DUMMYFUNCTION("""COMPUTED_VALUE"""),46169.760960162035)</f>
        <v>46169.76096</v>
      </c>
      <c r="G1249" s="86" t="str">
        <f>IFERROR(__xludf.DUMMYFUNCTION("""COMPUTED_VALUE"""),"Done")</f>
        <v>Done</v>
      </c>
      <c r="H1249" s="88">
        <f>IFERROR(__xludf.DUMMYFUNCTION("""COMPUTED_VALUE"""),0.0)</f>
        <v>0</v>
      </c>
      <c r="I1249" s="90" t="str">
        <f>IFERROR(__xludf.DUMMYFUNCTION("""COMPUTED_VALUE"""),"EMP0042 HULESHWAR KUMAR SAHU")</f>
        <v>EMP0042 HULESHWAR KUMAR SAHU</v>
      </c>
      <c r="J1249" s="91">
        <f t="shared" si="1"/>
        <v>-0.8307065046</v>
      </c>
    </row>
    <row r="1250">
      <c r="B1250" s="76" t="str">
        <f>IFERROR(__xludf.DUMMYFUNCTION("""COMPUTED_VALUE"""),"Debuging the error (Jasper end as well as Query end) and discuss with RM about logic ")</f>
        <v>Debuging the error (Jasper end as well as Query end) and discuss with RM about logic </v>
      </c>
      <c r="C1250" s="82">
        <f>IFERROR(__xludf.DUMMYFUNCTION("""COMPUTED_VALUE"""),5212.0)</f>
        <v>5212</v>
      </c>
      <c r="D1250" s="76" t="str">
        <f>IFERROR(__xludf.DUMMYFUNCTION("""COMPUTED_VALUE"""),"Examination Report")</f>
        <v>Examination Report</v>
      </c>
      <c r="E1250" s="84">
        <f>IFERROR(__xludf.DUMMYFUNCTION("""COMPUTED_VALUE"""),46170.814441828705)</f>
        <v>46170.81444</v>
      </c>
      <c r="F1250" s="86">
        <f>IFERROR(__xludf.DUMMYFUNCTION("""COMPUTED_VALUE"""),46170.58884268519)</f>
        <v>46170.58884</v>
      </c>
      <c r="G1250" s="86" t="str">
        <f>IFERROR(__xludf.DUMMYFUNCTION("""COMPUTED_VALUE"""),"Done")</f>
        <v>Done</v>
      </c>
      <c r="H1250" s="88">
        <f>IFERROR(__xludf.DUMMYFUNCTION("""COMPUTED_VALUE"""),0.0)</f>
        <v>0</v>
      </c>
      <c r="I1250" s="90" t="str">
        <f>IFERROR(__xludf.DUMMYFUNCTION("""COMPUTED_VALUE"""),"EMP0042 HULESHWAR KUMAR SAHU")</f>
        <v>EMP0042 HULESHWAR KUMAR SAHU</v>
      </c>
      <c r="J1250" s="91">
        <f t="shared" si="1"/>
        <v>-0.2255991435</v>
      </c>
    </row>
    <row r="1251">
      <c r="B1251" s="76" t="str">
        <f>IFERROR(__xludf.DUMMYFUNCTION("""COMPUTED_VALUE"""),"Debuging the error (Jasper end as well as Query end) and discuss with RM about logic ")</f>
        <v>Debuging the error (Jasper end as well as Query end) and discuss with RM about logic </v>
      </c>
      <c r="C1251" s="82">
        <f>IFERROR(__xludf.DUMMYFUNCTION("""COMPUTED_VALUE"""),5213.0)</f>
        <v>5213</v>
      </c>
      <c r="D1251" s="76" t="str">
        <f>IFERROR(__xludf.DUMMYFUNCTION("""COMPUTED_VALUE"""),"Attestation Sheet")</f>
        <v>Attestation Sheet</v>
      </c>
      <c r="E1251" s="84">
        <f>IFERROR(__xludf.DUMMYFUNCTION("""COMPUTED_VALUE"""),46171.46041666667)</f>
        <v>46171.46042</v>
      </c>
      <c r="F1251" s="86">
        <f>IFERROR(__xludf.DUMMYFUNCTION("""COMPUTED_VALUE"""),46170.72437193287)</f>
        <v>46170.72437</v>
      </c>
      <c r="G1251" s="86" t="str">
        <f>IFERROR(__xludf.DUMMYFUNCTION("""COMPUTED_VALUE"""),"Done")</f>
        <v>Done</v>
      </c>
      <c r="H1251" s="88">
        <f>IFERROR(__xludf.DUMMYFUNCTION("""COMPUTED_VALUE"""),0.0)</f>
        <v>0</v>
      </c>
      <c r="I1251" s="90" t="str">
        <f>IFERROR(__xludf.DUMMYFUNCTION("""COMPUTED_VALUE"""),"EMP5009 Rup Kumar Mandal")</f>
        <v>EMP5009 Rup Kumar Mandal</v>
      </c>
      <c r="J1251" s="91">
        <f t="shared" si="1"/>
        <v>-0.7360447338</v>
      </c>
    </row>
    <row r="1252">
      <c r="B1252" s="76" t="str">
        <f>IFERROR(__xludf.DUMMYFUNCTION("""COMPUTED_VALUE"""),"Debuging the error (Jasper end as well as Query end) and discuss with RM about logic ")</f>
        <v>Debuging the error (Jasper end as well as Query end) and discuss with RM about logic </v>
      </c>
      <c r="C1252" s="82">
        <f>IFERROR(__xludf.DUMMYFUNCTION("""COMPUTED_VALUE"""),5214.0)</f>
        <v>5214</v>
      </c>
      <c r="D1252" s="76" t="str">
        <f>IFERROR(__xludf.DUMMYFUNCTION("""COMPUTED_VALUE"""),"seating plan report")</f>
        <v>seating plan report</v>
      </c>
      <c r="E1252" s="84">
        <f>IFERROR(__xludf.DUMMYFUNCTION("""COMPUTED_VALUE"""),46171.461111111115)</f>
        <v>46171.46111</v>
      </c>
      <c r="F1252" s="86">
        <f>IFERROR(__xludf.DUMMYFUNCTION("""COMPUTED_VALUE"""),46170.72437193287)</f>
        <v>46170.72437</v>
      </c>
      <c r="G1252" s="86" t="str">
        <f>IFERROR(__xludf.DUMMYFUNCTION("""COMPUTED_VALUE"""),"Done")</f>
        <v>Done</v>
      </c>
      <c r="H1252" s="88">
        <f>IFERROR(__xludf.DUMMYFUNCTION("""COMPUTED_VALUE"""),0.0)</f>
        <v>0</v>
      </c>
      <c r="I1252" s="90" t="str">
        <f>IFERROR(__xludf.DUMMYFUNCTION("""COMPUTED_VALUE"""),"EMP5009 Rup Kumar Mandal")</f>
        <v>EMP5009 Rup Kumar Mandal</v>
      </c>
      <c r="J1252" s="91">
        <f t="shared" si="1"/>
        <v>-0.7367391782</v>
      </c>
    </row>
    <row r="1253">
      <c r="B1253" s="76" t="str">
        <f>IFERROR(__xludf.DUMMYFUNCTION("""COMPUTED_VALUE"""),"Debuging the error (Jasper end as well as Query end) and discuss with RM about logic ")</f>
        <v>Debuging the error (Jasper end as well as Query end) and discuss with RM about logic </v>
      </c>
      <c r="C1253" s="82">
        <f>IFERROR(__xludf.DUMMYFUNCTION("""COMPUTED_VALUE"""),5215.0)</f>
        <v>5215</v>
      </c>
      <c r="D1253" s="76" t="str">
        <f>IFERROR(__xludf.DUMMYFUNCTION("""COMPUTED_VALUE"""),"admit card")</f>
        <v>admit card</v>
      </c>
      <c r="E1253" s="84">
        <f>IFERROR(__xludf.DUMMYFUNCTION("""COMPUTED_VALUE"""),46171.461805555555)</f>
        <v>46171.46181</v>
      </c>
      <c r="F1253" s="86">
        <f>IFERROR(__xludf.DUMMYFUNCTION("""COMPUTED_VALUE"""),46170.7243750463)</f>
        <v>46170.72438</v>
      </c>
      <c r="G1253" s="86" t="str">
        <f>IFERROR(__xludf.DUMMYFUNCTION("""COMPUTED_VALUE"""),"Done")</f>
        <v>Done</v>
      </c>
      <c r="H1253" s="88">
        <f>IFERROR(__xludf.DUMMYFUNCTION("""COMPUTED_VALUE"""),0.0)</f>
        <v>0</v>
      </c>
      <c r="I1253" s="90" t="str">
        <f>IFERROR(__xludf.DUMMYFUNCTION("""COMPUTED_VALUE"""),"EMP0021 Tamanna Dewangan")</f>
        <v>EMP0021 Tamanna Dewangan</v>
      </c>
      <c r="J1253" s="91">
        <f t="shared" si="1"/>
        <v>-0.7374305093</v>
      </c>
    </row>
    <row r="1254">
      <c r="B1254" s="76" t="str">
        <f>IFERROR(__xludf.DUMMYFUNCTION("""COMPUTED_VALUE"""),"Debuging the error (Jasper end as well as Query end) and discuss with RM about logic ")</f>
        <v>Debuging the error (Jasper end as well as Query end) and discuss with RM about logic </v>
      </c>
      <c r="C1254" s="82">
        <f>IFERROR(__xludf.DUMMYFUNCTION("""COMPUTED_VALUE"""),5216.0)</f>
        <v>5216</v>
      </c>
      <c r="D1254" s="76" t="str">
        <f>IFERROR(__xludf.DUMMYFUNCTION("""COMPUTED_VALUE"""),"Table Sticker")</f>
        <v>Table Sticker</v>
      </c>
      <c r="E1254" s="84">
        <f>IFERROR(__xludf.DUMMYFUNCTION("""COMPUTED_VALUE"""),46171.53402777778)</f>
        <v>46171.53403</v>
      </c>
      <c r="F1254" s="86">
        <f>IFERROR(__xludf.DUMMYFUNCTION("""COMPUTED_VALUE"""),46170.7243750463)</f>
        <v>46170.72438</v>
      </c>
      <c r="G1254" s="86" t="str">
        <f>IFERROR(__xludf.DUMMYFUNCTION("""COMPUTED_VALUE"""),"Done")</f>
        <v>Done</v>
      </c>
      <c r="H1254" s="88">
        <f>IFERROR(__xludf.DUMMYFUNCTION("""COMPUTED_VALUE"""),0.0)</f>
        <v>0</v>
      </c>
      <c r="I1254" s="90" t="str">
        <f>IFERROR(__xludf.DUMMYFUNCTION("""COMPUTED_VALUE"""),"EMP0042 HULESHWAR KUMAR SAHU")</f>
        <v>EMP0042 HULESHWAR KUMAR SAHU</v>
      </c>
      <c r="J1254" s="91">
        <f t="shared" si="1"/>
        <v>-0.8096527315</v>
      </c>
    </row>
    <row r="1255">
      <c r="B1255" s="76" t="str">
        <f>IFERROR(__xludf.DUMMYFUNCTION("""COMPUTED_VALUE"""),"Debuging the error (Jasper end as well as Query end) and discuss with RM about logic ")</f>
        <v>Debuging the error (Jasper end as well as Query end) and discuss with RM about logic </v>
      </c>
      <c r="C1255" s="82">
        <f>IFERROR(__xludf.DUMMYFUNCTION("""COMPUTED_VALUE"""),5217.0)</f>
        <v>5217</v>
      </c>
      <c r="D1255" s="76" t="str">
        <f>IFERROR(__xludf.DUMMYFUNCTION("""COMPUTED_VALUE"""),"DISPATCH_CHALLAN")</f>
        <v>DISPATCH_CHALLAN</v>
      </c>
      <c r="E1255" s="84">
        <f>IFERROR(__xludf.DUMMYFUNCTION("""COMPUTED_VALUE"""),46171.56597222222)</f>
        <v>46171.56597</v>
      </c>
      <c r="F1255" s="86">
        <f>IFERROR(__xludf.DUMMYFUNCTION("""COMPUTED_VALUE"""),46170.724380486114)</f>
        <v>46170.72438</v>
      </c>
      <c r="G1255" s="86" t="str">
        <f>IFERROR(__xludf.DUMMYFUNCTION("""COMPUTED_VALUE"""),"Done")</f>
        <v>Done</v>
      </c>
      <c r="H1255" s="88">
        <f>IFERROR(__xludf.DUMMYFUNCTION("""COMPUTED_VALUE"""),0.0)</f>
        <v>0</v>
      </c>
      <c r="I1255" s="90" t="str">
        <f>IFERROR(__xludf.DUMMYFUNCTION("""COMPUTED_VALUE"""),"EMP5009 Rup Kumar Mandal")</f>
        <v>EMP5009 Rup Kumar Mandal</v>
      </c>
      <c r="J1255" s="91">
        <f t="shared" si="1"/>
        <v>-0.8415917361</v>
      </c>
    </row>
    <row r="1256">
      <c r="B1256" s="76" t="str">
        <f>IFERROR(__xludf.DUMMYFUNCTION("""COMPUTED_VALUE"""),"Debuging the error (Jasper end as well as Query end) and discuss with RM about logic ")</f>
        <v>Debuging the error (Jasper end as well as Query end) and discuss with RM about logic </v>
      </c>
      <c r="C1256" s="82">
        <f>IFERROR(__xludf.DUMMYFUNCTION("""COMPUTED_VALUE"""),5218.0)</f>
        <v>5218</v>
      </c>
      <c r="D1256" s="76" t="str">
        <f>IFERROR(__xludf.DUMMYFUNCTION("""COMPUTED_VALUE"""),"Top sheet after attendance entry")</f>
        <v>Top sheet after attendance entry</v>
      </c>
      <c r="E1256" s="84">
        <f>IFERROR(__xludf.DUMMYFUNCTION("""COMPUTED_VALUE"""),46171.56875)</f>
        <v>46171.56875</v>
      </c>
      <c r="F1256" s="86">
        <f>IFERROR(__xludf.DUMMYFUNCTION("""COMPUTED_VALUE"""),46170.724380486114)</f>
        <v>46170.72438</v>
      </c>
      <c r="G1256" s="86" t="str">
        <f>IFERROR(__xludf.DUMMYFUNCTION("""COMPUTED_VALUE"""),"Done")</f>
        <v>Done</v>
      </c>
      <c r="H1256" s="88">
        <f>IFERROR(__xludf.DUMMYFUNCTION("""COMPUTED_VALUE"""),0.0)</f>
        <v>0</v>
      </c>
      <c r="I1256" s="90" t="str">
        <f>IFERROR(__xludf.DUMMYFUNCTION("""COMPUTED_VALUE"""),"EMP5009 Rup Kumar Mandal")</f>
        <v>EMP5009 Rup Kumar Mandal</v>
      </c>
      <c r="J1256" s="91">
        <f t="shared" si="1"/>
        <v>-0.8443695139</v>
      </c>
    </row>
    <row r="1257">
      <c r="B1257" s="76" t="str">
        <f>IFERROR(__xludf.DUMMYFUNCTION("""COMPUTED_VALUE"""),"Debuging the error (Jasper end as well as Query end) and discuss with RM about logic ")</f>
        <v>Debuging the error (Jasper end as well as Query end) and discuss with RM about logic </v>
      </c>
      <c r="C1257" s="82">
        <f>IFERROR(__xludf.DUMMYFUNCTION("""COMPUTED_VALUE"""),5219.0)</f>
        <v>5219</v>
      </c>
      <c r="D1257" s="76" t="str">
        <f>IFERROR(__xludf.DUMMYFUNCTION("""COMPUTED_VALUE"""),"Top sheet before attendance sheet")</f>
        <v>Top sheet before attendance sheet</v>
      </c>
      <c r="E1257" s="84">
        <f>IFERROR(__xludf.DUMMYFUNCTION("""COMPUTED_VALUE"""),46171.57083333333)</f>
        <v>46171.57083</v>
      </c>
      <c r="F1257" s="86">
        <f>IFERROR(__xludf.DUMMYFUNCTION("""COMPUTED_VALUE"""),46170.72438407408)</f>
        <v>46170.72438</v>
      </c>
      <c r="G1257" s="86" t="str">
        <f>IFERROR(__xludf.DUMMYFUNCTION("""COMPUTED_VALUE"""),"Done")</f>
        <v>Done</v>
      </c>
      <c r="H1257" s="88">
        <f>IFERROR(__xludf.DUMMYFUNCTION("""COMPUTED_VALUE"""),0.0)</f>
        <v>0</v>
      </c>
      <c r="I1257" s="90" t="str">
        <f>IFERROR(__xludf.DUMMYFUNCTION("""COMPUTED_VALUE"""),"EMP5009 Rup Kumar Mandal")</f>
        <v>EMP5009 Rup Kumar Mandal</v>
      </c>
      <c r="J1257" s="91">
        <f t="shared" si="1"/>
        <v>-0.8464492593</v>
      </c>
    </row>
    <row r="1258">
      <c r="B1258" s="76" t="str">
        <f>IFERROR(__xludf.DUMMYFUNCTION("""COMPUTED_VALUE"""),"Debuging the error (Jasper end as well as Query end) and discuss with RM about logic ")</f>
        <v>Debuging the error (Jasper end as well as Query end) and discuss with RM about logic </v>
      </c>
      <c r="C1258" s="82">
        <f>IFERROR(__xludf.DUMMYFUNCTION("""COMPUTED_VALUE"""),5220.0)</f>
        <v>5220</v>
      </c>
      <c r="D1258" s="76" t="str">
        <f>IFERROR(__xludf.DUMMYFUNCTION("""COMPUTED_VALUE"""),"B.Pharm 4th Semester Examination 2025 (II), Medicinal Chemistry I – Practical ( BP406P ) students marks missing. Session - 2024-25 (S),")</f>
        <v>B.Pharm 4th Semester Examination 2025 (II), Medicinal Chemistry I – Practical ( BP406P ) students marks missing. Session - 2024-25 (S),</v>
      </c>
      <c r="E1258" s="84">
        <f>IFERROR(__xludf.DUMMYFUNCTION("""COMPUTED_VALUE"""),46171.65)</f>
        <v>46171.65</v>
      </c>
      <c r="F1258" s="86">
        <f>IFERROR(__xludf.DUMMYFUNCTION("""COMPUTED_VALUE"""),46171.45851795139)</f>
        <v>46171.45852</v>
      </c>
      <c r="G1258" s="86" t="str">
        <f>IFERROR(__xludf.DUMMYFUNCTION("""COMPUTED_VALUE"""),"Done")</f>
        <v>Done</v>
      </c>
      <c r="H1258" s="88">
        <f>IFERROR(__xludf.DUMMYFUNCTION("""COMPUTED_VALUE"""),0.0)</f>
        <v>0</v>
      </c>
      <c r="I1258" s="90" t="str">
        <f>IFERROR(__xludf.DUMMYFUNCTION("""COMPUTED_VALUE"""),"EMP0021 Tamanna Dewangan")</f>
        <v>EMP0021 Tamanna Dewangan</v>
      </c>
      <c r="J1258" s="91">
        <f t="shared" si="1"/>
        <v>-0.1914820486</v>
      </c>
    </row>
    <row r="1259">
      <c r="B1259" s="76" t="str">
        <f>IFERROR(__xludf.DUMMYFUNCTION("""COMPUTED_VALUE"""),"Debuging the error (Jasper end as well as Query end) and discuss with RM about logic ")</f>
        <v>Debuging the error (Jasper end as well as Query end) and discuss with RM about logic </v>
      </c>
      <c r="C1259" s="82">
        <f>IFERROR(__xludf.DUMMYFUNCTION("""COMPUTED_VALUE"""),5221.0)</f>
        <v>5221</v>
      </c>
      <c r="D1259" s="76" t="str">
        <f>IFERROR(__xludf.DUMMYFUNCTION("""COMPUTED_VALUE"""),"TR REPORT NEP")</f>
        <v>TR REPORT NEP</v>
      </c>
      <c r="E1259" s="84">
        <f>IFERROR(__xludf.DUMMYFUNCTION("""COMPUTED_VALUE"""),46171.74452920139)</f>
        <v>46171.74453</v>
      </c>
      <c r="F1259" s="86">
        <f>IFERROR(__xludf.DUMMYFUNCTION("""COMPUTED_VALUE"""),46171.47707981482)</f>
        <v>46171.47708</v>
      </c>
      <c r="G1259" s="86" t="str">
        <f>IFERROR(__xludf.DUMMYFUNCTION("""COMPUTED_VALUE"""),"Done")</f>
        <v>Done</v>
      </c>
      <c r="H1259" s="88">
        <f>IFERROR(__xludf.DUMMYFUNCTION("""COMPUTED_VALUE"""),0.0)</f>
        <v>0</v>
      </c>
      <c r="I1259" s="90" t="str">
        <f>IFERROR(__xludf.DUMMYFUNCTION("""COMPUTED_VALUE"""),"EMP5009 Rup Kumar Mandal")</f>
        <v>EMP5009 Rup Kumar Mandal</v>
      </c>
      <c r="J1259" s="91">
        <f t="shared" si="1"/>
        <v>-0.2674493866</v>
      </c>
    </row>
    <row r="1260">
      <c r="B1260" s="76" t="str">
        <f>IFERROR(__xludf.DUMMYFUNCTION("""COMPUTED_VALUE"""),"Debuging the error (Jasper end as well as Query end) and discuss with RM about logic ")</f>
        <v>Debuging the error (Jasper end as well as Query end) and discuss with RM about logic </v>
      </c>
      <c r="C1260" s="82">
        <f>IFERROR(__xludf.DUMMYFUNCTION("""COMPUTED_VALUE"""),5222.0)</f>
        <v>5222</v>
      </c>
      <c r="D1260" s="76" t="str">
        <f>IFERROR(__xludf.DUMMYFUNCTION("""COMPUTED_VALUE"""),"COLLAGE WISE COURSE WILSE FORM LIVE")</f>
        <v>COLLAGE WISE COURSE WILSE FORM LIVE</v>
      </c>
      <c r="E1260" s="84">
        <f>IFERROR(__xludf.DUMMYFUNCTION("""COMPUTED_VALUE"""),46171.7714183912)</f>
        <v>46171.77142</v>
      </c>
      <c r="F1260" s="86">
        <f>IFERROR(__xludf.DUMMYFUNCTION("""COMPUTED_VALUE"""),46171.52675989583)</f>
        <v>46171.52676</v>
      </c>
      <c r="G1260" s="86" t="str">
        <f>IFERROR(__xludf.DUMMYFUNCTION("""COMPUTED_VALUE"""),"Done")</f>
        <v>Done</v>
      </c>
      <c r="H1260" s="88">
        <f>IFERROR(__xludf.DUMMYFUNCTION("""COMPUTED_VALUE"""),0.0)</f>
        <v>0</v>
      </c>
      <c r="I1260" s="90" t="str">
        <f>IFERROR(__xludf.DUMMYFUNCTION("""COMPUTED_VALUE"""),"EMP5009 Rup Kumar Mandal")</f>
        <v>EMP5009 Rup Kumar Mandal</v>
      </c>
      <c r="J1260" s="91">
        <f t="shared" si="1"/>
        <v>-0.2446584954</v>
      </c>
    </row>
    <row r="1261">
      <c r="B1261" s="76" t="str">
        <f>IFERROR(__xludf.DUMMYFUNCTION("""COMPUTED_VALUE"""),"Debuging the error (Jasper end as well as Query end) and discuss with RM about logic ")</f>
        <v>Debuging the error (Jasper end as well as Query end) and discuss with RM about logic </v>
      </c>
      <c r="C1261" s="82">
        <f>IFERROR(__xludf.DUMMYFUNCTION("""COMPUTED_VALUE"""),5223.0)</f>
        <v>5223</v>
      </c>
      <c r="D1261" s="76" t="str">
        <f>IFERROR(__xludf.DUMMYFUNCTION("""COMPUTED_VALUE"""),"CBCS EARN CREDIT REPORT")</f>
        <v>CBCS EARN CREDIT REPORT</v>
      </c>
      <c r="E1261" s="84">
        <f>IFERROR(__xludf.DUMMYFUNCTION("""COMPUTED_VALUE"""),46172.52569444444)</f>
        <v>46172.52569</v>
      </c>
      <c r="F1261" s="86">
        <f>IFERROR(__xludf.DUMMYFUNCTION("""COMPUTED_VALUE"""),46171.66218743056)</f>
        <v>46171.66219</v>
      </c>
      <c r="G1261" s="86" t="str">
        <f>IFERROR(__xludf.DUMMYFUNCTION("""COMPUTED_VALUE"""),"Done")</f>
        <v>Done</v>
      </c>
      <c r="H1261" s="88">
        <f>IFERROR(__xludf.DUMMYFUNCTION("""COMPUTED_VALUE"""),0.0)</f>
        <v>0</v>
      </c>
      <c r="I1261" s="90" t="str">
        <f>IFERROR(__xludf.DUMMYFUNCTION("""COMPUTED_VALUE"""),"EMP0042 HULESHWAR KUMAR SAHU")</f>
        <v>EMP0042 HULESHWAR KUMAR SAHU</v>
      </c>
      <c r="J1261" s="91">
        <f t="shared" si="1"/>
        <v>-0.8635070139</v>
      </c>
    </row>
    <row r="1262">
      <c r="B1262" s="76" t="str">
        <f>IFERROR(__xludf.DUMMYFUNCTION("""COMPUTED_VALUE"""),"Debuging the error (Jasper end as well as Query end) and discuss with RM about logic ")</f>
        <v>Debuging the error (Jasper end as well as Query end) and discuss with RM about logic </v>
      </c>
      <c r="C1262" s="82">
        <f>IFERROR(__xludf.DUMMYFUNCTION("""COMPUTED_VALUE"""),5224.0)</f>
        <v>5224</v>
      </c>
      <c r="D1262" s="76" t="str">
        <f>IFERROR(__xludf.DUMMYFUNCTION("""COMPUTED_VALUE"""),"Bachelor of Pharmacy (LATERAL ENTRY) 7th sem. report generated problem.")</f>
        <v>Bachelor of Pharmacy (LATERAL ENTRY) 7th sem. report generated problem.</v>
      </c>
      <c r="E1262" s="84">
        <f>IFERROR(__xludf.DUMMYFUNCTION("""COMPUTED_VALUE"""),46172.54583333334)</f>
        <v>46172.54583</v>
      </c>
      <c r="F1262" s="86">
        <f>IFERROR(__xludf.DUMMYFUNCTION("""COMPUTED_VALUE"""),46171.737043194444)</f>
        <v>46171.73704</v>
      </c>
      <c r="G1262" s="86" t="str">
        <f>IFERROR(__xludf.DUMMYFUNCTION("""COMPUTED_VALUE"""),"Done")</f>
        <v>Done</v>
      </c>
      <c r="H1262" s="88">
        <f>IFERROR(__xludf.DUMMYFUNCTION("""COMPUTED_VALUE"""),0.0)</f>
        <v>0</v>
      </c>
      <c r="I1262" s="90" t="str">
        <f>IFERROR(__xludf.DUMMYFUNCTION("""COMPUTED_VALUE"""),"EMP5009 Rup Kumar Mandal")</f>
        <v>EMP5009 Rup Kumar Mandal</v>
      </c>
      <c r="J1262" s="91">
        <f t="shared" si="1"/>
        <v>-0.8087901389</v>
      </c>
    </row>
    <row r="1263">
      <c r="B1263" s="76" t="str">
        <f>IFERROR(__xludf.DUMMYFUNCTION("""COMPUTED_VALUE"""),"Debuging the error (Jasper end as well as Query end) and discuss with RM about logic ")</f>
        <v>Debuging the error (Jasper end as well as Query end) and discuss with RM about logic </v>
      </c>
      <c r="C1263" s="82">
        <f>IFERROR(__xludf.DUMMYFUNCTION("""COMPUTED_VALUE"""),5225.0)</f>
        <v>5225</v>
      </c>
      <c r="D1263" s="76" t="str">
        <f>IFERROR(__xludf.DUMMYFUNCTION("""COMPUTED_VALUE"""),"Question Paper Packet slip Date Wise")</f>
        <v>Question Paper Packet slip Date Wise</v>
      </c>
      <c r="E1263" s="84">
        <f>IFERROR(__xludf.DUMMYFUNCTION("""COMPUTED_VALUE"""),46174.765058425925)</f>
        <v>46174.76506</v>
      </c>
      <c r="F1263" s="86">
        <f>IFERROR(__xludf.DUMMYFUNCTION("""COMPUTED_VALUE"""),46174.74635778935)</f>
        <v>46174.74636</v>
      </c>
      <c r="G1263" s="86" t="str">
        <f>IFERROR(__xludf.DUMMYFUNCTION("""COMPUTED_VALUE"""),"Done")</f>
        <v>Done</v>
      </c>
      <c r="H1263" s="88">
        <f>IFERROR(__xludf.DUMMYFUNCTION("""COMPUTED_VALUE"""),0.0)</f>
        <v>0</v>
      </c>
      <c r="I1263" s="90" t="str">
        <f>IFERROR(__xludf.DUMMYFUNCTION("""COMPUTED_VALUE"""),"EMP0237 Swarnendu Chakraborty")</f>
        <v>EMP0237 Swarnendu Chakraborty</v>
      </c>
      <c r="J1263" s="91">
        <f t="shared" si="1"/>
        <v>-0.01870063657</v>
      </c>
    </row>
    <row r="1264">
      <c r="B1264" s="76" t="str">
        <f>IFERROR(__xludf.DUMMYFUNCTION("""COMPUTED_VALUE"""),"Debuging the error (Jasper end as well as Query end) and discuss with RM about logic ")</f>
        <v>Debuging the error (Jasper end as well as Query end) and discuss with RM about logic </v>
      </c>
      <c r="C1264" s="82">
        <f>IFERROR(__xludf.DUMMYFUNCTION("""COMPUTED_VALUE"""),5226.0)</f>
        <v>5226</v>
      </c>
      <c r="D1264" s="76" t="str">
        <f>IFERROR(__xludf.DUMMYFUNCTION("""COMPUTED_VALUE"""),"MULTIPLE REPORT")</f>
        <v>MULTIPLE REPORT</v>
      </c>
      <c r="E1264" s="84">
        <f>IFERROR(__xludf.DUMMYFUNCTION("""COMPUTED_VALUE"""),46174.78852140046)</f>
        <v>46174.78852</v>
      </c>
      <c r="F1264" s="86">
        <f>IFERROR(__xludf.DUMMYFUNCTION("""COMPUTED_VALUE"""),46174.746383090285)</f>
        <v>46174.74638</v>
      </c>
      <c r="G1264" s="86" t="str">
        <f>IFERROR(__xludf.DUMMYFUNCTION("""COMPUTED_VALUE"""),"Done")</f>
        <v>Done</v>
      </c>
      <c r="H1264" s="88">
        <f>IFERROR(__xludf.DUMMYFUNCTION("""COMPUTED_VALUE"""),0.0)</f>
        <v>0</v>
      </c>
      <c r="I1264" s="90" t="str">
        <f>IFERROR(__xludf.DUMMYFUNCTION("""COMPUTED_VALUE"""),"EMP0237 Swarnendu Chakraborty")</f>
        <v>EMP0237 Swarnendu Chakraborty</v>
      </c>
      <c r="J1264" s="91">
        <f t="shared" si="1"/>
        <v>-0.04213831017</v>
      </c>
    </row>
    <row r="1265">
      <c r="B1265" s="76" t="str">
        <f>IFERROR(__xludf.DUMMYFUNCTION("""COMPUTED_VALUE"""),"Debuging the error (Jasper end as well as Query end) and discuss with RM about logic ")</f>
        <v>Debuging the error (Jasper end as well as Query end) and discuss with RM about logic </v>
      </c>
      <c r="C1265" s="82">
        <f>IFERROR(__xludf.DUMMYFUNCTION("""COMPUTED_VALUE"""),5227.0)</f>
        <v>5227</v>
      </c>
      <c r="D1265" s="76" t="str">
        <f>IFERROR(__xludf.DUMMYFUNCTION("""COMPUTED_VALUE"""),"B.COM 1ST SEM REAPPEAR  DATA NOT SHOWN IN TR")</f>
        <v>B.COM 1ST SEM REAPPEAR  DATA NOT SHOWN IN TR</v>
      </c>
      <c r="E1265" s="84">
        <f>IFERROR(__xludf.DUMMYFUNCTION("""COMPUTED_VALUE"""),46176.538194444445)</f>
        <v>46176.53819</v>
      </c>
      <c r="F1265" s="86">
        <f>IFERROR(__xludf.DUMMYFUNCTION("""COMPUTED_VALUE"""),46175.66722954861)</f>
        <v>46175.66723</v>
      </c>
      <c r="G1265" s="86" t="str">
        <f>IFERROR(__xludf.DUMMYFUNCTION("""COMPUTED_VALUE"""),"Done")</f>
        <v>Done</v>
      </c>
      <c r="H1265" s="88">
        <f>IFERROR(__xludf.DUMMYFUNCTION("""COMPUTED_VALUE"""),0.0)</f>
        <v>0</v>
      </c>
      <c r="I1265" s="90" t="str">
        <f>IFERROR(__xludf.DUMMYFUNCTION("""COMPUTED_VALUE"""),"EMP5009 Rup Kumar Mandal")</f>
        <v>EMP5009 Rup Kumar Mandal</v>
      </c>
      <c r="J1265" s="91">
        <f t="shared" si="1"/>
        <v>-0.8709648958</v>
      </c>
    </row>
    <row r="1266">
      <c r="B1266" s="76" t="str">
        <f>IFERROR(__xludf.DUMMYFUNCTION("""COMPUTED_VALUE"""),"Debuging the error (Jasper end as well as Query end) and discuss with RM about logic ")</f>
        <v>Debuging the error (Jasper end as well as Query end) and discuss with RM about logic </v>
      </c>
      <c r="C1266" s="82">
        <f>IFERROR(__xludf.DUMMYFUNCTION("""COMPUTED_VALUE"""),5228.0)</f>
        <v>5228</v>
      </c>
      <c r="D1266" s="76" t="str">
        <f>IFERROR(__xludf.DUMMYFUNCTION("""COMPUTED_VALUE"""),"pattern status report.")</f>
        <v>pattern status report.</v>
      </c>
      <c r="E1266" s="84">
        <f>IFERROR(__xludf.DUMMYFUNCTION("""COMPUTED_VALUE"""),46176.53125)</f>
        <v>46176.53125</v>
      </c>
      <c r="F1266" s="86">
        <f>IFERROR(__xludf.DUMMYFUNCTION("""COMPUTED_VALUE"""),46175.67690568286)</f>
        <v>46175.67691</v>
      </c>
      <c r="G1266" s="86" t="str">
        <f>IFERROR(__xludf.DUMMYFUNCTION("""COMPUTED_VALUE"""),"Done")</f>
        <v>Done</v>
      </c>
      <c r="H1266" s="88">
        <f>IFERROR(__xludf.DUMMYFUNCTION("""COMPUTED_VALUE"""),0.0)</f>
        <v>0</v>
      </c>
      <c r="I1266" s="90" t="str">
        <f>IFERROR(__xludf.DUMMYFUNCTION("""COMPUTED_VALUE"""),"EMP5009 Rup Kumar Mandal")</f>
        <v>EMP5009 Rup Kumar Mandal</v>
      </c>
      <c r="J1266" s="91">
        <f t="shared" si="1"/>
        <v>-0.8543443171</v>
      </c>
    </row>
    <row r="1267">
      <c r="B1267" s="76" t="str">
        <f>IFERROR(__xludf.DUMMYFUNCTION("""COMPUTED_VALUE"""),"Debuging the error (Jasper end as well as Query end) and discuss with RM about logic ")</f>
        <v>Debuging the error (Jasper end as well as Query end) and discuss with RM about logic </v>
      </c>
      <c r="C1267" s="82">
        <f>IFERROR(__xludf.DUMMYFUNCTION("""COMPUTED_VALUE"""),5229.0)</f>
        <v>5229</v>
      </c>
      <c r="D1267" s="76" t="str">
        <f>IFERROR(__xludf.DUMMYFUNCTION("""COMPUTED_VALUE"""),"correctuon in marksheet")</f>
        <v>correctuon in marksheet</v>
      </c>
      <c r="E1267" s="84">
        <f>IFERROR(__xludf.DUMMYFUNCTION("""COMPUTED_VALUE"""),46176.53402777778)</f>
        <v>46176.53403</v>
      </c>
      <c r="F1267" s="86">
        <f>IFERROR(__xludf.DUMMYFUNCTION("""COMPUTED_VALUE"""),46175.67692096064)</f>
        <v>46175.67692</v>
      </c>
      <c r="G1267" s="86" t="str">
        <f>IFERROR(__xludf.DUMMYFUNCTION("""COMPUTED_VALUE"""),"Done")</f>
        <v>Done</v>
      </c>
      <c r="H1267" s="88">
        <f>IFERROR(__xludf.DUMMYFUNCTION("""COMPUTED_VALUE"""),0.0)</f>
        <v>0</v>
      </c>
      <c r="I1267" s="90" t="str">
        <f>IFERROR(__xludf.DUMMYFUNCTION("""COMPUTED_VALUE"""),"EMP0237 Swarnendu Chakraborty")</f>
        <v>EMP0237 Swarnendu Chakraborty</v>
      </c>
      <c r="J1267" s="91">
        <f t="shared" si="1"/>
        <v>-0.8571068171</v>
      </c>
    </row>
    <row r="1268">
      <c r="B1268" s="76" t="str">
        <f>IFERROR(__xludf.DUMMYFUNCTION("""COMPUTED_VALUE"""),"Debuging the error (Jasper end as well as Query end) and discuss with RM about logic ")</f>
        <v>Debuging the error (Jasper end as well as Query end) and discuss with RM about logic </v>
      </c>
      <c r="C1268" s="82">
        <f>IFERROR(__xludf.DUMMYFUNCTION("""COMPUTED_VALUE"""),5230.0)</f>
        <v>5230</v>
      </c>
      <c r="D1268" s="76" t="str">
        <f>IFERROR(__xludf.DUMMYFUNCTION("""COMPUTED_VALUE"""),"TR")</f>
        <v>TR</v>
      </c>
      <c r="E1268" s="84">
        <f>IFERROR(__xludf.DUMMYFUNCTION("""COMPUTED_VALUE"""),46176.77384810185)</f>
        <v>46176.77385</v>
      </c>
      <c r="F1268" s="86">
        <f>IFERROR(__xludf.DUMMYFUNCTION("""COMPUTED_VALUE"""),46176.50817620371)</f>
        <v>46176.50818</v>
      </c>
      <c r="G1268" s="86" t="str">
        <f>IFERROR(__xludf.DUMMYFUNCTION("""COMPUTED_VALUE"""),"Done")</f>
        <v>Done</v>
      </c>
      <c r="H1268" s="88">
        <f>IFERROR(__xludf.DUMMYFUNCTION("""COMPUTED_VALUE"""),0.0)</f>
        <v>0</v>
      </c>
      <c r="I1268" s="90" t="str">
        <f>IFERROR(__xludf.DUMMYFUNCTION("""COMPUTED_VALUE"""),"EMP0021 Tamanna Dewangan")</f>
        <v>EMP0021 Tamanna Dewangan</v>
      </c>
      <c r="J1268" s="91">
        <f t="shared" si="1"/>
        <v>-0.2656718981</v>
      </c>
    </row>
    <row r="1269">
      <c r="B1269" s="76" t="str">
        <f>IFERROR(__xludf.DUMMYFUNCTION("""COMPUTED_VALUE"""),"Debuging the error (Jasper end as well as Query end) and discuss with RM about logic ")</f>
        <v>Debuging the error (Jasper end as well as Query end) and discuss with RM about logic </v>
      </c>
      <c r="C1269" s="82">
        <f>IFERROR(__xludf.DUMMYFUNCTION("""COMPUTED_VALUE"""),5231.0)</f>
        <v>5231</v>
      </c>
      <c r="D1269" s="76" t="str">
        <f>IFERROR(__xludf.DUMMYFUNCTION("""COMPUTED_VALUE"""),"ADMIT CARD")</f>
        <v>ADMIT CARD</v>
      </c>
      <c r="E1269" s="84">
        <f>IFERROR(__xludf.DUMMYFUNCTION("""COMPUTED_VALUE"""),46177.554861111115)</f>
        <v>46177.55486</v>
      </c>
      <c r="F1269" s="86">
        <f>IFERROR(__xludf.DUMMYFUNCTION("""COMPUTED_VALUE"""),46176.74667511574)</f>
        <v>46176.74668</v>
      </c>
      <c r="G1269" s="86" t="str">
        <f>IFERROR(__xludf.DUMMYFUNCTION("""COMPUTED_VALUE"""),"Done")</f>
        <v>Done</v>
      </c>
      <c r="H1269" s="88">
        <f>IFERROR(__xludf.DUMMYFUNCTION("""COMPUTED_VALUE"""),0.0)</f>
        <v>0</v>
      </c>
      <c r="I1269" s="90" t="str">
        <f>IFERROR(__xludf.DUMMYFUNCTION("""COMPUTED_VALUE"""),"EMP0042 HULESHWAR KUMAR SAHU")</f>
        <v>EMP0042 HULESHWAR KUMAR SAHU</v>
      </c>
      <c r="J1269" s="91">
        <f t="shared" si="1"/>
        <v>-0.8081859954</v>
      </c>
    </row>
    <row r="1270">
      <c r="B1270" s="76" t="str">
        <f>IFERROR(__xludf.DUMMYFUNCTION("""COMPUTED_VALUE"""),"Debuging the error (Jasper end as well as Query end) and discuss with RM about logic ")</f>
        <v>Debuging the error (Jasper end as well as Query end) and discuss with RM about logic </v>
      </c>
      <c r="C1270" s="82">
        <f>IFERROR(__xludf.DUMMYFUNCTION("""COMPUTED_VALUE"""),5232.0)</f>
        <v>5232</v>
      </c>
      <c r="D1270" s="76" t="str">
        <f>IFERROR(__xludf.DUMMYFUNCTION("""COMPUTED_VALUE"""),"Marksheet Paramedical")</f>
        <v>Marksheet Paramedical</v>
      </c>
      <c r="E1270" s="84">
        <f>IFERROR(__xludf.DUMMYFUNCTION("""COMPUTED_VALUE"""),46177.55763888889)</f>
        <v>46177.55764</v>
      </c>
      <c r="F1270" s="86">
        <f>IFERROR(__xludf.DUMMYFUNCTION("""COMPUTED_VALUE"""),46176.746691759254)</f>
        <v>46176.74669</v>
      </c>
      <c r="G1270" s="86" t="str">
        <f>IFERROR(__xludf.DUMMYFUNCTION("""COMPUTED_VALUE"""),"Done")</f>
        <v>Done</v>
      </c>
      <c r="H1270" s="88">
        <f>IFERROR(__xludf.DUMMYFUNCTION("""COMPUTED_VALUE"""),0.0)</f>
        <v>0</v>
      </c>
      <c r="I1270" s="90" t="str">
        <f>IFERROR(__xludf.DUMMYFUNCTION("""COMPUTED_VALUE"""),"EMP0042 HULESHWAR KUMAR SAHU")</f>
        <v>EMP0042 HULESHWAR KUMAR SAHU</v>
      </c>
      <c r="J1270" s="91">
        <f t="shared" si="1"/>
        <v>-0.8109471296</v>
      </c>
    </row>
    <row r="1271">
      <c r="B1271" s="76" t="str">
        <f>IFERROR(__xludf.DUMMYFUNCTION("""COMPUTED_VALUE"""),"Debuging the error (Jasper end as well as Query end) and discuss with RM about logic ")</f>
        <v>Debuging the error (Jasper end as well as Query end) and discuss with RM about logic </v>
      </c>
      <c r="C1271" s="82">
        <f>IFERROR(__xludf.DUMMYFUNCTION("""COMPUTED_VALUE"""),5233.0)</f>
        <v>5233</v>
      </c>
      <c r="D1271" s="76" t="str">
        <f>IFERROR(__xludf.DUMMYFUNCTION("""COMPUTED_VALUE"""),"GRADE CARD AGRICULTURE")</f>
        <v>GRADE CARD AGRICULTURE</v>
      </c>
      <c r="E1271" s="84">
        <f>IFERROR(__xludf.DUMMYFUNCTION("""COMPUTED_VALUE"""),46177.56527777778)</f>
        <v>46177.56528</v>
      </c>
      <c r="F1271" s="86">
        <f>IFERROR(__xludf.DUMMYFUNCTION("""COMPUTED_VALUE"""),46176.74671172454)</f>
        <v>46176.74671</v>
      </c>
      <c r="G1271" s="86" t="str">
        <f>IFERROR(__xludf.DUMMYFUNCTION("""COMPUTED_VALUE"""),"Done")</f>
        <v>Done</v>
      </c>
      <c r="H1271" s="88">
        <f>IFERROR(__xludf.DUMMYFUNCTION("""COMPUTED_VALUE"""),0.0)</f>
        <v>0</v>
      </c>
      <c r="I1271" s="90" t="str">
        <f>IFERROR(__xludf.DUMMYFUNCTION("""COMPUTED_VALUE"""),"EMP0237 Swarnendu Chakraborty")</f>
        <v>EMP0237 Swarnendu Chakraborty</v>
      </c>
      <c r="J1271" s="91">
        <f t="shared" si="1"/>
        <v>-0.8185660532</v>
      </c>
    </row>
    <row r="1272">
      <c r="B1272" s="76" t="str">
        <f>IFERROR(__xludf.DUMMYFUNCTION("""COMPUTED_VALUE"""),"Debuging the error (Jasper end as well as Query end) and discuss with RM about logic ")</f>
        <v>Debuging the error (Jasper end as well as Query end) and discuss with RM about logic </v>
      </c>
      <c r="C1272" s="82">
        <f>IFERROR(__xludf.DUMMYFUNCTION("""COMPUTED_VALUE"""),5234.0)</f>
        <v>5234</v>
      </c>
      <c r="D1272" s="76" t="str">
        <f>IFERROR(__xludf.DUMMYFUNCTION("""COMPUTED_VALUE"""),"Continuous Assesment Marks (PG Section)")</f>
        <v>Continuous Assesment Marks (PG Section)</v>
      </c>
      <c r="E1272" s="84">
        <f>IFERROR(__xludf.DUMMYFUNCTION("""COMPUTED_VALUE"""),46178.52847222222)</f>
        <v>46178.52847</v>
      </c>
      <c r="F1272" s="86">
        <f>IFERROR(__xludf.DUMMYFUNCTION("""COMPUTED_VALUE"""),46177.720631909724)</f>
        <v>46177.72063</v>
      </c>
      <c r="G1272" s="86" t="str">
        <f>IFERROR(__xludf.DUMMYFUNCTION("""COMPUTED_VALUE"""),"Done")</f>
        <v>Done</v>
      </c>
      <c r="H1272" s="88">
        <f>IFERROR(__xludf.DUMMYFUNCTION("""COMPUTED_VALUE"""),0.0)</f>
        <v>0</v>
      </c>
      <c r="I1272" s="90" t="str">
        <f>IFERROR(__xludf.DUMMYFUNCTION("""COMPUTED_VALUE"""),"EMP0021 Tamanna Dewangan")</f>
        <v>EMP0021 Tamanna Dewangan</v>
      </c>
      <c r="J1272" s="91">
        <f t="shared" si="1"/>
        <v>-0.8078403125</v>
      </c>
    </row>
    <row r="1273">
      <c r="B1273" s="76" t="str">
        <f>IFERROR(__xludf.DUMMYFUNCTION("""COMPUTED_VALUE"""),"Debuging the error (Jasper end as well as Query end) and discuss with RM about logic ")</f>
        <v>Debuging the error (Jasper end as well as Query end) and discuss with RM about logic </v>
      </c>
      <c r="C1273" s="82">
        <f>IFERROR(__xludf.DUMMYFUNCTION("""COMPUTED_VALUE"""),5235.0)</f>
        <v>5235</v>
      </c>
      <c r="D1273" s="76" t="str">
        <f>IFERROR(__xludf.DUMMYFUNCTION("""COMPUTED_VALUE"""),"Multiple Report ")</f>
        <v>Multiple Report </v>
      </c>
      <c r="E1273" s="84">
        <f>IFERROR(__xludf.DUMMYFUNCTION("""COMPUTED_VALUE"""),46178.752177013885)</f>
        <v>46178.75218</v>
      </c>
      <c r="F1273" s="86">
        <f>IFERROR(__xludf.DUMMYFUNCTION("""COMPUTED_VALUE"""),46178.609467152775)</f>
        <v>46178.60947</v>
      </c>
      <c r="G1273" s="86" t="str">
        <f>IFERROR(__xludf.DUMMYFUNCTION("""COMPUTED_VALUE"""),"Done")</f>
        <v>Done</v>
      </c>
      <c r="H1273" s="88">
        <f>IFERROR(__xludf.DUMMYFUNCTION("""COMPUTED_VALUE"""),0.0)</f>
        <v>0</v>
      </c>
      <c r="I1273" s="90" t="str">
        <f>IFERROR(__xludf.DUMMYFUNCTION("""COMPUTED_VALUE"""),"EMP0042 HULESHWAR KUMAR SAHU")</f>
        <v>EMP0042 HULESHWAR KUMAR SAHU</v>
      </c>
      <c r="J1273" s="91">
        <f t="shared" si="1"/>
        <v>-0.1427098611</v>
      </c>
    </row>
    <row r="1274">
      <c r="B1274" s="76" t="str">
        <f>IFERROR(__xludf.DUMMYFUNCTION("""COMPUTED_VALUE"""),"Debuging the error (Jasper end as well as Query end) and discuss with RM about logic ")</f>
        <v>Debuging the error (Jasper end as well as Query end) and discuss with RM about logic </v>
      </c>
      <c r="C1274" s="82">
        <f>IFERROR(__xludf.DUMMYFUNCTION("""COMPUTED_VALUE"""),5236.0)</f>
        <v>5236</v>
      </c>
      <c r="D1274" s="76" t="str">
        <f>IFERROR(__xludf.DUMMYFUNCTION("""COMPUTED_VALUE"""),"DESPATCH CHALLAN")</f>
        <v>DESPATCH CHALLAN</v>
      </c>
      <c r="E1274" s="84">
        <f>IFERROR(__xludf.DUMMYFUNCTION("""COMPUTED_VALUE"""),46179.535416666666)</f>
        <v>46179.53542</v>
      </c>
      <c r="F1274" s="86">
        <f>IFERROR(__xludf.DUMMYFUNCTION("""COMPUTED_VALUE"""),46178.721554027776)</f>
        <v>46178.72155</v>
      </c>
      <c r="G1274" s="86" t="str">
        <f>IFERROR(__xludf.DUMMYFUNCTION("""COMPUTED_VALUE"""),"Done")</f>
        <v>Done</v>
      </c>
      <c r="H1274" s="88">
        <f>IFERROR(__xludf.DUMMYFUNCTION("""COMPUTED_VALUE"""),0.0)</f>
        <v>0</v>
      </c>
      <c r="I1274" s="90" t="str">
        <f>IFERROR(__xludf.DUMMYFUNCTION("""COMPUTED_VALUE"""),"EMP0021 Tamanna Dewangan")</f>
        <v>EMP0021 Tamanna Dewangan</v>
      </c>
      <c r="J1274" s="91">
        <f t="shared" si="1"/>
        <v>-0.8138626389</v>
      </c>
    </row>
    <row r="1275">
      <c r="B1275" s="76" t="str">
        <f>IFERROR(__xludf.DUMMYFUNCTION("""COMPUTED_VALUE"""),"Debuging the error (Jasper end as well as Query end) and discuss with RM about logic ")</f>
        <v>Debuging the error (Jasper end as well as Query end) and discuss with RM about logic </v>
      </c>
      <c r="C1275" s="82">
        <f>IFERROR(__xludf.DUMMYFUNCTION("""COMPUTED_VALUE"""),5237.0)</f>
        <v>5237</v>
      </c>
      <c r="D1275" s="76" t="str">
        <f>IFERROR(__xludf.DUMMYFUNCTION("""COMPUTED_VALUE"""),"Top sheet after attendance entry ")</f>
        <v>Top sheet after attendance entry </v>
      </c>
      <c r="E1275" s="84">
        <f>IFERROR(__xludf.DUMMYFUNCTION("""COMPUTED_VALUE"""),46179.538888888885)</f>
        <v>46179.53889</v>
      </c>
      <c r="F1275" s="86">
        <f>IFERROR(__xludf.DUMMYFUNCTION("""COMPUTED_VALUE"""),46178.72157152777)</f>
        <v>46178.72157</v>
      </c>
      <c r="G1275" s="86" t="str">
        <f>IFERROR(__xludf.DUMMYFUNCTION("""COMPUTED_VALUE"""),"Done")</f>
        <v>Done</v>
      </c>
      <c r="H1275" s="88">
        <f>IFERROR(__xludf.DUMMYFUNCTION("""COMPUTED_VALUE"""),0.0)</f>
        <v>0</v>
      </c>
      <c r="I1275" s="90" t="str">
        <f>IFERROR(__xludf.DUMMYFUNCTION("""COMPUTED_VALUE"""),"EMP5009 Rup Kumar Mandal")</f>
        <v>EMP5009 Rup Kumar Mandal</v>
      </c>
      <c r="J1275" s="91">
        <f t="shared" si="1"/>
        <v>-0.8173173611</v>
      </c>
    </row>
    <row r="1276">
      <c r="B1276" s="76" t="str">
        <f>IFERROR(__xludf.DUMMYFUNCTION("""COMPUTED_VALUE"""),"Debuging the error (Jasper end as well as Query end) and discuss with RM about logic ")</f>
        <v>Debuging the error (Jasper end as well as Query end) and discuss with RM about logic </v>
      </c>
      <c r="C1276" s="82">
        <f>IFERROR(__xludf.DUMMYFUNCTION("""COMPUTED_VALUE"""),5238.0)</f>
        <v>5238</v>
      </c>
      <c r="D1276" s="76" t="str">
        <f>IFERROR(__xludf.DUMMYFUNCTION("""COMPUTED_VALUE"""),"TR")</f>
        <v>TR</v>
      </c>
      <c r="E1276" s="84">
        <f>IFERROR(__xludf.DUMMYFUNCTION("""COMPUTED_VALUE"""),46181.5375)</f>
        <v>46181.5375</v>
      </c>
      <c r="F1276" s="86">
        <f>IFERROR(__xludf.DUMMYFUNCTION("""COMPUTED_VALUE"""),46179.68803859954)</f>
        <v>46179.68804</v>
      </c>
      <c r="G1276" s="86" t="str">
        <f>IFERROR(__xludf.DUMMYFUNCTION("""COMPUTED_VALUE"""),"Done")</f>
        <v>Done</v>
      </c>
      <c r="H1276" s="88">
        <f>IFERROR(__xludf.DUMMYFUNCTION("""COMPUTED_VALUE"""),0.0)</f>
        <v>0</v>
      </c>
      <c r="I1276" s="90" t="str">
        <f>IFERROR(__xludf.DUMMYFUNCTION("""COMPUTED_VALUE"""),"EMP5009 Rup Kumar Mandal")</f>
        <v>EMP5009 Rup Kumar Mandal</v>
      </c>
      <c r="J1276" s="91">
        <f t="shared" si="1"/>
        <v>-1.8494614</v>
      </c>
    </row>
    <row r="1277">
      <c r="B1277" s="76" t="str">
        <f>IFERROR(__xludf.DUMMYFUNCTION("""COMPUTED_VALUE"""),"Debuging the error (Jasper end as well as Query end) and discuss with RM about logic ")</f>
        <v>Debuging the error (Jasper end as well as Query end) and discuss with RM about logic </v>
      </c>
      <c r="C1277" s="82">
        <f>IFERROR(__xludf.DUMMYFUNCTION("""COMPUTED_VALUE"""),5239.0)</f>
        <v>5239</v>
      </c>
      <c r="D1277" s="76" t="str">
        <f>IFERROR(__xludf.DUMMYFUNCTION("""COMPUTED_VALUE"""),"TR NEW AGRICULTURE AND ALL")</f>
        <v>TR NEW AGRICULTURE AND ALL</v>
      </c>
      <c r="E1277" s="84">
        <f>IFERROR(__xludf.DUMMYFUNCTION("""COMPUTED_VALUE"""),46182.61458333333)</f>
        <v>46182.61458</v>
      </c>
      <c r="F1277" s="86">
        <f>IFERROR(__xludf.DUMMYFUNCTION("""COMPUTED_VALUE"""),46182.45258262731)</f>
        <v>46182.45258</v>
      </c>
      <c r="G1277" s="86" t="str">
        <f>IFERROR(__xludf.DUMMYFUNCTION("""COMPUTED_VALUE"""),"Done")</f>
        <v>Done</v>
      </c>
      <c r="H1277" s="88">
        <f>IFERROR(__xludf.DUMMYFUNCTION("""COMPUTED_VALUE"""),0.0)</f>
        <v>0</v>
      </c>
      <c r="I1277" s="90" t="str">
        <f>IFERROR(__xludf.DUMMYFUNCTION("""COMPUTED_VALUE"""),"EMP0042 HULESHWAR KUMAR SAHU")</f>
        <v>EMP0042 HULESHWAR KUMAR SAHU</v>
      </c>
      <c r="J1277" s="91">
        <f t="shared" si="1"/>
        <v>-0.162000706</v>
      </c>
    </row>
    <row r="1278">
      <c r="B1278" s="76" t="str">
        <f>IFERROR(__xludf.DUMMYFUNCTION("""COMPUTED_VALUE"""),"Debuging the error (Jasper end as well as Query end) and discuss with RM about logic ")</f>
        <v>Debuging the error (Jasper end as well as Query end) and discuss with RM about logic </v>
      </c>
      <c r="C1278" s="82">
        <f>IFERROR(__xludf.DUMMYFUNCTION("""COMPUTED_VALUE"""),5240.0)</f>
        <v>5240</v>
      </c>
      <c r="D1278" s="76" t="str">
        <f>IFERROR(__xludf.DUMMYFUNCTION("""COMPUTED_VALUE"""),"TR REPORT")</f>
        <v>TR REPORT</v>
      </c>
      <c r="E1278" s="84">
        <f>IFERROR(__xludf.DUMMYFUNCTION("""COMPUTED_VALUE"""),46182.600694444445)</f>
        <v>46182.60069</v>
      </c>
      <c r="F1278" s="86">
        <f>IFERROR(__xludf.DUMMYFUNCTION("""COMPUTED_VALUE"""),46182.45259525463)</f>
        <v>46182.4526</v>
      </c>
      <c r="G1278" s="86" t="str">
        <f>IFERROR(__xludf.DUMMYFUNCTION("""COMPUTED_VALUE"""),"Done")</f>
        <v>Done</v>
      </c>
      <c r="H1278" s="88">
        <f>IFERROR(__xludf.DUMMYFUNCTION("""COMPUTED_VALUE"""),0.0)</f>
        <v>0</v>
      </c>
      <c r="I1278" s="90" t="str">
        <f>IFERROR(__xludf.DUMMYFUNCTION("""COMPUTED_VALUE"""),"EMP0042 HULESHWAR KUMAR SAHU")</f>
        <v>EMP0042 HULESHWAR KUMAR SAHU</v>
      </c>
      <c r="J1278" s="91">
        <f t="shared" si="1"/>
        <v>-0.1480991898</v>
      </c>
    </row>
    <row r="1279">
      <c r="B1279" s="76" t="str">
        <f>IFERROR(__xludf.DUMMYFUNCTION("""COMPUTED_VALUE"""),"Debuging the error (Jasper end as well as Query end) and discuss with RM about logic ")</f>
        <v>Debuging the error (Jasper end as well as Query end) and discuss with RM about logic </v>
      </c>
      <c r="C1279" s="82">
        <f>IFERROR(__xludf.DUMMYFUNCTION("""COMPUTED_VALUE"""),5241.0)</f>
        <v>5241</v>
      </c>
      <c r="D1279" s="76" t="str">
        <f>IFERROR(__xludf.DUMMYFUNCTION("""COMPUTED_VALUE"""),"5coltrsem8_bfa.")</f>
        <v>5coltrsem8_bfa.</v>
      </c>
      <c r="E1279" s="84">
        <f>IFERROR(__xludf.DUMMYFUNCTION("""COMPUTED_VALUE"""),46183.46875)</f>
        <v>46183.46875</v>
      </c>
      <c r="F1279" s="86">
        <f>IFERROR(__xludf.DUMMYFUNCTION("""COMPUTED_VALUE"""),46182.7182471875)</f>
        <v>46182.71825</v>
      </c>
      <c r="G1279" s="86" t="str">
        <f>IFERROR(__xludf.DUMMYFUNCTION("""COMPUTED_VALUE"""),"Done")</f>
        <v>Done</v>
      </c>
      <c r="H1279" s="88">
        <f>IFERROR(__xludf.DUMMYFUNCTION("""COMPUTED_VALUE"""),0.0)</f>
        <v>0</v>
      </c>
      <c r="I1279" s="90" t="str">
        <f>IFERROR(__xludf.DUMMYFUNCTION("""COMPUTED_VALUE"""),"EMP0021 Tamanna Dewangan")</f>
        <v>EMP0021 Tamanna Dewangan</v>
      </c>
      <c r="J1279" s="91">
        <f t="shared" si="1"/>
        <v>-0.7505028125</v>
      </c>
    </row>
    <row r="1280">
      <c r="B1280" s="76" t="str">
        <f>IFERROR(__xludf.DUMMYFUNCTION("""COMPUTED_VALUE"""),"Debuging the error (Jasper end as well as Query end) and discuss with RM about logic ")</f>
        <v>Debuging the error (Jasper end as well as Query end) and discuss with RM about logic </v>
      </c>
      <c r="C1280" s="82">
        <f>IFERROR(__xludf.DUMMYFUNCTION("""COMPUTED_VALUE"""),5242.0)</f>
        <v>5242</v>
      </c>
      <c r="D1280" s="76" t="str">
        <f>IFERROR(__xludf.DUMMYFUNCTION("""COMPUTED_VALUE"""),"ATTENDENCE SHEET , MEMO REPORT , ADMIT CARD , CENTER WISE SUBJECT WISE STUDENTS DETALIS")</f>
        <v>ATTENDENCE SHEET , MEMO REPORT , ADMIT CARD , CENTER WISE SUBJECT WISE STUDENTS DETALIS</v>
      </c>
      <c r="E1280" s="84">
        <f>IFERROR(__xludf.DUMMYFUNCTION("""COMPUTED_VALUE"""),46183.53263888889)</f>
        <v>46183.53264</v>
      </c>
      <c r="F1280" s="86">
        <f>IFERROR(__xludf.DUMMYFUNCTION("""COMPUTED_VALUE"""),46182.71827121528)</f>
        <v>46182.71827</v>
      </c>
      <c r="G1280" s="86" t="str">
        <f>IFERROR(__xludf.DUMMYFUNCTION("""COMPUTED_VALUE"""),"Done")</f>
        <v>Done</v>
      </c>
      <c r="H1280" s="88">
        <f>IFERROR(__xludf.DUMMYFUNCTION("""COMPUTED_VALUE"""),0.0)</f>
        <v>0</v>
      </c>
      <c r="I1280" s="90" t="str">
        <f>IFERROR(__xludf.DUMMYFUNCTION("""COMPUTED_VALUE"""),"EMP0021 Tamanna Dewangan")</f>
        <v>EMP0021 Tamanna Dewangan</v>
      </c>
      <c r="J1280" s="91">
        <f t="shared" si="1"/>
        <v>-0.8143676736</v>
      </c>
    </row>
    <row r="1281">
      <c r="B1281" s="76" t="str">
        <f>IFERROR(__xludf.DUMMYFUNCTION("""COMPUTED_VALUE"""),"Debuging the error (Jasper end as well as Query end) and discuss with RM about logic ")</f>
        <v>Debuging the error (Jasper end as well as Query end) and discuss with RM about logic </v>
      </c>
      <c r="C1281" s="82">
        <f>IFERROR(__xludf.DUMMYFUNCTION("""COMPUTED_VALUE"""),5243.0)</f>
        <v>5243</v>
      </c>
      <c r="D1281" s="76" t="str">
        <f>IFERROR(__xludf.DUMMYFUNCTION("""COMPUTED_VALUE"""),"GRADECARD10")</f>
        <v>GRADECARD10</v>
      </c>
      <c r="E1281" s="84">
        <f>IFERROR(__xludf.DUMMYFUNCTION("""COMPUTED_VALUE"""),46183.72877760417)</f>
        <v>46183.72878</v>
      </c>
      <c r="F1281" s="86">
        <f>IFERROR(__xludf.DUMMYFUNCTION("""COMPUTED_VALUE"""),46183.46543189815)</f>
        <v>46183.46543</v>
      </c>
      <c r="G1281" s="86" t="str">
        <f>IFERROR(__xludf.DUMMYFUNCTION("""COMPUTED_VALUE"""),"Done")</f>
        <v>Done</v>
      </c>
      <c r="H1281" s="88">
        <f>IFERROR(__xludf.DUMMYFUNCTION("""COMPUTED_VALUE"""),0.0)</f>
        <v>0</v>
      </c>
      <c r="I1281" s="90" t="str">
        <f>IFERROR(__xludf.DUMMYFUNCTION("""COMPUTED_VALUE"""),"EMP0021 Tamanna Dewangan")</f>
        <v>EMP0021 Tamanna Dewangan</v>
      </c>
      <c r="J1281" s="91">
        <f t="shared" si="1"/>
        <v>-0.263345706</v>
      </c>
    </row>
    <row r="1282">
      <c r="B1282" s="76" t="str">
        <f>IFERROR(__xludf.DUMMYFUNCTION("""COMPUTED_VALUE"""),"Debuging the error (Jasper end as well as Query end) and discuss with RM about logic ")</f>
        <v>Debuging the error (Jasper end as well as Query end) and discuss with RM about logic </v>
      </c>
      <c r="C1282" s="82">
        <f>IFERROR(__xludf.DUMMYFUNCTION("""COMPUTED_VALUE"""),5244.0)</f>
        <v>5244</v>
      </c>
      <c r="D1282" s="76" t="str">
        <f>IFERROR(__xludf.DUMMYFUNCTION("""COMPUTED_VALUE"""),"	TR (NURSING)")</f>
        <v>	TR (NURSING)</v>
      </c>
      <c r="E1282" s="84">
        <f>IFERROR(__xludf.DUMMYFUNCTION("""COMPUTED_VALUE"""),46183.78439010416)</f>
        <v>46183.78439</v>
      </c>
      <c r="F1282" s="86">
        <f>IFERROR(__xludf.DUMMYFUNCTION("""COMPUTED_VALUE"""),46184.50612569444)</f>
        <v>46184.50613</v>
      </c>
      <c r="G1282" s="86" t="str">
        <f>IFERROR(__xludf.DUMMYFUNCTION("""COMPUTED_VALUE"""),"Done")</f>
        <v>Done</v>
      </c>
      <c r="H1282" s="88">
        <f>IFERROR(__xludf.DUMMYFUNCTION("""COMPUTED_VALUE"""),0.7217355902782574)</f>
        <v>0.7217355903</v>
      </c>
      <c r="I1282" s="90" t="str">
        <f>IFERROR(__xludf.DUMMYFUNCTION("""COMPUTED_VALUE"""),"EMP0042 HULESHWAR KUMAR SAHU")</f>
        <v>EMP0042 HULESHWAR KUMAR SAHU</v>
      </c>
      <c r="J1282" s="91">
        <f t="shared" si="1"/>
        <v>0.7217355903</v>
      </c>
    </row>
    <row r="1283">
      <c r="B1283" s="76" t="str">
        <f>IFERROR(__xludf.DUMMYFUNCTION("""COMPUTED_VALUE"""),"Debuging the error (Jasper end as well as Query end) and discuss with RM about logic ")</f>
        <v>Debuging the error (Jasper end as well as Query end) and discuss with RM about logic </v>
      </c>
      <c r="C1283" s="82">
        <f>IFERROR(__xludf.DUMMYFUNCTION("""COMPUTED_VALUE"""),5245.0)</f>
        <v>5245</v>
      </c>
      <c r="D1283" s="76" t="str">
        <f>IFERROR(__xludf.DUMMYFUNCTION("""COMPUTED_VALUE"""),"Marksheet B.Sc Nursing")</f>
        <v>Marksheet B.Sc Nursing</v>
      </c>
      <c r="E1283" s="84">
        <f>IFERROR(__xludf.DUMMYFUNCTION("""COMPUTED_VALUE"""),46183.785435439815)</f>
        <v>46183.78544</v>
      </c>
      <c r="F1283" s="86">
        <f>IFERROR(__xludf.DUMMYFUNCTION("""COMPUTED_VALUE"""),46183.76110287037)</f>
        <v>46183.7611</v>
      </c>
      <c r="G1283" s="86" t="str">
        <f>IFERROR(__xludf.DUMMYFUNCTION("""COMPUTED_VALUE"""),"Done")</f>
        <v>Done</v>
      </c>
      <c r="H1283" s="88">
        <f>IFERROR(__xludf.DUMMYFUNCTION("""COMPUTED_VALUE"""),0.0)</f>
        <v>0</v>
      </c>
      <c r="I1283" s="90" t="str">
        <f>IFERROR(__xludf.DUMMYFUNCTION("""COMPUTED_VALUE"""),"EMP0042 HULESHWAR KUMAR SAHU")</f>
        <v>EMP0042 HULESHWAR KUMAR SAHU</v>
      </c>
      <c r="J1283" s="91">
        <f t="shared" si="1"/>
        <v>-0.02433256945</v>
      </c>
    </row>
    <row r="1284">
      <c r="B1284" s="76" t="str">
        <f>IFERROR(__xludf.DUMMYFUNCTION("""COMPUTED_VALUE"""),"Debuging the error (Jasper end as well as Query end) and discuss with RM about logic ")</f>
        <v>Debuging the error (Jasper end as well as Query end) and discuss with RM about logic </v>
      </c>
      <c r="C1284" s="82">
        <f>IFERROR(__xludf.DUMMYFUNCTION("""COMPUTED_VALUE"""),5246.0)</f>
        <v>5246</v>
      </c>
      <c r="D1284" s="76" t="str">
        <f>IFERROR(__xludf.DUMMYFUNCTION("""COMPUTED_VALUE"""),"Grade Carde B.Tech")</f>
        <v>Grade Carde B.Tech</v>
      </c>
      <c r="E1284" s="84">
        <f>IFERROR(__xludf.DUMMYFUNCTION("""COMPUTED_VALUE"""),46183.797396064816)</f>
        <v>46183.7974</v>
      </c>
      <c r="F1284" s="86">
        <f>IFERROR(__xludf.DUMMYFUNCTION("""COMPUTED_VALUE"""),46183.79784224537)</f>
        <v>46183.79784</v>
      </c>
      <c r="G1284" s="86" t="str">
        <f>IFERROR(__xludf.DUMMYFUNCTION("""COMPUTED_VALUE"""),"Done")</f>
        <v>Done</v>
      </c>
      <c r="H1284" s="88">
        <f>IFERROR(__xludf.DUMMYFUNCTION("""COMPUTED_VALUE"""),4.4618055650412486E-4)</f>
        <v>0.0004461805565</v>
      </c>
      <c r="I1284" s="90" t="str">
        <f>IFERROR(__xludf.DUMMYFUNCTION("""COMPUTED_VALUE"""),"EMP0042 HULESHWAR KUMAR SAHU")</f>
        <v>EMP0042 HULESHWAR KUMAR SAHU</v>
      </c>
      <c r="J1284" s="91">
        <f t="shared" si="1"/>
        <v>0.0004461805511</v>
      </c>
    </row>
    <row r="1285">
      <c r="B1285" s="76" t="str">
        <f>IFERROR(__xludf.DUMMYFUNCTION("""COMPUTED_VALUE"""),"Debuging the error (Jasper end as well as Query end) and discuss with RM about logic ")</f>
        <v>Debuging the error (Jasper end as well as Query end) and discuss with RM about logic </v>
      </c>
      <c r="C1285" s="82">
        <f>IFERROR(__xludf.DUMMYFUNCTION("""COMPUTED_VALUE"""),5247.0)</f>
        <v>5247</v>
      </c>
      <c r="D1285" s="76" t="str">
        <f>IFERROR(__xludf.DUMMYFUNCTION("""COMPUTED_VALUE"""),"attendance sheet ")</f>
        <v>attendance sheet </v>
      </c>
      <c r="E1285" s="84">
        <f>IFERROR(__xludf.DUMMYFUNCTION("""COMPUTED_VALUE"""),46184.44861111111)</f>
        <v>46184.44861</v>
      </c>
      <c r="F1285" s="86">
        <f>IFERROR(__xludf.DUMMYFUNCTION("""COMPUTED_VALUE"""),46183.79795480324)</f>
        <v>46183.79795</v>
      </c>
      <c r="G1285" s="86" t="str">
        <f>IFERROR(__xludf.DUMMYFUNCTION("""COMPUTED_VALUE"""),"Done")</f>
        <v>Done</v>
      </c>
      <c r="H1285" s="88">
        <f>IFERROR(__xludf.DUMMYFUNCTION("""COMPUTED_VALUE"""),0.0)</f>
        <v>0</v>
      </c>
      <c r="I1285" s="90" t="str">
        <f>IFERROR(__xludf.DUMMYFUNCTION("""COMPUTED_VALUE"""),"EMP0042 HULESHWAR KUMAR SAHU")</f>
        <v>EMP0042 HULESHWAR KUMAR SAHU</v>
      </c>
      <c r="J1285" s="91">
        <f t="shared" si="1"/>
        <v>-0.6506563079</v>
      </c>
    </row>
    <row r="1286">
      <c r="B1286" s="76" t="str">
        <f>IFERROR(__xludf.DUMMYFUNCTION("""COMPUTED_VALUE"""),"Debuging the error (Jasper end as well as Query end) and discuss with RM about logic ")</f>
        <v>Debuging the error (Jasper end as well as Query end) and discuss with RM about logic </v>
      </c>
      <c r="C1286" s="82">
        <f>IFERROR(__xludf.DUMMYFUNCTION("""COMPUTED_VALUE"""),5248.0)</f>
        <v>5248</v>
      </c>
      <c r="D1286" s="76" t="str">
        <f>IFERROR(__xludf.DUMMYFUNCTION("""COMPUTED_VALUE"""),"ADMIT CARD ")</f>
        <v>ADMIT CARD </v>
      </c>
      <c r="E1286" s="84">
        <f>IFERROR(__xludf.DUMMYFUNCTION("""COMPUTED_VALUE"""),46184.48541666666)</f>
        <v>46184.48542</v>
      </c>
      <c r="F1286" s="86">
        <f>IFERROR(__xludf.DUMMYFUNCTION("""COMPUTED_VALUE"""),46183.797974942136)</f>
        <v>46183.79797</v>
      </c>
      <c r="G1286" s="86" t="str">
        <f>IFERROR(__xludf.DUMMYFUNCTION("""COMPUTED_VALUE"""),"Done")</f>
        <v>Done</v>
      </c>
      <c r="H1286" s="88">
        <f>IFERROR(__xludf.DUMMYFUNCTION("""COMPUTED_VALUE"""),0.0)</f>
        <v>0</v>
      </c>
      <c r="I1286" s="90" t="str">
        <f>IFERROR(__xludf.DUMMYFUNCTION("""COMPUTED_VALUE"""),"EMP5009 Rup Kumar Mandal")</f>
        <v>EMP5009 Rup Kumar Mandal</v>
      </c>
      <c r="J1286" s="91">
        <f t="shared" si="1"/>
        <v>-0.6874417245</v>
      </c>
    </row>
    <row r="1287">
      <c r="B1287" s="76" t="str">
        <f>IFERROR(__xludf.DUMMYFUNCTION("""COMPUTED_VALUE"""),"Debuging the error (Jasper end as well as Query end) and discuss with RM about logic ")</f>
        <v>Debuging the error (Jasper end as well as Query end) and discuss with RM about logic </v>
      </c>
      <c r="C1287" s="82">
        <f>IFERROR(__xludf.DUMMYFUNCTION("""COMPUTED_VALUE"""),5249.0)</f>
        <v>5249</v>
      </c>
      <c r="D1287" s="76" t="str">
        <f>IFERROR(__xludf.DUMMYFUNCTION("""COMPUTED_VALUE"""),"SHASTRI RESULT SHEET")</f>
        <v>SHASTRI RESULT SHEET</v>
      </c>
      <c r="E1287" s="84">
        <f>IFERROR(__xludf.DUMMYFUNCTION("""COMPUTED_VALUE"""),46186.46527777778)</f>
        <v>46186.46528</v>
      </c>
      <c r="F1287" s="86">
        <f>IFERROR(__xludf.DUMMYFUNCTION("""COMPUTED_VALUE"""),46185.72239949074)</f>
        <v>46185.7224</v>
      </c>
      <c r="G1287" s="86" t="str">
        <f>IFERROR(__xludf.DUMMYFUNCTION("""COMPUTED_VALUE"""),"Done")</f>
        <v>Done</v>
      </c>
      <c r="H1287" s="88">
        <f>IFERROR(__xludf.DUMMYFUNCTION("""COMPUTED_VALUE"""),0.0)</f>
        <v>0</v>
      </c>
      <c r="I1287" s="90" t="str">
        <f>IFERROR(__xludf.DUMMYFUNCTION("""COMPUTED_VALUE"""),"EMP0042 HULESHWAR KUMAR SAHU")</f>
        <v>EMP0042 HULESHWAR KUMAR SAHU</v>
      </c>
      <c r="J1287" s="91">
        <f t="shared" si="1"/>
        <v>-0.742878287</v>
      </c>
    </row>
    <row r="1288">
      <c r="B1288" s="76" t="str">
        <f>IFERROR(__xludf.DUMMYFUNCTION("""COMPUTED_VALUE"""),"Debuging the error (Jasper end as well as Query end) and discuss with RM about logic ")</f>
        <v>Debuging the error (Jasper end as well as Query end) and discuss with RM about logic </v>
      </c>
      <c r="C1288" s="82">
        <f>IFERROR(__xludf.DUMMYFUNCTION("""COMPUTED_VALUE"""),5250.0)</f>
        <v>5250</v>
      </c>
      <c r="D1288" s="76" t="str">
        <f>IFERROR(__xludf.DUMMYFUNCTION("""COMPUTED_VALUE"""),"SHASTRI TR")</f>
        <v>SHASTRI TR</v>
      </c>
      <c r="E1288" s="84">
        <f>IFERROR(__xludf.DUMMYFUNCTION("""COMPUTED_VALUE"""),46186.46597222222)</f>
        <v>46186.46597</v>
      </c>
      <c r="F1288" s="86">
        <f>IFERROR(__xludf.DUMMYFUNCTION("""COMPUTED_VALUE"""),46185.842667847224)</f>
        <v>46185.84267</v>
      </c>
      <c r="G1288" s="86" t="str">
        <f>IFERROR(__xludf.DUMMYFUNCTION("""COMPUTED_VALUE"""),"Done")</f>
        <v>Done</v>
      </c>
      <c r="H1288" s="88">
        <f>IFERROR(__xludf.DUMMYFUNCTION("""COMPUTED_VALUE"""),0.0)</f>
        <v>0</v>
      </c>
      <c r="I1288" s="90" t="str">
        <f>IFERROR(__xludf.DUMMYFUNCTION("""COMPUTED_VALUE"""),"EMP0042 HULESHWAR KUMAR SAHU")</f>
        <v>EMP0042 HULESHWAR KUMAR SAHU</v>
      </c>
      <c r="J1288" s="91">
        <f t="shared" si="1"/>
        <v>-0.623304375</v>
      </c>
    </row>
    <row r="1289">
      <c r="B1289" s="76" t="str">
        <f>IFERROR(__xludf.DUMMYFUNCTION("""COMPUTED_VALUE"""),"Debuging the error (Jasper end as well as Query end) and discuss with RM about logic ")</f>
        <v>Debuging the error (Jasper end as well as Query end) and discuss with RM about logic </v>
      </c>
      <c r="C1289" s="82">
        <f>IFERROR(__xludf.DUMMYFUNCTION("""COMPUTED_VALUE"""),5251.0)</f>
        <v>5251</v>
      </c>
      <c r="D1289" s="76" t="str">
        <f>IFERROR(__xludf.DUMMYFUNCTION("""COMPUTED_VALUE"""),"REGISTRATION FORM")</f>
        <v>REGISTRATION FORM</v>
      </c>
      <c r="E1289" s="84">
        <f>IFERROR(__xludf.DUMMYFUNCTION("""COMPUTED_VALUE"""),46186.566666666666)</f>
        <v>46186.56667</v>
      </c>
      <c r="F1289" s="86">
        <f>IFERROR(__xludf.DUMMYFUNCTION("""COMPUTED_VALUE"""),46185.72240613426)</f>
        <v>46185.72241</v>
      </c>
      <c r="G1289" s="86" t="str">
        <f>IFERROR(__xludf.DUMMYFUNCTION("""COMPUTED_VALUE"""),"Done")</f>
        <v>Done</v>
      </c>
      <c r="H1289" s="88">
        <f>IFERROR(__xludf.DUMMYFUNCTION("""COMPUTED_VALUE"""),0.0)</f>
        <v>0</v>
      </c>
      <c r="I1289" s="90" t="str">
        <f>IFERROR(__xludf.DUMMYFUNCTION("""COMPUTED_VALUE"""),"EMP0042 HULESHWAR KUMAR SAHU")</f>
        <v>EMP0042 HULESHWAR KUMAR SAHU</v>
      </c>
      <c r="J1289" s="91">
        <f t="shared" si="1"/>
        <v>-0.8442605324</v>
      </c>
    </row>
    <row r="1290">
      <c r="B1290" s="76" t="str">
        <f>IFERROR(__xludf.DUMMYFUNCTION("""COMPUTED_VALUE"""),"Debuging the error (Jasper end as well as Query end) and discuss with RM about logic ")</f>
        <v>Debuging the error (Jasper end as well as Query end) and discuss with RM about logic </v>
      </c>
      <c r="C1290" s="82">
        <f>IFERROR(__xludf.DUMMYFUNCTION("""COMPUTED_VALUE"""),5252.0)</f>
        <v>5252</v>
      </c>
      <c r="D1290" s="76" t="str">
        <f>IFERROR(__xludf.DUMMYFUNCTION("""COMPUTED_VALUE"""),"Template NEP")</f>
        <v>Template NEP</v>
      </c>
      <c r="E1290" s="84">
        <f>IFERROR(__xludf.DUMMYFUNCTION("""COMPUTED_VALUE"""),46186.78004601852)</f>
        <v>46186.78005</v>
      </c>
      <c r="F1290" s="86">
        <f>IFERROR(__xludf.DUMMYFUNCTION("""COMPUTED_VALUE"""),46186.51342091435)</f>
        <v>46186.51342</v>
      </c>
      <c r="G1290" s="86" t="str">
        <f>IFERROR(__xludf.DUMMYFUNCTION("""COMPUTED_VALUE"""),"Done")</f>
        <v>Done</v>
      </c>
      <c r="H1290" s="88">
        <f>IFERROR(__xludf.DUMMYFUNCTION("""COMPUTED_VALUE"""),0.0)</f>
        <v>0</v>
      </c>
      <c r="I1290" s="90" t="str">
        <f>IFERROR(__xludf.DUMMYFUNCTION("""COMPUTED_VALUE"""),"EMP5009 Rup Kumar Mandal")</f>
        <v>EMP5009 Rup Kumar Mandal</v>
      </c>
      <c r="J1290" s="91">
        <f t="shared" si="1"/>
        <v>-0.2666251042</v>
      </c>
    </row>
    <row r="1291">
      <c r="B1291" s="76" t="str">
        <f>IFERROR(__xludf.DUMMYFUNCTION("""COMPUTED_VALUE"""),"Debuging the error (Jasper end as well as Query end) and discuss with RM about logic ")</f>
        <v>Debuging the error (Jasper end as well as Query end) and discuss with RM about logic </v>
      </c>
      <c r="C1291" s="82">
        <f>IFERROR(__xludf.DUMMYFUNCTION("""COMPUTED_VALUE"""),5253.0)</f>
        <v>5253</v>
      </c>
      <c r="D1291" s="76" t="str">
        <f>IFERROR(__xludf.DUMMYFUNCTION("""COMPUTED_VALUE"""),"Multiple Report ")</f>
        <v>Multiple Report </v>
      </c>
      <c r="E1291" s="84">
        <f>IFERROR(__xludf.DUMMYFUNCTION("""COMPUTED_VALUE"""),46188.43888888889)</f>
        <v>46188.43889</v>
      </c>
      <c r="F1291" s="86">
        <f>IFERROR(__xludf.DUMMYFUNCTION("""COMPUTED_VALUE"""),46187.504899942134)</f>
        <v>46187.5049</v>
      </c>
      <c r="G1291" s="86" t="str">
        <f>IFERROR(__xludf.DUMMYFUNCTION("""COMPUTED_VALUE"""),"Done")</f>
        <v>Done</v>
      </c>
      <c r="H1291" s="88">
        <f>IFERROR(__xludf.DUMMYFUNCTION("""COMPUTED_VALUE"""),0.0)</f>
        <v>0</v>
      </c>
      <c r="I1291" s="90" t="str">
        <f>IFERROR(__xludf.DUMMYFUNCTION("""COMPUTED_VALUE"""),"EMP0237 Swarnendu Chakraborty")</f>
        <v>EMP0237 Swarnendu Chakraborty</v>
      </c>
      <c r="J1291" s="91">
        <f t="shared" si="1"/>
        <v>-0.9339889468</v>
      </c>
    </row>
    <row r="1292">
      <c r="B1292" s="76" t="str">
        <f>IFERROR(__xludf.DUMMYFUNCTION("""COMPUTED_VALUE"""),"Debuging the error (Jasper end as well as Query end) and discuss with RM about logic ")</f>
        <v>Debuging the error (Jasper end as well as Query end) and discuss with RM about logic </v>
      </c>
      <c r="C1292" s="82">
        <f>IFERROR(__xludf.DUMMYFUNCTION("""COMPUTED_VALUE"""),5254.0)</f>
        <v>5254</v>
      </c>
      <c r="D1292" s="76" t="str">
        <f>IFERROR(__xludf.DUMMYFUNCTION("""COMPUTED_VALUE"""),"Multiple Report ")</f>
        <v>Multiple Report </v>
      </c>
      <c r="E1292" s="84">
        <f>IFERROR(__xludf.DUMMYFUNCTION("""COMPUTED_VALUE"""),46188.44236111111)</f>
        <v>46188.44236</v>
      </c>
      <c r="F1292" s="86">
        <f>IFERROR(__xludf.DUMMYFUNCTION("""COMPUTED_VALUE"""),46187.50540932871)</f>
        <v>46187.50541</v>
      </c>
      <c r="G1292" s="86" t="str">
        <f>IFERROR(__xludf.DUMMYFUNCTION("""COMPUTED_VALUE"""),"Done")</f>
        <v>Done</v>
      </c>
      <c r="H1292" s="88">
        <f>IFERROR(__xludf.DUMMYFUNCTION("""COMPUTED_VALUE"""),0.0)</f>
        <v>0</v>
      </c>
      <c r="I1292" s="90" t="str">
        <f>IFERROR(__xludf.DUMMYFUNCTION("""COMPUTED_VALUE"""),"EMP0237 Swarnendu Chakraborty")</f>
        <v>EMP0237 Swarnendu Chakraborty</v>
      </c>
      <c r="J1292" s="91">
        <f t="shared" si="1"/>
        <v>-0.9369517824</v>
      </c>
    </row>
    <row r="1293">
      <c r="B1293" s="76" t="str">
        <f>IFERROR(__xludf.DUMMYFUNCTION("""COMPUTED_VALUE"""),"Debuging the error (Jasper end as well as Query end) and discuss with RM about logic ")</f>
        <v>Debuging the error (Jasper end as well as Query end) and discuss with RM about logic </v>
      </c>
      <c r="C1293" s="82">
        <f>IFERROR(__xludf.DUMMYFUNCTION("""COMPUTED_VALUE"""),5255.0)</f>
        <v>5255</v>
      </c>
      <c r="D1293" s="76" t="str">
        <f>IFERROR(__xludf.DUMMYFUNCTION("""COMPUTED_VALUE"""),"Multiple Report ")</f>
        <v>Multiple Report </v>
      </c>
      <c r="E1293" s="84">
        <f>IFERROR(__xludf.DUMMYFUNCTION("""COMPUTED_VALUE"""),46188.445138888885)</f>
        <v>46188.44514</v>
      </c>
      <c r="F1293" s="86">
        <f>IFERROR(__xludf.DUMMYFUNCTION("""COMPUTED_VALUE"""),46187.50526864584)</f>
        <v>46187.50527</v>
      </c>
      <c r="G1293" s="86" t="str">
        <f>IFERROR(__xludf.DUMMYFUNCTION("""COMPUTED_VALUE"""),"Done")</f>
        <v>Done</v>
      </c>
      <c r="H1293" s="88">
        <f>IFERROR(__xludf.DUMMYFUNCTION("""COMPUTED_VALUE"""),0.0)</f>
        <v>0</v>
      </c>
      <c r="I1293" s="90" t="str">
        <f>IFERROR(__xludf.DUMMYFUNCTION("""COMPUTED_VALUE"""),"EMP5009 Rup Kumar Mandal")</f>
        <v>EMP5009 Rup Kumar Mandal</v>
      </c>
      <c r="J1293" s="91">
        <f t="shared" si="1"/>
        <v>-0.939870243</v>
      </c>
    </row>
    <row r="1294">
      <c r="B1294" s="76" t="str">
        <f>IFERROR(__xludf.DUMMYFUNCTION("""COMPUTED_VALUE"""),"Debuging the error (Jasper end as well as Query end) and discuss with RM about logic ")</f>
        <v>Debuging the error (Jasper end as well as Query end) and discuss with RM about logic </v>
      </c>
      <c r="C1294" s="82">
        <f>IFERROR(__xludf.DUMMYFUNCTION("""COMPUTED_VALUE"""),5256.0)</f>
        <v>5256</v>
      </c>
      <c r="D1294" s="76" t="str">
        <f>IFERROR(__xludf.DUMMYFUNCTION("""COMPUTED_VALUE"""),"Multiple Report ")</f>
        <v>Multiple Report </v>
      </c>
      <c r="E1294" s="84">
        <f>IFERROR(__xludf.DUMMYFUNCTION("""COMPUTED_VALUE"""),46188.44791666667)</f>
        <v>46188.44792</v>
      </c>
      <c r="F1294" s="86">
        <f>IFERROR(__xludf.DUMMYFUNCTION("""COMPUTED_VALUE"""),46187.50528875)</f>
        <v>46187.50529</v>
      </c>
      <c r="G1294" s="86" t="str">
        <f>IFERROR(__xludf.DUMMYFUNCTION("""COMPUTED_VALUE"""),"Done")</f>
        <v>Done</v>
      </c>
      <c r="H1294" s="88">
        <f>IFERROR(__xludf.DUMMYFUNCTION("""COMPUTED_VALUE"""),0.0)</f>
        <v>0</v>
      </c>
      <c r="I1294" s="90" t="str">
        <f>IFERROR(__xludf.DUMMYFUNCTION("""COMPUTED_VALUE"""),"EMP5009 Rup Kumar Mandal")</f>
        <v>EMP5009 Rup Kumar Mandal</v>
      </c>
      <c r="J1294" s="91">
        <f t="shared" si="1"/>
        <v>-0.9426279167</v>
      </c>
    </row>
    <row r="1295">
      <c r="B1295" s="76" t="str">
        <f>IFERROR(__xludf.DUMMYFUNCTION("""COMPUTED_VALUE"""),"Debuging the error (Jasper end as well as Query end) and discuss with RM about logic ")</f>
        <v>Debuging the error (Jasper end as well as Query end) and discuss with RM about logic </v>
      </c>
      <c r="C1295" s="82">
        <f>IFERROR(__xludf.DUMMYFUNCTION("""COMPUTED_VALUE"""),5257.0)</f>
        <v>5257</v>
      </c>
      <c r="D1295" s="76" t="str">
        <f>IFERROR(__xludf.DUMMYFUNCTION("""COMPUTED_VALUE"""),"Multiple Report ")</f>
        <v>Multiple Report </v>
      </c>
      <c r="E1295" s="84">
        <f>IFERROR(__xludf.DUMMYFUNCTION("""COMPUTED_VALUE"""),46188.45208333334)</f>
        <v>46188.45208</v>
      </c>
      <c r="F1295" s="86">
        <f>IFERROR(__xludf.DUMMYFUNCTION("""COMPUTED_VALUE"""),46187.50531180556)</f>
        <v>46187.50531</v>
      </c>
      <c r="G1295" s="86" t="str">
        <f>IFERROR(__xludf.DUMMYFUNCTION("""COMPUTED_VALUE"""),"Done")</f>
        <v>Done</v>
      </c>
      <c r="H1295" s="88">
        <f>IFERROR(__xludf.DUMMYFUNCTION("""COMPUTED_VALUE"""),0.0)</f>
        <v>0</v>
      </c>
      <c r="I1295" s="90" t="str">
        <f>IFERROR(__xludf.DUMMYFUNCTION("""COMPUTED_VALUE"""),"EMP0237 Swarnendu Chakraborty")</f>
        <v>EMP0237 Swarnendu Chakraborty</v>
      </c>
      <c r="J1295" s="91">
        <f t="shared" si="1"/>
        <v>-0.9467715278</v>
      </c>
    </row>
    <row r="1296">
      <c r="B1296" s="76" t="str">
        <f>IFERROR(__xludf.DUMMYFUNCTION("""COMPUTED_VALUE"""),"Debuging the error (Jasper end as well as Query end) and discuss with RM about logic ")</f>
        <v>Debuging the error (Jasper end as well as Query end) and discuss with RM about logic </v>
      </c>
      <c r="C1296" s="82">
        <f>IFERROR(__xludf.DUMMYFUNCTION("""COMPUTED_VALUE"""),5258.0)</f>
        <v>5258</v>
      </c>
      <c r="D1296" s="76" t="str">
        <f>IFERROR(__xludf.DUMMYFUNCTION("""COMPUTED_VALUE"""),"Multiple Report ")</f>
        <v>Multiple Report </v>
      </c>
      <c r="E1296" s="84">
        <f>IFERROR(__xludf.DUMMYFUNCTION("""COMPUTED_VALUE"""),46188.455555555556)</f>
        <v>46188.45556</v>
      </c>
      <c r="F1296" s="86">
        <f>IFERROR(__xludf.DUMMYFUNCTION("""COMPUTED_VALUE"""),46187.50533554398)</f>
        <v>46187.50534</v>
      </c>
      <c r="G1296" s="86" t="str">
        <f>IFERROR(__xludf.DUMMYFUNCTION("""COMPUTED_VALUE"""),"Done")</f>
        <v>Done</v>
      </c>
      <c r="H1296" s="88">
        <f>IFERROR(__xludf.DUMMYFUNCTION("""COMPUTED_VALUE"""),0.0)</f>
        <v>0</v>
      </c>
      <c r="I1296" s="90" t="str">
        <f>IFERROR(__xludf.DUMMYFUNCTION("""COMPUTED_VALUE"""),"EMP0042 HULESHWAR KUMAR SAHU")</f>
        <v>EMP0042 HULESHWAR KUMAR SAHU</v>
      </c>
      <c r="J1296" s="91">
        <f t="shared" si="1"/>
        <v>-0.9502200116</v>
      </c>
    </row>
    <row r="1297">
      <c r="B1297" s="76" t="str">
        <f>IFERROR(__xludf.DUMMYFUNCTION("""COMPUTED_VALUE"""),"Debuging the error (Jasper end as well as Query end) and discuss with RM about logic ")</f>
        <v>Debuging the error (Jasper end as well as Query end) and discuss with RM about logic </v>
      </c>
      <c r="C1297" s="82">
        <f>IFERROR(__xludf.DUMMYFUNCTION("""COMPUTED_VALUE"""),5259.0)</f>
        <v>5259</v>
      </c>
      <c r="D1297" s="76" t="str">
        <f>IFERROR(__xludf.DUMMYFUNCTION("""COMPUTED_VALUE"""),"TR BCA Clg wise")</f>
        <v>TR BCA Clg wise</v>
      </c>
      <c r="E1297" s="84">
        <f>IFERROR(__xludf.DUMMYFUNCTION("""COMPUTED_VALUE"""),46188.41666666667)</f>
        <v>46188.41667</v>
      </c>
      <c r="F1297" s="86">
        <f>IFERROR(__xludf.DUMMYFUNCTION("""COMPUTED_VALUE"""),46187.50536618056)</f>
        <v>46187.50537</v>
      </c>
      <c r="G1297" s="86" t="str">
        <f>IFERROR(__xludf.DUMMYFUNCTION("""COMPUTED_VALUE"""),"Done")</f>
        <v>Done</v>
      </c>
      <c r="H1297" s="88">
        <f>IFERROR(__xludf.DUMMYFUNCTION("""COMPUTED_VALUE"""),0.0)</f>
        <v>0</v>
      </c>
      <c r="I1297" s="90" t="str">
        <f>IFERROR(__xludf.DUMMYFUNCTION("""COMPUTED_VALUE"""),"EMP0042 HULESHWAR KUMAR SAHU")</f>
        <v>EMP0042 HULESHWAR KUMAR SAHU</v>
      </c>
      <c r="J1297" s="91">
        <f t="shared" si="1"/>
        <v>-0.9113004861</v>
      </c>
    </row>
    <row r="1298">
      <c r="B1298" s="76" t="str">
        <f>IFERROR(__xludf.DUMMYFUNCTION("""COMPUTED_VALUE"""),"Debuging the error (Jasper end as well as Query end) and discuss with RM about logic ")</f>
        <v>Debuging the error (Jasper end as well as Query end) and discuss with RM about logic </v>
      </c>
      <c r="C1298" s="82">
        <f>IFERROR(__xludf.DUMMYFUNCTION("""COMPUTED_VALUE"""),5260.0)</f>
        <v>5260</v>
      </c>
      <c r="D1298" s="76" t="str">
        <f>IFERROR(__xludf.DUMMYFUNCTION("""COMPUTED_VALUE"""),"Attendance Sheet First Semester ( Sem - 1) GCKN-103 - S.K. Govt. College, Kanwali (Rewari) PG undefined RE-APPEAR_SE03")</f>
        <v>Attendance Sheet First Semester ( Sem - 1) GCKN-103 - S.K. Govt. College, Kanwali (Rewari) PG undefined RE-APPEAR_SE03</v>
      </c>
      <c r="E1298" s="84">
        <f>IFERROR(__xludf.DUMMYFUNCTION("""COMPUTED_VALUE"""),46188.670739340276)</f>
        <v>46188.67074</v>
      </c>
      <c r="F1298" s="86">
        <f>IFERROR(__xludf.DUMMYFUNCTION("""COMPUTED_VALUE"""),46188.462528715274)</f>
        <v>46188.46253</v>
      </c>
      <c r="G1298" s="86" t="str">
        <f>IFERROR(__xludf.DUMMYFUNCTION("""COMPUTED_VALUE"""),"Done")</f>
        <v>Done</v>
      </c>
      <c r="H1298" s="88">
        <f>IFERROR(__xludf.DUMMYFUNCTION("""COMPUTED_VALUE"""),0.0)</f>
        <v>0</v>
      </c>
      <c r="I1298" s="90" t="str">
        <f>IFERROR(__xludf.DUMMYFUNCTION("""COMPUTED_VALUE"""),"EMP0042 HULESHWAR KUMAR SAHU")</f>
        <v>EMP0042 HULESHWAR KUMAR SAHU</v>
      </c>
      <c r="J1298" s="91">
        <f t="shared" si="1"/>
        <v>-0.208210625</v>
      </c>
    </row>
    <row r="1299">
      <c r="B1299" s="76" t="str">
        <f>IFERROR(__xludf.DUMMYFUNCTION("""COMPUTED_VALUE"""),"Debuging the error (Jasper end as well as Query end) and discuss with RM about logic ")</f>
        <v>Debuging the error (Jasper end as well as Query end) and discuss with RM about logic </v>
      </c>
      <c r="C1299" s="82">
        <f>IFERROR(__xludf.DUMMYFUNCTION("""COMPUTED_VALUE"""),5261.0)</f>
        <v>5261</v>
      </c>
      <c r="D1299" s="76" t="str">
        <f>IFERROR(__xludf.DUMMYFUNCTION("""COMPUTED_VALUE"""),"Mark Foil for Teacher")</f>
        <v>Mark Foil for Teacher</v>
      </c>
      <c r="E1299" s="84">
        <f>IFERROR(__xludf.DUMMYFUNCTION("""COMPUTED_VALUE"""),46188.73652840278)</f>
        <v>46188.73653</v>
      </c>
      <c r="F1299" s="86">
        <f>IFERROR(__xludf.DUMMYFUNCTION("""COMPUTED_VALUE"""),46188.462528715274)</f>
        <v>46188.46253</v>
      </c>
      <c r="G1299" s="86" t="str">
        <f>IFERROR(__xludf.DUMMYFUNCTION("""COMPUTED_VALUE"""),"Done")</f>
        <v>Done</v>
      </c>
      <c r="H1299" s="88">
        <f>IFERROR(__xludf.DUMMYFUNCTION("""COMPUTED_VALUE"""),0.0)</f>
        <v>0</v>
      </c>
      <c r="I1299" s="90" t="str">
        <f>IFERROR(__xludf.DUMMYFUNCTION("""COMPUTED_VALUE"""),"EMP0042 HULESHWAR KUMAR SAHU")</f>
        <v>EMP0042 HULESHWAR KUMAR SAHU</v>
      </c>
      <c r="J1299" s="91">
        <f t="shared" si="1"/>
        <v>-0.2739996875</v>
      </c>
    </row>
    <row r="1300">
      <c r="B1300" s="76" t="str">
        <f>IFERROR(__xludf.DUMMYFUNCTION("""COMPUTED_VALUE"""),"Debuging the error (Jasper end as well as Query end) and discuss with RM about logic ")</f>
        <v>Debuging the error (Jasper end as well as Query end) and discuss with RM about logic </v>
      </c>
      <c r="C1300" s="82">
        <f>IFERROR(__xludf.DUMMYFUNCTION("""COMPUTED_VALUE"""),5262.0)</f>
        <v>5262</v>
      </c>
      <c r="D1300" s="76" t="str">
        <f>IFERROR(__xludf.DUMMYFUNCTION("""COMPUTED_VALUE"""),"Marksheet old")</f>
        <v>Marksheet old</v>
      </c>
      <c r="E1300" s="84">
        <f>IFERROR(__xludf.DUMMYFUNCTION("""COMPUTED_VALUE"""),46189.73413574074)</f>
        <v>46189.73414</v>
      </c>
      <c r="F1300" s="86">
        <f>IFERROR(__xludf.DUMMYFUNCTION("""COMPUTED_VALUE"""),46189.5259571412)</f>
        <v>46189.52596</v>
      </c>
      <c r="G1300" s="86" t="str">
        <f>IFERROR(__xludf.DUMMYFUNCTION("""COMPUTED_VALUE"""),"Done")</f>
        <v>Done</v>
      </c>
      <c r="H1300" s="88">
        <f>IFERROR(__xludf.DUMMYFUNCTION("""COMPUTED_VALUE"""),0.0)</f>
        <v>0</v>
      </c>
      <c r="I1300" s="90" t="str">
        <f>IFERROR(__xludf.DUMMYFUNCTION("""COMPUTED_VALUE"""),"EMP0237 Swarnendu Chakraborty")</f>
        <v>EMP0237 Swarnendu Chakraborty</v>
      </c>
      <c r="J1300" s="91">
        <f t="shared" si="1"/>
        <v>-0.2081785995</v>
      </c>
    </row>
    <row r="1301">
      <c r="B1301" s="76" t="str">
        <f>IFERROR(__xludf.DUMMYFUNCTION("""COMPUTED_VALUE"""),"Debuging the error (Jasper end as well as Query end) and discuss with RM about logic ")</f>
        <v>Debuging the error (Jasper end as well as Query end) and discuss with RM about logic </v>
      </c>
      <c r="C1301" s="82">
        <f>IFERROR(__xludf.DUMMYFUNCTION("""COMPUTED_VALUE"""),5263.0)</f>
        <v>5263</v>
      </c>
      <c r="D1301" s="76" t="str">
        <f>IFERROR(__xludf.DUMMYFUNCTION("""COMPUTED_VALUE"""),"marksheet new")</f>
        <v>marksheet new</v>
      </c>
      <c r="E1301" s="84">
        <f>IFERROR(__xludf.DUMMYFUNCTION("""COMPUTED_VALUE"""),46189.73492078704)</f>
        <v>46189.73492</v>
      </c>
      <c r="F1301" s="86">
        <f>IFERROR(__xludf.DUMMYFUNCTION("""COMPUTED_VALUE"""),46189.525982638894)</f>
        <v>46189.52598</v>
      </c>
      <c r="G1301" s="86" t="str">
        <f>IFERROR(__xludf.DUMMYFUNCTION("""COMPUTED_VALUE"""),"Done")</f>
        <v>Done</v>
      </c>
      <c r="H1301" s="88">
        <f>IFERROR(__xludf.DUMMYFUNCTION("""COMPUTED_VALUE"""),0.0)</f>
        <v>0</v>
      </c>
      <c r="I1301" s="90" t="str">
        <f>IFERROR(__xludf.DUMMYFUNCTION("""COMPUTED_VALUE"""),"EMP0237 Swarnendu Chakraborty")</f>
        <v>EMP0237 Swarnendu Chakraborty</v>
      </c>
      <c r="J1301" s="91">
        <f t="shared" si="1"/>
        <v>-0.2089381481</v>
      </c>
    </row>
    <row r="1302">
      <c r="B1302" s="76" t="str">
        <f>IFERROR(__xludf.DUMMYFUNCTION("""COMPUTED_VALUE"""),"Debuging the error (Jasper end as well as Query end) and discuss with RM about logic ")</f>
        <v>Debuging the error (Jasper end as well as Query end) and discuss with RM about logic </v>
      </c>
      <c r="C1302" s="82">
        <f>IFERROR(__xludf.DUMMYFUNCTION("""COMPUTED_VALUE"""),5264.0)</f>
        <v>5264</v>
      </c>
      <c r="D1302" s="76" t="str">
        <f>IFERROR(__xludf.DUMMYFUNCTION("""COMPUTED_VALUE"""),"Marksheet")</f>
        <v>Marksheet</v>
      </c>
      <c r="E1302" s="84">
        <f>IFERROR(__xludf.DUMMYFUNCTION("""COMPUTED_VALUE"""),46189.73682778935)</f>
        <v>46189.73683</v>
      </c>
      <c r="F1302" s="86">
        <f>IFERROR(__xludf.DUMMYFUNCTION("""COMPUTED_VALUE"""),46189.525992083334)</f>
        <v>46189.52599</v>
      </c>
      <c r="G1302" s="86" t="str">
        <f>IFERROR(__xludf.DUMMYFUNCTION("""COMPUTED_VALUE"""),"Done")</f>
        <v>Done</v>
      </c>
      <c r="H1302" s="88">
        <f>IFERROR(__xludf.DUMMYFUNCTION("""COMPUTED_VALUE"""),0.0)</f>
        <v>0</v>
      </c>
      <c r="I1302" s="90" t="str">
        <f>IFERROR(__xludf.DUMMYFUNCTION("""COMPUTED_VALUE"""),"EMP5009 Rup Kumar Mandal")</f>
        <v>EMP5009 Rup Kumar Mandal</v>
      </c>
      <c r="J1302" s="91">
        <f t="shared" si="1"/>
        <v>-0.210835706</v>
      </c>
    </row>
    <row r="1303">
      <c r="B1303" s="76" t="str">
        <f>IFERROR(__xludf.DUMMYFUNCTION("""COMPUTED_VALUE"""),"Debuging the error (Jasper end as well as Query end) and discuss with RM about logic ")</f>
        <v>Debuging the error (Jasper end as well as Query end) and discuss with RM about logic </v>
      </c>
      <c r="C1303" s="82">
        <f>IFERROR(__xludf.DUMMYFUNCTION("""COMPUTED_VALUE"""),5265.0)</f>
        <v>5265</v>
      </c>
      <c r="D1303" s="76" t="str">
        <f>IFERROR(__xludf.DUMMYFUNCTION("""COMPUTED_VALUE"""),"payment report")</f>
        <v>payment report</v>
      </c>
      <c r="E1303" s="84">
        <f>IFERROR(__xludf.DUMMYFUNCTION("""COMPUTED_VALUE"""),46189.73908946759)</f>
        <v>46189.73909</v>
      </c>
      <c r="F1303" s="86">
        <f>IFERROR(__xludf.DUMMYFUNCTION("""COMPUTED_VALUE"""),46189.526011562506)</f>
        <v>46189.52601</v>
      </c>
      <c r="G1303" s="86" t="str">
        <f>IFERROR(__xludf.DUMMYFUNCTION("""COMPUTED_VALUE"""),"Done")</f>
        <v>Done</v>
      </c>
      <c r="H1303" s="88">
        <f>IFERROR(__xludf.DUMMYFUNCTION("""COMPUTED_VALUE"""),0.0)</f>
        <v>0</v>
      </c>
      <c r="I1303" s="90" t="str">
        <f>IFERROR(__xludf.DUMMYFUNCTION("""COMPUTED_VALUE"""),"EMP5009 Rup Kumar Mandal")</f>
        <v>EMP5009 Rup Kumar Mandal</v>
      </c>
      <c r="J1303" s="91">
        <f t="shared" si="1"/>
        <v>-0.2130779051</v>
      </c>
    </row>
    <row r="1304">
      <c r="B1304" s="76" t="str">
        <f>IFERROR(__xludf.DUMMYFUNCTION("""COMPUTED_VALUE"""),"Debuging the error (Jasper end as well as Query end) and discuss with RM about logic ")</f>
        <v>Debuging the error (Jasper end as well as Query end) and discuss with RM about logic </v>
      </c>
      <c r="C1304" s="82">
        <f>IFERROR(__xludf.DUMMYFUNCTION("""COMPUTED_VALUE"""),5266.0)</f>
        <v>5266</v>
      </c>
      <c r="D1304" s="76" t="str">
        <f>IFERROR(__xludf.DUMMYFUNCTION("""COMPUTED_VALUE"""),"B.Pharm 4th Semester  Session - 2024-25 (S) TR correction.")</f>
        <v>B.Pharm 4th Semester  Session - 2024-25 (S) TR correction.</v>
      </c>
      <c r="E1304" s="84">
        <f>IFERROR(__xludf.DUMMYFUNCTION("""COMPUTED_VALUE"""),46190.48263888889)</f>
        <v>46190.48264</v>
      </c>
      <c r="F1304" s="86">
        <f>IFERROR(__xludf.DUMMYFUNCTION("""COMPUTED_VALUE"""),46189.631185763894)</f>
        <v>46189.63119</v>
      </c>
      <c r="G1304" s="86" t="str">
        <f>IFERROR(__xludf.DUMMYFUNCTION("""COMPUTED_VALUE"""),"Done")</f>
        <v>Done</v>
      </c>
      <c r="H1304" s="88">
        <f>IFERROR(__xludf.DUMMYFUNCTION("""COMPUTED_VALUE"""),0.0)</f>
        <v>0</v>
      </c>
      <c r="I1304" s="90" t="str">
        <f>IFERROR(__xludf.DUMMYFUNCTION("""COMPUTED_VALUE"""),"EMP5009 Rup Kumar Mandal")</f>
        <v>EMP5009 Rup Kumar Mandal</v>
      </c>
      <c r="J1304" s="91">
        <f t="shared" si="1"/>
        <v>-0.851453125</v>
      </c>
    </row>
    <row r="1305">
      <c r="B1305" s="76" t="str">
        <f>IFERROR(__xludf.DUMMYFUNCTION("""COMPUTED_VALUE"""),"Debuging the error (Jasper end as well as Query end) and discuss with RM about logic ")</f>
        <v>Debuging the error (Jasper end as well as Query end) and discuss with RM about logic </v>
      </c>
      <c r="C1305" s="82">
        <f>IFERROR(__xludf.DUMMYFUNCTION("""COMPUTED_VALUE"""),5267.0)</f>
        <v>5267</v>
      </c>
      <c r="D1305" s="76" t="str">
        <f>IFERROR(__xludf.DUMMYFUNCTION("""COMPUTED_VALUE"""),"	NURSING GRADE CARD")</f>
        <v>	NURSING GRADE CARD</v>
      </c>
      <c r="E1305" s="84">
        <f>IFERROR(__xludf.DUMMYFUNCTION("""COMPUTED_VALUE"""),46190.55416666667)</f>
        <v>46190.55417</v>
      </c>
      <c r="F1305" s="86">
        <f>IFERROR(__xludf.DUMMYFUNCTION("""COMPUTED_VALUE"""),46189.819224363426)</f>
        <v>46189.81922</v>
      </c>
      <c r="G1305" s="86" t="str">
        <f>IFERROR(__xludf.DUMMYFUNCTION("""COMPUTED_VALUE"""),"Done")</f>
        <v>Done</v>
      </c>
      <c r="H1305" s="88">
        <f>IFERROR(__xludf.DUMMYFUNCTION("""COMPUTED_VALUE"""),0.0)</f>
        <v>0</v>
      </c>
      <c r="I1305" s="90" t="str">
        <f>IFERROR(__xludf.DUMMYFUNCTION("""COMPUTED_VALUE"""),"EMP0042 HULESHWAR KUMAR SAHU")</f>
        <v>EMP0042 HULESHWAR KUMAR SAHU</v>
      </c>
      <c r="J1305" s="91">
        <f t="shared" si="1"/>
        <v>-0.7349423032</v>
      </c>
    </row>
    <row r="1306">
      <c r="B1306" s="76" t="str">
        <f>IFERROR(__xludf.DUMMYFUNCTION("""COMPUTED_VALUE"""),"Debuging the error (Jasper end as well as Query end) and discuss with RM about logic ")</f>
        <v>Debuging the error (Jasper end as well as Query end) and discuss with RM about logic </v>
      </c>
      <c r="C1306" s="82">
        <f>IFERROR(__xludf.DUMMYFUNCTION("""COMPUTED_VALUE"""),5268.0)</f>
        <v>5268</v>
      </c>
      <c r="D1306" s="76" t="str">
        <f>IFERROR(__xludf.DUMMYFUNCTION("""COMPUTED_VALUE"""),"Mark Foil for Teacher")</f>
        <v>Mark Foil for Teacher</v>
      </c>
      <c r="E1306" s="84">
        <f>IFERROR(__xludf.DUMMYFUNCTION("""COMPUTED_VALUE"""),46190.76043741898)</f>
        <v>46190.76044</v>
      </c>
      <c r="F1306" s="86">
        <f>IFERROR(__xludf.DUMMYFUNCTION("""COMPUTED_VALUE"""),46190.51109101852)</f>
        <v>46190.51109</v>
      </c>
      <c r="G1306" s="86" t="str">
        <f>IFERROR(__xludf.DUMMYFUNCTION("""COMPUTED_VALUE"""),"Done")</f>
        <v>Done</v>
      </c>
      <c r="H1306" s="88">
        <f>IFERROR(__xludf.DUMMYFUNCTION("""COMPUTED_VALUE"""),0.0)</f>
        <v>0</v>
      </c>
      <c r="I1306" s="90" t="str">
        <f>IFERROR(__xludf.DUMMYFUNCTION("""COMPUTED_VALUE"""),"EMP0042 HULESHWAR KUMAR SAHU")</f>
        <v>EMP0042 HULESHWAR KUMAR SAHU</v>
      </c>
      <c r="J1306" s="91">
        <f t="shared" si="1"/>
        <v>-0.2493464005</v>
      </c>
    </row>
    <row r="1307">
      <c r="B1307" s="76" t="str">
        <f>IFERROR(__xludf.DUMMYFUNCTION("""COMPUTED_VALUE"""),"Debuging the error (Jasper end as well as Query end) and discuss with RM about logic ")</f>
        <v>Debuging the error (Jasper end as well as Query end) and discuss with RM about logic </v>
      </c>
      <c r="C1307" s="82">
        <f>IFERROR(__xludf.DUMMYFUNCTION("""COMPUTED_VALUE"""),5269.0)</f>
        <v>5269</v>
      </c>
      <c r="D1307" s="76" t="str">
        <f>IFERROR(__xludf.DUMMYFUNCTION("""COMPUTED_VALUE"""),"30,013,382")</f>
        <v>30,013,382</v>
      </c>
      <c r="E1307" s="84">
        <f>IFERROR(__xludf.DUMMYFUNCTION("""COMPUTED_VALUE"""),46191.45833333333)</f>
        <v>46191.45833</v>
      </c>
      <c r="F1307" s="86">
        <f>IFERROR(__xludf.DUMMYFUNCTION("""COMPUTED_VALUE"""),46191.43800925926)</f>
        <v>46191.43801</v>
      </c>
      <c r="G1307" s="86" t="str">
        <f>IFERROR(__xludf.DUMMYFUNCTION("""COMPUTED_VALUE"""),"Done")</f>
        <v>Done</v>
      </c>
      <c r="H1307" s="88">
        <f>IFERROR(__xludf.DUMMYFUNCTION("""COMPUTED_VALUE"""),0.0)</f>
        <v>0</v>
      </c>
      <c r="I1307" s="90" t="str">
        <f>IFERROR(__xludf.DUMMYFUNCTION("""COMPUTED_VALUE"""),"EMP0042 HULESHWAR KUMAR SAHU")</f>
        <v>EMP0042 HULESHWAR KUMAR SAHU</v>
      </c>
      <c r="J1307" s="91">
        <f t="shared" si="1"/>
        <v>-0.02032407407</v>
      </c>
    </row>
    <row r="1308">
      <c r="B1308" s="76" t="str">
        <f>IFERROR(__xludf.DUMMYFUNCTION("""COMPUTED_VALUE"""),"Debuging the error (Jasper end as well as Query end) and discuss with RM about logic ")</f>
        <v>Debuging the error (Jasper end as well as Query end) and discuss with RM about logic </v>
      </c>
      <c r="C1308" s="82">
        <f>IFERROR(__xludf.DUMMYFUNCTION("""COMPUTED_VALUE"""),5270.0)</f>
        <v>5270</v>
      </c>
      <c r="D1308" s="76" t="str">
        <f>IFERROR(__xludf.DUMMYFUNCTION("""COMPUTED_VALUE"""),"NEP DIGI LOCKER DATA CORRECTION")</f>
        <v>NEP DIGI LOCKER DATA CORRECTION</v>
      </c>
      <c r="E1308" s="84">
        <f>IFERROR(__xludf.DUMMYFUNCTION("""COMPUTED_VALUE"""),46191.53472222222)</f>
        <v>46191.53472</v>
      </c>
      <c r="F1308" s="86">
        <f>IFERROR(__xludf.DUMMYFUNCTION("""COMPUTED_VALUE"""),46191.52134150463)</f>
        <v>46191.52134</v>
      </c>
      <c r="G1308" s="86" t="str">
        <f>IFERROR(__xludf.DUMMYFUNCTION("""COMPUTED_VALUE"""),"Done")</f>
        <v>Done</v>
      </c>
      <c r="H1308" s="88">
        <f>IFERROR(__xludf.DUMMYFUNCTION("""COMPUTED_VALUE"""),0.0)</f>
        <v>0</v>
      </c>
      <c r="I1308" s="90" t="str">
        <f>IFERROR(__xludf.DUMMYFUNCTION("""COMPUTED_VALUE"""),"EMP0042 HULESHWAR KUMAR SAHU")</f>
        <v>EMP0042 HULESHWAR KUMAR SAHU</v>
      </c>
      <c r="J1308" s="91">
        <f t="shared" si="1"/>
        <v>-0.01338071759</v>
      </c>
    </row>
    <row r="1309">
      <c r="B1309" s="76" t="str">
        <f>IFERROR(__xludf.DUMMYFUNCTION("""COMPUTED_VALUE"""),"Debuging the error (Jasper end as well as Query end) and discuss with RM about logic ")</f>
        <v>Debuging the error (Jasper end as well as Query end) and discuss with RM about logic </v>
      </c>
      <c r="C1309" s="82">
        <f>IFERROR(__xludf.DUMMYFUNCTION("""COMPUTED_VALUE"""),5271.0)</f>
        <v>5271</v>
      </c>
      <c r="D1309" s="76" t="str">
        <f>IFERROR(__xludf.DUMMYFUNCTION("""COMPUTED_VALUE"""),"NAD ")</f>
        <v>NAD </v>
      </c>
      <c r="E1309" s="84">
        <f>IFERROR(__xludf.DUMMYFUNCTION("""COMPUTED_VALUE"""),46191.79001174769)</f>
        <v>46191.79001</v>
      </c>
      <c r="F1309" s="86">
        <f>IFERROR(__xludf.DUMMYFUNCTION("""COMPUTED_VALUE"""),46191.51324944444)</f>
        <v>46191.51325</v>
      </c>
      <c r="G1309" s="86" t="str">
        <f>IFERROR(__xludf.DUMMYFUNCTION("""COMPUTED_VALUE"""),"Done")</f>
        <v>Done</v>
      </c>
      <c r="H1309" s="88">
        <f>IFERROR(__xludf.DUMMYFUNCTION("""COMPUTED_VALUE"""),0.0)</f>
        <v>0</v>
      </c>
      <c r="I1309" s="90" t="str">
        <f>IFERROR(__xludf.DUMMYFUNCTION("""COMPUTED_VALUE"""),"EMP5009 Rup Kumar Mandal")</f>
        <v>EMP5009 Rup Kumar Mandal</v>
      </c>
      <c r="J1309" s="91">
        <f t="shared" si="1"/>
        <v>-0.2767623032</v>
      </c>
    </row>
    <row r="1310">
      <c r="B1310" s="76" t="str">
        <f>IFERROR(__xludf.DUMMYFUNCTION("""COMPUTED_VALUE"""),"Debuging the error (Jasper end as well as Query end) and discuss with RM about logic ")</f>
        <v>Debuging the error (Jasper end as well as Query end) and discuss with RM about logic </v>
      </c>
      <c r="C1310" s="82">
        <f>IFERROR(__xludf.DUMMYFUNCTION("""COMPUTED_VALUE"""),5272.0)</f>
        <v>5272</v>
      </c>
      <c r="D1310" s="76" t="str">
        <f>IFERROR(__xludf.DUMMYFUNCTION("""COMPUTED_VALUE"""),"students data")</f>
        <v>students data</v>
      </c>
      <c r="E1310" s="84">
        <f>IFERROR(__xludf.DUMMYFUNCTION("""COMPUTED_VALUE"""),46191.79599474537)</f>
        <v>46191.79599</v>
      </c>
      <c r="F1310" s="86">
        <f>IFERROR(__xludf.DUMMYFUNCTION("""COMPUTED_VALUE"""),46191.521371435185)</f>
        <v>46191.52137</v>
      </c>
      <c r="G1310" s="86" t="str">
        <f>IFERROR(__xludf.DUMMYFUNCTION("""COMPUTED_VALUE"""),"Done")</f>
        <v>Done</v>
      </c>
      <c r="H1310" s="88">
        <f>IFERROR(__xludf.DUMMYFUNCTION("""COMPUTED_VALUE"""),0.0)</f>
        <v>0</v>
      </c>
      <c r="I1310" s="90" t="str">
        <f>IFERROR(__xludf.DUMMYFUNCTION("""COMPUTED_VALUE"""),"EMP0042 HULESHWAR KUMAR SAHU")</f>
        <v>EMP0042 HULESHWAR KUMAR SAHU</v>
      </c>
      <c r="J1310" s="91">
        <f t="shared" si="1"/>
        <v>-0.2746233102</v>
      </c>
    </row>
    <row r="1311">
      <c r="B1311" s="76" t="str">
        <f>IFERROR(__xludf.DUMMYFUNCTION("""COMPUTED_VALUE"""),"Debuging the error (Jasper end as well as Query end) and discuss with RM about logic ")</f>
        <v>Debuging the error (Jasper end as well as Query end) and discuss with RM about logic </v>
      </c>
      <c r="C1311" s="82">
        <f>IFERROR(__xludf.DUMMYFUNCTION("""COMPUTED_VALUE"""),5273.0)</f>
        <v>5273</v>
      </c>
      <c r="D1311" s="76" t="str">
        <f>IFERROR(__xludf.DUMMYFUNCTION("""COMPUTED_VALUE"""),"P.G 2nd Sem Attendance Sheet Blank Session-2025-2027")</f>
        <v>P.G 2nd Sem Attendance Sheet Blank Session-2025-2027</v>
      </c>
      <c r="E1311" s="84">
        <f>IFERROR(__xludf.DUMMYFUNCTION("""COMPUTED_VALUE"""),46192.75833333333)</f>
        <v>46192.75833</v>
      </c>
      <c r="F1311" s="86">
        <f>IFERROR(__xludf.DUMMYFUNCTION("""COMPUTED_VALUE"""),46192.51566546296)</f>
        <v>46192.51567</v>
      </c>
      <c r="G1311" s="86" t="str">
        <f>IFERROR(__xludf.DUMMYFUNCTION("""COMPUTED_VALUE"""),"Done")</f>
        <v>Done</v>
      </c>
      <c r="H1311" s="88">
        <f>IFERROR(__xludf.DUMMYFUNCTION("""COMPUTED_VALUE"""),0.0)</f>
        <v>0</v>
      </c>
      <c r="I1311" s="90" t="str">
        <f>IFERROR(__xludf.DUMMYFUNCTION("""COMPUTED_VALUE"""),"EMP5009 Rup Kumar Mandal")</f>
        <v>EMP5009 Rup Kumar Mandal</v>
      </c>
      <c r="J1311" s="91">
        <f t="shared" si="1"/>
        <v>-0.2426678704</v>
      </c>
    </row>
    <row r="1312">
      <c r="B1312" s="76" t="str">
        <f>IFERROR(__xludf.DUMMYFUNCTION("""COMPUTED_VALUE"""),"Debuging the error (Jasper end as well as Query end) and discuss with RM about logic ")</f>
        <v>Debuging the error (Jasper end as well as Query end) and discuss with RM about logic </v>
      </c>
      <c r="C1312" s="82">
        <f>IFERROR(__xludf.DUMMYFUNCTION("""COMPUTED_VALUE"""),5274.0)</f>
        <v>5274</v>
      </c>
      <c r="D1312" s="76" t="str">
        <f>IFERROR(__xludf.DUMMYFUNCTION("""COMPUTED_VALUE"""),"studnet subject mapping ")</f>
        <v>studnet subject mapping </v>
      </c>
      <c r="E1312" s="84">
        <f>IFERROR(__xludf.DUMMYFUNCTION("""COMPUTED_VALUE"""),46193.49375)</f>
        <v>46193.49375</v>
      </c>
      <c r="F1312" s="86">
        <f>IFERROR(__xludf.DUMMYFUNCTION("""COMPUTED_VALUE"""),46192.614891516205)</f>
        <v>46192.61489</v>
      </c>
      <c r="G1312" s="86" t="str">
        <f>IFERROR(__xludf.DUMMYFUNCTION("""COMPUTED_VALUE"""),"Done")</f>
        <v>Done</v>
      </c>
      <c r="H1312" s="88">
        <f>IFERROR(__xludf.DUMMYFUNCTION("""COMPUTED_VALUE"""),0.0)</f>
        <v>0</v>
      </c>
      <c r="I1312" s="90" t="str">
        <f>IFERROR(__xludf.DUMMYFUNCTION("""COMPUTED_VALUE"""),"EMP0042 HULESHWAR KUMAR SAHU")</f>
        <v>EMP0042 HULESHWAR KUMAR SAHU</v>
      </c>
      <c r="J1312" s="91">
        <f t="shared" si="1"/>
        <v>-0.8788584838</v>
      </c>
    </row>
    <row r="1313">
      <c r="B1313" s="76" t="str">
        <f>IFERROR(__xludf.DUMMYFUNCTION("""COMPUTED_VALUE"""),"Debuging the error (Jasper end as well as Query end) and discuss with RM about logic ")</f>
        <v>Debuging the error (Jasper end as well as Query end) and discuss with RM about logic </v>
      </c>
      <c r="C1313" s="82">
        <f>IFERROR(__xludf.DUMMYFUNCTION("""COMPUTED_VALUE"""),5275.0)</f>
        <v>5275</v>
      </c>
      <c r="D1313" s="76" t="str">
        <f>IFERROR(__xludf.DUMMYFUNCTION("""COMPUTED_VALUE"""),"NEP DIGI LOCKER CORRECTION")</f>
        <v>NEP DIGI LOCKER CORRECTION</v>
      </c>
      <c r="E1313" s="84">
        <f>IFERROR(__xludf.DUMMYFUNCTION("""COMPUTED_VALUE"""),46193.56041666667)</f>
        <v>46193.56042</v>
      </c>
      <c r="F1313" s="86">
        <f>IFERROR(__xludf.DUMMYFUNCTION("""COMPUTED_VALUE"""),46192.75062363427)</f>
        <v>46192.75062</v>
      </c>
      <c r="G1313" s="86" t="str">
        <f>IFERROR(__xludf.DUMMYFUNCTION("""COMPUTED_VALUE"""),"Done")</f>
        <v>Done</v>
      </c>
      <c r="H1313" s="88">
        <f>IFERROR(__xludf.DUMMYFUNCTION("""COMPUTED_VALUE"""),0.0)</f>
        <v>0</v>
      </c>
      <c r="I1313" s="90" t="str">
        <f>IFERROR(__xludf.DUMMYFUNCTION("""COMPUTED_VALUE"""),"EMP0042 HULESHWAR KUMAR SAHU")</f>
        <v>EMP0042 HULESHWAR KUMAR SAHU</v>
      </c>
      <c r="J1313" s="91">
        <f t="shared" si="1"/>
        <v>-0.8097930324</v>
      </c>
    </row>
    <row r="1314">
      <c r="B1314" s="76" t="str">
        <f>IFERROR(__xludf.DUMMYFUNCTION("""COMPUTED_VALUE"""),"Debuging the error (Jasper end as well as Query end) and discuss with RM about logic ")</f>
        <v>Debuging the error (Jasper end as well as Query end) and discuss with RM about logic </v>
      </c>
      <c r="C1314" s="82">
        <f>IFERROR(__xludf.DUMMYFUNCTION("""COMPUTED_VALUE"""),5276.0)</f>
        <v>5276</v>
      </c>
      <c r="D1314" s="76" t="str">
        <f>IFERROR(__xludf.DUMMYFUNCTION("""COMPUTED_VALUE"""),"	TR PARAMEDICAL Old Logic")</f>
        <v>	TR PARAMEDICAL Old Logic</v>
      </c>
      <c r="E1314" s="84">
        <f>IFERROR(__xludf.DUMMYFUNCTION("""COMPUTED_VALUE"""),46193.586805555555)</f>
        <v>46193.58681</v>
      </c>
      <c r="F1314" s="86">
        <f>IFERROR(__xludf.DUMMYFUNCTION("""COMPUTED_VALUE"""),46192.75064853009)</f>
        <v>46192.75065</v>
      </c>
      <c r="G1314" s="86" t="str">
        <f>IFERROR(__xludf.DUMMYFUNCTION("""COMPUTED_VALUE"""),"Done")</f>
        <v>Done</v>
      </c>
      <c r="H1314" s="88">
        <f>IFERROR(__xludf.DUMMYFUNCTION("""COMPUTED_VALUE"""),0.0)</f>
        <v>0</v>
      </c>
      <c r="I1314" s="90" t="str">
        <f>IFERROR(__xludf.DUMMYFUNCTION("""COMPUTED_VALUE"""),"EMP0042 HULESHWAR KUMAR SAHU")</f>
        <v>EMP0042 HULESHWAR KUMAR SAHU</v>
      </c>
      <c r="J1314" s="91">
        <f t="shared" si="1"/>
        <v>-0.8361570255</v>
      </c>
    </row>
    <row r="1315">
      <c r="B1315" s="76" t="str">
        <f>IFERROR(__xludf.DUMMYFUNCTION("""COMPUTED_VALUE"""),"Debuging the error (Jasper end as well as Query end) and discuss with RM about logic ")</f>
        <v>Debuging the error (Jasper end as well as Query end) and discuss with RM about logic </v>
      </c>
      <c r="C1315" s="82">
        <f>IFERROR(__xludf.DUMMYFUNCTION("""COMPUTED_VALUE"""),5277.0)</f>
        <v>5277</v>
      </c>
      <c r="D1315" s="76" t="str">
        <f>IFERROR(__xludf.DUMMYFUNCTION("""COMPUTED_VALUE"""),"packet_detail_report.jasper")</f>
        <v>packet_detail_report.jasper</v>
      </c>
      <c r="E1315" s="84">
        <f>IFERROR(__xludf.DUMMYFUNCTION("""COMPUTED_VALUE"""),46193.82310224538)</f>
        <v>46193.8231</v>
      </c>
      <c r="F1315" s="86">
        <f>IFERROR(__xludf.DUMMYFUNCTION("""COMPUTED_VALUE"""),46193.55755027778)</f>
        <v>46193.55755</v>
      </c>
      <c r="G1315" s="86" t="str">
        <f>IFERROR(__xludf.DUMMYFUNCTION("""COMPUTED_VALUE"""),"Done")</f>
        <v>Done</v>
      </c>
      <c r="H1315" s="88">
        <f>IFERROR(__xludf.DUMMYFUNCTION("""COMPUTED_VALUE"""),0.0)</f>
        <v>0</v>
      </c>
      <c r="I1315" s="90" t="str">
        <f>IFERROR(__xludf.DUMMYFUNCTION("""COMPUTED_VALUE"""),"EMP5009 Rup Kumar Mandal")</f>
        <v>EMP5009 Rup Kumar Mandal</v>
      </c>
      <c r="J1315" s="91">
        <f t="shared" si="1"/>
        <v>-0.2655519676</v>
      </c>
    </row>
    <row r="1316">
      <c r="B1316" s="76" t="str">
        <f>IFERROR(__xludf.DUMMYFUNCTION("""COMPUTED_VALUE"""),"Debuging the error (Jasper end as well as Query end) and discuss with RM about logic ")</f>
        <v>Debuging the error (Jasper end as well as Query end) and discuss with RM about logic </v>
      </c>
      <c r="C1316" s="82">
        <f>IFERROR(__xludf.DUMMYFUNCTION("""COMPUTED_VALUE"""),5278.0)</f>
        <v>5278</v>
      </c>
      <c r="D1316" s="76" t="str">
        <f>IFERROR(__xludf.DUMMYFUNCTION("""COMPUTED_VALUE"""),"Evaluation report anna.")</f>
        <v>Evaluation report anna.</v>
      </c>
      <c r="E1316" s="84">
        <f>IFERROR(__xludf.DUMMYFUNCTION("""COMPUTED_VALUE"""),46195.44236111111)</f>
        <v>46195.44236</v>
      </c>
      <c r="F1316" s="86">
        <f>IFERROR(__xludf.DUMMYFUNCTION("""COMPUTED_VALUE"""),46193.652605462965)</f>
        <v>46193.65261</v>
      </c>
      <c r="G1316" s="86" t="str">
        <f>IFERROR(__xludf.DUMMYFUNCTION("""COMPUTED_VALUE"""),"Done")</f>
        <v>Done</v>
      </c>
      <c r="H1316" s="88">
        <f>IFERROR(__xludf.DUMMYFUNCTION("""COMPUTED_VALUE"""),0.0)</f>
        <v>0</v>
      </c>
      <c r="I1316" s="90" t="str">
        <f>IFERROR(__xludf.DUMMYFUNCTION("""COMPUTED_VALUE"""),"EMP5009 Rup Kumar Mandal")</f>
        <v>EMP5009 Rup Kumar Mandal</v>
      </c>
      <c r="J1316" s="91">
        <f t="shared" si="1"/>
        <v>-1.789755648</v>
      </c>
    </row>
    <row r="1317">
      <c r="B1317" s="76" t="str">
        <f>IFERROR(__xludf.DUMMYFUNCTION("""COMPUTED_VALUE"""),"Debuging the error (Jasper end as well as Query end) and discuss with RM about logic ")</f>
        <v>Debuging the error (Jasper end as well as Query end) and discuss with RM about logic </v>
      </c>
      <c r="C1317" s="82">
        <f>IFERROR(__xludf.DUMMYFUNCTION("""COMPUTED_VALUE"""),5279.0)</f>
        <v>5279</v>
      </c>
      <c r="D1317" s="76" t="str">
        <f>IFERROR(__xludf.DUMMYFUNCTION("""COMPUTED_VALUE"""),"SMKV")</f>
        <v>SMKV</v>
      </c>
      <c r="E1317" s="84">
        <f>IFERROR(__xludf.DUMMYFUNCTION("""COMPUTED_VALUE"""),46195.55625)</f>
        <v>46195.55625</v>
      </c>
      <c r="F1317" s="86">
        <f>IFERROR(__xludf.DUMMYFUNCTION("""COMPUTED_VALUE"""),46193.69859662037)</f>
        <v>46193.6986</v>
      </c>
      <c r="G1317" s="86" t="str">
        <f>IFERROR(__xludf.DUMMYFUNCTION("""COMPUTED_VALUE"""),"Done")</f>
        <v>Done</v>
      </c>
      <c r="H1317" s="88">
        <f>IFERROR(__xludf.DUMMYFUNCTION("""COMPUTED_VALUE"""),0.0)</f>
        <v>0</v>
      </c>
      <c r="I1317" s="90" t="str">
        <f>IFERROR(__xludf.DUMMYFUNCTION("""COMPUTED_VALUE"""),"EMP0042 HULESHWAR KUMAR SAHU")</f>
        <v>EMP0042 HULESHWAR KUMAR SAHU</v>
      </c>
      <c r="J1317" s="91">
        <f t="shared" si="1"/>
        <v>-1.85765338</v>
      </c>
    </row>
    <row r="1318">
      <c r="B1318" s="76" t="str">
        <f>IFERROR(__xludf.DUMMYFUNCTION("""COMPUTED_VALUE"""),"Debuging the error (Jasper end as well as Query end) and discuss with RM about logic ")</f>
        <v>Debuging the error (Jasper end as well as Query end) and discuss with RM about logic </v>
      </c>
      <c r="C1318" s="82">
        <f>IFERROR(__xludf.DUMMYFUNCTION("""COMPUTED_VALUE"""),5280.0)</f>
        <v>5280</v>
      </c>
      <c r="D1318" s="76" t="str">
        <f>IFERROR(__xludf.DUMMYFUNCTION("""COMPUTED_VALUE"""),"SMKV ")</f>
        <v>SMKV </v>
      </c>
      <c r="E1318" s="84">
        <f>IFERROR(__xludf.DUMMYFUNCTION("""COMPUTED_VALUE"""),46195.55694444444)</f>
        <v>46195.55694</v>
      </c>
      <c r="F1318" s="86">
        <f>IFERROR(__xludf.DUMMYFUNCTION("""COMPUTED_VALUE"""),46193.69862037037)</f>
        <v>46193.69862</v>
      </c>
      <c r="G1318" s="86" t="str">
        <f>IFERROR(__xludf.DUMMYFUNCTION("""COMPUTED_VALUE"""),"Done")</f>
        <v>Done</v>
      </c>
      <c r="H1318" s="88">
        <f>IFERROR(__xludf.DUMMYFUNCTION("""COMPUTED_VALUE"""),0.0)</f>
        <v>0</v>
      </c>
      <c r="I1318" s="90" t="str">
        <f>IFERROR(__xludf.DUMMYFUNCTION("""COMPUTED_VALUE"""),"EMP0042 HULESHWAR KUMAR SAHU")</f>
        <v>EMP0042 HULESHWAR KUMAR SAHU</v>
      </c>
      <c r="J1318" s="91">
        <f t="shared" si="1"/>
        <v>-1.858324074</v>
      </c>
    </row>
    <row r="1319">
      <c r="B1319" s="76" t="str">
        <f>IFERROR(__xludf.DUMMYFUNCTION("""COMPUTED_VALUE"""),"Debuging the error (Jasper end as well as Query end) and discuss with RM about logic ")</f>
        <v>Debuging the error (Jasper end as well as Query end) and discuss with RM about logic </v>
      </c>
      <c r="C1319" s="82">
        <f>IFERROR(__xludf.DUMMYFUNCTION("""COMPUTED_VALUE"""),5281.0)</f>
        <v>5281</v>
      </c>
      <c r="D1319" s="76" t="str">
        <f>IFERROR(__xludf.DUMMYFUNCTION("""COMPUTED_VALUE"""),"SMKV")</f>
        <v>SMKV</v>
      </c>
      <c r="E1319" s="84">
        <f>IFERROR(__xludf.DUMMYFUNCTION("""COMPUTED_VALUE"""),46195.55763888889)</f>
        <v>46195.55764</v>
      </c>
      <c r="F1319" s="86">
        <f>IFERROR(__xludf.DUMMYFUNCTION("""COMPUTED_VALUE"""),46193.698652893516)</f>
        <v>46193.69865</v>
      </c>
      <c r="G1319" s="86" t="str">
        <f>IFERROR(__xludf.DUMMYFUNCTION("""COMPUTED_VALUE"""),"Done")</f>
        <v>Done</v>
      </c>
      <c r="H1319" s="88">
        <f>IFERROR(__xludf.DUMMYFUNCTION("""COMPUTED_VALUE"""),0.0)</f>
        <v>0</v>
      </c>
      <c r="I1319" s="90" t="str">
        <f>IFERROR(__xludf.DUMMYFUNCTION("""COMPUTED_VALUE"""),"EMP0042 HULESHWAR KUMAR SAHU")</f>
        <v>EMP0042 HULESHWAR KUMAR SAHU</v>
      </c>
      <c r="J1319" s="91">
        <f t="shared" si="1"/>
        <v>-1.858985995</v>
      </c>
    </row>
    <row r="1320">
      <c r="B1320" s="76" t="str">
        <f>IFERROR(__xludf.DUMMYFUNCTION("""COMPUTED_VALUE"""),"Debuging the error (Jasper end as well as Query end) and discuss with RM about logic ")</f>
        <v>Debuging the error (Jasper end as well as Query end) and discuss with RM about logic </v>
      </c>
      <c r="C1320" s="82">
        <f>IFERROR(__xludf.DUMMYFUNCTION("""COMPUTED_VALUE"""),5282.0)</f>
        <v>5282</v>
      </c>
      <c r="D1320" s="76" t="str">
        <f>IFERROR(__xludf.DUMMYFUNCTION("""COMPUTED_VALUE"""),"Manual_Cash_Counter")</f>
        <v>Manual_Cash_Counter</v>
      </c>
      <c r="E1320" s="84">
        <f>IFERROR(__xludf.DUMMYFUNCTION("""COMPUTED_VALUE"""),46195.802194861106)</f>
        <v>46195.80219</v>
      </c>
      <c r="F1320" s="86">
        <f>IFERROR(__xludf.DUMMYFUNCTION("""COMPUTED_VALUE"""),46195.618129780094)</f>
        <v>46195.61813</v>
      </c>
      <c r="G1320" s="86" t="str">
        <f>IFERROR(__xludf.DUMMYFUNCTION("""COMPUTED_VALUE"""),"Done")</f>
        <v>Done</v>
      </c>
      <c r="H1320" s="88">
        <f>IFERROR(__xludf.DUMMYFUNCTION("""COMPUTED_VALUE"""),0.0)</f>
        <v>0</v>
      </c>
      <c r="I1320" s="90" t="str">
        <f>IFERROR(__xludf.DUMMYFUNCTION("""COMPUTED_VALUE"""),"EMP5009 Rup Kumar Mandal")</f>
        <v>EMP5009 Rup Kumar Mandal</v>
      </c>
      <c r="J1320" s="91">
        <f t="shared" si="1"/>
        <v>-0.184065081</v>
      </c>
    </row>
    <row r="1321">
      <c r="B1321" s="76" t="str">
        <f>IFERROR(__xludf.DUMMYFUNCTION("""COMPUTED_VALUE"""),"Debuging the error (Jasper end as well as Query end) and discuss with RM about logic ")</f>
        <v>Debuging the error (Jasper end as well as Query end) and discuss with RM about logic </v>
      </c>
      <c r="C1321" s="82">
        <f>IFERROR(__xludf.DUMMYFUNCTION("""COMPUTED_VALUE"""),5283.0)</f>
        <v>5283</v>
      </c>
      <c r="D1321" s="76" t="str">
        <f>IFERROR(__xludf.DUMMYFUNCTION("""COMPUTED_VALUE"""),"Studentwise Cash Counter")</f>
        <v>Studentwise Cash Counter</v>
      </c>
      <c r="E1321" s="84">
        <f>IFERROR(__xludf.DUMMYFUNCTION("""COMPUTED_VALUE"""),46195.80312815972)</f>
        <v>46195.80313</v>
      </c>
      <c r="F1321" s="86">
        <f>IFERROR(__xludf.DUMMYFUNCTION("""COMPUTED_VALUE"""),46195.61815241898)</f>
        <v>46195.61815</v>
      </c>
      <c r="G1321" s="86" t="str">
        <f>IFERROR(__xludf.DUMMYFUNCTION("""COMPUTED_VALUE"""),"Done")</f>
        <v>Done</v>
      </c>
      <c r="H1321" s="88">
        <f>IFERROR(__xludf.DUMMYFUNCTION("""COMPUTED_VALUE"""),0.0)</f>
        <v>0</v>
      </c>
      <c r="I1321" s="90" t="str">
        <f>IFERROR(__xludf.DUMMYFUNCTION("""COMPUTED_VALUE"""),"EMP5009 Rup Kumar Mandal")</f>
        <v>EMP5009 Rup Kumar Mandal</v>
      </c>
      <c r="J1321" s="91">
        <f t="shared" si="1"/>
        <v>-0.1849757407</v>
      </c>
    </row>
    <row r="1322">
      <c r="B1322" s="76" t="str">
        <f>IFERROR(__xludf.DUMMYFUNCTION("""COMPUTED_VALUE"""),"Debuging the error (Jasper end as well as Query end) and discuss with RM about logic ")</f>
        <v>Debuging the error (Jasper end as well as Query end) and discuss with RM about logic </v>
      </c>
      <c r="C1322" s="82">
        <f>IFERROR(__xludf.DUMMYFUNCTION("""COMPUTED_VALUE"""),5284.0)</f>
        <v>5284</v>
      </c>
      <c r="D1322" s="76" t="str">
        <f>IFERROR(__xludf.DUMMYFUNCTION("""COMPUTED_VALUE"""),"evaluation report anna.")</f>
        <v>evaluation report anna.</v>
      </c>
      <c r="E1322" s="84">
        <f>IFERROR(__xludf.DUMMYFUNCTION("""COMPUTED_VALUE"""),46196.53263888889)</f>
        <v>46196.53264</v>
      </c>
      <c r="F1322" s="86">
        <f>IFERROR(__xludf.DUMMYFUNCTION("""COMPUTED_VALUE"""),46195.797917013886)</f>
        <v>46195.79792</v>
      </c>
      <c r="G1322" s="86" t="str">
        <f>IFERROR(__xludf.DUMMYFUNCTION("""COMPUTED_VALUE"""),"Done")</f>
        <v>Done</v>
      </c>
      <c r="H1322" s="88">
        <f>IFERROR(__xludf.DUMMYFUNCTION("""COMPUTED_VALUE"""),0.0)</f>
        <v>0</v>
      </c>
      <c r="I1322" s="90" t="str">
        <f>IFERROR(__xludf.DUMMYFUNCTION("""COMPUTED_VALUE"""),"EMP5009 Rup Kumar Mandal")</f>
        <v>EMP5009 Rup Kumar Mandal</v>
      </c>
      <c r="J1322" s="91">
        <f t="shared" si="1"/>
        <v>-0.734721875</v>
      </c>
    </row>
    <row r="1323">
      <c r="B1323" s="76" t="str">
        <f>IFERROR(__xludf.DUMMYFUNCTION("""COMPUTED_VALUE"""),"Debuging the error (Jasper end as well as Query end) and discuss with RM about logic ")</f>
        <v>Debuging the error (Jasper end as well as Query end) and discuss with RM about logic </v>
      </c>
      <c r="C1323" s="82">
        <f>IFERROR(__xludf.DUMMYFUNCTION("""COMPUTED_VALUE"""),5285.0)</f>
        <v>5285</v>
      </c>
      <c r="D1323" s="76" t="str">
        <f>IFERROR(__xludf.DUMMYFUNCTION("""COMPUTED_VALUE"""),"MULTIPLE REPORT")</f>
        <v>MULTIPLE REPORT</v>
      </c>
      <c r="E1323" s="84">
        <f>IFERROR(__xludf.DUMMYFUNCTION("""COMPUTED_VALUE"""),46196.53402777778)</f>
        <v>46196.53403</v>
      </c>
      <c r="F1323" s="86">
        <f>IFERROR(__xludf.DUMMYFUNCTION("""COMPUTED_VALUE"""),46195.7978659838)</f>
        <v>46195.79787</v>
      </c>
      <c r="G1323" s="86" t="str">
        <f>IFERROR(__xludf.DUMMYFUNCTION("""COMPUTED_VALUE"""),"Done")</f>
        <v>Done</v>
      </c>
      <c r="H1323" s="88">
        <f>IFERROR(__xludf.DUMMYFUNCTION("""COMPUTED_VALUE"""),0.0)</f>
        <v>0</v>
      </c>
      <c r="I1323" s="90" t="str">
        <f>IFERROR(__xludf.DUMMYFUNCTION("""COMPUTED_VALUE"""),"EMP0042 HULESHWAR KUMAR SAHU")</f>
        <v>EMP0042 HULESHWAR KUMAR SAHU</v>
      </c>
      <c r="J1323" s="91">
        <f t="shared" si="1"/>
        <v>-0.736161794</v>
      </c>
    </row>
    <row r="1324">
      <c r="B1324" s="76" t="str">
        <f>IFERROR(__xludf.DUMMYFUNCTION("""COMPUTED_VALUE"""),"Debuging the error (Jasper end as well as Query end) and discuss with RM about logic ")</f>
        <v>Debuging the error (Jasper end as well as Query end) and discuss with RM about logic </v>
      </c>
      <c r="C1324" s="82">
        <f>IFERROR(__xludf.DUMMYFUNCTION("""COMPUTED_VALUE"""),5286.0)</f>
        <v>5286</v>
      </c>
      <c r="D1324" s="76" t="str">
        <f>IFERROR(__xludf.DUMMYFUNCTION("""COMPUTED_VALUE"""),"2781")</f>
        <v>2781</v>
      </c>
      <c r="E1324" s="84">
        <f>IFERROR(__xludf.DUMMYFUNCTION("""COMPUTED_VALUE"""),46197.42916666667)</f>
        <v>46197.42917</v>
      </c>
      <c r="F1324" s="86">
        <f>IFERROR(__xludf.DUMMYFUNCTION("""COMPUTED_VALUE"""),46196.77804077547)</f>
        <v>46196.77804</v>
      </c>
      <c r="G1324" s="86" t="str">
        <f>IFERROR(__xludf.DUMMYFUNCTION("""COMPUTED_VALUE"""),"Done")</f>
        <v>Done</v>
      </c>
      <c r="H1324" s="88">
        <f>IFERROR(__xludf.DUMMYFUNCTION("""COMPUTED_VALUE"""),0.0)</f>
        <v>0</v>
      </c>
      <c r="I1324" s="90" t="str">
        <f>IFERROR(__xludf.DUMMYFUNCTION("""COMPUTED_VALUE"""),"EMP5009 Rup Kumar Mandal")</f>
        <v>EMP5009 Rup Kumar Mandal</v>
      </c>
      <c r="J1324" s="91">
        <f t="shared" si="1"/>
        <v>-0.6511258912</v>
      </c>
    </row>
    <row r="1325">
      <c r="B1325" s="76" t="str">
        <f>IFERROR(__xludf.DUMMYFUNCTION("""COMPUTED_VALUE"""),"Debuging the error (Jasper end as well as Query end) and discuss with RM about logic ")</f>
        <v>Debuging the error (Jasper end as well as Query end) and discuss with RM about logic </v>
      </c>
      <c r="C1325" s="82">
        <f>IFERROR(__xludf.DUMMYFUNCTION("""COMPUTED_VALUE"""),5287.0)</f>
        <v>5287</v>
      </c>
      <c r="D1325" s="76" t="str">
        <f>IFERROR(__xludf.DUMMYFUNCTION("""COMPUTED_VALUE"""),"TR REPORT")</f>
        <v>TR REPORT</v>
      </c>
      <c r="E1325" s="84">
        <f>IFERROR(__xludf.DUMMYFUNCTION("""COMPUTED_VALUE"""),46197.76457306713)</f>
        <v>46197.76457</v>
      </c>
      <c r="F1325" s="86">
        <f>IFERROR(__xludf.DUMMYFUNCTION("""COMPUTED_VALUE"""),46197.561658715276)</f>
        <v>46197.56166</v>
      </c>
      <c r="G1325" s="86" t="str">
        <f>IFERROR(__xludf.DUMMYFUNCTION("""COMPUTED_VALUE"""),"Done")</f>
        <v>Done</v>
      </c>
      <c r="H1325" s="88">
        <f>IFERROR(__xludf.DUMMYFUNCTION("""COMPUTED_VALUE"""),0.0)</f>
        <v>0</v>
      </c>
      <c r="I1325" s="90" t="str">
        <f>IFERROR(__xludf.DUMMYFUNCTION("""COMPUTED_VALUE"""),"EMP0237 Swarnendu Chakraborty")</f>
        <v>EMP0237 Swarnendu Chakraborty</v>
      </c>
      <c r="J1325" s="91">
        <f t="shared" si="1"/>
        <v>-0.2029143519</v>
      </c>
    </row>
    <row r="1326">
      <c r="B1326" s="76" t="str">
        <f>IFERROR(__xludf.DUMMYFUNCTION("""COMPUTED_VALUE"""),"Debuging the error (Jasper end as well as Query end) and discuss with RM about logic ")</f>
        <v>Debuging the error (Jasper end as well as Query end) and discuss with RM about logic </v>
      </c>
      <c r="C1326" s="82">
        <f>IFERROR(__xludf.DUMMYFUNCTION("""COMPUTED_VALUE"""),5288.0)</f>
        <v>5288</v>
      </c>
      <c r="D1326" s="76" t="str">
        <f>IFERROR(__xludf.DUMMYFUNCTION("""COMPUTED_VALUE"""),"5coltrsem6sem_elective_back_")</f>
        <v>5coltrsem6sem_elective_back_</v>
      </c>
      <c r="E1326" s="84">
        <f>IFERROR(__xludf.DUMMYFUNCTION("""COMPUTED_VALUE"""),46197.794450601854)</f>
        <v>46197.79445</v>
      </c>
      <c r="F1326" s="86">
        <f>IFERROR(__xludf.DUMMYFUNCTION("""COMPUTED_VALUE"""),46197.51809893519)</f>
        <v>46197.5181</v>
      </c>
      <c r="G1326" s="86" t="str">
        <f>IFERROR(__xludf.DUMMYFUNCTION("""COMPUTED_VALUE"""),"Done")</f>
        <v>Done</v>
      </c>
      <c r="H1326" s="88">
        <f>IFERROR(__xludf.DUMMYFUNCTION("""COMPUTED_VALUE"""),0.0)</f>
        <v>0</v>
      </c>
      <c r="I1326" s="90" t="str">
        <f>IFERROR(__xludf.DUMMYFUNCTION("""COMPUTED_VALUE"""),"EMP0042 HULESHWAR KUMAR SAHU")</f>
        <v>EMP0042 HULESHWAR KUMAR SAHU</v>
      </c>
      <c r="J1326" s="91">
        <f t="shared" si="1"/>
        <v>-0.2763516667</v>
      </c>
    </row>
    <row r="1327">
      <c r="B1327" s="76" t="str">
        <f>IFERROR(__xludf.DUMMYFUNCTION("""COMPUTED_VALUE"""),"Debuging the error (Jasper end as well as Query end) and discuss with RM about logic ")</f>
        <v>Debuging the error (Jasper end as well as Query end) and discuss with RM about logic </v>
      </c>
      <c r="C1327" s="82">
        <f>IFERROR(__xludf.DUMMYFUNCTION("""COMPUTED_VALUE"""),5289.0)</f>
        <v>5289</v>
      </c>
      <c r="D1327" s="76" t="str">
        <f>IFERROR(__xludf.DUMMYFUNCTION("""COMPUTED_VALUE"""),"Marksheet (D.PHARMA)")</f>
        <v>Marksheet (D.PHARMA)</v>
      </c>
      <c r="E1327" s="84">
        <f>IFERROR(__xludf.DUMMYFUNCTION("""COMPUTED_VALUE"""),46197.803450775464)</f>
        <v>46197.80345</v>
      </c>
      <c r="F1327" s="86">
        <f>IFERROR(__xludf.DUMMYFUNCTION("""COMPUTED_VALUE"""),46197.54582179398)</f>
        <v>46197.54582</v>
      </c>
      <c r="G1327" s="86" t="str">
        <f>IFERROR(__xludf.DUMMYFUNCTION("""COMPUTED_VALUE"""),"Done")</f>
        <v>Done</v>
      </c>
      <c r="H1327" s="88">
        <f>IFERROR(__xludf.DUMMYFUNCTION("""COMPUTED_VALUE"""),0.0)</f>
        <v>0</v>
      </c>
      <c r="I1327" s="90" t="str">
        <f>IFERROR(__xludf.DUMMYFUNCTION("""COMPUTED_VALUE"""),"EMP0042 HULESHWAR KUMAR SAHU")</f>
        <v>EMP0042 HULESHWAR KUMAR SAHU</v>
      </c>
      <c r="J1327" s="91">
        <f t="shared" si="1"/>
        <v>-0.2576289815</v>
      </c>
    </row>
    <row r="1328">
      <c r="B1328" s="76" t="str">
        <f>IFERROR(__xludf.DUMMYFUNCTION("""COMPUTED_VALUE"""),"Debuging the error (Jasper end as well as Query end) and discuss with RM about logic ")</f>
        <v>Debuging the error (Jasper end as well as Query end) and discuss with RM about logic </v>
      </c>
      <c r="C1328" s="82">
        <f>IFERROR(__xludf.DUMMYFUNCTION("""COMPUTED_VALUE"""),5290.0)</f>
        <v>5290</v>
      </c>
      <c r="D1328" s="76" t="str">
        <f>IFERROR(__xludf.DUMMYFUNCTION("""COMPUTED_VALUE"""),"gradaecard4-btech")</f>
        <v>gradaecard4-btech</v>
      </c>
      <c r="E1328" s="84">
        <f>IFERROR(__xludf.DUMMYFUNCTION("""COMPUTED_VALUE"""),46197.81772193288)</f>
        <v>46197.81772</v>
      </c>
      <c r="F1328" s="86">
        <f>IFERROR(__xludf.DUMMYFUNCTION("""COMPUTED_VALUE"""),46197.545843217595)</f>
        <v>46197.54584</v>
      </c>
      <c r="G1328" s="86" t="str">
        <f>IFERROR(__xludf.DUMMYFUNCTION("""COMPUTED_VALUE"""),"Done")</f>
        <v>Done</v>
      </c>
      <c r="H1328" s="88">
        <f>IFERROR(__xludf.DUMMYFUNCTION("""COMPUTED_VALUE"""),0.0)</f>
        <v>0</v>
      </c>
      <c r="I1328" s="90" t="str">
        <f>IFERROR(__xludf.DUMMYFUNCTION("""COMPUTED_VALUE"""),"EMP0042 HULESHWAR KUMAR SAHU")</f>
        <v>EMP0042 HULESHWAR KUMAR SAHU</v>
      </c>
      <c r="J1328" s="91">
        <f t="shared" si="1"/>
        <v>-0.2718787153</v>
      </c>
    </row>
    <row r="1329">
      <c r="B1329" s="76" t="str">
        <f>IFERROR(__xludf.DUMMYFUNCTION("""COMPUTED_VALUE"""),"Debuging the error (Jasper end as well as Query end) and discuss with RM about logic ")</f>
        <v>Debuging the error (Jasper end as well as Query end) and discuss with RM about logic </v>
      </c>
      <c r="C1329" s="82">
        <f>IFERROR(__xludf.DUMMYFUNCTION("""COMPUTED_VALUE"""),5291.0)</f>
        <v>5291</v>
      </c>
      <c r="D1329" s="76" t="str">
        <f>IFERROR(__xludf.DUMMYFUNCTION("""COMPUTED_VALUE"""),"Student wise form report")</f>
        <v>Student wise form report</v>
      </c>
      <c r="E1329" s="84">
        <f>IFERROR(__xludf.DUMMYFUNCTION("""COMPUTED_VALUE"""),46197.82982138889)</f>
        <v>46197.82982</v>
      </c>
      <c r="F1329" s="86">
        <f>IFERROR(__xludf.DUMMYFUNCTION("""COMPUTED_VALUE"""),46197.561598622684)</f>
        <v>46197.5616</v>
      </c>
      <c r="G1329" s="86" t="str">
        <f>IFERROR(__xludf.DUMMYFUNCTION("""COMPUTED_VALUE"""),"Done")</f>
        <v>Done</v>
      </c>
      <c r="H1329" s="88">
        <f>IFERROR(__xludf.DUMMYFUNCTION("""COMPUTED_VALUE"""),0.0)</f>
        <v>0</v>
      </c>
      <c r="I1329" s="90" t="str">
        <f>IFERROR(__xludf.DUMMYFUNCTION("""COMPUTED_VALUE"""),"EMP0237 Swarnendu Chakraborty")</f>
        <v>EMP0237 Swarnendu Chakraborty</v>
      </c>
      <c r="J1329" s="91">
        <f t="shared" si="1"/>
        <v>-0.2682227662</v>
      </c>
    </row>
    <row r="1330">
      <c r="B1330" s="76" t="str">
        <f>IFERROR(__xludf.DUMMYFUNCTION("""COMPUTED_VALUE"""),"Debuging the error (Jasper end as well as Query end) and discuss with RM about logic ")</f>
        <v>Debuging the error (Jasper end as well as Query end) and discuss with RM about logic </v>
      </c>
      <c r="C1330" s="82">
        <f>IFERROR(__xludf.DUMMYFUNCTION("""COMPUTED_VALUE"""),5292.0)</f>
        <v>5292</v>
      </c>
      <c r="D1330" s="76" t="str">
        <f>IFERROR(__xludf.DUMMYFUNCTION("""COMPUTED_VALUE"""),"SESSION WISE RESULT SUMMARY ")</f>
        <v>SESSION WISE RESULT SUMMARY </v>
      </c>
      <c r="E1330" s="84">
        <f>IFERROR(__xludf.DUMMYFUNCTION("""COMPUTED_VALUE"""),46198.44097222222)</f>
        <v>46198.44097</v>
      </c>
      <c r="F1330" s="86">
        <f>IFERROR(__xludf.DUMMYFUNCTION("""COMPUTED_VALUE"""),46197.561616203704)</f>
        <v>46197.56162</v>
      </c>
      <c r="G1330" s="86" t="str">
        <f>IFERROR(__xludf.DUMMYFUNCTION("""COMPUTED_VALUE"""),"Done")</f>
        <v>Done</v>
      </c>
      <c r="H1330" s="88">
        <f>IFERROR(__xludf.DUMMYFUNCTION("""COMPUTED_VALUE"""),0.0)</f>
        <v>0</v>
      </c>
      <c r="I1330" s="90" t="str">
        <f>IFERROR(__xludf.DUMMYFUNCTION("""COMPUTED_VALUE"""),"EMP0237 Swarnendu Chakraborty")</f>
        <v>EMP0237 Swarnendu Chakraborty</v>
      </c>
      <c r="J1330" s="91">
        <f t="shared" si="1"/>
        <v>-0.8793560185</v>
      </c>
    </row>
    <row r="1331">
      <c r="B1331" s="76" t="str">
        <f>IFERROR(__xludf.DUMMYFUNCTION("""COMPUTED_VALUE"""),"Debuging the error (Jasper end as well as Query end) and discuss with RM about logic ")</f>
        <v>Debuging the error (Jasper end as well as Query end) and discuss with RM about logic </v>
      </c>
      <c r="C1331" s="82">
        <f>IFERROR(__xludf.DUMMYFUNCTION("""COMPUTED_VALUE"""),5293.0)</f>
        <v>5293</v>
      </c>
      <c r="D1331" s="76" t="str">
        <f>IFERROR(__xludf.DUMMYFUNCTION("""COMPUTED_VALUE"""),"Analytics Deshbord report")</f>
        <v>Analytics Deshbord report</v>
      </c>
      <c r="E1331" s="84">
        <f>IFERROR(__xludf.DUMMYFUNCTION("""COMPUTED_VALUE"""),46198.555555555555)</f>
        <v>46198.55556</v>
      </c>
      <c r="F1331" s="86">
        <f>IFERROR(__xludf.DUMMYFUNCTION("""COMPUTED_VALUE"""),46198.47296567129)</f>
        <v>46198.47297</v>
      </c>
      <c r="G1331" s="86" t="str">
        <f>IFERROR(__xludf.DUMMYFUNCTION("""COMPUTED_VALUE"""),"Done")</f>
        <v>Done</v>
      </c>
      <c r="H1331" s="88">
        <f>IFERROR(__xludf.DUMMYFUNCTION("""COMPUTED_VALUE"""),0.0)</f>
        <v>0</v>
      </c>
      <c r="I1331" s="90" t="str">
        <f>IFERROR(__xludf.DUMMYFUNCTION("""COMPUTED_VALUE"""),"EMP0237 Swarnendu Chakraborty")</f>
        <v>EMP0237 Swarnendu Chakraborty</v>
      </c>
      <c r="J1331" s="91">
        <f t="shared" si="1"/>
        <v>-0.08258988427</v>
      </c>
    </row>
    <row r="1332">
      <c r="B1332" s="76" t="str">
        <f>IFERROR(__xludf.DUMMYFUNCTION("""COMPUTED_VALUE"""),"Debuging the error (Jasper end as well as Query end) and discuss with RM about logic ")</f>
        <v>Debuging the error (Jasper end as well as Query end) and discuss with RM about logic </v>
      </c>
      <c r="C1332" s="82">
        <f>IFERROR(__xludf.DUMMYFUNCTION("""COMPUTED_VALUE"""),5294.0)</f>
        <v>5294</v>
      </c>
      <c r="D1332" s="76" t="str">
        <f>IFERROR(__xludf.DUMMYFUNCTION("""COMPUTED_VALUE"""),"TR MBA 4th sem( With division )")</f>
        <v>TR MBA 4th sem( With division )</v>
      </c>
      <c r="E1332" s="84">
        <f>IFERROR(__xludf.DUMMYFUNCTION("""COMPUTED_VALUE"""),46198.75364056713)</f>
        <v>46198.75364</v>
      </c>
      <c r="F1332" s="86">
        <f>IFERROR(__xludf.DUMMYFUNCTION("""COMPUTED_VALUE"""),46198.476329537036)</f>
        <v>46198.47633</v>
      </c>
      <c r="G1332" s="86" t="str">
        <f>IFERROR(__xludf.DUMMYFUNCTION("""COMPUTED_VALUE"""),"Done")</f>
        <v>Done</v>
      </c>
      <c r="H1332" s="88">
        <f>IFERROR(__xludf.DUMMYFUNCTION("""COMPUTED_VALUE"""),0.0)</f>
        <v>0</v>
      </c>
      <c r="I1332" s="90" t="str">
        <f>IFERROR(__xludf.DUMMYFUNCTION("""COMPUTED_VALUE"""),"EMP0042 HULESHWAR KUMAR SAHU")</f>
        <v>EMP0042 HULESHWAR KUMAR SAHU</v>
      </c>
      <c r="J1332" s="91">
        <f t="shared" si="1"/>
        <v>-0.2773110301</v>
      </c>
    </row>
    <row r="1333">
      <c r="B1333" s="76" t="str">
        <f>IFERROR(__xludf.DUMMYFUNCTION("""COMPUTED_VALUE"""),"Debuging the error (Jasper end as well as Query end) and discuss with RM about logic ")</f>
        <v>Debuging the error (Jasper end as well as Query end) and discuss with RM about logic </v>
      </c>
      <c r="C1333" s="82">
        <f>IFERROR(__xludf.DUMMYFUNCTION("""COMPUTED_VALUE"""),5295.0)</f>
        <v>5295</v>
      </c>
      <c r="D1333" s="76" t="str">
        <f>IFERROR(__xludf.DUMMYFUNCTION("""COMPUTED_VALUE"""),"NAD DATA")</f>
        <v>NAD DATA</v>
      </c>
      <c r="E1333" s="84">
        <f>IFERROR(__xludf.DUMMYFUNCTION("""COMPUTED_VALUE"""),46198.78045674768)</f>
        <v>46198.78046</v>
      </c>
      <c r="F1333" s="86">
        <f>IFERROR(__xludf.DUMMYFUNCTION("""COMPUTED_VALUE"""),46198.60609541667)</f>
        <v>46198.6061</v>
      </c>
      <c r="G1333" s="86" t="str">
        <f>IFERROR(__xludf.DUMMYFUNCTION("""COMPUTED_VALUE"""),"Done")</f>
        <v>Done</v>
      </c>
      <c r="H1333" s="88">
        <f>IFERROR(__xludf.DUMMYFUNCTION("""COMPUTED_VALUE"""),0.0)</f>
        <v>0</v>
      </c>
      <c r="I1333" s="90" t="str">
        <f>IFERROR(__xludf.DUMMYFUNCTION("""COMPUTED_VALUE"""),"EMP0237 Swarnendu Chakraborty")</f>
        <v>EMP0237 Swarnendu Chakraborty</v>
      </c>
      <c r="J1333" s="91">
        <f t="shared" si="1"/>
        <v>-0.174361331</v>
      </c>
    </row>
    <row r="1334">
      <c r="B1334" s="76" t="str">
        <f>IFERROR(__xludf.DUMMYFUNCTION("""COMPUTED_VALUE"""),"Debuging the error (Jasper end as well as Query end) and discuss with RM about logic ")</f>
        <v>Debuging the error (Jasper end as well as Query end) and discuss with RM about logic </v>
      </c>
      <c r="C1334" s="82">
        <f>IFERROR(__xludf.DUMMYFUNCTION("""COMPUTED_VALUE"""),5296.0)</f>
        <v>5296</v>
      </c>
      <c r="D1334" s="76" t="str">
        <f>IFERROR(__xludf.DUMMYFUNCTION("""COMPUTED_VALUE"""),"ATTESTATION SHEET ")</f>
        <v>ATTESTATION SHEET </v>
      </c>
      <c r="E1334" s="84">
        <f>IFERROR(__xludf.DUMMYFUNCTION("""COMPUTED_VALUE"""),46198.7933505324)</f>
        <v>46198.79335</v>
      </c>
      <c r="F1334" s="86">
        <f>IFERROR(__xludf.DUMMYFUNCTION("""COMPUTED_VALUE"""),46198.60609541667)</f>
        <v>46198.6061</v>
      </c>
      <c r="G1334" s="86" t="str">
        <f>IFERROR(__xludf.DUMMYFUNCTION("""COMPUTED_VALUE"""),"Done")</f>
        <v>Done</v>
      </c>
      <c r="H1334" s="88">
        <f>IFERROR(__xludf.DUMMYFUNCTION("""COMPUTED_VALUE"""),0.0)</f>
        <v>0</v>
      </c>
      <c r="I1334" s="90" t="str">
        <f>IFERROR(__xludf.DUMMYFUNCTION("""COMPUTED_VALUE"""),"EMP5009 Rup Kumar Mandal")</f>
        <v>EMP5009 Rup Kumar Mandal</v>
      </c>
      <c r="J1334" s="91">
        <f t="shared" si="1"/>
        <v>-0.1872551157</v>
      </c>
    </row>
    <row r="1335">
      <c r="B1335" s="76" t="str">
        <f>IFERROR(__xludf.DUMMYFUNCTION("""COMPUTED_VALUE"""),"Debuging the error (Jasper end as well as Query end) and discuss with RM about logic ")</f>
        <v>Debuging the error (Jasper end as well as Query end) and discuss with RM about logic </v>
      </c>
      <c r="C1335" s="82">
        <f>IFERROR(__xludf.DUMMYFUNCTION("""COMPUTED_VALUE"""),5297.0)</f>
        <v>5297</v>
      </c>
      <c r="D1335" s="76" t="str">
        <f>IFERROR(__xludf.DUMMYFUNCTION("""COMPUTED_VALUE"""),"NAD data ")</f>
        <v>NAD data </v>
      </c>
      <c r="E1335" s="84">
        <f>IFERROR(__xludf.DUMMYFUNCTION("""COMPUTED_VALUE"""),46199.61944444444)</f>
        <v>46199.61944</v>
      </c>
      <c r="F1335" s="86">
        <f>IFERROR(__xludf.DUMMYFUNCTION("""COMPUTED_VALUE"""),46198.76236122685)</f>
        <v>46198.76236</v>
      </c>
      <c r="G1335" s="86" t="str">
        <f>IFERROR(__xludf.DUMMYFUNCTION("""COMPUTED_VALUE"""),"Done")</f>
        <v>Done</v>
      </c>
      <c r="H1335" s="88">
        <f>IFERROR(__xludf.DUMMYFUNCTION("""COMPUTED_VALUE"""),0.0)</f>
        <v>0</v>
      </c>
      <c r="I1335" s="90" t="str">
        <f>IFERROR(__xludf.DUMMYFUNCTION("""COMPUTED_VALUE"""),"EMP5009 Rup Kumar Mandal")</f>
        <v>EMP5009 Rup Kumar Mandal</v>
      </c>
      <c r="J1335" s="91">
        <f t="shared" si="1"/>
        <v>-0.8570832176</v>
      </c>
    </row>
    <row r="1336">
      <c r="B1336" s="76" t="str">
        <f>IFERROR(__xludf.DUMMYFUNCTION("""COMPUTED_VALUE"""),"Debuging the error (Jasper end as well as Query end) and discuss with RM about logic ")</f>
        <v>Debuging the error (Jasper end as well as Query end) and discuss with RM about logic </v>
      </c>
      <c r="C1336" s="82">
        <f>IFERROR(__xludf.DUMMYFUNCTION("""COMPUTED_VALUE"""),5298.0)</f>
        <v>5298</v>
      </c>
      <c r="D1336" s="76" t="str">
        <f>IFERROR(__xludf.DUMMYFUNCTION("""COMPUTED_VALUE"""),"Attendance Sheet PG &amp; PHD")</f>
        <v>Attendance Sheet PG &amp; PHD</v>
      </c>
      <c r="E1336" s="84">
        <f>IFERROR(__xludf.DUMMYFUNCTION("""COMPUTED_VALUE"""),46199.66111111111)</f>
        <v>46199.66111</v>
      </c>
      <c r="F1336" s="86">
        <f>IFERROR(__xludf.DUMMYFUNCTION("""COMPUTED_VALUE"""),46198.80359361111)</f>
        <v>46198.80359</v>
      </c>
      <c r="G1336" s="86" t="str">
        <f>IFERROR(__xludf.DUMMYFUNCTION("""COMPUTED_VALUE"""),"Done")</f>
        <v>Done</v>
      </c>
      <c r="H1336" s="88">
        <f>IFERROR(__xludf.DUMMYFUNCTION("""COMPUTED_VALUE"""),0.0)</f>
        <v>0</v>
      </c>
      <c r="I1336" s="90" t="str">
        <f>IFERROR(__xludf.DUMMYFUNCTION("""COMPUTED_VALUE"""),"EMP0021 Tamanna Dewangan")</f>
        <v>EMP0021 Tamanna Dewangan</v>
      </c>
      <c r="J1336" s="91">
        <f t="shared" si="1"/>
        <v>-0.8575175</v>
      </c>
    </row>
    <row r="1337">
      <c r="B1337" s="76" t="str">
        <f>IFERROR(__xludf.DUMMYFUNCTION("""COMPUTED_VALUE"""),"Debuging the error (Jasper end as well as Query end) and discuss with RM about logic ")</f>
        <v>Debuging the error (Jasper end as well as Query end) and discuss with RM about logic </v>
      </c>
      <c r="C1337" s="82">
        <f>IFERROR(__xludf.DUMMYFUNCTION("""COMPUTED_VALUE"""),5299.0)</f>
        <v>5299</v>
      </c>
      <c r="D1337" s="76" t="str">
        <f>IFERROR(__xludf.DUMMYFUNCTION("""COMPUTED_VALUE"""),"Summary For PG/PHD")</f>
        <v>Summary For PG/PHD</v>
      </c>
      <c r="E1337" s="84">
        <f>IFERROR(__xludf.DUMMYFUNCTION("""COMPUTED_VALUE"""),46199.6625)</f>
        <v>46199.6625</v>
      </c>
      <c r="F1337" s="86">
        <f>IFERROR(__xludf.DUMMYFUNCTION("""COMPUTED_VALUE"""),46198.803628124995)</f>
        <v>46198.80363</v>
      </c>
      <c r="G1337" s="86" t="str">
        <f>IFERROR(__xludf.DUMMYFUNCTION("""COMPUTED_VALUE"""),"Done")</f>
        <v>Done</v>
      </c>
      <c r="H1337" s="88">
        <f>IFERROR(__xludf.DUMMYFUNCTION("""COMPUTED_VALUE"""),0.0)</f>
        <v>0</v>
      </c>
      <c r="I1337" s="90" t="str">
        <f>IFERROR(__xludf.DUMMYFUNCTION("""COMPUTED_VALUE"""),"EMP0021 Tamanna Dewangan")</f>
        <v>EMP0021 Tamanna Dewangan</v>
      </c>
      <c r="J1337" s="91">
        <f t="shared" si="1"/>
        <v>-0.858871875</v>
      </c>
    </row>
    <row r="1338">
      <c r="B1338" s="76" t="str">
        <f>IFERROR(__xludf.DUMMYFUNCTION("""COMPUTED_VALUE"""),"Debuging the error (Jasper end as well as Query end) and discuss with RM about logic ")</f>
        <v>Debuging the error (Jasper end as well as Query end) and discuss with RM about logic </v>
      </c>
      <c r="C1338" s="82">
        <f>IFERROR(__xludf.DUMMYFUNCTION("""COMPUTED_VALUE"""),5300.0)</f>
        <v>5300</v>
      </c>
      <c r="D1338" s="76" t="str">
        <f>IFERROR(__xludf.DUMMYFUNCTION("""COMPUTED_VALUE"""),"Cover Page")</f>
        <v>Cover Page</v>
      </c>
      <c r="E1338" s="84">
        <f>IFERROR(__xludf.DUMMYFUNCTION("""COMPUTED_VALUE"""),46199.663888888885)</f>
        <v>46199.66389</v>
      </c>
      <c r="F1338" s="86">
        <f>IFERROR(__xludf.DUMMYFUNCTION("""COMPUTED_VALUE"""),46198.80364582176)</f>
        <v>46198.80365</v>
      </c>
      <c r="G1338" s="86" t="str">
        <f>IFERROR(__xludf.DUMMYFUNCTION("""COMPUTED_VALUE"""),"Done")</f>
        <v>Done</v>
      </c>
      <c r="H1338" s="88">
        <f>IFERROR(__xludf.DUMMYFUNCTION("""COMPUTED_VALUE"""),0.0)</f>
        <v>0</v>
      </c>
      <c r="I1338" s="90" t="str">
        <f>IFERROR(__xludf.DUMMYFUNCTION("""COMPUTED_VALUE"""),"EMP0021 Tamanna Dewangan")</f>
        <v>EMP0021 Tamanna Dewangan</v>
      </c>
      <c r="J1338" s="91">
        <f t="shared" si="1"/>
        <v>-0.8602430671</v>
      </c>
    </row>
    <row r="1339">
      <c r="B1339" s="76" t="str">
        <f>IFERROR(__xludf.DUMMYFUNCTION("""COMPUTED_VALUE"""),"Debuging the error (Jasper end as well as Query end) and discuss with RM about logic ")</f>
        <v>Debuging the error (Jasper end as well as Query end) and discuss with RM about logic </v>
      </c>
      <c r="C1339" s="82">
        <f>IFERROR(__xludf.DUMMYFUNCTION("""COMPUTED_VALUE"""),5301.0)</f>
        <v>5301</v>
      </c>
      <c r="D1339" s="76" t="str">
        <f>IFERROR(__xludf.DUMMYFUNCTION("""COMPUTED_VALUE"""),"Analysis report")</f>
        <v>Analysis report</v>
      </c>
      <c r="E1339" s="84">
        <f>IFERROR(__xludf.DUMMYFUNCTION("""COMPUTED_VALUE"""),46199.67013888889)</f>
        <v>46199.67014</v>
      </c>
      <c r="F1339" s="86">
        <f>IFERROR(__xludf.DUMMYFUNCTION("""COMPUTED_VALUE"""),46199.382068217594)</f>
        <v>46199.38207</v>
      </c>
      <c r="G1339" s="86" t="str">
        <f>IFERROR(__xludf.DUMMYFUNCTION("""COMPUTED_VALUE"""),"Done")</f>
        <v>Done</v>
      </c>
      <c r="H1339" s="88">
        <f>IFERROR(__xludf.DUMMYFUNCTION("""COMPUTED_VALUE"""),0.0)</f>
        <v>0</v>
      </c>
      <c r="I1339" s="90" t="str">
        <f>IFERROR(__xludf.DUMMYFUNCTION("""COMPUTED_VALUE"""),"EMP0021 Tamanna Dewangan")</f>
        <v>EMP0021 Tamanna Dewangan</v>
      </c>
      <c r="J1339" s="91">
        <f t="shared" si="1"/>
        <v>-0.2880706713</v>
      </c>
    </row>
    <row r="1340">
      <c r="B1340" s="76" t="str">
        <f>IFERROR(__xludf.DUMMYFUNCTION("""COMPUTED_VALUE"""),"Debuging the error (Jasper end as well as Query end) and discuss with RM about logic ")</f>
        <v>Debuging the error (Jasper end as well as Query end) and discuss with RM about logic </v>
      </c>
      <c r="C1340" s="82">
        <f>IFERROR(__xludf.DUMMYFUNCTION("""COMPUTED_VALUE"""),5302.0)</f>
        <v>5302</v>
      </c>
      <c r="D1340" s="76" t="str">
        <f>IFERROR(__xludf.DUMMYFUNCTION("""COMPUTED_VALUE"""),"Analytics report")</f>
        <v>Analytics report</v>
      </c>
      <c r="E1340" s="84">
        <f>IFERROR(__xludf.DUMMYFUNCTION("""COMPUTED_VALUE"""),46199.67083333334)</f>
        <v>46199.67083</v>
      </c>
      <c r="F1340" s="86">
        <f>IFERROR(__xludf.DUMMYFUNCTION("""COMPUTED_VALUE"""),46199.382101006944)</f>
        <v>46199.3821</v>
      </c>
      <c r="G1340" s="86" t="str">
        <f>IFERROR(__xludf.DUMMYFUNCTION("""COMPUTED_VALUE"""),"Done")</f>
        <v>Done</v>
      </c>
      <c r="H1340" s="88">
        <f>IFERROR(__xludf.DUMMYFUNCTION("""COMPUTED_VALUE"""),0.0)</f>
        <v>0</v>
      </c>
      <c r="I1340" s="90" t="str">
        <f>IFERROR(__xludf.DUMMYFUNCTION("""COMPUTED_VALUE"""),"EMP0021 Tamanna Dewangan")</f>
        <v>EMP0021 Tamanna Dewangan</v>
      </c>
      <c r="J1340" s="91">
        <f t="shared" si="1"/>
        <v>-0.2887323264</v>
      </c>
    </row>
    <row r="1341">
      <c r="B1341" s="76" t="str">
        <f>IFERROR(__xludf.DUMMYFUNCTION("""COMPUTED_VALUE"""),"Debuging the error (Jasper end as well as Query end) and discuss with RM about logic ")</f>
        <v>Debuging the error (Jasper end as well as Query end) and discuss with RM about logic </v>
      </c>
      <c r="C1341" s="82">
        <f>IFERROR(__xludf.DUMMYFUNCTION("""COMPUTED_VALUE"""),5303.0)</f>
        <v>5303</v>
      </c>
      <c r="D1341" s="76" t="str">
        <f>IFERROR(__xludf.DUMMYFUNCTION("""COMPUTED_VALUE"""),"otal Student and all matrix count mismatch Eg:999 College")</f>
        <v>otal Student and all matrix count mismatch Eg:999 College</v>
      </c>
      <c r="E1341" s="84">
        <f>IFERROR(__xludf.DUMMYFUNCTION("""COMPUTED_VALUE"""),46199.67152777778)</f>
        <v>46199.67153</v>
      </c>
      <c r="F1341" s="86">
        <f>IFERROR(__xludf.DUMMYFUNCTION("""COMPUTED_VALUE"""),46199.38214197917)</f>
        <v>46199.38214</v>
      </c>
      <c r="G1341" s="86" t="str">
        <f>IFERROR(__xludf.DUMMYFUNCTION("""COMPUTED_VALUE"""),"Done")</f>
        <v>Done</v>
      </c>
      <c r="H1341" s="88">
        <f>IFERROR(__xludf.DUMMYFUNCTION("""COMPUTED_VALUE"""),0.0)</f>
        <v>0</v>
      </c>
      <c r="I1341" s="90" t="str">
        <f>IFERROR(__xludf.DUMMYFUNCTION("""COMPUTED_VALUE"""),"EMP0021 Tamanna Dewangan")</f>
        <v>EMP0021 Tamanna Dewangan</v>
      </c>
      <c r="J1341" s="91">
        <f t="shared" si="1"/>
        <v>-0.2893857986</v>
      </c>
    </row>
    <row r="1342">
      <c r="B1342" s="76" t="str">
        <f>IFERROR(__xludf.DUMMYFUNCTION("""COMPUTED_VALUE"""),"Debuging the error (Jasper end as well as Query end) and discuss with RM about logic ")</f>
        <v>Debuging the error (Jasper end as well as Query end) and discuss with RM about logic </v>
      </c>
      <c r="C1342" s="82">
        <f>IFERROR(__xludf.DUMMYFUNCTION("""COMPUTED_VALUE"""),5304.0)</f>
        <v>5304</v>
      </c>
      <c r="D1342" s="76" t="str">
        <f>IFERROR(__xludf.DUMMYFUNCTION("""COMPUTED_VALUE"""),"otal Student and all matrix count mismatch Eg:999 College")</f>
        <v>otal Student and all matrix count mismatch Eg:999 College</v>
      </c>
      <c r="E1342" s="84">
        <f>IFERROR(__xludf.DUMMYFUNCTION("""COMPUTED_VALUE"""),46199.67291666666)</f>
        <v>46199.67292</v>
      </c>
      <c r="F1342" s="86">
        <f>IFERROR(__xludf.DUMMYFUNCTION("""COMPUTED_VALUE"""),46199.38290388889)</f>
        <v>46199.3829</v>
      </c>
      <c r="G1342" s="86" t="str">
        <f>IFERROR(__xludf.DUMMYFUNCTION("""COMPUTED_VALUE"""),"Done")</f>
        <v>Done</v>
      </c>
      <c r="H1342" s="88">
        <f>IFERROR(__xludf.DUMMYFUNCTION("""COMPUTED_VALUE"""),0.0)</f>
        <v>0</v>
      </c>
      <c r="I1342" s="90" t="str">
        <f>IFERROR(__xludf.DUMMYFUNCTION("""COMPUTED_VALUE"""),"EMP0021 Tamanna Dewangan")</f>
        <v>EMP0021 Tamanna Dewangan</v>
      </c>
      <c r="J1342" s="91">
        <f t="shared" si="1"/>
        <v>-0.2900127778</v>
      </c>
    </row>
    <row r="1343">
      <c r="B1343" s="76" t="str">
        <f>IFERROR(__xludf.DUMMYFUNCTION("""COMPUTED_VALUE"""),"Debuging the error (Jasper end as well as Query end) and discuss with RM about logic ")</f>
        <v>Debuging the error (Jasper end as well as Query end) and discuss with RM about logic </v>
      </c>
      <c r="C1343" s="82">
        <f>IFERROR(__xludf.DUMMYFUNCTION("""COMPUTED_VALUE"""),5305.0)</f>
        <v>5305</v>
      </c>
      <c r="D1343" s="76" t="str">
        <f>IFERROR(__xludf.DUMMYFUNCTION("""COMPUTED_VALUE"""),"fee details")</f>
        <v>fee details</v>
      </c>
      <c r="E1343" s="84">
        <f>IFERROR(__xludf.DUMMYFUNCTION("""COMPUTED_VALUE"""),46199.674305555556)</f>
        <v>46199.67431</v>
      </c>
      <c r="F1343" s="86">
        <f>IFERROR(__xludf.DUMMYFUNCTION("""COMPUTED_VALUE"""),46199.38286578703)</f>
        <v>46199.38287</v>
      </c>
      <c r="G1343" s="86" t="str">
        <f>IFERROR(__xludf.DUMMYFUNCTION("""COMPUTED_VALUE"""),"Done")</f>
        <v>Done</v>
      </c>
      <c r="H1343" s="88">
        <f>IFERROR(__xludf.DUMMYFUNCTION("""COMPUTED_VALUE"""),0.0)</f>
        <v>0</v>
      </c>
      <c r="I1343" s="90" t="str">
        <f>IFERROR(__xludf.DUMMYFUNCTION("""COMPUTED_VALUE"""),"EMP0021 Tamanna Dewangan")</f>
        <v>EMP0021 Tamanna Dewangan</v>
      </c>
      <c r="J1343" s="91">
        <f t="shared" si="1"/>
        <v>-0.2914397685</v>
      </c>
    </row>
    <row r="1344">
      <c r="B1344" s="76" t="str">
        <f>IFERROR(__xludf.DUMMYFUNCTION("""COMPUTED_VALUE"""),"Debuging the error (Jasper end as well as Query end) and discuss with RM about logic ")</f>
        <v>Debuging the error (Jasper end as well as Query end) and discuss with RM about logic </v>
      </c>
      <c r="C1344" s="82">
        <f>IFERROR(__xludf.DUMMYFUNCTION("""COMPUTED_VALUE"""),5306.0)</f>
        <v>5306</v>
      </c>
      <c r="D1344" s="76" t="str">
        <f>IFERROR(__xludf.DUMMYFUNCTION("""COMPUTED_VALUE"""),"DIGI LOKER Data new")</f>
        <v>DIGI LOKER Data new</v>
      </c>
      <c r="E1344" s="84">
        <f>IFERROR(__xludf.DUMMYFUNCTION("""COMPUTED_VALUE"""),46199.72536237268)</f>
        <v>46199.72536</v>
      </c>
      <c r="F1344" s="86">
        <f>IFERROR(__xludf.DUMMYFUNCTION("""COMPUTED_VALUE"""),46199.46739435185)</f>
        <v>46199.46739</v>
      </c>
      <c r="G1344" s="86" t="str">
        <f>IFERROR(__xludf.DUMMYFUNCTION("""COMPUTED_VALUE"""),"Done")</f>
        <v>Done</v>
      </c>
      <c r="H1344" s="88">
        <f>IFERROR(__xludf.DUMMYFUNCTION("""COMPUTED_VALUE"""),0.0)</f>
        <v>0</v>
      </c>
      <c r="I1344" s="90" t="str">
        <f>IFERROR(__xludf.DUMMYFUNCTION("""COMPUTED_VALUE"""),"EMP5009 Rup Kumar Mandal")</f>
        <v>EMP5009 Rup Kumar Mandal</v>
      </c>
      <c r="J1344" s="91">
        <f t="shared" si="1"/>
        <v>-0.2579680208</v>
      </c>
    </row>
    <row r="1345">
      <c r="B1345" s="76" t="str">
        <f>IFERROR(__xludf.DUMMYFUNCTION("""COMPUTED_VALUE"""),"Debuging the error (Jasper end as well as Query end) and discuss with RM about logic ")</f>
        <v>Debuging the error (Jasper end as well as Query end) and discuss with RM about logic </v>
      </c>
      <c r="C1345" s="82">
        <f>IFERROR(__xludf.DUMMYFUNCTION("""COMPUTED_VALUE"""),5307.0)</f>
        <v>5307</v>
      </c>
      <c r="D1345" s="76" t="str">
        <f>IFERROR(__xludf.DUMMYFUNCTION("""COMPUTED_VALUE"""),"TR BCA ")</f>
        <v>TR BCA </v>
      </c>
      <c r="E1345" s="84">
        <f>IFERROR(__xludf.DUMMYFUNCTION("""COMPUTED_VALUE"""),46200.59722222222)</f>
        <v>46200.59722</v>
      </c>
      <c r="F1345" s="86">
        <f>IFERROR(__xludf.DUMMYFUNCTION("""COMPUTED_VALUE"""),46200.5519221875)</f>
        <v>46200.55192</v>
      </c>
      <c r="G1345" s="86" t="str">
        <f>IFERROR(__xludf.DUMMYFUNCTION("""COMPUTED_VALUE"""),"Done")</f>
        <v>Done</v>
      </c>
      <c r="H1345" s="88">
        <f>IFERROR(__xludf.DUMMYFUNCTION("""COMPUTED_VALUE"""),0.0)</f>
        <v>0</v>
      </c>
      <c r="I1345" s="90" t="str">
        <f>IFERROR(__xludf.DUMMYFUNCTION("""COMPUTED_VALUE"""),"EMP0237 Swarnendu Chakraborty")</f>
        <v>EMP0237 Swarnendu Chakraborty</v>
      </c>
      <c r="J1345" s="91">
        <f t="shared" si="1"/>
        <v>-0.04530003472</v>
      </c>
    </row>
    <row r="1346">
      <c r="B1346" s="76" t="str">
        <f>IFERROR(__xludf.DUMMYFUNCTION("""COMPUTED_VALUE"""),"Debuging the error (Jasper end as well as Query end) and discuss with RM about logic ")</f>
        <v>Debuging the error (Jasper end as well as Query end) and discuss with RM about logic </v>
      </c>
      <c r="C1346" s="82">
        <f>IFERROR(__xludf.DUMMYFUNCTION("""COMPUTED_VALUE"""),5308.0)</f>
        <v>5308</v>
      </c>
      <c r="D1346" s="76" t="str">
        <f>IFERROR(__xludf.DUMMYFUNCTION("""COMPUTED_VALUE"""),"MULTIPLE REPORT ")</f>
        <v>MULTIPLE REPORT </v>
      </c>
      <c r="E1346" s="84">
        <f>IFERROR(__xludf.DUMMYFUNCTION("""COMPUTED_VALUE"""),46200.61597222222)</f>
        <v>46200.61597</v>
      </c>
      <c r="F1346" s="86">
        <f>IFERROR(__xludf.DUMMYFUNCTION("""COMPUTED_VALUE"""),46200.5519424074)</f>
        <v>46200.55194</v>
      </c>
      <c r="G1346" s="86" t="str">
        <f>IFERROR(__xludf.DUMMYFUNCTION("""COMPUTED_VALUE"""),"Done")</f>
        <v>Done</v>
      </c>
      <c r="H1346" s="88">
        <f>IFERROR(__xludf.DUMMYFUNCTION("""COMPUTED_VALUE"""),0.0)</f>
        <v>0</v>
      </c>
      <c r="I1346" s="90" t="str">
        <f>IFERROR(__xludf.DUMMYFUNCTION("""COMPUTED_VALUE"""),"EMP0042 HULESHWAR KUMAR SAHU")</f>
        <v>EMP0042 HULESHWAR KUMAR SAHU</v>
      </c>
      <c r="J1346" s="91">
        <f t="shared" si="1"/>
        <v>-0.06402981482</v>
      </c>
    </row>
    <row r="1347">
      <c r="B1347" s="76" t="str">
        <f>IFERROR(__xludf.DUMMYFUNCTION("""COMPUTED_VALUE"""),"Debuging the error (Jasper end as well as Query end) and discuss with RM about logic ")</f>
        <v>Debuging the error (Jasper end as well as Query end) and discuss with RM about logic </v>
      </c>
      <c r="C1347" s="82">
        <f>IFERROR(__xludf.DUMMYFUNCTION("""COMPUTED_VALUE"""),5309.0)</f>
        <v>5309</v>
      </c>
      <c r="D1347" s="76" t="str">
        <f>IFERROR(__xludf.DUMMYFUNCTION("""COMPUTED_VALUE"""),"MULTIPLE REPORT")</f>
        <v>MULTIPLE REPORT</v>
      </c>
      <c r="E1347" s="84">
        <f>IFERROR(__xludf.DUMMYFUNCTION("""COMPUTED_VALUE"""),46200.74251870371)</f>
        <v>46200.74252</v>
      </c>
      <c r="F1347" s="86">
        <f>IFERROR(__xludf.DUMMYFUNCTION("""COMPUTED_VALUE"""),46200.551958819444)</f>
        <v>46200.55196</v>
      </c>
      <c r="G1347" s="86" t="str">
        <f>IFERROR(__xludf.DUMMYFUNCTION("""COMPUTED_VALUE"""),"Done")</f>
        <v>Done</v>
      </c>
      <c r="H1347" s="88">
        <f>IFERROR(__xludf.DUMMYFUNCTION("""COMPUTED_VALUE"""),0.0)</f>
        <v>0</v>
      </c>
      <c r="I1347" s="90" t="str">
        <f>IFERROR(__xludf.DUMMYFUNCTION("""COMPUTED_VALUE"""),"EMP0042 HULESHWAR KUMAR SAHU")</f>
        <v>EMP0042 HULESHWAR KUMAR SAHU</v>
      </c>
      <c r="J1347" s="91">
        <f t="shared" si="1"/>
        <v>-0.1905598843</v>
      </c>
    </row>
    <row r="1348">
      <c r="B1348" s="76" t="str">
        <f>IFERROR(__xludf.DUMMYFUNCTION("""COMPUTED_VALUE"""),"Debuging the error (Jasper end as well as Query end) and discuss with RM about logic ")</f>
        <v>Debuging the error (Jasper end as well as Query end) and discuss with RM about logic </v>
      </c>
      <c r="C1348" s="82">
        <f>IFERROR(__xludf.DUMMYFUNCTION("""COMPUTED_VALUE"""),5310.0)</f>
        <v>5310</v>
      </c>
      <c r="D1348" s="76" t="str">
        <f>IFERROR(__xludf.DUMMYFUNCTION("""COMPUTED_VALUE"""),"TR/Result hosting -new cbcs tr ")</f>
        <v>TR/Result hosting -new cbcs tr </v>
      </c>
      <c r="E1348" s="84">
        <f>IFERROR(__xludf.DUMMYFUNCTION("""COMPUTED_VALUE"""),46200.758454606475)</f>
        <v>46200.75845</v>
      </c>
      <c r="F1348" s="86">
        <f>IFERROR(__xludf.DUMMYFUNCTION("""COMPUTED_VALUE"""),46200.551877453705)</f>
        <v>46200.55188</v>
      </c>
      <c r="G1348" s="86" t="str">
        <f>IFERROR(__xludf.DUMMYFUNCTION("""COMPUTED_VALUE"""),"Done")</f>
        <v>Done</v>
      </c>
      <c r="H1348" s="88">
        <f>IFERROR(__xludf.DUMMYFUNCTION("""COMPUTED_VALUE"""),0.0)</f>
        <v>0</v>
      </c>
      <c r="I1348" s="90" t="str">
        <f>IFERROR(__xludf.DUMMYFUNCTION("""COMPUTED_VALUE"""),"EMP0237 Swarnendu Chakraborty")</f>
        <v>EMP0237 Swarnendu Chakraborty</v>
      </c>
      <c r="J1348" s="91">
        <f t="shared" si="1"/>
        <v>-0.2065771528</v>
      </c>
    </row>
    <row r="1349">
      <c r="B1349" s="76" t="str">
        <f>IFERROR(__xludf.DUMMYFUNCTION("""COMPUTED_VALUE"""),"Debuging the error (Jasper end as well as Query end) and discuss with RM about logic ")</f>
        <v>Debuging the error (Jasper end as well as Query end) and discuss with RM about logic </v>
      </c>
      <c r="C1349" s="82">
        <f>IFERROR(__xludf.DUMMYFUNCTION("""COMPUTED_VALUE"""),5311.0)</f>
        <v>5311</v>
      </c>
      <c r="D1349" s="76" t="str">
        <f>IFERROR(__xludf.DUMMYFUNCTION("""COMPUTED_VALUE"""),"nad")</f>
        <v>nad</v>
      </c>
      <c r="E1349" s="84">
        <f>IFERROR(__xludf.DUMMYFUNCTION("""COMPUTED_VALUE"""),46202.61944444444)</f>
        <v>46202.61944</v>
      </c>
      <c r="F1349" s="86">
        <f>IFERROR(__xludf.DUMMYFUNCTION("""COMPUTED_VALUE"""),46202.45774348379)</f>
        <v>46202.45774</v>
      </c>
      <c r="G1349" s="86" t="str">
        <f>IFERROR(__xludf.DUMMYFUNCTION("""COMPUTED_VALUE"""),"Done")</f>
        <v>Done</v>
      </c>
      <c r="H1349" s="88">
        <f>IFERROR(__xludf.DUMMYFUNCTION("""COMPUTED_VALUE"""),0.0)</f>
        <v>0</v>
      </c>
      <c r="I1349" s="90" t="str">
        <f>IFERROR(__xludf.DUMMYFUNCTION("""COMPUTED_VALUE"""),"EMP5009 Rup Kumar Mandal")</f>
        <v>EMP5009 Rup Kumar Mandal</v>
      </c>
      <c r="J1349" s="91">
        <f t="shared" si="1"/>
        <v>-0.1617009606</v>
      </c>
    </row>
    <row r="1350">
      <c r="B1350" s="76" t="str">
        <f>IFERROR(__xludf.DUMMYFUNCTION("""COMPUTED_VALUE"""),"Debuging the error (Jasper end as well as Query end) and discuss with RM about logic ")</f>
        <v>Debuging the error (Jasper end as well as Query end) and discuss with RM about logic </v>
      </c>
      <c r="C1350" s="82">
        <f>IFERROR(__xludf.DUMMYFUNCTION("""COMPUTED_VALUE"""),5312.0)</f>
        <v>5312</v>
      </c>
      <c r="D1350" s="76" t="str">
        <f>IFERROR(__xludf.DUMMYFUNCTION("""COMPUTED_VALUE"""),"tr result new")</f>
        <v>tr result new</v>
      </c>
      <c r="E1350" s="84">
        <f>IFERROR(__xludf.DUMMYFUNCTION("""COMPUTED_VALUE"""),46202.76536920139)</f>
        <v>46202.76537</v>
      </c>
      <c r="F1350" s="86">
        <f>IFERROR(__xludf.DUMMYFUNCTION("""COMPUTED_VALUE"""),46202.51208633102)</f>
        <v>46202.51209</v>
      </c>
      <c r="G1350" s="86" t="str">
        <f>IFERROR(__xludf.DUMMYFUNCTION("""COMPUTED_VALUE"""),"Done")</f>
        <v>Done</v>
      </c>
      <c r="H1350" s="88">
        <f>IFERROR(__xludf.DUMMYFUNCTION("""COMPUTED_VALUE"""),0.0)</f>
        <v>0</v>
      </c>
      <c r="I1350" s="90" t="str">
        <f>IFERROR(__xludf.DUMMYFUNCTION("""COMPUTED_VALUE"""),"EMP0042 HULESHWAR KUMAR SAHU")</f>
        <v>EMP0042 HULESHWAR KUMAR SAHU</v>
      </c>
      <c r="J1350" s="91">
        <f t="shared" si="1"/>
        <v>-0.2532828704</v>
      </c>
    </row>
    <row r="1351">
      <c r="B1351" s="76" t="str">
        <f>IFERROR(__xludf.DUMMYFUNCTION("""COMPUTED_VALUE"""),"Debuging the error (Jasper end as well as Query end) and discuss with RM about logic ")</f>
        <v>Debuging the error (Jasper end as well as Query end) and discuss with RM about logic </v>
      </c>
      <c r="C1351" s="82">
        <f>IFERROR(__xludf.DUMMYFUNCTION("""COMPUTED_VALUE"""),5313.0)</f>
        <v>5313</v>
      </c>
      <c r="D1351" s="76" t="str">
        <f>IFERROR(__xludf.DUMMYFUNCTION("""COMPUTED_VALUE"""),"Exam Programme")</f>
        <v>Exam Programme</v>
      </c>
      <c r="E1351" s="84">
        <f>IFERROR(__xludf.DUMMYFUNCTION("""COMPUTED_VALUE"""),46203.55902777778)</f>
        <v>46203.55903</v>
      </c>
      <c r="F1351" s="86">
        <f>IFERROR(__xludf.DUMMYFUNCTION("""COMPUTED_VALUE"""),46202.68954953703)</f>
        <v>46202.68955</v>
      </c>
      <c r="G1351" s="86" t="str">
        <f>IFERROR(__xludf.DUMMYFUNCTION("""COMPUTED_VALUE"""),"Done")</f>
        <v>Done</v>
      </c>
      <c r="H1351" s="88">
        <f>IFERROR(__xludf.DUMMYFUNCTION("""COMPUTED_VALUE"""),0.0)</f>
        <v>0</v>
      </c>
      <c r="I1351" s="90" t="str">
        <f>IFERROR(__xludf.DUMMYFUNCTION("""COMPUTED_VALUE"""),"EMP0042 HULESHWAR KUMAR SAHU")</f>
        <v>EMP0042 HULESHWAR KUMAR SAHU</v>
      </c>
      <c r="J1351" s="91">
        <f t="shared" si="1"/>
        <v>-0.8694782407</v>
      </c>
    </row>
    <row r="1352">
      <c r="B1352" s="76" t="str">
        <f>IFERROR(__xludf.DUMMYFUNCTION("""COMPUTED_VALUE"""),"Debuging the error (Jasper end as well as Query end) and discuss with RM about logic ")</f>
        <v>Debuging the error (Jasper end as well as Query end) and discuss with RM about logic </v>
      </c>
      <c r="C1352" s="82">
        <f>IFERROR(__xludf.DUMMYFUNCTION("""COMPUTED_VALUE"""),5314.0)</f>
        <v>5314</v>
      </c>
      <c r="D1352" s="76" t="str">
        <f>IFERROR(__xludf.DUMMYFUNCTION("""COMPUTED_VALUE"""),"student data")</f>
        <v>student data</v>
      </c>
      <c r="E1352" s="84">
        <f>IFERROR(__xludf.DUMMYFUNCTION("""COMPUTED_VALUE"""),46203.76695292824)</f>
        <v>46203.76695</v>
      </c>
      <c r="F1352" s="86">
        <f>IFERROR(__xludf.DUMMYFUNCTION("""COMPUTED_VALUE"""),46203.675033217594)</f>
        <v>46203.67503</v>
      </c>
      <c r="G1352" s="86" t="str">
        <f>IFERROR(__xludf.DUMMYFUNCTION("""COMPUTED_VALUE"""),"Done")</f>
        <v>Done</v>
      </c>
      <c r="H1352" s="88">
        <f>IFERROR(__xludf.DUMMYFUNCTION("""COMPUTED_VALUE"""),0.0)</f>
        <v>0</v>
      </c>
      <c r="I1352" s="90" t="str">
        <f>IFERROR(__xludf.DUMMYFUNCTION("""COMPUTED_VALUE"""),"EMP0042 HULESHWAR KUMAR SAHU")</f>
        <v>EMP0042 HULESHWAR KUMAR SAHU</v>
      </c>
      <c r="J1352" s="91">
        <f t="shared" si="1"/>
        <v>-0.09191971065</v>
      </c>
    </row>
    <row r="1353">
      <c r="B1353" s="76" t="str">
        <f>IFERROR(__xludf.DUMMYFUNCTION("""COMPUTED_VALUE"""),"Debuging the error (Jasper end as well as Query end) and discuss with RM about logic ")</f>
        <v>Debuging the error (Jasper end as well as Query end) and discuss with RM about logic </v>
      </c>
      <c r="C1353" s="82">
        <f>IFERROR(__xludf.DUMMYFUNCTION("""COMPUTED_VALUE"""),5315.0)</f>
        <v>5315</v>
      </c>
      <c r="D1353" s="76" t="str">
        <f>IFERROR(__xludf.DUMMYFUNCTION("""COMPUTED_VALUE"""),"Result Datils ")</f>
        <v>Result Datils </v>
      </c>
      <c r="E1353" s="84">
        <f>IFERROR(__xludf.DUMMYFUNCTION("""COMPUTED_VALUE"""),46203.78489462963)</f>
        <v>46203.78489</v>
      </c>
      <c r="F1353" s="86">
        <f>IFERROR(__xludf.DUMMYFUNCTION("""COMPUTED_VALUE"""),46203.67323173612)</f>
        <v>46203.67323</v>
      </c>
      <c r="G1353" s="86" t="str">
        <f>IFERROR(__xludf.DUMMYFUNCTION("""COMPUTED_VALUE"""),"Done")</f>
        <v>Done</v>
      </c>
      <c r="H1353" s="88">
        <f>IFERROR(__xludf.DUMMYFUNCTION("""COMPUTED_VALUE"""),0.0)</f>
        <v>0</v>
      </c>
      <c r="I1353" s="90" t="str">
        <f>IFERROR(__xludf.DUMMYFUNCTION("""COMPUTED_VALUE"""),"EMP0237 Swarnendu Chakraborty")</f>
        <v>EMP0237 Swarnendu Chakraborty</v>
      </c>
      <c r="J1353" s="91">
        <f t="shared" si="1"/>
        <v>-0.1116628935</v>
      </c>
    </row>
    <row r="1354">
      <c r="B1354" s="76" t="str">
        <f>IFERROR(__xludf.DUMMYFUNCTION("""COMPUTED_VALUE"""),"Debuging the error (Jasper end as well as Query end) and discuss with RM about logic ")</f>
        <v>Debuging the error (Jasper end as well as Query end) and discuss with RM about logic </v>
      </c>
      <c r="C1354" s="82">
        <f>IFERROR(__xludf.DUMMYFUNCTION("""COMPUTED_VALUE"""),5316.0)</f>
        <v>5316</v>
      </c>
      <c r="D1354" s="76" t="str">
        <f>IFERROR(__xludf.DUMMYFUNCTION("""COMPUTED_VALUE"""),"mark entery  report")</f>
        <v>mark entery  report</v>
      </c>
      <c r="E1354" s="84">
        <f>IFERROR(__xludf.DUMMYFUNCTION("""COMPUTED_VALUE"""),46204.486805555556)</f>
        <v>46204.48681</v>
      </c>
      <c r="F1354" s="86">
        <f>IFERROR(__xludf.DUMMYFUNCTION("""COMPUTED_VALUE"""),46203.67507487269)</f>
        <v>46203.67507</v>
      </c>
      <c r="G1354" s="86" t="str">
        <f>IFERROR(__xludf.DUMMYFUNCTION("""COMPUTED_VALUE"""),"Done")</f>
        <v>Done</v>
      </c>
      <c r="H1354" s="88">
        <f>IFERROR(__xludf.DUMMYFUNCTION("""COMPUTED_VALUE"""),0.0)</f>
        <v>0</v>
      </c>
      <c r="I1354" s="90" t="str">
        <f>IFERROR(__xludf.DUMMYFUNCTION("""COMPUTED_VALUE"""),"EMP0042 HULESHWAR KUMAR SAHU")</f>
        <v>EMP0042 HULESHWAR KUMAR SAHU</v>
      </c>
      <c r="J1354" s="91">
        <f t="shared" si="1"/>
        <v>-0.8117306829</v>
      </c>
    </row>
    <row r="1355">
      <c r="B1355" s="76" t="str">
        <f>IFERROR(__xludf.DUMMYFUNCTION("""COMPUTED_VALUE"""),"Debuging the error (Jasper end as well as Query end) and discuss with RM about logic ")</f>
        <v>Debuging the error (Jasper end as well as Query end) and discuss with RM about logic </v>
      </c>
      <c r="C1355" s="82">
        <f>IFERROR(__xludf.DUMMYFUNCTION("""COMPUTED_VALUE"""),5317.0)</f>
        <v>5317</v>
      </c>
      <c r="D1355" s="76" t="str">
        <f>IFERROR(__xludf.DUMMYFUNCTION("""COMPUTED_VALUE"""),"TR PARAMEDICAL NEW LOGIC")</f>
        <v>TR PARAMEDICAL NEW LOGIC</v>
      </c>
      <c r="E1355" s="84">
        <f>IFERROR(__xludf.DUMMYFUNCTION("""COMPUTED_VALUE"""),46204.52777777778)</f>
        <v>46204.52778</v>
      </c>
      <c r="F1355" s="86">
        <f>IFERROR(__xludf.DUMMYFUNCTION("""COMPUTED_VALUE"""),46203.67520694444)</f>
        <v>46203.67521</v>
      </c>
      <c r="G1355" s="86" t="str">
        <f>IFERROR(__xludf.DUMMYFUNCTION("""COMPUTED_VALUE"""),"Done")</f>
        <v>Done</v>
      </c>
      <c r="H1355" s="88">
        <f>IFERROR(__xludf.DUMMYFUNCTION("""COMPUTED_VALUE"""),0.0)</f>
        <v>0</v>
      </c>
      <c r="I1355" s="90" t="str">
        <f>IFERROR(__xludf.DUMMYFUNCTION("""COMPUTED_VALUE"""),"EMP0042 HULESHWAR KUMAR SAHU")</f>
        <v>EMP0042 HULESHWAR KUMAR SAHU</v>
      </c>
      <c r="J1355" s="91">
        <f t="shared" si="1"/>
        <v>-0.8525708333</v>
      </c>
    </row>
    <row r="1356">
      <c r="B1356" s="76" t="str">
        <f>IFERROR(__xludf.DUMMYFUNCTION("""COMPUTED_VALUE"""),"Debuging the error (Jasper end as well as Query end) and discuss with RM about logic ")</f>
        <v>Debuging the error (Jasper end as well as Query end) and discuss with RM about logic </v>
      </c>
      <c r="C1356" s="82">
        <f>IFERROR(__xludf.DUMMYFUNCTION("""COMPUTED_VALUE"""),5318.0)</f>
        <v>5318</v>
      </c>
      <c r="D1356" s="76" t="str">
        <f>IFERROR(__xludf.DUMMYFUNCTION("""COMPUTED_VALUE"""),"Multiple Report (Transcript)")</f>
        <v>Multiple Report (Transcript)</v>
      </c>
      <c r="E1356" s="84">
        <f>IFERROR(__xludf.DUMMYFUNCTION("""COMPUTED_VALUE"""),46204.54513888889)</f>
        <v>46204.54514</v>
      </c>
      <c r="F1356" s="86">
        <f>IFERROR(__xludf.DUMMYFUNCTION("""COMPUTED_VALUE"""),46203.783256979164)</f>
        <v>46203.78326</v>
      </c>
      <c r="G1356" s="86" t="str">
        <f>IFERROR(__xludf.DUMMYFUNCTION("""COMPUTED_VALUE"""),"Done")</f>
        <v>Done</v>
      </c>
      <c r="H1356" s="88">
        <f>IFERROR(__xludf.DUMMYFUNCTION("""COMPUTED_VALUE"""),0.0)</f>
        <v>0</v>
      </c>
      <c r="I1356" s="90" t="str">
        <f>IFERROR(__xludf.DUMMYFUNCTION("""COMPUTED_VALUE"""),"EMP0237 Swarnendu Chakraborty")</f>
        <v>EMP0237 Swarnendu Chakraborty</v>
      </c>
      <c r="J1356" s="91">
        <f t="shared" si="1"/>
        <v>-0.7618819097</v>
      </c>
    </row>
    <row r="1357">
      <c r="B1357" s="76" t="str">
        <f>IFERROR(__xludf.DUMMYFUNCTION("""COMPUTED_VALUE"""),"Debuging the error (Jasper end as well as Query end) and discuss with RM about logic ")</f>
        <v>Debuging the error (Jasper end as well as Query end) and discuss with RM about logic </v>
      </c>
      <c r="C1357" s="82">
        <f>IFERROR(__xludf.DUMMYFUNCTION("""COMPUTED_VALUE"""),5319.0)</f>
        <v>5319</v>
      </c>
      <c r="D1357" s="76" t="str">
        <f>IFERROR(__xludf.DUMMYFUNCTION("""COMPUTED_VALUE"""),"2577")</f>
        <v>2577</v>
      </c>
      <c r="E1357" s="84">
        <f>IFERROR(__xludf.DUMMYFUNCTION("""COMPUTED_VALUE"""),46204.71388888889)</f>
        <v>46204.71389</v>
      </c>
      <c r="F1357" s="86">
        <f>IFERROR(__xludf.DUMMYFUNCTION("""COMPUTED_VALUE"""),46204.4394675)</f>
        <v>46204.43947</v>
      </c>
      <c r="G1357" s="86" t="str">
        <f>IFERROR(__xludf.DUMMYFUNCTION("""COMPUTED_VALUE"""),"Done")</f>
        <v>Done</v>
      </c>
      <c r="H1357" s="88">
        <f>IFERROR(__xludf.DUMMYFUNCTION("""COMPUTED_VALUE"""),0.0)</f>
        <v>0</v>
      </c>
      <c r="I1357" s="90" t="str">
        <f>IFERROR(__xludf.DUMMYFUNCTION("""COMPUTED_VALUE"""),"EMP5009 Rup Kumar Mandal")</f>
        <v>EMP5009 Rup Kumar Mandal</v>
      </c>
      <c r="J1357" s="91">
        <f t="shared" si="1"/>
        <v>-0.2744213889</v>
      </c>
    </row>
    <row r="1358">
      <c r="B1358" s="76" t="str">
        <f>IFERROR(__xludf.DUMMYFUNCTION("""COMPUTED_VALUE"""),"Debuging the error (Jasper end as well as Query end) and discuss with RM about logic ")</f>
        <v>Debuging the error (Jasper end as well as Query end) and discuss with RM about logic </v>
      </c>
      <c r="C1358" s="82">
        <f>IFERROR(__xludf.DUMMYFUNCTION("""COMPUTED_VALUE"""),5320.0)</f>
        <v>5320</v>
      </c>
      <c r="D1358" s="76" t="str">
        <f>IFERROR(__xludf.DUMMYFUNCTION("""COMPUTED_VALUE"""),"Analysis")</f>
        <v>Analysis</v>
      </c>
      <c r="E1358" s="84">
        <f>IFERROR(__xludf.DUMMYFUNCTION("""COMPUTED_VALUE"""),46205.47222222222)</f>
        <v>46205.47222</v>
      </c>
      <c r="F1358" s="86">
        <f>IFERROR(__xludf.DUMMYFUNCTION("""COMPUTED_VALUE"""),46204.64135690973)</f>
        <v>46204.64136</v>
      </c>
      <c r="G1358" s="86" t="str">
        <f>IFERROR(__xludf.DUMMYFUNCTION("""COMPUTED_VALUE"""),"Done")</f>
        <v>Done</v>
      </c>
      <c r="H1358" s="88">
        <f>IFERROR(__xludf.DUMMYFUNCTION("""COMPUTED_VALUE"""),0.0)</f>
        <v>0</v>
      </c>
      <c r="I1358" s="90" t="str">
        <f>IFERROR(__xludf.DUMMYFUNCTION("""COMPUTED_VALUE"""),"EMP0021 Tamanna Dewangan")</f>
        <v>EMP0021 Tamanna Dewangan</v>
      </c>
      <c r="J1358" s="91">
        <f t="shared" si="1"/>
        <v>-0.8308653125</v>
      </c>
    </row>
    <row r="1359">
      <c r="B1359" s="76" t="str">
        <f>IFERROR(__xludf.DUMMYFUNCTION("""COMPUTED_VALUE"""),"Debuging the error (Jasper end as well as Query end) and discuss with RM about logic ")</f>
        <v>Debuging the error (Jasper end as well as Query end) and discuss with RM about logic </v>
      </c>
      <c r="C1359" s="82">
        <f>IFERROR(__xludf.DUMMYFUNCTION("""COMPUTED_VALUE"""),5321.0)</f>
        <v>5321</v>
      </c>
      <c r="D1359" s="76" t="str">
        <f>IFERROR(__xludf.DUMMYFUNCTION("""COMPUTED_VALUE"""),"Analysis")</f>
        <v>Analysis</v>
      </c>
      <c r="E1359" s="84">
        <f>IFERROR(__xludf.DUMMYFUNCTION("""COMPUTED_VALUE"""),46205.47361111111)</f>
        <v>46205.47361</v>
      </c>
      <c r="F1359" s="86">
        <f>IFERROR(__xludf.DUMMYFUNCTION("""COMPUTED_VALUE"""),46204.64137405092)</f>
        <v>46204.64137</v>
      </c>
      <c r="G1359" s="86" t="str">
        <f>IFERROR(__xludf.DUMMYFUNCTION("""COMPUTED_VALUE"""),"Done")</f>
        <v>Done</v>
      </c>
      <c r="H1359" s="88">
        <f>IFERROR(__xludf.DUMMYFUNCTION("""COMPUTED_VALUE"""),0.0)</f>
        <v>0</v>
      </c>
      <c r="I1359" s="90" t="str">
        <f>IFERROR(__xludf.DUMMYFUNCTION("""COMPUTED_VALUE"""),"EMP0021 Tamanna Dewangan")</f>
        <v>EMP0021 Tamanna Dewangan</v>
      </c>
      <c r="J1359" s="91">
        <f t="shared" si="1"/>
        <v>-0.8322370602</v>
      </c>
    </row>
    <row r="1360">
      <c r="B1360" s="76" t="str">
        <f>IFERROR(__xludf.DUMMYFUNCTION("""COMPUTED_VALUE"""),"Debuging the error (Jasper end as well as Query end) and discuss with RM about logic ")</f>
        <v>Debuging the error (Jasper end as well as Query end) and discuss with RM about logic </v>
      </c>
      <c r="C1360" s="82">
        <f>IFERROR(__xludf.DUMMYFUNCTION("""COMPUTED_VALUE"""),5322.0)</f>
        <v>5322</v>
      </c>
      <c r="D1360" s="76" t="str">
        <f>IFERROR(__xludf.DUMMYFUNCTION("""COMPUTED_VALUE"""),"Analysis")</f>
        <v>Analysis</v>
      </c>
      <c r="E1360" s="84">
        <f>IFERROR(__xludf.DUMMYFUNCTION("""COMPUTED_VALUE"""),46205.47430555556)</f>
        <v>46205.47431</v>
      </c>
      <c r="F1360" s="86">
        <f>IFERROR(__xludf.DUMMYFUNCTION("""COMPUTED_VALUE"""),46204.641392303245)</f>
        <v>46204.64139</v>
      </c>
      <c r="G1360" s="86" t="str">
        <f>IFERROR(__xludf.DUMMYFUNCTION("""COMPUTED_VALUE"""),"Done")</f>
        <v>Done</v>
      </c>
      <c r="H1360" s="88">
        <f>IFERROR(__xludf.DUMMYFUNCTION("""COMPUTED_VALUE"""),0.0)</f>
        <v>0</v>
      </c>
      <c r="I1360" s="90" t="str">
        <f>IFERROR(__xludf.DUMMYFUNCTION("""COMPUTED_VALUE"""),"EMP0021 Tamanna Dewangan")</f>
        <v>EMP0021 Tamanna Dewangan</v>
      </c>
      <c r="J1360" s="91">
        <f t="shared" si="1"/>
        <v>-0.8329132523</v>
      </c>
    </row>
    <row r="1361">
      <c r="B1361" s="76" t="str">
        <f>IFERROR(__xludf.DUMMYFUNCTION("""COMPUTED_VALUE"""),"Debuging the error (Jasper end as well as Query end) and discuss with RM about logic ")</f>
        <v>Debuging the error (Jasper end as well as Query end) and discuss with RM about logic </v>
      </c>
      <c r="C1361" s="82">
        <f>IFERROR(__xludf.DUMMYFUNCTION("""COMPUTED_VALUE"""),5323.0)</f>
        <v>5323</v>
      </c>
      <c r="D1361" s="76" t="str">
        <f>IFERROR(__xludf.DUMMYFUNCTION("""COMPUTED_VALUE"""),"TR AGRICULTURE 1st To 8th sem supply")</f>
        <v>TR AGRICULTURE 1st To 8th sem supply</v>
      </c>
      <c r="E1361" s="84">
        <f>IFERROR(__xludf.DUMMYFUNCTION("""COMPUTED_VALUE"""),46205.47777777778)</f>
        <v>46205.47778</v>
      </c>
      <c r="F1361" s="86">
        <f>IFERROR(__xludf.DUMMYFUNCTION("""COMPUTED_VALUE"""),46204.64141474536)</f>
        <v>46204.64141</v>
      </c>
      <c r="G1361" s="86" t="str">
        <f>IFERROR(__xludf.DUMMYFUNCTION("""COMPUTED_VALUE"""),"Done")</f>
        <v>Done</v>
      </c>
      <c r="H1361" s="88">
        <f>IFERROR(__xludf.DUMMYFUNCTION("""COMPUTED_VALUE"""),0.0)</f>
        <v>0</v>
      </c>
      <c r="I1361" s="90" t="str">
        <f>IFERROR(__xludf.DUMMYFUNCTION("""COMPUTED_VALUE"""),"EMP0042 HULESHWAR KUMAR SAHU")</f>
        <v>EMP0042 HULESHWAR KUMAR SAHU</v>
      </c>
      <c r="J1361" s="91">
        <f t="shared" si="1"/>
        <v>-0.8363630324</v>
      </c>
    </row>
    <row r="1362">
      <c r="B1362" s="76" t="str">
        <f>IFERROR(__xludf.DUMMYFUNCTION("""COMPUTED_VALUE"""),"Debuging the error (Jasper end as well as Query end) and discuss with RM about logic ")</f>
        <v>Debuging the error (Jasper end as well as Query end) and discuss with RM about logic </v>
      </c>
      <c r="C1362" s="82">
        <f>IFERROR(__xludf.DUMMYFUNCTION("""COMPUTED_VALUE"""),5324.0)</f>
        <v>5324</v>
      </c>
      <c r="D1362" s="76" t="str">
        <f>IFERROR(__xludf.DUMMYFUNCTION("""COMPUTED_VALUE"""),"OLD DMC REPORT")</f>
        <v>OLD DMC REPORT</v>
      </c>
      <c r="E1362" s="84">
        <f>IFERROR(__xludf.DUMMYFUNCTION("""COMPUTED_VALUE"""),46205.53472222222)</f>
        <v>46205.53472</v>
      </c>
      <c r="F1362" s="86">
        <f>IFERROR(__xludf.DUMMYFUNCTION("""COMPUTED_VALUE"""),46204.71769315972)</f>
        <v>46204.71769</v>
      </c>
      <c r="G1362" s="86" t="str">
        <f>IFERROR(__xludf.DUMMYFUNCTION("""COMPUTED_VALUE"""),"Done")</f>
        <v>Done</v>
      </c>
      <c r="H1362" s="88">
        <f>IFERROR(__xludf.DUMMYFUNCTION("""COMPUTED_VALUE"""),0.0)</f>
        <v>0</v>
      </c>
      <c r="I1362" s="90" t="str">
        <f>IFERROR(__xludf.DUMMYFUNCTION("""COMPUTED_VALUE"""),"EMP0237 Swarnendu Chakraborty")</f>
        <v>EMP0237 Swarnendu Chakraborty</v>
      </c>
      <c r="J1362" s="91">
        <f t="shared" si="1"/>
        <v>-0.8170290625</v>
      </c>
    </row>
    <row r="1363">
      <c r="B1363" s="76" t="str">
        <f>IFERROR(__xludf.DUMMYFUNCTION("""COMPUTED_VALUE"""),"Debuging the error (Jasper end as well as Query end) and discuss with RM about logic ")</f>
        <v>Debuging the error (Jasper end as well as Query end) and discuss with RM about logic </v>
      </c>
      <c r="C1363" s="82">
        <f>IFERROR(__xludf.DUMMYFUNCTION("""COMPUTED_VALUE"""),5325.0)</f>
        <v>5325</v>
      </c>
      <c r="D1363" s="76" t="str">
        <f>IFERROR(__xludf.DUMMYFUNCTION("""COMPUTED_VALUE"""),"REVEL")</f>
        <v>REVEL</v>
      </c>
      <c r="E1363" s="84">
        <f>IFERROR(__xludf.DUMMYFUNCTION("""COMPUTED_VALUE"""),46206.6125)</f>
        <v>46206.6125</v>
      </c>
      <c r="F1363" s="86">
        <f>IFERROR(__xludf.DUMMYFUNCTION("""COMPUTED_VALUE"""),46206.48129571759)</f>
        <v>46206.4813</v>
      </c>
      <c r="G1363" s="86" t="str">
        <f>IFERROR(__xludf.DUMMYFUNCTION("""COMPUTED_VALUE"""),"Done")</f>
        <v>Done</v>
      </c>
      <c r="H1363" s="88">
        <f>IFERROR(__xludf.DUMMYFUNCTION("""COMPUTED_VALUE"""),0.0)</f>
        <v>0</v>
      </c>
      <c r="I1363" s="90" t="str">
        <f>IFERROR(__xludf.DUMMYFUNCTION("""COMPUTED_VALUE"""),"EMP0042 HULESHWAR KUMAR SAHU")</f>
        <v>EMP0042 HULESHWAR KUMAR SAHU</v>
      </c>
      <c r="J1363" s="91">
        <f t="shared" si="1"/>
        <v>-0.1312042824</v>
      </c>
    </row>
    <row r="1364">
      <c r="B1364" s="76" t="str">
        <f>IFERROR(__xludf.DUMMYFUNCTION("""COMPUTED_VALUE"""),"Debuging the error (Jasper end as well as Query end) and discuss with RM about logic ")</f>
        <v>Debuging the error (Jasper end as well as Query end) and discuss with RM about logic </v>
      </c>
      <c r="C1364" s="82">
        <f>IFERROR(__xludf.DUMMYFUNCTION("""COMPUTED_VALUE"""),5326.0)</f>
        <v>5326</v>
      </c>
      <c r="D1364" s="76" t="str">
        <f>IFERROR(__xludf.DUMMYFUNCTION("""COMPUTED_VALUE"""),"Attendance Sheet Re Appear HCEK-203 - Happy College of Education, Railway Station, Kosli (Rewari) Annual ( Annual) UG (B.ED(ADDI))-BACHELOR OF EDUCATION(additional)_SE22")</f>
        <v>Attendance Sheet Re Appear HCEK-203 - Happy College of Education, Railway Station, Kosli (Rewari) Annual ( Annual) UG (B.ED(ADDI))-BACHELOR OF EDUCATION(additional)_SE22</v>
      </c>
      <c r="E1364" s="84">
        <f>IFERROR(__xludf.DUMMYFUNCTION("""COMPUTED_VALUE"""),46206.74709340278)</f>
        <v>46206.74709</v>
      </c>
      <c r="F1364" s="86">
        <f>IFERROR(__xludf.DUMMYFUNCTION("""COMPUTED_VALUE"""),46206.46989798611)</f>
        <v>46206.4699</v>
      </c>
      <c r="G1364" s="86" t="str">
        <f>IFERROR(__xludf.DUMMYFUNCTION("""COMPUTED_VALUE"""),"Done")</f>
        <v>Done</v>
      </c>
      <c r="H1364" s="88">
        <f>IFERROR(__xludf.DUMMYFUNCTION("""COMPUTED_VALUE"""),0.0)</f>
        <v>0</v>
      </c>
      <c r="I1364" s="90" t="str">
        <f>IFERROR(__xludf.DUMMYFUNCTION("""COMPUTED_VALUE"""),"EMP0042 HULESHWAR KUMAR SAHU")</f>
        <v>EMP0042 HULESHWAR KUMAR SAHU</v>
      </c>
      <c r="J1364" s="91">
        <f t="shared" si="1"/>
        <v>-0.2771954167</v>
      </c>
    </row>
    <row r="1365">
      <c r="B1365" s="76" t="str">
        <f>IFERROR(__xludf.DUMMYFUNCTION("""COMPUTED_VALUE"""),"Debuging the error (Jasper end as well as Query end) and discuss with RM about logic ")</f>
        <v>Debuging the error (Jasper end as well as Query end) and discuss with RM about logic </v>
      </c>
      <c r="C1365" s="82">
        <f>IFERROR(__xludf.DUMMYFUNCTION("""COMPUTED_VALUE"""),5327.0)</f>
        <v>5327</v>
      </c>
      <c r="D1365" s="76" t="str">
        <f>IFERROR(__xludf.DUMMYFUNCTION("""COMPUTED_VALUE"""),"Theory Attendance Sheet SCEM-188 - Saraswati College of Education, Majra Kalan, Mohindergarh Annual ( Annual) UG BACHELOR OF EDUCATION(additional) ( B.ED(ADDI))_SE22")</f>
        <v>Theory Attendance Sheet SCEM-188 - Saraswati College of Education, Majra Kalan, Mohindergarh Annual ( Annual) UG BACHELOR OF EDUCATION(additional) ( B.ED(ADDI))_SE22</v>
      </c>
      <c r="E1365" s="84">
        <f>IFERROR(__xludf.DUMMYFUNCTION("""COMPUTED_VALUE"""),46206.74871144676)</f>
        <v>46206.74871</v>
      </c>
      <c r="F1365" s="86">
        <f>IFERROR(__xludf.DUMMYFUNCTION("""COMPUTED_VALUE"""),46206.481107569445)</f>
        <v>46206.48111</v>
      </c>
      <c r="G1365" s="86" t="str">
        <f>IFERROR(__xludf.DUMMYFUNCTION("""COMPUTED_VALUE"""),"Done")</f>
        <v>Done</v>
      </c>
      <c r="H1365" s="88">
        <f>IFERROR(__xludf.DUMMYFUNCTION("""COMPUTED_VALUE"""),0.0)</f>
        <v>0</v>
      </c>
      <c r="I1365" s="90" t="str">
        <f>IFERROR(__xludf.DUMMYFUNCTION("""COMPUTED_VALUE"""),"EMP0021 Tamanna Dewangan")</f>
        <v>EMP0021 Tamanna Dewangan</v>
      </c>
      <c r="J1365" s="91">
        <f t="shared" si="1"/>
        <v>-0.2676038773</v>
      </c>
    </row>
    <row r="1366">
      <c r="B1366" s="76" t="str">
        <f>IFERROR(__xludf.DUMMYFUNCTION("""COMPUTED_VALUE"""),"Debuging the error (Jasper end as well as Query end) and discuss with RM about logic ")</f>
        <v>Debuging the error (Jasper end as well as Query end) and discuss with RM about logic </v>
      </c>
      <c r="C1366" s="82">
        <f>IFERROR(__xludf.DUMMYFUNCTION("""COMPUTED_VALUE"""),5328.0)</f>
        <v>5328</v>
      </c>
      <c r="D1366" s="76" t="str">
        <f>IFERROR(__xludf.DUMMYFUNCTION("""COMPUTED_VALUE"""),"CBCS AND CGP 8th SEM (FINAL TR COMBINED) Eighth Semester ( Sem - 8) UG BACHELOR OF HOTEL MANAGEMENT &amp; CATERING TECHNOLOGY (B.H.M.C.T) ( B.H.M.C.T)_SE22")</f>
        <v>CBCS AND CGP 8th SEM (FINAL TR COMBINED) Eighth Semester ( Sem - 8) UG BACHELOR OF HOTEL MANAGEMENT &amp; CATERING TECHNOLOGY (B.H.M.C.T) ( B.H.M.C.T)_SE22</v>
      </c>
      <c r="E1366" s="84">
        <f>IFERROR(__xludf.DUMMYFUNCTION("""COMPUTED_VALUE"""),46206.76923221065)</f>
        <v>46206.76923</v>
      </c>
      <c r="F1366" s="86">
        <f>IFERROR(__xludf.DUMMYFUNCTION("""COMPUTED_VALUE"""),46206.49684806712)</f>
        <v>46206.49685</v>
      </c>
      <c r="G1366" s="86" t="str">
        <f>IFERROR(__xludf.DUMMYFUNCTION("""COMPUTED_VALUE"""),"Done")</f>
        <v>Done</v>
      </c>
      <c r="H1366" s="88">
        <f>IFERROR(__xludf.DUMMYFUNCTION("""COMPUTED_VALUE"""),0.0)</f>
        <v>0</v>
      </c>
      <c r="I1366" s="90" t="str">
        <f>IFERROR(__xludf.DUMMYFUNCTION("""COMPUTED_VALUE"""),"EMP0042 HULESHWAR KUMAR SAHU")</f>
        <v>EMP0042 HULESHWAR KUMAR SAHU</v>
      </c>
      <c r="J1366" s="91">
        <f t="shared" si="1"/>
        <v>-0.2723841435</v>
      </c>
    </row>
    <row r="1367">
      <c r="B1367" s="76" t="str">
        <f>IFERROR(__xludf.DUMMYFUNCTION("""COMPUTED_VALUE"""),"Debuging the error (Jasper end as well as Query end) and discuss with RM about logic ")</f>
        <v>Debuging the error (Jasper end as well as Query end) and discuss with RM about logic </v>
      </c>
      <c r="C1367" s="82">
        <f>IFERROR(__xludf.DUMMYFUNCTION("""COMPUTED_VALUE"""),5329.0)</f>
        <v>5329</v>
      </c>
      <c r="D1367" s="76" t="str">
        <f>IFERROR(__xludf.DUMMYFUNCTION("""COMPUTED_VALUE"""),"TR NEW AGRICULTURE AND ALL")</f>
        <v>TR NEW AGRICULTURE AND ALL</v>
      </c>
      <c r="E1367" s="84">
        <f>IFERROR(__xludf.DUMMYFUNCTION("""COMPUTED_VALUE"""),46206.828609247685)</f>
        <v>46206.82861</v>
      </c>
      <c r="F1367" s="86">
        <f>IFERROR(__xludf.DUMMYFUNCTION("""COMPUTED_VALUE"""),46206.55217945602)</f>
        <v>46206.55218</v>
      </c>
      <c r="G1367" s="86" t="str">
        <f>IFERROR(__xludf.DUMMYFUNCTION("""COMPUTED_VALUE"""),"Done")</f>
        <v>Done</v>
      </c>
      <c r="H1367" s="88">
        <f>IFERROR(__xludf.DUMMYFUNCTION("""COMPUTED_VALUE"""),0.0)</f>
        <v>0</v>
      </c>
      <c r="I1367" s="90" t="str">
        <f>IFERROR(__xludf.DUMMYFUNCTION("""COMPUTED_VALUE"""),"EMP0042 HULESHWAR KUMAR SAHU")</f>
        <v>EMP0042 HULESHWAR KUMAR SAHU</v>
      </c>
      <c r="J1367" s="91">
        <f t="shared" si="1"/>
        <v>-0.2764297917</v>
      </c>
    </row>
    <row r="1368">
      <c r="B1368" s="76" t="str">
        <f>IFERROR(__xludf.DUMMYFUNCTION("""COMPUTED_VALUE"""),"Debuging the error (Jasper end as well as Query end) and discuss with RM about logic ")</f>
        <v>Debuging the error (Jasper end as well as Query end) and discuss with RM about logic </v>
      </c>
      <c r="C1368" s="82">
        <f>IFERROR(__xludf.DUMMYFUNCTION("""COMPUTED_VALUE"""),5330.0)</f>
        <v>5330</v>
      </c>
      <c r="D1368" s="76" t="str">
        <f>IFERROR(__xludf.DUMMYFUNCTION("""COMPUTED_VALUE"""),"B.ED ADDITIONAL ANNUAL ATTENDENCE SHEET  RESOLVED ")</f>
        <v>B.ED ADDITIONAL ANNUAL ATTENDENCE SHEET  RESOLVED </v>
      </c>
      <c r="E1368" s="84">
        <f>IFERROR(__xludf.DUMMYFUNCTION("""COMPUTED_VALUE"""),46207.56111111111)</f>
        <v>46207.56111</v>
      </c>
      <c r="F1368" s="86">
        <f>IFERROR(__xludf.DUMMYFUNCTION("""COMPUTED_VALUE"""),46206.80424539352)</f>
        <v>46206.80425</v>
      </c>
      <c r="G1368" s="86" t="str">
        <f>IFERROR(__xludf.DUMMYFUNCTION("""COMPUTED_VALUE"""),"Done")</f>
        <v>Done</v>
      </c>
      <c r="H1368" s="88">
        <f>IFERROR(__xludf.DUMMYFUNCTION("""COMPUTED_VALUE"""),0.0)</f>
        <v>0</v>
      </c>
      <c r="I1368" s="90" t="str">
        <f>IFERROR(__xludf.DUMMYFUNCTION("""COMPUTED_VALUE"""),"EMP5009 Rup Kumar Mandal")</f>
        <v>EMP5009 Rup Kumar Mandal</v>
      </c>
      <c r="J1368" s="91">
        <f t="shared" si="1"/>
        <v>-0.7568657176</v>
      </c>
    </row>
    <row r="1369">
      <c r="B1369" s="76" t="str">
        <f>IFERROR(__xludf.DUMMYFUNCTION("""COMPUTED_VALUE"""),"Debuging the error (Jasper end as well as Query end) and discuss with RM about logic ")</f>
        <v>Debuging the error (Jasper end as well as Query end) and discuss with RM about logic </v>
      </c>
      <c r="C1369" s="82">
        <f>IFERROR(__xludf.DUMMYFUNCTION("""COMPUTED_VALUE"""),5331.0)</f>
        <v>5331</v>
      </c>
      <c r="D1369" s="76" t="str">
        <f>IFERROR(__xludf.DUMMYFUNCTION("""COMPUTED_VALUE"""),"Correction")</f>
        <v>Correction</v>
      </c>
      <c r="E1369" s="84">
        <f>IFERROR(__xludf.DUMMYFUNCTION("""COMPUTED_VALUE"""),46207.61666666667)</f>
        <v>46207.61667</v>
      </c>
      <c r="F1369" s="86">
        <f>IFERROR(__xludf.DUMMYFUNCTION("""COMPUTED_VALUE"""),46207.40392244213)</f>
        <v>46207.40392</v>
      </c>
      <c r="G1369" s="86" t="str">
        <f>IFERROR(__xludf.DUMMYFUNCTION("""COMPUTED_VALUE"""),"Done")</f>
        <v>Done</v>
      </c>
      <c r="H1369" s="88">
        <f>IFERROR(__xludf.DUMMYFUNCTION("""COMPUTED_VALUE"""),0.0)</f>
        <v>0</v>
      </c>
      <c r="I1369" s="90" t="str">
        <f>IFERROR(__xludf.DUMMYFUNCTION("""COMPUTED_VALUE"""),"EMP5009 Rup Kumar Mandal")</f>
        <v>EMP5009 Rup Kumar Mandal</v>
      </c>
      <c r="J1369" s="91">
        <f t="shared" si="1"/>
        <v>-0.2127442245</v>
      </c>
    </row>
    <row r="1370">
      <c r="B1370" s="76" t="str">
        <f>IFERROR(__xludf.DUMMYFUNCTION("""COMPUTED_VALUE"""),"Debuging the error (Jasper end as well as Query end) and discuss with RM about logic ")</f>
        <v>Debuging the error (Jasper end as well as Query end) and discuss with RM about logic </v>
      </c>
      <c r="C1370" s="82">
        <f>IFERROR(__xludf.DUMMYFUNCTION("""COMPUTED_VALUE"""),5332.0)</f>
        <v>5332</v>
      </c>
      <c r="D1370" s="76" t="str">
        <f>IFERROR(__xludf.DUMMYFUNCTION("""COMPUTED_VALUE"""),"Same students double entry correction in TR")</f>
        <v>Same students double entry correction in TR</v>
      </c>
      <c r="E1370" s="84">
        <f>IFERROR(__xludf.DUMMYFUNCTION("""COMPUTED_VALUE"""),46213.5978949537)</f>
        <v>46213.59789</v>
      </c>
      <c r="F1370" s="86">
        <f>IFERROR(__xludf.DUMMYFUNCTION("""COMPUTED_VALUE"""),46209.48372350694)</f>
        <v>46209.48372</v>
      </c>
      <c r="G1370" s="86" t="str">
        <f>IFERROR(__xludf.DUMMYFUNCTION("""COMPUTED_VALUE"""),"Done")</f>
        <v>Done</v>
      </c>
      <c r="H1370" s="88">
        <f>IFERROR(__xludf.DUMMYFUNCTION("""COMPUTED_VALUE"""),0.0)</f>
        <v>0</v>
      </c>
      <c r="I1370" s="90" t="str">
        <f>IFERROR(__xludf.DUMMYFUNCTION("""COMPUTED_VALUE"""),"EMP5009 Rup Kumar Mandal")</f>
        <v>EMP5009 Rup Kumar Mandal</v>
      </c>
      <c r="J1370" s="91">
        <f t="shared" si="1"/>
        <v>-4.114171447</v>
      </c>
    </row>
    <row r="1371">
      <c r="B1371" s="76" t="str">
        <f>IFERROR(__xludf.DUMMYFUNCTION("""COMPUTED_VALUE"""),"Debuging the error (Jasper end as well as Query end) and discuss with RM about logic ")</f>
        <v>Debuging the error (Jasper end as well as Query end) and discuss with RM about logic </v>
      </c>
      <c r="C1371" s="82">
        <f>IFERROR(__xludf.DUMMYFUNCTION("""COMPUTED_VALUE"""),5333.0)</f>
        <v>5333</v>
      </c>
      <c r="D1371" s="76" t="str">
        <f>IFERROR(__xludf.DUMMYFUNCTION("""COMPUTED_VALUE"""),"plaease update the fee report")</f>
        <v>plaease update the fee report</v>
      </c>
      <c r="E1371" s="84">
        <f>IFERROR(__xludf.DUMMYFUNCTION("""COMPUTED_VALUE"""),46209.634722222225)</f>
        <v>46209.63472</v>
      </c>
      <c r="F1371" s="86">
        <f>IFERROR(__xludf.DUMMYFUNCTION("""COMPUTED_VALUE"""),46209.4837447338)</f>
        <v>46209.48374</v>
      </c>
      <c r="G1371" s="86" t="str">
        <f>IFERROR(__xludf.DUMMYFUNCTION("""COMPUTED_VALUE"""),"Done")</f>
        <v>Done</v>
      </c>
      <c r="H1371" s="88">
        <f>IFERROR(__xludf.DUMMYFUNCTION("""COMPUTED_VALUE"""),0.0)</f>
        <v>0</v>
      </c>
      <c r="I1371" s="90" t="str">
        <f>IFERROR(__xludf.DUMMYFUNCTION("""COMPUTED_VALUE"""),"EMP5009 Rup Kumar Mandal")</f>
        <v>EMP5009 Rup Kumar Mandal</v>
      </c>
      <c r="J1371" s="91">
        <f t="shared" si="1"/>
        <v>-0.1509774884</v>
      </c>
    </row>
    <row r="1372">
      <c r="B1372" s="76" t="str">
        <f>IFERROR(__xludf.DUMMYFUNCTION("""COMPUTED_VALUE"""),"Debuging the error (Jasper end as well as Query end) and discuss with RM about logic ")</f>
        <v>Debuging the error (Jasper end as well as Query end) and discuss with RM about logic </v>
      </c>
      <c r="C1372" s="82">
        <f>IFERROR(__xludf.DUMMYFUNCTION("""COMPUTED_VALUE"""),5334.0)</f>
        <v>5334</v>
      </c>
      <c r="D1372" s="76" t="str">
        <f>IFERROR(__xludf.DUMMYFUNCTION("""COMPUTED_VALUE"""),"Admit Card")</f>
        <v>Admit Card</v>
      </c>
      <c r="E1372" s="84">
        <f>IFERROR(__xludf.DUMMYFUNCTION("""COMPUTED_VALUE"""),46209.72294688658)</f>
        <v>46209.72295</v>
      </c>
      <c r="F1372" s="86">
        <f>IFERROR(__xludf.DUMMYFUNCTION("""COMPUTED_VALUE"""),46209.483537071756)</f>
        <v>46209.48354</v>
      </c>
      <c r="G1372" s="86" t="str">
        <f>IFERROR(__xludf.DUMMYFUNCTION("""COMPUTED_VALUE"""),"Done")</f>
        <v>Done</v>
      </c>
      <c r="H1372" s="88">
        <f>IFERROR(__xludf.DUMMYFUNCTION("""COMPUTED_VALUE"""),0.0)</f>
        <v>0</v>
      </c>
      <c r="I1372" s="90" t="str">
        <f>IFERROR(__xludf.DUMMYFUNCTION("""COMPUTED_VALUE"""),"EMP0042 HULESHWAR KUMAR SAHU")</f>
        <v>EMP0042 HULESHWAR KUMAR SAHU</v>
      </c>
      <c r="J1372" s="91">
        <f t="shared" si="1"/>
        <v>-0.2394098148</v>
      </c>
    </row>
    <row r="1373">
      <c r="B1373" s="76" t="str">
        <f>IFERROR(__xludf.DUMMYFUNCTION("""COMPUTED_VALUE"""),"Debuging the error (Jasper end as well as Query end) and discuss with RM about logic ")</f>
        <v>Debuging the error (Jasper end as well as Query end) and discuss with RM about logic </v>
      </c>
      <c r="C1373" s="82">
        <f>IFERROR(__xludf.DUMMYFUNCTION("""COMPUTED_VALUE"""),5335.0)</f>
        <v>5335</v>
      </c>
      <c r="D1373" s="76" t="str">
        <f>IFERROR(__xludf.DUMMYFUNCTION("""COMPUTED_VALUE"""),"TR PARAMEDICAL NEW LOGIC")</f>
        <v>TR PARAMEDICAL NEW LOGIC</v>
      </c>
      <c r="E1373" s="84">
        <f>IFERROR(__xludf.DUMMYFUNCTION("""COMPUTED_VALUE"""),46209.76390721065)</f>
        <v>46209.76391</v>
      </c>
      <c r="F1373" s="86">
        <f>IFERROR(__xludf.DUMMYFUNCTION("""COMPUTED_VALUE"""),46209.58801143518)</f>
        <v>46209.58801</v>
      </c>
      <c r="G1373" s="86" t="str">
        <f>IFERROR(__xludf.DUMMYFUNCTION("""COMPUTED_VALUE"""),"Done")</f>
        <v>Done</v>
      </c>
      <c r="H1373" s="88">
        <f>IFERROR(__xludf.DUMMYFUNCTION("""COMPUTED_VALUE"""),0.0)</f>
        <v>0</v>
      </c>
      <c r="I1373" s="90" t="str">
        <f>IFERROR(__xludf.DUMMYFUNCTION("""COMPUTED_VALUE"""),"EMP0042 HULESHWAR KUMAR SAHU")</f>
        <v>EMP0042 HULESHWAR KUMAR SAHU</v>
      </c>
      <c r="J1373" s="91">
        <f t="shared" si="1"/>
        <v>-0.1758957755</v>
      </c>
    </row>
    <row r="1374">
      <c r="B1374" s="76" t="str">
        <f>IFERROR(__xludf.DUMMYFUNCTION("""COMPUTED_VALUE"""),"Debuging the error (Jasper end as well as Query end) and discuss with RM about logic ")</f>
        <v>Debuging the error (Jasper end as well as Query end) and discuss with RM about logic </v>
      </c>
      <c r="C1374" s="82">
        <f>IFERROR(__xludf.DUMMYFUNCTION("""COMPUTED_VALUE"""),5336.0)</f>
        <v>5336</v>
      </c>
      <c r="D1374" s="76" t="str">
        <f>IFERROR(__xludf.DUMMYFUNCTION("""COMPUTED_VALUE"""),"Date Wise filter")</f>
        <v>Date Wise filter</v>
      </c>
      <c r="E1374" s="84">
        <f>IFERROR(__xludf.DUMMYFUNCTION("""COMPUTED_VALUE"""),46209.80427967593)</f>
        <v>46209.80428</v>
      </c>
      <c r="F1374" s="86">
        <f>IFERROR(__xludf.DUMMYFUNCTION("""COMPUTED_VALUE"""),46209.58801143518)</f>
        <v>46209.58801</v>
      </c>
      <c r="G1374" s="86" t="str">
        <f>IFERROR(__xludf.DUMMYFUNCTION("""COMPUTED_VALUE"""),"Done")</f>
        <v>Done</v>
      </c>
      <c r="H1374" s="88">
        <f>IFERROR(__xludf.DUMMYFUNCTION("""COMPUTED_VALUE"""),0.0)</f>
        <v>0</v>
      </c>
      <c r="I1374" s="90" t="str">
        <f>IFERROR(__xludf.DUMMYFUNCTION("""COMPUTED_VALUE"""),"EMP5009 Rup Kumar Mandal")</f>
        <v>EMP5009 Rup Kumar Mandal</v>
      </c>
      <c r="J1374" s="91">
        <f t="shared" si="1"/>
        <v>-0.2162682408</v>
      </c>
    </row>
    <row r="1375">
      <c r="B1375" s="76" t="str">
        <f>IFERROR(__xludf.DUMMYFUNCTION("""COMPUTED_VALUE"""),"Debuging the error (Jasper end as well as Query end) and discuss with RM about logic ")</f>
        <v>Debuging the error (Jasper end as well as Query end) and discuss with RM about logic </v>
      </c>
      <c r="C1375" s="82">
        <f>IFERROR(__xludf.DUMMYFUNCTION("""COMPUTED_VALUE"""),5337.0)</f>
        <v>5337</v>
      </c>
      <c r="D1375" s="76" t="str">
        <f>IFERROR(__xludf.DUMMYFUNCTION("""COMPUTED_VALUE"""),"ALL PROVISIONAL FILES")</f>
        <v>ALL PROVISIONAL FILES</v>
      </c>
      <c r="E1375" s="84">
        <f>IFERROR(__xludf.DUMMYFUNCTION("""COMPUTED_VALUE"""),46210.42638888889)</f>
        <v>46210.42639</v>
      </c>
      <c r="F1375" s="86">
        <f>IFERROR(__xludf.DUMMYFUNCTION("""COMPUTED_VALUE"""),46209.588022488424)</f>
        <v>46209.58802</v>
      </c>
      <c r="G1375" s="86" t="str">
        <f>IFERROR(__xludf.DUMMYFUNCTION("""COMPUTED_VALUE"""),"Done")</f>
        <v>Done</v>
      </c>
      <c r="H1375" s="88">
        <f>IFERROR(__xludf.DUMMYFUNCTION("""COMPUTED_VALUE"""),0.0)</f>
        <v>0</v>
      </c>
      <c r="I1375" s="90" t="str">
        <f>IFERROR(__xludf.DUMMYFUNCTION("""COMPUTED_VALUE"""),"EMP0042 HULESHWAR KUMAR SAHU")</f>
        <v>EMP0042 HULESHWAR KUMAR SAHU</v>
      </c>
      <c r="J1375" s="91">
        <f t="shared" si="1"/>
        <v>-0.8383664005</v>
      </c>
    </row>
    <row r="1376">
      <c r="B1376" s="76" t="str">
        <f>IFERROR(__xludf.DUMMYFUNCTION("""COMPUTED_VALUE"""),"Debuging the error (Jasper end as well as Query end) and discuss with RM about logic ")</f>
        <v>Debuging the error (Jasper end as well as Query end) and discuss with RM about logic </v>
      </c>
      <c r="C1376" s="82">
        <f>IFERROR(__xludf.DUMMYFUNCTION("""COMPUTED_VALUE"""),5338.0)</f>
        <v>5338</v>
      </c>
      <c r="D1376" s="76" t="str">
        <f>IFERROR(__xludf.DUMMYFUNCTION("""COMPUTED_VALUE"""),"Drop Down Selection")</f>
        <v>Drop Down Selection</v>
      </c>
      <c r="E1376" s="84">
        <f>IFERROR(__xludf.DUMMYFUNCTION("""COMPUTED_VALUE"""),46210.56917824074)</f>
        <v>46210.56918</v>
      </c>
      <c r="F1376" s="86">
        <f>IFERROR(__xludf.DUMMYFUNCTION("""COMPUTED_VALUE"""),46210.49348146991)</f>
        <v>46210.49348</v>
      </c>
      <c r="G1376" s="86" t="str">
        <f>IFERROR(__xludf.DUMMYFUNCTION("""COMPUTED_VALUE"""),"Done")</f>
        <v>Done</v>
      </c>
      <c r="H1376" s="88">
        <f>IFERROR(__xludf.DUMMYFUNCTION("""COMPUTED_VALUE"""),0.0)</f>
        <v>0</v>
      </c>
      <c r="I1376" s="90" t="str">
        <f>IFERROR(__xludf.DUMMYFUNCTION("""COMPUTED_VALUE"""),"EMP0237 Swarnendu Chakraborty")</f>
        <v>EMP0237 Swarnendu Chakraborty</v>
      </c>
      <c r="J1376" s="91">
        <f t="shared" si="1"/>
        <v>-0.07569677083</v>
      </c>
    </row>
    <row r="1377">
      <c r="B1377" s="76" t="str">
        <f>IFERROR(__xludf.DUMMYFUNCTION("""COMPUTED_VALUE"""),"Debuging the error (Jasper end as well as Query end) and discuss with RM about logic ")</f>
        <v>Debuging the error (Jasper end as well as Query end) and discuss with RM about logic </v>
      </c>
      <c r="C1377" s="82">
        <f>IFERROR(__xludf.DUMMYFUNCTION("""COMPUTED_VALUE"""),5339.0)</f>
        <v>5339</v>
      </c>
      <c r="D1377" s="76" t="str">
        <f>IFERROR(__xludf.DUMMYFUNCTION("""COMPUTED_VALUE"""),"	Packet_Slip_Date_Wise")</f>
        <v>	Packet_Slip_Date_Wise</v>
      </c>
      <c r="E1377" s="84">
        <f>IFERROR(__xludf.DUMMYFUNCTION("""COMPUTED_VALUE"""),46210.56180555555)</f>
        <v>46210.56181</v>
      </c>
      <c r="F1377" s="86">
        <f>IFERROR(__xludf.DUMMYFUNCTION("""COMPUTED_VALUE"""),46209.72877162037)</f>
        <v>46209.72877</v>
      </c>
      <c r="G1377" s="86" t="str">
        <f>IFERROR(__xludf.DUMMYFUNCTION("""COMPUTED_VALUE"""),"Done")</f>
        <v>Done</v>
      </c>
      <c r="H1377" s="88">
        <f>IFERROR(__xludf.DUMMYFUNCTION("""COMPUTED_VALUE"""),0.0)</f>
        <v>0</v>
      </c>
      <c r="I1377" s="90" t="str">
        <f>IFERROR(__xludf.DUMMYFUNCTION("""COMPUTED_VALUE"""),"EMP0042 HULESHWAR KUMAR SAHU")</f>
        <v>EMP0042 HULESHWAR KUMAR SAHU</v>
      </c>
      <c r="J1377" s="91">
        <f t="shared" si="1"/>
        <v>-0.8330339352</v>
      </c>
    </row>
    <row r="1378">
      <c r="B1378" s="76" t="str">
        <f>IFERROR(__xludf.DUMMYFUNCTION("""COMPUTED_VALUE"""),"Debuging the error (Jasper end as well as Query end) and discuss with RM about logic ")</f>
        <v>Debuging the error (Jasper end as well as Query end) and discuss with RM about logic </v>
      </c>
      <c r="C1378" s="82">
        <f>IFERROR(__xludf.DUMMYFUNCTION("""COMPUTED_VALUE"""),5340.0)</f>
        <v>5340</v>
      </c>
      <c r="D1378" s="76" t="str">
        <f>IFERROR(__xludf.DUMMYFUNCTION("""COMPUTED_VALUE"""),"TR-REPORT")</f>
        <v>TR-REPORT</v>
      </c>
      <c r="E1378" s="84">
        <f>IFERROR(__xludf.DUMMYFUNCTION("""COMPUTED_VALUE"""),46210.80670782408)</f>
        <v>46210.80671</v>
      </c>
      <c r="F1378" s="86">
        <f>IFERROR(__xludf.DUMMYFUNCTION("""COMPUTED_VALUE"""),46210.61877070602)</f>
        <v>46210.61877</v>
      </c>
      <c r="G1378" s="86" t="str">
        <f>IFERROR(__xludf.DUMMYFUNCTION("""COMPUTED_VALUE"""),"Done")</f>
        <v>Done</v>
      </c>
      <c r="H1378" s="88">
        <f>IFERROR(__xludf.DUMMYFUNCTION("""COMPUTED_VALUE"""),0.0)</f>
        <v>0</v>
      </c>
      <c r="I1378" s="90" t="str">
        <f>IFERROR(__xludf.DUMMYFUNCTION("""COMPUTED_VALUE"""),"EMP0042 HULESHWAR KUMAR SAHU")</f>
        <v>EMP0042 HULESHWAR KUMAR SAHU</v>
      </c>
      <c r="J1378" s="91">
        <f t="shared" si="1"/>
        <v>-0.1879371181</v>
      </c>
    </row>
    <row r="1379">
      <c r="B1379" s="76" t="str">
        <f>IFERROR(__xludf.DUMMYFUNCTION("""COMPUTED_VALUE"""),"Debuging the error (Jasper end as well as Query end) and discuss with RM about logic ")</f>
        <v>Debuging the error (Jasper end as well as Query end) and discuss with RM about logic </v>
      </c>
      <c r="C1379" s="82">
        <f>IFERROR(__xludf.DUMMYFUNCTION("""COMPUTED_VALUE"""),5341.0)</f>
        <v>5341</v>
      </c>
      <c r="D1379" s="76" t="str">
        <f>IFERROR(__xludf.DUMMYFUNCTION("""COMPUTED_VALUE"""),"Attendance Report")</f>
        <v>Attendance Report</v>
      </c>
      <c r="E1379" s="84">
        <f>IFERROR(__xludf.DUMMYFUNCTION("""COMPUTED_VALUE"""),46211.76005804398)</f>
        <v>46211.76006</v>
      </c>
      <c r="F1379" s="86">
        <f>IFERROR(__xludf.DUMMYFUNCTION("""COMPUTED_VALUE"""),46211.7559375)</f>
        <v>46211.75594</v>
      </c>
      <c r="G1379" s="86" t="str">
        <f>IFERROR(__xludf.DUMMYFUNCTION("""COMPUTED_VALUE"""),"Done")</f>
        <v>Done</v>
      </c>
      <c r="H1379" s="88">
        <f>IFERROR(__xludf.DUMMYFUNCTION("""COMPUTED_VALUE"""),0.0)</f>
        <v>0</v>
      </c>
      <c r="I1379" s="90" t="str">
        <f>IFERROR(__xludf.DUMMYFUNCTION("""COMPUTED_VALUE"""),"EMP0237 Swarnendu Chakraborty")</f>
        <v>EMP0237 Swarnendu Chakraborty</v>
      </c>
      <c r="J1379" s="91">
        <f t="shared" si="1"/>
        <v>-0.004120543985</v>
      </c>
    </row>
    <row r="1380">
      <c r="B1380" s="76" t="str">
        <f>IFERROR(__xludf.DUMMYFUNCTION("""COMPUTED_VALUE"""),"Debuging the error (Jasper end as well as Query end) and discuss with RM about logic ")</f>
        <v>Debuging the error (Jasper end as well as Query end) and discuss with RM about logic </v>
      </c>
      <c r="C1380" s="82">
        <f>IFERROR(__xludf.DUMMYFUNCTION("""COMPUTED_VALUE"""),5342.0)</f>
        <v>5342</v>
      </c>
      <c r="D1380" s="76" t="str">
        <f>IFERROR(__xludf.DUMMYFUNCTION("""COMPUTED_VALUE"""),"Merit List")</f>
        <v>Merit List</v>
      </c>
      <c r="E1380" s="84">
        <f>IFERROR(__xludf.DUMMYFUNCTION("""COMPUTED_VALUE"""),46212.4375)</f>
        <v>46212.4375</v>
      </c>
      <c r="F1380" s="86">
        <f>IFERROR(__xludf.DUMMYFUNCTION("""COMPUTED_VALUE"""),46211.78353576389)</f>
        <v>46211.78354</v>
      </c>
      <c r="G1380" s="86" t="str">
        <f>IFERROR(__xludf.DUMMYFUNCTION("""COMPUTED_VALUE"""),"Done")</f>
        <v>Done</v>
      </c>
      <c r="H1380" s="88">
        <f>IFERROR(__xludf.DUMMYFUNCTION("""COMPUTED_VALUE"""),0.0)</f>
        <v>0</v>
      </c>
      <c r="I1380" s="90" t="str">
        <f>IFERROR(__xludf.DUMMYFUNCTION("""COMPUTED_VALUE"""),"EMP0042 HULESHWAR KUMAR SAHU")</f>
        <v>EMP0042 HULESHWAR KUMAR SAHU</v>
      </c>
      <c r="J1380" s="91">
        <f t="shared" si="1"/>
        <v>-0.6539642361</v>
      </c>
    </row>
    <row r="1381">
      <c r="B1381" s="76" t="str">
        <f>IFERROR(__xludf.DUMMYFUNCTION("""COMPUTED_VALUE"""),"Debuging the error (Jasper end as well as Query end) and discuss with RM about logic ")</f>
        <v>Debuging the error (Jasper end as well as Query end) and discuss with RM about logic </v>
      </c>
      <c r="C1381" s="82">
        <f>IFERROR(__xludf.DUMMYFUNCTION("""COMPUTED_VALUE"""),5343.0)</f>
        <v>5343</v>
      </c>
      <c r="D1381" s="76" t="str">
        <f>IFERROR(__xludf.DUMMYFUNCTION("""COMPUTED_VALUE"""),"Multiple Report Bcom MS")</f>
        <v>Multiple Report Bcom MS</v>
      </c>
      <c r="E1381" s="84">
        <f>IFERROR(__xludf.DUMMYFUNCTION("""COMPUTED_VALUE"""),46212.43541666667)</f>
        <v>46212.43542</v>
      </c>
      <c r="F1381" s="86">
        <f>IFERROR(__xludf.DUMMYFUNCTION("""COMPUTED_VALUE"""),46211.78355052083)</f>
        <v>46211.78355</v>
      </c>
      <c r="G1381" s="86" t="str">
        <f>IFERROR(__xludf.DUMMYFUNCTION("""COMPUTED_VALUE"""),"Done")</f>
        <v>Done</v>
      </c>
      <c r="H1381" s="88">
        <f>IFERROR(__xludf.DUMMYFUNCTION("""COMPUTED_VALUE"""),0.0)</f>
        <v>0</v>
      </c>
      <c r="I1381" s="90" t="str">
        <f>IFERROR(__xludf.DUMMYFUNCTION("""COMPUTED_VALUE"""),"EMP0042 HULESHWAR KUMAR SAHU")</f>
        <v>EMP0042 HULESHWAR KUMAR SAHU</v>
      </c>
      <c r="J1381" s="91">
        <f t="shared" si="1"/>
        <v>-0.6518661458</v>
      </c>
    </row>
    <row r="1382">
      <c r="B1382" s="76" t="str">
        <f>IFERROR(__xludf.DUMMYFUNCTION("""COMPUTED_VALUE"""),"Debuging the error (Jasper end as well as Query end) and discuss with RM about logic ")</f>
        <v>Debuging the error (Jasper end as well as Query end) and discuss with RM about logic </v>
      </c>
      <c r="C1382" s="82">
        <f>IFERROR(__xludf.DUMMYFUNCTION("""COMPUTED_VALUE"""),5344.0)</f>
        <v>5344</v>
      </c>
      <c r="D1382" s="76" t="str">
        <f>IFERROR(__xludf.DUMMYFUNCTION("""COMPUTED_VALUE"""),"GAU Attendancesheet")</f>
        <v>GAU Attendancesheet</v>
      </c>
      <c r="E1382" s="84">
        <f>IFERROR(__xludf.DUMMYFUNCTION("""COMPUTED_VALUE"""),46212.586805555555)</f>
        <v>46212.58681</v>
      </c>
      <c r="F1382" s="86">
        <f>IFERROR(__xludf.DUMMYFUNCTION("""COMPUTED_VALUE"""),46211.72746217592)</f>
        <v>46211.72746</v>
      </c>
      <c r="G1382" s="86" t="str">
        <f>IFERROR(__xludf.DUMMYFUNCTION("""COMPUTED_VALUE"""),"Done")</f>
        <v>Done</v>
      </c>
      <c r="H1382" s="88">
        <f>IFERROR(__xludf.DUMMYFUNCTION("""COMPUTED_VALUE"""),0.0)</f>
        <v>0</v>
      </c>
      <c r="I1382" s="90" t="str">
        <f>IFERROR(__xludf.DUMMYFUNCTION("""COMPUTED_VALUE"""),"EMP0021 Tamanna Dewangan")</f>
        <v>EMP0021 Tamanna Dewangan</v>
      </c>
      <c r="J1382" s="91">
        <f t="shared" si="1"/>
        <v>-0.8593433796</v>
      </c>
    </row>
    <row r="1383">
      <c r="B1383" s="76" t="str">
        <f>IFERROR(__xludf.DUMMYFUNCTION("""COMPUTED_VALUE"""),"Debuging the error (Jasper end as well as Query end) and discuss with RM about logic ")</f>
        <v>Debuging the error (Jasper end as well as Query end) and discuss with RM about logic </v>
      </c>
      <c r="C1383" s="82">
        <f>IFERROR(__xludf.DUMMYFUNCTION("""COMPUTED_VALUE"""),5345.0)</f>
        <v>5345</v>
      </c>
      <c r="D1383" s="76" t="str">
        <f>IFERROR(__xludf.DUMMYFUNCTION("""COMPUTED_VALUE"""),"UG Attendance Sheet")</f>
        <v>UG Attendance Sheet</v>
      </c>
      <c r="E1383" s="84">
        <f>IFERROR(__xludf.DUMMYFUNCTION("""COMPUTED_VALUE"""),46212.59583333333)</f>
        <v>46212.59583</v>
      </c>
      <c r="F1383" s="86">
        <f>IFERROR(__xludf.DUMMYFUNCTION("""COMPUTED_VALUE"""),46211.73922956018)</f>
        <v>46211.73923</v>
      </c>
      <c r="G1383" s="86" t="str">
        <f>IFERROR(__xludf.DUMMYFUNCTION("""COMPUTED_VALUE"""),"Done")</f>
        <v>Done</v>
      </c>
      <c r="H1383" s="88">
        <f>IFERROR(__xludf.DUMMYFUNCTION("""COMPUTED_VALUE"""),0.0)</f>
        <v>0</v>
      </c>
      <c r="I1383" s="90" t="str">
        <f>IFERROR(__xludf.DUMMYFUNCTION("""COMPUTED_VALUE"""),"EMP0021 Tamanna Dewangan")</f>
        <v>EMP0021 Tamanna Dewangan</v>
      </c>
      <c r="J1383" s="91">
        <f t="shared" si="1"/>
        <v>-0.8566037732</v>
      </c>
    </row>
    <row r="1384">
      <c r="B1384" s="76" t="str">
        <f>IFERROR(__xludf.DUMMYFUNCTION("""COMPUTED_VALUE"""),"Debuging the error (Jasper end as well as Query end) and discuss with RM about logic ")</f>
        <v>Debuging the error (Jasper end as well as Query end) and discuss with RM about logic </v>
      </c>
      <c r="C1384" s="82">
        <f>IFERROR(__xludf.DUMMYFUNCTION("""COMPUTED_VALUE"""),5346.0)</f>
        <v>5346</v>
      </c>
      <c r="D1384" s="76" t="str">
        <f>IFERROR(__xludf.DUMMYFUNCTION("""COMPUTED_VALUE"""),"Summary For UG")</f>
        <v>Summary For UG</v>
      </c>
      <c r="E1384" s="84">
        <f>IFERROR(__xludf.DUMMYFUNCTION("""COMPUTED_VALUE"""),46212.597916666666)</f>
        <v>46212.59792</v>
      </c>
      <c r="F1384" s="86">
        <f>IFERROR(__xludf.DUMMYFUNCTION("""COMPUTED_VALUE"""),46211.73920621528)</f>
        <v>46211.73921</v>
      </c>
      <c r="G1384" s="86" t="str">
        <f>IFERROR(__xludf.DUMMYFUNCTION("""COMPUTED_VALUE"""),"Done")</f>
        <v>Done</v>
      </c>
      <c r="H1384" s="88">
        <f>IFERROR(__xludf.DUMMYFUNCTION("""COMPUTED_VALUE"""),0.0)</f>
        <v>0</v>
      </c>
      <c r="I1384" s="90" t="str">
        <f>IFERROR(__xludf.DUMMYFUNCTION("""COMPUTED_VALUE"""),"EMP0021 Tamanna Dewangan")</f>
        <v>EMP0021 Tamanna Dewangan</v>
      </c>
      <c r="J1384" s="91">
        <f t="shared" si="1"/>
        <v>-0.8587104514</v>
      </c>
    </row>
    <row r="1385">
      <c r="B1385" s="76" t="str">
        <f>IFERROR(__xludf.DUMMYFUNCTION("""COMPUTED_VALUE"""),"Debuging the error (Jasper end as well as Query end) and discuss with RM about logic ")</f>
        <v>Debuging the error (Jasper end as well as Query end) and discuss with RM about logic </v>
      </c>
      <c r="C1385" s="82">
        <f>IFERROR(__xludf.DUMMYFUNCTION("""COMPUTED_VALUE"""),5347.0)</f>
        <v>5347</v>
      </c>
      <c r="D1385" s="76" t="str">
        <f>IFERROR(__xludf.DUMMYFUNCTION("""COMPUTED_VALUE"""),"Cover Page")</f>
        <v>Cover Page</v>
      </c>
      <c r="E1385" s="84">
        <f>IFERROR(__xludf.DUMMYFUNCTION("""COMPUTED_VALUE"""),46212.59930555556)</f>
        <v>46212.59931</v>
      </c>
      <c r="F1385" s="86">
        <f>IFERROR(__xludf.DUMMYFUNCTION("""COMPUTED_VALUE"""),46211.739184803235)</f>
        <v>46211.73918</v>
      </c>
      <c r="G1385" s="86" t="str">
        <f>IFERROR(__xludf.DUMMYFUNCTION("""COMPUTED_VALUE"""),"Done")</f>
        <v>Done</v>
      </c>
      <c r="H1385" s="88">
        <f>IFERROR(__xludf.DUMMYFUNCTION("""COMPUTED_VALUE"""),0.0)</f>
        <v>0</v>
      </c>
      <c r="I1385" s="90" t="str">
        <f>IFERROR(__xludf.DUMMYFUNCTION("""COMPUTED_VALUE"""),"EMP0021 Tamanna Dewangan")</f>
        <v>EMP0021 Tamanna Dewangan</v>
      </c>
      <c r="J1385" s="91">
        <f t="shared" si="1"/>
        <v>-0.8601207523</v>
      </c>
    </row>
    <row r="1386">
      <c r="B1386" s="76" t="str">
        <f>IFERROR(__xludf.DUMMYFUNCTION("""COMPUTED_VALUE"""),"Debuging the error (Jasper end as well as Query end) and discuss with RM about logic ")</f>
        <v>Debuging the error (Jasper end as well as Query end) and discuss with RM about logic </v>
      </c>
      <c r="C1386" s="82">
        <f>IFERROR(__xludf.DUMMYFUNCTION("""COMPUTED_VALUE"""),5348.0)</f>
        <v>5348</v>
      </c>
      <c r="D1386" s="76" t="str">
        <f>IFERROR(__xludf.DUMMYFUNCTION("""COMPUTED_VALUE"""),"inside Analysis report the fee detail is not working")</f>
        <v>inside Analysis report the fee detail is not working</v>
      </c>
      <c r="E1386" s="84">
        <f>IFERROR(__xludf.DUMMYFUNCTION("""COMPUTED_VALUE"""),46212.708989976854)</f>
        <v>46212.70899</v>
      </c>
      <c r="F1386" s="86">
        <f>IFERROR(__xludf.DUMMYFUNCTION("""COMPUTED_VALUE"""),46212.44973931713)</f>
        <v>46212.44974</v>
      </c>
      <c r="G1386" s="86" t="str">
        <f>IFERROR(__xludf.DUMMYFUNCTION("""COMPUTED_VALUE"""),"Done")</f>
        <v>Done</v>
      </c>
      <c r="H1386" s="88">
        <f>IFERROR(__xludf.DUMMYFUNCTION("""COMPUTED_VALUE"""),0.0)</f>
        <v>0</v>
      </c>
      <c r="I1386" s="90" t="str">
        <f>IFERROR(__xludf.DUMMYFUNCTION("""COMPUTED_VALUE"""),"EMP0042 HULESHWAR KUMAR SAHU")</f>
        <v>EMP0042 HULESHWAR KUMAR SAHU</v>
      </c>
      <c r="J1386" s="91">
        <f t="shared" si="1"/>
        <v>-0.2592506597</v>
      </c>
    </row>
    <row r="1387">
      <c r="B1387" s="76" t="str">
        <f>IFERROR(__xludf.DUMMYFUNCTION("""COMPUTED_VALUE"""),"Debuging the error (Jasper end as well as Query end) and discuss with RM about logic ")</f>
        <v>Debuging the error (Jasper end as well as Query end) and discuss with RM about logic </v>
      </c>
      <c r="C1387" s="82">
        <f>IFERROR(__xludf.DUMMYFUNCTION("""COMPUTED_VALUE"""),5349.0)</f>
        <v>5349</v>
      </c>
      <c r="D1387" s="76" t="str">
        <f>IFERROR(__xludf.DUMMYFUNCTION("""COMPUTED_VALUE"""),"Challenge revaluation me RV show ho rha")</f>
        <v>Challenge revaluation me RV show ho rha</v>
      </c>
      <c r="E1387" s="84">
        <f>IFERROR(__xludf.DUMMYFUNCTION("""COMPUTED_VALUE"""),46212.71193166667)</f>
        <v>46212.71193</v>
      </c>
      <c r="F1387" s="86">
        <f>IFERROR(__xludf.DUMMYFUNCTION("""COMPUTED_VALUE"""),46212.44974770833)</f>
        <v>46212.44975</v>
      </c>
      <c r="G1387" s="86" t="str">
        <f>IFERROR(__xludf.DUMMYFUNCTION("""COMPUTED_VALUE"""),"Done")</f>
        <v>Done</v>
      </c>
      <c r="H1387" s="88">
        <f>IFERROR(__xludf.DUMMYFUNCTION("""COMPUTED_VALUE"""),0.0)</f>
        <v>0</v>
      </c>
      <c r="I1387" s="90" t="str">
        <f>IFERROR(__xludf.DUMMYFUNCTION("""COMPUTED_VALUE"""),"EMP5009 Rup Kumar Mandal")</f>
        <v>EMP5009 Rup Kumar Mandal</v>
      </c>
      <c r="J1387" s="91">
        <f t="shared" si="1"/>
        <v>-0.2621839583</v>
      </c>
    </row>
    <row r="1388">
      <c r="B1388" s="76" t="str">
        <f>IFERROR(__xludf.DUMMYFUNCTION("""COMPUTED_VALUE"""),"Debuging the error (Jasper end as well as Query end) and discuss with RM about logic ")</f>
        <v>Debuging the error (Jasper end as well as Query end) and discuss with RM about logic </v>
      </c>
      <c r="C1388" s="82">
        <f>IFERROR(__xludf.DUMMYFUNCTION("""COMPUTED_VALUE"""),5350.0)</f>
        <v>5350</v>
      </c>
      <c r="D1388" s="76" t="str">
        <f>IFERROR(__xludf.DUMMYFUNCTION("""COMPUTED_VALUE"""),"Transcript")</f>
        <v>Transcript</v>
      </c>
      <c r="E1388" s="84">
        <f>IFERROR(__xludf.DUMMYFUNCTION("""COMPUTED_VALUE"""),46212.72279990741)</f>
        <v>46212.7228</v>
      </c>
      <c r="F1388" s="86">
        <f>IFERROR(__xludf.DUMMYFUNCTION("""COMPUTED_VALUE"""),46212.44976783565)</f>
        <v>46212.44977</v>
      </c>
      <c r="G1388" s="86" t="str">
        <f>IFERROR(__xludf.DUMMYFUNCTION("""COMPUTED_VALUE"""),"Done")</f>
        <v>Done</v>
      </c>
      <c r="H1388" s="88">
        <f>IFERROR(__xludf.DUMMYFUNCTION("""COMPUTED_VALUE"""),0.0)</f>
        <v>0</v>
      </c>
      <c r="I1388" s="90" t="str">
        <f>IFERROR(__xludf.DUMMYFUNCTION("""COMPUTED_VALUE"""),"EMP0042 HULESHWAR KUMAR SAHU")</f>
        <v>EMP0042 HULESHWAR KUMAR SAHU</v>
      </c>
      <c r="J1388" s="91">
        <f t="shared" si="1"/>
        <v>-0.2730320718</v>
      </c>
    </row>
    <row r="1389">
      <c r="B1389" s="76" t="str">
        <f>IFERROR(__xludf.DUMMYFUNCTION("""COMPUTED_VALUE"""),"Debuging the error (Jasper end as well as Query end) and discuss with RM about logic ")</f>
        <v>Debuging the error (Jasper end as well as Query end) and discuss with RM about logic </v>
      </c>
      <c r="C1389" s="82">
        <f>IFERROR(__xludf.DUMMYFUNCTION("""COMPUTED_VALUE"""),5351.0)</f>
        <v>5351</v>
      </c>
      <c r="D1389" s="76" t="str">
        <f>IFERROR(__xludf.DUMMYFUNCTION("""COMPUTED_VALUE"""),"ATTANDANCE SHEET")</f>
        <v>ATTANDANCE SHEET</v>
      </c>
      <c r="E1389" s="84">
        <f>IFERROR(__xludf.DUMMYFUNCTION("""COMPUTED_VALUE"""),46213.81841525463)</f>
        <v>46213.81842</v>
      </c>
      <c r="F1389" s="86">
        <f>IFERROR(__xludf.DUMMYFUNCTION("""COMPUTED_VALUE"""),46213.64323987269)</f>
        <v>46213.64324</v>
      </c>
      <c r="G1389" s="86" t="str">
        <f>IFERROR(__xludf.DUMMYFUNCTION("""COMPUTED_VALUE"""),"Done")</f>
        <v>Done</v>
      </c>
      <c r="H1389" s="88">
        <f>IFERROR(__xludf.DUMMYFUNCTION("""COMPUTED_VALUE"""),0.0)</f>
        <v>0</v>
      </c>
      <c r="I1389" s="90" t="str">
        <f>IFERROR(__xludf.DUMMYFUNCTION("""COMPUTED_VALUE"""),"EMP0042 HULESHWAR KUMAR SAHU")</f>
        <v>EMP0042 HULESHWAR KUMAR SAHU</v>
      </c>
      <c r="J1389" s="91">
        <f t="shared" si="1"/>
        <v>-0.1751753819</v>
      </c>
    </row>
    <row r="1390">
      <c r="B1390" s="76" t="str">
        <f>IFERROR(__xludf.DUMMYFUNCTION("""COMPUTED_VALUE"""),"Debuging the error (Jasper end as well as Query end) and discuss with RM about logic ")</f>
        <v>Debuging the error (Jasper end as well as Query end) and discuss with RM about logic </v>
      </c>
      <c r="C1390" s="82">
        <f>IFERROR(__xludf.DUMMYFUNCTION("""COMPUTED_VALUE"""),5352.0)</f>
        <v>5352</v>
      </c>
      <c r="D1390" s="76" t="str">
        <f>IFERROR(__xludf.DUMMYFUNCTION("""COMPUTED_VALUE"""),"Grade Card NEP (PG)")</f>
        <v>Grade Card NEP (PG)</v>
      </c>
      <c r="E1390" s="84">
        <f>IFERROR(__xludf.DUMMYFUNCTION("""COMPUTED_VALUE"""),46214.45416666666)</f>
        <v>46214.45417</v>
      </c>
      <c r="F1390" s="86">
        <f>IFERROR(__xludf.DUMMYFUNCTION("""COMPUTED_VALUE"""),46213.64873564815)</f>
        <v>46213.64874</v>
      </c>
      <c r="G1390" s="86" t="str">
        <f>IFERROR(__xludf.DUMMYFUNCTION("""COMPUTED_VALUE"""),"Done")</f>
        <v>Done</v>
      </c>
      <c r="H1390" s="88">
        <f>IFERROR(__xludf.DUMMYFUNCTION("""COMPUTED_VALUE"""),0.0)</f>
        <v>0</v>
      </c>
      <c r="I1390" s="90" t="str">
        <f>IFERROR(__xludf.DUMMYFUNCTION("""COMPUTED_VALUE"""),"EMP5009 Rup Kumar Mandal")</f>
        <v>EMP5009 Rup Kumar Mandal</v>
      </c>
      <c r="J1390" s="91">
        <f t="shared" si="1"/>
        <v>-0.8054310185</v>
      </c>
    </row>
    <row r="1391">
      <c r="B1391" s="76" t="str">
        <f>IFERROR(__xludf.DUMMYFUNCTION("""COMPUTED_VALUE"""),"Debuging the error (Jasper end as well as Query end) and discuss with RM about logic ")</f>
        <v>Debuging the error (Jasper end as well as Query end) and discuss with RM about logic </v>
      </c>
      <c r="C1391" s="82">
        <f>IFERROR(__xludf.DUMMYFUNCTION("""COMPUTED_VALUE"""),5353.0)</f>
        <v>5353</v>
      </c>
      <c r="D1391" s="76" t="str">
        <f>IFERROR(__xludf.DUMMYFUNCTION("""COMPUTED_VALUE"""),"TR Format (Grading / Non-Grading)")</f>
        <v>TR Format (Grading / Non-Grading)</v>
      </c>
      <c r="E1391" s="84">
        <f>IFERROR(__xludf.DUMMYFUNCTION("""COMPUTED_VALUE"""),46214.52638888889)</f>
        <v>46214.52639</v>
      </c>
      <c r="F1391" s="86">
        <f>IFERROR(__xludf.DUMMYFUNCTION("""COMPUTED_VALUE"""),46213.64875642361)</f>
        <v>46213.64876</v>
      </c>
      <c r="G1391" s="86" t="str">
        <f>IFERROR(__xludf.DUMMYFUNCTION("""COMPUTED_VALUE"""),"Done")</f>
        <v>Done</v>
      </c>
      <c r="H1391" s="88">
        <f>IFERROR(__xludf.DUMMYFUNCTION("""COMPUTED_VALUE"""),0.0)</f>
        <v>0</v>
      </c>
      <c r="I1391" s="90" t="str">
        <f>IFERROR(__xludf.DUMMYFUNCTION("""COMPUTED_VALUE"""),"EMP5009 Rup Kumar Mandal")</f>
        <v>EMP5009 Rup Kumar Mandal</v>
      </c>
      <c r="J1391" s="91">
        <f t="shared" si="1"/>
        <v>-0.8776324653</v>
      </c>
    </row>
    <row r="1392">
      <c r="B1392" s="76" t="str">
        <f>IFERROR(__xludf.DUMMYFUNCTION("""COMPUTED_VALUE"""),"Debuging the error (Jasper end as well as Query end) and discuss with RM about logic ")</f>
        <v>Debuging the error (Jasper end as well as Query end) and discuss with RM about logic </v>
      </c>
      <c r="C1392" s="82">
        <f>IFERROR(__xludf.DUMMYFUNCTION("""COMPUTED_VALUE"""),5354.0)</f>
        <v>5354</v>
      </c>
      <c r="D1392" s="76" t="str">
        <f>IFERROR(__xludf.DUMMYFUNCTION("""COMPUTED_VALUE"""),"Please update in scheme report for subject type, credits")</f>
        <v>Please update in scheme report for subject type, credits</v>
      </c>
      <c r="E1392" s="84">
        <f>IFERROR(__xludf.DUMMYFUNCTION("""COMPUTED_VALUE"""),46214.77113228009)</f>
        <v>46214.77113</v>
      </c>
      <c r="F1392" s="86">
        <f>IFERROR(__xludf.DUMMYFUNCTION("""COMPUTED_VALUE"""),46214.49863725695)</f>
        <v>46214.49864</v>
      </c>
      <c r="G1392" s="86" t="str">
        <f>IFERROR(__xludf.DUMMYFUNCTION("""COMPUTED_VALUE"""),"Done")</f>
        <v>Done</v>
      </c>
      <c r="H1392" s="88">
        <f>IFERROR(__xludf.DUMMYFUNCTION("""COMPUTED_VALUE"""),0.0)</f>
        <v>0</v>
      </c>
      <c r="I1392" s="90" t="str">
        <f>IFERROR(__xludf.DUMMYFUNCTION("""COMPUTED_VALUE"""),"EMP0042 HULESHWAR KUMAR SAHU")</f>
        <v>EMP0042 HULESHWAR KUMAR SAHU</v>
      </c>
      <c r="J1392" s="91">
        <f t="shared" si="1"/>
        <v>-0.2724950231</v>
      </c>
    </row>
    <row r="1393">
      <c r="B1393" s="76" t="str">
        <f>IFERROR(__xludf.DUMMYFUNCTION("""COMPUTED_VALUE"""),"Debuging the error (Jasper end as well as Query end) and discuss with RM about logic ")</f>
        <v>Debuging the error (Jasper end as well as Query end) and discuss with RM about logic </v>
      </c>
      <c r="C1393" s="82">
        <f>IFERROR(__xludf.DUMMYFUNCTION("""COMPUTED_VALUE"""),5355.0)</f>
        <v>5355</v>
      </c>
      <c r="D1393" s="76" t="str">
        <f>IFERROR(__xludf.DUMMYFUNCTION("""COMPUTED_VALUE"""),"TR LLB NEW")</f>
        <v>TR LLB NEW</v>
      </c>
      <c r="E1393" s="84">
        <f>IFERROR(__xludf.DUMMYFUNCTION("""COMPUTED_VALUE"""),46214.78953927084)</f>
        <v>46214.78954</v>
      </c>
      <c r="F1393" s="86">
        <f>IFERROR(__xludf.DUMMYFUNCTION("""COMPUTED_VALUE"""),46214.72303342592)</f>
        <v>46214.72303</v>
      </c>
      <c r="G1393" s="86" t="str">
        <f>IFERROR(__xludf.DUMMYFUNCTION("""COMPUTED_VALUE"""),"Done")</f>
        <v>Done</v>
      </c>
      <c r="H1393" s="88">
        <f>IFERROR(__xludf.DUMMYFUNCTION("""COMPUTED_VALUE"""),0.0)</f>
        <v>0</v>
      </c>
      <c r="I1393" s="90" t="str">
        <f>IFERROR(__xludf.DUMMYFUNCTION("""COMPUTED_VALUE"""),"EMP0042 HULESHWAR KUMAR SAHU")</f>
        <v>EMP0042 HULESHWAR KUMAR SAHU</v>
      </c>
      <c r="J1393" s="91">
        <f t="shared" si="1"/>
        <v>-0.06650584492</v>
      </c>
    </row>
    <row r="1394">
      <c r="B1394" s="76" t="str">
        <f>IFERROR(__xludf.DUMMYFUNCTION("""COMPUTED_VALUE"""),"Debuging the error (Jasper end as well as Query end) and discuss with RM about logic ")</f>
        <v>Debuging the error (Jasper end as well as Query end) and discuss with RM about logic </v>
      </c>
      <c r="C1394" s="82">
        <f>IFERROR(__xludf.DUMMYFUNCTION("""COMPUTED_VALUE"""),5356.0)</f>
        <v>5356</v>
      </c>
      <c r="D1394" s="76" t="str">
        <f>IFERROR(__xludf.DUMMYFUNCTION("""COMPUTED_VALUE"""),"Multiple Report ")</f>
        <v>Multiple Report </v>
      </c>
      <c r="E1394" s="84">
        <f>IFERROR(__xludf.DUMMYFUNCTION("""COMPUTED_VALUE"""),46216.535416666666)</f>
        <v>46216.53542</v>
      </c>
      <c r="F1394" s="86">
        <f>IFERROR(__xludf.DUMMYFUNCTION("""COMPUTED_VALUE"""),46214.72305178241)</f>
        <v>46214.72305</v>
      </c>
      <c r="G1394" s="86" t="str">
        <f>IFERROR(__xludf.DUMMYFUNCTION("""COMPUTED_VALUE"""),"Done")</f>
        <v>Done</v>
      </c>
      <c r="H1394" s="88">
        <f>IFERROR(__xludf.DUMMYFUNCTION("""COMPUTED_VALUE"""),0.0)</f>
        <v>0</v>
      </c>
      <c r="I1394" s="90" t="str">
        <f>IFERROR(__xludf.DUMMYFUNCTION("""COMPUTED_VALUE"""),"EMP0042 HULESHWAR KUMAR SAHU")</f>
        <v>EMP0042 HULESHWAR KUMAR SAHU</v>
      </c>
      <c r="J1394" s="91">
        <f t="shared" si="1"/>
        <v>-1.812364884</v>
      </c>
    </row>
    <row r="1395">
      <c r="B1395" s="76" t="str">
        <f>IFERROR(__xludf.DUMMYFUNCTION("""COMPUTED_VALUE"""),"Debuging the error (Jasper end as well as Query end) and discuss with RM about logic ")</f>
        <v>Debuging the error (Jasper end as well as Query end) and discuss with RM about logic </v>
      </c>
      <c r="C1395" s="82">
        <f>IFERROR(__xludf.DUMMYFUNCTION("""COMPUTED_VALUE"""),5357.0)</f>
        <v>5357</v>
      </c>
      <c r="D1395" s="76" t="str">
        <f>IFERROR(__xludf.DUMMYFUNCTION("""COMPUTED_VALUE"""),"TR")</f>
        <v>TR</v>
      </c>
      <c r="E1395" s="84">
        <f>IFERROR(__xludf.DUMMYFUNCTION("""COMPUTED_VALUE"""),46216.762340775465)</f>
        <v>46216.76234</v>
      </c>
      <c r="F1395" s="86">
        <f>IFERROR(__xludf.DUMMYFUNCTION("""COMPUTED_VALUE"""),46216.55251826389)</f>
        <v>46216.55252</v>
      </c>
      <c r="G1395" s="86" t="str">
        <f>IFERROR(__xludf.DUMMYFUNCTION("""COMPUTED_VALUE"""),"Done")</f>
        <v>Done</v>
      </c>
      <c r="H1395" s="88">
        <f>IFERROR(__xludf.DUMMYFUNCTION("""COMPUTED_VALUE"""),0.0)</f>
        <v>0</v>
      </c>
      <c r="I1395" s="90" t="str">
        <f>IFERROR(__xludf.DUMMYFUNCTION("""COMPUTED_VALUE"""),"EMP0042 HULESHWAR KUMAR SAHU")</f>
        <v>EMP0042 HULESHWAR KUMAR SAHU</v>
      </c>
      <c r="J1395" s="91">
        <f t="shared" si="1"/>
        <v>-0.2098225116</v>
      </c>
    </row>
    <row r="1396">
      <c r="B1396" s="76" t="str">
        <f>IFERROR(__xludf.DUMMYFUNCTION("""COMPUTED_VALUE"""),"Debuging the error (Jasper end as well as Query end) and discuss with RM about logic ")</f>
        <v>Debuging the error (Jasper end as well as Query end) and discuss with RM about logic </v>
      </c>
      <c r="C1396" s="82">
        <f>IFERROR(__xludf.DUMMYFUNCTION("""COMPUTED_VALUE"""),5358.0)</f>
        <v>5358</v>
      </c>
      <c r="D1396" s="76" t="str">
        <f>IFERROR(__xludf.DUMMYFUNCTION("""COMPUTED_VALUE"""),"PRE EXAM REPORT")</f>
        <v>PRE EXAM REPORT</v>
      </c>
      <c r="E1396" s="84">
        <f>IFERROR(__xludf.DUMMYFUNCTION("""COMPUTED_VALUE"""),46216.81750217593)</f>
        <v>46216.8175</v>
      </c>
      <c r="F1396" s="86">
        <f>IFERROR(__xludf.DUMMYFUNCTION("""COMPUTED_VALUE"""),46216.55253178241)</f>
        <v>46216.55253</v>
      </c>
      <c r="G1396" s="86" t="str">
        <f>IFERROR(__xludf.DUMMYFUNCTION("""COMPUTED_VALUE"""),"Done")</f>
        <v>Done</v>
      </c>
      <c r="H1396" s="88">
        <f>IFERROR(__xludf.DUMMYFUNCTION("""COMPUTED_VALUE"""),0.0)</f>
        <v>0</v>
      </c>
      <c r="I1396" s="90" t="str">
        <f>IFERROR(__xludf.DUMMYFUNCTION("""COMPUTED_VALUE"""),"EMP0237 Swarnendu Chakraborty")</f>
        <v>EMP0237 Swarnendu Chakraborty</v>
      </c>
      <c r="J1396" s="91">
        <f t="shared" si="1"/>
        <v>-0.2649703935</v>
      </c>
    </row>
    <row r="1397">
      <c r="B1397" s="76" t="str">
        <f>IFERROR(__xludf.DUMMYFUNCTION("""COMPUTED_VALUE"""),"Debuging the error (Jasper end as well as Query end) and discuss with RM about logic ")</f>
        <v>Debuging the error (Jasper end as well as Query end) and discuss with RM about logic </v>
      </c>
      <c r="C1397" s="82">
        <f>IFERROR(__xludf.DUMMYFUNCTION("""COMPUTED_VALUE"""),5359.0)</f>
        <v>5359</v>
      </c>
      <c r="D1397" s="76" t="str">
        <f>IFERROR(__xludf.DUMMYFUNCTION("""COMPUTED_VALUE"""),"TRANSCRIPT")</f>
        <v>TRANSCRIPT</v>
      </c>
      <c r="E1397" s="84">
        <f>IFERROR(__xludf.DUMMYFUNCTION("""COMPUTED_VALUE"""),46217.45694444445)</f>
        <v>46217.45694</v>
      </c>
      <c r="F1397" s="86">
        <f>IFERROR(__xludf.DUMMYFUNCTION("""COMPUTED_VALUE"""),46216.64615439815)</f>
        <v>46216.64615</v>
      </c>
      <c r="G1397" s="86" t="str">
        <f>IFERROR(__xludf.DUMMYFUNCTION("""COMPUTED_VALUE"""),"Done")</f>
        <v>Done</v>
      </c>
      <c r="H1397" s="88">
        <f>IFERROR(__xludf.DUMMYFUNCTION("""COMPUTED_VALUE"""),0.0)</f>
        <v>0</v>
      </c>
      <c r="I1397" s="90" t="str">
        <f>IFERROR(__xludf.DUMMYFUNCTION("""COMPUTED_VALUE"""),"EMP0042 HULESHWAR KUMAR SAHU")</f>
        <v>EMP0042 HULESHWAR KUMAR SAHU</v>
      </c>
      <c r="J1397" s="91">
        <f t="shared" si="1"/>
        <v>-0.8107900463</v>
      </c>
    </row>
    <row r="1398">
      <c r="B1398" s="76" t="str">
        <f>IFERROR(__xludf.DUMMYFUNCTION("""COMPUTED_VALUE"""),"Debuging the error (Jasper end as well as Query end) and discuss with RM about logic ")</f>
        <v>Debuging the error (Jasper end as well as Query end) and discuss with RM about logic </v>
      </c>
      <c r="C1398" s="82">
        <f>IFERROR(__xludf.DUMMYFUNCTION("""COMPUTED_VALUE"""),5360.0)</f>
        <v>5360</v>
      </c>
      <c r="D1398" s="76" t="str">
        <f>IFERROR(__xludf.DUMMYFUNCTION("""COMPUTED_VALUE"""),"TR REPORT ")</f>
        <v>TR REPORT </v>
      </c>
      <c r="E1398" s="84">
        <f>IFERROR(__xludf.DUMMYFUNCTION("""COMPUTED_VALUE"""),46217.56597222222)</f>
        <v>46217.56597</v>
      </c>
      <c r="F1398" s="86">
        <f>IFERROR(__xludf.DUMMYFUNCTION("""COMPUTED_VALUE"""),46216.77884123842)</f>
        <v>46216.77884</v>
      </c>
      <c r="G1398" s="86" t="str">
        <f>IFERROR(__xludf.DUMMYFUNCTION("""COMPUTED_VALUE"""),"Done")</f>
        <v>Done</v>
      </c>
      <c r="H1398" s="88">
        <f>IFERROR(__xludf.DUMMYFUNCTION("""COMPUTED_VALUE"""),0.0)</f>
        <v>0</v>
      </c>
      <c r="I1398" s="90" t="str">
        <f>IFERROR(__xludf.DUMMYFUNCTION("""COMPUTED_VALUE"""),"EMP0237 Swarnendu Chakraborty")</f>
        <v>EMP0237 Swarnendu Chakraborty</v>
      </c>
      <c r="J1398" s="91">
        <f t="shared" si="1"/>
        <v>-0.7871309838</v>
      </c>
    </row>
    <row r="1399">
      <c r="B1399" s="76" t="str">
        <f>IFERROR(__xludf.DUMMYFUNCTION("""COMPUTED_VALUE"""),"Debuging the error (Jasper end as well as Query end) and discuss with RM about logic ")</f>
        <v>Debuging the error (Jasper end as well as Query end) and discuss with RM about logic </v>
      </c>
      <c r="C1399" s="82">
        <f>IFERROR(__xludf.DUMMYFUNCTION("""COMPUTED_VALUE"""),5361.0)</f>
        <v>5361</v>
      </c>
      <c r="D1399" s="76" t="str">
        <f>IFERROR(__xludf.DUMMYFUNCTION("""COMPUTED_VALUE"""),"Grade Card")</f>
        <v>Grade Card</v>
      </c>
      <c r="E1399" s="84">
        <f>IFERROR(__xludf.DUMMYFUNCTION("""COMPUTED_VALUE"""),46217.79375)</f>
        <v>46217.79375</v>
      </c>
      <c r="F1399" s="86">
        <f>IFERROR(__xludf.DUMMYFUNCTION("""COMPUTED_VALUE"""),46217.45400974537)</f>
        <v>46217.45401</v>
      </c>
      <c r="G1399" s="86" t="str">
        <f>IFERROR(__xludf.DUMMYFUNCTION("""COMPUTED_VALUE"""),"Done")</f>
        <v>Done</v>
      </c>
      <c r="H1399" s="88">
        <f>IFERROR(__xludf.DUMMYFUNCTION("""COMPUTED_VALUE"""),0.0)</f>
        <v>0</v>
      </c>
      <c r="I1399" s="90" t="str">
        <f>IFERROR(__xludf.DUMMYFUNCTION("""COMPUTED_VALUE"""),"EMP5009 Rup Kumar Mandal")</f>
        <v>EMP5009 Rup Kumar Mandal</v>
      </c>
      <c r="J1399" s="91">
        <f t="shared" si="1"/>
        <v>-0.3397402546</v>
      </c>
    </row>
    <row r="1400">
      <c r="B1400" s="76" t="str">
        <f>IFERROR(__xludf.DUMMYFUNCTION("""COMPUTED_VALUE"""),"Debuging the error (Jasper end as well as Query end) and discuss with RM about logic ")</f>
        <v>Debuging the error (Jasper end as well as Query end) and discuss with RM about logic </v>
      </c>
      <c r="C1400" s="82">
        <f>IFERROR(__xludf.DUMMYFUNCTION("""COMPUTED_VALUE"""),5362.0)</f>
        <v>5362</v>
      </c>
      <c r="D1400" s="76" t="str">
        <f>IFERROR(__xludf.DUMMYFUNCTION("""COMPUTED_VALUE"""),"3443")</f>
        <v>3443</v>
      </c>
      <c r="E1400" s="84">
        <f>IFERROR(__xludf.DUMMYFUNCTION("""COMPUTED_VALUE"""),46217.799305555556)</f>
        <v>46217.79931</v>
      </c>
      <c r="F1400" s="86">
        <f>IFERROR(__xludf.DUMMYFUNCTION("""COMPUTED_VALUE"""),46217.454019247685)</f>
        <v>46217.45402</v>
      </c>
      <c r="G1400" s="86" t="str">
        <f>IFERROR(__xludf.DUMMYFUNCTION("""COMPUTED_VALUE"""),"Done")</f>
        <v>Done</v>
      </c>
      <c r="H1400" s="88">
        <f>IFERROR(__xludf.DUMMYFUNCTION("""COMPUTED_VALUE"""),0.0)</f>
        <v>0</v>
      </c>
      <c r="I1400" s="90" t="str">
        <f>IFERROR(__xludf.DUMMYFUNCTION("""COMPUTED_VALUE"""),"EMP5009 Rup Kumar Mandal")</f>
        <v>EMP5009 Rup Kumar Mandal</v>
      </c>
      <c r="J1400" s="91">
        <f t="shared" si="1"/>
        <v>-0.3452863079</v>
      </c>
    </row>
    <row r="1401">
      <c r="B1401" s="76" t="str">
        <f>IFERROR(__xludf.DUMMYFUNCTION("""COMPUTED_VALUE"""),"Debuging the error (Jasper end as well as Query end) and discuss with RM about logic ")</f>
        <v>Debuging the error (Jasper end as well as Query end) and discuss with RM about logic </v>
      </c>
      <c r="C1401" s="82">
        <f>IFERROR(__xludf.DUMMYFUNCTION("""COMPUTED_VALUE"""),5363.0)</f>
        <v>5363</v>
      </c>
      <c r="D1401" s="76" t="str">
        <f>IFERROR(__xludf.DUMMYFUNCTION("""COMPUTED_VALUE"""),"3386")</f>
        <v>3386</v>
      </c>
      <c r="E1401" s="84">
        <f>IFERROR(__xludf.DUMMYFUNCTION("""COMPUTED_VALUE"""),46217.80138888889)</f>
        <v>46217.80139</v>
      </c>
      <c r="F1401" s="86">
        <f>IFERROR(__xludf.DUMMYFUNCTION("""COMPUTED_VALUE"""),46217.45402885417)</f>
        <v>46217.45403</v>
      </c>
      <c r="G1401" s="86" t="str">
        <f>IFERROR(__xludf.DUMMYFUNCTION("""COMPUTED_VALUE"""),"Done")</f>
        <v>Done</v>
      </c>
      <c r="H1401" s="88">
        <f>IFERROR(__xludf.DUMMYFUNCTION("""COMPUTED_VALUE"""),0.0)</f>
        <v>0</v>
      </c>
      <c r="I1401" s="90" t="str">
        <f>IFERROR(__xludf.DUMMYFUNCTION("""COMPUTED_VALUE"""),"EMP5009 Rup Kumar Mandal")</f>
        <v>EMP5009 Rup Kumar Mandal</v>
      </c>
      <c r="J1401" s="91">
        <f t="shared" si="1"/>
        <v>-0.3473600347</v>
      </c>
    </row>
    <row r="1402">
      <c r="B1402" s="76" t="str">
        <f>IFERROR(__xludf.DUMMYFUNCTION("""COMPUTED_VALUE"""),"Debuging the error (Jasper end as well as Query end) and discuss with RM about logic ")</f>
        <v>Debuging the error (Jasper end as well as Query end) and discuss with RM about logic </v>
      </c>
      <c r="C1402" s="82">
        <f>IFERROR(__xludf.DUMMYFUNCTION("""COMPUTED_VALUE"""),5364.0)</f>
        <v>5364</v>
      </c>
      <c r="D1402" s="76" t="str">
        <f>IFERROR(__xludf.DUMMYFUNCTION("""COMPUTED_VALUE"""),"3285")</f>
        <v>3285</v>
      </c>
      <c r="E1402" s="84">
        <f>IFERROR(__xludf.DUMMYFUNCTION("""COMPUTED_VALUE"""),46217.80416666667)</f>
        <v>46217.80417</v>
      </c>
      <c r="F1402" s="86">
        <f>IFERROR(__xludf.DUMMYFUNCTION("""COMPUTED_VALUE"""),46217.61782530092)</f>
        <v>46217.61783</v>
      </c>
      <c r="G1402" s="86" t="str">
        <f>IFERROR(__xludf.DUMMYFUNCTION("""COMPUTED_VALUE"""),"Done")</f>
        <v>Done</v>
      </c>
      <c r="H1402" s="88">
        <f>IFERROR(__xludf.DUMMYFUNCTION("""COMPUTED_VALUE"""),0.0)</f>
        <v>0</v>
      </c>
      <c r="I1402" s="90" t="str">
        <f>IFERROR(__xludf.DUMMYFUNCTION("""COMPUTED_VALUE"""),"EMP5009 Rup Kumar Mandal")</f>
        <v>EMP5009 Rup Kumar Mandal</v>
      </c>
      <c r="J1402" s="91">
        <f t="shared" si="1"/>
        <v>-0.1863413657</v>
      </c>
    </row>
    <row r="1403">
      <c r="B1403" s="76" t="str">
        <f>IFERROR(__xludf.DUMMYFUNCTION("""COMPUTED_VALUE"""),"Debuging the error (Jasper end as well as Query end) and discuss with RM about logic ")</f>
        <v>Debuging the error (Jasper end as well as Query end) and discuss with RM about logic </v>
      </c>
      <c r="C1403" s="82">
        <f>IFERROR(__xludf.DUMMYFUNCTION("""COMPUTED_VALUE"""),5365.0)</f>
        <v>5365</v>
      </c>
      <c r="D1403" s="76" t="str">
        <f>IFERROR(__xludf.DUMMYFUNCTION("""COMPUTED_VALUE"""),"3285")</f>
        <v>3285</v>
      </c>
      <c r="E1403" s="84">
        <f>IFERROR(__xludf.DUMMYFUNCTION("""COMPUTED_VALUE"""),46217.805555555555)</f>
        <v>46217.80556</v>
      </c>
      <c r="F1403" s="86">
        <f>IFERROR(__xludf.DUMMYFUNCTION("""COMPUTED_VALUE"""),46217.45403759259)</f>
        <v>46217.45404</v>
      </c>
      <c r="G1403" s="86" t="str">
        <f>IFERROR(__xludf.DUMMYFUNCTION("""COMPUTED_VALUE"""),"Done")</f>
        <v>Done</v>
      </c>
      <c r="H1403" s="88">
        <f>IFERROR(__xludf.DUMMYFUNCTION("""COMPUTED_VALUE"""),0.0)</f>
        <v>0</v>
      </c>
      <c r="I1403" s="90" t="str">
        <f>IFERROR(__xludf.DUMMYFUNCTION("""COMPUTED_VALUE"""),"EMP5009 Rup Kumar Mandal")</f>
        <v>EMP5009 Rup Kumar Mandal</v>
      </c>
      <c r="J1403" s="91">
        <f t="shared" si="1"/>
        <v>-0.351517963</v>
      </c>
    </row>
    <row r="1404">
      <c r="B1404" s="76" t="str">
        <f>IFERROR(__xludf.DUMMYFUNCTION("""COMPUTED_VALUE"""),"Debuging the error (Jasper end as well as Query end) and discuss with RM about logic ")</f>
        <v>Debuging the error (Jasper end as well as Query end) and discuss with RM about logic </v>
      </c>
      <c r="C1404" s="82">
        <f>IFERROR(__xludf.DUMMYFUNCTION("""COMPUTED_VALUE"""),5366.0)</f>
        <v>5366</v>
      </c>
      <c r="D1404" s="76" t="str">
        <f>IFERROR(__xludf.DUMMYFUNCTION("""COMPUTED_VALUE"""),"2577")</f>
        <v>2577</v>
      </c>
      <c r="E1404" s="84">
        <f>IFERROR(__xludf.DUMMYFUNCTION("""COMPUTED_VALUE"""),46217.80694444444)</f>
        <v>46217.80694</v>
      </c>
      <c r="F1404" s="86">
        <f>IFERROR(__xludf.DUMMYFUNCTION("""COMPUTED_VALUE"""),46217.454044108796)</f>
        <v>46217.45404</v>
      </c>
      <c r="G1404" s="86" t="str">
        <f>IFERROR(__xludf.DUMMYFUNCTION("""COMPUTED_VALUE"""),"Done")</f>
        <v>Done</v>
      </c>
      <c r="H1404" s="88">
        <f>IFERROR(__xludf.DUMMYFUNCTION("""COMPUTED_VALUE"""),0.0)</f>
        <v>0</v>
      </c>
      <c r="I1404" s="90" t="str">
        <f>IFERROR(__xludf.DUMMYFUNCTION("""COMPUTED_VALUE"""),"EMP5009 Rup Kumar Mandal")</f>
        <v>EMP5009 Rup Kumar Mandal</v>
      </c>
      <c r="J1404" s="91">
        <f t="shared" si="1"/>
        <v>-0.3529003356</v>
      </c>
    </row>
    <row r="1405">
      <c r="B1405" s="76" t="str">
        <f>IFERROR(__xludf.DUMMYFUNCTION("""COMPUTED_VALUE"""),"Debuging the error (Jasper end as well as Query end) and discuss with RM about logic ")</f>
        <v>Debuging the error (Jasper end as well as Query end) and discuss with RM about logic </v>
      </c>
      <c r="C1405" s="82">
        <f>IFERROR(__xludf.DUMMYFUNCTION("""COMPUTED_VALUE"""),5367.0)</f>
        <v>5367</v>
      </c>
      <c r="D1405" s="76" t="str">
        <f>IFERROR(__xludf.DUMMYFUNCTION("""COMPUTED_VALUE"""),"2781")</f>
        <v>2781</v>
      </c>
      <c r="E1405" s="84">
        <f>IFERROR(__xludf.DUMMYFUNCTION("""COMPUTED_VALUE"""),46217.80972222222)</f>
        <v>46217.80972</v>
      </c>
      <c r="F1405" s="86">
        <f>IFERROR(__xludf.DUMMYFUNCTION("""COMPUTED_VALUE"""),46217.61726097223)</f>
        <v>46217.61726</v>
      </c>
      <c r="G1405" s="86" t="str">
        <f>IFERROR(__xludf.DUMMYFUNCTION("""COMPUTED_VALUE"""),"Done")</f>
        <v>Done</v>
      </c>
      <c r="H1405" s="88">
        <f>IFERROR(__xludf.DUMMYFUNCTION("""COMPUTED_VALUE"""),0.0)</f>
        <v>0</v>
      </c>
      <c r="I1405" s="90" t="str">
        <f>IFERROR(__xludf.DUMMYFUNCTION("""COMPUTED_VALUE"""),"EMP5009 Rup Kumar Mandal")</f>
        <v>EMP5009 Rup Kumar Mandal</v>
      </c>
      <c r="J1405" s="91">
        <f t="shared" si="1"/>
        <v>-0.19246125</v>
      </c>
    </row>
    <row r="1406">
      <c r="B1406" s="76" t="str">
        <f>IFERROR(__xludf.DUMMYFUNCTION("""COMPUTED_VALUE"""),"Debuging the error (Jasper end as well as Query end) and discuss with RM about logic ")</f>
        <v>Debuging the error (Jasper end as well as Query end) and discuss with RM about logic </v>
      </c>
      <c r="C1406" s="82">
        <f>IFERROR(__xludf.DUMMYFUNCTION("""COMPUTED_VALUE"""),5368.0)</f>
        <v>5368</v>
      </c>
      <c r="D1406" s="76" t="str">
        <f>IFERROR(__xludf.DUMMYFUNCTION("""COMPUTED_VALUE"""),"3361")</f>
        <v>3361</v>
      </c>
      <c r="E1406" s="84">
        <f>IFERROR(__xludf.DUMMYFUNCTION("""COMPUTED_VALUE"""),46217.81111111111)</f>
        <v>46217.81111</v>
      </c>
      <c r="F1406" s="86">
        <f>IFERROR(__xludf.DUMMYFUNCTION("""COMPUTED_VALUE"""),46217.454051678236)</f>
        <v>46217.45405</v>
      </c>
      <c r="G1406" s="86" t="str">
        <f>IFERROR(__xludf.DUMMYFUNCTION("""COMPUTED_VALUE"""),"Done")</f>
        <v>Done</v>
      </c>
      <c r="H1406" s="88">
        <f>IFERROR(__xludf.DUMMYFUNCTION("""COMPUTED_VALUE"""),0.0)</f>
        <v>0</v>
      </c>
      <c r="I1406" s="90" t="str">
        <f>IFERROR(__xludf.DUMMYFUNCTION("""COMPUTED_VALUE"""),"EMP5009 Rup Kumar Mandal")</f>
        <v>EMP5009 Rup Kumar Mandal</v>
      </c>
      <c r="J1406" s="91">
        <f t="shared" si="1"/>
        <v>-0.3570594329</v>
      </c>
    </row>
    <row r="1407">
      <c r="B1407" s="76" t="str">
        <f>IFERROR(__xludf.DUMMYFUNCTION("""COMPUTED_VALUE"""),"Debuging the error (Jasper end as well as Query end) and discuss with RM about logic ")</f>
        <v>Debuging the error (Jasper end as well as Query end) and discuss with RM about logic </v>
      </c>
      <c r="C1407" s="82">
        <f>IFERROR(__xludf.DUMMYFUNCTION("""COMPUTED_VALUE"""),5369.0)</f>
        <v>5369</v>
      </c>
      <c r="D1407" s="76" t="str">
        <f>IFERROR(__xludf.DUMMYFUNCTION("""COMPUTED_VALUE"""),"33,083,375")</f>
        <v>33,083,375</v>
      </c>
      <c r="E1407" s="84">
        <f>IFERROR(__xludf.DUMMYFUNCTION("""COMPUTED_VALUE"""),46217.81319444445)</f>
        <v>46217.81319</v>
      </c>
      <c r="F1407" s="86">
        <f>IFERROR(__xludf.DUMMYFUNCTION("""COMPUTED_VALUE"""),46217.45406196759)</f>
        <v>46217.45406</v>
      </c>
      <c r="G1407" s="86" t="str">
        <f>IFERROR(__xludf.DUMMYFUNCTION("""COMPUTED_VALUE"""),"Done")</f>
        <v>Done</v>
      </c>
      <c r="H1407" s="88">
        <f>IFERROR(__xludf.DUMMYFUNCTION("""COMPUTED_VALUE"""),0.0)</f>
        <v>0</v>
      </c>
      <c r="I1407" s="90" t="str">
        <f>IFERROR(__xludf.DUMMYFUNCTION("""COMPUTED_VALUE"""),"EMP5009 Rup Kumar Mandal")</f>
        <v>EMP5009 Rup Kumar Mandal</v>
      </c>
      <c r="J1407" s="91">
        <f t="shared" si="1"/>
        <v>-0.3591324769</v>
      </c>
    </row>
    <row r="1408">
      <c r="B1408" s="76" t="str">
        <f>IFERROR(__xludf.DUMMYFUNCTION("""COMPUTED_VALUE"""),"Debuging the error (Jasper end as well as Query end) and discuss with RM about logic ")</f>
        <v>Debuging the error (Jasper end as well as Query end) and discuss with RM about logic </v>
      </c>
      <c r="C1408" s="82">
        <f>IFERROR(__xludf.DUMMYFUNCTION("""COMPUTED_VALUE"""),5370.0)</f>
        <v>5370</v>
      </c>
      <c r="D1408" s="76" t="str">
        <f>IFERROR(__xludf.DUMMYFUNCTION("""COMPUTED_VALUE"""),"2782")</f>
        <v>2782</v>
      </c>
      <c r="E1408" s="84">
        <f>IFERROR(__xludf.DUMMYFUNCTION("""COMPUTED_VALUE"""),46217.81458333333)</f>
        <v>46217.81458</v>
      </c>
      <c r="F1408" s="86">
        <f>IFERROR(__xludf.DUMMYFUNCTION("""COMPUTED_VALUE"""),46217.6173133912)</f>
        <v>46217.61731</v>
      </c>
      <c r="G1408" s="86" t="str">
        <f>IFERROR(__xludf.DUMMYFUNCTION("""COMPUTED_VALUE"""),"Done")</f>
        <v>Done</v>
      </c>
      <c r="H1408" s="88">
        <f>IFERROR(__xludf.DUMMYFUNCTION("""COMPUTED_VALUE"""),0.0)</f>
        <v>0</v>
      </c>
      <c r="I1408" s="90" t="str">
        <f>IFERROR(__xludf.DUMMYFUNCTION("""COMPUTED_VALUE"""),"EMP5009 Rup Kumar Mandal")</f>
        <v>EMP5009 Rup Kumar Mandal</v>
      </c>
      <c r="J1408" s="91">
        <f t="shared" si="1"/>
        <v>-0.1972699421</v>
      </c>
    </row>
    <row r="1409">
      <c r="B1409" s="76" t="str">
        <f>IFERROR(__xludf.DUMMYFUNCTION("""COMPUTED_VALUE"""),"Debuging the error (Jasper end as well as Query end) and discuss with RM about logic ")</f>
        <v>Debuging the error (Jasper end as well as Query end) and discuss with RM about logic </v>
      </c>
      <c r="C1409" s="82">
        <f>IFERROR(__xludf.DUMMYFUNCTION("""COMPUTED_VALUE"""),5371.0)</f>
        <v>5371</v>
      </c>
      <c r="D1409" s="76" t="str">
        <f>IFERROR(__xludf.DUMMYFUNCTION("""COMPUTED_VALUE"""),"MAR ENTRY")</f>
        <v>MAR ENTRY</v>
      </c>
      <c r="E1409" s="84">
        <f>IFERROR(__xludf.DUMMYFUNCTION("""COMPUTED_VALUE"""),46218.44097222222)</f>
        <v>46218.44097</v>
      </c>
      <c r="F1409" s="86">
        <f>IFERROR(__xludf.DUMMYFUNCTION("""COMPUTED_VALUE"""),46217.61734768518)</f>
        <v>46217.61735</v>
      </c>
      <c r="G1409" s="86" t="str">
        <f>IFERROR(__xludf.DUMMYFUNCTION("""COMPUTED_VALUE"""),"Done")</f>
        <v>Done</v>
      </c>
      <c r="H1409" s="88">
        <f>IFERROR(__xludf.DUMMYFUNCTION("""COMPUTED_VALUE"""),0.0)</f>
        <v>0</v>
      </c>
      <c r="I1409" s="90" t="str">
        <f>IFERROR(__xludf.DUMMYFUNCTION("""COMPUTED_VALUE"""),"EMP5009 Rup Kumar Mandal")</f>
        <v>EMP5009 Rup Kumar Mandal</v>
      </c>
      <c r="J1409" s="91">
        <f t="shared" si="1"/>
        <v>-0.823624537</v>
      </c>
    </row>
    <row r="1410">
      <c r="B1410" s="76" t="str">
        <f>IFERROR(__xludf.DUMMYFUNCTION("""COMPUTED_VALUE"""),"Debuging the error (Jasper end as well as Query end) and discuss with RM about logic ")</f>
        <v>Debuging the error (Jasper end as well as Query end) and discuss with RM about logic </v>
      </c>
      <c r="C1410" s="82">
        <f>IFERROR(__xludf.DUMMYFUNCTION("""COMPUTED_VALUE"""),5372.0)</f>
        <v>5372</v>
      </c>
      <c r="D1410" s="76" t="str">
        <f>IFERROR(__xludf.DUMMYFUNCTION("""COMPUTED_VALUE"""),"TR/HOSTING-UG NEP TR ")</f>
        <v>TR/HOSTING-UG NEP TR </v>
      </c>
      <c r="E1410" s="84">
        <f>IFERROR(__xludf.DUMMYFUNCTION("""COMPUTED_VALUE"""),46218.61041666666)</f>
        <v>46218.61042</v>
      </c>
      <c r="F1410" s="86">
        <f>IFERROR(__xludf.DUMMYFUNCTION("""COMPUTED_VALUE"""),46217.817664270835)</f>
        <v>46217.81766</v>
      </c>
      <c r="G1410" s="86" t="str">
        <f>IFERROR(__xludf.DUMMYFUNCTION("""COMPUTED_VALUE"""),"Done")</f>
        <v>Done</v>
      </c>
      <c r="H1410" s="88">
        <f>IFERROR(__xludf.DUMMYFUNCTION("""COMPUTED_VALUE"""),0.0)</f>
        <v>0</v>
      </c>
      <c r="I1410" s="90" t="str">
        <f>IFERROR(__xludf.DUMMYFUNCTION("""COMPUTED_VALUE"""),"EMP0042 HULESHWAR KUMAR SAHU")</f>
        <v>EMP0042 HULESHWAR KUMAR SAHU</v>
      </c>
      <c r="J1410" s="91">
        <f t="shared" si="1"/>
        <v>-0.7927523958</v>
      </c>
    </row>
    <row r="1411">
      <c r="B1411" s="76" t="str">
        <f>IFERROR(__xludf.DUMMYFUNCTION("""COMPUTED_VALUE"""),"Debuging the error (Jasper end as well as Query end) and discuss with RM about logic ")</f>
        <v>Debuging the error (Jasper end as well as Query end) and discuss with RM about logic </v>
      </c>
      <c r="C1411" s="82">
        <f>IFERROR(__xludf.DUMMYFUNCTION("""COMPUTED_VALUE"""),5373.0)</f>
        <v>5373</v>
      </c>
      <c r="D1411" s="76" t="str">
        <f>IFERROR(__xludf.DUMMYFUNCTION("""COMPUTED_VALUE"""),"TRANSCRIPT ")</f>
        <v>TRANSCRIPT </v>
      </c>
      <c r="E1411" s="84">
        <f>IFERROR(__xludf.DUMMYFUNCTION("""COMPUTED_VALUE"""),46218.77364123842)</f>
        <v>46218.77364</v>
      </c>
      <c r="F1411" s="86">
        <f>IFERROR(__xludf.DUMMYFUNCTION("""COMPUTED_VALUE"""),46218.50343925926)</f>
        <v>46218.50344</v>
      </c>
      <c r="G1411" s="86" t="str">
        <f>IFERROR(__xludf.DUMMYFUNCTION("""COMPUTED_VALUE"""),"Done")</f>
        <v>Done</v>
      </c>
      <c r="H1411" s="88">
        <f>IFERROR(__xludf.DUMMYFUNCTION("""COMPUTED_VALUE"""),0.0)</f>
        <v>0</v>
      </c>
      <c r="I1411" s="90" t="str">
        <f>IFERROR(__xludf.DUMMYFUNCTION("""COMPUTED_VALUE"""),"EMP0021 Tamanna Dewangan")</f>
        <v>EMP0021 Tamanna Dewangan</v>
      </c>
      <c r="J1411" s="91">
        <f t="shared" si="1"/>
        <v>-0.2702019792</v>
      </c>
    </row>
    <row r="1412">
      <c r="B1412" s="76" t="str">
        <f>IFERROR(__xludf.DUMMYFUNCTION("""COMPUTED_VALUE"""),"Debuging the error (Jasper end as well as Query end) and discuss with RM about logic ")</f>
        <v>Debuging the error (Jasper end as well as Query end) and discuss with RM about logic </v>
      </c>
      <c r="C1412" s="82">
        <f>IFERROR(__xludf.DUMMYFUNCTION("""COMPUTED_VALUE"""),5374.0)</f>
        <v>5374</v>
      </c>
      <c r="D1412" s="76" t="str">
        <f>IFERROR(__xludf.DUMMYFUNCTION("""COMPUTED_VALUE"""),"TR HOSTING -UG NEP TR ")</f>
        <v>TR HOSTING -UG NEP TR </v>
      </c>
      <c r="E1412" s="84">
        <f>IFERROR(__xludf.DUMMYFUNCTION("""COMPUTED_VALUE"""),46218.79163854167)</f>
        <v>46218.79164</v>
      </c>
      <c r="F1412" s="86">
        <f>IFERROR(__xludf.DUMMYFUNCTION("""COMPUTED_VALUE"""),46218.53217356482)</f>
        <v>46218.53217</v>
      </c>
      <c r="G1412" s="86" t="str">
        <f>IFERROR(__xludf.DUMMYFUNCTION("""COMPUTED_VALUE"""),"Done")</f>
        <v>Done</v>
      </c>
      <c r="H1412" s="88">
        <f>IFERROR(__xludf.DUMMYFUNCTION("""COMPUTED_VALUE"""),0.0)</f>
        <v>0</v>
      </c>
      <c r="I1412" s="90" t="str">
        <f>IFERROR(__xludf.DUMMYFUNCTION("""COMPUTED_VALUE"""),"EMP0237 Swarnendu Chakraborty")</f>
        <v>EMP0237 Swarnendu Chakraborty</v>
      </c>
      <c r="J1412" s="91">
        <f t="shared" si="1"/>
        <v>-0.2594649769</v>
      </c>
    </row>
    <row r="1413">
      <c r="B1413" s="76" t="str">
        <f>IFERROR(__xludf.DUMMYFUNCTION("""COMPUTED_VALUE"""),"Debuging the error (Jasper end as well as Query end) and discuss with RM about logic ")</f>
        <v>Debuging the error (Jasper end as well as Query end) and discuss with RM about logic </v>
      </c>
      <c r="C1413" s="82">
        <f>IFERROR(__xludf.DUMMYFUNCTION("""COMPUTED_VALUE"""),5375.0)</f>
        <v>5375</v>
      </c>
      <c r="D1413" s="76" t="str">
        <f>IFERROR(__xludf.DUMMYFUNCTION("""COMPUTED_VALUE"""),"Migration certificate 241741105043_SE22")</f>
        <v>Migration certificate 241741105043_SE22</v>
      </c>
      <c r="E1413" s="84">
        <f>IFERROR(__xludf.DUMMYFUNCTION("""COMPUTED_VALUE"""),46220.41805555555)</f>
        <v>46220.41806</v>
      </c>
      <c r="F1413" s="86">
        <f>IFERROR(__xludf.DUMMYFUNCTION("""COMPUTED_VALUE"""),46218.640643946754)</f>
        <v>46218.64064</v>
      </c>
      <c r="G1413" s="86" t="str">
        <f>IFERROR(__xludf.DUMMYFUNCTION("""COMPUTED_VALUE"""),"Done")</f>
        <v>Done</v>
      </c>
      <c r="H1413" s="88">
        <f>IFERROR(__xludf.DUMMYFUNCTION("""COMPUTED_VALUE"""),0.0)</f>
        <v>0</v>
      </c>
      <c r="I1413" s="90" t="str">
        <f>IFERROR(__xludf.DUMMYFUNCTION("""COMPUTED_VALUE"""),"EMP0042 HULESHWAR KUMAR SAHU")</f>
        <v>EMP0042 HULESHWAR KUMAR SAHU</v>
      </c>
      <c r="J1413" s="91">
        <f t="shared" si="1"/>
        <v>-1.777411609</v>
      </c>
    </row>
    <row r="1414">
      <c r="B1414" s="76" t="str">
        <f>IFERROR(__xludf.DUMMYFUNCTION("""COMPUTED_VALUE"""),"Debuging the error (Jasper end as well as Query end) and discuss with RM about logic ")</f>
        <v>Debuging the error (Jasper end as well as Query end) and discuss with RM about logic </v>
      </c>
      <c r="C1414" s="82">
        <f>IFERROR(__xludf.DUMMYFUNCTION("""COMPUTED_VALUE"""),5376.0)</f>
        <v>5376</v>
      </c>
      <c r="D1414" s="76" t="str">
        <f>IFERROR(__xludf.DUMMYFUNCTION("""COMPUTED_VALUE"""),"TR report")</f>
        <v>TR report</v>
      </c>
      <c r="E1414" s="84">
        <f>IFERROR(__xludf.DUMMYFUNCTION("""COMPUTED_VALUE"""),46220.43541666667)</f>
        <v>46220.43542</v>
      </c>
      <c r="F1414" s="86">
        <f>IFERROR(__xludf.DUMMYFUNCTION("""COMPUTED_VALUE"""),46218.64088111111)</f>
        <v>46218.64088</v>
      </c>
      <c r="G1414" s="86" t="str">
        <f>IFERROR(__xludf.DUMMYFUNCTION("""COMPUTED_VALUE"""),"Done")</f>
        <v>Done</v>
      </c>
      <c r="H1414" s="88">
        <f>IFERROR(__xludf.DUMMYFUNCTION("""COMPUTED_VALUE"""),0.0)</f>
        <v>0</v>
      </c>
      <c r="I1414" s="90" t="str">
        <f>IFERROR(__xludf.DUMMYFUNCTION("""COMPUTED_VALUE"""),"EMP0237 Swarnendu Chakraborty")</f>
        <v>EMP0237 Swarnendu Chakraborty</v>
      </c>
      <c r="J1414" s="91">
        <f t="shared" si="1"/>
        <v>-1.794535556</v>
      </c>
    </row>
    <row r="1415">
      <c r="B1415" s="76" t="str">
        <f>IFERROR(__xludf.DUMMYFUNCTION("""COMPUTED_VALUE"""),"Debuging the error (Jasper end as well as Query end) and discuss with RM about logic ")</f>
        <v>Debuging the error (Jasper end as well as Query end) and discuss with RM about logic </v>
      </c>
      <c r="C1415" s="82">
        <f>IFERROR(__xludf.DUMMYFUNCTION("""COMPUTED_VALUE"""),5377.0)</f>
        <v>5377</v>
      </c>
      <c r="D1415" s="76" t="str">
        <f>IFERROR(__xludf.DUMMYFUNCTION("""COMPUTED_VALUE"""),"TR Report")</f>
        <v>TR Report</v>
      </c>
      <c r="E1415" s="84">
        <f>IFERROR(__xludf.DUMMYFUNCTION("""COMPUTED_VALUE"""),46220.53055555555)</f>
        <v>46220.53056</v>
      </c>
      <c r="F1415" s="86">
        <f>IFERROR(__xludf.DUMMYFUNCTION("""COMPUTED_VALUE"""),46218.68508445601)</f>
        <v>46218.68508</v>
      </c>
      <c r="G1415" s="86" t="str">
        <f>IFERROR(__xludf.DUMMYFUNCTION("""COMPUTED_VALUE"""),"Done")</f>
        <v>Done</v>
      </c>
      <c r="H1415" s="88">
        <f>IFERROR(__xludf.DUMMYFUNCTION("""COMPUTED_VALUE"""),0.0)</f>
        <v>0</v>
      </c>
      <c r="I1415" s="90" t="str">
        <f>IFERROR(__xludf.DUMMYFUNCTION("""COMPUTED_VALUE"""),"EMP0237 Swarnendu Chakraborty")</f>
        <v>EMP0237 Swarnendu Chakraborty</v>
      </c>
      <c r="J1415" s="91">
        <f t="shared" si="1"/>
        <v>-1.8454711</v>
      </c>
    </row>
    <row r="1416">
      <c r="B1416" s="76" t="str">
        <f>IFERROR(__xludf.DUMMYFUNCTION("""COMPUTED_VALUE"""),"Debuging the error (Jasper end as well as Query end) and discuss with RM about logic ")</f>
        <v>Debuging the error (Jasper end as well as Query end) and discuss with RM about logic </v>
      </c>
      <c r="C1416" s="82">
        <f>IFERROR(__xludf.DUMMYFUNCTION("""COMPUTED_VALUE"""),5378.0)</f>
        <v>5378</v>
      </c>
      <c r="D1416" s="76" t="str">
        <f>IFERROR(__xludf.DUMMYFUNCTION("""COMPUTED_VALUE"""),"TR")</f>
        <v>TR</v>
      </c>
      <c r="E1416" s="84">
        <f>IFERROR(__xludf.DUMMYFUNCTION("""COMPUTED_VALUE"""),46220.53333333333)</f>
        <v>46220.53333</v>
      </c>
      <c r="F1416" s="86">
        <f>IFERROR(__xludf.DUMMYFUNCTION("""COMPUTED_VALUE"""),46218.6853802662)</f>
        <v>46218.68538</v>
      </c>
      <c r="G1416" s="86" t="str">
        <f>IFERROR(__xludf.DUMMYFUNCTION("""COMPUTED_VALUE"""),"Done")</f>
        <v>Done</v>
      </c>
      <c r="H1416" s="88">
        <f>IFERROR(__xludf.DUMMYFUNCTION("""COMPUTED_VALUE"""),0.0)</f>
        <v>0</v>
      </c>
      <c r="I1416" s="90" t="str">
        <f>IFERROR(__xludf.DUMMYFUNCTION("""COMPUTED_VALUE"""),"EMP0042 HULESHWAR KUMAR SAHU")</f>
        <v>EMP0042 HULESHWAR KUMAR SAHU</v>
      </c>
      <c r="J1416" s="91">
        <f t="shared" si="1"/>
        <v>-1.847953067</v>
      </c>
    </row>
    <row r="1417">
      <c r="B1417" s="76" t="str">
        <f>IFERROR(__xludf.DUMMYFUNCTION("""COMPUTED_VALUE"""),"Debuging the error (Jasper end as well as Query end) and discuss with RM about logic ")</f>
        <v>Debuging the error (Jasper end as well as Query end) and discuss with RM about logic </v>
      </c>
      <c r="C1417" s="82">
        <f>IFERROR(__xludf.DUMMYFUNCTION("""COMPUTED_VALUE"""),5379.0)</f>
        <v>5379</v>
      </c>
      <c r="D1417" s="76" t="str">
        <f>IFERROR(__xludf.DUMMYFUNCTION("""COMPUTED_VALUE"""),"gradecard4_btech")</f>
        <v>gradecard4_btech</v>
      </c>
      <c r="E1417" s="84">
        <f>IFERROR(__xludf.DUMMYFUNCTION("""COMPUTED_VALUE"""),46219.75947494213)</f>
        <v>46219.75947</v>
      </c>
      <c r="F1417" s="86">
        <f>IFERROR(__xludf.DUMMYFUNCTION("""COMPUTED_VALUE"""),46219.558834097224)</f>
        <v>46219.55883</v>
      </c>
      <c r="G1417" s="86" t="str">
        <f>IFERROR(__xludf.DUMMYFUNCTION("""COMPUTED_VALUE"""),"Done")</f>
        <v>Done</v>
      </c>
      <c r="H1417" s="88">
        <f>IFERROR(__xludf.DUMMYFUNCTION("""COMPUTED_VALUE"""),0.0)</f>
        <v>0</v>
      </c>
      <c r="I1417" s="90" t="str">
        <f>IFERROR(__xludf.DUMMYFUNCTION("""COMPUTED_VALUE"""),"EMP0042 HULESHWAR KUMAR SAHU")</f>
        <v>EMP0042 HULESHWAR KUMAR SAHU</v>
      </c>
      <c r="J1417" s="91">
        <f t="shared" si="1"/>
        <v>-0.2006408449</v>
      </c>
    </row>
    <row r="1418">
      <c r="B1418" s="76" t="str">
        <f>IFERROR(__xludf.DUMMYFUNCTION("""COMPUTED_VALUE"""),"Debuging the error (Jasper end as well as Query end) and discuss with RM about logic ")</f>
        <v>Debuging the error (Jasper end as well as Query end) and discuss with RM about logic </v>
      </c>
      <c r="C1418" s="82">
        <f>IFERROR(__xludf.DUMMYFUNCTION("""COMPUTED_VALUE"""),5380.0)</f>
        <v>5380</v>
      </c>
      <c r="D1418" s="76" t="str">
        <f>IFERROR(__xludf.DUMMYFUNCTION("""COMPUTED_VALUE"""),"Marksheet Paramedical")</f>
        <v>Marksheet Paramedical</v>
      </c>
      <c r="E1418" s="84">
        <f>IFERROR(__xludf.DUMMYFUNCTION("""COMPUTED_VALUE"""),46219.832678032406)</f>
        <v>46219.83268</v>
      </c>
      <c r="F1418" s="86">
        <f>IFERROR(__xludf.DUMMYFUNCTION("""COMPUTED_VALUE"""),46219.55884447917)</f>
        <v>46219.55884</v>
      </c>
      <c r="G1418" s="86" t="str">
        <f>IFERROR(__xludf.DUMMYFUNCTION("""COMPUTED_VALUE"""),"Done")</f>
        <v>Done</v>
      </c>
      <c r="H1418" s="88">
        <f>IFERROR(__xludf.DUMMYFUNCTION("""COMPUTED_VALUE"""),0.0)</f>
        <v>0</v>
      </c>
      <c r="I1418" s="90" t="str">
        <f>IFERROR(__xludf.DUMMYFUNCTION("""COMPUTED_VALUE"""),"EMP0042 HULESHWAR KUMAR SAHU")</f>
        <v>EMP0042 HULESHWAR KUMAR SAHU</v>
      </c>
      <c r="J1418" s="91">
        <f t="shared" si="1"/>
        <v>-0.2738335532</v>
      </c>
    </row>
    <row r="1419">
      <c r="B1419" s="76" t="str">
        <f>IFERROR(__xludf.DUMMYFUNCTION("""COMPUTED_VALUE"""),"Debuging the error (Jasper end as well as Query end) and discuss with RM about logic ")</f>
        <v>Debuging the error (Jasper end as well as Query end) and discuss with RM about logic </v>
      </c>
      <c r="C1419" s="82">
        <f>IFERROR(__xludf.DUMMYFUNCTION("""COMPUTED_VALUE"""),5381.0)</f>
        <v>5381</v>
      </c>
      <c r="D1419" s="76" t="str">
        <f>IFERROR(__xludf.DUMMYFUNCTION("""COMPUTED_VALUE"""),"TR correction")</f>
        <v>TR correction</v>
      </c>
      <c r="E1419" s="84">
        <f>IFERROR(__xludf.DUMMYFUNCTION("""COMPUTED_VALUE"""),46220.47986111111)</f>
        <v>46220.47986</v>
      </c>
      <c r="F1419" s="86">
        <f>IFERROR(__xludf.DUMMYFUNCTION("""COMPUTED_VALUE"""),46219.71348872685)</f>
        <v>46219.71349</v>
      </c>
      <c r="G1419" s="86" t="str">
        <f>IFERROR(__xludf.DUMMYFUNCTION("""COMPUTED_VALUE"""),"Done")</f>
        <v>Done</v>
      </c>
      <c r="H1419" s="88">
        <f>IFERROR(__xludf.DUMMYFUNCTION("""COMPUTED_VALUE"""),0.0)</f>
        <v>0</v>
      </c>
      <c r="I1419" s="90" t="str">
        <f>IFERROR(__xludf.DUMMYFUNCTION("""COMPUTED_VALUE"""),"EMP0042 HULESHWAR KUMAR SAHU")</f>
        <v>EMP0042 HULESHWAR KUMAR SAHU</v>
      </c>
      <c r="J1419" s="91">
        <f t="shared" si="1"/>
        <v>-0.7663723843</v>
      </c>
    </row>
    <row r="1420">
      <c r="B1420" s="76" t="str">
        <f>IFERROR(__xludf.DUMMYFUNCTION("""COMPUTED_VALUE"""),"Debuging the error (Jasper end as well as Query end) and discuss with RM about logic ")</f>
        <v>Debuging the error (Jasper end as well as Query end) and discuss with RM about logic </v>
      </c>
      <c r="C1420" s="82">
        <f>IFERROR(__xludf.DUMMYFUNCTION("""COMPUTED_VALUE"""),5382.0)</f>
        <v>5382</v>
      </c>
      <c r="D1420" s="76" t="str">
        <f>IFERROR(__xludf.DUMMYFUNCTION("""COMPUTED_VALUE"""),"Upshastri Controller  signature change")</f>
        <v>Upshastri Controller  signature change</v>
      </c>
      <c r="E1420" s="84">
        <f>IFERROR(__xludf.DUMMYFUNCTION("""COMPUTED_VALUE"""),46220.49097222222)</f>
        <v>46220.49097</v>
      </c>
      <c r="F1420" s="86">
        <f>IFERROR(__xludf.DUMMYFUNCTION("""COMPUTED_VALUE"""),46219.713496909724)</f>
        <v>46219.7135</v>
      </c>
      <c r="G1420" s="86" t="str">
        <f>IFERROR(__xludf.DUMMYFUNCTION("""COMPUTED_VALUE"""),"Done")</f>
        <v>Done</v>
      </c>
      <c r="H1420" s="88">
        <f>IFERROR(__xludf.DUMMYFUNCTION("""COMPUTED_VALUE"""),0.0)</f>
        <v>0</v>
      </c>
      <c r="I1420" s="90" t="str">
        <f>IFERROR(__xludf.DUMMYFUNCTION("""COMPUTED_VALUE"""),"EMP0021 Tamanna Dewangan")</f>
        <v>EMP0021 Tamanna Dewangan</v>
      </c>
      <c r="J1420" s="91">
        <f t="shared" si="1"/>
        <v>-0.7774753125</v>
      </c>
    </row>
    <row r="1421">
      <c r="B1421" s="76" t="str">
        <f>IFERROR(__xludf.DUMMYFUNCTION("""COMPUTED_VALUE"""),"Debuging the error (Jasper end as well as Query end) and discuss with RM about logic ")</f>
        <v>Debuging the error (Jasper end as well as Query end) and discuss with RM about logic </v>
      </c>
      <c r="C1421" s="82">
        <f>IFERROR(__xludf.DUMMYFUNCTION("""COMPUTED_VALUE"""),5383.0)</f>
        <v>5383</v>
      </c>
      <c r="D1421" s="76" t="str">
        <f>IFERROR(__xludf.DUMMYFUNCTION("""COMPUTED_VALUE"""),"Shastri Semester marksheet Correction")</f>
        <v>Shastri Semester marksheet Correction</v>
      </c>
      <c r="E1421" s="84">
        <f>IFERROR(__xludf.DUMMYFUNCTION("""COMPUTED_VALUE"""),46220.49166666667)</f>
        <v>46220.49167</v>
      </c>
      <c r="F1421" s="86">
        <f>IFERROR(__xludf.DUMMYFUNCTION("""COMPUTED_VALUE"""),46219.713522638885)</f>
        <v>46219.71352</v>
      </c>
      <c r="G1421" s="86" t="str">
        <f>IFERROR(__xludf.DUMMYFUNCTION("""COMPUTED_VALUE"""),"Done")</f>
        <v>Done</v>
      </c>
      <c r="H1421" s="88">
        <f>IFERROR(__xludf.DUMMYFUNCTION("""COMPUTED_VALUE"""),0.0)</f>
        <v>0</v>
      </c>
      <c r="I1421" s="90" t="str">
        <f>IFERROR(__xludf.DUMMYFUNCTION("""COMPUTED_VALUE"""),"EMP0042 HULESHWAR KUMAR SAHU")</f>
        <v>EMP0042 HULESHWAR KUMAR SAHU</v>
      </c>
      <c r="J1421" s="91">
        <f t="shared" si="1"/>
        <v>-0.7781440278</v>
      </c>
    </row>
    <row r="1422">
      <c r="B1422" s="76" t="str">
        <f>IFERROR(__xludf.DUMMYFUNCTION("""COMPUTED_VALUE"""),"Debuging the error (Jasper end as well as Query end) and discuss with RM about logic ")</f>
        <v>Debuging the error (Jasper end as well as Query end) and discuss with RM about logic </v>
      </c>
      <c r="C1422" s="82">
        <f>IFERROR(__xludf.DUMMYFUNCTION("""COMPUTED_VALUE"""),5384.0)</f>
        <v>5384</v>
      </c>
      <c r="D1422" s="76" t="str">
        <f>IFERROR(__xludf.DUMMYFUNCTION("""COMPUTED_VALUE"""),"Grade Carde B.Tech")</f>
        <v>Grade Carde B.Tech</v>
      </c>
      <c r="E1422" s="84">
        <f>IFERROR(__xludf.DUMMYFUNCTION("""COMPUTED_VALUE"""),46220.52986111111)</f>
        <v>46220.52986</v>
      </c>
      <c r="F1422" s="86">
        <f>IFERROR(__xludf.DUMMYFUNCTION("""COMPUTED_VALUE"""),46219.71353915509)</f>
        <v>46219.71354</v>
      </c>
      <c r="G1422" s="86" t="str">
        <f>IFERROR(__xludf.DUMMYFUNCTION("""COMPUTED_VALUE"""),"Done")</f>
        <v>Done</v>
      </c>
      <c r="H1422" s="88">
        <f>IFERROR(__xludf.DUMMYFUNCTION("""COMPUTED_VALUE"""),0.0)</f>
        <v>0</v>
      </c>
      <c r="I1422" s="90" t="str">
        <f>IFERROR(__xludf.DUMMYFUNCTION("""COMPUTED_VALUE"""),"EMP0042 HULESHWAR KUMAR SAHU")</f>
        <v>EMP0042 HULESHWAR KUMAR SAHU</v>
      </c>
      <c r="J1422" s="91">
        <f t="shared" si="1"/>
        <v>-0.816321956</v>
      </c>
    </row>
    <row r="1423">
      <c r="B1423" s="76" t="str">
        <f>IFERROR(__xludf.DUMMYFUNCTION("""COMPUTED_VALUE"""),"Debuging the error (Jasper end as well as Query end) and discuss with RM about logic ")</f>
        <v>Debuging the error (Jasper end as well as Query end) and discuss with RM about logic </v>
      </c>
      <c r="C1423" s="82">
        <f>IFERROR(__xludf.DUMMYFUNCTION("""COMPUTED_VALUE"""),5385.0)</f>
        <v>5385</v>
      </c>
      <c r="D1423" s="76" t="str">
        <f>IFERROR(__xludf.DUMMYFUNCTION("""COMPUTED_VALUE"""),"GRADE_CARD")</f>
        <v>GRADE_CARD</v>
      </c>
      <c r="E1423" s="84">
        <f>IFERROR(__xludf.DUMMYFUNCTION("""COMPUTED_VALUE"""),46220.54652777778)</f>
        <v>46220.54653</v>
      </c>
      <c r="F1423" s="86">
        <f>IFERROR(__xludf.DUMMYFUNCTION("""COMPUTED_VALUE"""),46219.71420865741)</f>
        <v>46219.71421</v>
      </c>
      <c r="G1423" s="86" t="str">
        <f>IFERROR(__xludf.DUMMYFUNCTION("""COMPUTED_VALUE"""),"Done")</f>
        <v>Done</v>
      </c>
      <c r="H1423" s="88">
        <f>IFERROR(__xludf.DUMMYFUNCTION("""COMPUTED_VALUE"""),0.0)</f>
        <v>0</v>
      </c>
      <c r="I1423" s="90" t="str">
        <f>IFERROR(__xludf.DUMMYFUNCTION("""COMPUTED_VALUE"""),"EMP5009 Rup Kumar Mandal")</f>
        <v>EMP5009 Rup Kumar Mandal</v>
      </c>
      <c r="J1423" s="91">
        <f t="shared" si="1"/>
        <v>-0.8323191204</v>
      </c>
    </row>
    <row r="1424">
      <c r="B1424" s="76" t="str">
        <f>IFERROR(__xludf.DUMMYFUNCTION("""COMPUTED_VALUE"""),"Debuging the error (Jasper end as well as Query end) and discuss with RM about logic ")</f>
        <v>Debuging the error (Jasper end as well as Query end) and discuss with RM about logic </v>
      </c>
      <c r="C1424" s="82">
        <f>IFERROR(__xludf.DUMMYFUNCTION("""COMPUTED_VALUE"""),5386.0)</f>
        <v>5386</v>
      </c>
      <c r="D1424" s="76" t="str">
        <f>IFERROR(__xludf.DUMMYFUNCTION("""COMPUTED_VALUE"""),"TRS_REPORT")</f>
        <v>TRS_REPORT</v>
      </c>
      <c r="E1424" s="84">
        <f>IFERROR(__xludf.DUMMYFUNCTION("""COMPUTED_VALUE"""),46220.55069444445)</f>
        <v>46220.55069</v>
      </c>
      <c r="F1424" s="86">
        <f>IFERROR(__xludf.DUMMYFUNCTION("""COMPUTED_VALUE"""),46219.71419700231)</f>
        <v>46219.7142</v>
      </c>
      <c r="G1424" s="86" t="str">
        <f>IFERROR(__xludf.DUMMYFUNCTION("""COMPUTED_VALUE"""),"Done")</f>
        <v>Done</v>
      </c>
      <c r="H1424" s="88">
        <f>IFERROR(__xludf.DUMMYFUNCTION("""COMPUTED_VALUE"""),0.0)</f>
        <v>0</v>
      </c>
      <c r="I1424" s="90" t="str">
        <f>IFERROR(__xludf.DUMMYFUNCTION("""COMPUTED_VALUE"""),"EMP5009 Rup Kumar Mandal")</f>
        <v>EMP5009 Rup Kumar Mandal</v>
      </c>
      <c r="J1424" s="91">
        <f t="shared" si="1"/>
        <v>-0.8364974421</v>
      </c>
    </row>
    <row r="1425">
      <c r="B1425" s="76" t="str">
        <f>IFERROR(__xludf.DUMMYFUNCTION("""COMPUTED_VALUE"""),"Debuging the error (Jasper end as well as Query end) and discuss with RM about logic ")</f>
        <v>Debuging the error (Jasper end as well as Query end) and discuss with RM about logic </v>
      </c>
      <c r="C1425" s="82">
        <f>IFERROR(__xludf.DUMMYFUNCTION("""COMPUTED_VALUE"""),5387.0)</f>
        <v>5387</v>
      </c>
      <c r="D1425" s="76" t="str">
        <f>IFERROR(__xludf.DUMMYFUNCTION("""COMPUTED_VALUE"""),"	Grade Card (OTHERS)")</f>
        <v>	Grade Card (OTHERS)</v>
      </c>
      <c r="E1425" s="84">
        <f>IFERROR(__xludf.DUMMYFUNCTION("""COMPUTED_VALUE"""),46220.77934114583)</f>
        <v>46220.77934</v>
      </c>
      <c r="F1425" s="86">
        <f>IFERROR(__xludf.DUMMYFUNCTION("""COMPUTED_VALUE"""),46220.60763421296)</f>
        <v>46220.60763</v>
      </c>
      <c r="G1425" s="86" t="str">
        <f>IFERROR(__xludf.DUMMYFUNCTION("""COMPUTED_VALUE"""),"Done")</f>
        <v>Done</v>
      </c>
      <c r="H1425" s="88">
        <f>IFERROR(__xludf.DUMMYFUNCTION("""COMPUTED_VALUE"""),0.0)</f>
        <v>0</v>
      </c>
      <c r="I1425" s="90" t="str">
        <f>IFERROR(__xludf.DUMMYFUNCTION("""COMPUTED_VALUE"""),"EMP0021 Tamanna Dewangan")</f>
        <v>EMP0021 Tamanna Dewangan</v>
      </c>
      <c r="J1425" s="91">
        <f t="shared" si="1"/>
        <v>-0.1717069329</v>
      </c>
    </row>
    <row r="1426">
      <c r="B1426" s="76" t="str">
        <f>IFERROR(__xludf.DUMMYFUNCTION("""COMPUTED_VALUE"""),"Debuging the error (Jasper end as well as Query end) and discuss with RM about logic ")</f>
        <v>Debuging the error (Jasper end as well as Query end) and discuss with RM about logic </v>
      </c>
      <c r="C1426" s="82">
        <f>IFERROR(__xludf.DUMMYFUNCTION("""COMPUTED_VALUE"""),5388.0)</f>
        <v>5388</v>
      </c>
      <c r="D1426" s="76" t="str">
        <f>IFERROR(__xludf.DUMMYFUNCTION("""COMPUTED_VALUE"""),"	Provisional Certificate")</f>
        <v>	Provisional Certificate</v>
      </c>
      <c r="E1426" s="84">
        <f>IFERROR(__xludf.DUMMYFUNCTION("""COMPUTED_VALUE"""),46221.444444444445)</f>
        <v>46221.44444</v>
      </c>
      <c r="F1426" s="86">
        <f>IFERROR(__xludf.DUMMYFUNCTION("""COMPUTED_VALUE"""),46220.607653009254)</f>
        <v>46220.60765</v>
      </c>
      <c r="G1426" s="86" t="str">
        <f>IFERROR(__xludf.DUMMYFUNCTION("""COMPUTED_VALUE"""),"Done")</f>
        <v>Done</v>
      </c>
      <c r="H1426" s="88">
        <f>IFERROR(__xludf.DUMMYFUNCTION("""COMPUTED_VALUE"""),0.0)</f>
        <v>0</v>
      </c>
      <c r="I1426" s="90" t="str">
        <f>IFERROR(__xludf.DUMMYFUNCTION("""COMPUTED_VALUE"""),"EMP0042 HULESHWAR KUMAR SAHU")</f>
        <v>EMP0042 HULESHWAR KUMAR SAHU</v>
      </c>
      <c r="J1426" s="91">
        <f t="shared" si="1"/>
        <v>-0.8367914352</v>
      </c>
    </row>
    <row r="1427">
      <c r="B1427" s="76" t="str">
        <f>IFERROR(__xludf.DUMMYFUNCTION("""COMPUTED_VALUE"""),"Debuging the error (Jasper end as well as Query end) and discuss with RM about logic ")</f>
        <v>Debuging the error (Jasper end as well as Query end) and discuss with RM about logic </v>
      </c>
      <c r="C1427" s="82">
        <f>IFERROR(__xludf.DUMMYFUNCTION("""COMPUTED_VALUE"""),5389.0)</f>
        <v>5389</v>
      </c>
      <c r="D1427" s="76" t="str">
        <f>IFERROR(__xludf.DUMMYFUNCTION("""COMPUTED_VALUE"""),"TR Format (Grading / Non-Grading) ")</f>
        <v>TR Format (Grading / Non-Grading) </v>
      </c>
      <c r="E1427" s="84">
        <f>IFERROR(__xludf.DUMMYFUNCTION("""COMPUTED_VALUE"""),46221.617361111115)</f>
        <v>46221.61736</v>
      </c>
      <c r="F1427" s="86">
        <f>IFERROR(__xludf.DUMMYFUNCTION("""COMPUTED_VALUE"""),46220.7872916551)</f>
        <v>46220.78729</v>
      </c>
      <c r="G1427" s="86" t="str">
        <f>IFERROR(__xludf.DUMMYFUNCTION("""COMPUTED_VALUE"""),"Done")</f>
        <v>Done</v>
      </c>
      <c r="H1427" s="88">
        <f>IFERROR(__xludf.DUMMYFUNCTION("""COMPUTED_VALUE"""),0.0)</f>
        <v>0</v>
      </c>
      <c r="I1427" s="90" t="str">
        <f>IFERROR(__xludf.DUMMYFUNCTION("""COMPUTED_VALUE"""),"EMP5009 Rup Kumar Mandal")</f>
        <v>EMP5009 Rup Kumar Mandal</v>
      </c>
      <c r="J1427" s="91">
        <f t="shared" si="1"/>
        <v>-0.830069456</v>
      </c>
    </row>
    <row r="1428">
      <c r="B1428" s="76" t="str">
        <f>IFERROR(__xludf.DUMMYFUNCTION("""COMPUTED_VALUE"""),"Debuging the error (Jasper end as well as Query end) and discuss with RM about logic ")</f>
        <v>Debuging the error (Jasper end as well as Query end) and discuss with RM about logic </v>
      </c>
      <c r="C1428" s="82">
        <f>IFERROR(__xludf.DUMMYFUNCTION("""COMPUTED_VALUE"""),5390.0)</f>
        <v>5390</v>
      </c>
      <c r="D1428" s="76" t="str">
        <f>IFERROR(__xludf.DUMMYFUNCTION("""COMPUTED_VALUE"""),"TR Format (Grading / Non-Grading) ")</f>
        <v>TR Format (Grading / Non-Grading) </v>
      </c>
      <c r="E1428" s="84">
        <f>IFERROR(__xludf.DUMMYFUNCTION("""COMPUTED_VALUE"""),46221.61875)</f>
        <v>46221.61875</v>
      </c>
      <c r="F1428" s="86">
        <f>IFERROR(__xludf.DUMMYFUNCTION("""COMPUTED_VALUE"""),46220.787314814814)</f>
        <v>46220.78731</v>
      </c>
      <c r="G1428" s="86" t="str">
        <f>IFERROR(__xludf.DUMMYFUNCTION("""COMPUTED_VALUE"""),"Done")</f>
        <v>Done</v>
      </c>
      <c r="H1428" s="88">
        <f>IFERROR(__xludf.DUMMYFUNCTION("""COMPUTED_VALUE"""),0.0)</f>
        <v>0</v>
      </c>
      <c r="I1428" s="90" t="str">
        <f>IFERROR(__xludf.DUMMYFUNCTION("""COMPUTED_VALUE"""),"EMP0021 Tamanna Dewangan")</f>
        <v>EMP0021 Tamanna Dewangan</v>
      </c>
      <c r="J1428" s="91">
        <f t="shared" si="1"/>
        <v>-0.8314351852</v>
      </c>
    </row>
    <row r="1429">
      <c r="B1429" s="76" t="str">
        <f>IFERROR(__xludf.DUMMYFUNCTION("""COMPUTED_VALUE"""),"Debuging the error (Jasper end as well as Query end) and discuss with RM about logic ")</f>
        <v>Debuging the error (Jasper end as well as Query end) and discuss with RM about logic </v>
      </c>
      <c r="C1429" s="82">
        <f>IFERROR(__xludf.DUMMYFUNCTION("""COMPUTED_VALUE"""),5391.0)</f>
        <v>5391</v>
      </c>
      <c r="D1429" s="76" t="str">
        <f>IFERROR(__xludf.DUMMYFUNCTION("""COMPUTED_VALUE"""),"PG-SECTION Continuous Assesment Marks Report ")</f>
        <v>PG-SECTION Continuous Assesment Marks Report </v>
      </c>
      <c r="E1429" s="84">
        <f>IFERROR(__xludf.DUMMYFUNCTION("""COMPUTED_VALUE"""),46221.62291666667)</f>
        <v>46221.62292</v>
      </c>
      <c r="F1429" s="86">
        <f>IFERROR(__xludf.DUMMYFUNCTION("""COMPUTED_VALUE"""),46220.78733833333)</f>
        <v>46220.78734</v>
      </c>
      <c r="G1429" s="86" t="str">
        <f>IFERROR(__xludf.DUMMYFUNCTION("""COMPUTED_VALUE"""),"Done")</f>
        <v>Done</v>
      </c>
      <c r="H1429" s="88">
        <f>IFERROR(__xludf.DUMMYFUNCTION("""COMPUTED_VALUE"""),0.0)</f>
        <v>0</v>
      </c>
      <c r="I1429" s="90" t="str">
        <f>IFERROR(__xludf.DUMMYFUNCTION("""COMPUTED_VALUE"""),"EMP5009 Rup Kumar Mandal")</f>
        <v>EMP5009 Rup Kumar Mandal</v>
      </c>
      <c r="J1429" s="91">
        <f t="shared" si="1"/>
        <v>-0.8355783333</v>
      </c>
    </row>
    <row r="1430">
      <c r="B1430" s="76" t="str">
        <f>IFERROR(__xludf.DUMMYFUNCTION("""COMPUTED_VALUE"""),"Debuging the error (Jasper end as well as Query end) and discuss with RM about logic ")</f>
        <v>Debuging the error (Jasper end as well as Query end) and discuss with RM about logic </v>
      </c>
      <c r="C1430" s="82">
        <f>IFERROR(__xludf.DUMMYFUNCTION("""COMPUTED_VALUE"""),5392.0)</f>
        <v>5392</v>
      </c>
      <c r="D1430" s="76" t="str">
        <f>IFERROR(__xludf.DUMMYFUNCTION("""COMPUTED_VALUE"""),"PG-SECTION Marks Entry Mis-Match Report")</f>
        <v>PG-SECTION Marks Entry Mis-Match Report</v>
      </c>
      <c r="E1430" s="84">
        <f>IFERROR(__xludf.DUMMYFUNCTION("""COMPUTED_VALUE"""),46221.62569444445)</f>
        <v>46221.62569</v>
      </c>
      <c r="F1430" s="86">
        <f>IFERROR(__xludf.DUMMYFUNCTION("""COMPUTED_VALUE"""),46220.78736914352)</f>
        <v>46220.78737</v>
      </c>
      <c r="G1430" s="86" t="str">
        <f>IFERROR(__xludf.DUMMYFUNCTION("""COMPUTED_VALUE"""),"Done")</f>
        <v>Done</v>
      </c>
      <c r="H1430" s="88">
        <f>IFERROR(__xludf.DUMMYFUNCTION("""COMPUTED_VALUE"""),0.0)</f>
        <v>0</v>
      </c>
      <c r="I1430" s="90" t="str">
        <f>IFERROR(__xludf.DUMMYFUNCTION("""COMPUTED_VALUE"""),"EMP5009 Rup Kumar Mandal")</f>
        <v>EMP5009 Rup Kumar Mandal</v>
      </c>
      <c r="J1430" s="91">
        <f t="shared" si="1"/>
        <v>-0.8383253009</v>
      </c>
    </row>
    <row r="1431">
      <c r="B1431" s="76" t="str">
        <f>IFERROR(__xludf.DUMMYFUNCTION("""COMPUTED_VALUE"""),"Debuging the error (Jasper end as well as Query end) and discuss with RM about logic ")</f>
        <v>Debuging the error (Jasper end as well as Query end) and discuss with RM about logic </v>
      </c>
      <c r="C1431" s="82">
        <f>IFERROR(__xludf.DUMMYFUNCTION("""COMPUTED_VALUE"""),5393.0)</f>
        <v>5393</v>
      </c>
      <c r="D1431" s="76" t="str">
        <f>IFERROR(__xludf.DUMMYFUNCTION("""COMPUTED_VALUE"""),"Admit Card")</f>
        <v>Admit Card</v>
      </c>
      <c r="E1431" s="84">
        <f>IFERROR(__xludf.DUMMYFUNCTION("""COMPUTED_VALUE"""),46221.73074746528)</f>
        <v>46221.73075</v>
      </c>
      <c r="F1431" s="86">
        <f>IFERROR(__xludf.DUMMYFUNCTION("""COMPUTED_VALUE"""),46221.61908369212)</f>
        <v>46221.61908</v>
      </c>
      <c r="G1431" s="86" t="str">
        <f>IFERROR(__xludf.DUMMYFUNCTION("""COMPUTED_VALUE"""),"Done")</f>
        <v>Done</v>
      </c>
      <c r="H1431" s="88">
        <f>IFERROR(__xludf.DUMMYFUNCTION("""COMPUTED_VALUE"""),0.0)</f>
        <v>0</v>
      </c>
      <c r="I1431" s="90" t="str">
        <f>IFERROR(__xludf.DUMMYFUNCTION("""COMPUTED_VALUE"""),"EMP0237 Swarnendu Chakraborty")</f>
        <v>EMP0237 Swarnendu Chakraborty</v>
      </c>
      <c r="J1431" s="91">
        <f t="shared" si="1"/>
        <v>-0.1116637732</v>
      </c>
    </row>
    <row r="1432">
      <c r="B1432" s="76" t="str">
        <f>IFERROR(__xludf.DUMMYFUNCTION("""COMPUTED_VALUE"""),"Debuging the error (Jasper end as well as Query end) and discuss with RM about logic ")</f>
        <v>Debuging the error (Jasper end as well as Query end) and discuss with RM about logic </v>
      </c>
      <c r="C1432" s="82">
        <f>IFERROR(__xludf.DUMMYFUNCTION("""COMPUTED_VALUE"""),5394.0)</f>
        <v>5394</v>
      </c>
      <c r="D1432" s="76" t="str">
        <f>IFERROR(__xludf.DUMMYFUNCTION("""COMPUTED_VALUE"""),"All marksheet scanner course name change as per discussion.")</f>
        <v>All marksheet scanner course name change as per discussion.</v>
      </c>
      <c r="E1432" s="84">
        <f>IFERROR(__xludf.DUMMYFUNCTION("""COMPUTED_VALUE"""),46223.49097222222)</f>
        <v>46223.49097</v>
      </c>
      <c r="F1432" s="86">
        <f>IFERROR(__xludf.DUMMYFUNCTION("""COMPUTED_VALUE"""),46221.619033125)</f>
        <v>46221.61903</v>
      </c>
      <c r="G1432" s="86" t="str">
        <f>IFERROR(__xludf.DUMMYFUNCTION("""COMPUTED_VALUE"""),"Done")</f>
        <v>Done</v>
      </c>
      <c r="H1432" s="88">
        <f>IFERROR(__xludf.DUMMYFUNCTION("""COMPUTED_VALUE"""),0.0)</f>
        <v>0</v>
      </c>
      <c r="I1432" s="90" t="str">
        <f>IFERROR(__xludf.DUMMYFUNCTION("""COMPUTED_VALUE"""),"EMP0042 HULESHWAR KUMAR SAHU")</f>
        <v>EMP0042 HULESHWAR KUMAR SAHU</v>
      </c>
      <c r="J1432" s="91">
        <f t="shared" si="1"/>
        <v>-1.871939097</v>
      </c>
    </row>
    <row r="1433">
      <c r="B1433" s="76" t="str">
        <f>IFERROR(__xludf.DUMMYFUNCTION("""COMPUTED_VALUE"""),"Debuging the error (Jasper end as well as Query end) and discuss with RM about logic ")</f>
        <v>Debuging the error (Jasper end as well as Query end) and discuss with RM about logic </v>
      </c>
      <c r="C1433" s="82">
        <f>IFERROR(__xludf.DUMMYFUNCTION("""COMPUTED_VALUE"""),5395.0)</f>
        <v>5395</v>
      </c>
      <c r="D1433" s="76" t="str">
        <f>IFERROR(__xludf.DUMMYFUNCTION("""COMPUTED_VALUE"""),"TR Report")</f>
        <v>TR Report</v>
      </c>
      <c r="E1433" s="84">
        <f>IFERROR(__xludf.DUMMYFUNCTION("""COMPUTED_VALUE"""),46223.63821255787)</f>
        <v>46223.63821</v>
      </c>
      <c r="F1433" s="86">
        <f>IFERROR(__xludf.DUMMYFUNCTION("""COMPUTED_VALUE"""),46221.636441296294)</f>
        <v>46221.63644</v>
      </c>
      <c r="G1433" s="86" t="str">
        <f>IFERROR(__xludf.DUMMYFUNCTION("""COMPUTED_VALUE"""),"Done")</f>
        <v>Done</v>
      </c>
      <c r="H1433" s="88">
        <f>IFERROR(__xludf.DUMMYFUNCTION("""COMPUTED_VALUE"""),0.0)</f>
        <v>0</v>
      </c>
      <c r="I1433" s="90" t="str">
        <f>IFERROR(__xludf.DUMMYFUNCTION("""COMPUTED_VALUE"""),"EMP0237 Swarnendu Chakraborty")</f>
        <v>EMP0237 Swarnendu Chakraborty</v>
      </c>
      <c r="J1433" s="91">
        <f t="shared" si="1"/>
        <v>-2.001771262</v>
      </c>
    </row>
    <row r="1434">
      <c r="B1434" s="76" t="str">
        <f>IFERROR(__xludf.DUMMYFUNCTION("""COMPUTED_VALUE"""),"Debuging the error (Jasper end as well as Query end) and discuss with RM about logic ")</f>
        <v>Debuging the error (Jasper end as well as Query end) and discuss with RM about logic </v>
      </c>
      <c r="C1434" s="82">
        <f>IFERROR(__xludf.DUMMYFUNCTION("""COMPUTED_VALUE"""),5396.0)</f>
        <v>5396</v>
      </c>
      <c r="D1434" s="76" t="str">
        <f>IFERROR(__xludf.DUMMYFUNCTION("""COMPUTED_VALUE"""),"TR pdf to excel convert all course all semester")</f>
        <v>TR pdf to excel convert all course all semester</v>
      </c>
      <c r="E1434" s="84">
        <f>IFERROR(__xludf.DUMMYFUNCTION("""COMPUTED_VALUE"""),46223.620833333334)</f>
        <v>46223.62083</v>
      </c>
      <c r="F1434" s="86">
        <f>IFERROR(__xludf.DUMMYFUNCTION("""COMPUTED_VALUE"""),46223.47608395834)</f>
        <v>46223.47608</v>
      </c>
      <c r="G1434" s="86" t="str">
        <f>IFERROR(__xludf.DUMMYFUNCTION("""COMPUTED_VALUE"""),"Done")</f>
        <v>Done</v>
      </c>
      <c r="H1434" s="88">
        <f>IFERROR(__xludf.DUMMYFUNCTION("""COMPUTED_VALUE"""),0.0)</f>
        <v>0</v>
      </c>
      <c r="I1434" s="90" t="str">
        <f>IFERROR(__xludf.DUMMYFUNCTION("""COMPUTED_VALUE"""),"EMP0042 HULESHWAR KUMAR SAHU")</f>
        <v>EMP0042 HULESHWAR KUMAR SAHU</v>
      </c>
      <c r="J1434" s="91">
        <f t="shared" si="1"/>
        <v>-0.144749375</v>
      </c>
    </row>
    <row r="1435">
      <c r="B1435" s="76" t="str">
        <f>IFERROR(__xludf.DUMMYFUNCTION("""COMPUTED_VALUE"""),"Debuging the error (Jasper end as well as Query end) and discuss with RM about logic ")</f>
        <v>Debuging the error (Jasper end as well as Query end) and discuss with RM about logic </v>
      </c>
      <c r="C1435" s="82">
        <f>IFERROR(__xludf.DUMMYFUNCTION("""COMPUTED_VALUE"""),5397.0)</f>
        <v>5397</v>
      </c>
      <c r="D1435" s="76" t="str">
        <f>IFERROR(__xludf.DUMMYFUNCTION("""COMPUTED_VALUE"""),"gradecard4sem_ug_deploma")</f>
        <v>gradecard4sem_ug_deploma</v>
      </c>
      <c r="E1435" s="84">
        <f>IFERROR(__xludf.DUMMYFUNCTION("""COMPUTED_VALUE"""),46223.75016400463)</f>
        <v>46223.75016</v>
      </c>
      <c r="F1435" s="86">
        <f>IFERROR(__xludf.DUMMYFUNCTION("""COMPUTED_VALUE"""),46223.47610476852)</f>
        <v>46223.4761</v>
      </c>
      <c r="G1435" s="86" t="str">
        <f>IFERROR(__xludf.DUMMYFUNCTION("""COMPUTED_VALUE"""),"Done")</f>
        <v>Done</v>
      </c>
      <c r="H1435" s="88">
        <f>IFERROR(__xludf.DUMMYFUNCTION("""COMPUTED_VALUE"""),0.0)</f>
        <v>0</v>
      </c>
      <c r="I1435" s="90" t="str">
        <f>IFERROR(__xludf.DUMMYFUNCTION("""COMPUTED_VALUE"""),"EMP5009 Rup Kumar Mandal")</f>
        <v>EMP5009 Rup Kumar Mandal</v>
      </c>
      <c r="J1435" s="91">
        <f t="shared" si="1"/>
        <v>-0.2740592361</v>
      </c>
    </row>
    <row r="1436">
      <c r="B1436" s="76" t="str">
        <f>IFERROR(__xludf.DUMMYFUNCTION("""COMPUTED_VALUE"""),"Debuging the error (Jasper end as well as Query end) and discuss with RM about logic ")</f>
        <v>Debuging the error (Jasper end as well as Query end) and discuss with RM about logic </v>
      </c>
      <c r="C1436" s="82">
        <f>IFERROR(__xludf.DUMMYFUNCTION("""COMPUTED_VALUE"""),5398.0)</f>
        <v>5398</v>
      </c>
      <c r="D1436" s="76" t="str">
        <f>IFERROR(__xludf.DUMMYFUNCTION("""COMPUTED_VALUE"""),"MAR")</f>
        <v>MAR</v>
      </c>
      <c r="E1436" s="84">
        <f>IFERROR(__xludf.DUMMYFUNCTION("""COMPUTED_VALUE"""),46224.42013888889)</f>
        <v>46224.42014</v>
      </c>
      <c r="F1436" s="86">
        <f>IFERROR(__xludf.DUMMYFUNCTION("""COMPUTED_VALUE"""),46223.64488130787)</f>
        <v>46223.64488</v>
      </c>
      <c r="G1436" s="86" t="str">
        <f>IFERROR(__xludf.DUMMYFUNCTION("""COMPUTED_VALUE"""),"Done")</f>
        <v>Done</v>
      </c>
      <c r="H1436" s="88">
        <f>IFERROR(__xludf.DUMMYFUNCTION("""COMPUTED_VALUE"""),0.0)</f>
        <v>0</v>
      </c>
      <c r="I1436" s="90" t="str">
        <f>IFERROR(__xludf.DUMMYFUNCTION("""COMPUTED_VALUE"""),"EMP5009 Rup Kumar Mandal")</f>
        <v>EMP5009 Rup Kumar Mandal</v>
      </c>
      <c r="J1436" s="91">
        <f t="shared" si="1"/>
        <v>-0.775257581</v>
      </c>
    </row>
    <row r="1437">
      <c r="B1437" s="76" t="str">
        <f>IFERROR(__xludf.DUMMYFUNCTION("""COMPUTED_VALUE"""),"Debuging the error (Jasper end as well as Query end) and discuss with RM about logic ")</f>
        <v>Debuging the error (Jasper end as well as Query end) and discuss with RM about logic </v>
      </c>
      <c r="C1437" s="82">
        <f>IFERROR(__xludf.DUMMYFUNCTION("""COMPUTED_VALUE"""),5399.0)</f>
        <v>5399</v>
      </c>
      <c r="D1437" s="76" t="str">
        <f>IFERROR(__xludf.DUMMYFUNCTION("""COMPUTED_VALUE"""),"TR Correction for pre process")</f>
        <v>TR Correction for pre process</v>
      </c>
      <c r="E1437" s="84">
        <f>IFERROR(__xludf.DUMMYFUNCTION("""COMPUTED_VALUE"""),46225.46388888889)</f>
        <v>46225.46389</v>
      </c>
      <c r="F1437" s="86">
        <f>IFERROR(__xludf.DUMMYFUNCTION("""COMPUTED_VALUE"""),46224.81694454861)</f>
        <v>46224.81694</v>
      </c>
      <c r="G1437" s="86" t="str">
        <f>IFERROR(__xludf.DUMMYFUNCTION("""COMPUTED_VALUE"""),"Done")</f>
        <v>Done</v>
      </c>
      <c r="H1437" s="88">
        <f>IFERROR(__xludf.DUMMYFUNCTION("""COMPUTED_VALUE"""),0.0)</f>
        <v>0</v>
      </c>
      <c r="I1437" s="90" t="str">
        <f>IFERROR(__xludf.DUMMYFUNCTION("""COMPUTED_VALUE"""),"EMP0042 HULESHWAR KUMAR SAHU")</f>
        <v>EMP0042 HULESHWAR KUMAR SAHU</v>
      </c>
      <c r="J1437" s="91">
        <f t="shared" si="1"/>
        <v>-0.6469443403</v>
      </c>
    </row>
    <row r="1438">
      <c r="B1438" s="76" t="str">
        <f>IFERROR(__xludf.DUMMYFUNCTION("""COMPUTED_VALUE"""),"Debuging the error (Jasper end as well as Query end) and discuss with RM about logic ")</f>
        <v>Debuging the error (Jasper end as well as Query end) and discuss with RM about logic </v>
      </c>
      <c r="C1438" s="82">
        <f>IFERROR(__xludf.DUMMYFUNCTION("""COMPUTED_VALUE"""),5400.0)</f>
        <v>5400</v>
      </c>
      <c r="D1438" s="76" t="str">
        <f>IFERROR(__xludf.DUMMYFUNCTION("""COMPUTED_VALUE"""),"Annual marks correction for regular student")</f>
        <v>Annual marks correction for regular student</v>
      </c>
      <c r="E1438" s="84">
        <f>IFERROR(__xludf.DUMMYFUNCTION("""COMPUTED_VALUE"""),46225.46527777778)</f>
        <v>46225.46528</v>
      </c>
      <c r="F1438" s="86">
        <f>IFERROR(__xludf.DUMMYFUNCTION("""COMPUTED_VALUE"""),46224.81690431712)</f>
        <v>46224.8169</v>
      </c>
      <c r="G1438" s="86" t="str">
        <f>IFERROR(__xludf.DUMMYFUNCTION("""COMPUTED_VALUE"""),"Done")</f>
        <v>Done</v>
      </c>
      <c r="H1438" s="88">
        <f>IFERROR(__xludf.DUMMYFUNCTION("""COMPUTED_VALUE"""),0.0)</f>
        <v>0</v>
      </c>
      <c r="I1438" s="90" t="str">
        <f>IFERROR(__xludf.DUMMYFUNCTION("""COMPUTED_VALUE"""),"EMP0042 HULESHWAR KUMAR SAHU")</f>
        <v>EMP0042 HULESHWAR KUMAR SAHU</v>
      </c>
      <c r="J1438" s="91">
        <f t="shared" si="1"/>
        <v>-0.6483734607</v>
      </c>
    </row>
    <row r="1439">
      <c r="B1439" s="76" t="str">
        <f>IFERROR(__xludf.DUMMYFUNCTION("""COMPUTED_VALUE"""),"Debuging the error (Jasper end as well as Query end) and discuss with RM about logic ")</f>
        <v>Debuging the error (Jasper end as well as Query end) and discuss with RM about logic </v>
      </c>
      <c r="C1439" s="82">
        <f>IFERROR(__xludf.DUMMYFUNCTION("""COMPUTED_VALUE"""),5401.0)</f>
        <v>5401</v>
      </c>
      <c r="D1439" s="76" t="str">
        <f>IFERROR(__xludf.DUMMYFUNCTION("""COMPUTED_VALUE"""),"TR report ")</f>
        <v>TR report </v>
      </c>
      <c r="E1439" s="84">
        <f>IFERROR(__xludf.DUMMYFUNCTION("""COMPUTED_VALUE"""),46225.704297442135)</f>
        <v>46225.7043</v>
      </c>
      <c r="F1439" s="86">
        <f>IFERROR(__xludf.DUMMYFUNCTION("""COMPUTED_VALUE"""),46225.44693805555)</f>
        <v>46225.44694</v>
      </c>
      <c r="G1439" s="86" t="str">
        <f>IFERROR(__xludf.DUMMYFUNCTION("""COMPUTED_VALUE"""),"Done")</f>
        <v>Done</v>
      </c>
      <c r="H1439" s="88">
        <f>IFERROR(__xludf.DUMMYFUNCTION("""COMPUTED_VALUE"""),0.0)</f>
        <v>0</v>
      </c>
      <c r="I1439" s="90" t="str">
        <f>IFERROR(__xludf.DUMMYFUNCTION("""COMPUTED_VALUE"""),"EMP0021 Tamanna Dewangan")</f>
        <v>EMP0021 Tamanna Dewangan</v>
      </c>
      <c r="J1439" s="91">
        <f t="shared" si="1"/>
        <v>-0.2573593866</v>
      </c>
    </row>
    <row r="1440">
      <c r="B1440" s="76" t="str">
        <f>IFERROR(__xludf.DUMMYFUNCTION("""COMPUTED_VALUE"""),"Debuging the error (Jasper end as well as Query end) and discuss with RM about logic ")</f>
        <v>Debuging the error (Jasper end as well as Query end) and discuss with RM about logic </v>
      </c>
      <c r="C1440" s="82">
        <f>IFERROR(__xludf.DUMMYFUNCTION("""COMPUTED_VALUE"""),5402.0)</f>
        <v>5402</v>
      </c>
      <c r="D1440" s="76" t="str">
        <f>IFERROR(__xludf.DUMMYFUNCTION("""COMPUTED_VALUE"""),"TR report")</f>
        <v>TR report</v>
      </c>
      <c r="E1440" s="84">
        <f>IFERROR(__xludf.DUMMYFUNCTION("""COMPUTED_VALUE"""),46225.707308391204)</f>
        <v>46225.70731</v>
      </c>
      <c r="F1440" s="86">
        <f>IFERROR(__xludf.DUMMYFUNCTION("""COMPUTED_VALUE"""),46225.446948495366)</f>
        <v>46225.44695</v>
      </c>
      <c r="G1440" s="86" t="str">
        <f>IFERROR(__xludf.DUMMYFUNCTION("""COMPUTED_VALUE"""),"Done")</f>
        <v>Done</v>
      </c>
      <c r="H1440" s="88">
        <f>IFERROR(__xludf.DUMMYFUNCTION("""COMPUTED_VALUE"""),0.0)</f>
        <v>0</v>
      </c>
      <c r="I1440" s="90" t="str">
        <f>IFERROR(__xludf.DUMMYFUNCTION("""COMPUTED_VALUE"""),"EMP0237 Swarnendu Chakraborty")</f>
        <v>EMP0237 Swarnendu Chakraborty</v>
      </c>
      <c r="J1440" s="91">
        <f t="shared" si="1"/>
        <v>-0.2603598958</v>
      </c>
    </row>
    <row r="1441">
      <c r="B1441" s="76" t="str">
        <f>IFERROR(__xludf.DUMMYFUNCTION("""COMPUTED_VALUE"""),"Debuging the error (Jasper end as well as Query end) and discuss with RM about logic ")</f>
        <v>Debuging the error (Jasper end as well as Query end) and discuss with RM about logic </v>
      </c>
      <c r="C1441" s="82">
        <f>IFERROR(__xludf.DUMMYFUNCTION("""COMPUTED_VALUE"""),5403.0)</f>
        <v>5403</v>
      </c>
      <c r="D1441" s="76" t="str">
        <f>IFERROR(__xludf.DUMMYFUNCTION("""COMPUTED_VALUE"""),"Pre report")</f>
        <v>Pre report</v>
      </c>
      <c r="E1441" s="84">
        <f>IFERROR(__xludf.DUMMYFUNCTION("""COMPUTED_VALUE"""),46225.740916400464)</f>
        <v>46225.74092</v>
      </c>
      <c r="F1441" s="86">
        <f>IFERROR(__xludf.DUMMYFUNCTION("""COMPUTED_VALUE"""),46225.54894283565)</f>
        <v>46225.54894</v>
      </c>
      <c r="G1441" s="86" t="str">
        <f>IFERROR(__xludf.DUMMYFUNCTION("""COMPUTED_VALUE"""),"Done")</f>
        <v>Done</v>
      </c>
      <c r="H1441" s="88">
        <f>IFERROR(__xludf.DUMMYFUNCTION("""COMPUTED_VALUE"""),0.0)</f>
        <v>0</v>
      </c>
      <c r="I1441" s="90" t="str">
        <f>IFERROR(__xludf.DUMMYFUNCTION("""COMPUTED_VALUE"""),"EMP5009 Rup Kumar Mandal")</f>
        <v>EMP5009 Rup Kumar Mandal</v>
      </c>
      <c r="J1441" s="91">
        <f t="shared" si="1"/>
        <v>-0.1919735648</v>
      </c>
    </row>
    <row r="1442">
      <c r="B1442" s="76" t="str">
        <f>IFERROR(__xludf.DUMMYFUNCTION("""COMPUTED_VALUE"""),"Debuging the error (Jasper end as well as Query end) and discuss with RM about logic ")</f>
        <v>Debuging the error (Jasper end as well as Query end) and discuss with RM about logic </v>
      </c>
      <c r="C1442" s="82">
        <f>IFERROR(__xludf.DUMMYFUNCTION("""COMPUTED_VALUE"""),5404.0)</f>
        <v>5404</v>
      </c>
      <c r="D1442" s="76" t="str">
        <f>IFERROR(__xludf.DUMMYFUNCTION("""COMPUTED_VALUE"""),"TR NEW AGRICULTURE AND ALL")</f>
        <v>TR NEW AGRICULTURE AND ALL</v>
      </c>
      <c r="E1442" s="84">
        <f>IFERROR(__xludf.DUMMYFUNCTION("""COMPUTED_VALUE"""),46226.48402777778)</f>
        <v>46226.48403</v>
      </c>
      <c r="F1442" s="86">
        <f>IFERROR(__xludf.DUMMYFUNCTION("""COMPUTED_VALUE"""),46225.66007231482)</f>
        <v>46225.66007</v>
      </c>
      <c r="G1442" s="86" t="str">
        <f>IFERROR(__xludf.DUMMYFUNCTION("""COMPUTED_VALUE"""),"Done")</f>
        <v>Done</v>
      </c>
      <c r="H1442" s="88">
        <f>IFERROR(__xludf.DUMMYFUNCTION("""COMPUTED_VALUE"""),0.0)</f>
        <v>0</v>
      </c>
      <c r="I1442" s="90" t="str">
        <f>IFERROR(__xludf.DUMMYFUNCTION("""COMPUTED_VALUE"""),"EMP0042 HULESHWAR KUMAR SAHU")</f>
        <v>EMP0042 HULESHWAR KUMAR SAHU</v>
      </c>
      <c r="J1442" s="91">
        <f t="shared" si="1"/>
        <v>-0.823955463</v>
      </c>
    </row>
    <row r="1443">
      <c r="B1443" s="76" t="str">
        <f>IFERROR(__xludf.DUMMYFUNCTION("""COMPUTED_VALUE"""),"Debuging the error (Jasper end as well as Query end) and discuss with RM about logic ")</f>
        <v>Debuging the error (Jasper end as well as Query end) and discuss with RM about logic </v>
      </c>
      <c r="C1443" s="82">
        <f>IFERROR(__xludf.DUMMYFUNCTION("""COMPUTED_VALUE"""),5405.0)</f>
        <v>5405</v>
      </c>
      <c r="D1443" s="76" t="str">
        <f>IFERROR(__xludf.DUMMYFUNCTION("""COMPUTED_VALUE"""),"marksheet")</f>
        <v>marksheet</v>
      </c>
      <c r="E1443" s="84">
        <f>IFERROR(__xludf.DUMMYFUNCTION("""COMPUTED_VALUE"""),46226.747487534725)</f>
        <v>46226.74749</v>
      </c>
      <c r="F1443" s="86">
        <f>IFERROR(__xludf.DUMMYFUNCTION("""COMPUTED_VALUE"""),46226.60764105324)</f>
        <v>46226.60764</v>
      </c>
      <c r="G1443" s="86" t="str">
        <f>IFERROR(__xludf.DUMMYFUNCTION("""COMPUTED_VALUE"""),"Done")</f>
        <v>Done</v>
      </c>
      <c r="H1443" s="88">
        <f>IFERROR(__xludf.DUMMYFUNCTION("""COMPUTED_VALUE"""),0.0)</f>
        <v>0</v>
      </c>
      <c r="I1443" s="90" t="str">
        <f>IFERROR(__xludf.DUMMYFUNCTION("""COMPUTED_VALUE"""),"EMP0237 Swarnendu Chakraborty")</f>
        <v>EMP0237 Swarnendu Chakraborty</v>
      </c>
      <c r="J1443" s="91">
        <f t="shared" si="1"/>
        <v>-0.1398464815</v>
      </c>
    </row>
    <row r="1444">
      <c r="B1444" s="76" t="str">
        <f>IFERROR(__xludf.DUMMYFUNCTION("""COMPUTED_VALUE"""),"Debuging the error (Jasper end as well as Query end) and discuss with RM about logic ")</f>
        <v>Debuging the error (Jasper end as well as Query end) and discuss with RM about logic </v>
      </c>
      <c r="C1444" s="82">
        <f>IFERROR(__xludf.DUMMYFUNCTION("""COMPUTED_VALUE"""),5406.0)</f>
        <v>5406</v>
      </c>
      <c r="D1444" s="76" t="str">
        <f>IFERROR(__xludf.DUMMYFUNCTION("""COMPUTED_VALUE"""),"SHASTRI 5TH SEM ADMIT CARD NOT SO SEMESTER")</f>
        <v>SHASTRI 5TH SEM ADMIT CARD NOT SO SEMESTER</v>
      </c>
      <c r="E1444" s="84">
        <f>IFERROR(__xludf.DUMMYFUNCTION("""COMPUTED_VALUE"""),46226.756050208336)</f>
        <v>46226.75605</v>
      </c>
      <c r="F1444" s="86">
        <f>IFERROR(__xludf.DUMMYFUNCTION("""COMPUTED_VALUE"""),46226.60766732639)</f>
        <v>46226.60767</v>
      </c>
      <c r="G1444" s="86" t="str">
        <f>IFERROR(__xludf.DUMMYFUNCTION("""COMPUTED_VALUE"""),"Done")</f>
        <v>Done</v>
      </c>
      <c r="H1444" s="88">
        <f>IFERROR(__xludf.DUMMYFUNCTION("""COMPUTED_VALUE"""),0.0)</f>
        <v>0</v>
      </c>
      <c r="I1444" s="90" t="str">
        <f>IFERROR(__xludf.DUMMYFUNCTION("""COMPUTED_VALUE"""),"EMP0021 Tamanna Dewangan")</f>
        <v>EMP0021 Tamanna Dewangan</v>
      </c>
      <c r="J1444" s="91">
        <f t="shared" si="1"/>
        <v>-0.1483828819</v>
      </c>
    </row>
    <row r="1445">
      <c r="B1445" s="76" t="str">
        <f>IFERROR(__xludf.DUMMYFUNCTION("""COMPUTED_VALUE"""),"Debuging the error (Jasper end as well as Query end) and discuss with RM about logic ")</f>
        <v>Debuging the error (Jasper end as well as Query end) and discuss with RM about logic </v>
      </c>
      <c r="C1445" s="82">
        <f>IFERROR(__xludf.DUMMYFUNCTION("""COMPUTED_VALUE"""),5407.0)</f>
        <v>5407</v>
      </c>
      <c r="D1445" s="76" t="str">
        <f>IFERROR(__xludf.DUMMYFUNCTION("""COMPUTED_VALUE"""),"TR")</f>
        <v>TR</v>
      </c>
      <c r="E1445" s="84">
        <f>IFERROR(__xludf.DUMMYFUNCTION("""COMPUTED_VALUE"""),46226.79218370371)</f>
        <v>46226.79218</v>
      </c>
      <c r="F1445" s="86">
        <f>IFERROR(__xludf.DUMMYFUNCTION("""COMPUTED_VALUE"""),46226.60770494213)</f>
        <v>46226.6077</v>
      </c>
      <c r="G1445" s="86" t="str">
        <f>IFERROR(__xludf.DUMMYFUNCTION("""COMPUTED_VALUE"""),"Done")</f>
        <v>Done</v>
      </c>
      <c r="H1445" s="88">
        <f>IFERROR(__xludf.DUMMYFUNCTION("""COMPUTED_VALUE"""),0.0)</f>
        <v>0</v>
      </c>
      <c r="I1445" s="90" t="str">
        <f>IFERROR(__xludf.DUMMYFUNCTION("""COMPUTED_VALUE"""),"EMP0042 HULESHWAR KUMAR SAHU")</f>
        <v>EMP0042 HULESHWAR KUMAR SAHU</v>
      </c>
      <c r="J1445" s="91">
        <f t="shared" si="1"/>
        <v>-0.1844787616</v>
      </c>
    </row>
    <row r="1446">
      <c r="B1446" s="76" t="str">
        <f>IFERROR(__xludf.DUMMYFUNCTION("""COMPUTED_VALUE"""),"Debuging the error (Jasper end as well as Query end) and discuss with RM about logic ")</f>
        <v>Debuging the error (Jasper end as well as Query end) and discuss with RM about logic </v>
      </c>
      <c r="C1446" s="82">
        <f>IFERROR(__xludf.DUMMYFUNCTION("""COMPUTED_VALUE"""),5408.0)</f>
        <v>5408</v>
      </c>
      <c r="D1446" s="76" t="str">
        <f>IFERROR(__xludf.DUMMYFUNCTION("""COMPUTED_VALUE"""),"DMC ")</f>
        <v>DMC </v>
      </c>
      <c r="E1446" s="84">
        <f>IFERROR(__xludf.DUMMYFUNCTION("""COMPUTED_VALUE"""),46227.43472222222)</f>
        <v>46227.43472</v>
      </c>
      <c r="F1446" s="86">
        <f>IFERROR(__xludf.DUMMYFUNCTION("""COMPUTED_VALUE"""),46226.607718125)</f>
        <v>46226.60772</v>
      </c>
      <c r="G1446" s="86" t="str">
        <f>IFERROR(__xludf.DUMMYFUNCTION("""COMPUTED_VALUE"""),"Done")</f>
        <v>Done</v>
      </c>
      <c r="H1446" s="88">
        <f>IFERROR(__xludf.DUMMYFUNCTION("""COMPUTED_VALUE"""),0.0)</f>
        <v>0</v>
      </c>
      <c r="I1446" s="90" t="str">
        <f>IFERROR(__xludf.DUMMYFUNCTION("""COMPUTED_VALUE"""),"EMP0237 Swarnendu Chakraborty")</f>
        <v>EMP0237 Swarnendu Chakraborty</v>
      </c>
      <c r="J1446" s="91">
        <f t="shared" si="1"/>
        <v>-0.8270040972</v>
      </c>
    </row>
    <row r="1447">
      <c r="B1447" s="76" t="str">
        <f>IFERROR(__xludf.DUMMYFUNCTION("""COMPUTED_VALUE"""),"Debuging the error (Jasper end as well as Query end) and discuss with RM about logic ")</f>
        <v>Debuging the error (Jasper end as well as Query end) and discuss with RM about logic </v>
      </c>
      <c r="C1447" s="82">
        <f>IFERROR(__xludf.DUMMYFUNCTION("""COMPUTED_VALUE"""),5409.0)</f>
        <v>5409</v>
      </c>
      <c r="D1447" s="76" t="str">
        <f>IFERROR(__xludf.DUMMYFUNCTION("""COMPUTED_VALUE"""),"SPGPA UPDATED IN DMC")</f>
        <v>SPGPA UPDATED IN DMC</v>
      </c>
      <c r="E1447" s="84">
        <f>IFERROR(__xludf.DUMMYFUNCTION("""COMPUTED_VALUE"""),46227.43611111111)</f>
        <v>46227.43611</v>
      </c>
      <c r="F1447" s="86">
        <f>IFERROR(__xludf.DUMMYFUNCTION("""COMPUTED_VALUE"""),46226.60773859954)</f>
        <v>46226.60774</v>
      </c>
      <c r="G1447" s="86" t="str">
        <f>IFERROR(__xludf.DUMMYFUNCTION("""COMPUTED_VALUE"""),"Done")</f>
        <v>Done</v>
      </c>
      <c r="H1447" s="88">
        <f>IFERROR(__xludf.DUMMYFUNCTION("""COMPUTED_VALUE"""),0.0)</f>
        <v>0</v>
      </c>
      <c r="I1447" s="90" t="str">
        <f>IFERROR(__xludf.DUMMYFUNCTION("""COMPUTED_VALUE"""),"EMP5009 Rup Kumar Mandal")</f>
        <v>EMP5009 Rup Kumar Mandal</v>
      </c>
      <c r="J1447" s="91">
        <f t="shared" si="1"/>
        <v>-0.8283725116</v>
      </c>
    </row>
    <row r="1448">
      <c r="B1448" s="76" t="str">
        <f>IFERROR(__xludf.DUMMYFUNCTION("""COMPUTED_VALUE"""),"Debuging the error (Jasper end as well as Query end) and discuss with RM about logic ")</f>
        <v>Debuging the error (Jasper end as well as Query end) and discuss with RM about logic </v>
      </c>
      <c r="C1448" s="82">
        <f>IFERROR(__xludf.DUMMYFUNCTION("""COMPUTED_VALUE"""),5410.0)</f>
        <v>5410</v>
      </c>
      <c r="D1448" s="76" t="str">
        <f>IFERROR(__xludf.DUMMYFUNCTION("""COMPUTED_VALUE"""),"MULTIPLE REPORT")</f>
        <v>MULTIPLE REPORT</v>
      </c>
      <c r="E1448" s="84">
        <f>IFERROR(__xludf.DUMMYFUNCTION("""COMPUTED_VALUE"""),46227.55694444444)</f>
        <v>46227.55694</v>
      </c>
      <c r="F1448" s="86">
        <f>IFERROR(__xludf.DUMMYFUNCTION("""COMPUTED_VALUE"""),46227.44519663195)</f>
        <v>46227.4452</v>
      </c>
      <c r="G1448" s="86" t="str">
        <f>IFERROR(__xludf.DUMMYFUNCTION("""COMPUTED_VALUE"""),"Done")</f>
        <v>Done</v>
      </c>
      <c r="H1448" s="88">
        <f>IFERROR(__xludf.DUMMYFUNCTION("""COMPUTED_VALUE"""),0.0)</f>
        <v>0</v>
      </c>
      <c r="I1448" s="90" t="str">
        <f>IFERROR(__xludf.DUMMYFUNCTION("""COMPUTED_VALUE"""),"EMP0021 Tamanna Dewangan")</f>
        <v>EMP0021 Tamanna Dewangan</v>
      </c>
      <c r="J1448" s="91">
        <f t="shared" si="1"/>
        <v>-0.1117478125</v>
      </c>
    </row>
    <row r="1449">
      <c r="B1449" s="76" t="str">
        <f>IFERROR(__xludf.DUMMYFUNCTION("""COMPUTED_VALUE"""),"Debuging the error (Jasper end as well as Query end) and discuss with RM about logic ")</f>
        <v>Debuging the error (Jasper end as well as Query end) and discuss with RM about logic </v>
      </c>
      <c r="C1449" s="82">
        <f>IFERROR(__xludf.DUMMYFUNCTION("""COMPUTED_VALUE"""),5411.0)</f>
        <v>5411</v>
      </c>
      <c r="D1449" s="76" t="str">
        <f>IFERROR(__xludf.DUMMYFUNCTION("""COMPUTED_VALUE"""),"	CBCS and CGP (TR COMBINED) Fourth Semester ( Sem - 4) PG MASTER OF SCIENCE (PSYCHOLOGY) ( M.Sc (PSYCHOLOGY)) SCHEME A ( SY01)_SE03")</f>
        <v>	CBCS and CGP (TR COMBINED) Fourth Semester ( Sem - 4) PG MASTER OF SCIENCE (PSYCHOLOGY) ( M.Sc (PSYCHOLOGY)) SCHEME A ( SY01)_SE03</v>
      </c>
      <c r="E1449" s="84">
        <f>IFERROR(__xludf.DUMMYFUNCTION("""COMPUTED_VALUE"""),46227.52777777778)</f>
        <v>46227.52778</v>
      </c>
      <c r="F1449" s="86">
        <f>IFERROR(__xludf.DUMMYFUNCTION("""COMPUTED_VALUE"""),46227.45907188657)</f>
        <v>46227.45907</v>
      </c>
      <c r="G1449" s="86" t="str">
        <f>IFERROR(__xludf.DUMMYFUNCTION("""COMPUTED_VALUE"""),"Done")</f>
        <v>Done</v>
      </c>
      <c r="H1449" s="88">
        <f>IFERROR(__xludf.DUMMYFUNCTION("""COMPUTED_VALUE"""),0.0)</f>
        <v>0</v>
      </c>
      <c r="I1449" s="90" t="str">
        <f>IFERROR(__xludf.DUMMYFUNCTION("""COMPUTED_VALUE"""),"EMP0237 Swarnendu Chakraborty")</f>
        <v>EMP0237 Swarnendu Chakraborty</v>
      </c>
      <c r="J1449" s="91">
        <f t="shared" si="1"/>
        <v>-0.06870589121</v>
      </c>
    </row>
    <row r="1450">
      <c r="B1450" s="76" t="str">
        <f>IFERROR(__xludf.DUMMYFUNCTION("""COMPUTED_VALUE"""),"Debuging the error (Jasper end as well as Query end) and discuss with RM about logic ")</f>
        <v>Debuging the error (Jasper end as well as Query end) and discuss with RM about logic </v>
      </c>
      <c r="C1450" s="82">
        <f>IFERROR(__xludf.DUMMYFUNCTION("""COMPUTED_VALUE"""),5412.0)</f>
        <v>5412</v>
      </c>
      <c r="D1450" s="76" t="str">
        <f>IFERROR(__xludf.DUMMYFUNCTION("""COMPUTED_VALUE"""),"pass/fail report")</f>
        <v>pass/fail report</v>
      </c>
      <c r="E1450" s="84">
        <f>IFERROR(__xludf.DUMMYFUNCTION("""COMPUTED_VALUE"""),46227.549305555556)</f>
        <v>46227.54931</v>
      </c>
      <c r="F1450" s="86">
        <f>IFERROR(__xludf.DUMMYFUNCTION("""COMPUTED_VALUE"""),46227.45909737268)</f>
        <v>46227.4591</v>
      </c>
      <c r="G1450" s="86" t="str">
        <f>IFERROR(__xludf.DUMMYFUNCTION("""COMPUTED_VALUE"""),"Done")</f>
        <v>Done</v>
      </c>
      <c r="H1450" s="88">
        <f>IFERROR(__xludf.DUMMYFUNCTION("""COMPUTED_VALUE"""),0.0)</f>
        <v>0</v>
      </c>
      <c r="I1450" s="90" t="str">
        <f>IFERROR(__xludf.DUMMYFUNCTION("""COMPUTED_VALUE"""),"EMP5009 Rup Kumar Mandal")</f>
        <v>EMP5009 Rup Kumar Mandal</v>
      </c>
      <c r="J1450" s="91">
        <f t="shared" si="1"/>
        <v>-0.09020818288</v>
      </c>
    </row>
    <row r="1451">
      <c r="B1451" s="76" t="str">
        <f>IFERROR(__xludf.DUMMYFUNCTION("""COMPUTED_VALUE"""),"Debuging the error (Jasper end as well as Query end) and discuss with RM about logic ")</f>
        <v>Debuging the error (Jasper end as well as Query end) and discuss with RM about logic </v>
      </c>
      <c r="C1451" s="82">
        <f>IFERROR(__xludf.DUMMYFUNCTION("""COMPUTED_VALUE"""),5413.0)</f>
        <v>5413</v>
      </c>
      <c r="D1451" s="76" t="str">
        <f>IFERROR(__xludf.DUMMYFUNCTION("""COMPUTED_VALUE"""),"Mark entry report")</f>
        <v>Mark entry report</v>
      </c>
      <c r="E1451" s="84">
        <f>IFERROR(__xludf.DUMMYFUNCTION("""COMPUTED_VALUE"""),46227.572222222225)</f>
        <v>46227.57222</v>
      </c>
      <c r="F1451" s="86">
        <f>IFERROR(__xludf.DUMMYFUNCTION("""COMPUTED_VALUE"""),46227.45913751157)</f>
        <v>46227.45914</v>
      </c>
      <c r="G1451" s="86" t="str">
        <f>IFERROR(__xludf.DUMMYFUNCTION("""COMPUTED_VALUE"""),"Done")</f>
        <v>Done</v>
      </c>
      <c r="H1451" s="88">
        <f>IFERROR(__xludf.DUMMYFUNCTION("""COMPUTED_VALUE"""),0.0)</f>
        <v>0</v>
      </c>
      <c r="I1451" s="90" t="str">
        <f>IFERROR(__xludf.DUMMYFUNCTION("""COMPUTED_VALUE"""),"EMP0237 Swarnendu Chakraborty")</f>
        <v>EMP0237 Swarnendu Chakraborty</v>
      </c>
      <c r="J1451" s="91">
        <f t="shared" si="1"/>
        <v>-0.1130847107</v>
      </c>
    </row>
    <row r="1452">
      <c r="B1452" s="76" t="str">
        <f>IFERROR(__xludf.DUMMYFUNCTION("""COMPUTED_VALUE"""),"Debuging the error (Jasper end as well as Query end) and discuss with RM about logic ")</f>
        <v>Debuging the error (Jasper end as well as Query end) and discuss with RM about logic </v>
      </c>
      <c r="C1452" s="82">
        <f>IFERROR(__xludf.DUMMYFUNCTION("""COMPUTED_VALUE"""),5414.0)</f>
        <v>5414</v>
      </c>
      <c r="D1452" s="76" t="str">
        <f>IFERROR(__xludf.DUMMYFUNCTION("""COMPUTED_VALUE"""),"TR GAZZATE IN GRADE TABLE UPDATE")</f>
        <v>TR GAZZATE IN GRADE TABLE UPDATE</v>
      </c>
      <c r="E1452" s="84">
        <f>IFERROR(__xludf.DUMMYFUNCTION("""COMPUTED_VALUE"""),46227.78580543982)</f>
        <v>46227.78581</v>
      </c>
      <c r="F1452" s="86">
        <f>IFERROR(__xludf.DUMMYFUNCTION("""COMPUTED_VALUE"""),46227.50914013889)</f>
        <v>46227.50914</v>
      </c>
      <c r="G1452" s="86" t="str">
        <f>IFERROR(__xludf.DUMMYFUNCTION("""COMPUTED_VALUE"""),"Done")</f>
        <v>Done</v>
      </c>
      <c r="H1452" s="88">
        <f>IFERROR(__xludf.DUMMYFUNCTION("""COMPUTED_VALUE"""),0.0)</f>
        <v>0</v>
      </c>
      <c r="I1452" s="90" t="str">
        <f>IFERROR(__xludf.DUMMYFUNCTION("""COMPUTED_VALUE"""),"EMP0237 Swarnendu Chakraborty")</f>
        <v>EMP0237 Swarnendu Chakraborty</v>
      </c>
      <c r="J1452" s="91">
        <f t="shared" si="1"/>
        <v>-0.2766653009</v>
      </c>
    </row>
    <row r="1453">
      <c r="B1453" s="76" t="str">
        <f>IFERROR(__xludf.DUMMYFUNCTION("""COMPUTED_VALUE"""),"Debuging the error (Jasper end as well as Query end) and discuss with RM about logic ")</f>
        <v>Debuging the error (Jasper end as well as Query end) and discuss with RM about logic </v>
      </c>
      <c r="C1453" s="82">
        <f>IFERROR(__xludf.DUMMYFUNCTION("""COMPUTED_VALUE"""),5415.0)</f>
        <v>5415</v>
      </c>
      <c r="D1453" s="76" t="str">
        <f>IFERROR(__xludf.DUMMYFUNCTION("""COMPUTED_VALUE"""),"Marks Sheet Heading name correction for LLB")</f>
        <v>Marks Sheet Heading name correction for LLB</v>
      </c>
      <c r="E1453" s="84">
        <f>IFERROR(__xludf.DUMMYFUNCTION("""COMPUTED_VALUE"""),46228.55763888889)</f>
        <v>46228.55764</v>
      </c>
      <c r="F1453" s="86">
        <f>IFERROR(__xludf.DUMMYFUNCTION("""COMPUTED_VALUE"""),46227.71191618056)</f>
        <v>46227.71192</v>
      </c>
      <c r="G1453" s="86" t="str">
        <f>IFERROR(__xludf.DUMMYFUNCTION("""COMPUTED_VALUE"""),"Done")</f>
        <v>Done</v>
      </c>
      <c r="H1453" s="88">
        <f>IFERROR(__xludf.DUMMYFUNCTION("""COMPUTED_VALUE"""),0.0)</f>
        <v>0</v>
      </c>
      <c r="I1453" s="90" t="str">
        <f>IFERROR(__xludf.DUMMYFUNCTION("""COMPUTED_VALUE"""),"EMP0021 Tamanna Dewangan")</f>
        <v>EMP0021 Tamanna Dewangan</v>
      </c>
      <c r="J1453" s="91">
        <f t="shared" si="1"/>
        <v>-0.8457227083</v>
      </c>
    </row>
    <row r="1454">
      <c r="B1454" s="76" t="str">
        <f>IFERROR(__xludf.DUMMYFUNCTION("""COMPUTED_VALUE"""),"Debuging the error (Jasper end as well as Query end) and discuss with RM about logic ")</f>
        <v>Debuging the error (Jasper end as well as Query end) and discuss with RM about logic </v>
      </c>
      <c r="C1454" s="82">
        <f>IFERROR(__xludf.DUMMYFUNCTION("""COMPUTED_VALUE"""),5416.0)</f>
        <v>5416</v>
      </c>
      <c r="D1454" s="76" t="str">
        <f>IFERROR(__xludf.DUMMYFUNCTION("""COMPUTED_VALUE"""),"TR report")</f>
        <v>TR report</v>
      </c>
      <c r="E1454" s="84">
        <f>IFERROR(__xludf.DUMMYFUNCTION("""COMPUTED_VALUE"""),46228.55694444444)</f>
        <v>46228.55694</v>
      </c>
      <c r="F1454" s="86">
        <f>IFERROR(__xludf.DUMMYFUNCTION("""COMPUTED_VALUE"""),46228.36155908565)</f>
        <v>46228.36156</v>
      </c>
      <c r="G1454" s="86" t="str">
        <f>IFERROR(__xludf.DUMMYFUNCTION("""COMPUTED_VALUE"""),"Done")</f>
        <v>Done</v>
      </c>
      <c r="H1454" s="88">
        <f>IFERROR(__xludf.DUMMYFUNCTION("""COMPUTED_VALUE"""),0.0)</f>
        <v>0</v>
      </c>
      <c r="I1454" s="90" t="str">
        <f>IFERROR(__xludf.DUMMYFUNCTION("""COMPUTED_VALUE"""),"EMP0237 Swarnendu Chakraborty")</f>
        <v>EMP0237 Swarnendu Chakraborty</v>
      </c>
      <c r="J1454" s="91">
        <f t="shared" si="1"/>
        <v>-0.1953853588</v>
      </c>
    </row>
    <row r="1455">
      <c r="B1455" s="76" t="str">
        <f>IFERROR(__xludf.DUMMYFUNCTION("""COMPUTED_VALUE"""),"Debuging the error (Jasper end as well as Query end) and discuss with RM about logic ")</f>
        <v>Debuging the error (Jasper end as well as Query end) and discuss with RM about logic </v>
      </c>
      <c r="C1455" s="82">
        <f>IFERROR(__xludf.DUMMYFUNCTION("""COMPUTED_VALUE"""),5417.0)</f>
        <v>5417</v>
      </c>
      <c r="D1455" s="76" t="str">
        <f>IFERROR(__xludf.DUMMYFUNCTION("""COMPUTED_VALUE"""),"TR Format (Grading / Non-Grading)")</f>
        <v>TR Format (Grading / Non-Grading)</v>
      </c>
      <c r="E1455" s="84">
        <f>IFERROR(__xludf.DUMMYFUNCTION("""COMPUTED_VALUE"""),46228.569444444445)</f>
        <v>46228.56944</v>
      </c>
      <c r="F1455" s="86">
        <f>IFERROR(__xludf.DUMMYFUNCTION("""COMPUTED_VALUE"""),46227.712962662044)</f>
        <v>46227.71296</v>
      </c>
      <c r="G1455" s="86" t="str">
        <f>IFERROR(__xludf.DUMMYFUNCTION("""COMPUTED_VALUE"""),"Done")</f>
        <v>Done</v>
      </c>
      <c r="H1455" s="88">
        <f>IFERROR(__xludf.DUMMYFUNCTION("""COMPUTED_VALUE"""),0.0)</f>
        <v>0</v>
      </c>
      <c r="I1455" s="90" t="str">
        <f>IFERROR(__xludf.DUMMYFUNCTION("""COMPUTED_VALUE"""),"EMP5009 Rup Kumar Mandal")</f>
        <v>EMP5009 Rup Kumar Mandal</v>
      </c>
      <c r="J1455" s="91">
        <f t="shared" si="1"/>
        <v>-0.8564817824</v>
      </c>
    </row>
    <row r="1456">
      <c r="B1456" s="76" t="str">
        <f>IFERROR(__xludf.DUMMYFUNCTION("""COMPUTED_VALUE"""),"Debuging the error (Jasper end as well as Query end) and discuss with RM about logic ")</f>
        <v>Debuging the error (Jasper end as well as Query end) and discuss with RM about logic </v>
      </c>
      <c r="C1456" s="82">
        <f>IFERROR(__xludf.DUMMYFUNCTION("""COMPUTED_VALUE"""),5418.0)</f>
        <v>5418</v>
      </c>
      <c r="D1456" s="76" t="str">
        <f>IFERROR(__xludf.DUMMYFUNCTION("""COMPUTED_VALUE"""),"Grade Card NEP (PG)")</f>
        <v>Grade Card NEP (PG)</v>
      </c>
      <c r="E1456" s="84">
        <f>IFERROR(__xludf.DUMMYFUNCTION("""COMPUTED_VALUE"""),46228.57083333333)</f>
        <v>46228.57083</v>
      </c>
      <c r="F1456" s="86">
        <f>IFERROR(__xludf.DUMMYFUNCTION("""COMPUTED_VALUE"""),46227.71297060185)</f>
        <v>46227.71297</v>
      </c>
      <c r="G1456" s="86" t="str">
        <f>IFERROR(__xludf.DUMMYFUNCTION("""COMPUTED_VALUE"""),"Done")</f>
        <v>Done</v>
      </c>
      <c r="H1456" s="88">
        <f>IFERROR(__xludf.DUMMYFUNCTION("""COMPUTED_VALUE"""),0.0)</f>
        <v>0</v>
      </c>
      <c r="I1456" s="90" t="str">
        <f>IFERROR(__xludf.DUMMYFUNCTION("""COMPUTED_VALUE"""),"EMP5009 Rup Kumar Mandal")</f>
        <v>EMP5009 Rup Kumar Mandal</v>
      </c>
      <c r="J1456" s="91">
        <f t="shared" si="1"/>
        <v>-0.8578627315</v>
      </c>
    </row>
    <row r="1457">
      <c r="B1457" s="76" t="str">
        <f>IFERROR(__xludf.DUMMYFUNCTION("""COMPUTED_VALUE"""),"Debuging the error (Jasper end as well as Query end) and discuss with RM about logic ")</f>
        <v>Debuging the error (Jasper end as well as Query end) and discuss with RM about logic </v>
      </c>
      <c r="C1457" s="82">
        <f>IFERROR(__xludf.DUMMYFUNCTION("""COMPUTED_VALUE"""),5419.0)</f>
        <v>5419</v>
      </c>
      <c r="D1457" s="76" t="str">
        <f>IFERROR(__xludf.DUMMYFUNCTION("""COMPUTED_VALUE"""),"Marksheet Paramedical")</f>
        <v>Marksheet Paramedical</v>
      </c>
      <c r="E1457" s="84">
        <f>IFERROR(__xludf.DUMMYFUNCTION("""COMPUTED_VALUE"""),46228.713103576396)</f>
        <v>46228.7131</v>
      </c>
      <c r="F1457" s="86">
        <f>IFERROR(__xludf.DUMMYFUNCTION("""COMPUTED_VALUE"""),46228.5283808912)</f>
        <v>46228.52838</v>
      </c>
      <c r="G1457" s="86" t="str">
        <f>IFERROR(__xludf.DUMMYFUNCTION("""COMPUTED_VALUE"""),"Done")</f>
        <v>Done</v>
      </c>
      <c r="H1457" s="88">
        <f>IFERROR(__xludf.DUMMYFUNCTION("""COMPUTED_VALUE"""),0.0)</f>
        <v>0</v>
      </c>
      <c r="I1457" s="90" t="str">
        <f>IFERROR(__xludf.DUMMYFUNCTION("""COMPUTED_VALUE"""),"EMP0021 Tamanna Dewangan")</f>
        <v>EMP0021 Tamanna Dewangan</v>
      </c>
      <c r="J1457" s="91">
        <f t="shared" si="1"/>
        <v>-0.1847226852</v>
      </c>
    </row>
    <row r="1458">
      <c r="B1458" s="76" t="str">
        <f>IFERROR(__xludf.DUMMYFUNCTION("""COMPUTED_VALUE"""),"Debuging the error (Jasper end as well as Query end) and discuss with RM about logic ")</f>
        <v>Debuging the error (Jasper end as well as Query end) and discuss with RM about logic </v>
      </c>
      <c r="C1458" s="82">
        <f>IFERROR(__xludf.DUMMYFUNCTION("""COMPUTED_VALUE"""),5420.0)</f>
        <v>5420</v>
      </c>
      <c r="D1458" s="76" t="str">
        <f>IFERROR(__xludf.DUMMYFUNCTION("""COMPUTED_VALUE"""),"PROVISIONAL CERTIFICATE")</f>
        <v>PROVISIONAL CERTIFICATE</v>
      </c>
      <c r="E1458" s="84">
        <f>IFERROR(__xludf.DUMMYFUNCTION("""COMPUTED_VALUE"""),46228.71998809027)</f>
        <v>46228.71999</v>
      </c>
      <c r="F1458" s="86">
        <f>IFERROR(__xludf.DUMMYFUNCTION("""COMPUTED_VALUE"""),46228.52839474537)</f>
        <v>46228.52839</v>
      </c>
      <c r="G1458" s="86" t="str">
        <f>IFERROR(__xludf.DUMMYFUNCTION("""COMPUTED_VALUE"""),"Done")</f>
        <v>Done</v>
      </c>
      <c r="H1458" s="88">
        <f>IFERROR(__xludf.DUMMYFUNCTION("""COMPUTED_VALUE"""),0.0)</f>
        <v>0</v>
      </c>
      <c r="I1458" s="90" t="str">
        <f>IFERROR(__xludf.DUMMYFUNCTION("""COMPUTED_VALUE"""),"EMP0042 HULESHWAR KUMAR SAHU")</f>
        <v>EMP0042 HULESHWAR KUMAR SAHU</v>
      </c>
      <c r="J1458" s="91">
        <f t="shared" si="1"/>
        <v>-0.1915933449</v>
      </c>
    </row>
    <row r="1459">
      <c r="B1459" s="76" t="str">
        <f>IFERROR(__xludf.DUMMYFUNCTION("""COMPUTED_VALUE"""),"Debuging the error (Jasper end as well as Query end) and discuss with RM about logic ")</f>
        <v>Debuging the error (Jasper end as well as Query end) and discuss with RM about logic </v>
      </c>
      <c r="C1459" s="82">
        <f>IFERROR(__xludf.DUMMYFUNCTION("""COMPUTED_VALUE"""),5421.0)</f>
        <v>5421</v>
      </c>
      <c r="D1459" s="76" t="str">
        <f>IFERROR(__xludf.DUMMYFUNCTION("""COMPUTED_VALUE"""),"Question Paper Packet slip Date Wise")</f>
        <v>Question Paper Packet slip Date Wise</v>
      </c>
      <c r="E1459" s="84">
        <f>IFERROR(__xludf.DUMMYFUNCTION("""COMPUTED_VALUE"""),46228.72135762732)</f>
        <v>46228.72136</v>
      </c>
      <c r="F1459" s="86">
        <f>IFERROR(__xludf.DUMMYFUNCTION("""COMPUTED_VALUE"""),46228.528410405095)</f>
        <v>46228.52841</v>
      </c>
      <c r="G1459" s="86" t="str">
        <f>IFERROR(__xludf.DUMMYFUNCTION("""COMPUTED_VALUE"""),"Done")</f>
        <v>Done</v>
      </c>
      <c r="H1459" s="88">
        <f>IFERROR(__xludf.DUMMYFUNCTION("""COMPUTED_VALUE"""),0.0)</f>
        <v>0</v>
      </c>
      <c r="I1459" s="90" t="str">
        <f>IFERROR(__xludf.DUMMYFUNCTION("""COMPUTED_VALUE"""),"EMP0042 HULESHWAR KUMAR SAHU")</f>
        <v>EMP0042 HULESHWAR KUMAR SAHU</v>
      </c>
      <c r="J1459" s="91">
        <f t="shared" si="1"/>
        <v>-0.1929472222</v>
      </c>
    </row>
    <row r="1460">
      <c r="B1460" s="76" t="str">
        <f>IFERROR(__xludf.DUMMYFUNCTION("""COMPUTED_VALUE"""),"Debuging the error (Jasper end as well as Query end) and discuss with RM about logic ")</f>
        <v>Debuging the error (Jasper end as well as Query end) and discuss with RM about logic </v>
      </c>
      <c r="C1460" s="82">
        <f>IFERROR(__xludf.DUMMYFUNCTION("""COMPUTED_VALUE"""),5422.0)</f>
        <v>5422</v>
      </c>
      <c r="D1460" s="76" t="str">
        <f>IFERROR(__xludf.DUMMYFUNCTION("""COMPUTED_VALUE"""),"Marks sheet")</f>
        <v>Marks sheet</v>
      </c>
      <c r="E1460" s="84">
        <f>IFERROR(__xludf.DUMMYFUNCTION("""COMPUTED_VALUE"""),46230.47152777778)</f>
        <v>46230.47153</v>
      </c>
      <c r="F1460" s="86">
        <f>IFERROR(__xludf.DUMMYFUNCTION("""COMPUTED_VALUE"""),46228.667477650466)</f>
        <v>46228.66748</v>
      </c>
      <c r="G1460" s="86" t="str">
        <f>IFERROR(__xludf.DUMMYFUNCTION("""COMPUTED_VALUE"""),"Done")</f>
        <v>Done</v>
      </c>
      <c r="H1460" s="88">
        <f>IFERROR(__xludf.DUMMYFUNCTION("""COMPUTED_VALUE"""),0.0)</f>
        <v>0</v>
      </c>
      <c r="I1460" s="90" t="str">
        <f>IFERROR(__xludf.DUMMYFUNCTION("""COMPUTED_VALUE"""),"EMP0042 HULESHWAR KUMAR SAHU")</f>
        <v>EMP0042 HULESHWAR KUMAR SAHU</v>
      </c>
      <c r="J1460" s="91">
        <f t="shared" si="1"/>
        <v>-1.804050127</v>
      </c>
    </row>
    <row r="1461">
      <c r="B1461" s="76" t="str">
        <f>IFERROR(__xludf.DUMMYFUNCTION("""COMPUTED_VALUE"""),"Debuging the error (Jasper end as well as Query end) and discuss with RM about logic ")</f>
        <v>Debuging the error (Jasper end as well as Query end) and discuss with RM about logic </v>
      </c>
      <c r="C1461" s="82">
        <f>IFERROR(__xludf.DUMMYFUNCTION("""COMPUTED_VALUE"""),5423.0)</f>
        <v>5423</v>
      </c>
      <c r="D1461" s="76" t="str">
        <f>IFERROR(__xludf.DUMMYFUNCTION("""COMPUTED_VALUE"""),"Packet_Slip_Date_Wise")</f>
        <v>Packet_Slip_Date_Wise</v>
      </c>
      <c r="E1461" s="84">
        <f>IFERROR(__xludf.DUMMYFUNCTION("""COMPUTED_VALUE"""),46230.70435268518)</f>
        <v>46230.70435</v>
      </c>
      <c r="F1461" s="86">
        <f>IFERROR(__xludf.DUMMYFUNCTION("""COMPUTED_VALUE"""),46230.43561194444)</f>
        <v>46230.43561</v>
      </c>
      <c r="G1461" s="86" t="str">
        <f>IFERROR(__xludf.DUMMYFUNCTION("""COMPUTED_VALUE"""),"Done")</f>
        <v>Done</v>
      </c>
      <c r="H1461" s="88">
        <f>IFERROR(__xludf.DUMMYFUNCTION("""COMPUTED_VALUE"""),0.0)</f>
        <v>0</v>
      </c>
      <c r="I1461" s="90" t="str">
        <f>IFERROR(__xludf.DUMMYFUNCTION("""COMPUTED_VALUE"""),"EMP0042 HULESHWAR KUMAR SAHU")</f>
        <v>EMP0042 HULESHWAR KUMAR SAHU</v>
      </c>
      <c r="J1461" s="91">
        <f t="shared" si="1"/>
        <v>-0.2687407407</v>
      </c>
    </row>
    <row r="1462">
      <c r="B1462" s="76" t="str">
        <f>IFERROR(__xludf.DUMMYFUNCTION("""COMPUTED_VALUE"""),"Debuging the error (Jasper end as well as Query end) and discuss with RM about logic ")</f>
        <v>Debuging the error (Jasper end as well as Query end) and discuss with RM about logic </v>
      </c>
      <c r="C1462" s="82">
        <f>IFERROR(__xludf.DUMMYFUNCTION("""COMPUTED_VALUE"""),5424.0)</f>
        <v>5424</v>
      </c>
      <c r="D1462" s="76" t="str">
        <f>IFERROR(__xludf.DUMMYFUNCTION("""COMPUTED_VALUE"""),"TR ")</f>
        <v>TR </v>
      </c>
      <c r="E1462" s="84">
        <f>IFERROR(__xludf.DUMMYFUNCTION("""COMPUTED_VALUE"""),46230.785982013884)</f>
        <v>46230.78598</v>
      </c>
      <c r="F1462" s="86">
        <f>IFERROR(__xludf.DUMMYFUNCTION("""COMPUTED_VALUE"""),46230.69921957176)</f>
        <v>46230.69922</v>
      </c>
      <c r="G1462" s="86" t="str">
        <f>IFERROR(__xludf.DUMMYFUNCTION("""COMPUTED_VALUE"""),"Done")</f>
        <v>Done</v>
      </c>
      <c r="H1462" s="88">
        <f>IFERROR(__xludf.DUMMYFUNCTION("""COMPUTED_VALUE"""),0.0)</f>
        <v>0</v>
      </c>
      <c r="I1462" s="90" t="str">
        <f>IFERROR(__xludf.DUMMYFUNCTION("""COMPUTED_VALUE"""),"EMP0042 HULESHWAR KUMAR SAHU")</f>
        <v>EMP0042 HULESHWAR KUMAR SAHU</v>
      </c>
      <c r="J1462" s="91">
        <f t="shared" si="1"/>
        <v>-0.08676244212</v>
      </c>
    </row>
    <row r="1463">
      <c r="B1463" s="76" t="str">
        <f>IFERROR(__xludf.DUMMYFUNCTION("""COMPUTED_VALUE"""),"Debuging the error (Jasper end as well as Query end) and discuss with RM about logic ")</f>
        <v>Debuging the error (Jasper end as well as Query end) and discuss with RM about logic </v>
      </c>
      <c r="C1463" s="82">
        <f>IFERROR(__xludf.DUMMYFUNCTION("""COMPUTED_VALUE"""),5425.0)</f>
        <v>5425</v>
      </c>
      <c r="D1463" s="76" t="str">
        <f>IFERROR(__xludf.DUMMYFUNCTION("""COMPUTED_VALUE"""),"TR ADMIN")</f>
        <v>TR ADMIN</v>
      </c>
      <c r="E1463" s="84">
        <f>IFERROR(__xludf.DUMMYFUNCTION("""COMPUTED_VALUE"""),46231.538888888885)</f>
        <v>46231.53889</v>
      </c>
      <c r="F1463" s="86">
        <f>IFERROR(__xludf.DUMMYFUNCTION("""COMPUTED_VALUE"""),46230.70005620371)</f>
        <v>46230.70006</v>
      </c>
      <c r="G1463" s="86" t="str">
        <f>IFERROR(__xludf.DUMMYFUNCTION("""COMPUTED_VALUE"""),"Done")</f>
        <v>Done</v>
      </c>
      <c r="H1463" s="88">
        <f>IFERROR(__xludf.DUMMYFUNCTION("""COMPUTED_VALUE"""),0.0)</f>
        <v>0</v>
      </c>
      <c r="I1463" s="90" t="str">
        <f>IFERROR(__xludf.DUMMYFUNCTION("""COMPUTED_VALUE"""),"EMP0042 HULESHWAR KUMAR SAHU")</f>
        <v>EMP0042 HULESHWAR KUMAR SAHU</v>
      </c>
      <c r="J1463" s="91">
        <f t="shared" si="1"/>
        <v>-0.8388326852</v>
      </c>
    </row>
    <row r="1464">
      <c r="B1464" s="76" t="str">
        <f>IFERROR(__xludf.DUMMYFUNCTION("""COMPUTED_VALUE"""),"Debuging the error (Jasper end as well as Query end) and discuss with RM about logic ")</f>
        <v>Debuging the error (Jasper end as well as Query end) and discuss with RM about logic </v>
      </c>
      <c r="C1464" s="82">
        <f>IFERROR(__xludf.DUMMYFUNCTION("""COMPUTED_VALUE"""),5426.0)</f>
        <v>5426</v>
      </c>
      <c r="D1464" s="76" t="str">
        <f>IFERROR(__xludf.DUMMYFUNCTION("""COMPUTED_VALUE"""),"CONSOLIDATED MARKS MEMORANDUM BCA")</f>
        <v>CONSOLIDATED MARKS MEMORANDUM BCA</v>
      </c>
      <c r="E1464" s="84">
        <f>IFERROR(__xludf.DUMMYFUNCTION("""COMPUTED_VALUE"""),46231.57777777778)</f>
        <v>46231.57778</v>
      </c>
      <c r="F1464" s="86">
        <f>IFERROR(__xludf.DUMMYFUNCTION("""COMPUTED_VALUE"""),46230.76322202547)</f>
        <v>46230.76322</v>
      </c>
      <c r="G1464" s="86" t="str">
        <f>IFERROR(__xludf.DUMMYFUNCTION("""COMPUTED_VALUE"""),"Done")</f>
        <v>Done</v>
      </c>
      <c r="H1464" s="88">
        <f>IFERROR(__xludf.DUMMYFUNCTION("""COMPUTED_VALUE"""),0.0)</f>
        <v>0</v>
      </c>
      <c r="I1464" s="90" t="str">
        <f>IFERROR(__xludf.DUMMYFUNCTION("""COMPUTED_VALUE"""),"EMP0042 HULESHWAR KUMAR SAHU")</f>
        <v>EMP0042 HULESHWAR KUMAR SAHU</v>
      </c>
      <c r="J1464" s="91">
        <f t="shared" si="1"/>
        <v>-0.8145557523</v>
      </c>
    </row>
    <row r="1465">
      <c r="B1465" s="76" t="str">
        <f>IFERROR(__xludf.DUMMYFUNCTION("""COMPUTED_VALUE"""),"Debuging the error (Jasper end as well as Query end) and discuss with RM about logic ")</f>
        <v>Debuging the error (Jasper end as well as Query end) and discuss with RM about logic </v>
      </c>
      <c r="C1465" s="82">
        <f>IFERROR(__xludf.DUMMYFUNCTION("""COMPUTED_VALUE"""),5427.0)</f>
        <v>5427</v>
      </c>
      <c r="D1465" s="76" t="str">
        <f>IFERROR(__xludf.DUMMYFUNCTION("""COMPUTED_VALUE"""),"Admit Card")</f>
        <v>Admit Card</v>
      </c>
      <c r="E1465" s="84">
        <f>IFERROR(__xludf.DUMMYFUNCTION("""COMPUTED_VALUE"""),46231.57916666666)</f>
        <v>46231.57917</v>
      </c>
      <c r="F1465" s="86">
        <f>IFERROR(__xludf.DUMMYFUNCTION("""COMPUTED_VALUE"""),46230.76318475695)</f>
        <v>46230.76318</v>
      </c>
      <c r="G1465" s="86" t="str">
        <f>IFERROR(__xludf.DUMMYFUNCTION("""COMPUTED_VALUE"""),"Done")</f>
        <v>Done</v>
      </c>
      <c r="H1465" s="88">
        <f>IFERROR(__xludf.DUMMYFUNCTION("""COMPUTED_VALUE"""),0.0)</f>
        <v>0</v>
      </c>
      <c r="I1465" s="90" t="str">
        <f>IFERROR(__xludf.DUMMYFUNCTION("""COMPUTED_VALUE"""),"EMP0042 HULESHWAR KUMAR SAHU")</f>
        <v>EMP0042 HULESHWAR KUMAR SAHU</v>
      </c>
      <c r="J1465" s="91">
        <f t="shared" si="1"/>
        <v>-0.8159819097</v>
      </c>
    </row>
    <row r="1466">
      <c r="B1466" s="76" t="str">
        <f>IFERROR(__xludf.DUMMYFUNCTION("""COMPUTED_VALUE"""),"Debuging the error (Jasper end as well as Query end) and discuss with RM about logic ")</f>
        <v>Debuging the error (Jasper end as well as Query end) and discuss with RM about logic </v>
      </c>
      <c r="C1466" s="82">
        <f>IFERROR(__xludf.DUMMYFUNCTION("""COMPUTED_VALUE"""),5428.0)</f>
        <v>5428</v>
      </c>
      <c r="D1466" s="76" t="str">
        <f>IFERROR(__xludf.DUMMYFUNCTION("""COMPUTED_VALUE"""),"MARKSHEET PARAMEDICAL")</f>
        <v>MARKSHEET PARAMEDICAL</v>
      </c>
      <c r="E1466" s="84">
        <f>IFERROR(__xludf.DUMMYFUNCTION("""COMPUTED_VALUE"""),46231.57986111111)</f>
        <v>46231.57986</v>
      </c>
      <c r="F1466" s="86">
        <f>IFERROR(__xludf.DUMMYFUNCTION("""COMPUTED_VALUE"""),46230.763206331016)</f>
        <v>46230.76321</v>
      </c>
      <c r="G1466" s="86" t="str">
        <f>IFERROR(__xludf.DUMMYFUNCTION("""COMPUTED_VALUE"""),"Done")</f>
        <v>Done</v>
      </c>
      <c r="H1466" s="88">
        <f>IFERROR(__xludf.DUMMYFUNCTION("""COMPUTED_VALUE"""),0.0)</f>
        <v>0</v>
      </c>
      <c r="I1466" s="90" t="str">
        <f>IFERROR(__xludf.DUMMYFUNCTION("""COMPUTED_VALUE"""),"EMP0042 HULESHWAR KUMAR SAHU")</f>
        <v>EMP0042 HULESHWAR KUMAR SAHU</v>
      </c>
      <c r="J1466" s="91">
        <f t="shared" si="1"/>
        <v>-0.8166547801</v>
      </c>
    </row>
    <row r="1467">
      <c r="B1467" s="76" t="str">
        <f>IFERROR(__xludf.DUMMYFUNCTION("""COMPUTED_VALUE"""),"Debuging the error (Jasper end as well as Query end) and discuss with RM about logic ")</f>
        <v>Debuging the error (Jasper end as well as Query end) and discuss with RM about logic </v>
      </c>
      <c r="C1467" s="82">
        <f>IFERROR(__xludf.DUMMYFUNCTION("""COMPUTED_VALUE"""),5429.0)</f>
        <v>5429</v>
      </c>
      <c r="D1467" s="76" t="str">
        <f>IFERROR(__xludf.DUMMYFUNCTION("""COMPUTED_VALUE"""),"Question Paper Packet slip Date Wise")</f>
        <v>Question Paper Packet slip Date Wise</v>
      </c>
      <c r="E1467" s="84">
        <f>IFERROR(__xludf.DUMMYFUNCTION("""COMPUTED_VALUE"""),46231.67655303241)</f>
        <v>46231.67655</v>
      </c>
      <c r="F1467" s="86">
        <f>IFERROR(__xludf.DUMMYFUNCTION("""COMPUTED_VALUE"""),46231.44282894676)</f>
        <v>46231.44283</v>
      </c>
      <c r="G1467" s="86" t="str">
        <f>IFERROR(__xludf.DUMMYFUNCTION("""COMPUTED_VALUE"""),"Done")</f>
        <v>Done</v>
      </c>
      <c r="H1467" s="88">
        <f>IFERROR(__xludf.DUMMYFUNCTION("""COMPUTED_VALUE"""),0.0)</f>
        <v>0</v>
      </c>
      <c r="I1467" s="90" t="str">
        <f>IFERROR(__xludf.DUMMYFUNCTION("""COMPUTED_VALUE"""),"EMP0042 HULESHWAR KUMAR SAHU")</f>
        <v>EMP0042 HULESHWAR KUMAR SAHU</v>
      </c>
      <c r="J1467" s="91">
        <f t="shared" si="1"/>
        <v>-0.2337240857</v>
      </c>
    </row>
    <row r="1468">
      <c r="B1468" s="76" t="str">
        <f>IFERROR(__xludf.DUMMYFUNCTION("""COMPUTED_VALUE"""),"Debuging the error (Jasper end as well as Query end) and discuss with RM about logic ")</f>
        <v>Debuging the error (Jasper end as well as Query end) and discuss with RM about logic </v>
      </c>
      <c r="C1468" s="82">
        <f>IFERROR(__xludf.DUMMYFUNCTION("""COMPUTED_VALUE"""),5430.0)</f>
        <v>5430</v>
      </c>
      <c r="D1468" s="76" t="str">
        <f>IFERROR(__xludf.DUMMYFUNCTION("""COMPUTED_VALUE"""),"Ayurveda TR")</f>
        <v>Ayurveda TR</v>
      </c>
      <c r="E1468" s="84">
        <f>IFERROR(__xludf.DUMMYFUNCTION("""COMPUTED_VALUE"""),46231.7184143287)</f>
        <v>46231.71841</v>
      </c>
      <c r="F1468" s="86">
        <f>IFERROR(__xludf.DUMMYFUNCTION("""COMPUTED_VALUE"""),46231.44289630787)</f>
        <v>46231.4429</v>
      </c>
      <c r="G1468" s="86" t="str">
        <f>IFERROR(__xludf.DUMMYFUNCTION("""COMPUTED_VALUE"""),"Done")</f>
        <v>Done</v>
      </c>
      <c r="H1468" s="88">
        <f>IFERROR(__xludf.DUMMYFUNCTION("""COMPUTED_VALUE"""),0.0)</f>
        <v>0</v>
      </c>
      <c r="I1468" s="90" t="str">
        <f>IFERROR(__xludf.DUMMYFUNCTION("""COMPUTED_VALUE"""),"EMP0042 HULESHWAR KUMAR SAHU")</f>
        <v>EMP0042 HULESHWAR KUMAR SAHU</v>
      </c>
      <c r="J1468" s="91">
        <f t="shared" si="1"/>
        <v>-0.2755180208</v>
      </c>
    </row>
    <row r="1469">
      <c r="B1469" s="76" t="str">
        <f>IFERROR(__xludf.DUMMYFUNCTION("""COMPUTED_VALUE"""),"Debuging the error (Jasper end as well as Query end) and discuss with RM about logic ")</f>
        <v>Debuging the error (Jasper end as well as Query end) and discuss with RM about logic </v>
      </c>
      <c r="C1469" s="82">
        <f>IFERROR(__xludf.DUMMYFUNCTION("""COMPUTED_VALUE"""),5431.0)</f>
        <v>5431</v>
      </c>
      <c r="D1469" s="76" t="str">
        <f>IFERROR(__xludf.DUMMYFUNCTION("""COMPUTED_VALUE"""),"AYURVEDA MARKSHEET")</f>
        <v>AYURVEDA MARKSHEET</v>
      </c>
      <c r="E1469" s="84">
        <f>IFERROR(__xludf.DUMMYFUNCTION("""COMPUTED_VALUE"""),46232.47716429398)</f>
        <v>46232.47716</v>
      </c>
      <c r="F1469" s="86">
        <f>IFERROR(__xludf.DUMMYFUNCTION("""COMPUTED_VALUE"""),46232.472766203704)</f>
        <v>46232.47277</v>
      </c>
      <c r="G1469" s="86" t="str">
        <f>IFERROR(__xludf.DUMMYFUNCTION("""COMPUTED_VALUE"""),"Done")</f>
        <v>Done</v>
      </c>
      <c r="H1469" s="88">
        <f>IFERROR(__xludf.DUMMYFUNCTION("""COMPUTED_VALUE"""),0.0)</f>
        <v>0</v>
      </c>
      <c r="I1469" s="90" t="str">
        <f>IFERROR(__xludf.DUMMYFUNCTION("""COMPUTED_VALUE"""),"EMP0042 HULESHWAR KUMAR SAHU")</f>
        <v>EMP0042 HULESHWAR KUMAR SAHU</v>
      </c>
      <c r="J1469" s="91">
        <f t="shared" si="1"/>
        <v>-0.004398090277</v>
      </c>
    </row>
    <row r="1470">
      <c r="B1470" s="76" t="str">
        <f>IFERROR(__xludf.DUMMYFUNCTION("""COMPUTED_VALUE"""),"Debuging the error (Jasper end as well as Query end) and discuss with RM about logic ")</f>
        <v>Debuging the error (Jasper end as well as Query end) and discuss with RM about logic </v>
      </c>
      <c r="C1470" s="82">
        <f>IFERROR(__xludf.DUMMYFUNCTION("""COMPUTED_VALUE"""),5432.0)</f>
        <v>5432</v>
      </c>
      <c r="D1470" s="76" t="str">
        <f>IFERROR(__xludf.DUMMYFUNCTION("""COMPUTED_VALUE"""),"Marksheet correction ")</f>
        <v>Marksheet correction </v>
      </c>
      <c r="E1470" s="84">
        <f>IFERROR(__xludf.DUMMYFUNCTION("""COMPUTED_VALUE"""),46231.765871874995)</f>
        <v>46231.76587</v>
      </c>
      <c r="F1470" s="86">
        <f>IFERROR(__xludf.DUMMYFUNCTION("""COMPUTED_VALUE"""),46231.613450613426)</f>
        <v>46231.61345</v>
      </c>
      <c r="G1470" s="86" t="str">
        <f>IFERROR(__xludf.DUMMYFUNCTION("""COMPUTED_VALUE"""),"Done")</f>
        <v>Done</v>
      </c>
      <c r="H1470" s="88">
        <f>IFERROR(__xludf.DUMMYFUNCTION("""COMPUTED_VALUE"""),0.0)</f>
        <v>0</v>
      </c>
      <c r="I1470" s="90" t="str">
        <f>IFERROR(__xludf.DUMMYFUNCTION("""COMPUTED_VALUE"""),"EMP0042 HULESHWAR KUMAR SAHU")</f>
        <v>EMP0042 HULESHWAR KUMAR SAHU</v>
      </c>
      <c r="J1470" s="91">
        <f t="shared" si="1"/>
        <v>-0.1524212616</v>
      </c>
    </row>
    <row r="1471">
      <c r="B1471" s="76" t="str">
        <f>IFERROR(__xludf.DUMMYFUNCTION("""COMPUTED_VALUE"""),"Debuging the error (Jasper end as well as Query end) and discuss with RM about logic ")</f>
        <v>Debuging the error (Jasper end as well as Query end) and discuss with RM about logic </v>
      </c>
      <c r="C1471" s="82">
        <f>IFERROR(__xludf.DUMMYFUNCTION("""COMPUTED_VALUE"""),5433.0)</f>
        <v>5433</v>
      </c>
      <c r="D1471" s="76" t="str">
        <f>IFERROR(__xludf.DUMMYFUNCTION("""COMPUTED_VALUE"""),"DMC\COURSE TYPE IN ALL ADD")</f>
        <v>DMC\COURSE TYPE IN ALL ADD</v>
      </c>
      <c r="E1471" s="84">
        <f>IFERROR(__xludf.DUMMYFUNCTION("""COMPUTED_VALUE"""),46232.694266736115)</f>
        <v>46232.69427</v>
      </c>
      <c r="F1471" s="86">
        <f>IFERROR(__xludf.DUMMYFUNCTION("""COMPUTED_VALUE"""),46232.41701326389)</f>
        <v>46232.41701</v>
      </c>
      <c r="G1471" s="86" t="str">
        <f>IFERROR(__xludf.DUMMYFUNCTION("""COMPUTED_VALUE"""),"Done")</f>
        <v>Done</v>
      </c>
      <c r="H1471" s="88">
        <f>IFERROR(__xludf.DUMMYFUNCTION("""COMPUTED_VALUE"""),0.0)</f>
        <v>0</v>
      </c>
      <c r="I1471" s="90" t="str">
        <f>IFERROR(__xludf.DUMMYFUNCTION("""COMPUTED_VALUE"""),"EMP5009 Rup Kumar Mandal")</f>
        <v>EMP5009 Rup Kumar Mandal</v>
      </c>
      <c r="J1471" s="91">
        <f t="shared" si="1"/>
        <v>-0.2772534722</v>
      </c>
    </row>
    <row r="1472">
      <c r="B1472" s="76" t="str">
        <f>IFERROR(__xludf.DUMMYFUNCTION("""COMPUTED_VALUE"""),"Debuging the error (Jasper end as well as Query end) and discuss with RM about logic ")</f>
        <v>Debuging the error (Jasper end as well as Query end) and discuss with RM about logic </v>
      </c>
      <c r="C1472" s="82">
        <f>IFERROR(__xludf.DUMMYFUNCTION("""COMPUTED_VALUE"""),5434.0)</f>
        <v>5434</v>
      </c>
      <c r="D1472" s="76" t="str">
        <f>IFERROR(__xludf.DUMMYFUNCTION("""COMPUTED_VALUE"""),"GRADE CARD IT ONWARDS 2023")</f>
        <v>GRADE CARD IT ONWARDS 2023</v>
      </c>
      <c r="E1472" s="84">
        <f>IFERROR(__xludf.DUMMYFUNCTION("""COMPUTED_VALUE"""),46232.69983486111)</f>
        <v>46232.69983</v>
      </c>
      <c r="F1472" s="86">
        <f>IFERROR(__xludf.DUMMYFUNCTION("""COMPUTED_VALUE"""),46232.438552870364)</f>
        <v>46232.43855</v>
      </c>
      <c r="G1472" s="86" t="str">
        <f>IFERROR(__xludf.DUMMYFUNCTION("""COMPUTED_VALUE"""),"Done")</f>
        <v>Done</v>
      </c>
      <c r="H1472" s="88">
        <f>IFERROR(__xludf.DUMMYFUNCTION("""COMPUTED_VALUE"""),0.0)</f>
        <v>0</v>
      </c>
      <c r="I1472" s="90" t="str">
        <f>IFERROR(__xludf.DUMMYFUNCTION("""COMPUTED_VALUE"""),"EMP0042 HULESHWAR KUMAR SAHU")</f>
        <v>EMP0042 HULESHWAR KUMAR SAHU</v>
      </c>
      <c r="J1472" s="91">
        <f t="shared" si="1"/>
        <v>-0.2612819907</v>
      </c>
    </row>
    <row r="1473">
      <c r="B1473" s="76" t="str">
        <f>IFERROR(__xludf.DUMMYFUNCTION("""COMPUTED_VALUE"""),"Debuging the error (Jasper end as well as Query end) and discuss with RM about logic ")</f>
        <v>Debuging the error (Jasper end as well as Query end) and discuss with RM about logic </v>
      </c>
      <c r="C1473" s="82">
        <f>IFERROR(__xludf.DUMMYFUNCTION("""COMPUTED_VALUE"""),5435.0)</f>
        <v>5435</v>
      </c>
      <c r="D1473" s="76" t="str">
        <f>IFERROR(__xludf.DUMMYFUNCTION("""COMPUTED_VALUE"""),"TR report")</f>
        <v>TR report</v>
      </c>
      <c r="E1473" s="84">
        <f>IFERROR(__xludf.DUMMYFUNCTION("""COMPUTED_VALUE"""),46232.78355068287)</f>
        <v>46232.78355</v>
      </c>
      <c r="F1473" s="86">
        <f>IFERROR(__xludf.DUMMYFUNCTION("""COMPUTED_VALUE"""),46232.50972695602)</f>
        <v>46232.50973</v>
      </c>
      <c r="G1473" s="86" t="str">
        <f>IFERROR(__xludf.DUMMYFUNCTION("""COMPUTED_VALUE"""),"Done")</f>
        <v>Done</v>
      </c>
      <c r="H1473" s="88">
        <f>IFERROR(__xludf.DUMMYFUNCTION("""COMPUTED_VALUE"""),0.0)</f>
        <v>0</v>
      </c>
      <c r="I1473" s="90" t="str">
        <f>IFERROR(__xludf.DUMMYFUNCTION("""COMPUTED_VALUE"""),"EMP5009 Rup Kumar Mandal")</f>
        <v>EMP5009 Rup Kumar Mandal</v>
      </c>
      <c r="J1473" s="91">
        <f t="shared" si="1"/>
        <v>-0.2738237268</v>
      </c>
    </row>
    <row r="1474">
      <c r="B1474" s="76" t="str">
        <f>IFERROR(__xludf.DUMMYFUNCTION("""COMPUTED_VALUE"""),"Debuging the error (Jasper end as well as Query end) and discuss with RM about logic ")</f>
        <v>Debuging the error (Jasper end as well as Query end) and discuss with RM about logic </v>
      </c>
      <c r="C1474" s="82">
        <f>IFERROR(__xludf.DUMMYFUNCTION("""COMPUTED_VALUE"""),5436.0)</f>
        <v>5436</v>
      </c>
      <c r="D1474" s="76" t="str">
        <f>IFERROR(__xludf.DUMMYFUNCTION("""COMPUTED_VALUE"""),"Marks Sheet")</f>
        <v>Marks Sheet</v>
      </c>
      <c r="E1474" s="84">
        <f>IFERROR(__xludf.DUMMYFUNCTION("""COMPUTED_VALUE"""),46232.7900125463)</f>
        <v>46232.79001</v>
      </c>
      <c r="F1474" s="86">
        <f>IFERROR(__xludf.DUMMYFUNCTION("""COMPUTED_VALUE"""),46232.6982018287)</f>
        <v>46232.6982</v>
      </c>
      <c r="G1474" s="86" t="str">
        <f>IFERROR(__xludf.DUMMYFUNCTION("""COMPUTED_VALUE"""),"Done")</f>
        <v>Done</v>
      </c>
      <c r="H1474" s="88">
        <f>IFERROR(__xludf.DUMMYFUNCTION("""COMPUTED_VALUE"""),0.0)</f>
        <v>0</v>
      </c>
      <c r="I1474" s="90" t="str">
        <f>IFERROR(__xludf.DUMMYFUNCTION("""COMPUTED_VALUE"""),"EMP0042 HULESHWAR KUMAR SAHU")</f>
        <v>EMP0042 HULESHWAR KUMAR SAHU</v>
      </c>
      <c r="J1474" s="91">
        <f t="shared" si="1"/>
        <v>-0.0918107176</v>
      </c>
    </row>
    <row r="1475">
      <c r="B1475" s="76" t="str">
        <f>IFERROR(__xludf.DUMMYFUNCTION("""COMPUTED_VALUE"""),"Debuging the error (Jasper end as well as Query end) and discuss with RM about logic ")</f>
        <v>Debuging the error (Jasper end as well as Query end) and discuss with RM about logic </v>
      </c>
      <c r="C1475" s="82">
        <f>IFERROR(__xludf.DUMMYFUNCTION("""COMPUTED_VALUE"""),5437.0)</f>
        <v>5437</v>
      </c>
      <c r="D1475" s="76" t="str">
        <f>IFERROR(__xludf.DUMMYFUNCTION("""COMPUTED_VALUE"""),"Marks Sheet")</f>
        <v>Marks Sheet</v>
      </c>
      <c r="E1475" s="84">
        <f>IFERROR(__xludf.DUMMYFUNCTION("""COMPUTED_VALUE"""),46232.791141643516)</f>
        <v>46232.79114</v>
      </c>
      <c r="F1475" s="86">
        <f>IFERROR(__xludf.DUMMYFUNCTION("""COMPUTED_VALUE"""),46232.698202465275)</f>
        <v>46232.6982</v>
      </c>
      <c r="G1475" s="86" t="str">
        <f>IFERROR(__xludf.DUMMYFUNCTION("""COMPUTED_VALUE"""),"Done")</f>
        <v>Done</v>
      </c>
      <c r="H1475" s="88">
        <f>IFERROR(__xludf.DUMMYFUNCTION("""COMPUTED_VALUE"""),0.0)</f>
        <v>0</v>
      </c>
      <c r="I1475" s="90" t="str">
        <f>IFERROR(__xludf.DUMMYFUNCTION("""COMPUTED_VALUE"""),"EMP0042 HULESHWAR KUMAR SAHU")</f>
        <v>EMP0042 HULESHWAR KUMAR SAHU</v>
      </c>
      <c r="J1475" s="91">
        <f t="shared" si="1"/>
        <v>-0.09293917824</v>
      </c>
    </row>
    <row r="1476">
      <c r="B1476" s="76" t="str">
        <f>IFERROR(__xludf.DUMMYFUNCTION("""COMPUTED_VALUE"""),"Debuging the error (Jasper end as well as Query end) and discuss with RM about logic ")</f>
        <v>Debuging the error (Jasper end as well as Query end) and discuss with RM about logic </v>
      </c>
      <c r="C1476" s="82">
        <f>IFERROR(__xludf.DUMMYFUNCTION("""COMPUTED_VALUE"""),5438.0)</f>
        <v>5438</v>
      </c>
      <c r="D1476" s="76" t="str">
        <f>IFERROR(__xludf.DUMMYFUNCTION("""COMPUTED_VALUE"""),"MArks Sheet")</f>
        <v>MArks Sheet</v>
      </c>
      <c r="E1476" s="84">
        <f>IFERROR(__xludf.DUMMYFUNCTION("""COMPUTED_VALUE"""),46232.79207861111)</f>
        <v>46232.79208</v>
      </c>
      <c r="F1476" s="86">
        <f>IFERROR(__xludf.DUMMYFUNCTION("""COMPUTED_VALUE"""),46232.69821870371)</f>
        <v>46232.69822</v>
      </c>
      <c r="G1476" s="86" t="str">
        <f>IFERROR(__xludf.DUMMYFUNCTION("""COMPUTED_VALUE"""),"Done")</f>
        <v>Done</v>
      </c>
      <c r="H1476" s="88">
        <f>IFERROR(__xludf.DUMMYFUNCTION("""COMPUTED_VALUE"""),0.0)</f>
        <v>0</v>
      </c>
      <c r="I1476" s="90" t="str">
        <f>IFERROR(__xludf.DUMMYFUNCTION("""COMPUTED_VALUE"""),"EMP0042 HULESHWAR KUMAR SAHU")</f>
        <v>EMP0042 HULESHWAR KUMAR SAHU</v>
      </c>
      <c r="J1476" s="91">
        <f t="shared" si="1"/>
        <v>-0.09385990741</v>
      </c>
    </row>
    <row r="1477">
      <c r="B1477" s="76" t="str">
        <f>IFERROR(__xludf.DUMMYFUNCTION("""COMPUTED_VALUE"""),"Debuging the error (Jasper end as well as Query end) and discuss with RM about logic ")</f>
        <v>Debuging the error (Jasper end as well as Query end) and discuss with RM about logic </v>
      </c>
      <c r="C1477" s="82">
        <f>IFERROR(__xludf.DUMMYFUNCTION("""COMPUTED_VALUE"""),5439.0)</f>
        <v>5439</v>
      </c>
      <c r="D1477" s="76" t="str">
        <f>IFERROR(__xludf.DUMMYFUNCTION("""COMPUTED_VALUE"""),"BCA, BMS, LAW MCA, MBA, BBA TRANSCRIPT REPORT")</f>
        <v>BCA, BMS, LAW MCA, MBA, BBA TRANSCRIPT REPORT</v>
      </c>
      <c r="E1477" s="84">
        <f>IFERROR(__xludf.DUMMYFUNCTION("""COMPUTED_VALUE"""),46232.795209131946)</f>
        <v>46232.79521</v>
      </c>
      <c r="F1477" s="86">
        <f>IFERROR(__xludf.DUMMYFUNCTION("""COMPUTED_VALUE"""),46232.69824054398)</f>
        <v>46232.69824</v>
      </c>
      <c r="G1477" s="86" t="str">
        <f>IFERROR(__xludf.DUMMYFUNCTION("""COMPUTED_VALUE"""),"Done")</f>
        <v>Done</v>
      </c>
      <c r="H1477" s="88">
        <f>IFERROR(__xludf.DUMMYFUNCTION("""COMPUTED_VALUE"""),0.0)</f>
        <v>0</v>
      </c>
      <c r="I1477" s="90" t="str">
        <f>IFERROR(__xludf.DUMMYFUNCTION("""COMPUTED_VALUE"""),"EMP0042 HULESHWAR KUMAR SAHU")</f>
        <v>EMP0042 HULESHWAR KUMAR SAHU</v>
      </c>
      <c r="J1477" s="91">
        <f t="shared" si="1"/>
        <v>-0.09696858797</v>
      </c>
    </row>
    <row r="1478">
      <c r="B1478" s="76" t="str">
        <f>IFERROR(__xludf.DUMMYFUNCTION("""COMPUTED_VALUE"""),"Debuging the error (Jasper end as well as Query end) and discuss with RM about logic ")</f>
        <v>Debuging the error (Jasper end as well as Query end) and discuss with RM about logic </v>
      </c>
      <c r="C1478" s="82">
        <f>IFERROR(__xludf.DUMMYFUNCTION("""COMPUTED_VALUE"""),5440.0)</f>
        <v>5440</v>
      </c>
      <c r="D1478" s="76" t="str">
        <f>IFERROR(__xludf.DUMMYFUNCTION("""COMPUTED_VALUE"""),"TR ")</f>
        <v>TR </v>
      </c>
      <c r="E1478" s="84">
        <f>IFERROR(__xludf.DUMMYFUNCTION("""COMPUTED_VALUE"""),46233.821110914345)</f>
        <v>46233.82111</v>
      </c>
      <c r="F1478" s="86">
        <f>IFERROR(__xludf.DUMMYFUNCTION("""COMPUTED_VALUE"""),46233.56550025463)</f>
        <v>46233.5655</v>
      </c>
      <c r="G1478" s="86" t="str">
        <f>IFERROR(__xludf.DUMMYFUNCTION("""COMPUTED_VALUE"""),"Done")</f>
        <v>Done</v>
      </c>
      <c r="H1478" s="88">
        <f>IFERROR(__xludf.DUMMYFUNCTION("""COMPUTED_VALUE"""),0.0)</f>
        <v>0</v>
      </c>
      <c r="I1478" s="90" t="str">
        <f>IFERROR(__xludf.DUMMYFUNCTION("""COMPUTED_VALUE"""),"EMP0042 HULESHWAR KUMAR SAHU")</f>
        <v>EMP0042 HULESHWAR KUMAR SAHU</v>
      </c>
      <c r="J1478" s="91">
        <f t="shared" si="1"/>
        <v>-0.2556106597</v>
      </c>
    </row>
    <row r="1479">
      <c r="B1479" s="76" t="str">
        <f>IFERROR(__xludf.DUMMYFUNCTION("""COMPUTED_VALUE"""),"Debuging the error (Jasper end as well as Query end) and discuss with RM about logic ")</f>
        <v>Debuging the error (Jasper end as well as Query end) and discuss with RM about logic </v>
      </c>
      <c r="C1479" s="82">
        <f>IFERROR(__xludf.DUMMYFUNCTION("""COMPUTED_VALUE"""),5441.0)</f>
        <v>5441</v>
      </c>
      <c r="D1479" s="76" t="str">
        <f>IFERROR(__xludf.DUMMYFUNCTION("""COMPUTED_VALUE"""),"MARKSHEET PGDCA (SEMESTER)")</f>
        <v>MARKSHEET PGDCA (SEMESTER)</v>
      </c>
      <c r="E1479" s="84">
        <f>IFERROR(__xludf.DUMMYFUNCTION("""COMPUTED_VALUE"""),46234.464583333334)</f>
        <v>46234.46458</v>
      </c>
      <c r="F1479" s="86">
        <f>IFERROR(__xludf.DUMMYFUNCTION("""COMPUTED_VALUE"""),46233.83254408565)</f>
        <v>46233.83254</v>
      </c>
      <c r="G1479" s="86" t="str">
        <f>IFERROR(__xludf.DUMMYFUNCTION("""COMPUTED_VALUE"""),"Done")</f>
        <v>Done</v>
      </c>
      <c r="H1479" s="88">
        <f>IFERROR(__xludf.DUMMYFUNCTION("""COMPUTED_VALUE"""),0.0)</f>
        <v>0</v>
      </c>
      <c r="I1479" s="90" t="str">
        <f>IFERROR(__xludf.DUMMYFUNCTION("""COMPUTED_VALUE"""),"EMP5009 Rup Kumar Mandal")</f>
        <v>EMP5009 Rup Kumar Mandal</v>
      </c>
      <c r="J1479" s="91">
        <f t="shared" si="1"/>
        <v>-0.6320392477</v>
      </c>
    </row>
    <row r="1480">
      <c r="B1480" s="76" t="str">
        <f>IFERROR(__xludf.DUMMYFUNCTION("""COMPUTED_VALUE"""),"Debuging the error (Jasper end as well as Query end) and discuss with RM about logic ")</f>
        <v>Debuging the error (Jasper end as well as Query end) and discuss with RM about logic </v>
      </c>
      <c r="C1480" s="82">
        <f>IFERROR(__xludf.DUMMYFUNCTION("""COMPUTED_VALUE"""),5442.0)</f>
        <v>5442</v>
      </c>
      <c r="D1480" s="76" t="str">
        <f>IFERROR(__xludf.DUMMYFUNCTION("""COMPUTED_VALUE"""),"Grade Card (OTHERS)")</f>
        <v>Grade Card (OTHERS)</v>
      </c>
      <c r="E1480" s="84">
        <f>IFERROR(__xludf.DUMMYFUNCTION("""COMPUTED_VALUE"""),46234.78055650463)</f>
        <v>46234.78056</v>
      </c>
      <c r="F1480" s="86">
        <f>IFERROR(__xludf.DUMMYFUNCTION("""COMPUTED_VALUE"""),46234.65682870371)</f>
        <v>46234.65683</v>
      </c>
      <c r="G1480" s="86" t="str">
        <f>IFERROR(__xludf.DUMMYFUNCTION("""COMPUTED_VALUE"""),"Done")</f>
        <v>Done</v>
      </c>
      <c r="H1480" s="88">
        <f>IFERROR(__xludf.DUMMYFUNCTION("""COMPUTED_VALUE"""),0.0)</f>
        <v>0</v>
      </c>
      <c r="I1480" s="90" t="str">
        <f>IFERROR(__xludf.DUMMYFUNCTION("""COMPUTED_VALUE"""),"EMP0042 HULESHWAR KUMAR SAHU")</f>
        <v>EMP0042 HULESHWAR KUMAR SAHU</v>
      </c>
      <c r="J1480" s="91">
        <f t="shared" si="1"/>
        <v>-0.1237278009</v>
      </c>
    </row>
    <row r="1481">
      <c r="B1481" s="76" t="str">
        <f>IFERROR(__xludf.DUMMYFUNCTION("""COMPUTED_VALUE"""),"Debuging the error (Jasper end as well as Query end) and discuss with RM about logic ")</f>
        <v>Debuging the error (Jasper end as well as Query end) and discuss with RM about logic </v>
      </c>
      <c r="C1481" s="82">
        <f>IFERROR(__xludf.DUMMYFUNCTION("""COMPUTED_VALUE"""),5443.0)</f>
        <v>5443</v>
      </c>
      <c r="D1481" s="76" t="str">
        <f>IFERROR(__xludf.DUMMYFUNCTION("""COMPUTED_VALUE"""),"Provisional Ceritificate")</f>
        <v>Provisional Ceritificate</v>
      </c>
      <c r="E1481" s="84">
        <f>IFERROR(__xludf.DUMMYFUNCTION("""COMPUTED_VALUE"""),46234.781675)</f>
        <v>46234.78168</v>
      </c>
      <c r="F1481" s="86">
        <f>IFERROR(__xludf.DUMMYFUNCTION("""COMPUTED_VALUE"""),46234.657060185185)</f>
        <v>46234.65706</v>
      </c>
      <c r="G1481" s="86" t="str">
        <f>IFERROR(__xludf.DUMMYFUNCTION("""COMPUTED_VALUE"""),"Done")</f>
        <v>Done</v>
      </c>
      <c r="H1481" s="88">
        <f>IFERROR(__xludf.DUMMYFUNCTION("""COMPUTED_VALUE"""),0.0)</f>
        <v>0</v>
      </c>
      <c r="I1481" s="90" t="str">
        <f>IFERROR(__xludf.DUMMYFUNCTION("""COMPUTED_VALUE"""),"EMP0042 HULESHWAR KUMAR SAHU")</f>
        <v>EMP0042 HULESHWAR KUMAR SAHU</v>
      </c>
      <c r="J1481" s="91">
        <f t="shared" si="1"/>
        <v>-0.1246148148</v>
      </c>
    </row>
    <row r="1482">
      <c r="B1482" s="76" t="str">
        <f>IFERROR(__xludf.DUMMYFUNCTION("""COMPUTED_VALUE"""),"Debuging the error (Jasper end as well as Query end) and discuss with RM about logic ")</f>
        <v>Debuging the error (Jasper end as well as Query end) and discuss with RM about logic </v>
      </c>
      <c r="C1482" s="82">
        <f>IFERROR(__xludf.DUMMYFUNCTION("""COMPUTED_VALUE"""),5444.0)</f>
        <v>5444</v>
      </c>
      <c r="D1482" s="76" t="str">
        <f>IFERROR(__xludf.DUMMYFUNCTION("""COMPUTED_VALUE"""),"Document Report")</f>
        <v>Document Report</v>
      </c>
      <c r="E1482" s="84">
        <f>IFERROR(__xludf.DUMMYFUNCTION("""COMPUTED_VALUE"""),46235.49930555555)</f>
        <v>46235.49931</v>
      </c>
      <c r="F1482" s="86">
        <f>IFERROR(__xludf.DUMMYFUNCTION("""COMPUTED_VALUE"""),46234.78229881944)</f>
        <v>46234.7823</v>
      </c>
      <c r="G1482" s="86" t="str">
        <f>IFERROR(__xludf.DUMMYFUNCTION("""COMPUTED_VALUE"""),"Done")</f>
        <v>Done</v>
      </c>
      <c r="H1482" s="88">
        <f>IFERROR(__xludf.DUMMYFUNCTION("""COMPUTED_VALUE"""),0.0)</f>
        <v>0</v>
      </c>
      <c r="I1482" s="90" t="str">
        <f>IFERROR(__xludf.DUMMYFUNCTION("""COMPUTED_VALUE"""),"EMP5009 Rup Kumar Mandal")</f>
        <v>EMP5009 Rup Kumar Mandal</v>
      </c>
      <c r="J1482" s="91">
        <f t="shared" si="1"/>
        <v>-0.7170067361</v>
      </c>
    </row>
    <row r="1483">
      <c r="B1483" s="76" t="str">
        <f>IFERROR(__xludf.DUMMYFUNCTION("""COMPUTED_VALUE"""),"Debuging the error (Jasper end as well as Query end) and discuss with RM about logic ")</f>
        <v>Debuging the error (Jasper end as well as Query end) and discuss with RM about logic </v>
      </c>
      <c r="C1483" s="82">
        <f>IFERROR(__xludf.DUMMYFUNCTION("""COMPUTED_VALUE"""),5445.0)</f>
        <v>5445</v>
      </c>
      <c r="D1483" s="76" t="str">
        <f>IFERROR(__xludf.DUMMYFUNCTION("""COMPUTED_VALUE"""),"TR for Diploma Course DIPLOMA First Year ( 1st ) Diploma in Pharmacy Regular REGULAR EXAMFORM_SE16")</f>
        <v>TR for Diploma Course DIPLOMA First Year ( 1st ) Diploma in Pharmacy Regular REGULAR EXAMFORM_SE16</v>
      </c>
      <c r="E1483" s="84">
        <f>IFERROR(__xludf.DUMMYFUNCTION("""COMPUTED_VALUE"""),46235.53402777778)</f>
        <v>46235.53403</v>
      </c>
      <c r="F1483" s="86">
        <f>IFERROR(__xludf.DUMMYFUNCTION("""COMPUTED_VALUE"""),46234.782316296296)</f>
        <v>46234.78232</v>
      </c>
      <c r="G1483" s="86" t="str">
        <f>IFERROR(__xludf.DUMMYFUNCTION("""COMPUTED_VALUE"""),"Done")</f>
        <v>Done</v>
      </c>
      <c r="H1483" s="88">
        <f>IFERROR(__xludf.DUMMYFUNCTION("""COMPUTED_VALUE"""),0.0)</f>
        <v>0</v>
      </c>
      <c r="I1483" s="90" t="str">
        <f>IFERROR(__xludf.DUMMYFUNCTION("""COMPUTED_VALUE"""),"EMP0042 HULESHWAR KUMAR SAHU")</f>
        <v>EMP0042 HULESHWAR KUMAR SAHU</v>
      </c>
      <c r="J1483" s="91">
        <f t="shared" si="1"/>
        <v>-0.7517114815</v>
      </c>
    </row>
    <row r="1484">
      <c r="B1484" s="76" t="str">
        <f>IFERROR(__xludf.DUMMYFUNCTION("""COMPUTED_VALUE"""),"Debuging the error (Jasper end as well as Query end) and discuss with RM about logic ")</f>
        <v>Debuging the error (Jasper end as well as Query end) and discuss with RM about logic </v>
      </c>
      <c r="C1484" s="82">
        <f>IFERROR(__xludf.DUMMYFUNCTION("""COMPUTED_VALUE"""),5446.0)</f>
        <v>5446</v>
      </c>
      <c r="D1484" s="76" t="str">
        <f>IFERROR(__xludf.DUMMYFUNCTION("""COMPUTED_VALUE"""),"TR Promoted BALLB BBALLB")</f>
        <v>TR Promoted BALLB BBALLB</v>
      </c>
      <c r="E1484" s="84">
        <f>IFERROR(__xludf.DUMMYFUNCTION("""COMPUTED_VALUE"""),46235.82621717592)</f>
        <v>46235.82622</v>
      </c>
      <c r="F1484" s="86">
        <f>IFERROR(__xludf.DUMMYFUNCTION("""COMPUTED_VALUE"""),46235.60126967593)</f>
        <v>46235.60127</v>
      </c>
      <c r="G1484" s="86" t="str">
        <f>IFERROR(__xludf.DUMMYFUNCTION("""COMPUTED_VALUE"""),"Done")</f>
        <v>Done</v>
      </c>
      <c r="H1484" s="88">
        <f>IFERROR(__xludf.DUMMYFUNCTION("""COMPUTED_VALUE"""),0.0)</f>
        <v>0</v>
      </c>
      <c r="I1484" s="90" t="str">
        <f>IFERROR(__xludf.DUMMYFUNCTION("""COMPUTED_VALUE"""),"EMP5009 Rup Kumar Mandal")</f>
        <v>EMP5009 Rup Kumar Mandal</v>
      </c>
      <c r="J1484" s="91">
        <f t="shared" si="1"/>
        <v>-0.2249475</v>
      </c>
    </row>
    <row r="1485">
      <c r="B1485" s="76" t="str">
        <f>IFERROR(__xludf.DUMMYFUNCTION("""COMPUTED_VALUE"""),"Debuging the error (Jasper end as well as Query end) and discuss with RM about logic ")</f>
        <v>Debuging the error (Jasper end as well as Query end) and discuss with RM about logic </v>
      </c>
      <c r="C1485" s="82">
        <f>IFERROR(__xludf.DUMMYFUNCTION("""COMPUTED_VALUE"""),5447.0)</f>
        <v>5447</v>
      </c>
      <c r="D1485" s="76" t="str">
        <f>IFERROR(__xludf.DUMMYFUNCTION("""COMPUTED_VALUE"""),"TR")</f>
        <v>TR</v>
      </c>
      <c r="E1485" s="84">
        <f>IFERROR(__xludf.DUMMYFUNCTION("""COMPUTED_VALUE"""),46238.718256354165)</f>
        <v>46238.71826</v>
      </c>
      <c r="F1485" s="86">
        <f>IFERROR(__xludf.DUMMYFUNCTION("""COMPUTED_VALUE"""),46238.52286773148)</f>
        <v>46238.52287</v>
      </c>
      <c r="G1485" s="86" t="str">
        <f>IFERROR(__xludf.DUMMYFUNCTION("""COMPUTED_VALUE"""),"Done")</f>
        <v>Done</v>
      </c>
      <c r="H1485" s="88">
        <f>IFERROR(__xludf.DUMMYFUNCTION("""COMPUTED_VALUE"""),0.0)</f>
        <v>0</v>
      </c>
      <c r="I1485" s="90" t="str">
        <f>IFERROR(__xludf.DUMMYFUNCTION("""COMPUTED_VALUE"""),"EMP0042 HULESHWAR KUMAR SAHU")</f>
        <v>EMP0042 HULESHWAR KUMAR SAHU</v>
      </c>
      <c r="J1485" s="91">
        <f t="shared" si="1"/>
        <v>-0.1953886227</v>
      </c>
    </row>
    <row r="1486">
      <c r="B1486" s="76" t="str">
        <f>IFERROR(__xludf.DUMMYFUNCTION("""COMPUTED_VALUE"""),"Debuging the error (Jasper end as well as Query end) and discuss with RM about logic ")</f>
        <v>Debuging the error (Jasper end as well as Query end) and discuss with RM about logic </v>
      </c>
      <c r="C1486" s="82">
        <f>IFERROR(__xludf.DUMMYFUNCTION("""COMPUTED_VALUE"""),5448.0)</f>
        <v>5448</v>
      </c>
      <c r="D1486" s="76" t="str">
        <f>IFERROR(__xludf.DUMMYFUNCTION("""COMPUTED_VALUE"""),"TR")</f>
        <v>TR</v>
      </c>
      <c r="E1486" s="84">
        <f>IFERROR(__xludf.DUMMYFUNCTION("""COMPUTED_VALUE"""),46239.699399178244)</f>
        <v>46239.6994</v>
      </c>
      <c r="F1486" s="86">
        <f>IFERROR(__xludf.DUMMYFUNCTION("""COMPUTED_VALUE"""),46239.43783428241)</f>
        <v>46239.43783</v>
      </c>
      <c r="G1486" s="86" t="str">
        <f>IFERROR(__xludf.DUMMYFUNCTION("""COMPUTED_VALUE"""),"Done")</f>
        <v>Done</v>
      </c>
      <c r="H1486" s="88">
        <f>IFERROR(__xludf.DUMMYFUNCTION("""COMPUTED_VALUE"""),0.0)</f>
        <v>0</v>
      </c>
      <c r="I1486" s="90" t="str">
        <f>IFERROR(__xludf.DUMMYFUNCTION("""COMPUTED_VALUE"""),"EMP0042 HULESHWAR KUMAR SAHU")</f>
        <v>EMP0042 HULESHWAR KUMAR SAHU</v>
      </c>
      <c r="J1486" s="91">
        <f t="shared" si="1"/>
        <v>-0.2615648958</v>
      </c>
    </row>
    <row r="1487">
      <c r="B1487" s="76" t="str">
        <f>IFERROR(__xludf.DUMMYFUNCTION("""COMPUTED_VALUE"""),"Debuging the error (Jasper end as well as Query end) and discuss with RM about logic ")</f>
        <v>Debuging the error (Jasper end as well as Query end) and discuss with RM about logic </v>
      </c>
      <c r="C1487" s="82">
        <f>IFERROR(__xludf.DUMMYFUNCTION("""COMPUTED_VALUE"""),5449.0)</f>
        <v>5449</v>
      </c>
      <c r="D1487" s="76" t="str">
        <f>IFERROR(__xludf.DUMMYFUNCTION("""COMPUTED_VALUE"""),"TR")</f>
        <v>TR</v>
      </c>
      <c r="E1487" s="84">
        <f>IFERROR(__xludf.DUMMYFUNCTION("""COMPUTED_VALUE"""),46239.77802114583)</f>
        <v>46239.77802</v>
      </c>
      <c r="F1487" s="86">
        <f>IFERROR(__xludf.DUMMYFUNCTION("""COMPUTED_VALUE"""),46239.76039351852)</f>
        <v>46239.76039</v>
      </c>
      <c r="G1487" s="86" t="str">
        <f>IFERROR(__xludf.DUMMYFUNCTION("""COMPUTED_VALUE"""),"Done")</f>
        <v>Done</v>
      </c>
      <c r="H1487" s="88">
        <f>IFERROR(__xludf.DUMMYFUNCTION("""COMPUTED_VALUE"""),0.0)</f>
        <v>0</v>
      </c>
      <c r="I1487" s="90" t="str">
        <f>IFERROR(__xludf.DUMMYFUNCTION("""COMPUTED_VALUE"""),"EMP0042 HULESHWAR KUMAR SAHU")</f>
        <v>EMP0042 HULESHWAR KUMAR SAHU</v>
      </c>
      <c r="J1487" s="91">
        <f t="shared" si="1"/>
        <v>-0.01762762731</v>
      </c>
    </row>
    <row r="1488">
      <c r="B1488" s="76" t="str">
        <f>IFERROR(__xludf.DUMMYFUNCTION("""COMPUTED_VALUE"""),"Debuging the error (Jasper end as well as Query end) and discuss with RM about logic ")</f>
        <v>Debuging the error (Jasper end as well as Query end) and discuss with RM about logic </v>
      </c>
      <c r="C1488" s="82">
        <f>IFERROR(__xludf.DUMMYFUNCTION("""COMPUTED_VALUE"""),5450.0)</f>
        <v>5450</v>
      </c>
      <c r="D1488" s="76" t="str">
        <f>IFERROR(__xludf.DUMMYFUNCTION("""COMPUTED_VALUE"""),"MARKS HEET ")</f>
        <v>MARKS HEET </v>
      </c>
      <c r="E1488" s="84">
        <f>IFERROR(__xludf.DUMMYFUNCTION("""COMPUTED_VALUE"""),46239.77992090278)</f>
        <v>46239.77992</v>
      </c>
      <c r="F1488" s="86">
        <f>IFERROR(__xludf.DUMMYFUNCTION("""COMPUTED_VALUE"""),46239.76042824074)</f>
        <v>46239.76043</v>
      </c>
      <c r="G1488" s="86" t="str">
        <f>IFERROR(__xludf.DUMMYFUNCTION("""COMPUTED_VALUE"""),"Done")</f>
        <v>Done</v>
      </c>
      <c r="H1488" s="88">
        <f>IFERROR(__xludf.DUMMYFUNCTION("""COMPUTED_VALUE"""),0.0)</f>
        <v>0</v>
      </c>
      <c r="I1488" s="90" t="str">
        <f>IFERROR(__xludf.DUMMYFUNCTION("""COMPUTED_VALUE"""),"EMP0042 HULESHWAR KUMAR SAHU")</f>
        <v>EMP0042 HULESHWAR KUMAR SAHU</v>
      </c>
      <c r="J1488" s="91">
        <f t="shared" si="1"/>
        <v>-0.01949266204</v>
      </c>
    </row>
    <row r="1489">
      <c r="B1489" s="76" t="str">
        <f>IFERROR(__xludf.DUMMYFUNCTION("""COMPUTED_VALUE"""),"Debuging the error (Jasper end as well as Query end) and discuss with RM about logic ")</f>
        <v>Debuging the error (Jasper end as well as Query end) and discuss with RM about logic </v>
      </c>
      <c r="C1489" s="82">
        <f>IFERROR(__xludf.DUMMYFUNCTION("""COMPUTED_VALUE"""),5451.0)</f>
        <v>5451</v>
      </c>
      <c r="D1489" s="76" t="str">
        <f>IFERROR(__xludf.DUMMYFUNCTION("""COMPUTED_VALUE"""),"MARKSHEET")</f>
        <v>MARKSHEET</v>
      </c>
      <c r="E1489" s="84">
        <f>IFERROR(__xludf.DUMMYFUNCTION("""COMPUTED_VALUE"""),46239.78520322916)</f>
        <v>46239.7852</v>
      </c>
      <c r="F1489" s="86">
        <f>IFERROR(__xludf.DUMMYFUNCTION("""COMPUTED_VALUE"""),46239.76045138889)</f>
        <v>46239.76045</v>
      </c>
      <c r="G1489" s="86" t="str">
        <f>IFERROR(__xludf.DUMMYFUNCTION("""COMPUTED_VALUE"""),"Done")</f>
        <v>Done</v>
      </c>
      <c r="H1489" s="88">
        <f>IFERROR(__xludf.DUMMYFUNCTION("""COMPUTED_VALUE"""),0.0)</f>
        <v>0</v>
      </c>
      <c r="I1489" s="90" t="str">
        <f>IFERROR(__xludf.DUMMYFUNCTION("""COMPUTED_VALUE"""),"EMP0042 HULESHWAR KUMAR SAHU")</f>
        <v>EMP0042 HULESHWAR KUMAR SAHU</v>
      </c>
      <c r="J1489" s="91">
        <f t="shared" si="1"/>
        <v>-0.02475184028</v>
      </c>
    </row>
    <row r="1490">
      <c r="B1490" s="76" t="str">
        <f>IFERROR(__xludf.DUMMYFUNCTION("""COMPUTED_VALUE"""),"Debuging the error (Jasper end as well as Query end) and discuss with RM about logic ")</f>
        <v>Debuging the error (Jasper end as well as Query end) and discuss with RM about logic </v>
      </c>
      <c r="C1490" s="82">
        <f>IFERROR(__xludf.DUMMYFUNCTION("""COMPUTED_VALUE"""),5452.0)</f>
        <v>5452</v>
      </c>
      <c r="D1490" s="76" t="str">
        <f>IFERROR(__xludf.DUMMYFUNCTION("""COMPUTED_VALUE"""),"Marks Sheet")</f>
        <v>Marks Sheet</v>
      </c>
      <c r="E1490" s="84">
        <f>IFERROR(__xludf.DUMMYFUNCTION("""COMPUTED_VALUE"""),46240.53402777778)</f>
        <v>46240.53403</v>
      </c>
      <c r="F1490" s="86">
        <f>IFERROR(__xludf.DUMMYFUNCTION("""COMPUTED_VALUE"""),46239.80212130787)</f>
        <v>46239.80212</v>
      </c>
      <c r="G1490" s="86" t="str">
        <f>IFERROR(__xludf.DUMMYFUNCTION("""COMPUTED_VALUE"""),"Done")</f>
        <v>Done</v>
      </c>
      <c r="H1490" s="88">
        <f>IFERROR(__xludf.DUMMYFUNCTION("""COMPUTED_VALUE"""),0.0)</f>
        <v>0</v>
      </c>
      <c r="I1490" s="90" t="str">
        <f>IFERROR(__xludf.DUMMYFUNCTION("""COMPUTED_VALUE"""),"EMP0042 HULESHWAR KUMAR SAHU")</f>
        <v>EMP0042 HULESHWAR KUMAR SAHU</v>
      </c>
      <c r="J1490" s="91">
        <f t="shared" si="1"/>
        <v>-0.7319064699</v>
      </c>
    </row>
    <row r="1491">
      <c r="B1491" s="76" t="str">
        <f>IFERROR(__xludf.DUMMYFUNCTION("""COMPUTED_VALUE"""),"Debuging the error (Jasper end as well as Query end) and discuss with RM about logic ")</f>
        <v>Debuging the error (Jasper end as well as Query end) and discuss with RM about logic </v>
      </c>
      <c r="C1491" s="82">
        <f>IFERROR(__xludf.DUMMYFUNCTION("""COMPUTED_VALUE"""),5453.0)</f>
        <v>5453</v>
      </c>
      <c r="D1491" s="76" t="str">
        <f>IFERROR(__xludf.DUMMYFUNCTION("""COMPUTED_VALUE"""),"TR ")</f>
        <v>TR </v>
      </c>
      <c r="E1491" s="84">
        <f>IFERROR(__xludf.DUMMYFUNCTION("""COMPUTED_VALUE"""),46240.703456967596)</f>
        <v>46240.70346</v>
      </c>
      <c r="F1491" s="86">
        <f>IFERROR(__xludf.DUMMYFUNCTION("""COMPUTED_VALUE"""),46240.46054511573)</f>
        <v>46240.46055</v>
      </c>
      <c r="G1491" s="86" t="str">
        <f>IFERROR(__xludf.DUMMYFUNCTION("""COMPUTED_VALUE"""),"Done")</f>
        <v>Done</v>
      </c>
      <c r="H1491" s="88">
        <f>IFERROR(__xludf.DUMMYFUNCTION("""COMPUTED_VALUE"""),0.0)</f>
        <v>0</v>
      </c>
      <c r="I1491" s="90" t="str">
        <f>IFERROR(__xludf.DUMMYFUNCTION("""COMPUTED_VALUE"""),"EMP0237 Swarnendu Chakraborty")</f>
        <v>EMP0237 Swarnendu Chakraborty</v>
      </c>
      <c r="J1491" s="91">
        <f t="shared" si="1"/>
        <v>-0.2429118519</v>
      </c>
    </row>
    <row r="1492">
      <c r="B1492" s="76" t="str">
        <f>IFERROR(__xludf.DUMMYFUNCTION("""COMPUTED_VALUE"""),"Debuging the error (Jasper end as well as Query end) and discuss with RM about logic ")</f>
        <v>Debuging the error (Jasper end as well as Query end) and discuss with RM about logic </v>
      </c>
      <c r="C1492" s="82">
        <f>IFERROR(__xludf.DUMMYFUNCTION("""COMPUTED_VALUE"""),5454.0)</f>
        <v>5454</v>
      </c>
      <c r="D1492" s="76" t="str">
        <f>IFERROR(__xludf.DUMMYFUNCTION("""COMPUTED_VALUE"""),"TR")</f>
        <v>TR</v>
      </c>
      <c r="E1492" s="84">
        <f>IFERROR(__xludf.DUMMYFUNCTION("""COMPUTED_VALUE"""),46240.704964942124)</f>
        <v>46240.70496</v>
      </c>
      <c r="F1492" s="86">
        <f>IFERROR(__xludf.DUMMYFUNCTION("""COMPUTED_VALUE"""),46240.46065987268)</f>
        <v>46240.46066</v>
      </c>
      <c r="G1492" s="86" t="str">
        <f>IFERROR(__xludf.DUMMYFUNCTION("""COMPUTED_VALUE"""),"Done")</f>
        <v>Done</v>
      </c>
      <c r="H1492" s="88">
        <f>IFERROR(__xludf.DUMMYFUNCTION("""COMPUTED_VALUE"""),0.0)</f>
        <v>0</v>
      </c>
      <c r="I1492" s="90" t="str">
        <f>IFERROR(__xludf.DUMMYFUNCTION("""COMPUTED_VALUE"""),"EMP0237 Swarnendu Chakraborty")</f>
        <v>EMP0237 Swarnendu Chakraborty</v>
      </c>
      <c r="J1492" s="91">
        <f t="shared" si="1"/>
        <v>-0.2443050694</v>
      </c>
    </row>
    <row r="1493">
      <c r="B1493" s="76" t="str">
        <f>IFERROR(__xludf.DUMMYFUNCTION("""COMPUTED_VALUE"""),"Debuging the error (Jasper end as well as Query end) and discuss with RM about logic ")</f>
        <v>Debuging the error (Jasper end as well as Query end) and discuss with RM about logic </v>
      </c>
      <c r="C1493" s="82">
        <f>IFERROR(__xludf.DUMMYFUNCTION("""COMPUTED_VALUE"""),5455.0)</f>
        <v>5455</v>
      </c>
      <c r="D1493" s="76" t="str">
        <f>IFERROR(__xludf.DUMMYFUNCTION("""COMPUTED_VALUE"""),"TR REPORT ")</f>
        <v>TR REPORT </v>
      </c>
      <c r="E1493" s="84">
        <f>IFERROR(__xludf.DUMMYFUNCTION("""COMPUTED_VALUE"""),46240.82334106482)</f>
        <v>46240.82334</v>
      </c>
      <c r="F1493" s="86"/>
      <c r="G1493" s="86"/>
      <c r="H1493" s="88">
        <f>IFERROR(__xludf.DUMMYFUNCTION("""COMPUTED_VALUE"""),0.0)</f>
        <v>0</v>
      </c>
      <c r="I1493" s="90"/>
      <c r="J1493" s="91"/>
    </row>
    <row r="1494">
      <c r="B1494" s="76" t="str">
        <f>IFERROR(__xludf.DUMMYFUNCTION("""COMPUTED_VALUE"""),"Debuging the error (Jasper end as well as Query end) and discuss with RM about logic ")</f>
        <v>Debuging the error (Jasper end as well as Query end) and discuss with RM about logic </v>
      </c>
      <c r="C1494" s="82">
        <f>IFERROR(__xludf.DUMMYFUNCTION("""COMPUTED_VALUE"""),5456.0)</f>
        <v>5456</v>
      </c>
      <c r="D1494" s="76" t="str">
        <f>IFERROR(__xludf.DUMMYFUNCTION("""COMPUTED_VALUE"""),"TR ")</f>
        <v>TR </v>
      </c>
      <c r="E1494" s="84">
        <f>IFERROR(__xludf.DUMMYFUNCTION("""COMPUTED_VALUE"""),46241.43888888889)</f>
        <v>46241.43889</v>
      </c>
      <c r="F1494" s="86"/>
      <c r="G1494" s="86"/>
      <c r="H1494" s="88">
        <f>IFERROR(__xludf.DUMMYFUNCTION("""COMPUTED_VALUE"""),0.0)</f>
        <v>0</v>
      </c>
      <c r="I1494" s="90"/>
      <c r="J1494" s="91"/>
    </row>
    <row r="1495">
      <c r="B1495" s="76" t="str">
        <f>IFERROR(__xludf.DUMMYFUNCTION("""COMPUTED_VALUE"""),"Debuging the error (Jasper end as well as Query end) and discuss with RM about logic ")</f>
        <v>Debuging the error (Jasper end as well as Query end) and discuss with RM about logic </v>
      </c>
      <c r="C1495" s="82">
        <f>IFERROR(__xludf.DUMMYFUNCTION("""COMPUTED_VALUE"""),5457.0)</f>
        <v>5457</v>
      </c>
      <c r="D1495" s="76" t="str">
        <f>IFERROR(__xludf.DUMMYFUNCTION("""COMPUTED_VALUE"""),"PROVIOSNAL CERTIFICATE")</f>
        <v>PROVIOSNAL CERTIFICATE</v>
      </c>
      <c r="E1495" s="84">
        <f>IFERROR(__xludf.DUMMYFUNCTION("""COMPUTED_VALUE"""),46241.49166666667)</f>
        <v>46241.49167</v>
      </c>
      <c r="F1495" s="86"/>
      <c r="G1495" s="86"/>
      <c r="H1495" s="88">
        <f>IFERROR(__xludf.DUMMYFUNCTION("""COMPUTED_VALUE"""),0.0)</f>
        <v>0</v>
      </c>
      <c r="I1495" s="90"/>
      <c r="J1495" s="91"/>
    </row>
    <row r="1496">
      <c r="B1496" s="76" t="str">
        <f>IFERROR(__xludf.DUMMYFUNCTION("""COMPUTED_VALUE"""),"Solution / Check data in database according to new logics                ")</f>
        <v>Solution / Check data in database according to new logics                </v>
      </c>
      <c r="C1496" s="82">
        <f>IFERROR(__xludf.DUMMYFUNCTION("""COMPUTED_VALUE"""),4960.0)</f>
        <v>4960</v>
      </c>
      <c r="D1496" s="76" t="str">
        <f>IFERROR(__xludf.DUMMYFUNCTION("""COMPUTED_VALUE"""),"marks entry report")</f>
        <v>marks entry report</v>
      </c>
      <c r="E1496" s="84">
        <f>IFERROR(__xludf.DUMMYFUNCTION("""COMPUTED_VALUE"""),46086.41875)</f>
        <v>46086.41875</v>
      </c>
      <c r="F1496" s="86">
        <f>IFERROR(__xludf.DUMMYFUNCTION("""COMPUTED_VALUE"""),46083.69432047454)</f>
        <v>46083.69432</v>
      </c>
      <c r="G1496" s="86" t="str">
        <f>IFERROR(__xludf.DUMMYFUNCTION("""COMPUTED_VALUE"""),"Done")</f>
        <v>Done</v>
      </c>
      <c r="H1496" s="88">
        <f>IFERROR(__xludf.DUMMYFUNCTION("""COMPUTED_VALUE"""),0.0)</f>
        <v>0</v>
      </c>
      <c r="I1496" s="90" t="str">
        <f>IFERROR(__xludf.DUMMYFUNCTION("""COMPUTED_VALUE"""),"EMP0042 HULESHWAR KUMAR SAHU")</f>
        <v>EMP0042 HULESHWAR KUMAR SAHU</v>
      </c>
      <c r="J1496" s="91"/>
    </row>
    <row r="1497">
      <c r="B1497" s="76" t="str">
        <f>IFERROR(__xludf.DUMMYFUNCTION("""COMPUTED_VALUE"""),"Solution / Check data in database according to new logics                ")</f>
        <v>Solution / Check data in database according to new logics                </v>
      </c>
      <c r="C1497" s="82">
        <f>IFERROR(__xludf.DUMMYFUNCTION("""COMPUTED_VALUE"""),4961.0)</f>
        <v>4961</v>
      </c>
      <c r="D1497" s="76" t="str">
        <f>IFERROR(__xludf.DUMMYFUNCTION("""COMPUTED_VALUE"""),"overalll pass report")</f>
        <v>overalll pass report</v>
      </c>
      <c r="E1497" s="84">
        <f>IFERROR(__xludf.DUMMYFUNCTION("""COMPUTED_VALUE"""),46086.49513888889)</f>
        <v>46086.49514</v>
      </c>
      <c r="F1497" s="86">
        <f>IFERROR(__xludf.DUMMYFUNCTION("""COMPUTED_VALUE"""),46084.7444296875)</f>
        <v>46084.74443</v>
      </c>
      <c r="G1497" s="86" t="str">
        <f>IFERROR(__xludf.DUMMYFUNCTION("""COMPUTED_VALUE"""),"Done")</f>
        <v>Done</v>
      </c>
      <c r="H1497" s="88">
        <f>IFERROR(__xludf.DUMMYFUNCTION("""COMPUTED_VALUE"""),0.0)</f>
        <v>0</v>
      </c>
      <c r="I1497" s="90" t="str">
        <f>IFERROR(__xludf.DUMMYFUNCTION("""COMPUTED_VALUE"""),"EMP0042 HULESHWAR KUMAR SAHU")</f>
        <v>EMP0042 HULESHWAR KUMAR SAHU</v>
      </c>
      <c r="J1497" s="91"/>
    </row>
    <row r="1498">
      <c r="B1498" s="76" t="str">
        <f>IFERROR(__xludf.DUMMYFUNCTION("""COMPUTED_VALUE"""),"Solution / Check data in database according to new logics                ")</f>
        <v>Solution / Check data in database according to new logics                </v>
      </c>
      <c r="C1498" s="82">
        <f>IFERROR(__xludf.DUMMYFUNCTION("""COMPUTED_VALUE"""),4962.0)</f>
        <v>4962</v>
      </c>
      <c r="D1498" s="76" t="str">
        <f>IFERROR(__xludf.DUMMYFUNCTION("""COMPUTED_VALUE"""),"cbcs tr report")</f>
        <v>cbcs tr report</v>
      </c>
      <c r="E1498" s="84">
        <f>IFERROR(__xludf.DUMMYFUNCTION("""COMPUTED_VALUE"""),46086.49652777778)</f>
        <v>46086.49653</v>
      </c>
      <c r="F1498" s="86">
        <f>IFERROR(__xludf.DUMMYFUNCTION("""COMPUTED_VALUE"""),46084.63802469907)</f>
        <v>46084.63802</v>
      </c>
      <c r="G1498" s="86" t="str">
        <f>IFERROR(__xludf.DUMMYFUNCTION("""COMPUTED_VALUE"""),"Done")</f>
        <v>Done</v>
      </c>
      <c r="H1498" s="88">
        <f>IFERROR(__xludf.DUMMYFUNCTION("""COMPUTED_VALUE"""),0.0)</f>
        <v>0</v>
      </c>
      <c r="I1498" s="90" t="str">
        <f>IFERROR(__xludf.DUMMYFUNCTION("""COMPUTED_VALUE"""),"EMP0237 Swarnendu Chakraborty")</f>
        <v>EMP0237 Swarnendu Chakraborty</v>
      </c>
      <c r="J1498" s="91"/>
    </row>
    <row r="1499">
      <c r="B1499" s="76" t="str">
        <f>IFERROR(__xludf.DUMMYFUNCTION("""COMPUTED_VALUE"""),"Solution / Check data in database according to new logics                ")</f>
        <v>Solution / Check data in database according to new logics                </v>
      </c>
      <c r="C1499" s="82">
        <f>IFERROR(__xludf.DUMMYFUNCTION("""COMPUTED_VALUE"""),4963.0)</f>
        <v>4963</v>
      </c>
      <c r="D1499" s="76" t="str">
        <f>IFERROR(__xludf.DUMMYFUNCTION("""COMPUTED_VALUE"""),"Marksheet")</f>
        <v>Marksheet</v>
      </c>
      <c r="E1499" s="84">
        <f>IFERROR(__xludf.DUMMYFUNCTION("""COMPUTED_VALUE"""),46087.47430555556)</f>
        <v>46087.47431</v>
      </c>
      <c r="F1499" s="86">
        <f>IFERROR(__xludf.DUMMYFUNCTION("""COMPUTED_VALUE"""),46084.638705254634)</f>
        <v>46084.63871</v>
      </c>
      <c r="G1499" s="86" t="str">
        <f>IFERROR(__xludf.DUMMYFUNCTION("""COMPUTED_VALUE"""),"Done")</f>
        <v>Done</v>
      </c>
      <c r="H1499" s="88">
        <f>IFERROR(__xludf.DUMMYFUNCTION("""COMPUTED_VALUE"""),0.0)</f>
        <v>0</v>
      </c>
      <c r="I1499" s="90" t="str">
        <f>IFERROR(__xludf.DUMMYFUNCTION("""COMPUTED_VALUE"""),"EMP0237 Swarnendu Chakraborty")</f>
        <v>EMP0237 Swarnendu Chakraborty</v>
      </c>
      <c r="J1499" s="91"/>
    </row>
    <row r="1500">
      <c r="B1500" s="76" t="str">
        <f>IFERROR(__xludf.DUMMYFUNCTION("""COMPUTED_VALUE"""),"Solution / Check data in database according to new logics                ")</f>
        <v>Solution / Check data in database according to new logics                </v>
      </c>
      <c r="C1500" s="82">
        <f>IFERROR(__xludf.DUMMYFUNCTION("""COMPUTED_VALUE"""),4964.0)</f>
        <v>4964</v>
      </c>
      <c r="D1500" s="76" t="str">
        <f>IFERROR(__xludf.DUMMYFUNCTION("""COMPUTED_VALUE"""),"FINEL RESULT")</f>
        <v>FINEL RESULT</v>
      </c>
      <c r="E1500" s="84">
        <f>IFERROR(__xludf.DUMMYFUNCTION("""COMPUTED_VALUE"""),46087.540972222225)</f>
        <v>46087.54097</v>
      </c>
      <c r="F1500" s="86">
        <f>IFERROR(__xludf.DUMMYFUNCTION("""COMPUTED_VALUE"""),46084.74452335648)</f>
        <v>46084.74452</v>
      </c>
      <c r="G1500" s="86" t="str">
        <f>IFERROR(__xludf.DUMMYFUNCTION("""COMPUTED_VALUE"""),"Done")</f>
        <v>Done</v>
      </c>
      <c r="H1500" s="88">
        <f>IFERROR(__xludf.DUMMYFUNCTION("""COMPUTED_VALUE"""),0.0)</f>
        <v>0</v>
      </c>
      <c r="I1500" s="90" t="str">
        <f>IFERROR(__xludf.DUMMYFUNCTION("""COMPUTED_VALUE"""),"EMP0042 HULESHWAR KUMAR SAHU")</f>
        <v>EMP0042 HULESHWAR KUMAR SAHU</v>
      </c>
      <c r="J1500" s="91"/>
    </row>
    <row r="1501">
      <c r="B1501" s="76" t="str">
        <f>IFERROR(__xludf.DUMMYFUNCTION("""COMPUTED_VALUE"""),"Solution / Check data in database according to new logics                ")</f>
        <v>Solution / Check data in database according to new logics                </v>
      </c>
      <c r="C1501" s="82">
        <f>IFERROR(__xludf.DUMMYFUNCTION("""COMPUTED_VALUE"""),4965.0)</f>
        <v>4965</v>
      </c>
      <c r="D1501" s="76" t="str">
        <f>IFERROR(__xludf.DUMMYFUNCTION("""COMPUTED_VALUE"""),"Pls do the needful as per format for the session 2024-25")</f>
        <v>Pls do the needful as per format for the session 2024-25</v>
      </c>
      <c r="E1501" s="84">
        <f>IFERROR(__xludf.DUMMYFUNCTION("""COMPUTED_VALUE"""),46087.71875)</f>
        <v>46087.71875</v>
      </c>
      <c r="F1501" s="86">
        <f>IFERROR(__xludf.DUMMYFUNCTION("""COMPUTED_VALUE"""),46086.62915126157)</f>
        <v>46086.62915</v>
      </c>
      <c r="G1501" s="86" t="str">
        <f>IFERROR(__xludf.DUMMYFUNCTION("""COMPUTED_VALUE"""),"Done")</f>
        <v>Done</v>
      </c>
      <c r="H1501" s="88">
        <f>IFERROR(__xludf.DUMMYFUNCTION("""COMPUTED_VALUE"""),0.0)</f>
        <v>0</v>
      </c>
      <c r="I1501" s="90" t="str">
        <f>IFERROR(__xludf.DUMMYFUNCTION("""COMPUTED_VALUE"""),"EMP0021 Tamanna Dewangan")</f>
        <v>EMP0021 Tamanna Dewangan</v>
      </c>
      <c r="J1501" s="91"/>
    </row>
    <row r="1502">
      <c r="B1502" s="76" t="str">
        <f>IFERROR(__xludf.DUMMYFUNCTION("""COMPUTED_VALUE"""),"Solution / Check data in database according to new logics                ")</f>
        <v>Solution / Check data in database according to new logics                </v>
      </c>
      <c r="C1502" s="82">
        <f>IFERROR(__xludf.DUMMYFUNCTION("""COMPUTED_VALUE"""),4966.0)</f>
        <v>4966</v>
      </c>
      <c r="D1502" s="76" t="str">
        <f>IFERROR(__xludf.DUMMYFUNCTION("""COMPUTED_VALUE"""),"ENROLLMENT/REGISTRAION REPORT NEP")</f>
        <v>ENROLLMENT/REGISTRAION REPORT NEP</v>
      </c>
      <c r="E1502" s="84">
        <f>IFERROR(__xludf.DUMMYFUNCTION("""COMPUTED_VALUE"""),46088.549305555556)</f>
        <v>46088.54931</v>
      </c>
      <c r="F1502" s="86">
        <f>IFERROR(__xludf.DUMMYFUNCTION("""COMPUTED_VALUE"""),46087.66334209491)</f>
        <v>46087.66334</v>
      </c>
      <c r="G1502" s="86" t="str">
        <f>IFERROR(__xludf.DUMMYFUNCTION("""COMPUTED_VALUE"""),"Done")</f>
        <v>Done</v>
      </c>
      <c r="H1502" s="88">
        <f>IFERROR(__xludf.DUMMYFUNCTION("""COMPUTED_VALUE"""),0.0)</f>
        <v>0</v>
      </c>
      <c r="I1502" s="90" t="str">
        <f>IFERROR(__xludf.DUMMYFUNCTION("""COMPUTED_VALUE"""),"EMP5009 Rup Kumar Mandal")</f>
        <v>EMP5009 Rup Kumar Mandal</v>
      </c>
      <c r="J1502" s="91"/>
    </row>
    <row r="1503">
      <c r="B1503" s="76" t="str">
        <f>IFERROR(__xludf.DUMMYFUNCTION("""COMPUTED_VALUE"""),"Solution / Check data in database according to new logics                ")</f>
        <v>Solution / Check data in database according to new logics                </v>
      </c>
      <c r="C1503" s="82">
        <f>IFERROR(__xludf.DUMMYFUNCTION("""COMPUTED_VALUE"""),4967.0)</f>
        <v>4967</v>
      </c>
      <c r="D1503" s="76" t="str">
        <f>IFERROR(__xludf.DUMMYFUNCTION("""COMPUTED_VALUE"""),"TR REPORT")</f>
        <v>TR REPORT</v>
      </c>
      <c r="E1503" s="84">
        <f>IFERROR(__xludf.DUMMYFUNCTION("""COMPUTED_VALUE"""),46088.55138888889)</f>
        <v>46088.55139</v>
      </c>
      <c r="F1503" s="86">
        <f>IFERROR(__xludf.DUMMYFUNCTION("""COMPUTED_VALUE"""),46087.66336288195)</f>
        <v>46087.66336</v>
      </c>
      <c r="G1503" s="86" t="str">
        <f>IFERROR(__xludf.DUMMYFUNCTION("""COMPUTED_VALUE"""),"Done")</f>
        <v>Done</v>
      </c>
      <c r="H1503" s="88">
        <f>IFERROR(__xludf.DUMMYFUNCTION("""COMPUTED_VALUE"""),0.0)</f>
        <v>0</v>
      </c>
      <c r="I1503" s="90" t="str">
        <f>IFERROR(__xludf.DUMMYFUNCTION("""COMPUTED_VALUE"""),"EMP5009 Rup Kumar Mandal")</f>
        <v>EMP5009 Rup Kumar Mandal</v>
      </c>
      <c r="J1503" s="91"/>
    </row>
    <row r="1504">
      <c r="B1504" s="76" t="str">
        <f>IFERROR(__xludf.DUMMYFUNCTION("""COMPUTED_VALUE"""),"Solution / Check data in database according to new logics                ")</f>
        <v>Solution / Check data in database according to new logics                </v>
      </c>
      <c r="C1504" s="82">
        <f>IFERROR(__xludf.DUMMYFUNCTION("""COMPUTED_VALUE"""),4968.0)</f>
        <v>4968</v>
      </c>
      <c r="D1504" s="76" t="str">
        <f>IFERROR(__xludf.DUMMYFUNCTION("""COMPUTED_VALUE"""),"B.SC  2ND SEM REVAL MAY-2019 MARKSHEET BLANK")</f>
        <v>B.SC  2ND SEM REVAL MAY-2019 MARKSHEET BLANK</v>
      </c>
      <c r="E1504" s="84">
        <f>IFERROR(__xludf.DUMMYFUNCTION("""COMPUTED_VALUE"""),46088.73472222222)</f>
        <v>46088.73472</v>
      </c>
      <c r="F1504" s="86">
        <f>IFERROR(__xludf.DUMMYFUNCTION("""COMPUTED_VALUE"""),46087.49581469907)</f>
        <v>46087.49581</v>
      </c>
      <c r="G1504" s="86" t="str">
        <f>IFERROR(__xludf.DUMMYFUNCTION("""COMPUTED_VALUE"""),"Done")</f>
        <v>Done</v>
      </c>
      <c r="H1504" s="88">
        <f>IFERROR(__xludf.DUMMYFUNCTION("""COMPUTED_VALUE"""),0.0)</f>
        <v>0</v>
      </c>
      <c r="I1504" s="90" t="str">
        <f>IFERROR(__xludf.DUMMYFUNCTION("""COMPUTED_VALUE"""),"EMP0042 HULESHWAR KUMAR SAHU")</f>
        <v>EMP0042 HULESHWAR KUMAR SAHU</v>
      </c>
      <c r="J1504" s="91"/>
    </row>
    <row r="1505">
      <c r="B1505" s="76" t="str">
        <f>IFERROR(__xludf.DUMMYFUNCTION("""COMPUTED_VALUE"""),"Solution / Check data in database according to new logics                ")</f>
        <v>Solution / Check data in database according to new logics                </v>
      </c>
      <c r="C1505" s="82">
        <f>IFERROR(__xludf.DUMMYFUNCTION("""COMPUTED_VALUE"""),4969.0)</f>
        <v>4969</v>
      </c>
      <c r="D1505" s="76" t="str">
        <f>IFERROR(__xludf.DUMMYFUNCTION("""COMPUTED_VALUE"""),"GAU Generate Attendance Sheet BAMS MARCH 2026")</f>
        <v>GAU Generate Attendance Sheet BAMS MARCH 2026</v>
      </c>
      <c r="E1505" s="84">
        <f>IFERROR(__xludf.DUMMYFUNCTION("""COMPUTED_VALUE"""),46090.52083333333)</f>
        <v>46090.52083</v>
      </c>
      <c r="F1505" s="86">
        <f>IFERROR(__xludf.DUMMYFUNCTION("""COMPUTED_VALUE"""),46088.417819016206)</f>
        <v>46088.41782</v>
      </c>
      <c r="G1505" s="86" t="str">
        <f>IFERROR(__xludf.DUMMYFUNCTION("""COMPUTED_VALUE"""),"Done")</f>
        <v>Done</v>
      </c>
      <c r="H1505" s="88">
        <f>IFERROR(__xludf.DUMMYFUNCTION("""COMPUTED_VALUE"""),0.0)</f>
        <v>0</v>
      </c>
      <c r="I1505" s="90" t="str">
        <f>IFERROR(__xludf.DUMMYFUNCTION("""COMPUTED_VALUE"""),"EMP0021 Tamanna Dewangan")</f>
        <v>EMP0021 Tamanna Dewangan</v>
      </c>
      <c r="J1505" s="91"/>
    </row>
    <row r="1506">
      <c r="B1506" s="76" t="str">
        <f>IFERROR(__xludf.DUMMYFUNCTION("""COMPUTED_VALUE"""),"Solution / Check data in database according to new logics                ")</f>
        <v>Solution / Check data in database according to new logics                </v>
      </c>
      <c r="C1506" s="82">
        <f>IFERROR(__xludf.DUMMYFUNCTION("""COMPUTED_VALUE"""),4970.0)</f>
        <v>4970</v>
      </c>
      <c r="D1506" s="76" t="str">
        <f>IFERROR(__xludf.DUMMYFUNCTION("""COMPUTED_VALUE"""),"Marks Entry Report")</f>
        <v>Marks Entry Report</v>
      </c>
      <c r="E1506" s="84">
        <f>IFERROR(__xludf.DUMMYFUNCTION("""COMPUTED_VALUE"""),46090.59375)</f>
        <v>46090.59375</v>
      </c>
      <c r="F1506" s="86">
        <f>IFERROR(__xludf.DUMMYFUNCTION("""COMPUTED_VALUE"""),46088.44898300926)</f>
        <v>46088.44898</v>
      </c>
      <c r="G1506" s="86" t="str">
        <f>IFERROR(__xludf.DUMMYFUNCTION("""COMPUTED_VALUE"""),"Done")</f>
        <v>Done</v>
      </c>
      <c r="H1506" s="88">
        <f>IFERROR(__xludf.DUMMYFUNCTION("""COMPUTED_VALUE"""),0.0)</f>
        <v>0</v>
      </c>
      <c r="I1506" s="90" t="str">
        <f>IFERROR(__xludf.DUMMYFUNCTION("""COMPUTED_VALUE"""),"EMP0042 HULESHWAR KUMAR SAHU")</f>
        <v>EMP0042 HULESHWAR KUMAR SAHU</v>
      </c>
      <c r="J1506" s="91"/>
    </row>
    <row r="1507">
      <c r="B1507" s="76" t="str">
        <f>IFERROR(__xludf.DUMMYFUNCTION("""COMPUTED_VALUE"""),"Solution / Check data in database according to new logics                ")</f>
        <v>Solution / Check data in database according to new logics                </v>
      </c>
      <c r="C1507" s="82">
        <f>IFERROR(__xludf.DUMMYFUNCTION("""COMPUTED_VALUE"""),4971.0)</f>
        <v>4971</v>
      </c>
      <c r="D1507" s="76" t="str">
        <f>IFERROR(__xludf.DUMMYFUNCTION("""COMPUTED_VALUE"""),"exam time table repoort")</f>
        <v>exam time table repoort</v>
      </c>
      <c r="E1507" s="84">
        <f>IFERROR(__xludf.DUMMYFUNCTION("""COMPUTED_VALUE"""),46090.63680555555)</f>
        <v>46090.63681</v>
      </c>
      <c r="F1507" s="86">
        <f>IFERROR(__xludf.DUMMYFUNCTION("""COMPUTED_VALUE"""),46088.449121875)</f>
        <v>46088.44912</v>
      </c>
      <c r="G1507" s="86" t="str">
        <f>IFERROR(__xludf.DUMMYFUNCTION("""COMPUTED_VALUE"""),"Done")</f>
        <v>Done</v>
      </c>
      <c r="H1507" s="88">
        <f>IFERROR(__xludf.DUMMYFUNCTION("""COMPUTED_VALUE"""),0.0)</f>
        <v>0</v>
      </c>
      <c r="I1507" s="90" t="str">
        <f>IFERROR(__xludf.DUMMYFUNCTION("""COMPUTED_VALUE"""),"EMP0042 HULESHWAR KUMAR SAHU")</f>
        <v>EMP0042 HULESHWAR KUMAR SAHU</v>
      </c>
      <c r="J1507" s="91"/>
    </row>
    <row r="1508">
      <c r="B1508" s="76" t="str">
        <f>IFERROR(__xludf.DUMMYFUNCTION("""COMPUTED_VALUE"""),"Solution / Check data in database according to new logics                ")</f>
        <v>Solution / Check data in database according to new logics                </v>
      </c>
      <c r="C1508" s="82">
        <f>IFERROR(__xludf.DUMMYFUNCTION("""COMPUTED_VALUE"""),4972.0)</f>
        <v>4972</v>
      </c>
      <c r="D1508" s="76" t="str">
        <f>IFERROR(__xludf.DUMMYFUNCTION("""COMPUTED_VALUE"""),"GAU Generate Attendance Sheet BAMS MARCH 2026 2nd LOT")</f>
        <v>GAU Generate Attendance Sheet BAMS MARCH 2026 2nd LOT</v>
      </c>
      <c r="E1508" s="84">
        <f>IFERROR(__xludf.DUMMYFUNCTION("""COMPUTED_VALUE"""),46090.694444444445)</f>
        <v>46090.69444</v>
      </c>
      <c r="F1508" s="86">
        <f>IFERROR(__xludf.DUMMYFUNCTION("""COMPUTED_VALUE"""),46088.481645266205)</f>
        <v>46088.48165</v>
      </c>
      <c r="G1508" s="86" t="str">
        <f>IFERROR(__xludf.DUMMYFUNCTION("""COMPUTED_VALUE"""),"Done")</f>
        <v>Done</v>
      </c>
      <c r="H1508" s="88">
        <f>IFERROR(__xludf.DUMMYFUNCTION("""COMPUTED_VALUE"""),0.0)</f>
        <v>0</v>
      </c>
      <c r="I1508" s="90" t="str">
        <f>IFERROR(__xludf.DUMMYFUNCTION("""COMPUTED_VALUE"""),"EMP0021 Tamanna Dewangan")</f>
        <v>EMP0021 Tamanna Dewangan</v>
      </c>
      <c r="J1508" s="91"/>
    </row>
    <row r="1509">
      <c r="B1509" s="76" t="str">
        <f>IFERROR(__xludf.DUMMYFUNCTION("""COMPUTED_VALUE"""),"Solution / Check data in database according to new logics                ")</f>
        <v>Solution / Check data in database according to new logics                </v>
      </c>
      <c r="C1509" s="82">
        <f>IFERROR(__xludf.DUMMYFUNCTION("""COMPUTED_VALUE"""),4973.0)</f>
        <v>4973</v>
      </c>
      <c r="D1509" s="76" t="str">
        <f>IFERROR(__xludf.DUMMYFUNCTION("""COMPUTED_VALUE"""),"Marks Sheet NEP")</f>
        <v>Marks Sheet NEP</v>
      </c>
      <c r="E1509" s="84">
        <f>IFERROR(__xludf.DUMMYFUNCTION("""COMPUTED_VALUE"""),46090.72013888889)</f>
        <v>46090.72014</v>
      </c>
      <c r="F1509" s="86">
        <f>IFERROR(__xludf.DUMMYFUNCTION("""COMPUTED_VALUE"""),46090.62253605324)</f>
        <v>46090.62254</v>
      </c>
      <c r="G1509" s="86" t="str">
        <f>IFERROR(__xludf.DUMMYFUNCTION("""COMPUTED_VALUE"""),"Done")</f>
        <v>Done</v>
      </c>
      <c r="H1509" s="88">
        <f>IFERROR(__xludf.DUMMYFUNCTION("""COMPUTED_VALUE"""),0.0)</f>
        <v>0</v>
      </c>
      <c r="I1509" s="90" t="str">
        <f>IFERROR(__xludf.DUMMYFUNCTION("""COMPUTED_VALUE"""),"EMP0042 HULESHWAR KUMAR SAHU")</f>
        <v>EMP0042 HULESHWAR KUMAR SAHU</v>
      </c>
      <c r="J1509" s="91"/>
    </row>
    <row r="1510">
      <c r="B1510" s="76" t="str">
        <f>IFERROR(__xludf.DUMMYFUNCTION("""COMPUTED_VALUE"""),"Solution / Check data in database according to new logics                ")</f>
        <v>Solution / Check data in database according to new logics                </v>
      </c>
      <c r="C1510" s="82">
        <f>IFERROR(__xludf.DUMMYFUNCTION("""COMPUTED_VALUE"""),4974.0)</f>
        <v>4974</v>
      </c>
      <c r="D1510" s="76" t="str">
        <f>IFERROR(__xludf.DUMMYFUNCTION("""COMPUTED_VALUE"""),"M.S.W 3RD SEM TR NO OF PAGES")</f>
        <v>M.S.W 3RD SEM TR NO OF PAGES</v>
      </c>
      <c r="E1510" s="84">
        <f>IFERROR(__xludf.DUMMYFUNCTION("""COMPUTED_VALUE"""),46091.773611111115)</f>
        <v>46091.77361</v>
      </c>
      <c r="F1510" s="86">
        <f>IFERROR(__xludf.DUMMYFUNCTION("""COMPUTED_VALUE"""),46091.772465277776)</f>
        <v>46091.77247</v>
      </c>
      <c r="G1510" s="86" t="str">
        <f>IFERROR(__xludf.DUMMYFUNCTION("""COMPUTED_VALUE"""),"Done")</f>
        <v>Done</v>
      </c>
      <c r="H1510" s="88">
        <f>IFERROR(__xludf.DUMMYFUNCTION("""COMPUTED_VALUE"""),0.0)</f>
        <v>0</v>
      </c>
      <c r="I1510" s="90" t="str">
        <f>IFERROR(__xludf.DUMMYFUNCTION("""COMPUTED_VALUE"""),"EMP0042 HULESHWAR KUMAR SAHU")</f>
        <v>EMP0042 HULESHWAR KUMAR SAHU</v>
      </c>
      <c r="J1510" s="91"/>
    </row>
    <row r="1511">
      <c r="B1511" s="76" t="str">
        <f>IFERROR(__xludf.DUMMYFUNCTION("""COMPUTED_VALUE"""),"Solution / Check data in database according to new logics                ")</f>
        <v>Solution / Check data in database according to new logics                </v>
      </c>
      <c r="C1511" s="82">
        <f>IFERROR(__xludf.DUMMYFUNCTION("""COMPUTED_VALUE"""),4975.0)</f>
        <v>4975</v>
      </c>
      <c r="D1511" s="76" t="str">
        <f>IFERROR(__xludf.DUMMYFUNCTION("""COMPUTED_VALUE"""),"Gold Medel Certificate Gnsu")</f>
        <v>Gold Medel Certificate Gnsu</v>
      </c>
      <c r="E1511" s="84">
        <f>IFERROR(__xludf.DUMMYFUNCTION("""COMPUTED_VALUE"""),46091.8125)</f>
        <v>46091.8125</v>
      </c>
      <c r="F1511" s="86">
        <f>IFERROR(__xludf.DUMMYFUNCTION("""COMPUTED_VALUE"""),46091.540285393516)</f>
        <v>46091.54029</v>
      </c>
      <c r="G1511" s="86" t="str">
        <f>IFERROR(__xludf.DUMMYFUNCTION("""COMPUTED_VALUE"""),"Done")</f>
        <v>Done</v>
      </c>
      <c r="H1511" s="88">
        <f>IFERROR(__xludf.DUMMYFUNCTION("""COMPUTED_VALUE"""),0.0)</f>
        <v>0</v>
      </c>
      <c r="I1511" s="90" t="str">
        <f>IFERROR(__xludf.DUMMYFUNCTION("""COMPUTED_VALUE"""),"EMP0042 HULESHWAR KUMAR SAHU")</f>
        <v>EMP0042 HULESHWAR KUMAR SAHU</v>
      </c>
      <c r="J1511" s="91"/>
    </row>
    <row r="1512">
      <c r="B1512" s="76" t="str">
        <f>IFERROR(__xludf.DUMMYFUNCTION("""COMPUTED_VALUE"""),"Solution / Check data in database according to new logics                ")</f>
        <v>Solution / Check data in database according to new logics                </v>
      </c>
      <c r="C1512" s="82">
        <f>IFERROR(__xludf.DUMMYFUNCTION("""COMPUTED_VALUE"""),4976.0)</f>
        <v>4976</v>
      </c>
      <c r="D1512" s="76" t="str">
        <f>IFERROR(__xludf.DUMMYFUNCTION("""COMPUTED_VALUE"""),"ADMIT CARD ")</f>
        <v>ADMIT CARD </v>
      </c>
      <c r="E1512" s="84">
        <f>IFERROR(__xludf.DUMMYFUNCTION("""COMPUTED_VALUE"""),46091.81527777778)</f>
        <v>46091.81528</v>
      </c>
      <c r="F1512" s="86">
        <f>IFERROR(__xludf.DUMMYFUNCTION("""COMPUTED_VALUE"""),46090.62471791667)</f>
        <v>46090.62472</v>
      </c>
      <c r="G1512" s="86" t="str">
        <f>IFERROR(__xludf.DUMMYFUNCTION("""COMPUTED_VALUE"""),"Done")</f>
        <v>Done</v>
      </c>
      <c r="H1512" s="88">
        <f>IFERROR(__xludf.DUMMYFUNCTION("""COMPUTED_VALUE"""),0.0)</f>
        <v>0</v>
      </c>
      <c r="I1512" s="90" t="str">
        <f>IFERROR(__xludf.DUMMYFUNCTION("""COMPUTED_VALUE"""),"EMP0021 Tamanna Dewangan")</f>
        <v>EMP0021 Tamanna Dewangan</v>
      </c>
      <c r="J1512" s="91"/>
    </row>
    <row r="1513">
      <c r="B1513" s="76" t="str">
        <f>IFERROR(__xludf.DUMMYFUNCTION("""COMPUTED_VALUE"""),"Solution / Check data in database according to new logics                ")</f>
        <v>Solution / Check data in database according to new logics                </v>
      </c>
      <c r="C1513" s="82">
        <f>IFERROR(__xludf.DUMMYFUNCTION("""COMPUTED_VALUE"""),4977.0)</f>
        <v>4977</v>
      </c>
      <c r="D1513" s="76" t="str">
        <f>IFERROR(__xludf.DUMMYFUNCTION("""COMPUTED_VALUE"""),"Enrolment/Exam form report")</f>
        <v>Enrolment/Exam form report</v>
      </c>
      <c r="E1513" s="84">
        <f>IFERROR(__xludf.DUMMYFUNCTION("""COMPUTED_VALUE"""),46091.81805555556)</f>
        <v>46091.81806</v>
      </c>
      <c r="F1513" s="86">
        <f>IFERROR(__xludf.DUMMYFUNCTION("""COMPUTED_VALUE"""),46091.46881042824)</f>
        <v>46091.46881</v>
      </c>
      <c r="G1513" s="86" t="str">
        <f>IFERROR(__xludf.DUMMYFUNCTION("""COMPUTED_VALUE"""),"Done")</f>
        <v>Done</v>
      </c>
      <c r="H1513" s="88">
        <f>IFERROR(__xludf.DUMMYFUNCTION("""COMPUTED_VALUE"""),0.0)</f>
        <v>0</v>
      </c>
      <c r="I1513" s="90" t="str">
        <f>IFERROR(__xludf.DUMMYFUNCTION("""COMPUTED_VALUE"""),"EMP0237 Swarnendu Chakraborty")</f>
        <v>EMP0237 Swarnendu Chakraborty</v>
      </c>
      <c r="J1513" s="91"/>
    </row>
    <row r="1514">
      <c r="B1514" s="76" t="str">
        <f>IFERROR(__xludf.DUMMYFUNCTION("""COMPUTED_VALUE"""),"Solution / Check data in database according to new logics                ")</f>
        <v>Solution / Check data in database according to new logics                </v>
      </c>
      <c r="C1514" s="82">
        <f>IFERROR(__xludf.DUMMYFUNCTION("""COMPUTED_VALUE"""),4978.0)</f>
        <v>4978</v>
      </c>
      <c r="D1514" s="76" t="str">
        <f>IFERROR(__xludf.DUMMYFUNCTION("""COMPUTED_VALUE"""),"MULTIPLE REPORT")</f>
        <v>MULTIPLE REPORT</v>
      </c>
      <c r="E1514" s="84">
        <f>IFERROR(__xludf.DUMMYFUNCTION("""COMPUTED_VALUE"""),46092.45763888889)</f>
        <v>46092.45764</v>
      </c>
      <c r="F1514" s="86">
        <f>IFERROR(__xludf.DUMMYFUNCTION("""COMPUTED_VALUE"""),46091.54042371528)</f>
        <v>46091.54042</v>
      </c>
      <c r="G1514" s="86" t="str">
        <f>IFERROR(__xludf.DUMMYFUNCTION("""COMPUTED_VALUE"""),"Done")</f>
        <v>Done</v>
      </c>
      <c r="H1514" s="88">
        <f>IFERROR(__xludf.DUMMYFUNCTION("""COMPUTED_VALUE"""),0.0)</f>
        <v>0</v>
      </c>
      <c r="I1514" s="90" t="str">
        <f>IFERROR(__xludf.DUMMYFUNCTION("""COMPUTED_VALUE"""),"EMP0042 HULESHWAR KUMAR SAHU")</f>
        <v>EMP0042 HULESHWAR KUMAR SAHU</v>
      </c>
      <c r="J1514" s="91"/>
    </row>
    <row r="1515">
      <c r="B1515" s="76" t="str">
        <f>IFERROR(__xludf.DUMMYFUNCTION("""COMPUTED_VALUE"""),"Solution / Check data in database according to new logics                ")</f>
        <v>Solution / Check data in database according to new logics                </v>
      </c>
      <c r="C1515" s="82">
        <f>IFERROR(__xludf.DUMMYFUNCTION("""COMPUTED_VALUE"""),4979.0)</f>
        <v>4979</v>
      </c>
      <c r="D1515" s="76" t="str">
        <f>IFERROR(__xludf.DUMMYFUNCTION("""COMPUTED_VALUE"""),"Degree certificate correction")</f>
        <v>Degree certificate correction</v>
      </c>
      <c r="E1515" s="84">
        <f>IFERROR(__xludf.DUMMYFUNCTION("""COMPUTED_VALUE"""),46092.476388888885)</f>
        <v>46092.47639</v>
      </c>
      <c r="F1515" s="86">
        <f>IFERROR(__xludf.DUMMYFUNCTION("""COMPUTED_VALUE"""),46091.468647152775)</f>
        <v>46091.46865</v>
      </c>
      <c r="G1515" s="86" t="str">
        <f>IFERROR(__xludf.DUMMYFUNCTION("""COMPUTED_VALUE"""),"Done")</f>
        <v>Done</v>
      </c>
      <c r="H1515" s="88">
        <f>IFERROR(__xludf.DUMMYFUNCTION("""COMPUTED_VALUE"""),0.0)</f>
        <v>0</v>
      </c>
      <c r="I1515" s="90" t="str">
        <f>IFERROR(__xludf.DUMMYFUNCTION("""COMPUTED_VALUE"""),"EMP0042 HULESHWAR KUMAR SAHU")</f>
        <v>EMP0042 HULESHWAR KUMAR SAHU</v>
      </c>
      <c r="J1515" s="91"/>
    </row>
    <row r="1516">
      <c r="B1516" s="76" t="str">
        <f>IFERROR(__xludf.DUMMYFUNCTION("""COMPUTED_VALUE"""),"Solution / Check data in database according to new logics                ")</f>
        <v>Solution / Check data in database according to new logics                </v>
      </c>
      <c r="C1516" s="82">
        <f>IFERROR(__xludf.DUMMYFUNCTION("""COMPUTED_VALUE"""),4980.0)</f>
        <v>4980</v>
      </c>
      <c r="D1516" s="76" t="str">
        <f>IFERROR(__xludf.DUMMYFUNCTION("""COMPUTED_VALUE"""),"provisional certificate")</f>
        <v>provisional certificate</v>
      </c>
      <c r="E1516" s="84">
        <f>IFERROR(__xludf.DUMMYFUNCTION("""COMPUTED_VALUE"""),46093.45833333333)</f>
        <v>46093.45833</v>
      </c>
      <c r="F1516" s="86">
        <f>IFERROR(__xludf.DUMMYFUNCTION("""COMPUTED_VALUE"""),46092.41628459491)</f>
        <v>46092.41628</v>
      </c>
      <c r="G1516" s="86" t="str">
        <f>IFERROR(__xludf.DUMMYFUNCTION("""COMPUTED_VALUE"""),"Done")</f>
        <v>Done</v>
      </c>
      <c r="H1516" s="88">
        <f>IFERROR(__xludf.DUMMYFUNCTION("""COMPUTED_VALUE"""),0.0)</f>
        <v>0</v>
      </c>
      <c r="I1516" s="90" t="str">
        <f>IFERROR(__xludf.DUMMYFUNCTION("""COMPUTED_VALUE"""),"EMP0021 Tamanna Dewangan")</f>
        <v>EMP0021 Tamanna Dewangan</v>
      </c>
      <c r="J1516" s="91"/>
    </row>
    <row r="1517">
      <c r="B1517" s="76" t="str">
        <f>IFERROR(__xludf.DUMMYFUNCTION("""COMPUTED_VALUE"""),"Solution / Check data in database according to new logics                ")</f>
        <v>Solution / Check data in database according to new logics                </v>
      </c>
      <c r="C1517" s="82">
        <f>IFERROR(__xludf.DUMMYFUNCTION("""COMPUTED_VALUE"""),4981.0)</f>
        <v>4981</v>
      </c>
      <c r="D1517" s="76" t="str">
        <f>IFERROR(__xludf.DUMMYFUNCTION("""COMPUTED_VALUE"""),"COLLEGE WISE TIME TABLE")</f>
        <v>COLLEGE WISE TIME TABLE</v>
      </c>
      <c r="E1517" s="84">
        <f>IFERROR(__xludf.DUMMYFUNCTION("""COMPUTED_VALUE"""),46093.4625)</f>
        <v>46093.4625</v>
      </c>
      <c r="F1517" s="86">
        <f>IFERROR(__xludf.DUMMYFUNCTION("""COMPUTED_VALUE"""),46091.776313993054)</f>
        <v>46091.77631</v>
      </c>
      <c r="G1517" s="86" t="str">
        <f>IFERROR(__xludf.DUMMYFUNCTION("""COMPUTED_VALUE"""),"Done")</f>
        <v>Done</v>
      </c>
      <c r="H1517" s="88">
        <f>IFERROR(__xludf.DUMMYFUNCTION("""COMPUTED_VALUE"""),0.0)</f>
        <v>0</v>
      </c>
      <c r="I1517" s="90" t="str">
        <f>IFERROR(__xludf.DUMMYFUNCTION("""COMPUTED_VALUE"""),"EMP0042 HULESHWAR KUMAR SAHU")</f>
        <v>EMP0042 HULESHWAR KUMAR SAHU</v>
      </c>
      <c r="J1517" s="91"/>
    </row>
    <row r="1518">
      <c r="B1518" s="76" t="str">
        <f>IFERROR(__xludf.DUMMYFUNCTION("""COMPUTED_VALUE"""),"Solution / Check data in database according to new logics                ")</f>
        <v>Solution / Check data in database according to new logics                </v>
      </c>
      <c r="C1518" s="82">
        <f>IFERROR(__xludf.DUMMYFUNCTION("""COMPUTED_VALUE"""),4982.0)</f>
        <v>4982</v>
      </c>
      <c r="D1518" s="76" t="str">
        <f>IFERROR(__xludf.DUMMYFUNCTION("""COMPUTED_VALUE"""),"TR")</f>
        <v>TR</v>
      </c>
      <c r="E1518" s="84">
        <f>IFERROR(__xludf.DUMMYFUNCTION("""COMPUTED_VALUE"""),46093.59930555556)</f>
        <v>46093.59931</v>
      </c>
      <c r="F1518" s="86">
        <f>IFERROR(__xludf.DUMMYFUNCTION("""COMPUTED_VALUE"""),46092.59758395833)</f>
        <v>46092.59758</v>
      </c>
      <c r="G1518" s="86" t="str">
        <f>IFERROR(__xludf.DUMMYFUNCTION("""COMPUTED_VALUE"""),"Done")</f>
        <v>Done</v>
      </c>
      <c r="H1518" s="88">
        <f>IFERROR(__xludf.DUMMYFUNCTION("""COMPUTED_VALUE"""),0.0)</f>
        <v>0</v>
      </c>
      <c r="I1518" s="90" t="str">
        <f>IFERROR(__xludf.DUMMYFUNCTION("""COMPUTED_VALUE"""),"EMP0042 HULESHWAR KUMAR SAHU")</f>
        <v>EMP0042 HULESHWAR KUMAR SAHU</v>
      </c>
      <c r="J1518" s="91"/>
    </row>
    <row r="1519">
      <c r="B1519" s="76" t="str">
        <f>IFERROR(__xludf.DUMMYFUNCTION("""COMPUTED_VALUE"""),"Solution / Check data in database according to new logics                ")</f>
        <v>Solution / Check data in database according to new logics                </v>
      </c>
      <c r="C1519" s="82">
        <f>IFERROR(__xludf.DUMMYFUNCTION("""COMPUTED_VALUE"""),4983.0)</f>
        <v>4983</v>
      </c>
      <c r="D1519" s="76" t="str">
        <f>IFERROR(__xludf.DUMMYFUNCTION("""COMPUTED_VALUE"""),"3152")</f>
        <v>3152</v>
      </c>
      <c r="E1519" s="84">
        <f>IFERROR(__xludf.DUMMYFUNCTION("""COMPUTED_VALUE"""),46093.67361111111)</f>
        <v>46093.67361</v>
      </c>
      <c r="F1519" s="86">
        <f>IFERROR(__xludf.DUMMYFUNCTION("""COMPUTED_VALUE"""),46092.43227201389)</f>
        <v>46092.43227</v>
      </c>
      <c r="G1519" s="86" t="str">
        <f>IFERROR(__xludf.DUMMYFUNCTION("""COMPUTED_VALUE"""),"Done")</f>
        <v>Done</v>
      </c>
      <c r="H1519" s="88">
        <f>IFERROR(__xludf.DUMMYFUNCTION("""COMPUTED_VALUE"""),0.0)</f>
        <v>0</v>
      </c>
      <c r="I1519" s="90" t="str">
        <f>IFERROR(__xludf.DUMMYFUNCTION("""COMPUTED_VALUE"""),"EMP5009 Rup Kumar Mandal")</f>
        <v>EMP5009 Rup Kumar Mandal</v>
      </c>
      <c r="J1519" s="91"/>
    </row>
    <row r="1520">
      <c r="B1520" s="76" t="str">
        <f>IFERROR(__xludf.DUMMYFUNCTION("""COMPUTED_VALUE"""),"Solution / Check data in database according to new logics                ")</f>
        <v>Solution / Check data in database according to new logics                </v>
      </c>
      <c r="C1520" s="82">
        <f>IFERROR(__xludf.DUMMYFUNCTION("""COMPUTED_VALUE"""),4984.0)</f>
        <v>4984</v>
      </c>
      <c r="D1520" s="76" t="str">
        <f>IFERROR(__xludf.DUMMYFUNCTION("""COMPUTED_VALUE"""),"Upshastri TR not Download ")</f>
        <v>Upshastri TR not Download </v>
      </c>
      <c r="E1520" s="84">
        <f>IFERROR(__xludf.DUMMYFUNCTION("""COMPUTED_VALUE"""),46094.47361111111)</f>
        <v>46094.47361</v>
      </c>
      <c r="F1520" s="86">
        <f>IFERROR(__xludf.DUMMYFUNCTION("""COMPUTED_VALUE"""),46092.768404525465)</f>
        <v>46092.7684</v>
      </c>
      <c r="G1520" s="86" t="str">
        <f>IFERROR(__xludf.DUMMYFUNCTION("""COMPUTED_VALUE"""),"Done")</f>
        <v>Done</v>
      </c>
      <c r="H1520" s="88">
        <f>IFERROR(__xludf.DUMMYFUNCTION("""COMPUTED_VALUE"""),0.0)</f>
        <v>0</v>
      </c>
      <c r="I1520" s="90" t="str">
        <f>IFERROR(__xludf.DUMMYFUNCTION("""COMPUTED_VALUE"""),"EMP0042 HULESHWAR KUMAR SAHU")</f>
        <v>EMP0042 HULESHWAR KUMAR SAHU</v>
      </c>
      <c r="J1520" s="91"/>
    </row>
    <row r="1521">
      <c r="B1521" s="76" t="str">
        <f>IFERROR(__xludf.DUMMYFUNCTION("""COMPUTED_VALUE"""),"Solution / Check data in database according to new logics                ")</f>
        <v>Solution / Check data in database according to new logics                </v>
      </c>
      <c r="C1521" s="82">
        <f>IFERROR(__xludf.DUMMYFUNCTION("""COMPUTED_VALUE"""),4985.0)</f>
        <v>4985</v>
      </c>
      <c r="D1521" s="76" t="str">
        <f>IFERROR(__xludf.DUMMYFUNCTION("""COMPUTED_VALUE"""),"CBCS TR chnage the filter all and add collge wise")</f>
        <v>CBCS TR chnage the filter all and add collge wise</v>
      </c>
      <c r="E1521" s="84">
        <f>IFERROR(__xludf.DUMMYFUNCTION("""COMPUTED_VALUE"""),46094.72708333333)</f>
        <v>46094.72708</v>
      </c>
      <c r="F1521" s="86">
        <f>IFERROR(__xludf.DUMMYFUNCTION("""COMPUTED_VALUE"""),46094.433501423606)</f>
        <v>46094.4335</v>
      </c>
      <c r="G1521" s="86" t="str">
        <f>IFERROR(__xludf.DUMMYFUNCTION("""COMPUTED_VALUE"""),"Done")</f>
        <v>Done</v>
      </c>
      <c r="H1521" s="88">
        <f>IFERROR(__xludf.DUMMYFUNCTION("""COMPUTED_VALUE"""),0.0)</f>
        <v>0</v>
      </c>
      <c r="I1521" s="90" t="str">
        <f>IFERROR(__xludf.DUMMYFUNCTION("""COMPUTED_VALUE"""),"EMP0021 Tamanna Dewangan")</f>
        <v>EMP0021 Tamanna Dewangan</v>
      </c>
      <c r="J1521" s="91"/>
    </row>
    <row r="1522">
      <c r="B1522" s="76" t="str">
        <f>IFERROR(__xludf.DUMMYFUNCTION("""COMPUTED_VALUE"""),"Solution / Check data in database according to new logics                ")</f>
        <v>Solution / Check data in database according to new logics                </v>
      </c>
      <c r="C1522" s="82">
        <f>IFERROR(__xludf.DUMMYFUNCTION("""COMPUTED_VALUE"""),4986.0)</f>
        <v>4986</v>
      </c>
      <c r="D1522" s="76" t="str">
        <f>IFERROR(__xludf.DUMMYFUNCTION("""COMPUTED_VALUE"""),"Marksheet chnage the filter all and add collge wise")</f>
        <v>Marksheet chnage the filter all and add collge wise</v>
      </c>
      <c r="E1522" s="84">
        <f>IFERROR(__xludf.DUMMYFUNCTION("""COMPUTED_VALUE"""),46094.72777777778)</f>
        <v>46094.72778</v>
      </c>
      <c r="F1522" s="86">
        <f>IFERROR(__xludf.DUMMYFUNCTION("""COMPUTED_VALUE"""),46094.43352126158)</f>
        <v>46094.43352</v>
      </c>
      <c r="G1522" s="86" t="str">
        <f>IFERROR(__xludf.DUMMYFUNCTION("""COMPUTED_VALUE"""),"Done")</f>
        <v>Done</v>
      </c>
      <c r="H1522" s="88">
        <f>IFERROR(__xludf.DUMMYFUNCTION("""COMPUTED_VALUE"""),0.0)</f>
        <v>0</v>
      </c>
      <c r="I1522" s="90" t="str">
        <f>IFERROR(__xludf.DUMMYFUNCTION("""COMPUTED_VALUE"""),"EMP5009 Rup Kumar Mandal")</f>
        <v>EMP5009 Rup Kumar Mandal</v>
      </c>
      <c r="J1522" s="91"/>
    </row>
    <row r="1523">
      <c r="B1523" s="76" t="str">
        <f>IFERROR(__xludf.DUMMYFUNCTION("""COMPUTED_VALUE"""),"Solution / Check data in database according to new logics                ")</f>
        <v>Solution / Check data in database according to new logics                </v>
      </c>
      <c r="C1523" s="82">
        <f>IFERROR(__xludf.DUMMYFUNCTION("""COMPUTED_VALUE"""),4987.0)</f>
        <v>4987</v>
      </c>
      <c r="D1523" s="76" t="str">
        <f>IFERROR(__xludf.DUMMYFUNCTION("""COMPUTED_VALUE"""),"Marksheet OLD chnage the filter all and add collge wise")</f>
        <v>Marksheet OLD chnage the filter all and add collge wise</v>
      </c>
      <c r="E1523" s="84">
        <f>IFERROR(__xludf.DUMMYFUNCTION("""COMPUTED_VALUE"""),46094.728472222225)</f>
        <v>46094.72847</v>
      </c>
      <c r="F1523" s="86">
        <f>IFERROR(__xludf.DUMMYFUNCTION("""COMPUTED_VALUE"""),46094.43352704861)</f>
        <v>46094.43353</v>
      </c>
      <c r="G1523" s="86" t="str">
        <f>IFERROR(__xludf.DUMMYFUNCTION("""COMPUTED_VALUE"""),"Done")</f>
        <v>Done</v>
      </c>
      <c r="H1523" s="88">
        <f>IFERROR(__xludf.DUMMYFUNCTION("""COMPUTED_VALUE"""),0.0)</f>
        <v>0</v>
      </c>
      <c r="I1523" s="90" t="str">
        <f>IFERROR(__xludf.DUMMYFUNCTION("""COMPUTED_VALUE"""),"EMP5009 Rup Kumar Mandal")</f>
        <v>EMP5009 Rup Kumar Mandal</v>
      </c>
      <c r="J1523" s="91"/>
    </row>
    <row r="1524">
      <c r="B1524" s="76" t="str">
        <f>IFERROR(__xludf.DUMMYFUNCTION("""COMPUTED_VALUE"""),"Solution / Check data in database according to new logics                ")</f>
        <v>Solution / Check data in database according to new logics                </v>
      </c>
      <c r="C1524" s="82">
        <f>IFERROR(__xludf.DUMMYFUNCTION("""COMPUTED_VALUE"""),4988.0)</f>
        <v>4988</v>
      </c>
      <c r="D1524" s="76" t="str">
        <f>IFERROR(__xludf.DUMMYFUNCTION("""COMPUTED_VALUE"""),"Marksheet New chnage the filter all and add collge wise")</f>
        <v>Marksheet New chnage the filter all and add collge wise</v>
      </c>
      <c r="E1524" s="84">
        <f>IFERROR(__xludf.DUMMYFUNCTION("""COMPUTED_VALUE"""),46094.72916666667)</f>
        <v>46094.72917</v>
      </c>
      <c r="F1524" s="86">
        <f>IFERROR(__xludf.DUMMYFUNCTION("""COMPUTED_VALUE"""),46094.433552951385)</f>
        <v>46094.43355</v>
      </c>
      <c r="G1524" s="86" t="str">
        <f>IFERROR(__xludf.DUMMYFUNCTION("""COMPUTED_VALUE"""),"Done")</f>
        <v>Done</v>
      </c>
      <c r="H1524" s="88">
        <f>IFERROR(__xludf.DUMMYFUNCTION("""COMPUTED_VALUE"""),0.0)</f>
        <v>0</v>
      </c>
      <c r="I1524" s="90" t="str">
        <f>IFERROR(__xludf.DUMMYFUNCTION("""COMPUTED_VALUE"""),"EMP5009 Rup Kumar Mandal")</f>
        <v>EMP5009 Rup Kumar Mandal</v>
      </c>
      <c r="J1524" s="91"/>
    </row>
    <row r="1525">
      <c r="B1525" s="76" t="str">
        <f>IFERROR(__xludf.DUMMYFUNCTION("""COMPUTED_VALUE"""),"Solution / Check data in database according to new logics                ")</f>
        <v>Solution / Check data in database according to new logics                </v>
      </c>
      <c r="C1525" s="82">
        <f>IFERROR(__xludf.DUMMYFUNCTION("""COMPUTED_VALUE"""),4989.0)</f>
        <v>4989</v>
      </c>
      <c r="D1525" s="76" t="str">
        <f>IFERROR(__xludf.DUMMYFUNCTION("""COMPUTED_VALUE"""),"Student enrooment report")</f>
        <v>Student enrooment report</v>
      </c>
      <c r="E1525" s="84">
        <f>IFERROR(__xludf.DUMMYFUNCTION("""COMPUTED_VALUE"""),46094.79791666666)</f>
        <v>46094.79792</v>
      </c>
      <c r="F1525" s="86">
        <f>IFERROR(__xludf.DUMMYFUNCTION("""COMPUTED_VALUE"""),46094.43355751158)</f>
        <v>46094.43356</v>
      </c>
      <c r="G1525" s="86" t="str">
        <f>IFERROR(__xludf.DUMMYFUNCTION("""COMPUTED_VALUE"""),"Done")</f>
        <v>Done</v>
      </c>
      <c r="H1525" s="88">
        <f>IFERROR(__xludf.DUMMYFUNCTION("""COMPUTED_VALUE"""),0.0)</f>
        <v>0</v>
      </c>
      <c r="I1525" s="90" t="str">
        <f>IFERROR(__xludf.DUMMYFUNCTION("""COMPUTED_VALUE"""),"EMP5009 Rup Kumar Mandal")</f>
        <v>EMP5009 Rup Kumar Mandal</v>
      </c>
      <c r="J1525" s="91"/>
    </row>
    <row r="1526">
      <c r="B1526" s="76" t="str">
        <f>IFERROR(__xludf.DUMMYFUNCTION("""COMPUTED_VALUE"""),"Solution / Check data in database according to new logics                ")</f>
        <v>Solution / Check data in database according to new logics                </v>
      </c>
      <c r="C1526" s="82">
        <f>IFERROR(__xludf.DUMMYFUNCTION("""COMPUTED_VALUE"""),4990.0)</f>
        <v>4990</v>
      </c>
      <c r="D1526" s="76" t="str">
        <f>IFERROR(__xludf.DUMMYFUNCTION("""COMPUTED_VALUE"""),"Award Sheet Locked/Blank BMDCEM-201 - Baba Mohan Das College of Education, Motla Kalan, Rewari. PG MASTER OF EDUCATION ( M.ED) First Semester ( Sem - 1) Sessional Blank ENROLLMENTFORM_SE21")</f>
        <v>Award Sheet Locked/Blank BMDCEM-201 - Baba Mohan Das College of Education, Motla Kalan, Rewari. PG MASTER OF EDUCATION ( M.ED) First Semester ( Sem - 1) Sessional Blank ENROLLMENTFORM_SE21</v>
      </c>
      <c r="E1526" s="84">
        <f>IFERROR(__xludf.DUMMYFUNCTION("""COMPUTED_VALUE"""),46094.83194444445)</f>
        <v>46094.83194</v>
      </c>
      <c r="F1526" s="86">
        <f>IFERROR(__xludf.DUMMYFUNCTION("""COMPUTED_VALUE"""),46093.68943236111)</f>
        <v>46093.68943</v>
      </c>
      <c r="G1526" s="86" t="str">
        <f>IFERROR(__xludf.DUMMYFUNCTION("""COMPUTED_VALUE"""),"Done")</f>
        <v>Done</v>
      </c>
      <c r="H1526" s="88">
        <f>IFERROR(__xludf.DUMMYFUNCTION("""COMPUTED_VALUE"""),0.0)</f>
        <v>0</v>
      </c>
      <c r="I1526" s="90" t="str">
        <f>IFERROR(__xludf.DUMMYFUNCTION("""COMPUTED_VALUE"""),"EMP0021 Tamanna Dewangan")</f>
        <v>EMP0021 Tamanna Dewangan</v>
      </c>
      <c r="J1526" s="91"/>
    </row>
    <row r="1527">
      <c r="B1527" s="76" t="str">
        <f>IFERROR(__xludf.DUMMYFUNCTION("""COMPUTED_VALUE"""),"Solution / Check data in database according to new logics                ")</f>
        <v>Solution / Check data in database according to new logics                </v>
      </c>
      <c r="C1527" s="82">
        <f>IFERROR(__xludf.DUMMYFUNCTION("""COMPUTED_VALUE"""),4991.0)</f>
        <v>4991</v>
      </c>
      <c r="D1527" s="76" t="str">
        <f>IFERROR(__xludf.DUMMYFUNCTION("""COMPUTED_VALUE"""),"CERTIFICATE")</f>
        <v>CERTIFICATE</v>
      </c>
      <c r="E1527" s="84">
        <f>IFERROR(__xludf.DUMMYFUNCTION("""COMPUTED_VALUE"""),46095.450694444444)</f>
        <v>46095.45069</v>
      </c>
      <c r="F1527" s="86">
        <f>IFERROR(__xludf.DUMMYFUNCTION("""COMPUTED_VALUE"""),46093.76215170139)</f>
        <v>46093.76215</v>
      </c>
      <c r="G1527" s="86" t="str">
        <f>IFERROR(__xludf.DUMMYFUNCTION("""COMPUTED_VALUE"""),"Done")</f>
        <v>Done</v>
      </c>
      <c r="H1527" s="88">
        <f>IFERROR(__xludf.DUMMYFUNCTION("""COMPUTED_VALUE"""),0.0)</f>
        <v>0</v>
      </c>
      <c r="I1527" s="90" t="str">
        <f>IFERROR(__xludf.DUMMYFUNCTION("""COMPUTED_VALUE"""),"EMP0042 HULESHWAR KUMAR SAHU")</f>
        <v>EMP0042 HULESHWAR KUMAR SAHU</v>
      </c>
      <c r="J1527" s="91"/>
    </row>
    <row r="1528">
      <c r="B1528" s="76" t="str">
        <f>IFERROR(__xludf.DUMMYFUNCTION("""COMPUTED_VALUE"""),"Solution / Check data in database according to new logics                ")</f>
        <v>Solution / Check data in database according to new logics                </v>
      </c>
      <c r="C1528" s="82">
        <f>IFERROR(__xludf.DUMMYFUNCTION("""COMPUTED_VALUE"""),4992.0)</f>
        <v>4992</v>
      </c>
      <c r="D1528" s="76" t="str">
        <f>IFERROR(__xludf.DUMMYFUNCTION("""COMPUTED_VALUE"""),"PROVISIONAL CERTIFICATE")</f>
        <v>PROVISIONAL CERTIFICATE</v>
      </c>
      <c r="E1528" s="84">
        <f>IFERROR(__xludf.DUMMYFUNCTION("""COMPUTED_VALUE"""),46095.527083333334)</f>
        <v>46095.52708</v>
      </c>
      <c r="F1528" s="86">
        <f>IFERROR(__xludf.DUMMYFUNCTION("""COMPUTED_VALUE"""),46094.454308472225)</f>
        <v>46094.45431</v>
      </c>
      <c r="G1528" s="86" t="str">
        <f>IFERROR(__xludf.DUMMYFUNCTION("""COMPUTED_VALUE"""),"Done")</f>
        <v>Done</v>
      </c>
      <c r="H1528" s="88">
        <f>IFERROR(__xludf.DUMMYFUNCTION("""COMPUTED_VALUE"""),0.0)</f>
        <v>0</v>
      </c>
      <c r="I1528" s="90" t="str">
        <f>IFERROR(__xludf.DUMMYFUNCTION("""COMPUTED_VALUE"""),"EMP0237 Swarnendu Chakraborty")</f>
        <v>EMP0237 Swarnendu Chakraborty</v>
      </c>
      <c r="J1528" s="91"/>
    </row>
    <row r="1529">
      <c r="B1529" s="76" t="str">
        <f>IFERROR(__xludf.DUMMYFUNCTION("""COMPUTED_VALUE"""),"Solution / Check data in database according to new logics                ")</f>
        <v>Solution / Check data in database according to new logics                </v>
      </c>
      <c r="C1529" s="82">
        <f>IFERROR(__xludf.DUMMYFUNCTION("""COMPUTED_VALUE"""),4993.0)</f>
        <v>4993</v>
      </c>
      <c r="D1529" s="76" t="str">
        <f>IFERROR(__xludf.DUMMYFUNCTION("""COMPUTED_VALUE"""),"3152")</f>
        <v>3152</v>
      </c>
      <c r="E1529" s="84">
        <f>IFERROR(__xludf.DUMMYFUNCTION("""COMPUTED_VALUE"""),46095.5875)</f>
        <v>46095.5875</v>
      </c>
      <c r="F1529" s="86">
        <f>IFERROR(__xludf.DUMMYFUNCTION("""COMPUTED_VALUE"""),46093.74965359954)</f>
        <v>46093.74965</v>
      </c>
      <c r="G1529" s="86" t="str">
        <f>IFERROR(__xludf.DUMMYFUNCTION("""COMPUTED_VALUE"""),"Done")</f>
        <v>Done</v>
      </c>
      <c r="H1529" s="88">
        <f>IFERROR(__xludf.DUMMYFUNCTION("""COMPUTED_VALUE"""),0.0)</f>
        <v>0</v>
      </c>
      <c r="I1529" s="90" t="str">
        <f>IFERROR(__xludf.DUMMYFUNCTION("""COMPUTED_VALUE"""),"EMP5009 Rup Kumar Mandal")</f>
        <v>EMP5009 Rup Kumar Mandal</v>
      </c>
      <c r="J1529" s="91"/>
    </row>
    <row r="1530">
      <c r="B1530" s="76" t="str">
        <f>IFERROR(__xludf.DUMMYFUNCTION("""COMPUTED_VALUE"""),"Solution / Check data in database according to new logics                ")</f>
        <v>Solution / Check data in database according to new logics                </v>
      </c>
      <c r="C1530" s="82">
        <f>IFERROR(__xludf.DUMMYFUNCTION("""COMPUTED_VALUE"""),4994.0)</f>
        <v>4994</v>
      </c>
      <c r="D1530" s="76" t="str">
        <f>IFERROR(__xludf.DUMMYFUNCTION("""COMPUTED_VALUE"""),"TR REPORT")</f>
        <v>TR REPORT</v>
      </c>
      <c r="E1530" s="84">
        <f>IFERROR(__xludf.DUMMYFUNCTION("""COMPUTED_VALUE"""),46095.59513888889)</f>
        <v>46095.59514</v>
      </c>
      <c r="F1530" s="86">
        <f>IFERROR(__xludf.DUMMYFUNCTION("""COMPUTED_VALUE"""),46093.74965359954)</f>
        <v>46093.74965</v>
      </c>
      <c r="G1530" s="86" t="str">
        <f>IFERROR(__xludf.DUMMYFUNCTION("""COMPUTED_VALUE"""),"Done")</f>
        <v>Done</v>
      </c>
      <c r="H1530" s="88">
        <f>IFERROR(__xludf.DUMMYFUNCTION("""COMPUTED_VALUE"""),0.0)</f>
        <v>0</v>
      </c>
      <c r="I1530" s="90" t="str">
        <f>IFERROR(__xludf.DUMMYFUNCTION("""COMPUTED_VALUE"""),"EMP5009 Rup Kumar Mandal")</f>
        <v>EMP5009 Rup Kumar Mandal</v>
      </c>
      <c r="J1530" s="91"/>
    </row>
    <row r="1531">
      <c r="B1531" s="76" t="str">
        <f>IFERROR(__xludf.DUMMYFUNCTION("""COMPUTED_VALUE"""),"Solution / Check data in database according to new logics                ")</f>
        <v>Solution / Check data in database according to new logics                </v>
      </c>
      <c r="C1531" s="82">
        <f>IFERROR(__xludf.DUMMYFUNCTION("""COMPUTED_VALUE"""),4995.0)</f>
        <v>4995</v>
      </c>
      <c r="D1531" s="76" t="str">
        <f>IFERROR(__xludf.DUMMYFUNCTION("""COMPUTED_VALUE"""),"TR ")</f>
        <v>TR </v>
      </c>
      <c r="E1531" s="84">
        <f>IFERROR(__xludf.DUMMYFUNCTION("""COMPUTED_VALUE"""),46095.722916666666)</f>
        <v>46095.72292</v>
      </c>
      <c r="F1531" s="86">
        <f>IFERROR(__xludf.DUMMYFUNCTION("""COMPUTED_VALUE"""),46094.508366388895)</f>
        <v>46094.50837</v>
      </c>
      <c r="G1531" s="86" t="str">
        <f>IFERROR(__xludf.DUMMYFUNCTION("""COMPUTED_VALUE"""),"Done")</f>
        <v>Done</v>
      </c>
      <c r="H1531" s="88">
        <f>IFERROR(__xludf.DUMMYFUNCTION("""COMPUTED_VALUE"""),0.0)</f>
        <v>0</v>
      </c>
      <c r="I1531" s="90" t="str">
        <f>IFERROR(__xludf.DUMMYFUNCTION("""COMPUTED_VALUE"""),"EMP0042 HULESHWAR KUMAR SAHU")</f>
        <v>EMP0042 HULESHWAR KUMAR SAHU</v>
      </c>
      <c r="J1531" s="91"/>
    </row>
    <row r="1532">
      <c r="B1532" s="76" t="str">
        <f>IFERROR(__xludf.DUMMYFUNCTION("""COMPUTED_VALUE"""),"Solution / Check data in database according to new logics                ")</f>
        <v>Solution / Check data in database according to new logics                </v>
      </c>
      <c r="C1532" s="82">
        <f>IFERROR(__xludf.DUMMYFUNCTION("""COMPUTED_VALUE"""),4996.0)</f>
        <v>4996</v>
      </c>
      <c r="D1532" s="76" t="str">
        <f>IFERROR(__xludf.DUMMYFUNCTION("""COMPUTED_VALUE"""),"RESULT DATA")</f>
        <v>RESULT DATA</v>
      </c>
      <c r="E1532" s="84">
        <f>IFERROR(__xludf.DUMMYFUNCTION("""COMPUTED_VALUE"""),46095.76666666666)</f>
        <v>46095.76667</v>
      </c>
      <c r="F1532" s="86">
        <f>IFERROR(__xludf.DUMMYFUNCTION("""COMPUTED_VALUE"""),46094.63553408565)</f>
        <v>46094.63553</v>
      </c>
      <c r="G1532" s="86" t="str">
        <f>IFERROR(__xludf.DUMMYFUNCTION("""COMPUTED_VALUE"""),"Done")</f>
        <v>Done</v>
      </c>
      <c r="H1532" s="88">
        <f>IFERROR(__xludf.DUMMYFUNCTION("""COMPUTED_VALUE"""),0.0)</f>
        <v>0</v>
      </c>
      <c r="I1532" s="90" t="str">
        <f>IFERROR(__xludf.DUMMYFUNCTION("""COMPUTED_VALUE"""),"EMP5009 Rup Kumar Mandal")</f>
        <v>EMP5009 Rup Kumar Mandal</v>
      </c>
      <c r="J1532" s="91"/>
    </row>
    <row r="1533">
      <c r="B1533" s="76" t="str">
        <f>IFERROR(__xludf.DUMMYFUNCTION("""COMPUTED_VALUE"""),"Solution / Check data in database according to new logics                ")</f>
        <v>Solution / Check data in database according to new logics                </v>
      </c>
      <c r="C1533" s="82">
        <f>IFERROR(__xludf.DUMMYFUNCTION("""COMPUTED_VALUE"""),4997.0)</f>
        <v>4997</v>
      </c>
      <c r="D1533" s="76" t="str">
        <f>IFERROR(__xludf.DUMMYFUNCTION("""COMPUTED_VALUE"""),"Admit card")</f>
        <v>Admit card</v>
      </c>
      <c r="E1533" s="84">
        <f>IFERROR(__xludf.DUMMYFUNCTION("""COMPUTED_VALUE"""),46095.799305555556)</f>
        <v>46095.79931</v>
      </c>
      <c r="F1533" s="86">
        <f>IFERROR(__xludf.DUMMYFUNCTION("""COMPUTED_VALUE"""),46094.63549165509)</f>
        <v>46094.63549</v>
      </c>
      <c r="G1533" s="86" t="str">
        <f>IFERROR(__xludf.DUMMYFUNCTION("""COMPUTED_VALUE"""),"Done")</f>
        <v>Done</v>
      </c>
      <c r="H1533" s="88">
        <f>IFERROR(__xludf.DUMMYFUNCTION("""COMPUTED_VALUE"""),0.0)</f>
        <v>0</v>
      </c>
      <c r="I1533" s="90" t="str">
        <f>IFERROR(__xludf.DUMMYFUNCTION("""COMPUTED_VALUE"""),"EMP5009 Rup Kumar Mandal")</f>
        <v>EMP5009 Rup Kumar Mandal</v>
      </c>
      <c r="J1533" s="91"/>
    </row>
    <row r="1534">
      <c r="B1534" s="76" t="str">
        <f>IFERROR(__xludf.DUMMYFUNCTION("""COMPUTED_VALUE"""),"Solution / Check data in database according to new logics                ")</f>
        <v>Solution / Check data in database according to new logics                </v>
      </c>
      <c r="C1534" s="82">
        <f>IFERROR(__xludf.DUMMYFUNCTION("""COMPUTED_VALUE"""),4998.0)</f>
        <v>4998</v>
      </c>
      <c r="D1534" s="76" t="str">
        <f>IFERROR(__xludf.DUMMYFUNCTION("""COMPUTED_VALUE"""),"Attendance Report")</f>
        <v>Attendance Report</v>
      </c>
      <c r="E1534" s="84">
        <f>IFERROR(__xludf.DUMMYFUNCTION("""COMPUTED_VALUE"""),46097.46805555555)</f>
        <v>46097.46806</v>
      </c>
      <c r="F1534" s="86">
        <f>IFERROR(__xludf.DUMMYFUNCTION("""COMPUTED_VALUE"""),46095.4448109375)</f>
        <v>46095.44481</v>
      </c>
      <c r="G1534" s="86" t="str">
        <f>IFERROR(__xludf.DUMMYFUNCTION("""COMPUTED_VALUE"""),"Done")</f>
        <v>Done</v>
      </c>
      <c r="H1534" s="88">
        <f>IFERROR(__xludf.DUMMYFUNCTION("""COMPUTED_VALUE"""),0.0)</f>
        <v>0</v>
      </c>
      <c r="I1534" s="90" t="str">
        <f>IFERROR(__xludf.DUMMYFUNCTION("""COMPUTED_VALUE"""),"EMP0237 Swarnendu Chakraborty")</f>
        <v>EMP0237 Swarnendu Chakraborty</v>
      </c>
      <c r="J1534" s="91"/>
    </row>
    <row r="1535">
      <c r="B1535" s="76" t="str">
        <f>IFERROR(__xludf.DUMMYFUNCTION("""COMPUTED_VALUE"""),"Solution / Check data in database according to new logics                ")</f>
        <v>Solution / Check data in database according to new logics                </v>
      </c>
      <c r="C1535" s="82">
        <f>IFERROR(__xludf.DUMMYFUNCTION("""COMPUTED_VALUE"""),4999.0)</f>
        <v>4999</v>
      </c>
      <c r="D1535" s="76" t="str">
        <f>IFERROR(__xludf.DUMMYFUNCTION("""COMPUTED_VALUE"""),"Seating Plan")</f>
        <v>Seating Plan</v>
      </c>
      <c r="E1535" s="84">
        <f>IFERROR(__xludf.DUMMYFUNCTION("""COMPUTED_VALUE"""),46097.52916666667)</f>
        <v>46097.52917</v>
      </c>
      <c r="F1535" s="86">
        <f>IFERROR(__xludf.DUMMYFUNCTION("""COMPUTED_VALUE"""),46097.45392575232)</f>
        <v>46097.45393</v>
      </c>
      <c r="G1535" s="86" t="str">
        <f>IFERROR(__xludf.DUMMYFUNCTION("""COMPUTED_VALUE"""),"Done")</f>
        <v>Done</v>
      </c>
      <c r="H1535" s="88">
        <f>IFERROR(__xludf.DUMMYFUNCTION("""COMPUTED_VALUE"""),0.0)</f>
        <v>0</v>
      </c>
      <c r="I1535" s="90" t="str">
        <f>IFERROR(__xludf.DUMMYFUNCTION("""COMPUTED_VALUE"""),"EMP0042 HULESHWAR KUMAR SAHU")</f>
        <v>EMP0042 HULESHWAR KUMAR SAHU</v>
      </c>
      <c r="J1535" s="91"/>
    </row>
    <row r="1536">
      <c r="B1536" s="76" t="str">
        <f>IFERROR(__xludf.DUMMYFUNCTION("""COMPUTED_VALUE"""),"Solution / Check data in database according to new logics                ")</f>
        <v>Solution / Check data in database according to new logics                </v>
      </c>
      <c r="C1536" s="82">
        <f>IFERROR(__xludf.DUMMYFUNCTION("""COMPUTED_VALUE"""),5000.0)</f>
        <v>5000</v>
      </c>
      <c r="D1536" s="76" t="str">
        <f>IFERROR(__xludf.DUMMYFUNCTION("""COMPUTED_VALUE"""),"TR ")</f>
        <v>TR </v>
      </c>
      <c r="E1536" s="84">
        <f>IFERROR(__xludf.DUMMYFUNCTION("""COMPUTED_VALUE"""),46097.59583333333)</f>
        <v>46097.59583</v>
      </c>
      <c r="F1536" s="86">
        <f>IFERROR(__xludf.DUMMYFUNCTION("""COMPUTED_VALUE"""),46097.4539527199)</f>
        <v>46097.45395</v>
      </c>
      <c r="G1536" s="86" t="str">
        <f>IFERROR(__xludf.DUMMYFUNCTION("""COMPUTED_VALUE"""),"Done")</f>
        <v>Done</v>
      </c>
      <c r="H1536" s="88">
        <f>IFERROR(__xludf.DUMMYFUNCTION("""COMPUTED_VALUE"""),0.0)</f>
        <v>0</v>
      </c>
      <c r="I1536" s="90" t="str">
        <f>IFERROR(__xludf.DUMMYFUNCTION("""COMPUTED_VALUE"""),"EMP0042 HULESHWAR KUMAR SAHU")</f>
        <v>EMP0042 HULESHWAR KUMAR SAHU</v>
      </c>
      <c r="J1536" s="91"/>
    </row>
    <row r="1537">
      <c r="B1537" s="76" t="str">
        <f>IFERROR(__xludf.DUMMYFUNCTION("""COMPUTED_VALUE"""),"Solution / Check data in database according to new logics                ")</f>
        <v>Solution / Check data in database according to new logics                </v>
      </c>
      <c r="C1537" s="82">
        <f>IFERROR(__xludf.DUMMYFUNCTION("""COMPUTED_VALUE"""),5001.0)</f>
        <v>5001</v>
      </c>
      <c r="D1537" s="76" t="str">
        <f>IFERROR(__xludf.DUMMYFUNCTION("""COMPUTED_VALUE"""),"Please provide the practical Data for M.Ed. 1st &amp; 3rd Semester, Re-appear, Regular, Mercy Chance,")</f>
        <v>Please provide the practical Data for M.Ed. 1st &amp; 3rd Semester, Re-appear, Regular, Mercy Chance,</v>
      </c>
      <c r="E1537" s="84">
        <f>IFERROR(__xludf.DUMMYFUNCTION("""COMPUTED_VALUE"""),46097.7375)</f>
        <v>46097.7375</v>
      </c>
      <c r="F1537" s="86">
        <f>IFERROR(__xludf.DUMMYFUNCTION("""COMPUTED_VALUE"""),46095.537885868056)</f>
        <v>46095.53789</v>
      </c>
      <c r="G1537" s="86" t="str">
        <f>IFERROR(__xludf.DUMMYFUNCTION("""COMPUTED_VALUE"""),"Done")</f>
        <v>Done</v>
      </c>
      <c r="H1537" s="88">
        <f>IFERROR(__xludf.DUMMYFUNCTION("""COMPUTED_VALUE"""),0.0)</f>
        <v>0</v>
      </c>
      <c r="I1537" s="90" t="str">
        <f>IFERROR(__xludf.DUMMYFUNCTION("""COMPUTED_VALUE"""),"EMP0042 HULESHWAR KUMAR SAHU")</f>
        <v>EMP0042 HULESHWAR KUMAR SAHU</v>
      </c>
      <c r="J1537" s="91"/>
    </row>
    <row r="1538">
      <c r="B1538" s="76" t="str">
        <f>IFERROR(__xludf.DUMMYFUNCTION("""COMPUTED_VALUE"""),"Solution / Check data in database according to new logics                ")</f>
        <v>Solution / Check data in database according to new logics                </v>
      </c>
      <c r="C1538" s="82">
        <f>IFERROR(__xludf.DUMMYFUNCTION("""COMPUTED_VALUE"""),5002.0)</f>
        <v>5002</v>
      </c>
      <c r="D1538" s="76" t="str">
        <f>IFERROR(__xludf.DUMMYFUNCTION("""COMPUTED_VALUE"""),"OLD formate mrksheet correction")</f>
        <v>OLD formate mrksheet correction</v>
      </c>
      <c r="E1538" s="84">
        <f>IFERROR(__xludf.DUMMYFUNCTION("""COMPUTED_VALUE"""),46098.558333333334)</f>
        <v>46098.55833</v>
      </c>
      <c r="F1538" s="86">
        <f>IFERROR(__xludf.DUMMYFUNCTION("""COMPUTED_VALUE"""),46098.54412037037)</f>
        <v>46098.54412</v>
      </c>
      <c r="G1538" s="86" t="str">
        <f>IFERROR(__xludf.DUMMYFUNCTION("""COMPUTED_VALUE"""),"Done")</f>
        <v>Done</v>
      </c>
      <c r="H1538" s="88">
        <f>IFERROR(__xludf.DUMMYFUNCTION("""COMPUTED_VALUE"""),0.0)</f>
        <v>0</v>
      </c>
      <c r="I1538" s="90" t="str">
        <f>IFERROR(__xludf.DUMMYFUNCTION("""COMPUTED_VALUE"""),"EMP0237 Swarnendu Chakraborty")</f>
        <v>EMP0237 Swarnendu Chakraborty</v>
      </c>
      <c r="J1538" s="91"/>
    </row>
    <row r="1539">
      <c r="B1539" s="76" t="str">
        <f>IFERROR(__xludf.DUMMYFUNCTION("""COMPUTED_VALUE"""),"Solution / Check data in database according to new logics                ")</f>
        <v>Solution / Check data in database according to new logics                </v>
      </c>
      <c r="C1539" s="82">
        <f>IFERROR(__xludf.DUMMYFUNCTION("""COMPUTED_VALUE"""),5003.0)</f>
        <v>5003</v>
      </c>
      <c r="D1539" s="76" t="str">
        <f>IFERROR(__xludf.DUMMYFUNCTION("""COMPUTED_VALUE"""),"NEW formate mrksheet correction")</f>
        <v>NEW formate mrksheet correction</v>
      </c>
      <c r="E1539" s="84">
        <f>IFERROR(__xludf.DUMMYFUNCTION("""COMPUTED_VALUE"""),46098.558333333334)</f>
        <v>46098.55833</v>
      </c>
      <c r="F1539" s="86">
        <f>IFERROR(__xludf.DUMMYFUNCTION("""COMPUTED_VALUE"""),46098.54417824074)</f>
        <v>46098.54418</v>
      </c>
      <c r="G1539" s="86" t="str">
        <f>IFERROR(__xludf.DUMMYFUNCTION("""COMPUTED_VALUE"""),"Done")</f>
        <v>Done</v>
      </c>
      <c r="H1539" s="88">
        <f>IFERROR(__xludf.DUMMYFUNCTION("""COMPUTED_VALUE"""),0.0)</f>
        <v>0</v>
      </c>
      <c r="I1539" s="90" t="str">
        <f>IFERROR(__xludf.DUMMYFUNCTION("""COMPUTED_VALUE"""),"EMP0237 Swarnendu Chakraborty")</f>
        <v>EMP0237 Swarnendu Chakraborty</v>
      </c>
      <c r="J1539" s="91"/>
    </row>
    <row r="1540">
      <c r="B1540" s="76" t="str">
        <f>IFERROR(__xludf.DUMMYFUNCTION("""COMPUTED_VALUE"""),"Solution / Check data in database according to new logics                ")</f>
        <v>Solution / Check data in database according to new logics                </v>
      </c>
      <c r="C1540" s="82">
        <f>IFERROR(__xludf.DUMMYFUNCTION("""COMPUTED_VALUE"""),5004.0)</f>
        <v>5004</v>
      </c>
      <c r="D1540" s="76" t="str">
        <f>IFERROR(__xludf.DUMMYFUNCTION("""COMPUTED_VALUE"""),"FINAL CERTIFICATE")</f>
        <v>FINAL CERTIFICATE</v>
      </c>
      <c r="E1540" s="84">
        <f>IFERROR(__xludf.DUMMYFUNCTION("""COMPUTED_VALUE"""),46098.79513888889)</f>
        <v>46098.79514</v>
      </c>
      <c r="F1540" s="86">
        <f>IFERROR(__xludf.DUMMYFUNCTION("""COMPUTED_VALUE"""),46097.76167540509)</f>
        <v>46097.76168</v>
      </c>
      <c r="G1540" s="86" t="str">
        <f>IFERROR(__xludf.DUMMYFUNCTION("""COMPUTED_VALUE"""),"Done")</f>
        <v>Done</v>
      </c>
      <c r="H1540" s="88">
        <f>IFERROR(__xludf.DUMMYFUNCTION("""COMPUTED_VALUE"""),0.0)</f>
        <v>0</v>
      </c>
      <c r="I1540" s="90" t="str">
        <f>IFERROR(__xludf.DUMMYFUNCTION("""COMPUTED_VALUE"""),"EMP5009 Rup Kumar Mandal")</f>
        <v>EMP5009 Rup Kumar Mandal</v>
      </c>
      <c r="J1540" s="91"/>
    </row>
    <row r="1541">
      <c r="B1541" s="76" t="str">
        <f>IFERROR(__xludf.DUMMYFUNCTION("""COMPUTED_VALUE"""),"Solution / Check data in database according to new logics                ")</f>
        <v>Solution / Check data in database according to new logics                </v>
      </c>
      <c r="C1541" s="82">
        <f>IFERROR(__xludf.DUMMYFUNCTION("""COMPUTED_VALUE"""),5005.0)</f>
        <v>5005</v>
      </c>
      <c r="D1541" s="76" t="str">
        <f>IFERROR(__xludf.DUMMYFUNCTION("""COMPUTED_VALUE"""),"attendance sheet")</f>
        <v>attendance sheet</v>
      </c>
      <c r="E1541" s="84">
        <f>IFERROR(__xludf.DUMMYFUNCTION("""COMPUTED_VALUE"""),46099.49791666667)</f>
        <v>46099.49792</v>
      </c>
      <c r="F1541" s="86">
        <f>IFERROR(__xludf.DUMMYFUNCTION("""COMPUTED_VALUE"""),46097.76162241898)</f>
        <v>46097.76162</v>
      </c>
      <c r="G1541" s="86" t="str">
        <f>IFERROR(__xludf.DUMMYFUNCTION("""COMPUTED_VALUE"""),"Done")</f>
        <v>Done</v>
      </c>
      <c r="H1541" s="88">
        <f>IFERROR(__xludf.DUMMYFUNCTION("""COMPUTED_VALUE"""),0.0)</f>
        <v>0</v>
      </c>
      <c r="I1541" s="90" t="str">
        <f>IFERROR(__xludf.DUMMYFUNCTION("""COMPUTED_VALUE"""),"EMP0021 Tamanna Dewangan")</f>
        <v>EMP0021 Tamanna Dewangan</v>
      </c>
      <c r="J1541" s="91"/>
    </row>
    <row r="1542">
      <c r="B1542" s="76" t="str">
        <f>IFERROR(__xludf.DUMMYFUNCTION("""COMPUTED_VALUE"""),"Solution / Check data in database according to new logics                ")</f>
        <v>Solution / Check data in database according to new logics                </v>
      </c>
      <c r="C1542" s="82">
        <f>IFERROR(__xludf.DUMMYFUNCTION("""COMPUTED_VALUE"""),5006.0)</f>
        <v>5006</v>
      </c>
      <c r="D1542" s="76" t="str">
        <f>IFERROR(__xludf.DUMMYFUNCTION("""COMPUTED_VALUE"""),"NEP TR M.A HINDI &amp; SANSKRIT")</f>
        <v>NEP TR M.A HINDI &amp; SANSKRIT</v>
      </c>
      <c r="E1542" s="84">
        <f>IFERROR(__xludf.DUMMYFUNCTION("""COMPUTED_VALUE"""),46100.58819444444)</f>
        <v>46100.58819</v>
      </c>
      <c r="F1542" s="86">
        <f>IFERROR(__xludf.DUMMYFUNCTION("""COMPUTED_VALUE"""),46099.508785763894)</f>
        <v>46099.50879</v>
      </c>
      <c r="G1542" s="86" t="str">
        <f>IFERROR(__xludf.DUMMYFUNCTION("""COMPUTED_VALUE"""),"Done")</f>
        <v>Done</v>
      </c>
      <c r="H1542" s="88">
        <f>IFERROR(__xludf.DUMMYFUNCTION("""COMPUTED_VALUE"""),0.0)</f>
        <v>0</v>
      </c>
      <c r="I1542" s="90" t="str">
        <f>IFERROR(__xludf.DUMMYFUNCTION("""COMPUTED_VALUE"""),"EMP0042 HULESHWAR KUMAR SAHU")</f>
        <v>EMP0042 HULESHWAR KUMAR SAHU</v>
      </c>
      <c r="J1542" s="91"/>
    </row>
    <row r="1543">
      <c r="B1543" s="76" t="str">
        <f>IFERROR(__xludf.DUMMYFUNCTION("""COMPUTED_VALUE"""),"Solution / Check data in database according to new logics                ")</f>
        <v>Solution / Check data in database according to new logics                </v>
      </c>
      <c r="C1543" s="82">
        <f>IFERROR(__xludf.DUMMYFUNCTION("""COMPUTED_VALUE"""),5007.0)</f>
        <v>5007</v>
      </c>
      <c r="D1543" s="76" t="str">
        <f>IFERROR(__xludf.DUMMYFUNCTION("""COMPUTED_VALUE"""),"Grade Card (B.PHARMA)")</f>
        <v>Grade Card (B.PHARMA)</v>
      </c>
      <c r="E1543" s="84">
        <f>IFERROR(__xludf.DUMMYFUNCTION("""COMPUTED_VALUE"""),46100.589583333334)</f>
        <v>46100.58958</v>
      </c>
      <c r="F1543" s="86">
        <f>IFERROR(__xludf.DUMMYFUNCTION("""COMPUTED_VALUE"""),46099.61364273148)</f>
        <v>46099.61364</v>
      </c>
      <c r="G1543" s="86" t="str">
        <f>IFERROR(__xludf.DUMMYFUNCTION("""COMPUTED_VALUE"""),"Done")</f>
        <v>Done</v>
      </c>
      <c r="H1543" s="88">
        <f>IFERROR(__xludf.DUMMYFUNCTION("""COMPUTED_VALUE"""),0.0)</f>
        <v>0</v>
      </c>
      <c r="I1543" s="90" t="str">
        <f>IFERROR(__xludf.DUMMYFUNCTION("""COMPUTED_VALUE"""),"EMP0042 HULESHWAR KUMAR SAHU")</f>
        <v>EMP0042 HULESHWAR KUMAR SAHU</v>
      </c>
      <c r="J1543" s="91"/>
    </row>
    <row r="1544">
      <c r="B1544" s="76" t="str">
        <f>IFERROR(__xludf.DUMMYFUNCTION("""COMPUTED_VALUE"""),"Solution / Check data in database according to new logics                ")</f>
        <v>Solution / Check data in database according to new logics                </v>
      </c>
      <c r="C1544" s="82">
        <f>IFERROR(__xludf.DUMMYFUNCTION("""COMPUTED_VALUE"""),5008.0)</f>
        <v>5008</v>
      </c>
      <c r="D1544" s="76" t="str">
        <f>IFERROR(__xludf.DUMMYFUNCTION("""COMPUTED_VALUE"""),"NEP SUMMARY 3RD SEM M.A HINDI")</f>
        <v>NEP SUMMARY 3RD SEM M.A HINDI</v>
      </c>
      <c r="E1544" s="84">
        <f>IFERROR(__xludf.DUMMYFUNCTION("""COMPUTED_VALUE"""),46100.59166666667)</f>
        <v>46100.59167</v>
      </c>
      <c r="F1544" s="86">
        <f>IFERROR(__xludf.DUMMYFUNCTION("""COMPUTED_VALUE"""),46100.46376179399)</f>
        <v>46100.46376</v>
      </c>
      <c r="G1544" s="86" t="str">
        <f>IFERROR(__xludf.DUMMYFUNCTION("""COMPUTED_VALUE"""),"Done")</f>
        <v>Done</v>
      </c>
      <c r="H1544" s="88">
        <f>IFERROR(__xludf.DUMMYFUNCTION("""COMPUTED_VALUE"""),0.0)</f>
        <v>0</v>
      </c>
      <c r="I1544" s="90" t="str">
        <f>IFERROR(__xludf.DUMMYFUNCTION("""COMPUTED_VALUE"""),"EMP0042 HULESHWAR KUMAR SAHU")</f>
        <v>EMP0042 HULESHWAR KUMAR SAHU</v>
      </c>
      <c r="J1544" s="91"/>
    </row>
    <row r="1545">
      <c r="B1545" s="76" t="str">
        <f>IFERROR(__xludf.DUMMYFUNCTION("""COMPUTED_VALUE"""),"Solution / Check data in database according to new logics                ")</f>
        <v>Solution / Check data in database according to new logics                </v>
      </c>
      <c r="C1545" s="82">
        <f>IFERROR(__xludf.DUMMYFUNCTION("""COMPUTED_VALUE"""),5009.0)</f>
        <v>5009</v>
      </c>
      <c r="D1545" s="76" t="str">
        <f>IFERROR(__xludf.DUMMYFUNCTION("""COMPUTED_VALUE"""),"NEP SCHEMA M.A SANSKRIT")</f>
        <v>NEP SCHEMA M.A SANSKRIT</v>
      </c>
      <c r="E1545" s="84">
        <f>IFERROR(__xludf.DUMMYFUNCTION("""COMPUTED_VALUE"""),46100.59513888889)</f>
        <v>46100.59514</v>
      </c>
      <c r="F1545" s="86">
        <f>IFERROR(__xludf.DUMMYFUNCTION("""COMPUTED_VALUE"""),46100.46360798611)</f>
        <v>46100.46361</v>
      </c>
      <c r="G1545" s="86" t="str">
        <f>IFERROR(__xludf.DUMMYFUNCTION("""COMPUTED_VALUE"""),"Done")</f>
        <v>Done</v>
      </c>
      <c r="H1545" s="88">
        <f>IFERROR(__xludf.DUMMYFUNCTION("""COMPUTED_VALUE"""),0.0)</f>
        <v>0</v>
      </c>
      <c r="I1545" s="90" t="str">
        <f>IFERROR(__xludf.DUMMYFUNCTION("""COMPUTED_VALUE"""),"EMP0042 HULESHWAR KUMAR SAHU")</f>
        <v>EMP0042 HULESHWAR KUMAR SAHU</v>
      </c>
      <c r="J1545" s="91"/>
    </row>
    <row r="1546">
      <c r="B1546" s="76" t="str">
        <f>IFERROR(__xludf.DUMMYFUNCTION("""COMPUTED_VALUE"""),"Solution / Check data in database according to new logics                ")</f>
        <v>Solution / Check data in database according to new logics                </v>
      </c>
      <c r="C1546" s="82">
        <f>IFERROR(__xludf.DUMMYFUNCTION("""COMPUTED_VALUE"""),5010.0)</f>
        <v>5010</v>
      </c>
      <c r="D1546" s="76" t="str">
        <f>IFERROR(__xludf.DUMMYFUNCTION("""COMPUTED_VALUE"""),"NEP MA SANSKRIT 3RD SEM  MARKSHEET ")</f>
        <v>NEP MA SANSKRIT 3RD SEM  MARKSHEET </v>
      </c>
      <c r="E1546" s="84">
        <f>IFERROR(__xludf.DUMMYFUNCTION("""COMPUTED_VALUE"""),46100.59722222222)</f>
        <v>46100.59722</v>
      </c>
      <c r="F1546" s="86">
        <f>IFERROR(__xludf.DUMMYFUNCTION("""COMPUTED_VALUE"""),46099.81146902778)</f>
        <v>46099.81147</v>
      </c>
      <c r="G1546" s="86" t="str">
        <f>IFERROR(__xludf.DUMMYFUNCTION("""COMPUTED_VALUE"""),"Done")</f>
        <v>Done</v>
      </c>
      <c r="H1546" s="88">
        <f>IFERROR(__xludf.DUMMYFUNCTION("""COMPUTED_VALUE"""),0.0)</f>
        <v>0</v>
      </c>
      <c r="I1546" s="90" t="str">
        <f>IFERROR(__xludf.DUMMYFUNCTION("""COMPUTED_VALUE"""),"EMP0021 Tamanna Dewangan")</f>
        <v>EMP0021 Tamanna Dewangan</v>
      </c>
      <c r="J1546" s="91"/>
    </row>
    <row r="1547">
      <c r="B1547" s="76" t="str">
        <f>IFERROR(__xludf.DUMMYFUNCTION("""COMPUTED_VALUE"""),"Solution / Check data in database according to new logics                ")</f>
        <v>Solution / Check data in database according to new logics                </v>
      </c>
      <c r="C1547" s="82">
        <f>IFERROR(__xludf.DUMMYFUNCTION("""COMPUTED_VALUE"""),5011.0)</f>
        <v>5011</v>
      </c>
      <c r="D1547" s="76" t="str">
        <f>IFERROR(__xludf.DUMMYFUNCTION("""COMPUTED_VALUE"""),"Tabulation Report BPH (LE) 3rd sem")</f>
        <v>Tabulation Report BPH (LE) 3rd sem</v>
      </c>
      <c r="E1547" s="84">
        <f>IFERROR(__xludf.DUMMYFUNCTION("""COMPUTED_VALUE"""),46100.74097222222)</f>
        <v>46100.74097</v>
      </c>
      <c r="F1547" s="86">
        <f>IFERROR(__xludf.DUMMYFUNCTION("""COMPUTED_VALUE"""),46099.48740524305)</f>
        <v>46099.48741</v>
      </c>
      <c r="G1547" s="86" t="str">
        <f>IFERROR(__xludf.DUMMYFUNCTION("""COMPUTED_VALUE"""),"Done")</f>
        <v>Done</v>
      </c>
      <c r="H1547" s="88">
        <f>IFERROR(__xludf.DUMMYFUNCTION("""COMPUTED_VALUE"""),0.0)</f>
        <v>0</v>
      </c>
      <c r="I1547" s="90" t="str">
        <f>IFERROR(__xludf.DUMMYFUNCTION("""COMPUTED_VALUE"""),"EMP5009 Rup Kumar Mandal")</f>
        <v>EMP5009 Rup Kumar Mandal</v>
      </c>
      <c r="J1547" s="91"/>
    </row>
    <row r="1548">
      <c r="B1548" s="76" t="str">
        <f>IFERROR(__xludf.DUMMYFUNCTION("""COMPUTED_VALUE"""),"Solution / Check data in database according to new logics                ")</f>
        <v>Solution / Check data in database according to new logics                </v>
      </c>
      <c r="C1548" s="82">
        <f>IFERROR(__xludf.DUMMYFUNCTION("""COMPUTED_VALUE"""),5012.0)</f>
        <v>5012</v>
      </c>
      <c r="D1548" s="76" t="str">
        <f>IFERROR(__xludf.DUMMYFUNCTION("""COMPUTED_VALUE"""),"TR")</f>
        <v>TR</v>
      </c>
      <c r="E1548" s="84">
        <f>IFERROR(__xludf.DUMMYFUNCTION("""COMPUTED_VALUE"""),46101.75138888889)</f>
        <v>46101.75139</v>
      </c>
      <c r="F1548" s="86">
        <f>IFERROR(__xludf.DUMMYFUNCTION("""COMPUTED_VALUE"""),46100.7723921412)</f>
        <v>46100.77239</v>
      </c>
      <c r="G1548" s="86" t="str">
        <f>IFERROR(__xludf.DUMMYFUNCTION("""COMPUTED_VALUE"""),"Done")</f>
        <v>Done</v>
      </c>
      <c r="H1548" s="88">
        <f>IFERROR(__xludf.DUMMYFUNCTION("""COMPUTED_VALUE"""),0.0)</f>
        <v>0</v>
      </c>
      <c r="I1548" s="90" t="str">
        <f>IFERROR(__xludf.DUMMYFUNCTION("""COMPUTED_VALUE"""),"EMP0042 HULESHWAR KUMAR SAHU")</f>
        <v>EMP0042 HULESHWAR KUMAR SAHU</v>
      </c>
      <c r="J1548" s="91"/>
    </row>
    <row r="1549">
      <c r="B1549" s="76" t="str">
        <f>IFERROR(__xludf.DUMMYFUNCTION("""COMPUTED_VALUE"""),"Solution / Check data in database according to new logics                ")</f>
        <v>Solution / Check data in database according to new logics                </v>
      </c>
      <c r="C1549" s="82">
        <f>IFERROR(__xludf.DUMMYFUNCTION("""COMPUTED_VALUE"""),5013.0)</f>
        <v>5013</v>
      </c>
      <c r="D1549" s="76" t="str">
        <f>IFERROR(__xludf.DUMMYFUNCTION("""COMPUTED_VALUE"""),"Student wise data add new culum session")</f>
        <v>Student wise data add new culum session</v>
      </c>
      <c r="E1549" s="84">
        <f>IFERROR(__xludf.DUMMYFUNCTION("""COMPUTED_VALUE"""),46104.47361111111)</f>
        <v>46104.47361</v>
      </c>
      <c r="F1549" s="86">
        <f>IFERROR(__xludf.DUMMYFUNCTION("""COMPUTED_VALUE"""),46100.71864533565)</f>
        <v>46100.71865</v>
      </c>
      <c r="G1549" s="86" t="str">
        <f>IFERROR(__xludf.DUMMYFUNCTION("""COMPUTED_VALUE"""),"Done")</f>
        <v>Done</v>
      </c>
      <c r="H1549" s="88">
        <f>IFERROR(__xludf.DUMMYFUNCTION("""COMPUTED_VALUE"""),0.0)</f>
        <v>0</v>
      </c>
      <c r="I1549" s="90" t="str">
        <f>IFERROR(__xludf.DUMMYFUNCTION("""COMPUTED_VALUE"""),"EMP5009 Rup Kumar Mandal")</f>
        <v>EMP5009 Rup Kumar Mandal</v>
      </c>
      <c r="J1549" s="91"/>
    </row>
    <row r="1550">
      <c r="B1550" s="76" t="str">
        <f>IFERROR(__xludf.DUMMYFUNCTION("""COMPUTED_VALUE"""),"Solution / Check data in database according to new logics                ")</f>
        <v>Solution / Check data in database according to new logics                </v>
      </c>
      <c r="C1550" s="82">
        <f>IFERROR(__xludf.DUMMYFUNCTION("""COMPUTED_VALUE"""),5014.0)</f>
        <v>5014</v>
      </c>
      <c r="D1550" s="76" t="str">
        <f>IFERROR(__xludf.DUMMYFUNCTION("""COMPUTED_VALUE"""),"MULTIPLE REPORT")</f>
        <v>MULTIPLE REPORT</v>
      </c>
      <c r="E1550" s="84">
        <f>IFERROR(__xludf.DUMMYFUNCTION("""COMPUTED_VALUE"""),46103.57638888889)</f>
        <v>46103.57639</v>
      </c>
      <c r="F1550" s="86">
        <f>IFERROR(__xludf.DUMMYFUNCTION("""COMPUTED_VALUE"""),46100.772418900466)</f>
        <v>46100.77242</v>
      </c>
      <c r="G1550" s="86" t="str">
        <f>IFERROR(__xludf.DUMMYFUNCTION("""COMPUTED_VALUE"""),"Done")</f>
        <v>Done</v>
      </c>
      <c r="H1550" s="88">
        <f>IFERROR(__xludf.DUMMYFUNCTION("""COMPUTED_VALUE"""),0.0)</f>
        <v>0</v>
      </c>
      <c r="I1550" s="90" t="str">
        <f>IFERROR(__xludf.DUMMYFUNCTION("""COMPUTED_VALUE"""),"EMP0042 HULESHWAR KUMAR SAHU")</f>
        <v>EMP0042 HULESHWAR KUMAR SAHU</v>
      </c>
      <c r="J1550" s="91"/>
    </row>
    <row r="1551">
      <c r="B1551" s="76" t="str">
        <f>IFERROR(__xludf.DUMMYFUNCTION("""COMPUTED_VALUE"""),"Solution / Check data in database according to new logics                ")</f>
        <v>Solution / Check data in database according to new logics                </v>
      </c>
      <c r="C1551" s="82">
        <f>IFERROR(__xludf.DUMMYFUNCTION("""COMPUTED_VALUE"""),5015.0)</f>
        <v>5015</v>
      </c>
      <c r="D1551" s="76" t="str">
        <f>IFERROR(__xludf.DUMMYFUNCTION("""COMPUTED_VALUE"""),"ENROLLMENT REPORT")</f>
        <v>ENROLLMENT REPORT</v>
      </c>
      <c r="E1551" s="84">
        <f>IFERROR(__xludf.DUMMYFUNCTION("""COMPUTED_VALUE"""),46105.65972222222)</f>
        <v>46105.65972</v>
      </c>
      <c r="F1551" s="86">
        <f>IFERROR(__xludf.DUMMYFUNCTION("""COMPUTED_VALUE"""),46104.65036753472)</f>
        <v>46104.65037</v>
      </c>
      <c r="G1551" s="86" t="str">
        <f>IFERROR(__xludf.DUMMYFUNCTION("""COMPUTED_VALUE"""),"Done")</f>
        <v>Done</v>
      </c>
      <c r="H1551" s="88">
        <f>IFERROR(__xludf.DUMMYFUNCTION("""COMPUTED_VALUE"""),0.0)</f>
        <v>0</v>
      </c>
      <c r="I1551" s="90" t="str">
        <f>IFERROR(__xludf.DUMMYFUNCTION("""COMPUTED_VALUE"""),"EMP0021 Tamanna Dewangan")</f>
        <v>EMP0021 Tamanna Dewangan</v>
      </c>
      <c r="J1551" s="91"/>
    </row>
    <row r="1552">
      <c r="B1552" s="76" t="str">
        <f>IFERROR(__xludf.DUMMYFUNCTION("""COMPUTED_VALUE"""),"Solution / Check data in database according to new logics                ")</f>
        <v>Solution / Check data in database according to new logics                </v>
      </c>
      <c r="C1552" s="82">
        <f>IFERROR(__xludf.DUMMYFUNCTION("""COMPUTED_VALUE"""),5016.0)</f>
        <v>5016</v>
      </c>
      <c r="D1552" s="76" t="str">
        <f>IFERROR(__xludf.DUMMYFUNCTION("""COMPUTED_VALUE"""),"NEP MISSING REPORT STEP-5(PRE-PROCESSING ERROR)")</f>
        <v>NEP MISSING REPORT STEP-5(PRE-PROCESSING ERROR)</v>
      </c>
      <c r="E1552" s="84">
        <f>IFERROR(__xludf.DUMMYFUNCTION("""COMPUTED_VALUE"""),46105.59513888889)</f>
        <v>46105.59514</v>
      </c>
      <c r="F1552" s="86">
        <f>IFERROR(__xludf.DUMMYFUNCTION("""COMPUTED_VALUE"""),46105.4502649537)</f>
        <v>46105.45026</v>
      </c>
      <c r="G1552" s="86" t="str">
        <f>IFERROR(__xludf.DUMMYFUNCTION("""COMPUTED_VALUE"""),"Done")</f>
        <v>Done</v>
      </c>
      <c r="H1552" s="88">
        <f>IFERROR(__xludf.DUMMYFUNCTION("""COMPUTED_VALUE"""),0.0)</f>
        <v>0</v>
      </c>
      <c r="I1552" s="90" t="str">
        <f>IFERROR(__xludf.DUMMYFUNCTION("""COMPUTED_VALUE"""),"EMP0237 Swarnendu Chakraborty")</f>
        <v>EMP0237 Swarnendu Chakraborty</v>
      </c>
      <c r="J1552" s="91"/>
    </row>
    <row r="1553">
      <c r="B1553" s="76" t="str">
        <f>IFERROR(__xludf.DUMMYFUNCTION("""COMPUTED_VALUE"""),"Solution / Check data in database according to new logics                ")</f>
        <v>Solution / Check data in database according to new logics                </v>
      </c>
      <c r="C1553" s="82">
        <f>IFERROR(__xludf.DUMMYFUNCTION("""COMPUTED_VALUE"""),5017.0)</f>
        <v>5017</v>
      </c>
      <c r="D1553" s="76" t="str">
        <f>IFERROR(__xludf.DUMMYFUNCTION("""COMPUTED_VALUE"""),"	CERTIFICATE")</f>
        <v>	CERTIFICATE</v>
      </c>
      <c r="E1553" s="84">
        <f>IFERROR(__xludf.DUMMYFUNCTION("""COMPUTED_VALUE"""),46105.62777777778)</f>
        <v>46105.62778</v>
      </c>
      <c r="F1553" s="86">
        <f>IFERROR(__xludf.DUMMYFUNCTION("""COMPUTED_VALUE"""),46104.68761165509)</f>
        <v>46104.68761</v>
      </c>
      <c r="G1553" s="86" t="str">
        <f>IFERROR(__xludf.DUMMYFUNCTION("""COMPUTED_VALUE"""),"Done")</f>
        <v>Done</v>
      </c>
      <c r="H1553" s="88">
        <f>IFERROR(__xludf.DUMMYFUNCTION("""COMPUTED_VALUE"""),0.0)</f>
        <v>0</v>
      </c>
      <c r="I1553" s="90" t="str">
        <f>IFERROR(__xludf.DUMMYFUNCTION("""COMPUTED_VALUE"""),"EMP0237 Swarnendu Chakraborty")</f>
        <v>EMP0237 Swarnendu Chakraborty</v>
      </c>
      <c r="J1553" s="91"/>
    </row>
    <row r="1554">
      <c r="B1554" s="76" t="str">
        <f>IFERROR(__xludf.DUMMYFUNCTION("""COMPUTED_VALUE"""),"Solution / Check data in database according to new logics                ")</f>
        <v>Solution / Check data in database according to new logics                </v>
      </c>
      <c r="C1554" s="82">
        <f>IFERROR(__xludf.DUMMYFUNCTION("""COMPUTED_VALUE"""),5018.0)</f>
        <v>5018</v>
      </c>
      <c r="D1554" s="76" t="str">
        <f>IFERROR(__xludf.DUMMYFUNCTION("""COMPUTED_VALUE"""),"CERTIFICATE")</f>
        <v>CERTIFICATE</v>
      </c>
      <c r="E1554" s="84">
        <f>IFERROR(__xludf.DUMMYFUNCTION("""COMPUTED_VALUE"""),46106.52291666667)</f>
        <v>46106.52292</v>
      </c>
      <c r="F1554" s="86">
        <f>IFERROR(__xludf.DUMMYFUNCTION("""COMPUTED_VALUE"""),46104.68758532407)</f>
        <v>46104.68759</v>
      </c>
      <c r="G1554" s="86" t="str">
        <f>IFERROR(__xludf.DUMMYFUNCTION("""COMPUTED_VALUE"""),"Done")</f>
        <v>Done</v>
      </c>
      <c r="H1554" s="88">
        <f>IFERROR(__xludf.DUMMYFUNCTION("""COMPUTED_VALUE"""),0.0)</f>
        <v>0</v>
      </c>
      <c r="I1554" s="90" t="str">
        <f>IFERROR(__xludf.DUMMYFUNCTION("""COMPUTED_VALUE"""),"EMP0042 HULESHWAR KUMAR SAHU")</f>
        <v>EMP0042 HULESHWAR KUMAR SAHU</v>
      </c>
      <c r="J1554" s="91"/>
    </row>
    <row r="1555">
      <c r="B1555" s="76" t="str">
        <f>IFERROR(__xludf.DUMMYFUNCTION("""COMPUTED_VALUE"""),"Solution / Check data in database according to new logics                ")</f>
        <v>Solution / Check data in database according to new logics                </v>
      </c>
      <c r="C1555" s="82">
        <f>IFERROR(__xludf.DUMMYFUNCTION("""COMPUTED_VALUE"""),5019.0)</f>
        <v>5019</v>
      </c>
      <c r="D1555" s="76" t="str">
        <f>IFERROR(__xludf.DUMMYFUNCTION("""COMPUTED_VALUE"""),"MARKSHEET DMC 05 INTEREGATED 6TH SEM")</f>
        <v>MARKSHEET DMC 05 INTEREGATED 6TH SEM</v>
      </c>
      <c r="E1555" s="84">
        <f>IFERROR(__xludf.DUMMYFUNCTION("""COMPUTED_VALUE"""),46106.558333333334)</f>
        <v>46106.55833</v>
      </c>
      <c r="F1555" s="86">
        <f>IFERROR(__xludf.DUMMYFUNCTION("""COMPUTED_VALUE"""),46104.736065150464)</f>
        <v>46104.73607</v>
      </c>
      <c r="G1555" s="86" t="str">
        <f>IFERROR(__xludf.DUMMYFUNCTION("""COMPUTED_VALUE"""),"Done")</f>
        <v>Done</v>
      </c>
      <c r="H1555" s="88">
        <f>IFERROR(__xludf.DUMMYFUNCTION("""COMPUTED_VALUE"""),0.0)</f>
        <v>0</v>
      </c>
      <c r="I1555" s="90" t="str">
        <f>IFERROR(__xludf.DUMMYFUNCTION("""COMPUTED_VALUE"""),"EMP0237 Swarnendu Chakraborty")</f>
        <v>EMP0237 Swarnendu Chakraborty</v>
      </c>
      <c r="J1555" s="91"/>
    </row>
    <row r="1556">
      <c r="B1556" s="76" t="str">
        <f>IFERROR(__xludf.DUMMYFUNCTION("""COMPUTED_VALUE"""),"Solution / Check data in database according to new logics                ")</f>
        <v>Solution / Check data in database according to new logics                </v>
      </c>
      <c r="C1556" s="82">
        <f>IFERROR(__xludf.DUMMYFUNCTION("""COMPUTED_VALUE"""),5020.0)</f>
        <v>5020</v>
      </c>
      <c r="D1556" s="76" t="str">
        <f>IFERROR(__xludf.DUMMYFUNCTION("""COMPUTED_VALUE"""),"Marksheet please upate the logo and signeture")</f>
        <v>Marksheet please upate the logo and signeture</v>
      </c>
      <c r="E1556" s="84">
        <f>IFERROR(__xludf.DUMMYFUNCTION("""COMPUTED_VALUE"""),46106.57916666666)</f>
        <v>46106.57917</v>
      </c>
      <c r="F1556" s="86">
        <f>IFERROR(__xludf.DUMMYFUNCTION("""COMPUTED_VALUE"""),46104.73607811343)</f>
        <v>46104.73608</v>
      </c>
      <c r="G1556" s="86" t="str">
        <f>IFERROR(__xludf.DUMMYFUNCTION("""COMPUTED_VALUE"""),"Done")</f>
        <v>Done</v>
      </c>
      <c r="H1556" s="88">
        <f>IFERROR(__xludf.DUMMYFUNCTION("""COMPUTED_VALUE"""),0.0)</f>
        <v>0</v>
      </c>
      <c r="I1556" s="90" t="str">
        <f>IFERROR(__xludf.DUMMYFUNCTION("""COMPUTED_VALUE"""),"EMP5009 Rup Kumar Mandal")</f>
        <v>EMP5009 Rup Kumar Mandal</v>
      </c>
      <c r="J1556" s="91"/>
    </row>
    <row r="1557">
      <c r="B1557" s="76" t="str">
        <f>IFERROR(__xludf.DUMMYFUNCTION("""COMPUTED_VALUE"""),"Solution / Check data in database according to new logics                ")</f>
        <v>Solution / Check data in database according to new logics                </v>
      </c>
      <c r="C1557" s="82">
        <f>IFERROR(__xludf.DUMMYFUNCTION("""COMPUTED_VALUE"""),5021.0)</f>
        <v>5021</v>
      </c>
      <c r="D1557" s="76" t="str">
        <f>IFERROR(__xludf.DUMMYFUNCTION("""COMPUTED_VALUE"""),"MArksheet correction acoding to atteched file and dicsuction")</f>
        <v>MArksheet correction acoding to atteched file and dicsuction</v>
      </c>
      <c r="E1557" s="84">
        <f>IFERROR(__xludf.DUMMYFUNCTION("""COMPUTED_VALUE"""),46107.55416666667)</f>
        <v>46107.55417</v>
      </c>
      <c r="F1557" s="86">
        <f>IFERROR(__xludf.DUMMYFUNCTION("""COMPUTED_VALUE"""),46106.52580461805)</f>
        <v>46106.5258</v>
      </c>
      <c r="G1557" s="86" t="str">
        <f>IFERROR(__xludf.DUMMYFUNCTION("""COMPUTED_VALUE"""),"Done")</f>
        <v>Done</v>
      </c>
      <c r="H1557" s="88">
        <f>IFERROR(__xludf.DUMMYFUNCTION("""COMPUTED_VALUE"""),0.0)</f>
        <v>0</v>
      </c>
      <c r="I1557" s="90" t="str">
        <f>IFERROR(__xludf.DUMMYFUNCTION("""COMPUTED_VALUE"""),"EMP0237 Swarnendu Chakraborty")</f>
        <v>EMP0237 Swarnendu Chakraborty</v>
      </c>
      <c r="J1557" s="91"/>
    </row>
    <row r="1558">
      <c r="B1558" s="76" t="str">
        <f>IFERROR(__xludf.DUMMYFUNCTION("""COMPUTED_VALUE"""),"Solution / Check data in database according to new logics                ")</f>
        <v>Solution / Check data in database according to new logics                </v>
      </c>
      <c r="C1558" s="82">
        <f>IFERROR(__xludf.DUMMYFUNCTION("""COMPUTED_VALUE"""),5022.0)</f>
        <v>5022</v>
      </c>
      <c r="D1558" s="76" t="str">
        <f>IFERROR(__xludf.DUMMYFUNCTION("""COMPUTED_VALUE"""),"TR")</f>
        <v>TR</v>
      </c>
      <c r="E1558" s="84">
        <f>IFERROR(__xludf.DUMMYFUNCTION("""COMPUTED_VALUE"""),46107.73958333333)</f>
        <v>46107.73958</v>
      </c>
      <c r="F1558" s="86">
        <f>IFERROR(__xludf.DUMMYFUNCTION("""COMPUTED_VALUE"""),46106.59655422454)</f>
        <v>46106.59655</v>
      </c>
      <c r="G1558" s="86" t="str">
        <f>IFERROR(__xludf.DUMMYFUNCTION("""COMPUTED_VALUE"""),"Done")</f>
        <v>Done</v>
      </c>
      <c r="H1558" s="88">
        <f>IFERROR(__xludf.DUMMYFUNCTION("""COMPUTED_VALUE"""),0.0)</f>
        <v>0</v>
      </c>
      <c r="I1558" s="90" t="str">
        <f>IFERROR(__xludf.DUMMYFUNCTION("""COMPUTED_VALUE"""),"EMP0042 HULESHWAR KUMAR SAHU")</f>
        <v>EMP0042 HULESHWAR KUMAR SAHU</v>
      </c>
      <c r="J1558" s="91"/>
    </row>
    <row r="1559">
      <c r="B1559" s="76" t="str">
        <f>IFERROR(__xludf.DUMMYFUNCTION("""COMPUTED_VALUE"""),"Solution / Check data in database according to new logics                ")</f>
        <v>Solution / Check data in database according to new logics                </v>
      </c>
      <c r="C1559" s="82">
        <f>IFERROR(__xludf.DUMMYFUNCTION("""COMPUTED_VALUE"""),5023.0)</f>
        <v>5023</v>
      </c>
      <c r="D1559" s="76" t="str">
        <f>IFERROR(__xludf.DUMMYFUNCTION("""COMPUTED_VALUE"""),"Mark Is Greater Than Max mark(Step 7) First Semester ( Sem - 1) BACHELOR OF COMMERCE B.COM_SE02")</f>
        <v>Mark Is Greater Than Max mark(Step 7) First Semester ( Sem - 1) BACHELOR OF COMMERCE B.COM_SE02</v>
      </c>
      <c r="E1559" s="84">
        <f>IFERROR(__xludf.DUMMYFUNCTION("""COMPUTED_VALUE"""),46108.47222222222)</f>
        <v>46108.47222</v>
      </c>
      <c r="F1559" s="86">
        <f>IFERROR(__xludf.DUMMYFUNCTION("""COMPUTED_VALUE"""),46106.66243988426)</f>
        <v>46106.66244</v>
      </c>
      <c r="G1559" s="86" t="str">
        <f>IFERROR(__xludf.DUMMYFUNCTION("""COMPUTED_VALUE"""),"Done")</f>
        <v>Done</v>
      </c>
      <c r="H1559" s="88">
        <f>IFERROR(__xludf.DUMMYFUNCTION("""COMPUTED_VALUE"""),0.0)</f>
        <v>0</v>
      </c>
      <c r="I1559" s="90" t="str">
        <f>IFERROR(__xludf.DUMMYFUNCTION("""COMPUTED_VALUE"""),"EMP0237 Swarnendu Chakraborty")</f>
        <v>EMP0237 Swarnendu Chakraborty</v>
      </c>
      <c r="J1559" s="91"/>
    </row>
    <row r="1560">
      <c r="B1560" s="76" t="str">
        <f>IFERROR(__xludf.DUMMYFUNCTION("""COMPUTED_VALUE"""),"Solution / Check data in database according to new logics                ")</f>
        <v>Solution / Check data in database according to new logics                </v>
      </c>
      <c r="C1560" s="82">
        <f>IFERROR(__xludf.DUMMYFUNCTION("""COMPUTED_VALUE"""),5024.0)</f>
        <v>5024</v>
      </c>
      <c r="D1560" s="76" t="str">
        <f>IFERROR(__xludf.DUMMYFUNCTION("""COMPUTED_VALUE"""),"Multiple reports ")</f>
        <v>Multiple reports </v>
      </c>
      <c r="E1560" s="84">
        <f>IFERROR(__xludf.DUMMYFUNCTION("""COMPUTED_VALUE"""),46108.476388888885)</f>
        <v>46108.47639</v>
      </c>
      <c r="F1560" s="86">
        <f>IFERROR(__xludf.DUMMYFUNCTION("""COMPUTED_VALUE"""),46106.75593737269)</f>
        <v>46106.75594</v>
      </c>
      <c r="G1560" s="86" t="str">
        <f>IFERROR(__xludf.DUMMYFUNCTION("""COMPUTED_VALUE"""),"Done")</f>
        <v>Done</v>
      </c>
      <c r="H1560" s="88">
        <f>IFERROR(__xludf.DUMMYFUNCTION("""COMPUTED_VALUE"""),0.0)</f>
        <v>0</v>
      </c>
      <c r="I1560" s="90" t="str">
        <f>IFERROR(__xludf.DUMMYFUNCTION("""COMPUTED_VALUE"""),"EMP0042 HULESHWAR KUMAR SAHU")</f>
        <v>EMP0042 HULESHWAR KUMAR SAHU</v>
      </c>
      <c r="J1560" s="91"/>
    </row>
    <row r="1561">
      <c r="B1561" s="76" t="str">
        <f>IFERROR(__xludf.DUMMYFUNCTION("""COMPUTED_VALUE"""),"Solution / Check data in database according to new logics                ")</f>
        <v>Solution / Check data in database according to new logics                </v>
      </c>
      <c r="C1561" s="82">
        <f>IFERROR(__xludf.DUMMYFUNCTION("""COMPUTED_VALUE"""),5025.0)</f>
        <v>5025</v>
      </c>
      <c r="D1561" s="76" t="str">
        <f>IFERROR(__xludf.DUMMYFUNCTION("""COMPUTED_VALUE"""),"TR Format (Grading / Non-Grading) ")</f>
        <v>TR Format (Grading / Non-Grading) </v>
      </c>
      <c r="E1561" s="84">
        <f>IFERROR(__xludf.DUMMYFUNCTION("""COMPUTED_VALUE"""),46108.57152777778)</f>
        <v>46108.57153</v>
      </c>
      <c r="F1561" s="86">
        <f>IFERROR(__xludf.DUMMYFUNCTION("""COMPUTED_VALUE"""),46107.47628122685)</f>
        <v>46107.47628</v>
      </c>
      <c r="G1561" s="86" t="str">
        <f>IFERROR(__xludf.DUMMYFUNCTION("""COMPUTED_VALUE"""),"Done")</f>
        <v>Done</v>
      </c>
      <c r="H1561" s="88">
        <f>IFERROR(__xludf.DUMMYFUNCTION("""COMPUTED_VALUE"""),0.0)</f>
        <v>0</v>
      </c>
      <c r="I1561" s="90" t="str">
        <f>IFERROR(__xludf.DUMMYFUNCTION("""COMPUTED_VALUE"""),"EMP5009 Rup Kumar Mandal")</f>
        <v>EMP5009 Rup Kumar Mandal</v>
      </c>
      <c r="J1561" s="91"/>
    </row>
    <row r="1562">
      <c r="B1562" s="76" t="str">
        <f>IFERROR(__xludf.DUMMYFUNCTION("""COMPUTED_VALUE"""),"Solution / Check data in database according to new logics                ")</f>
        <v>Solution / Check data in database according to new logics                </v>
      </c>
      <c r="C1562" s="82">
        <f>IFERROR(__xludf.DUMMYFUNCTION("""COMPUTED_VALUE"""),5026.0)</f>
        <v>5026</v>
      </c>
      <c r="D1562" s="76" t="str">
        <f>IFERROR(__xludf.DUMMYFUNCTION("""COMPUTED_VALUE"""),"	Grade Card NEP (PG) ")</f>
        <v>	Grade Card NEP (PG) </v>
      </c>
      <c r="E1562" s="84">
        <f>IFERROR(__xludf.DUMMYFUNCTION("""COMPUTED_VALUE"""),46108.57916666666)</f>
        <v>46108.57917</v>
      </c>
      <c r="F1562" s="86">
        <f>IFERROR(__xludf.DUMMYFUNCTION("""COMPUTED_VALUE"""),46107.476297245375)</f>
        <v>46107.4763</v>
      </c>
      <c r="G1562" s="86" t="str">
        <f>IFERROR(__xludf.DUMMYFUNCTION("""COMPUTED_VALUE"""),"Done")</f>
        <v>Done</v>
      </c>
      <c r="H1562" s="88">
        <f>IFERROR(__xludf.DUMMYFUNCTION("""COMPUTED_VALUE"""),0.0)</f>
        <v>0</v>
      </c>
      <c r="I1562" s="90" t="str">
        <f>IFERROR(__xludf.DUMMYFUNCTION("""COMPUTED_VALUE"""),"EMP5009 Rup Kumar Mandal")</f>
        <v>EMP5009 Rup Kumar Mandal</v>
      </c>
      <c r="J1562" s="91"/>
    </row>
    <row r="1563">
      <c r="B1563" s="76" t="str">
        <f>IFERROR(__xludf.DUMMYFUNCTION("""COMPUTED_VALUE"""),"Solution / Check data in database according to new logics                ")</f>
        <v>Solution / Check data in database according to new logics                </v>
      </c>
      <c r="C1563" s="82">
        <f>IFERROR(__xludf.DUMMYFUNCTION("""COMPUTED_VALUE"""),5027.0)</f>
        <v>5027</v>
      </c>
      <c r="D1563" s="76" t="str">
        <f>IFERROR(__xludf.DUMMYFUNCTION("""COMPUTED_VALUE"""),"Result Recomendation")</f>
        <v>Result Recomendation</v>
      </c>
      <c r="E1563" s="84">
        <f>IFERROR(__xludf.DUMMYFUNCTION("""COMPUTED_VALUE"""),46108.75833333333)</f>
        <v>46108.75833</v>
      </c>
      <c r="F1563" s="86">
        <f>IFERROR(__xludf.DUMMYFUNCTION("""COMPUTED_VALUE"""),46108.61542238426)</f>
        <v>46108.61542</v>
      </c>
      <c r="G1563" s="86" t="str">
        <f>IFERROR(__xludf.DUMMYFUNCTION("""COMPUTED_VALUE"""),"Done")</f>
        <v>Done</v>
      </c>
      <c r="H1563" s="88">
        <f>IFERROR(__xludf.DUMMYFUNCTION("""COMPUTED_VALUE"""),0.0)</f>
        <v>0</v>
      </c>
      <c r="I1563" s="90" t="str">
        <f>IFERROR(__xludf.DUMMYFUNCTION("""COMPUTED_VALUE"""),"EMP0042 HULESHWAR KUMAR SAHU")</f>
        <v>EMP0042 HULESHWAR KUMAR SAHU</v>
      </c>
      <c r="J1563" s="91"/>
    </row>
    <row r="1564">
      <c r="B1564" s="76" t="str">
        <f>IFERROR(__xludf.DUMMYFUNCTION("""COMPUTED_VALUE"""),"Solution / Check data in database according to new logics                ")</f>
        <v>Solution / Check data in database according to new logics                </v>
      </c>
      <c r="C1564" s="82">
        <f>IFERROR(__xludf.DUMMYFUNCTION("""COMPUTED_VALUE"""),5028.0)</f>
        <v>5028</v>
      </c>
      <c r="D1564" s="76" t="str">
        <f>IFERROR(__xludf.DUMMYFUNCTION("""COMPUTED_VALUE"""),"ENROLLMENT REPORT")</f>
        <v>ENROLLMENT REPORT</v>
      </c>
      <c r="E1564" s="84">
        <f>IFERROR(__xludf.DUMMYFUNCTION("""COMPUTED_VALUE"""),46108.78194444445)</f>
        <v>46108.78194</v>
      </c>
      <c r="F1564" s="86">
        <f>IFERROR(__xludf.DUMMYFUNCTION("""COMPUTED_VALUE"""),46108.61506373842)</f>
        <v>46108.61506</v>
      </c>
      <c r="G1564" s="86" t="str">
        <f>IFERROR(__xludf.DUMMYFUNCTION("""COMPUTED_VALUE"""),"Done")</f>
        <v>Done</v>
      </c>
      <c r="H1564" s="88">
        <f>IFERROR(__xludf.DUMMYFUNCTION("""COMPUTED_VALUE"""),0.0)</f>
        <v>0</v>
      </c>
      <c r="I1564" s="90" t="str">
        <f>IFERROR(__xludf.DUMMYFUNCTION("""COMPUTED_VALUE"""),"EMP5009 Rup Kumar Mandal")</f>
        <v>EMP5009 Rup Kumar Mandal</v>
      </c>
      <c r="J1564" s="91"/>
    </row>
    <row r="1565">
      <c r="B1565" s="76" t="str">
        <f>IFERROR(__xludf.DUMMYFUNCTION("""COMPUTED_VALUE"""),"Solution / Check data in database according to new logics                ")</f>
        <v>Solution / Check data in database according to new logics                </v>
      </c>
      <c r="C1565" s="82">
        <f>IFERROR(__xludf.DUMMYFUNCTION("""COMPUTED_VALUE"""),5029.0)</f>
        <v>5029</v>
      </c>
      <c r="D1565" s="76" t="str">
        <f>IFERROR(__xludf.DUMMYFUNCTION("""COMPUTED_VALUE"""),"ENROLLMENT REPORT")</f>
        <v>ENROLLMENT REPORT</v>
      </c>
      <c r="E1565" s="84">
        <f>IFERROR(__xludf.DUMMYFUNCTION("""COMPUTED_VALUE"""),46108.78680555556)</f>
        <v>46108.78681</v>
      </c>
      <c r="F1565" s="86">
        <f>IFERROR(__xludf.DUMMYFUNCTION("""COMPUTED_VALUE"""),46108.584386574075)</f>
        <v>46108.58439</v>
      </c>
      <c r="G1565" s="86" t="str">
        <f>IFERROR(__xludf.DUMMYFUNCTION("""COMPUTED_VALUE"""),"Done")</f>
        <v>Done</v>
      </c>
      <c r="H1565" s="88">
        <f>IFERROR(__xludf.DUMMYFUNCTION("""COMPUTED_VALUE"""),0.0)</f>
        <v>0</v>
      </c>
      <c r="I1565" s="90" t="str">
        <f>IFERROR(__xludf.DUMMYFUNCTION("""COMPUTED_VALUE"""),"EMP5009 Rup Kumar Mandal")</f>
        <v>EMP5009 Rup Kumar Mandal</v>
      </c>
      <c r="J1565" s="91"/>
    </row>
    <row r="1566">
      <c r="B1566" s="76" t="str">
        <f>IFERROR(__xludf.DUMMYFUNCTION("""COMPUTED_VALUE"""),"Solution / Check data in database according to new logics                ")</f>
        <v>Solution / Check data in database according to new logics                </v>
      </c>
      <c r="C1566" s="82">
        <f>IFERROR(__xludf.DUMMYFUNCTION("""COMPUTED_VALUE"""),5030.0)</f>
        <v>5030</v>
      </c>
      <c r="D1566" s="76" t="str">
        <f>IFERROR(__xludf.DUMMYFUNCTION("""COMPUTED_VALUE"""),"The course name should be taken from the main header in all result reports.")</f>
        <v>The course name should be taken from the main header in all result reports.</v>
      </c>
      <c r="E1566" s="84">
        <f>IFERROR(__xludf.DUMMYFUNCTION("""COMPUTED_VALUE"""),46108.80972222222)</f>
        <v>46108.80972</v>
      </c>
      <c r="F1566" s="86">
        <f>IFERROR(__xludf.DUMMYFUNCTION("""COMPUTED_VALUE"""),46108.71578295138)</f>
        <v>46108.71578</v>
      </c>
      <c r="G1566" s="86" t="str">
        <f>IFERROR(__xludf.DUMMYFUNCTION("""COMPUTED_VALUE"""),"Done")</f>
        <v>Done</v>
      </c>
      <c r="H1566" s="88">
        <f>IFERROR(__xludf.DUMMYFUNCTION("""COMPUTED_VALUE"""),0.0)</f>
        <v>0</v>
      </c>
      <c r="I1566" s="90" t="str">
        <f>IFERROR(__xludf.DUMMYFUNCTION("""COMPUTED_VALUE"""),"EMP0237 Swarnendu Chakraborty")</f>
        <v>EMP0237 Swarnendu Chakraborty</v>
      </c>
      <c r="J1566" s="91"/>
    </row>
    <row r="1567">
      <c r="B1567" s="76" t="str">
        <f>IFERROR(__xludf.DUMMYFUNCTION("""COMPUTED_VALUE"""),"Solution / Check data in database according to new logics                ")</f>
        <v>Solution / Check data in database according to new logics                </v>
      </c>
      <c r="C1567" s="82">
        <f>IFERROR(__xludf.DUMMYFUNCTION("""COMPUTED_VALUE"""),5031.0)</f>
        <v>5031</v>
      </c>
      <c r="D1567" s="76" t="str">
        <f>IFERROR(__xludf.DUMMYFUNCTION("""COMPUTED_VALUE"""),"STUDENTS REGISTRATION COUNT")</f>
        <v>STUDENTS REGISTRATION COUNT</v>
      </c>
      <c r="E1567" s="84">
        <f>IFERROR(__xludf.DUMMYFUNCTION("""COMPUTED_VALUE"""),46109.45138888889)</f>
        <v>46109.45139</v>
      </c>
      <c r="F1567" s="86">
        <f>IFERROR(__xludf.DUMMYFUNCTION("""COMPUTED_VALUE"""),46108.71616328704)</f>
        <v>46108.71616</v>
      </c>
      <c r="G1567" s="86" t="str">
        <f>IFERROR(__xludf.DUMMYFUNCTION("""COMPUTED_VALUE"""),"Done")</f>
        <v>Done</v>
      </c>
      <c r="H1567" s="88">
        <f>IFERROR(__xludf.DUMMYFUNCTION("""COMPUTED_VALUE"""),0.0)</f>
        <v>0</v>
      </c>
      <c r="I1567" s="90" t="str">
        <f>IFERROR(__xludf.DUMMYFUNCTION("""COMPUTED_VALUE"""),"EMP0237 Swarnendu Chakraborty")</f>
        <v>EMP0237 Swarnendu Chakraborty</v>
      </c>
      <c r="J1567" s="91"/>
    </row>
    <row r="1568">
      <c r="B1568" s="76" t="str">
        <f>IFERROR(__xludf.DUMMYFUNCTION("""COMPUTED_VALUE"""),"Solution / Check data in database according to new logics                ")</f>
        <v>Solution / Check data in database according to new logics                </v>
      </c>
      <c r="C1568" s="82">
        <f>IFERROR(__xludf.DUMMYFUNCTION("""COMPUTED_VALUE"""),5032.0)</f>
        <v>5032</v>
      </c>
      <c r="D1568" s="76" t="str">
        <f>IFERROR(__xludf.DUMMYFUNCTION("""COMPUTED_VALUE"""),"TR")</f>
        <v>TR</v>
      </c>
      <c r="E1568" s="84">
        <f>IFERROR(__xludf.DUMMYFUNCTION("""COMPUTED_VALUE"""),46109.81180555555)</f>
        <v>46109.81181</v>
      </c>
      <c r="F1568" s="86">
        <f>IFERROR(__xludf.DUMMYFUNCTION("""COMPUTED_VALUE"""),46108.67318769676)</f>
        <v>46108.67319</v>
      </c>
      <c r="G1568" s="86" t="str">
        <f>IFERROR(__xludf.DUMMYFUNCTION("""COMPUTED_VALUE"""),"Done")</f>
        <v>Done</v>
      </c>
      <c r="H1568" s="88">
        <f>IFERROR(__xludf.DUMMYFUNCTION("""COMPUTED_VALUE"""),0.0)</f>
        <v>0</v>
      </c>
      <c r="I1568" s="90" t="str">
        <f>IFERROR(__xludf.DUMMYFUNCTION("""COMPUTED_VALUE"""),"EMP0042 HULESHWAR KUMAR SAHU")</f>
        <v>EMP0042 HULESHWAR KUMAR SAHU</v>
      </c>
      <c r="J1568" s="91"/>
    </row>
    <row r="1569">
      <c r="B1569" s="76" t="str">
        <f>IFERROR(__xludf.DUMMYFUNCTION("""COMPUTED_VALUE"""),"Solution / Check data in database according to new logics                ")</f>
        <v>Solution / Check data in database according to new logics                </v>
      </c>
      <c r="C1569" s="82">
        <f>IFERROR(__xludf.DUMMYFUNCTION("""COMPUTED_VALUE"""),5033.0)</f>
        <v>5033</v>
      </c>
      <c r="D1569" s="76" t="str">
        <f>IFERROR(__xludf.DUMMYFUNCTION("""COMPUTED_VALUE"""),"NEP TR ")</f>
        <v>NEP TR </v>
      </c>
      <c r="E1569" s="84">
        <f>IFERROR(__xludf.DUMMYFUNCTION("""COMPUTED_VALUE"""),46111.53472222222)</f>
        <v>46111.53472</v>
      </c>
      <c r="F1569" s="86">
        <f>IFERROR(__xludf.DUMMYFUNCTION("""COMPUTED_VALUE"""),46110.70962523148)</f>
        <v>46110.70963</v>
      </c>
      <c r="G1569" s="86" t="str">
        <f>IFERROR(__xludf.DUMMYFUNCTION("""COMPUTED_VALUE"""),"Done")</f>
        <v>Done</v>
      </c>
      <c r="H1569" s="88">
        <f>IFERROR(__xludf.DUMMYFUNCTION("""COMPUTED_VALUE"""),0.0)</f>
        <v>0</v>
      </c>
      <c r="I1569" s="90" t="str">
        <f>IFERROR(__xludf.DUMMYFUNCTION("""COMPUTED_VALUE"""),"EMP0042 HULESHWAR KUMAR SAHU")</f>
        <v>EMP0042 HULESHWAR KUMAR SAHU</v>
      </c>
      <c r="J1569" s="91"/>
    </row>
    <row r="1570">
      <c r="B1570" s="76" t="str">
        <f>IFERROR(__xludf.DUMMYFUNCTION("""COMPUTED_VALUE"""),"Solution / Check data in database according to new logics                ")</f>
        <v>Solution / Check data in database according to new logics                </v>
      </c>
      <c r="C1570" s="82">
        <f>IFERROR(__xludf.DUMMYFUNCTION("""COMPUTED_VALUE"""),5034.0)</f>
        <v>5034</v>
      </c>
      <c r="D1570" s="76" t="str">
        <f>IFERROR(__xludf.DUMMYFUNCTION("""COMPUTED_VALUE"""),"PRE PROCESS ERROR STEP-7")</f>
        <v>PRE PROCESS ERROR STEP-7</v>
      </c>
      <c r="E1570" s="84">
        <f>IFERROR(__xludf.DUMMYFUNCTION("""COMPUTED_VALUE"""),46111.56597222222)</f>
        <v>46111.56597</v>
      </c>
      <c r="F1570" s="86">
        <f>IFERROR(__xludf.DUMMYFUNCTION("""COMPUTED_VALUE"""),46109.681007824074)</f>
        <v>46109.68101</v>
      </c>
      <c r="G1570" s="86" t="str">
        <f>IFERROR(__xludf.DUMMYFUNCTION("""COMPUTED_VALUE"""),"Done")</f>
        <v>Done</v>
      </c>
      <c r="H1570" s="88">
        <f>IFERROR(__xludf.DUMMYFUNCTION("""COMPUTED_VALUE"""),0.0)</f>
        <v>0</v>
      </c>
      <c r="I1570" s="90" t="str">
        <f>IFERROR(__xludf.DUMMYFUNCTION("""COMPUTED_VALUE"""),"EMP0237 Swarnendu Chakraborty")</f>
        <v>EMP0237 Swarnendu Chakraborty</v>
      </c>
      <c r="J1570" s="91"/>
    </row>
    <row r="1571">
      <c r="B1571" s="76" t="str">
        <f>IFERROR(__xludf.DUMMYFUNCTION("""COMPUTED_VALUE"""),"Solution / Check data in database according to new logics                ")</f>
        <v>Solution / Check data in database according to new logics                </v>
      </c>
      <c r="C1571" s="82">
        <f>IFERROR(__xludf.DUMMYFUNCTION("""COMPUTED_VALUE"""),5035.0)</f>
        <v>5035</v>
      </c>
      <c r="D1571" s="76" t="str">
        <f>IFERROR(__xludf.DUMMYFUNCTION("""COMPUTED_VALUE"""),"NEP ENROLLMENT/REGISTRATION REPORT")</f>
        <v>NEP ENROLLMENT/REGISTRATION REPORT</v>
      </c>
      <c r="E1571" s="84">
        <f>IFERROR(__xludf.DUMMYFUNCTION("""COMPUTED_VALUE"""),46111.75347222222)</f>
        <v>46111.75347</v>
      </c>
      <c r="F1571" s="86">
        <f>IFERROR(__xludf.DUMMYFUNCTION("""COMPUTED_VALUE"""),46109.681093611114)</f>
        <v>46109.68109</v>
      </c>
      <c r="G1571" s="86" t="str">
        <f>IFERROR(__xludf.DUMMYFUNCTION("""COMPUTED_VALUE"""),"Done")</f>
        <v>Done</v>
      </c>
      <c r="H1571" s="88">
        <f>IFERROR(__xludf.DUMMYFUNCTION("""COMPUTED_VALUE"""),0.0)</f>
        <v>0</v>
      </c>
      <c r="I1571" s="90" t="str">
        <f>IFERROR(__xludf.DUMMYFUNCTION("""COMPUTED_VALUE"""),"EMP0042 HULESHWAR KUMAR SAHU")</f>
        <v>EMP0042 HULESHWAR KUMAR SAHU</v>
      </c>
      <c r="J1571" s="91"/>
    </row>
    <row r="1572">
      <c r="B1572" s="76" t="str">
        <f>IFERROR(__xludf.DUMMYFUNCTION("""COMPUTED_VALUE"""),"Solution / Check data in database according to new logics                ")</f>
        <v>Solution / Check data in database according to new logics                </v>
      </c>
      <c r="C1572" s="82">
        <f>IFERROR(__xludf.DUMMYFUNCTION("""COMPUTED_VALUE"""),5036.0)</f>
        <v>5036</v>
      </c>
      <c r="D1572" s="76" t="str">
        <f>IFERROR(__xludf.DUMMYFUNCTION("""COMPUTED_VALUE"""),"MUTIPLE REPORT")</f>
        <v>MUTIPLE REPORT</v>
      </c>
      <c r="E1572" s="84">
        <f>IFERROR(__xludf.DUMMYFUNCTION("""COMPUTED_VALUE"""),46111.77847222222)</f>
        <v>46111.77847</v>
      </c>
      <c r="F1572" s="86">
        <f>IFERROR(__xludf.DUMMYFUNCTION("""COMPUTED_VALUE"""),46110.71025107639)</f>
        <v>46110.71025</v>
      </c>
      <c r="G1572" s="86" t="str">
        <f>IFERROR(__xludf.DUMMYFUNCTION("""COMPUTED_VALUE"""),"Done")</f>
        <v>Done</v>
      </c>
      <c r="H1572" s="88">
        <f>IFERROR(__xludf.DUMMYFUNCTION("""COMPUTED_VALUE"""),0.0)</f>
        <v>0</v>
      </c>
      <c r="I1572" s="90" t="str">
        <f>IFERROR(__xludf.DUMMYFUNCTION("""COMPUTED_VALUE"""),"EMP0042 HULESHWAR KUMAR SAHU")</f>
        <v>EMP0042 HULESHWAR KUMAR SAHU</v>
      </c>
      <c r="J1572" s="91"/>
    </row>
    <row r="1573">
      <c r="B1573" s="76" t="str">
        <f>IFERROR(__xludf.DUMMYFUNCTION("""COMPUTED_VALUE"""),"Solution / Check data in database according to new logics                ")</f>
        <v>Solution / Check data in database according to new logics                </v>
      </c>
      <c r="C1573" s="82">
        <f>IFERROR(__xludf.DUMMYFUNCTION("""COMPUTED_VALUE"""),5037.0)</f>
        <v>5037</v>
      </c>
      <c r="D1573" s="76" t="str">
        <f>IFERROR(__xludf.DUMMYFUNCTION("""COMPUTED_VALUE"""),"NEP M.A political1ST SEM TR ")</f>
        <v>NEP M.A political1ST SEM TR </v>
      </c>
      <c r="E1573" s="84">
        <f>IFERROR(__xludf.DUMMYFUNCTION("""COMPUTED_VALUE"""),46111.79791666666)</f>
        <v>46111.79792</v>
      </c>
      <c r="F1573" s="86">
        <f>IFERROR(__xludf.DUMMYFUNCTION("""COMPUTED_VALUE"""),46109.683277951386)</f>
        <v>46109.68328</v>
      </c>
      <c r="G1573" s="86" t="str">
        <f>IFERROR(__xludf.DUMMYFUNCTION("""COMPUTED_VALUE"""),"Done")</f>
        <v>Done</v>
      </c>
      <c r="H1573" s="88">
        <f>IFERROR(__xludf.DUMMYFUNCTION("""COMPUTED_VALUE"""),0.0)</f>
        <v>0</v>
      </c>
      <c r="I1573" s="90" t="str">
        <f>IFERROR(__xludf.DUMMYFUNCTION("""COMPUTED_VALUE"""),"EMP0042 HULESHWAR KUMAR SAHU")</f>
        <v>EMP0042 HULESHWAR KUMAR SAHU</v>
      </c>
      <c r="J1573" s="91"/>
    </row>
    <row r="1574">
      <c r="B1574" s="76" t="str">
        <f>IFERROR(__xludf.DUMMYFUNCTION("""COMPUTED_VALUE"""),"Solution / Check data in database according to new logics                ")</f>
        <v>Solution / Check data in database according to new logics                </v>
      </c>
      <c r="C1574" s="82">
        <f>IFERROR(__xludf.DUMMYFUNCTION("""COMPUTED_VALUE"""),5038.0)</f>
        <v>5038</v>
      </c>
      <c r="D1574" s="76" t="str">
        <f>IFERROR(__xludf.DUMMYFUNCTION("""COMPUTED_VALUE"""),"NEP SCHEMA REPORT")</f>
        <v>NEP SCHEMA REPORT</v>
      </c>
      <c r="E1574" s="84">
        <f>IFERROR(__xludf.DUMMYFUNCTION("""COMPUTED_VALUE"""),46111.81458333333)</f>
        <v>46111.81458</v>
      </c>
      <c r="F1574" s="86">
        <f>IFERROR(__xludf.DUMMYFUNCTION("""COMPUTED_VALUE"""),46109.683429467594)</f>
        <v>46109.68343</v>
      </c>
      <c r="G1574" s="86" t="str">
        <f>IFERROR(__xludf.DUMMYFUNCTION("""COMPUTED_VALUE"""),"Done")</f>
        <v>Done</v>
      </c>
      <c r="H1574" s="88">
        <f>IFERROR(__xludf.DUMMYFUNCTION("""COMPUTED_VALUE"""),0.0)</f>
        <v>0</v>
      </c>
      <c r="I1574" s="90" t="str">
        <f>IFERROR(__xludf.DUMMYFUNCTION("""COMPUTED_VALUE"""),"EMP0042 HULESHWAR KUMAR SAHU")</f>
        <v>EMP0042 HULESHWAR KUMAR SAHU</v>
      </c>
      <c r="J1574" s="91"/>
    </row>
    <row r="1575">
      <c r="B1575" s="76" t="str">
        <f>IFERROR(__xludf.DUMMYFUNCTION("""COMPUTED_VALUE"""),"Solution / Check data in database according to new logics                ")</f>
        <v>Solution / Check data in database according to new logics                </v>
      </c>
      <c r="C1575" s="82">
        <f>IFERROR(__xludf.DUMMYFUNCTION("""COMPUTED_VALUE"""),5039.0)</f>
        <v>5039</v>
      </c>
      <c r="D1575" s="76" t="str">
        <f>IFERROR(__xludf.DUMMYFUNCTION("""COMPUTED_VALUE"""),"NEP TR REPORT")</f>
        <v>NEP TR REPORT</v>
      </c>
      <c r="E1575" s="84">
        <f>IFERROR(__xludf.DUMMYFUNCTION("""COMPUTED_VALUE"""),46111.819444444445)</f>
        <v>46111.81944</v>
      </c>
      <c r="F1575" s="86">
        <f>IFERROR(__xludf.DUMMYFUNCTION("""COMPUTED_VALUE"""),46109.68357902778)</f>
        <v>46109.68358</v>
      </c>
      <c r="G1575" s="86" t="str">
        <f>IFERROR(__xludf.DUMMYFUNCTION("""COMPUTED_VALUE"""),"Done")</f>
        <v>Done</v>
      </c>
      <c r="H1575" s="88">
        <f>IFERROR(__xludf.DUMMYFUNCTION("""COMPUTED_VALUE"""),0.0)</f>
        <v>0</v>
      </c>
      <c r="I1575" s="90" t="str">
        <f>IFERROR(__xludf.DUMMYFUNCTION("""COMPUTED_VALUE"""),"EMP0042 HULESHWAR KUMAR SAHU")</f>
        <v>EMP0042 HULESHWAR KUMAR SAHU</v>
      </c>
      <c r="J1575" s="91"/>
    </row>
    <row r="1576">
      <c r="B1576" s="76" t="str">
        <f>IFERROR(__xludf.DUMMYFUNCTION("""COMPUTED_VALUE"""),"Solution / Check data in database according to new logics                ")</f>
        <v>Solution / Check data in database according to new logics                </v>
      </c>
      <c r="C1576" s="82">
        <f>IFERROR(__xludf.DUMMYFUNCTION("""COMPUTED_VALUE"""),5040.0)</f>
        <v>5040</v>
      </c>
      <c r="D1576" s="76" t="str">
        <f>IFERROR(__xludf.DUMMYFUNCTION("""COMPUTED_VALUE"""),"Correction in Calculation MD Anatomy,3rd year")</f>
        <v>Correction in Calculation MD Anatomy,3rd year</v>
      </c>
      <c r="E1576" s="84">
        <f>IFERROR(__xludf.DUMMYFUNCTION("""COMPUTED_VALUE"""),46112.611805555556)</f>
        <v>46112.61181</v>
      </c>
      <c r="F1576" s="86">
        <f>IFERROR(__xludf.DUMMYFUNCTION("""COMPUTED_VALUE"""),46110.51058166667)</f>
        <v>46110.51058</v>
      </c>
      <c r="G1576" s="86" t="str">
        <f>IFERROR(__xludf.DUMMYFUNCTION("""COMPUTED_VALUE"""),"Done")</f>
        <v>Done</v>
      </c>
      <c r="H1576" s="88">
        <f>IFERROR(__xludf.DUMMYFUNCTION("""COMPUTED_VALUE"""),0.0)</f>
        <v>0</v>
      </c>
      <c r="I1576" s="90" t="str">
        <f>IFERROR(__xludf.DUMMYFUNCTION("""COMPUTED_VALUE"""),"EMP0042 HULESHWAR KUMAR SAHU")</f>
        <v>EMP0042 HULESHWAR KUMAR SAHU</v>
      </c>
      <c r="J1576" s="91"/>
    </row>
    <row r="1577">
      <c r="B1577" s="76" t="str">
        <f>IFERROR(__xludf.DUMMYFUNCTION("""COMPUTED_VALUE"""),"Solution / Check data in database according to new logics                ")</f>
        <v>Solution / Check data in database according to new logics                </v>
      </c>
      <c r="C1577" s="82">
        <f>IFERROR(__xludf.DUMMYFUNCTION("""COMPUTED_VALUE"""),5041.0)</f>
        <v>5041</v>
      </c>
      <c r="D1577" s="76" t="str">
        <f>IFERROR(__xludf.DUMMYFUNCTION("""COMPUTED_VALUE"""),"result commetee")</f>
        <v>result commetee</v>
      </c>
      <c r="E1577" s="84">
        <f>IFERROR(__xludf.DUMMYFUNCTION("""COMPUTED_VALUE"""),46112.6125)</f>
        <v>46112.6125</v>
      </c>
      <c r="F1577" s="86">
        <f>IFERROR(__xludf.DUMMYFUNCTION("""COMPUTED_VALUE"""),46110.59368672453)</f>
        <v>46110.59369</v>
      </c>
      <c r="G1577" s="86" t="str">
        <f>IFERROR(__xludf.DUMMYFUNCTION("""COMPUTED_VALUE"""),"Done")</f>
        <v>Done</v>
      </c>
      <c r="H1577" s="88">
        <f>IFERROR(__xludf.DUMMYFUNCTION("""COMPUTED_VALUE"""),0.0)</f>
        <v>0</v>
      </c>
      <c r="I1577" s="90" t="str">
        <f>IFERROR(__xludf.DUMMYFUNCTION("""COMPUTED_VALUE"""),"EMP0042 HULESHWAR KUMAR SAHU")</f>
        <v>EMP0042 HULESHWAR KUMAR SAHU</v>
      </c>
      <c r="J1577" s="91"/>
    </row>
    <row r="1578">
      <c r="B1578" s="76" t="str">
        <f>IFERROR(__xludf.DUMMYFUNCTION("""COMPUTED_VALUE"""),"Solution / Check data in database according to new logics                ")</f>
        <v>Solution / Check data in database according to new logics                </v>
      </c>
      <c r="C1578" s="82">
        <f>IFERROR(__xludf.DUMMYFUNCTION("""COMPUTED_VALUE"""),5042.0)</f>
        <v>5042</v>
      </c>
      <c r="D1578" s="76" t="str">
        <f>IFERROR(__xludf.DUMMYFUNCTION("""COMPUTED_VALUE"""),"Correction in Calculation MD Physiology ,3rd year")</f>
        <v>Correction in Calculation MD Physiology ,3rd year</v>
      </c>
      <c r="E1578" s="84">
        <f>IFERROR(__xludf.DUMMYFUNCTION("""COMPUTED_VALUE"""),46112.61388888889)</f>
        <v>46112.61389</v>
      </c>
      <c r="F1578" s="86">
        <f>IFERROR(__xludf.DUMMYFUNCTION("""COMPUTED_VALUE"""),46110.594001875)</f>
        <v>46110.594</v>
      </c>
      <c r="G1578" s="86" t="str">
        <f>IFERROR(__xludf.DUMMYFUNCTION("""COMPUTED_VALUE"""),"Done")</f>
        <v>Done</v>
      </c>
      <c r="H1578" s="88">
        <f>IFERROR(__xludf.DUMMYFUNCTION("""COMPUTED_VALUE"""),0.0)</f>
        <v>0</v>
      </c>
      <c r="I1578" s="90" t="str">
        <f>IFERROR(__xludf.DUMMYFUNCTION("""COMPUTED_VALUE"""),"EMP0042 HULESHWAR KUMAR SAHU")</f>
        <v>EMP0042 HULESHWAR KUMAR SAHU</v>
      </c>
      <c r="J1578" s="91"/>
    </row>
    <row r="1579">
      <c r="B1579" s="76" t="str">
        <f>IFERROR(__xludf.DUMMYFUNCTION("""COMPUTED_VALUE"""),"Solution / Check data in database according to new logics                ")</f>
        <v>Solution / Check data in database according to new logics                </v>
      </c>
      <c r="C1579" s="82">
        <f>IFERROR(__xludf.DUMMYFUNCTION("""COMPUTED_VALUE"""),5043.0)</f>
        <v>5043</v>
      </c>
      <c r="D1579" s="76" t="str">
        <f>IFERROR(__xludf.DUMMYFUNCTION("""COMPUTED_VALUE"""),"TR ")</f>
        <v>TR </v>
      </c>
      <c r="E1579" s="84">
        <f>IFERROR(__xludf.DUMMYFUNCTION("""COMPUTED_VALUE"""),46112.617361111115)</f>
        <v>46112.61736</v>
      </c>
      <c r="F1579" s="86">
        <f>IFERROR(__xludf.DUMMYFUNCTION("""COMPUTED_VALUE"""),46109.68442622685)</f>
        <v>46109.68443</v>
      </c>
      <c r="G1579" s="86" t="str">
        <f>IFERROR(__xludf.DUMMYFUNCTION("""COMPUTED_VALUE"""),"Done")</f>
        <v>Done</v>
      </c>
      <c r="H1579" s="88">
        <f>IFERROR(__xludf.DUMMYFUNCTION("""COMPUTED_VALUE"""),0.0)</f>
        <v>0</v>
      </c>
      <c r="I1579" s="90" t="str">
        <f>IFERROR(__xludf.DUMMYFUNCTION("""COMPUTED_VALUE"""),"EMP0042 HULESHWAR KUMAR SAHU")</f>
        <v>EMP0042 HULESHWAR KUMAR SAHU</v>
      </c>
      <c r="J1579" s="91"/>
    </row>
    <row r="1580">
      <c r="B1580" s="76" t="str">
        <f>IFERROR(__xludf.DUMMYFUNCTION("""COMPUTED_VALUE"""),"Solution / Check data in database according to new logics                ")</f>
        <v>Solution / Check data in database according to new logics                </v>
      </c>
      <c r="C1580" s="82">
        <f>IFERROR(__xludf.DUMMYFUNCTION("""COMPUTED_VALUE"""),5044.0)</f>
        <v>5044</v>
      </c>
      <c r="D1580" s="76" t="str">
        <f>IFERROR(__xludf.DUMMYFUNCTION("""COMPUTED_VALUE"""),"ENROLLMENT REPORT (EXAMFORM REPORT ALL)")</f>
        <v>ENROLLMENT REPORT (EXAMFORM REPORT ALL)</v>
      </c>
      <c r="E1580" s="84">
        <f>IFERROR(__xludf.DUMMYFUNCTION("""COMPUTED_VALUE"""),46112.80069444445)</f>
        <v>46112.80069</v>
      </c>
      <c r="F1580" s="86">
        <f>IFERROR(__xludf.DUMMYFUNCTION("""COMPUTED_VALUE"""),46111.54586644675)</f>
        <v>46111.54587</v>
      </c>
      <c r="G1580" s="86" t="str">
        <f>IFERROR(__xludf.DUMMYFUNCTION("""COMPUTED_VALUE"""),"Done")</f>
        <v>Done</v>
      </c>
      <c r="H1580" s="88">
        <f>IFERROR(__xludf.DUMMYFUNCTION("""COMPUTED_VALUE"""),0.0)</f>
        <v>0</v>
      </c>
      <c r="I1580" s="90" t="str">
        <f>IFERROR(__xludf.DUMMYFUNCTION("""COMPUTED_VALUE"""),"EMP0237 Swarnendu Chakraborty")</f>
        <v>EMP0237 Swarnendu Chakraborty</v>
      </c>
      <c r="J1580" s="91"/>
    </row>
    <row r="1581">
      <c r="B1581" s="76" t="str">
        <f>IFERROR(__xludf.DUMMYFUNCTION("""COMPUTED_VALUE"""),"Solution / Check data in database according to new logics                ")</f>
        <v>Solution / Check data in database according to new logics                </v>
      </c>
      <c r="C1581" s="82">
        <f>IFERROR(__xludf.DUMMYFUNCTION("""COMPUTED_VALUE"""),5045.0)</f>
        <v>5045</v>
      </c>
      <c r="D1581" s="76" t="str">
        <f>IFERROR(__xludf.DUMMYFUNCTION("""COMPUTED_VALUE"""),"TR REPORT")</f>
        <v>TR REPORT</v>
      </c>
      <c r="E1581" s="84">
        <f>IFERROR(__xludf.DUMMYFUNCTION("""COMPUTED_VALUE"""),46113.429861111115)</f>
        <v>46113.42986</v>
      </c>
      <c r="F1581" s="86">
        <f>IFERROR(__xludf.DUMMYFUNCTION("""COMPUTED_VALUE"""),46112.56263599537)</f>
        <v>46112.56264</v>
      </c>
      <c r="G1581" s="86" t="str">
        <f>IFERROR(__xludf.DUMMYFUNCTION("""COMPUTED_VALUE"""),"Done")</f>
        <v>Done</v>
      </c>
      <c r="H1581" s="88">
        <f>IFERROR(__xludf.DUMMYFUNCTION("""COMPUTED_VALUE"""),0.0)</f>
        <v>0</v>
      </c>
      <c r="I1581" s="90" t="str">
        <f>IFERROR(__xludf.DUMMYFUNCTION("""COMPUTED_VALUE"""),"EMP5009 Rup Kumar Mandal")</f>
        <v>EMP5009 Rup Kumar Mandal</v>
      </c>
      <c r="J1581" s="91"/>
    </row>
    <row r="1582">
      <c r="B1582" s="76" t="str">
        <f>IFERROR(__xludf.DUMMYFUNCTION("""COMPUTED_VALUE"""),"Solution / Check data in database according to new logics                ")</f>
        <v>Solution / Check data in database according to new logics                </v>
      </c>
      <c r="C1582" s="82">
        <f>IFERROR(__xludf.DUMMYFUNCTION("""COMPUTED_VALUE"""),5046.0)</f>
        <v>5046</v>
      </c>
      <c r="D1582" s="76" t="str">
        <f>IFERROR(__xludf.DUMMYFUNCTION("""COMPUTED_VALUE"""),"3629")</f>
        <v>3629</v>
      </c>
      <c r="E1582" s="84">
        <f>IFERROR(__xludf.DUMMYFUNCTION("""COMPUTED_VALUE"""),46113.52083333333)</f>
        <v>46113.52083</v>
      </c>
      <c r="F1582" s="86">
        <f>IFERROR(__xludf.DUMMYFUNCTION("""COMPUTED_VALUE"""),46112.5626625)</f>
        <v>46112.56266</v>
      </c>
      <c r="G1582" s="86" t="str">
        <f>IFERROR(__xludf.DUMMYFUNCTION("""COMPUTED_VALUE"""),"Done")</f>
        <v>Done</v>
      </c>
      <c r="H1582" s="88">
        <f>IFERROR(__xludf.DUMMYFUNCTION("""COMPUTED_VALUE"""),0.0)</f>
        <v>0</v>
      </c>
      <c r="I1582" s="90" t="str">
        <f>IFERROR(__xludf.DUMMYFUNCTION("""COMPUTED_VALUE"""),"EMP5009 Rup Kumar Mandal")</f>
        <v>EMP5009 Rup Kumar Mandal</v>
      </c>
      <c r="J1582" s="91"/>
    </row>
    <row r="1583">
      <c r="B1583" s="76" t="str">
        <f>IFERROR(__xludf.DUMMYFUNCTION("""COMPUTED_VALUE"""),"Solution / Check data in database according to new logics                ")</f>
        <v>Solution / Check data in database according to new logics                </v>
      </c>
      <c r="C1583" s="82">
        <f>IFERROR(__xludf.DUMMYFUNCTION("""COMPUTED_VALUE"""),5047.0)</f>
        <v>5047</v>
      </c>
      <c r="D1583" s="76" t="str">
        <f>IFERROR(__xludf.DUMMYFUNCTION("""COMPUTED_VALUE"""),"3630")</f>
        <v>3630</v>
      </c>
      <c r="E1583" s="84">
        <f>IFERROR(__xludf.DUMMYFUNCTION("""COMPUTED_VALUE"""),46113.52222222222)</f>
        <v>46113.52222</v>
      </c>
      <c r="F1583" s="86">
        <f>IFERROR(__xludf.DUMMYFUNCTION("""COMPUTED_VALUE"""),46112.562668356484)</f>
        <v>46112.56267</v>
      </c>
      <c r="G1583" s="86" t="str">
        <f>IFERROR(__xludf.DUMMYFUNCTION("""COMPUTED_VALUE"""),"Done")</f>
        <v>Done</v>
      </c>
      <c r="H1583" s="88">
        <f>IFERROR(__xludf.DUMMYFUNCTION("""COMPUTED_VALUE"""),0.0)</f>
        <v>0</v>
      </c>
      <c r="I1583" s="90" t="str">
        <f>IFERROR(__xludf.DUMMYFUNCTION("""COMPUTED_VALUE"""),"EMP5009 Rup Kumar Mandal")</f>
        <v>EMP5009 Rup Kumar Mandal</v>
      </c>
      <c r="J1583" s="91"/>
    </row>
    <row r="1584">
      <c r="B1584" s="76" t="str">
        <f>IFERROR(__xludf.DUMMYFUNCTION("""COMPUTED_VALUE"""),"Solution / Check data in database according to new logics                ")</f>
        <v>Solution / Check data in database according to new logics                </v>
      </c>
      <c r="C1584" s="82">
        <f>IFERROR(__xludf.DUMMYFUNCTION("""COMPUTED_VALUE"""),5048.0)</f>
        <v>5048</v>
      </c>
      <c r="D1584" s="76" t="str">
        <f>IFERROR(__xludf.DUMMYFUNCTION("""COMPUTED_VALUE"""),"3629")</f>
        <v>3629</v>
      </c>
      <c r="E1584" s="84">
        <f>IFERROR(__xludf.DUMMYFUNCTION("""COMPUTED_VALUE"""),46113.52291666667)</f>
        <v>46113.52292</v>
      </c>
      <c r="F1584" s="86">
        <f>IFERROR(__xludf.DUMMYFUNCTION("""COMPUTED_VALUE"""),46112.562668356484)</f>
        <v>46112.56267</v>
      </c>
      <c r="G1584" s="86" t="str">
        <f>IFERROR(__xludf.DUMMYFUNCTION("""COMPUTED_VALUE"""),"Done")</f>
        <v>Done</v>
      </c>
      <c r="H1584" s="88">
        <f>IFERROR(__xludf.DUMMYFUNCTION("""COMPUTED_VALUE"""),0.0)</f>
        <v>0</v>
      </c>
      <c r="I1584" s="90" t="str">
        <f>IFERROR(__xludf.DUMMYFUNCTION("""COMPUTED_VALUE"""),"EMP5009 Rup Kumar Mandal")</f>
        <v>EMP5009 Rup Kumar Mandal</v>
      </c>
      <c r="J1584" s="91"/>
    </row>
    <row r="1585">
      <c r="B1585" s="76" t="str">
        <f>IFERROR(__xludf.DUMMYFUNCTION("""COMPUTED_VALUE"""),"Solution / Check data in database according to new logics                ")</f>
        <v>Solution / Check data in database according to new logics                </v>
      </c>
      <c r="C1585" s="82">
        <f>IFERROR(__xludf.DUMMYFUNCTION("""COMPUTED_VALUE"""),5049.0)</f>
        <v>5049</v>
      </c>
      <c r="D1585" s="76" t="str">
        <f>IFERROR(__xludf.DUMMYFUNCTION("""COMPUTED_VALUE"""),"3630")</f>
        <v>3630</v>
      </c>
      <c r="E1585" s="84">
        <f>IFERROR(__xludf.DUMMYFUNCTION("""COMPUTED_VALUE"""),46113.524305555555)</f>
        <v>46113.52431</v>
      </c>
      <c r="F1585" s="86">
        <f>IFERROR(__xludf.DUMMYFUNCTION("""COMPUTED_VALUE"""),46112.562668356484)</f>
        <v>46112.56267</v>
      </c>
      <c r="G1585" s="86" t="str">
        <f>IFERROR(__xludf.DUMMYFUNCTION("""COMPUTED_VALUE"""),"Done")</f>
        <v>Done</v>
      </c>
      <c r="H1585" s="88">
        <f>IFERROR(__xludf.DUMMYFUNCTION("""COMPUTED_VALUE"""),0.0)</f>
        <v>0</v>
      </c>
      <c r="I1585" s="90" t="str">
        <f>IFERROR(__xludf.DUMMYFUNCTION("""COMPUTED_VALUE"""),"EMP5009 Rup Kumar Mandal")</f>
        <v>EMP5009 Rup Kumar Mandal</v>
      </c>
      <c r="J1585" s="91"/>
    </row>
    <row r="1586">
      <c r="B1586" s="76" t="str">
        <f>IFERROR(__xludf.DUMMYFUNCTION("""COMPUTED_VALUE"""),"Solution / Check data in database according to new logics                ")</f>
        <v>Solution / Check data in database according to new logics                </v>
      </c>
      <c r="C1586" s="82">
        <f>IFERROR(__xludf.DUMMYFUNCTION("""COMPUTED_VALUE"""),5050.0)</f>
        <v>5050</v>
      </c>
      <c r="D1586" s="76" t="str">
        <f>IFERROR(__xludf.DUMMYFUNCTION("""COMPUTED_VALUE"""),"TR")</f>
        <v>TR</v>
      </c>
      <c r="E1586" s="84">
        <f>IFERROR(__xludf.DUMMYFUNCTION("""COMPUTED_VALUE"""),46113.57916666666)</f>
        <v>46113.57917</v>
      </c>
      <c r="F1586" s="86">
        <f>IFERROR(__xludf.DUMMYFUNCTION("""COMPUTED_VALUE"""),46112.562668356484)</f>
        <v>46112.56267</v>
      </c>
      <c r="G1586" s="86" t="str">
        <f>IFERROR(__xludf.DUMMYFUNCTION("""COMPUTED_VALUE"""),"Done")</f>
        <v>Done</v>
      </c>
      <c r="H1586" s="88">
        <f>IFERROR(__xludf.DUMMYFUNCTION("""COMPUTED_VALUE"""),0.0)</f>
        <v>0</v>
      </c>
      <c r="I1586" s="90" t="str">
        <f>IFERROR(__xludf.DUMMYFUNCTION("""COMPUTED_VALUE"""),"EMP0042 HULESHWAR KUMAR SAHU")</f>
        <v>EMP0042 HULESHWAR KUMAR SAHU</v>
      </c>
      <c r="J1586" s="91"/>
    </row>
    <row r="1587">
      <c r="B1587" s="76" t="str">
        <f>IFERROR(__xludf.DUMMYFUNCTION("""COMPUTED_VALUE"""),"Solution / Check data in database according to new logics                ")</f>
        <v>Solution / Check data in database according to new logics                </v>
      </c>
      <c r="C1587" s="82">
        <f>IFERROR(__xludf.DUMMYFUNCTION("""COMPUTED_VALUE"""),5051.0)</f>
        <v>5051</v>
      </c>
      <c r="D1587" s="76" t="str">
        <f>IFERROR(__xludf.DUMMYFUNCTION("""COMPUTED_VALUE"""),"Teacher entered  marks entry  [Theory Marks Entry (Teacher)]")</f>
        <v>Teacher entered  marks entry  [Theory Marks Entry (Teacher)]</v>
      </c>
      <c r="E1587" s="84">
        <f>IFERROR(__xludf.DUMMYFUNCTION("""COMPUTED_VALUE"""),46113.763194444444)</f>
        <v>46113.76319</v>
      </c>
      <c r="F1587" s="86">
        <f>IFERROR(__xludf.DUMMYFUNCTION("""COMPUTED_VALUE"""),46112.56260056713)</f>
        <v>46112.5626</v>
      </c>
      <c r="G1587" s="86" t="str">
        <f>IFERROR(__xludf.DUMMYFUNCTION("""COMPUTED_VALUE"""),"Done")</f>
        <v>Done</v>
      </c>
      <c r="H1587" s="88">
        <f>IFERROR(__xludf.DUMMYFUNCTION("""COMPUTED_VALUE"""),0.0)</f>
        <v>0</v>
      </c>
      <c r="I1587" s="90" t="str">
        <f>IFERROR(__xludf.DUMMYFUNCTION("""COMPUTED_VALUE"""),"EMP5009 Rup Kumar Mandal")</f>
        <v>EMP5009 Rup Kumar Mandal</v>
      </c>
      <c r="J1587" s="91"/>
    </row>
    <row r="1588">
      <c r="B1588" s="76" t="str">
        <f>IFERROR(__xludf.DUMMYFUNCTION("""COMPUTED_VALUE"""),"Solution / Check data in database according to new logics                ")</f>
        <v>Solution / Check data in database according to new logics                </v>
      </c>
      <c r="C1588" s="82">
        <f>IFERROR(__xludf.DUMMYFUNCTION("""COMPUTED_VALUE"""),5052.0)</f>
        <v>5052</v>
      </c>
      <c r="D1588" s="76" t="str">
        <f>IFERROR(__xludf.DUMMYFUNCTION("""COMPUTED_VALUE"""),"Marks entry report [theory marks entry]")</f>
        <v>Marks entry report [theory marks entry]</v>
      </c>
      <c r="E1588" s="84">
        <f>IFERROR(__xludf.DUMMYFUNCTION("""COMPUTED_VALUE"""),46113.76597222222)</f>
        <v>46113.76597</v>
      </c>
      <c r="F1588" s="86">
        <f>IFERROR(__xludf.DUMMYFUNCTION("""COMPUTED_VALUE"""),46112.56269910879)</f>
        <v>46112.5627</v>
      </c>
      <c r="G1588" s="86" t="str">
        <f>IFERROR(__xludf.DUMMYFUNCTION("""COMPUTED_VALUE"""),"Done")</f>
        <v>Done</v>
      </c>
      <c r="H1588" s="88">
        <f>IFERROR(__xludf.DUMMYFUNCTION("""COMPUTED_VALUE"""),0.0)</f>
        <v>0</v>
      </c>
      <c r="I1588" s="90" t="str">
        <f>IFERROR(__xludf.DUMMYFUNCTION("""COMPUTED_VALUE"""),"EMP5009 Rup Kumar Mandal")</f>
        <v>EMP5009 Rup Kumar Mandal</v>
      </c>
      <c r="J1588" s="91"/>
    </row>
    <row r="1589">
      <c r="B1589" s="76" t="str">
        <f>IFERROR(__xludf.DUMMYFUNCTION("""COMPUTED_VALUE"""),"Solution / Check data in database according to new logics                ")</f>
        <v>Solution / Check data in database according to new logics                </v>
      </c>
      <c r="C1589" s="82">
        <f>IFERROR(__xludf.DUMMYFUNCTION("""COMPUTED_VALUE"""),5053.0)</f>
        <v>5053</v>
      </c>
      <c r="D1589" s="76" t="str">
        <f>IFERROR(__xludf.DUMMYFUNCTION("""COMPUTED_VALUE"""),"TR_phd_NEW_FORMAT")</f>
        <v>TR_phd_NEW_FORMAT</v>
      </c>
      <c r="E1589" s="84">
        <f>IFERROR(__xludf.DUMMYFUNCTION("""COMPUTED_VALUE"""),46114.74722222222)</f>
        <v>46114.74722</v>
      </c>
      <c r="F1589" s="86">
        <f>IFERROR(__xludf.DUMMYFUNCTION("""COMPUTED_VALUE"""),46113.51523280092)</f>
        <v>46113.51523</v>
      </c>
      <c r="G1589" s="86" t="str">
        <f>IFERROR(__xludf.DUMMYFUNCTION("""COMPUTED_VALUE"""),"Done")</f>
        <v>Done</v>
      </c>
      <c r="H1589" s="88">
        <f>IFERROR(__xludf.DUMMYFUNCTION("""COMPUTED_VALUE"""),0.0)</f>
        <v>0</v>
      </c>
      <c r="I1589" s="90" t="str">
        <f>IFERROR(__xludf.DUMMYFUNCTION("""COMPUTED_VALUE"""),"EMP0042 HULESHWAR KUMAR SAHU")</f>
        <v>EMP0042 HULESHWAR KUMAR SAHU</v>
      </c>
      <c r="J1589" s="91"/>
    </row>
    <row r="1590">
      <c r="B1590" s="76" t="str">
        <f>IFERROR(__xludf.DUMMYFUNCTION("""COMPUTED_VALUE"""),"Solution / Check data in database according to new logics                ")</f>
        <v>Solution / Check data in database according to new logics                </v>
      </c>
      <c r="C1590" s="82">
        <f>IFERROR(__xludf.DUMMYFUNCTION("""COMPUTED_VALUE"""),5054.0)</f>
        <v>5054</v>
      </c>
      <c r="D1590" s="76" t="str">
        <f>IFERROR(__xludf.DUMMYFUNCTION("""COMPUTED_VALUE"""),"TR ")</f>
        <v>TR </v>
      </c>
      <c r="E1590" s="84">
        <f>IFERROR(__xludf.DUMMYFUNCTION("""COMPUTED_VALUE"""),46114.79166666667)</f>
        <v>46114.79167</v>
      </c>
      <c r="F1590" s="86">
        <f>IFERROR(__xludf.DUMMYFUNCTION("""COMPUTED_VALUE"""),46113.519213842585)</f>
        <v>46113.51921</v>
      </c>
      <c r="G1590" s="86" t="str">
        <f>IFERROR(__xludf.DUMMYFUNCTION("""COMPUTED_VALUE"""),"Done")</f>
        <v>Done</v>
      </c>
      <c r="H1590" s="88">
        <f>IFERROR(__xludf.DUMMYFUNCTION("""COMPUTED_VALUE"""),0.0)</f>
        <v>0</v>
      </c>
      <c r="I1590" s="90" t="str">
        <f>IFERROR(__xludf.DUMMYFUNCTION("""COMPUTED_VALUE"""),"EMP0042 HULESHWAR KUMAR SAHU")</f>
        <v>EMP0042 HULESHWAR KUMAR SAHU</v>
      </c>
      <c r="J1590" s="91"/>
    </row>
    <row r="1591">
      <c r="B1591" s="76" t="str">
        <f>IFERROR(__xludf.DUMMYFUNCTION("""COMPUTED_VALUE"""),"Solution / Check data in database according to new logics                ")</f>
        <v>Solution / Check data in database according to new logics                </v>
      </c>
      <c r="C1591" s="82">
        <f>IFERROR(__xludf.DUMMYFUNCTION("""COMPUTED_VALUE"""),5055.0)</f>
        <v>5055</v>
      </c>
      <c r="D1591" s="76" t="str">
        <f>IFERROR(__xludf.DUMMYFUNCTION("""COMPUTED_VALUE"""),"TR ")</f>
        <v>TR </v>
      </c>
      <c r="E1591" s="84">
        <f>IFERROR(__xludf.DUMMYFUNCTION("""COMPUTED_VALUE"""),46114.80069444445)</f>
        <v>46114.80069</v>
      </c>
      <c r="F1591" s="86">
        <f>IFERROR(__xludf.DUMMYFUNCTION("""COMPUTED_VALUE"""),46114.64350694444)</f>
        <v>46114.64351</v>
      </c>
      <c r="G1591" s="86" t="str">
        <f>IFERROR(__xludf.DUMMYFUNCTION("""COMPUTED_VALUE"""),"Done")</f>
        <v>Done</v>
      </c>
      <c r="H1591" s="88">
        <f>IFERROR(__xludf.DUMMYFUNCTION("""COMPUTED_VALUE"""),0.0)</f>
        <v>0</v>
      </c>
      <c r="I1591" s="90" t="str">
        <f>IFERROR(__xludf.DUMMYFUNCTION("""COMPUTED_VALUE"""),"EMP0042 HULESHWAR KUMAR SAHU")</f>
        <v>EMP0042 HULESHWAR KUMAR SAHU</v>
      </c>
      <c r="J1591" s="91"/>
    </row>
    <row r="1592">
      <c r="B1592" s="76" t="str">
        <f>IFERROR(__xludf.DUMMYFUNCTION("""COMPUTED_VALUE"""),"Solution / Check data in database according to new logics                ")</f>
        <v>Solution / Check data in database according to new logics                </v>
      </c>
      <c r="C1592" s="82">
        <f>IFERROR(__xludf.DUMMYFUNCTION("""COMPUTED_VALUE"""),5056.0)</f>
        <v>5056</v>
      </c>
      <c r="D1592" s="76" t="str">
        <f>IFERROR(__xludf.DUMMYFUNCTION("""COMPUTED_VALUE"""),"Provisional Certificate Sign change ")</f>
        <v>Provisional Certificate Sign change </v>
      </c>
      <c r="E1592" s="84">
        <f>IFERROR(__xludf.DUMMYFUNCTION("""COMPUTED_VALUE"""),46114.80972222222)</f>
        <v>46114.80972</v>
      </c>
      <c r="F1592" s="86">
        <f>IFERROR(__xludf.DUMMYFUNCTION("""COMPUTED_VALUE"""),46113.565769155095)</f>
        <v>46113.56577</v>
      </c>
      <c r="G1592" s="86" t="str">
        <f>IFERROR(__xludf.DUMMYFUNCTION("""COMPUTED_VALUE"""),"Done")</f>
        <v>Done</v>
      </c>
      <c r="H1592" s="88">
        <f>IFERROR(__xludf.DUMMYFUNCTION("""COMPUTED_VALUE"""),0.0)</f>
        <v>0</v>
      </c>
      <c r="I1592" s="90" t="str">
        <f>IFERROR(__xludf.DUMMYFUNCTION("""COMPUTED_VALUE"""),"EMP0042 HULESHWAR KUMAR SAHU")</f>
        <v>EMP0042 HULESHWAR KUMAR SAHU</v>
      </c>
      <c r="J1592" s="91"/>
    </row>
    <row r="1593">
      <c r="B1593" s="76" t="str">
        <f>IFERROR(__xludf.DUMMYFUNCTION("""COMPUTED_VALUE"""),"Solution / Check data in database according to new logics                ")</f>
        <v>Solution / Check data in database according to new logics                </v>
      </c>
      <c r="C1593" s="82">
        <f>IFERROR(__xludf.DUMMYFUNCTION("""COMPUTED_VALUE"""),5057.0)</f>
        <v>5057</v>
      </c>
      <c r="D1593" s="76" t="str">
        <f>IFERROR(__xludf.DUMMYFUNCTION("""COMPUTED_VALUE"""),"Marksheet MBBS New Format")</f>
        <v>Marksheet MBBS New Format</v>
      </c>
      <c r="E1593" s="84">
        <f>IFERROR(__xludf.DUMMYFUNCTION("""COMPUTED_VALUE"""),46114.81111111111)</f>
        <v>46114.81111</v>
      </c>
      <c r="F1593" s="86">
        <f>IFERROR(__xludf.DUMMYFUNCTION("""COMPUTED_VALUE"""),46113.56566760417)</f>
        <v>46113.56567</v>
      </c>
      <c r="G1593" s="86" t="str">
        <f>IFERROR(__xludf.DUMMYFUNCTION("""COMPUTED_VALUE"""),"Done")</f>
        <v>Done</v>
      </c>
      <c r="H1593" s="88">
        <f>IFERROR(__xludf.DUMMYFUNCTION("""COMPUTED_VALUE"""),0.0)</f>
        <v>0</v>
      </c>
      <c r="I1593" s="90" t="str">
        <f>IFERROR(__xludf.DUMMYFUNCTION("""COMPUTED_VALUE"""),"EMP0042 HULESHWAR KUMAR SAHU")</f>
        <v>EMP0042 HULESHWAR KUMAR SAHU</v>
      </c>
      <c r="J1593" s="91"/>
    </row>
    <row r="1594">
      <c r="B1594" s="76" t="str">
        <f>IFERROR(__xludf.DUMMYFUNCTION("""COMPUTED_VALUE"""),"Solution / Check data in database according to new logics                ")</f>
        <v>Solution / Check data in database according to new logics                </v>
      </c>
      <c r="C1594" s="82">
        <f>IFERROR(__xludf.DUMMYFUNCTION("""COMPUTED_VALUE"""),5058.0)</f>
        <v>5058</v>
      </c>
      <c r="D1594" s="76" t="str">
        <f>IFERROR(__xludf.DUMMYFUNCTION("""COMPUTED_VALUE"""),"TR_phd_NEW_FORMAT")</f>
        <v>TR_phd_NEW_FORMAT</v>
      </c>
      <c r="E1594" s="84">
        <f>IFERROR(__xludf.DUMMYFUNCTION("""COMPUTED_VALUE"""),46114.8125)</f>
        <v>46114.8125</v>
      </c>
      <c r="F1594" s="86">
        <f>IFERROR(__xludf.DUMMYFUNCTION("""COMPUTED_VALUE"""),46113.676298715276)</f>
        <v>46113.6763</v>
      </c>
      <c r="G1594" s="86" t="str">
        <f>IFERROR(__xludf.DUMMYFUNCTION("""COMPUTED_VALUE"""),"Done")</f>
        <v>Done</v>
      </c>
      <c r="H1594" s="88">
        <f>IFERROR(__xludf.DUMMYFUNCTION("""COMPUTED_VALUE"""),0.0)</f>
        <v>0</v>
      </c>
      <c r="I1594" s="90" t="str">
        <f>IFERROR(__xludf.DUMMYFUNCTION("""COMPUTED_VALUE"""),"EMP0021 Tamanna Dewangan")</f>
        <v>EMP0021 Tamanna Dewangan</v>
      </c>
      <c r="J1594" s="91"/>
    </row>
    <row r="1595">
      <c r="B1595" s="76" t="str">
        <f>IFERROR(__xludf.DUMMYFUNCTION("""COMPUTED_VALUE"""),"Solution / Check data in database according to new logics                ")</f>
        <v>Solution / Check data in database according to new logics                </v>
      </c>
      <c r="C1595" s="82">
        <f>IFERROR(__xludf.DUMMYFUNCTION("""COMPUTED_VALUE"""),5059.0)</f>
        <v>5059</v>
      </c>
      <c r="D1595" s="76" t="str">
        <f>IFERROR(__xludf.DUMMYFUNCTION("""COMPUTED_VALUE"""),"TR REPORT")</f>
        <v>TR REPORT</v>
      </c>
      <c r="E1595" s="84">
        <f>IFERROR(__xludf.DUMMYFUNCTION("""COMPUTED_VALUE"""),46115.55416666667)</f>
        <v>46115.55417</v>
      </c>
      <c r="F1595" s="86">
        <f>IFERROR(__xludf.DUMMYFUNCTION("""COMPUTED_VALUE"""),46115.43445059028)</f>
        <v>46115.43445</v>
      </c>
      <c r="G1595" s="86" t="str">
        <f>IFERROR(__xludf.DUMMYFUNCTION("""COMPUTED_VALUE"""),"Done")</f>
        <v>Done</v>
      </c>
      <c r="H1595" s="88">
        <f>IFERROR(__xludf.DUMMYFUNCTION("""COMPUTED_VALUE"""),0.0)</f>
        <v>0</v>
      </c>
      <c r="I1595" s="90" t="str">
        <f>IFERROR(__xludf.DUMMYFUNCTION("""COMPUTED_VALUE"""),"EMP5009 Rup Kumar Mandal")</f>
        <v>EMP5009 Rup Kumar Mandal</v>
      </c>
      <c r="J1595" s="91"/>
    </row>
    <row r="1596">
      <c r="B1596" s="76" t="str">
        <f>IFERROR(__xludf.DUMMYFUNCTION("""COMPUTED_VALUE"""),"Solution / Check data in database according to new logics                ")</f>
        <v>Solution / Check data in database according to new logics                </v>
      </c>
      <c r="C1596" s="82">
        <f>IFERROR(__xludf.DUMMYFUNCTION("""COMPUTED_VALUE"""),5060.0)</f>
        <v>5060</v>
      </c>
      <c r="D1596" s="76" t="str">
        <f>IFERROR(__xludf.DUMMYFUNCTION("""COMPUTED_VALUE"""),"RESULT DATA FORMATE")</f>
        <v>RESULT DATA FORMATE</v>
      </c>
      <c r="E1596" s="84">
        <f>IFERROR(__xludf.DUMMYFUNCTION("""COMPUTED_VALUE"""),46115.55625)</f>
        <v>46115.55625</v>
      </c>
      <c r="F1596" s="86">
        <f>IFERROR(__xludf.DUMMYFUNCTION("""COMPUTED_VALUE"""),46115.434411145834)</f>
        <v>46115.43441</v>
      </c>
      <c r="G1596" s="86" t="str">
        <f>IFERROR(__xludf.DUMMYFUNCTION("""COMPUTED_VALUE"""),"Done")</f>
        <v>Done</v>
      </c>
      <c r="H1596" s="88">
        <f>IFERROR(__xludf.DUMMYFUNCTION("""COMPUTED_VALUE"""),0.0)</f>
        <v>0</v>
      </c>
      <c r="I1596" s="90" t="str">
        <f>IFERROR(__xludf.DUMMYFUNCTION("""COMPUTED_VALUE"""),"EMP5009 Rup Kumar Mandal")</f>
        <v>EMP5009 Rup Kumar Mandal</v>
      </c>
      <c r="J1596" s="91"/>
    </row>
    <row r="1597">
      <c r="B1597" s="76" t="str">
        <f>IFERROR(__xludf.DUMMYFUNCTION("""COMPUTED_VALUE"""),"Solution / Check data in database according to new logics                ")</f>
        <v>Solution / Check data in database according to new logics                </v>
      </c>
      <c r="C1597" s="82">
        <f>IFERROR(__xludf.DUMMYFUNCTION("""COMPUTED_VALUE"""),5061.0)</f>
        <v>5061</v>
      </c>
      <c r="D1597" s="76" t="str">
        <f>IFERROR(__xludf.DUMMYFUNCTION("""COMPUTED_VALUE"""),"College filter change to all")</f>
        <v>College filter change to all</v>
      </c>
      <c r="E1597" s="84">
        <f>IFERROR(__xludf.DUMMYFUNCTION("""COMPUTED_VALUE"""),46115.58194444445)</f>
        <v>46115.58194</v>
      </c>
      <c r="F1597" s="86">
        <f>IFERROR(__xludf.DUMMYFUNCTION("""COMPUTED_VALUE"""),46115.43444164352)</f>
        <v>46115.43444</v>
      </c>
      <c r="G1597" s="86" t="str">
        <f>IFERROR(__xludf.DUMMYFUNCTION("""COMPUTED_VALUE"""),"Done")</f>
        <v>Done</v>
      </c>
      <c r="H1597" s="88">
        <f>IFERROR(__xludf.DUMMYFUNCTION("""COMPUTED_VALUE"""),0.0)</f>
        <v>0</v>
      </c>
      <c r="I1597" s="90" t="str">
        <f>IFERROR(__xludf.DUMMYFUNCTION("""COMPUTED_VALUE"""),"EMP0021 Tamanna Dewangan")</f>
        <v>EMP0021 Tamanna Dewangan</v>
      </c>
      <c r="J1597" s="91"/>
    </row>
    <row r="1598">
      <c r="B1598" s="76" t="str">
        <f>IFERROR(__xludf.DUMMYFUNCTION("""COMPUTED_VALUE"""),"Solution / Check data in database according to new logics                ")</f>
        <v>Solution / Check data in database according to new logics                </v>
      </c>
      <c r="C1598" s="82">
        <f>IFERROR(__xludf.DUMMYFUNCTION("""COMPUTED_VALUE"""),5062.0)</f>
        <v>5062</v>
      </c>
      <c r="D1598" s="76" t="str">
        <f>IFERROR(__xludf.DUMMYFUNCTION("""COMPUTED_VALUE"""),"download TR but downloaded marksheet but TR is not downloading")</f>
        <v>download TR but downloaded marksheet but TR is not downloading</v>
      </c>
      <c r="E1598" s="84">
        <f>IFERROR(__xludf.DUMMYFUNCTION("""COMPUTED_VALUE"""),46115.59444444445)</f>
        <v>46115.59444</v>
      </c>
      <c r="F1598" s="86">
        <f>IFERROR(__xludf.DUMMYFUNCTION("""COMPUTED_VALUE"""),46114.84104579861)</f>
        <v>46114.84105</v>
      </c>
      <c r="G1598" s="86" t="str">
        <f>IFERROR(__xludf.DUMMYFUNCTION("""COMPUTED_VALUE"""),"Done")</f>
        <v>Done</v>
      </c>
      <c r="H1598" s="88">
        <f>IFERROR(__xludf.DUMMYFUNCTION("""COMPUTED_VALUE"""),0.0)</f>
        <v>0</v>
      </c>
      <c r="I1598" s="90" t="str">
        <f>IFERROR(__xludf.DUMMYFUNCTION("""COMPUTED_VALUE"""),"EMP0042 HULESHWAR KUMAR SAHU")</f>
        <v>EMP0042 HULESHWAR KUMAR SAHU</v>
      </c>
      <c r="J1598" s="91"/>
    </row>
    <row r="1599">
      <c r="B1599" s="76" t="str">
        <f>IFERROR(__xludf.DUMMYFUNCTION("""COMPUTED_VALUE"""),"Solution / Check data in database according to new logics                ")</f>
        <v>Solution / Check data in database according to new logics                </v>
      </c>
      <c r="C1599" s="82">
        <f>IFERROR(__xludf.DUMMYFUNCTION("""COMPUTED_VALUE"""),5063.0)</f>
        <v>5063</v>
      </c>
      <c r="D1599" s="76" t="str">
        <f>IFERROR(__xludf.DUMMYFUNCTION("""COMPUTED_VALUE"""),"TR")</f>
        <v>TR</v>
      </c>
      <c r="E1599" s="84">
        <f>IFERROR(__xludf.DUMMYFUNCTION("""COMPUTED_VALUE"""),46115.59722222222)</f>
        <v>46115.59722</v>
      </c>
      <c r="F1599" s="86">
        <f>IFERROR(__xludf.DUMMYFUNCTION("""COMPUTED_VALUE"""),46114.4548665162)</f>
        <v>46114.45487</v>
      </c>
      <c r="G1599" s="86" t="str">
        <f>IFERROR(__xludf.DUMMYFUNCTION("""COMPUTED_VALUE"""),"Done")</f>
        <v>Done</v>
      </c>
      <c r="H1599" s="88">
        <f>IFERROR(__xludf.DUMMYFUNCTION("""COMPUTED_VALUE"""),0.0)</f>
        <v>0</v>
      </c>
      <c r="I1599" s="90" t="str">
        <f>IFERROR(__xludf.DUMMYFUNCTION("""COMPUTED_VALUE"""),"EMP0042 HULESHWAR KUMAR SAHU")</f>
        <v>EMP0042 HULESHWAR KUMAR SAHU</v>
      </c>
      <c r="J1599" s="91"/>
    </row>
    <row r="1600">
      <c r="B1600" s="76" t="str">
        <f>IFERROR(__xludf.DUMMYFUNCTION("""COMPUTED_VALUE"""),"Solution / Check data in database according to new logics                ")</f>
        <v>Solution / Check data in database according to new logics                </v>
      </c>
      <c r="C1600" s="82">
        <f>IFERROR(__xludf.DUMMYFUNCTION("""COMPUTED_VALUE"""),5064.0)</f>
        <v>5064</v>
      </c>
      <c r="D1600" s="76" t="str">
        <f>IFERROR(__xludf.DUMMYFUNCTION("""COMPUTED_VALUE"""),"Press Release")</f>
        <v>Press Release</v>
      </c>
      <c r="E1600" s="84">
        <f>IFERROR(__xludf.DUMMYFUNCTION("""COMPUTED_VALUE"""),46115.597916666666)</f>
        <v>46115.59792</v>
      </c>
      <c r="F1600" s="86">
        <f>IFERROR(__xludf.DUMMYFUNCTION("""COMPUTED_VALUE"""),46114.4548765625)</f>
        <v>46114.45488</v>
      </c>
      <c r="G1600" s="86" t="str">
        <f>IFERROR(__xludf.DUMMYFUNCTION("""COMPUTED_VALUE"""),"Done")</f>
        <v>Done</v>
      </c>
      <c r="H1600" s="88">
        <f>IFERROR(__xludf.DUMMYFUNCTION("""COMPUTED_VALUE"""),0.0)</f>
        <v>0</v>
      </c>
      <c r="I1600" s="90" t="str">
        <f>IFERROR(__xludf.DUMMYFUNCTION("""COMPUTED_VALUE"""),"EMP0042 HULESHWAR KUMAR SAHU")</f>
        <v>EMP0042 HULESHWAR KUMAR SAHU</v>
      </c>
      <c r="J1600" s="91"/>
    </row>
    <row r="1601">
      <c r="B1601" s="76" t="str">
        <f>IFERROR(__xludf.DUMMYFUNCTION("""COMPUTED_VALUE"""),"Solution / Check data in database according to new logics                ")</f>
        <v>Solution / Check data in database according to new logics                </v>
      </c>
      <c r="C1601" s="82">
        <f>IFERROR(__xludf.DUMMYFUNCTION("""COMPUTED_VALUE"""),5065.0)</f>
        <v>5065</v>
      </c>
      <c r="D1601" s="76" t="str">
        <f>IFERROR(__xludf.DUMMYFUNCTION("""COMPUTED_VALUE"""),"Pre Processing Error")</f>
        <v>Pre Processing Error</v>
      </c>
      <c r="E1601" s="84">
        <f>IFERROR(__xludf.DUMMYFUNCTION("""COMPUTED_VALUE"""),46116.45625)</f>
        <v>46116.45625</v>
      </c>
      <c r="F1601" s="86">
        <f>IFERROR(__xludf.DUMMYFUNCTION("""COMPUTED_VALUE"""),46115.43876798611)</f>
        <v>46115.43877</v>
      </c>
      <c r="G1601" s="86" t="str">
        <f>IFERROR(__xludf.DUMMYFUNCTION("""COMPUTED_VALUE"""),"Done")</f>
        <v>Done</v>
      </c>
      <c r="H1601" s="88">
        <f>IFERROR(__xludf.DUMMYFUNCTION("""COMPUTED_VALUE"""),0.0)</f>
        <v>0</v>
      </c>
      <c r="I1601" s="90" t="str">
        <f>IFERROR(__xludf.DUMMYFUNCTION("""COMPUTED_VALUE"""),"EMP0237 Swarnendu Chakraborty")</f>
        <v>EMP0237 Swarnendu Chakraborty</v>
      </c>
      <c r="J1601" s="91"/>
    </row>
    <row r="1602">
      <c r="B1602" s="76" t="str">
        <f>IFERROR(__xludf.DUMMYFUNCTION("""COMPUTED_VALUE"""),"Solution / Check data in database according to new logics                ")</f>
        <v>Solution / Check data in database according to new logics                </v>
      </c>
      <c r="C1602" s="82">
        <f>IFERROR(__xludf.DUMMYFUNCTION("""COMPUTED_VALUE"""),5066.0)</f>
        <v>5066</v>
      </c>
      <c r="D1602" s="76" t="str">
        <f>IFERROR(__xludf.DUMMYFUNCTION("""COMPUTED_VALUE"""),"Pre Processing Error ")</f>
        <v>Pre Processing Error </v>
      </c>
      <c r="E1602" s="84">
        <f>IFERROR(__xludf.DUMMYFUNCTION("""COMPUTED_VALUE"""),46116.47708333333)</f>
        <v>46116.47708</v>
      </c>
      <c r="F1602" s="86">
        <f>IFERROR(__xludf.DUMMYFUNCTION("""COMPUTED_VALUE"""),46115.43879965277)</f>
        <v>46115.4388</v>
      </c>
      <c r="G1602" s="86" t="str">
        <f>IFERROR(__xludf.DUMMYFUNCTION("""COMPUTED_VALUE"""),"Done")</f>
        <v>Done</v>
      </c>
      <c r="H1602" s="88">
        <f>IFERROR(__xludf.DUMMYFUNCTION("""COMPUTED_VALUE"""),0.0)</f>
        <v>0</v>
      </c>
      <c r="I1602" s="90" t="str">
        <f>IFERROR(__xludf.DUMMYFUNCTION("""COMPUTED_VALUE"""),"EMP0237 Swarnendu Chakraborty")</f>
        <v>EMP0237 Swarnendu Chakraborty</v>
      </c>
      <c r="J1602" s="91"/>
    </row>
    <row r="1603">
      <c r="B1603" s="76" t="str">
        <f>IFERROR(__xludf.DUMMYFUNCTION("""COMPUTED_VALUE"""),"Solution / Check data in database according to new logics                ")</f>
        <v>Solution / Check data in database according to new logics                </v>
      </c>
      <c r="C1603" s="82">
        <f>IFERROR(__xludf.DUMMYFUNCTION("""COMPUTED_VALUE"""),5067.0)</f>
        <v>5067</v>
      </c>
      <c r="D1603" s="76" t="str">
        <f>IFERROR(__xludf.DUMMYFUNCTION("""COMPUTED_VALUE"""),"REVEL FORM")</f>
        <v>REVEL FORM</v>
      </c>
      <c r="E1603" s="84">
        <f>IFERROR(__xludf.DUMMYFUNCTION("""COMPUTED_VALUE"""),46116.5375)</f>
        <v>46116.5375</v>
      </c>
      <c r="F1603" s="86">
        <f>IFERROR(__xludf.DUMMYFUNCTION("""COMPUTED_VALUE"""),46114.78770072917)</f>
        <v>46114.7877</v>
      </c>
      <c r="G1603" s="86" t="str">
        <f>IFERROR(__xludf.DUMMYFUNCTION("""COMPUTED_VALUE"""),"Done")</f>
        <v>Done</v>
      </c>
      <c r="H1603" s="88">
        <f>IFERROR(__xludf.DUMMYFUNCTION("""COMPUTED_VALUE"""),0.0)</f>
        <v>0</v>
      </c>
      <c r="I1603" s="90" t="str">
        <f>IFERROR(__xludf.DUMMYFUNCTION("""COMPUTED_VALUE"""),"EMP0042 HULESHWAR KUMAR SAHU")</f>
        <v>EMP0042 HULESHWAR KUMAR SAHU</v>
      </c>
      <c r="J1603" s="91"/>
    </row>
    <row r="1604">
      <c r="B1604" s="76" t="str">
        <f>IFERROR(__xludf.DUMMYFUNCTION("""COMPUTED_VALUE"""),"Solution / Check data in database according to new logics                ")</f>
        <v>Solution / Check data in database according to new logics                </v>
      </c>
      <c r="C1604" s="82">
        <f>IFERROR(__xludf.DUMMYFUNCTION("""COMPUTED_VALUE"""),5068.0)</f>
        <v>5068</v>
      </c>
      <c r="D1604" s="76" t="str">
        <f>IFERROR(__xludf.DUMMYFUNCTION("""COMPUTED_VALUE"""),"RESULT DATA")</f>
        <v>RESULT DATA</v>
      </c>
      <c r="E1604" s="84">
        <f>IFERROR(__xludf.DUMMYFUNCTION("""COMPUTED_VALUE"""),46116.538888888885)</f>
        <v>46116.53889</v>
      </c>
      <c r="F1604" s="86">
        <f>IFERROR(__xludf.DUMMYFUNCTION("""COMPUTED_VALUE"""),46114.78773041667)</f>
        <v>46114.78773</v>
      </c>
      <c r="G1604" s="86" t="str">
        <f>IFERROR(__xludf.DUMMYFUNCTION("""COMPUTED_VALUE"""),"Done")</f>
        <v>Done</v>
      </c>
      <c r="H1604" s="88">
        <f>IFERROR(__xludf.DUMMYFUNCTION("""COMPUTED_VALUE"""),0.0)</f>
        <v>0</v>
      </c>
      <c r="I1604" s="90" t="str">
        <f>IFERROR(__xludf.DUMMYFUNCTION("""COMPUTED_VALUE"""),"EMP0042 HULESHWAR KUMAR SAHU")</f>
        <v>EMP0042 HULESHWAR KUMAR SAHU</v>
      </c>
      <c r="J1604" s="91"/>
    </row>
    <row r="1605">
      <c r="B1605" s="76" t="str">
        <f>IFERROR(__xludf.DUMMYFUNCTION("""COMPUTED_VALUE"""),"Solution / Check data in database according to new logics                ")</f>
        <v>Solution / Check data in database according to new logics                </v>
      </c>
      <c r="C1605" s="82">
        <f>IFERROR(__xludf.DUMMYFUNCTION("""COMPUTED_VALUE"""),5069.0)</f>
        <v>5069</v>
      </c>
      <c r="D1605" s="76" t="str">
        <f>IFERROR(__xludf.DUMMYFUNCTION("""COMPUTED_VALUE"""),"CA/CIA MARK ENTRY")</f>
        <v>CA/CIA MARK ENTRY</v>
      </c>
      <c r="E1605" s="84">
        <f>IFERROR(__xludf.DUMMYFUNCTION("""COMPUTED_VALUE"""),46116.75)</f>
        <v>46116.75</v>
      </c>
      <c r="F1605" s="86">
        <f>IFERROR(__xludf.DUMMYFUNCTION("""COMPUTED_VALUE"""),46115.51671884259)</f>
        <v>46115.51672</v>
      </c>
      <c r="G1605" s="86" t="str">
        <f>IFERROR(__xludf.DUMMYFUNCTION("""COMPUTED_VALUE"""),"Done")</f>
        <v>Done</v>
      </c>
      <c r="H1605" s="88">
        <f>IFERROR(__xludf.DUMMYFUNCTION("""COMPUTED_VALUE"""),0.0)</f>
        <v>0</v>
      </c>
      <c r="I1605" s="90" t="str">
        <f>IFERROR(__xludf.DUMMYFUNCTION("""COMPUTED_VALUE"""),"EMP5009 Rup Kumar Mandal")</f>
        <v>EMP5009 Rup Kumar Mandal</v>
      </c>
      <c r="J1605" s="91"/>
    </row>
    <row r="1606">
      <c r="B1606" s="76" t="str">
        <f>IFERROR(__xludf.DUMMYFUNCTION("""COMPUTED_VALUE"""),"Solution / Check data in database according to new logics                ")</f>
        <v>Solution / Check data in database according to new logics                </v>
      </c>
      <c r="C1606" s="82">
        <f>IFERROR(__xludf.DUMMYFUNCTION("""COMPUTED_VALUE"""),5070.0)</f>
        <v>5070</v>
      </c>
      <c r="D1606" s="76" t="str">
        <f>IFERROR(__xludf.DUMMYFUNCTION("""COMPUTED_VALUE"""),"grade card pg")</f>
        <v>grade card pg</v>
      </c>
      <c r="E1606" s="84">
        <f>IFERROR(__xludf.DUMMYFUNCTION("""COMPUTED_VALUE"""),46116.75625)</f>
        <v>46116.75625</v>
      </c>
      <c r="F1606" s="86">
        <f>IFERROR(__xludf.DUMMYFUNCTION("""COMPUTED_VALUE"""),46115.51671884259)</f>
        <v>46115.51672</v>
      </c>
      <c r="G1606" s="86" t="str">
        <f>IFERROR(__xludf.DUMMYFUNCTION("""COMPUTED_VALUE"""),"Done")</f>
        <v>Done</v>
      </c>
      <c r="H1606" s="88">
        <f>IFERROR(__xludf.DUMMYFUNCTION("""COMPUTED_VALUE"""),0.0)</f>
        <v>0</v>
      </c>
      <c r="I1606" s="90" t="str">
        <f>IFERROR(__xludf.DUMMYFUNCTION("""COMPUTED_VALUE"""),"EMP5009 Rup Kumar Mandal")</f>
        <v>EMP5009 Rup Kumar Mandal</v>
      </c>
      <c r="J1606" s="91"/>
    </row>
    <row r="1607">
      <c r="B1607" s="76" t="str">
        <f>IFERROR(__xludf.DUMMYFUNCTION("""COMPUTED_VALUE"""),"Solution / Check data in database according to new logics                ")</f>
        <v>Solution / Check data in database according to new logics                </v>
      </c>
      <c r="C1607" s="82">
        <f>IFERROR(__xludf.DUMMYFUNCTION("""COMPUTED_VALUE"""),5071.0)</f>
        <v>5071</v>
      </c>
      <c r="D1607" s="76" t="str">
        <f>IFERROR(__xludf.DUMMYFUNCTION("""COMPUTED_VALUE"""),"TR Format (Grading / Non-Grading)")</f>
        <v>TR Format (Grading / Non-Grading)</v>
      </c>
      <c r="E1607" s="84">
        <f>IFERROR(__xludf.DUMMYFUNCTION("""COMPUTED_VALUE"""),46116.76041666667)</f>
        <v>46116.76042</v>
      </c>
      <c r="F1607" s="86">
        <f>IFERROR(__xludf.DUMMYFUNCTION("""COMPUTED_VALUE"""),46115.51672571759)</f>
        <v>46115.51673</v>
      </c>
      <c r="G1607" s="86" t="str">
        <f>IFERROR(__xludf.DUMMYFUNCTION("""COMPUTED_VALUE"""),"Done")</f>
        <v>Done</v>
      </c>
      <c r="H1607" s="88">
        <f>IFERROR(__xludf.DUMMYFUNCTION("""COMPUTED_VALUE"""),0.0)</f>
        <v>0</v>
      </c>
      <c r="I1607" s="90" t="str">
        <f>IFERROR(__xludf.DUMMYFUNCTION("""COMPUTED_VALUE"""),"EMP0042 HULESHWAR KUMAR SAHU")</f>
        <v>EMP0042 HULESHWAR KUMAR SAHU</v>
      </c>
      <c r="J1607" s="91"/>
    </row>
    <row r="1608">
      <c r="B1608" s="76" t="str">
        <f>IFERROR(__xludf.DUMMYFUNCTION("""COMPUTED_VALUE"""),"Solution / Check data in database according to new logics                ")</f>
        <v>Solution / Check data in database according to new logics                </v>
      </c>
      <c r="C1608" s="82">
        <f>IFERROR(__xludf.DUMMYFUNCTION("""COMPUTED_VALUE"""),5072.0)</f>
        <v>5072</v>
      </c>
      <c r="D1608" s="76" t="str">
        <f>IFERROR(__xludf.DUMMYFUNCTION("""COMPUTED_VALUE"""),"MULTIPLE REPOPRT")</f>
        <v>MULTIPLE REPOPRT</v>
      </c>
      <c r="E1608" s="84">
        <f>IFERROR(__xludf.DUMMYFUNCTION("""COMPUTED_VALUE"""),46116.822222222225)</f>
        <v>46116.82222</v>
      </c>
      <c r="F1608" s="86">
        <f>IFERROR(__xludf.DUMMYFUNCTION("""COMPUTED_VALUE"""),46115.6908375)</f>
        <v>46115.69084</v>
      </c>
      <c r="G1608" s="86" t="str">
        <f>IFERROR(__xludf.DUMMYFUNCTION("""COMPUTED_VALUE"""),"Done")</f>
        <v>Done</v>
      </c>
      <c r="H1608" s="88">
        <f>IFERROR(__xludf.DUMMYFUNCTION("""COMPUTED_VALUE"""),0.0)</f>
        <v>0</v>
      </c>
      <c r="I1608" s="90" t="str">
        <f>IFERROR(__xludf.DUMMYFUNCTION("""COMPUTED_VALUE"""),"EMP0042 HULESHWAR KUMAR SAHU")</f>
        <v>EMP0042 HULESHWAR KUMAR SAHU</v>
      </c>
      <c r="J1608" s="91"/>
    </row>
    <row r="1609">
      <c r="B1609" s="76" t="str">
        <f>IFERROR(__xludf.DUMMYFUNCTION("""COMPUTED_VALUE"""),"Solution / Check data in database according to new logics                ")</f>
        <v>Solution / Check data in database according to new logics                </v>
      </c>
      <c r="C1609" s="82">
        <f>IFERROR(__xludf.DUMMYFUNCTION("""COMPUTED_VALUE"""),5073.0)</f>
        <v>5073</v>
      </c>
      <c r="D1609" s="76" t="str">
        <f>IFERROR(__xludf.DUMMYFUNCTION("""COMPUTED_VALUE"""),"TR ")</f>
        <v>TR </v>
      </c>
      <c r="E1609" s="84">
        <f>IFERROR(__xludf.DUMMYFUNCTION("""COMPUTED_VALUE"""),46118.43888888889)</f>
        <v>46118.43889</v>
      </c>
      <c r="F1609" s="86">
        <f>IFERROR(__xludf.DUMMYFUNCTION("""COMPUTED_VALUE"""),46115.69091410879)</f>
        <v>46115.69091</v>
      </c>
      <c r="G1609" s="86" t="str">
        <f>IFERROR(__xludf.DUMMYFUNCTION("""COMPUTED_VALUE"""),"Done")</f>
        <v>Done</v>
      </c>
      <c r="H1609" s="88">
        <f>IFERROR(__xludf.DUMMYFUNCTION("""COMPUTED_VALUE"""),0.0)</f>
        <v>0</v>
      </c>
      <c r="I1609" s="90" t="str">
        <f>IFERROR(__xludf.DUMMYFUNCTION("""COMPUTED_VALUE"""),"EMP0042 HULESHWAR KUMAR SAHU")</f>
        <v>EMP0042 HULESHWAR KUMAR SAHU</v>
      </c>
      <c r="J1609" s="91"/>
    </row>
    <row r="1610">
      <c r="B1610" s="76" t="str">
        <f>IFERROR(__xludf.DUMMYFUNCTION("""COMPUTED_VALUE"""),"Solution / Check data in database according to new logics                ")</f>
        <v>Solution / Check data in database according to new logics                </v>
      </c>
      <c r="C1610" s="82">
        <f>IFERROR(__xludf.DUMMYFUNCTION("""COMPUTED_VALUE"""),5074.0)</f>
        <v>5074</v>
      </c>
      <c r="D1610" s="76" t="str">
        <f>IFERROR(__xludf.DUMMYFUNCTION("""COMPUTED_VALUE"""),"TR REPORT")</f>
        <v>TR REPORT</v>
      </c>
      <c r="E1610" s="84">
        <f>IFERROR(__xludf.DUMMYFUNCTION("""COMPUTED_VALUE"""),46118.49861111111)</f>
        <v>46118.49861</v>
      </c>
      <c r="F1610" s="86">
        <f>IFERROR(__xludf.DUMMYFUNCTION("""COMPUTED_VALUE"""),46115.69598871528)</f>
        <v>46115.69599</v>
      </c>
      <c r="G1610" s="86" t="str">
        <f>IFERROR(__xludf.DUMMYFUNCTION("""COMPUTED_VALUE"""),"Done")</f>
        <v>Done</v>
      </c>
      <c r="H1610" s="88">
        <f>IFERROR(__xludf.DUMMYFUNCTION("""COMPUTED_VALUE"""),0.0)</f>
        <v>0</v>
      </c>
      <c r="I1610" s="90" t="str">
        <f>IFERROR(__xludf.DUMMYFUNCTION("""COMPUTED_VALUE"""),"EMP5009 Rup Kumar Mandal")</f>
        <v>EMP5009 Rup Kumar Mandal</v>
      </c>
      <c r="J1610" s="91"/>
    </row>
    <row r="1611">
      <c r="B1611" s="76" t="str">
        <f>IFERROR(__xludf.DUMMYFUNCTION("""COMPUTED_VALUE"""),"Solution / Check data in database according to new logics                ")</f>
        <v>Solution / Check data in database according to new logics                </v>
      </c>
      <c r="C1611" s="82">
        <f>IFERROR(__xludf.DUMMYFUNCTION("""COMPUTED_VALUE"""),5075.0)</f>
        <v>5075</v>
      </c>
      <c r="D1611" s="76" t="str">
        <f>IFERROR(__xludf.DUMMYFUNCTION("""COMPUTED_VALUE"""),"Packet Summary Report")</f>
        <v>Packet Summary Report</v>
      </c>
      <c r="E1611" s="84">
        <f>IFERROR(__xludf.DUMMYFUNCTION("""COMPUTED_VALUE"""),46119.59722222222)</f>
        <v>46119.59722</v>
      </c>
      <c r="F1611" s="86">
        <f>IFERROR(__xludf.DUMMYFUNCTION("""COMPUTED_VALUE"""),46118.43805853009)</f>
        <v>46118.43806</v>
      </c>
      <c r="G1611" s="86" t="str">
        <f>IFERROR(__xludf.DUMMYFUNCTION("""COMPUTED_VALUE"""),"Done")</f>
        <v>Done</v>
      </c>
      <c r="H1611" s="88">
        <f>IFERROR(__xludf.DUMMYFUNCTION("""COMPUTED_VALUE"""),0.0)</f>
        <v>0</v>
      </c>
      <c r="I1611" s="90" t="str">
        <f>IFERROR(__xludf.DUMMYFUNCTION("""COMPUTED_VALUE"""),"EMP0042 HULESHWAR KUMAR SAHU")</f>
        <v>EMP0042 HULESHWAR KUMAR SAHU</v>
      </c>
      <c r="J1611" s="91"/>
    </row>
    <row r="1612">
      <c r="B1612" s="76" t="str">
        <f>IFERROR(__xludf.DUMMYFUNCTION("""COMPUTED_VALUE"""),"Solution / Check data in database according to new logics                ")</f>
        <v>Solution / Check data in database according to new logics                </v>
      </c>
      <c r="C1612" s="82">
        <f>IFERROR(__xludf.DUMMYFUNCTION("""COMPUTED_VALUE"""),5076.0)</f>
        <v>5076</v>
      </c>
      <c r="D1612" s="76" t="str">
        <f>IFERROR(__xludf.DUMMYFUNCTION("""COMPUTED_VALUE"""),"PRE PROCESS ERROR STEP-7")</f>
        <v>PRE PROCESS ERROR STEP-7</v>
      </c>
      <c r="E1612" s="84">
        <f>IFERROR(__xludf.DUMMYFUNCTION("""COMPUTED_VALUE"""),46119.75833333333)</f>
        <v>46119.75833</v>
      </c>
      <c r="F1612" s="86">
        <f>IFERROR(__xludf.DUMMYFUNCTION("""COMPUTED_VALUE"""),46118.76230724537)</f>
        <v>46118.76231</v>
      </c>
      <c r="G1612" s="86" t="str">
        <f>IFERROR(__xludf.DUMMYFUNCTION("""COMPUTED_VALUE"""),"Done")</f>
        <v>Done</v>
      </c>
      <c r="H1612" s="88">
        <f>IFERROR(__xludf.DUMMYFUNCTION("""COMPUTED_VALUE"""),0.0)</f>
        <v>0</v>
      </c>
      <c r="I1612" s="90" t="str">
        <f>IFERROR(__xludf.DUMMYFUNCTION("""COMPUTED_VALUE"""),"EMP0237 Swarnendu Chakraborty")</f>
        <v>EMP0237 Swarnendu Chakraborty</v>
      </c>
      <c r="J1612" s="91"/>
    </row>
    <row r="1613">
      <c r="B1613" s="76" t="str">
        <f>IFERROR(__xludf.DUMMYFUNCTION("""COMPUTED_VALUE"""),"Solution / Check data in database according to new logics                ")</f>
        <v>Solution / Check data in database according to new logics                </v>
      </c>
      <c r="C1613" s="82">
        <f>IFERROR(__xludf.DUMMYFUNCTION("""COMPUTED_VALUE"""),5077.0)</f>
        <v>5077</v>
      </c>
      <c r="D1613" s="76" t="str">
        <f>IFERROR(__xludf.DUMMYFUNCTION("""COMPUTED_VALUE"""),"College wise Allotment List")</f>
        <v>College wise Allotment List</v>
      </c>
      <c r="E1613" s="84">
        <f>IFERROR(__xludf.DUMMYFUNCTION("""COMPUTED_VALUE"""),46120.555555555555)</f>
        <v>46120.55556</v>
      </c>
      <c r="F1613" s="86">
        <f>IFERROR(__xludf.DUMMYFUNCTION("""COMPUTED_VALUE"""),46119.48498694444)</f>
        <v>46119.48499</v>
      </c>
      <c r="G1613" s="86" t="str">
        <f>IFERROR(__xludf.DUMMYFUNCTION("""COMPUTED_VALUE"""),"Done")</f>
        <v>Done</v>
      </c>
      <c r="H1613" s="88">
        <f>IFERROR(__xludf.DUMMYFUNCTION("""COMPUTED_VALUE"""),0.0)</f>
        <v>0</v>
      </c>
      <c r="I1613" s="90" t="str">
        <f>IFERROR(__xludf.DUMMYFUNCTION("""COMPUTED_VALUE"""),"EMP5009 Rup Kumar Mandal")</f>
        <v>EMP5009 Rup Kumar Mandal</v>
      </c>
      <c r="J1613" s="91"/>
    </row>
    <row r="1614">
      <c r="B1614" s="76" t="str">
        <f>IFERROR(__xludf.DUMMYFUNCTION("""COMPUTED_VALUE"""),"Solution / Check data in database according to new logics                ")</f>
        <v>Solution / Check data in database according to new logics                </v>
      </c>
      <c r="C1614" s="82">
        <f>IFERROR(__xludf.DUMMYFUNCTION("""COMPUTED_VALUE"""),5078.0)</f>
        <v>5078</v>
      </c>
      <c r="D1614" s="76" t="str">
        <f>IFERROR(__xludf.DUMMYFUNCTION("""COMPUTED_VALUE"""),"NEP")</f>
        <v>NEP</v>
      </c>
      <c r="E1614" s="84">
        <f>IFERROR(__xludf.DUMMYFUNCTION("""COMPUTED_VALUE"""),46120.597916666666)</f>
        <v>46120.59792</v>
      </c>
      <c r="F1614" s="86">
        <f>IFERROR(__xludf.DUMMYFUNCTION("""COMPUTED_VALUE"""),46119.55931297453)</f>
        <v>46119.55931</v>
      </c>
      <c r="G1614" s="86" t="str">
        <f>IFERROR(__xludf.DUMMYFUNCTION("""COMPUTED_VALUE"""),"Done")</f>
        <v>Done</v>
      </c>
      <c r="H1614" s="88">
        <f>IFERROR(__xludf.DUMMYFUNCTION("""COMPUTED_VALUE"""),0.0)</f>
        <v>0</v>
      </c>
      <c r="I1614" s="90" t="str">
        <f>IFERROR(__xludf.DUMMYFUNCTION("""COMPUTED_VALUE"""),"EMP0042 HULESHWAR KUMAR SAHU")</f>
        <v>EMP0042 HULESHWAR KUMAR SAHU</v>
      </c>
      <c r="J1614" s="91"/>
    </row>
    <row r="1615">
      <c r="B1615" s="76" t="str">
        <f>IFERROR(__xludf.DUMMYFUNCTION("""COMPUTED_VALUE"""),"Solution / Check data in database according to new logics                ")</f>
        <v>Solution / Check data in database according to new logics                </v>
      </c>
      <c r="C1615" s="82">
        <f>IFERROR(__xludf.DUMMYFUNCTION("""COMPUTED_VALUE"""),5079.0)</f>
        <v>5079</v>
      </c>
      <c r="D1615" s="76" t="str">
        <f>IFERROR(__xludf.DUMMYFUNCTION("""COMPUTED_VALUE"""),"3rd Semester B.Sc. Nursing Examination 2025 (II)	Admit Card update	2024-25 (S)	REAPPER")</f>
        <v>3rd Semester B.Sc. Nursing Examination 2025 (II)	Admit Card update	2024-25 (S)	REAPPER</v>
      </c>
      <c r="E1615" s="84">
        <f>IFERROR(__xludf.DUMMYFUNCTION("""COMPUTED_VALUE"""),46120.59861111111)</f>
        <v>46120.59861</v>
      </c>
      <c r="F1615" s="86">
        <f>IFERROR(__xludf.DUMMYFUNCTION("""COMPUTED_VALUE"""),46119.48529931713)</f>
        <v>46119.4853</v>
      </c>
      <c r="G1615" s="86" t="str">
        <f>IFERROR(__xludf.DUMMYFUNCTION("""COMPUTED_VALUE"""),"Done")</f>
        <v>Done</v>
      </c>
      <c r="H1615" s="88">
        <f>IFERROR(__xludf.DUMMYFUNCTION("""COMPUTED_VALUE"""),0.0)</f>
        <v>0</v>
      </c>
      <c r="I1615" s="90" t="str">
        <f>IFERROR(__xludf.DUMMYFUNCTION("""COMPUTED_VALUE"""),"EMP5009 Rup Kumar Mandal")</f>
        <v>EMP5009 Rup Kumar Mandal</v>
      </c>
      <c r="J1615" s="91"/>
    </row>
    <row r="1616">
      <c r="B1616" s="76" t="str">
        <f>IFERROR(__xludf.DUMMYFUNCTION("""COMPUTED_VALUE"""),"Solution / Check data in database according to new logics                ")</f>
        <v>Solution / Check data in database according to new logics                </v>
      </c>
      <c r="C1616" s="82">
        <f>IFERROR(__xludf.DUMMYFUNCTION("""COMPUTED_VALUE"""),5080.0)</f>
        <v>5080</v>
      </c>
      <c r="D1616" s="76" t="str">
        <f>IFERROR(__xludf.DUMMYFUNCTION("""COMPUTED_VALUE"""),"3rd Year B.Sc. Nursing Examination 2025 (II)	Admit Card update	2024-25 (S)	REAPPER")</f>
        <v>3rd Year B.Sc. Nursing Examination 2025 (II)	Admit Card update	2024-25 (S)	REAPPER</v>
      </c>
      <c r="E1616" s="84">
        <f>IFERROR(__xludf.DUMMYFUNCTION("""COMPUTED_VALUE"""),46120.6)</f>
        <v>46120.6</v>
      </c>
      <c r="F1616" s="86">
        <f>IFERROR(__xludf.DUMMYFUNCTION("""COMPUTED_VALUE"""),46119.48532299769)</f>
        <v>46119.48532</v>
      </c>
      <c r="G1616" s="86" t="str">
        <f>IFERROR(__xludf.DUMMYFUNCTION("""COMPUTED_VALUE"""),"Done")</f>
        <v>Done</v>
      </c>
      <c r="H1616" s="88">
        <f>IFERROR(__xludf.DUMMYFUNCTION("""COMPUTED_VALUE"""),0.0)</f>
        <v>0</v>
      </c>
      <c r="I1616" s="90" t="str">
        <f>IFERROR(__xludf.DUMMYFUNCTION("""COMPUTED_VALUE"""),"EMP0237 Swarnendu Chakraborty")</f>
        <v>EMP0237 Swarnendu Chakraborty</v>
      </c>
      <c r="J1616" s="91"/>
    </row>
    <row r="1617">
      <c r="B1617" s="76" t="str">
        <f>IFERROR(__xludf.DUMMYFUNCTION("""COMPUTED_VALUE"""),"Solution / Check data in database according to new logics                ")</f>
        <v>Solution / Check data in database according to new logics                </v>
      </c>
      <c r="C1617" s="82">
        <f>IFERROR(__xludf.DUMMYFUNCTION("""COMPUTED_VALUE"""),5081.0)</f>
        <v>5081</v>
      </c>
      <c r="D1617" s="76" t="str">
        <f>IFERROR(__xludf.DUMMYFUNCTION("""COMPUTED_VALUE"""),"CUT LIST ")</f>
        <v>CUT LIST </v>
      </c>
      <c r="E1617" s="84">
        <f>IFERROR(__xludf.DUMMYFUNCTION("""COMPUTED_VALUE"""),46120.75)</f>
        <v>46120.75</v>
      </c>
      <c r="F1617" s="86">
        <f>IFERROR(__xludf.DUMMYFUNCTION("""COMPUTED_VALUE"""),46119.61195498843)</f>
        <v>46119.61195</v>
      </c>
      <c r="G1617" s="86" t="str">
        <f>IFERROR(__xludf.DUMMYFUNCTION("""COMPUTED_VALUE"""),"Done")</f>
        <v>Done</v>
      </c>
      <c r="H1617" s="88">
        <f>IFERROR(__xludf.DUMMYFUNCTION("""COMPUTED_VALUE"""),0.0)</f>
        <v>0</v>
      </c>
      <c r="I1617" s="90" t="str">
        <f>IFERROR(__xludf.DUMMYFUNCTION("""COMPUTED_VALUE"""),"EMP0042 HULESHWAR KUMAR SAHU")</f>
        <v>EMP0042 HULESHWAR KUMAR SAHU</v>
      </c>
      <c r="J1617" s="91"/>
    </row>
    <row r="1618">
      <c r="B1618" s="76" t="str">
        <f>IFERROR(__xludf.DUMMYFUNCTION("""COMPUTED_VALUE"""),"Solution / Check data in database according to new logics                ")</f>
        <v>Solution / Check data in database according to new logics                </v>
      </c>
      <c r="C1618" s="82">
        <f>IFERROR(__xludf.DUMMYFUNCTION("""COMPUTED_VALUE"""),5082.0)</f>
        <v>5082</v>
      </c>
      <c r="D1618" s="76" t="str">
        <f>IFERROR(__xludf.DUMMYFUNCTION("""COMPUTED_VALUE"""),"SCHEME")</f>
        <v>SCHEME</v>
      </c>
      <c r="E1618" s="84">
        <f>IFERROR(__xludf.DUMMYFUNCTION("""COMPUTED_VALUE"""),46120.75208333333)</f>
        <v>46120.75208</v>
      </c>
      <c r="F1618" s="86">
        <f>IFERROR(__xludf.DUMMYFUNCTION("""COMPUTED_VALUE"""),46119.61097513889)</f>
        <v>46119.61098</v>
      </c>
      <c r="G1618" s="86" t="str">
        <f>IFERROR(__xludf.DUMMYFUNCTION("""COMPUTED_VALUE"""),"Done")</f>
        <v>Done</v>
      </c>
      <c r="H1618" s="88">
        <f>IFERROR(__xludf.DUMMYFUNCTION("""COMPUTED_VALUE"""),0.0)</f>
        <v>0</v>
      </c>
      <c r="I1618" s="90" t="str">
        <f>IFERROR(__xludf.DUMMYFUNCTION("""COMPUTED_VALUE"""),"EMP0042 HULESHWAR KUMAR SAHU")</f>
        <v>EMP0042 HULESHWAR KUMAR SAHU</v>
      </c>
      <c r="J1618" s="91"/>
    </row>
    <row r="1619">
      <c r="B1619" s="76" t="str">
        <f>IFERROR(__xludf.DUMMYFUNCTION("""COMPUTED_VALUE"""),"Solution / Check data in database according to new logics                ")</f>
        <v>Solution / Check data in database according to new logics                </v>
      </c>
      <c r="C1619" s="82">
        <f>IFERROR(__xludf.DUMMYFUNCTION("""COMPUTED_VALUE"""),5083.0)</f>
        <v>5083</v>
      </c>
      <c r="D1619" s="76" t="str">
        <f>IFERROR(__xludf.DUMMYFUNCTION("""COMPUTED_VALUE"""),"College  course wise statistic")</f>
        <v>College  course wise statistic</v>
      </c>
      <c r="E1619" s="84">
        <f>IFERROR(__xludf.DUMMYFUNCTION("""COMPUTED_VALUE"""),46120.78333333333)</f>
        <v>46120.78333</v>
      </c>
      <c r="F1619" s="86">
        <f>IFERROR(__xludf.DUMMYFUNCTION("""COMPUTED_VALUE"""),46119.6109965162)</f>
        <v>46119.611</v>
      </c>
      <c r="G1619" s="86" t="str">
        <f>IFERROR(__xludf.DUMMYFUNCTION("""COMPUTED_VALUE"""),"Done")</f>
        <v>Done</v>
      </c>
      <c r="H1619" s="88">
        <f>IFERROR(__xludf.DUMMYFUNCTION("""COMPUTED_VALUE"""),0.0)</f>
        <v>0</v>
      </c>
      <c r="I1619" s="90" t="str">
        <f>IFERROR(__xludf.DUMMYFUNCTION("""COMPUTED_VALUE"""),"EMP0021 Tamanna Dewangan")</f>
        <v>EMP0021 Tamanna Dewangan</v>
      </c>
      <c r="J1619" s="91"/>
    </row>
    <row r="1620">
      <c r="B1620" s="76" t="str">
        <f>IFERROR(__xludf.DUMMYFUNCTION("""COMPUTED_VALUE"""),"Solution / Check data in database according to new logics                ")</f>
        <v>Solution / Check data in database according to new logics                </v>
      </c>
      <c r="C1620" s="82">
        <f>IFERROR(__xludf.DUMMYFUNCTION("""COMPUTED_VALUE"""),5084.0)</f>
        <v>5084</v>
      </c>
      <c r="D1620" s="76" t="str">
        <f>IFERROR(__xludf.DUMMYFUNCTION("""COMPUTED_VALUE"""),"College statistic")</f>
        <v>College statistic</v>
      </c>
      <c r="E1620" s="84">
        <f>IFERROR(__xludf.DUMMYFUNCTION("""COMPUTED_VALUE"""),46120.7875)</f>
        <v>46120.7875</v>
      </c>
      <c r="F1620" s="86">
        <f>IFERROR(__xludf.DUMMYFUNCTION("""COMPUTED_VALUE"""),46119.611014166665)</f>
        <v>46119.61101</v>
      </c>
      <c r="G1620" s="86" t="str">
        <f>IFERROR(__xludf.DUMMYFUNCTION("""COMPUTED_VALUE"""),"Done")</f>
        <v>Done</v>
      </c>
      <c r="H1620" s="88">
        <f>IFERROR(__xludf.DUMMYFUNCTION("""COMPUTED_VALUE"""),0.0)</f>
        <v>0</v>
      </c>
      <c r="I1620" s="90" t="str">
        <f>IFERROR(__xludf.DUMMYFUNCTION("""COMPUTED_VALUE"""),"EMP5009 Rup Kumar Mandal")</f>
        <v>EMP5009 Rup Kumar Mandal</v>
      </c>
      <c r="J1620" s="91"/>
    </row>
    <row r="1621">
      <c r="B1621" s="76" t="str">
        <f>IFERROR(__xludf.DUMMYFUNCTION("""COMPUTED_VALUE"""),"Solution / Check data in database according to new logics                ")</f>
        <v>Solution / Check data in database according to new logics                </v>
      </c>
      <c r="C1621" s="82">
        <f>IFERROR(__xludf.DUMMYFUNCTION("""COMPUTED_VALUE"""),5085.0)</f>
        <v>5085</v>
      </c>
      <c r="D1621" s="76" t="str">
        <f>IFERROR(__xludf.DUMMYFUNCTION("""COMPUTED_VALUE"""),"Grade Card NEP (PG)")</f>
        <v>Grade Card NEP (PG)</v>
      </c>
      <c r="E1621" s="84">
        <f>IFERROR(__xludf.DUMMYFUNCTION("""COMPUTED_VALUE"""),46120.808333333334)</f>
        <v>46120.80833</v>
      </c>
      <c r="F1621" s="86">
        <f>IFERROR(__xludf.DUMMYFUNCTION("""COMPUTED_VALUE"""),46119.61103408565)</f>
        <v>46119.61103</v>
      </c>
      <c r="G1621" s="86" t="str">
        <f>IFERROR(__xludf.DUMMYFUNCTION("""COMPUTED_VALUE"""),"Done")</f>
        <v>Done</v>
      </c>
      <c r="H1621" s="88">
        <f>IFERROR(__xludf.DUMMYFUNCTION("""COMPUTED_VALUE"""),0.0)</f>
        <v>0</v>
      </c>
      <c r="I1621" s="90" t="str">
        <f>IFERROR(__xludf.DUMMYFUNCTION("""COMPUTED_VALUE"""),"EMP5009 Rup Kumar Mandal")</f>
        <v>EMP5009 Rup Kumar Mandal</v>
      </c>
      <c r="J1621" s="91"/>
    </row>
    <row r="1622">
      <c r="B1622" s="76" t="str">
        <f>IFERROR(__xludf.DUMMYFUNCTION("""COMPUTED_VALUE"""),"Solution / Check data in database according to new logics                ")</f>
        <v>Solution / Check data in database according to new logics                </v>
      </c>
      <c r="C1622" s="82">
        <f>IFERROR(__xludf.DUMMYFUNCTION("""COMPUTED_VALUE"""),5086.0)</f>
        <v>5086</v>
      </c>
      <c r="D1622" s="76" t="str">
        <f>IFERROR(__xludf.DUMMYFUNCTION("""COMPUTED_VALUE"""),"Multiple reports ")</f>
        <v>Multiple reports </v>
      </c>
      <c r="E1622" s="84">
        <f>IFERROR(__xludf.DUMMYFUNCTION("""COMPUTED_VALUE"""),46121.5625)</f>
        <v>46121.5625</v>
      </c>
      <c r="F1622" s="86">
        <f>IFERROR(__xludf.DUMMYFUNCTION("""COMPUTED_VALUE"""),46119.765259189815)</f>
        <v>46119.76526</v>
      </c>
      <c r="G1622" s="86" t="str">
        <f>IFERROR(__xludf.DUMMYFUNCTION("""COMPUTED_VALUE"""),"Done")</f>
        <v>Done</v>
      </c>
      <c r="H1622" s="88">
        <f>IFERROR(__xludf.DUMMYFUNCTION("""COMPUTED_VALUE"""),0.0)</f>
        <v>0</v>
      </c>
      <c r="I1622" s="90" t="str">
        <f>IFERROR(__xludf.DUMMYFUNCTION("""COMPUTED_VALUE"""),"EMP0042 HULESHWAR KUMAR SAHU")</f>
        <v>EMP0042 HULESHWAR KUMAR SAHU</v>
      </c>
      <c r="J1622" s="91"/>
    </row>
    <row r="1623">
      <c r="B1623" s="76" t="str">
        <f>IFERROR(__xludf.DUMMYFUNCTION("""COMPUTED_VALUE"""),"Solution / Check data in database according to new logics                ")</f>
        <v>Solution / Check data in database according to new logics                </v>
      </c>
      <c r="C1623" s="82">
        <f>IFERROR(__xludf.DUMMYFUNCTION("""COMPUTED_VALUE"""),5087.0)</f>
        <v>5087</v>
      </c>
      <c r="D1623" s="76" t="str">
        <f>IFERROR(__xludf.DUMMYFUNCTION("""COMPUTED_VALUE"""),"Multiple reports ")</f>
        <v>Multiple reports </v>
      </c>
      <c r="E1623" s="84">
        <f>IFERROR(__xludf.DUMMYFUNCTION("""COMPUTED_VALUE"""),46121.57708333334)</f>
        <v>46121.57708</v>
      </c>
      <c r="F1623" s="86">
        <f>IFERROR(__xludf.DUMMYFUNCTION("""COMPUTED_VALUE"""),46119.76526480324)</f>
        <v>46119.76526</v>
      </c>
      <c r="G1623" s="86" t="str">
        <f>IFERROR(__xludf.DUMMYFUNCTION("""COMPUTED_VALUE"""),"Done")</f>
        <v>Done</v>
      </c>
      <c r="H1623" s="88">
        <f>IFERROR(__xludf.DUMMYFUNCTION("""COMPUTED_VALUE"""),0.0)</f>
        <v>0</v>
      </c>
      <c r="I1623" s="90" t="str">
        <f>IFERROR(__xludf.DUMMYFUNCTION("""COMPUTED_VALUE"""),"EMP0021 Tamanna Dewangan")</f>
        <v>EMP0021 Tamanna Dewangan</v>
      </c>
      <c r="J1623" s="91"/>
    </row>
    <row r="1624">
      <c r="B1624" s="76" t="str">
        <f>IFERROR(__xludf.DUMMYFUNCTION("""COMPUTED_VALUE"""),"Solution / Check data in database according to new logics                ")</f>
        <v>Solution / Check data in database according to new logics                </v>
      </c>
      <c r="C1624" s="82">
        <f>IFERROR(__xludf.DUMMYFUNCTION("""COMPUTED_VALUE"""),5088.0)</f>
        <v>5088</v>
      </c>
      <c r="D1624" s="76" t="str">
        <f>IFERROR(__xludf.DUMMYFUNCTION("""COMPUTED_VALUE"""),"UPSHASTRI MARKSHEET")</f>
        <v>UPSHASTRI MARKSHEET</v>
      </c>
      <c r="E1624" s="84">
        <f>IFERROR(__xludf.DUMMYFUNCTION("""COMPUTED_VALUE"""),46121.788194444445)</f>
        <v>46121.78819</v>
      </c>
      <c r="F1624" s="86">
        <f>IFERROR(__xludf.DUMMYFUNCTION("""COMPUTED_VALUE"""),46120.73063929398)</f>
        <v>46120.73064</v>
      </c>
      <c r="G1624" s="86" t="str">
        <f>IFERROR(__xludf.DUMMYFUNCTION("""COMPUTED_VALUE"""),"Done")</f>
        <v>Done</v>
      </c>
      <c r="H1624" s="88">
        <f>IFERROR(__xludf.DUMMYFUNCTION("""COMPUTED_VALUE"""),0.0)</f>
        <v>0</v>
      </c>
      <c r="I1624" s="90" t="str">
        <f>IFERROR(__xludf.DUMMYFUNCTION("""COMPUTED_VALUE"""),"EMP0237 Swarnendu Chakraborty")</f>
        <v>EMP0237 Swarnendu Chakraborty</v>
      </c>
      <c r="J1624" s="91"/>
    </row>
    <row r="1625">
      <c r="B1625" s="76" t="str">
        <f>IFERROR(__xludf.DUMMYFUNCTION("""COMPUTED_VALUE"""),"Solution / Check data in database according to new logics                ")</f>
        <v>Solution / Check data in database according to new logics                </v>
      </c>
      <c r="C1625" s="82">
        <f>IFERROR(__xludf.DUMMYFUNCTION("""COMPUTED_VALUE"""),5089.0)</f>
        <v>5089</v>
      </c>
      <c r="D1625" s="76" t="str">
        <f>IFERROR(__xludf.DUMMYFUNCTION("""COMPUTED_VALUE"""),"Marksheet Paramedical")</f>
        <v>Marksheet Paramedical</v>
      </c>
      <c r="E1625" s="84">
        <f>IFERROR(__xludf.DUMMYFUNCTION("""COMPUTED_VALUE"""),46121.8125)</f>
        <v>46121.8125</v>
      </c>
      <c r="F1625" s="86">
        <f>IFERROR(__xludf.DUMMYFUNCTION("""COMPUTED_VALUE"""),46120.730659560184)</f>
        <v>46120.73066</v>
      </c>
      <c r="G1625" s="86" t="str">
        <f>IFERROR(__xludf.DUMMYFUNCTION("""COMPUTED_VALUE"""),"Done")</f>
        <v>Done</v>
      </c>
      <c r="H1625" s="88">
        <f>IFERROR(__xludf.DUMMYFUNCTION("""COMPUTED_VALUE"""),0.0)</f>
        <v>0</v>
      </c>
      <c r="I1625" s="90" t="str">
        <f>IFERROR(__xludf.DUMMYFUNCTION("""COMPUTED_VALUE"""),"EMP0042 HULESHWAR KUMAR SAHU")</f>
        <v>EMP0042 HULESHWAR KUMAR SAHU</v>
      </c>
      <c r="J1625" s="91"/>
    </row>
    <row r="1626">
      <c r="B1626" s="76" t="str">
        <f>IFERROR(__xludf.DUMMYFUNCTION("""COMPUTED_VALUE"""),"Solution / Check data in database according to new logics                ")</f>
        <v>Solution / Check data in database according to new logics                </v>
      </c>
      <c r="C1626" s="82">
        <f>IFERROR(__xludf.DUMMYFUNCTION("""COMPUTED_VALUE"""),5090.0)</f>
        <v>5090</v>
      </c>
      <c r="D1626" s="76" t="str">
        <f>IFERROR(__xludf.DUMMYFUNCTION("""COMPUTED_VALUE"""),"Methodology Deviation Report")</f>
        <v>Methodology Deviation Report</v>
      </c>
      <c r="E1626" s="84">
        <f>IFERROR(__xludf.DUMMYFUNCTION("""COMPUTED_VALUE"""),46122.57847222222)</f>
        <v>46122.57847</v>
      </c>
      <c r="F1626" s="86">
        <f>IFERROR(__xludf.DUMMYFUNCTION("""COMPUTED_VALUE"""),46121.41938760417)</f>
        <v>46121.41939</v>
      </c>
      <c r="G1626" s="86" t="str">
        <f>IFERROR(__xludf.DUMMYFUNCTION("""COMPUTED_VALUE"""),"Done")</f>
        <v>Done</v>
      </c>
      <c r="H1626" s="88">
        <f>IFERROR(__xludf.DUMMYFUNCTION("""COMPUTED_VALUE"""),0.0)</f>
        <v>0</v>
      </c>
      <c r="I1626" s="90" t="str">
        <f>IFERROR(__xludf.DUMMYFUNCTION("""COMPUTED_VALUE"""),"EMP0042 HULESHWAR KUMAR SAHU")</f>
        <v>EMP0042 HULESHWAR KUMAR SAHU</v>
      </c>
      <c r="J1626" s="91"/>
    </row>
    <row r="1627">
      <c r="B1627" s="76" t="str">
        <f>IFERROR(__xludf.DUMMYFUNCTION("""COMPUTED_VALUE"""),"Solution / Check data in database according to new logics                ")</f>
        <v>Solution / Check data in database according to new logics                </v>
      </c>
      <c r="C1627" s="82">
        <f>IFERROR(__xludf.DUMMYFUNCTION("""COMPUTED_VALUE"""),5091.0)</f>
        <v>5091</v>
      </c>
      <c r="D1627" s="76" t="str">
        <f>IFERROR(__xludf.DUMMYFUNCTION("""COMPUTED_VALUE"""),"TR")</f>
        <v>TR</v>
      </c>
      <c r="E1627" s="84">
        <f>IFERROR(__xludf.DUMMYFUNCTION("""COMPUTED_VALUE"""),46122.5875)</f>
        <v>46122.5875</v>
      </c>
      <c r="F1627" s="86">
        <f>IFERROR(__xludf.DUMMYFUNCTION("""COMPUTED_VALUE"""),46120.754010462966)</f>
        <v>46120.75401</v>
      </c>
      <c r="G1627" s="86" t="str">
        <f>IFERROR(__xludf.DUMMYFUNCTION("""COMPUTED_VALUE"""),"Done")</f>
        <v>Done</v>
      </c>
      <c r="H1627" s="88">
        <f>IFERROR(__xludf.DUMMYFUNCTION("""COMPUTED_VALUE"""),0.0)</f>
        <v>0</v>
      </c>
      <c r="I1627" s="90" t="str">
        <f>IFERROR(__xludf.DUMMYFUNCTION("""COMPUTED_VALUE"""),"EMP0021 Tamanna Dewangan")</f>
        <v>EMP0021 Tamanna Dewangan</v>
      </c>
      <c r="J1627" s="91"/>
    </row>
    <row r="1628">
      <c r="B1628" s="76" t="str">
        <f>IFERROR(__xludf.DUMMYFUNCTION("""COMPUTED_VALUE"""),"Solution / Check data in database according to new logics                ")</f>
        <v>Solution / Check data in database according to new logics                </v>
      </c>
      <c r="C1628" s="82">
        <f>IFERROR(__xludf.DUMMYFUNCTION("""COMPUTED_VALUE"""),5092.0)</f>
        <v>5092</v>
      </c>
      <c r="D1628" s="76" t="str">
        <f>IFERROR(__xludf.DUMMYFUNCTION("""COMPUTED_VALUE"""),"TR ")</f>
        <v>TR </v>
      </c>
      <c r="E1628" s="84">
        <f>IFERROR(__xludf.DUMMYFUNCTION("""COMPUTED_VALUE"""),46122.58819444444)</f>
        <v>46122.58819</v>
      </c>
      <c r="F1628" s="86">
        <f>IFERROR(__xludf.DUMMYFUNCTION("""COMPUTED_VALUE"""),46120.77257518518)</f>
        <v>46120.77258</v>
      </c>
      <c r="G1628" s="86" t="str">
        <f>IFERROR(__xludf.DUMMYFUNCTION("""COMPUTED_VALUE"""),"Done")</f>
        <v>Done</v>
      </c>
      <c r="H1628" s="88">
        <f>IFERROR(__xludf.DUMMYFUNCTION("""COMPUTED_VALUE"""),0.0)</f>
        <v>0</v>
      </c>
      <c r="I1628" s="90" t="str">
        <f>IFERROR(__xludf.DUMMYFUNCTION("""COMPUTED_VALUE"""),"EMP0042 HULESHWAR KUMAR SAHU")</f>
        <v>EMP0042 HULESHWAR KUMAR SAHU</v>
      </c>
      <c r="J1628" s="91"/>
    </row>
    <row r="1629">
      <c r="B1629" s="76" t="str">
        <f>IFERROR(__xludf.DUMMYFUNCTION("""COMPUTED_VALUE"""),"Solution / Check data in database according to new logics                ")</f>
        <v>Solution / Check data in database according to new logics                </v>
      </c>
      <c r="C1629" s="82">
        <f>IFERROR(__xludf.DUMMYFUNCTION("""COMPUTED_VALUE"""),5093.0)</f>
        <v>5093</v>
      </c>
      <c r="D1629" s="76" t="str">
        <f>IFERROR(__xludf.DUMMYFUNCTION("""COMPUTED_VALUE"""),"TR")</f>
        <v>TR</v>
      </c>
      <c r="E1629" s="84">
        <f>IFERROR(__xludf.DUMMYFUNCTION("""COMPUTED_VALUE"""),46122.81319444445)</f>
        <v>46122.81319</v>
      </c>
      <c r="F1629" s="86">
        <f>IFERROR(__xludf.DUMMYFUNCTION("""COMPUTED_VALUE"""),46121.75022771991)</f>
        <v>46121.75023</v>
      </c>
      <c r="G1629" s="86" t="str">
        <f>IFERROR(__xludf.DUMMYFUNCTION("""COMPUTED_VALUE"""),"Done")</f>
        <v>Done</v>
      </c>
      <c r="H1629" s="88">
        <f>IFERROR(__xludf.DUMMYFUNCTION("""COMPUTED_VALUE"""),0.0)</f>
        <v>0</v>
      </c>
      <c r="I1629" s="90" t="str">
        <f>IFERROR(__xludf.DUMMYFUNCTION("""COMPUTED_VALUE"""),"EMP5009 Rup Kumar Mandal")</f>
        <v>EMP5009 Rup Kumar Mandal</v>
      </c>
      <c r="J1629" s="91"/>
    </row>
    <row r="1630">
      <c r="B1630" s="76" t="str">
        <f>IFERROR(__xludf.DUMMYFUNCTION("""COMPUTED_VALUE"""),"Solution / Check data in database according to new logics                ")</f>
        <v>Solution / Check data in database according to new logics                </v>
      </c>
      <c r="C1630" s="82">
        <f>IFERROR(__xludf.DUMMYFUNCTION("""COMPUTED_VALUE"""),5094.0)</f>
        <v>5094</v>
      </c>
      <c r="D1630" s="76" t="str">
        <f>IFERROR(__xludf.DUMMYFUNCTION("""COMPUTED_VALUE"""),"Result Data")</f>
        <v>Result Data</v>
      </c>
      <c r="E1630" s="84">
        <f>IFERROR(__xludf.DUMMYFUNCTION("""COMPUTED_VALUE"""),46123.45208333334)</f>
        <v>46123.45208</v>
      </c>
      <c r="F1630" s="86">
        <f>IFERROR(__xludf.DUMMYFUNCTION("""COMPUTED_VALUE"""),46122.45930479167)</f>
        <v>46122.4593</v>
      </c>
      <c r="G1630" s="86" t="str">
        <f>IFERROR(__xludf.DUMMYFUNCTION("""COMPUTED_VALUE"""),"Done")</f>
        <v>Done</v>
      </c>
      <c r="H1630" s="88">
        <f>IFERROR(__xludf.DUMMYFUNCTION("""COMPUTED_VALUE"""),0.0)</f>
        <v>0</v>
      </c>
      <c r="I1630" s="90" t="str">
        <f>IFERROR(__xludf.DUMMYFUNCTION("""COMPUTED_VALUE"""),"EMP0237 Swarnendu Chakraborty")</f>
        <v>EMP0237 Swarnendu Chakraborty</v>
      </c>
      <c r="J1630" s="91"/>
    </row>
    <row r="1631">
      <c r="B1631" s="76" t="str">
        <f>IFERROR(__xludf.DUMMYFUNCTION("""COMPUTED_VALUE"""),"Solution / Check data in database according to new logics                ")</f>
        <v>Solution / Check data in database according to new logics                </v>
      </c>
      <c r="C1631" s="82">
        <f>IFERROR(__xludf.DUMMYFUNCTION("""COMPUTED_VALUE"""),5095.0)</f>
        <v>5095</v>
      </c>
      <c r="D1631" s="76" t="str">
        <f>IFERROR(__xludf.DUMMYFUNCTION("""COMPUTED_VALUE"""),"TR semester (NEW)")</f>
        <v>TR semester (NEW)</v>
      </c>
      <c r="E1631" s="84">
        <f>IFERROR(__xludf.DUMMYFUNCTION("""COMPUTED_VALUE"""),46123.52638888889)</f>
        <v>46123.52639</v>
      </c>
      <c r="F1631" s="86">
        <f>IFERROR(__xludf.DUMMYFUNCTION("""COMPUTED_VALUE"""),46121.75025923611)</f>
        <v>46121.75026</v>
      </c>
      <c r="G1631" s="86" t="str">
        <f>IFERROR(__xludf.DUMMYFUNCTION("""COMPUTED_VALUE"""),"Done")</f>
        <v>Done</v>
      </c>
      <c r="H1631" s="88">
        <f>IFERROR(__xludf.DUMMYFUNCTION("""COMPUTED_VALUE"""),0.0)</f>
        <v>0</v>
      </c>
      <c r="I1631" s="90" t="str">
        <f>IFERROR(__xludf.DUMMYFUNCTION("""COMPUTED_VALUE"""),"EMP5009 Rup Kumar Mandal")</f>
        <v>EMP5009 Rup Kumar Mandal</v>
      </c>
      <c r="J1631" s="91"/>
    </row>
    <row r="1632">
      <c r="B1632" s="76" t="str">
        <f>IFERROR(__xludf.DUMMYFUNCTION("""COMPUTED_VALUE"""),"Solution / Check data in database according to new logics                ")</f>
        <v>Solution / Check data in database according to new logics                </v>
      </c>
      <c r="C1632" s="82">
        <f>IFERROR(__xludf.DUMMYFUNCTION("""COMPUTED_VALUE"""),5096.0)</f>
        <v>5096</v>
      </c>
      <c r="D1632" s="76" t="str">
        <f>IFERROR(__xludf.DUMMYFUNCTION("""COMPUTED_VALUE"""),"Grade Carde B.Tech")</f>
        <v>Grade Carde B.Tech</v>
      </c>
      <c r="E1632" s="84">
        <f>IFERROR(__xludf.DUMMYFUNCTION("""COMPUTED_VALUE"""),46123.53125)</f>
        <v>46123.53125</v>
      </c>
      <c r="F1632" s="86">
        <f>IFERROR(__xludf.DUMMYFUNCTION("""COMPUTED_VALUE"""),46121.76062444445)</f>
        <v>46121.76062</v>
      </c>
      <c r="G1632" s="86" t="str">
        <f>IFERROR(__xludf.DUMMYFUNCTION("""COMPUTED_VALUE"""),"Done")</f>
        <v>Done</v>
      </c>
      <c r="H1632" s="88">
        <f>IFERROR(__xludf.DUMMYFUNCTION("""COMPUTED_VALUE"""),0.0)</f>
        <v>0</v>
      </c>
      <c r="I1632" s="90" t="str">
        <f>IFERROR(__xludf.DUMMYFUNCTION("""COMPUTED_VALUE"""),"EMP0042 HULESHWAR KUMAR SAHU")</f>
        <v>EMP0042 HULESHWAR KUMAR SAHU</v>
      </c>
      <c r="J1632" s="91"/>
    </row>
    <row r="1633">
      <c r="B1633" s="76" t="str">
        <f>IFERROR(__xludf.DUMMYFUNCTION("""COMPUTED_VALUE"""),"Solution / Check data in database according to new logics                ")</f>
        <v>Solution / Check data in database according to new logics                </v>
      </c>
      <c r="C1633" s="82">
        <f>IFERROR(__xludf.DUMMYFUNCTION("""COMPUTED_VALUE"""),5097.0)</f>
        <v>5097</v>
      </c>
      <c r="D1633" s="76" t="str">
        <f>IFERROR(__xludf.DUMMYFUNCTION("""COMPUTED_VALUE"""),"Shastri Semester Marksheet publication date to current date change")</f>
        <v>Shastri Semester Marksheet publication date to current date change</v>
      </c>
      <c r="E1633" s="84">
        <f>IFERROR(__xludf.DUMMYFUNCTION("""COMPUTED_VALUE"""),46125.41666666667)</f>
        <v>46125.41667</v>
      </c>
      <c r="F1633" s="86">
        <f>IFERROR(__xludf.DUMMYFUNCTION("""COMPUTED_VALUE"""),46122.63435670139)</f>
        <v>46122.63436</v>
      </c>
      <c r="G1633" s="86" t="str">
        <f>IFERROR(__xludf.DUMMYFUNCTION("""COMPUTED_VALUE"""),"Done")</f>
        <v>Done</v>
      </c>
      <c r="H1633" s="88">
        <f>IFERROR(__xludf.DUMMYFUNCTION("""COMPUTED_VALUE"""),0.0)</f>
        <v>0</v>
      </c>
      <c r="I1633" s="90" t="str">
        <f>IFERROR(__xludf.DUMMYFUNCTION("""COMPUTED_VALUE"""),"EMP0021 Tamanna Dewangan")</f>
        <v>EMP0021 Tamanna Dewangan</v>
      </c>
      <c r="J1633" s="91"/>
    </row>
    <row r="1634">
      <c r="B1634" s="76" t="str">
        <f>IFERROR(__xludf.DUMMYFUNCTION("""COMPUTED_VALUE"""),"Solution / Check data in database according to new logics                ")</f>
        <v>Solution / Check data in database according to new logics                </v>
      </c>
      <c r="C1634" s="82">
        <f>IFERROR(__xludf.DUMMYFUNCTION("""COMPUTED_VALUE"""),5098.0)</f>
        <v>5098</v>
      </c>
      <c r="D1634" s="76" t="str">
        <f>IFERROR(__xludf.DUMMYFUNCTION("""COMPUTED_VALUE"""),"GRADE CARD AGRICULTURE")</f>
        <v>GRADE CARD AGRICULTURE</v>
      </c>
      <c r="E1634" s="84">
        <f>IFERROR(__xludf.DUMMYFUNCTION("""COMPUTED_VALUE"""),46127.554861111115)</f>
        <v>46127.55486</v>
      </c>
      <c r="F1634" s="86">
        <f>IFERROR(__xludf.DUMMYFUNCTION("""COMPUTED_VALUE"""),46125.719150324076)</f>
        <v>46125.71915</v>
      </c>
      <c r="G1634" s="86" t="str">
        <f>IFERROR(__xludf.DUMMYFUNCTION("""COMPUTED_VALUE"""),"Done")</f>
        <v>Done</v>
      </c>
      <c r="H1634" s="88">
        <f>IFERROR(__xludf.DUMMYFUNCTION("""COMPUTED_VALUE"""),0.0)</f>
        <v>0</v>
      </c>
      <c r="I1634" s="90" t="str">
        <f>IFERROR(__xludf.DUMMYFUNCTION("""COMPUTED_VALUE"""),"EMP0042 HULESHWAR KUMAR SAHU")</f>
        <v>EMP0042 HULESHWAR KUMAR SAHU</v>
      </c>
      <c r="J1634" s="91"/>
    </row>
    <row r="1635">
      <c r="B1635" s="76" t="str">
        <f>IFERROR(__xludf.DUMMYFUNCTION("""COMPUTED_VALUE"""),"Solution / Check data in database according to new logics                ")</f>
        <v>Solution / Check data in database according to new logics                </v>
      </c>
      <c r="C1635" s="82">
        <f>IFERROR(__xludf.DUMMYFUNCTION("""COMPUTED_VALUE"""),5099.0)</f>
        <v>5099</v>
      </c>
      <c r="D1635" s="76" t="str">
        <f>IFERROR(__xludf.DUMMYFUNCTION("""COMPUTED_VALUE"""),"TR_phd_NEW_FORMAT")</f>
        <v>TR_phd_NEW_FORMAT</v>
      </c>
      <c r="E1635" s="84">
        <f>IFERROR(__xludf.DUMMYFUNCTION("""COMPUTED_VALUE"""),46127.555555555555)</f>
        <v>46127.55556</v>
      </c>
      <c r="F1635" s="86">
        <f>IFERROR(__xludf.DUMMYFUNCTION("""COMPUTED_VALUE"""),46125.71917111111)</f>
        <v>46125.71917</v>
      </c>
      <c r="G1635" s="86" t="str">
        <f>IFERROR(__xludf.DUMMYFUNCTION("""COMPUTED_VALUE"""),"Done")</f>
        <v>Done</v>
      </c>
      <c r="H1635" s="88">
        <f>IFERROR(__xludf.DUMMYFUNCTION("""COMPUTED_VALUE"""),0.0)</f>
        <v>0</v>
      </c>
      <c r="I1635" s="90" t="str">
        <f>IFERROR(__xludf.DUMMYFUNCTION("""COMPUTED_VALUE"""),"EMP0042 HULESHWAR KUMAR SAHU")</f>
        <v>EMP0042 HULESHWAR KUMAR SAHU</v>
      </c>
      <c r="J1635" s="91"/>
    </row>
    <row r="1636">
      <c r="B1636" s="76" t="str">
        <f>IFERROR(__xludf.DUMMYFUNCTION("""COMPUTED_VALUE"""),"Solution / Check data in database according to new logics                ")</f>
        <v>Solution / Check data in database according to new logics                </v>
      </c>
      <c r="C1636" s="82">
        <f>IFERROR(__xludf.DUMMYFUNCTION("""COMPUTED_VALUE"""),5100.0)</f>
        <v>5100</v>
      </c>
      <c r="D1636" s="76" t="str">
        <f>IFERROR(__xludf.DUMMYFUNCTION("""COMPUTED_VALUE"""),"Session - 2024-25 (S), MBBS ,SUPPLEMENTARY. 1st Professional MBBS Examination 2025 (II), correction in the  supplementary marksheet.")</f>
        <v>Session - 2024-25 (S), MBBS ,SUPPLEMENTARY. 1st Professional MBBS Examination 2025 (II), correction in the  supplementary marksheet.</v>
      </c>
      <c r="E1636" s="84">
        <f>IFERROR(__xludf.DUMMYFUNCTION("""COMPUTED_VALUE"""),46128.54583333334)</f>
        <v>46128.54583</v>
      </c>
      <c r="F1636" s="86">
        <f>IFERROR(__xludf.DUMMYFUNCTION("""COMPUTED_VALUE"""),46126.78282456019)</f>
        <v>46126.78282</v>
      </c>
      <c r="G1636" s="86" t="str">
        <f>IFERROR(__xludf.DUMMYFUNCTION("""COMPUTED_VALUE"""),"Done")</f>
        <v>Done</v>
      </c>
      <c r="H1636" s="88">
        <f>IFERROR(__xludf.DUMMYFUNCTION("""COMPUTED_VALUE"""),0.0)</f>
        <v>0</v>
      </c>
      <c r="I1636" s="90" t="str">
        <f>IFERROR(__xludf.DUMMYFUNCTION("""COMPUTED_VALUE"""),"EMP0042 HULESHWAR KUMAR SAHU")</f>
        <v>EMP0042 HULESHWAR KUMAR SAHU</v>
      </c>
      <c r="J1636" s="91"/>
    </row>
    <row r="1637">
      <c r="B1637" s="76" t="str">
        <f>IFERROR(__xludf.DUMMYFUNCTION("""COMPUTED_VALUE"""),"Solution / Check data in database according to new logics                ")</f>
        <v>Solution / Check data in database according to new logics                </v>
      </c>
      <c r="C1637" s="82">
        <f>IFERROR(__xludf.DUMMYFUNCTION("""COMPUTED_VALUE"""),5101.0)</f>
        <v>5101</v>
      </c>
      <c r="D1637" s="76" t="str">
        <f>IFERROR(__xludf.DUMMYFUNCTION("""COMPUTED_VALUE"""),"Upshastri marksheet not downloading SE23")</f>
        <v>Upshastri marksheet not downloading SE23</v>
      </c>
      <c r="E1637" s="84">
        <f>IFERROR(__xludf.DUMMYFUNCTION("""COMPUTED_VALUE"""),46129.44375)</f>
        <v>46129.44375</v>
      </c>
      <c r="F1637" s="86">
        <f>IFERROR(__xludf.DUMMYFUNCTION("""COMPUTED_VALUE"""),46128.516485451386)</f>
        <v>46128.51649</v>
      </c>
      <c r="G1637" s="86" t="str">
        <f>IFERROR(__xludf.DUMMYFUNCTION("""COMPUTED_VALUE"""),"Done")</f>
        <v>Done</v>
      </c>
      <c r="H1637" s="88">
        <f>IFERROR(__xludf.DUMMYFUNCTION("""COMPUTED_VALUE"""),0.0)</f>
        <v>0</v>
      </c>
      <c r="I1637" s="90" t="str">
        <f>IFERROR(__xludf.DUMMYFUNCTION("""COMPUTED_VALUE"""),"EMP0021 Tamanna Dewangan")</f>
        <v>EMP0021 Tamanna Dewangan</v>
      </c>
      <c r="J1637" s="91"/>
    </row>
    <row r="1638">
      <c r="B1638" s="76" t="str">
        <f>IFERROR(__xludf.DUMMYFUNCTION("""COMPUTED_VALUE"""),"Solution / Check data in database according to new logics                ")</f>
        <v>Solution / Check data in database according to new logics                </v>
      </c>
      <c r="C1638" s="82">
        <f>IFERROR(__xludf.DUMMYFUNCTION("""COMPUTED_VALUE"""),5102.0)</f>
        <v>5102</v>
      </c>
      <c r="D1638" s="76" t="str">
        <f>IFERROR(__xludf.DUMMYFUNCTION("""COMPUTED_VALUE"""),"Marksheet cumulative nep major minor")</f>
        <v>Marksheet cumulative nep major minor</v>
      </c>
      <c r="E1638" s="84">
        <f>IFERROR(__xludf.DUMMYFUNCTION("""COMPUTED_VALUE"""),46129.76180555555)</f>
        <v>46129.76181</v>
      </c>
      <c r="F1638" s="86">
        <f>IFERROR(__xludf.DUMMYFUNCTION("""COMPUTED_VALUE"""),46129.43843134259)</f>
        <v>46129.43843</v>
      </c>
      <c r="G1638" s="86" t="str">
        <f>IFERROR(__xludf.DUMMYFUNCTION("""COMPUTED_VALUE"""),"Done")</f>
        <v>Done</v>
      </c>
      <c r="H1638" s="88">
        <f>IFERROR(__xludf.DUMMYFUNCTION("""COMPUTED_VALUE"""),0.0)</f>
        <v>0</v>
      </c>
      <c r="I1638" s="90" t="str">
        <f>IFERROR(__xludf.DUMMYFUNCTION("""COMPUTED_VALUE"""),"EMP0042 HULESHWAR KUMAR SAHU")</f>
        <v>EMP0042 HULESHWAR KUMAR SAHU</v>
      </c>
      <c r="J1638" s="91"/>
    </row>
    <row r="1639">
      <c r="B1639" s="76" t="str">
        <f>IFERROR(__xludf.DUMMYFUNCTION("""COMPUTED_VALUE"""),"Solution / Check data in database according to new logics                ")</f>
        <v>Solution / Check data in database according to new logics                </v>
      </c>
      <c r="C1639" s="82">
        <f>IFERROR(__xludf.DUMMYFUNCTION("""COMPUTED_VALUE"""),5103.0)</f>
        <v>5103</v>
      </c>
      <c r="D1639" s="76" t="str">
        <f>IFERROR(__xludf.DUMMYFUNCTION("""COMPUTED_VALUE"""),"Multiple Report ")</f>
        <v>Multiple Report </v>
      </c>
      <c r="E1639" s="84">
        <f>IFERROR(__xludf.DUMMYFUNCTION("""COMPUTED_VALUE"""),46129.77986111111)</f>
        <v>46129.77986</v>
      </c>
      <c r="F1639" s="86">
        <f>IFERROR(__xludf.DUMMYFUNCTION("""COMPUTED_VALUE"""),46128.6005953125)</f>
        <v>46128.6006</v>
      </c>
      <c r="G1639" s="86" t="str">
        <f>IFERROR(__xludf.DUMMYFUNCTION("""COMPUTED_VALUE"""),"Done")</f>
        <v>Done</v>
      </c>
      <c r="H1639" s="88">
        <f>IFERROR(__xludf.DUMMYFUNCTION("""COMPUTED_VALUE"""),0.0)</f>
        <v>0</v>
      </c>
      <c r="I1639" s="90" t="str">
        <f>IFERROR(__xludf.DUMMYFUNCTION("""COMPUTED_VALUE"""),"EMP0042 HULESHWAR KUMAR SAHU")</f>
        <v>EMP0042 HULESHWAR KUMAR SAHU</v>
      </c>
      <c r="J1639" s="91"/>
    </row>
    <row r="1640">
      <c r="B1640" s="76" t="str">
        <f>IFERROR(__xludf.DUMMYFUNCTION("""COMPUTED_VALUE"""),"Solution / Check data in database according to new logics                ")</f>
        <v>Solution / Check data in database according to new logics                </v>
      </c>
      <c r="C1640" s="82">
        <f>IFERROR(__xludf.DUMMYFUNCTION("""COMPUTED_VALUE"""),5104.0)</f>
        <v>5104</v>
      </c>
      <c r="D1640" s="76" t="str">
        <f>IFERROR(__xludf.DUMMYFUNCTION("""COMPUTED_VALUE"""),"TR")</f>
        <v>TR</v>
      </c>
      <c r="E1640" s="84">
        <f>IFERROR(__xludf.DUMMYFUNCTION("""COMPUTED_VALUE"""),46130.5375)</f>
        <v>46130.5375</v>
      </c>
      <c r="F1640" s="86">
        <f>IFERROR(__xludf.DUMMYFUNCTION("""COMPUTED_VALUE"""),46129.600590277776)</f>
        <v>46129.60059</v>
      </c>
      <c r="G1640" s="86" t="str">
        <f>IFERROR(__xludf.DUMMYFUNCTION("""COMPUTED_VALUE"""),"Done")</f>
        <v>Done</v>
      </c>
      <c r="H1640" s="88">
        <f>IFERROR(__xludf.DUMMYFUNCTION("""COMPUTED_VALUE"""),0.0)</f>
        <v>0</v>
      </c>
      <c r="I1640" s="90" t="str">
        <f>IFERROR(__xludf.DUMMYFUNCTION("""COMPUTED_VALUE"""),"EMP0042 HULESHWAR KUMAR SAHU")</f>
        <v>EMP0042 HULESHWAR KUMAR SAHU</v>
      </c>
      <c r="J1640" s="91"/>
    </row>
    <row r="1641">
      <c r="B1641" s="76" t="str">
        <f>IFERROR(__xludf.DUMMYFUNCTION("""COMPUTED_VALUE"""),"Solution / Check data in database according to new logics                ")</f>
        <v>Solution / Check data in database according to new logics                </v>
      </c>
      <c r="C1641" s="82">
        <f>IFERROR(__xludf.DUMMYFUNCTION("""COMPUTED_VALUE"""),5105.0)</f>
        <v>5105</v>
      </c>
      <c r="D1641" s="76" t="str">
        <f>IFERROR(__xludf.DUMMYFUNCTION("""COMPUTED_VALUE"""),"Grade Carde B.Tech")</f>
        <v>Grade Carde B.Tech</v>
      </c>
      <c r="E1641" s="84">
        <f>IFERROR(__xludf.DUMMYFUNCTION("""COMPUTED_VALUE"""),46130.75069444445)</f>
        <v>46130.75069</v>
      </c>
      <c r="F1641" s="86">
        <f>IFERROR(__xludf.DUMMYFUNCTION("""COMPUTED_VALUE"""),46129.67808575231)</f>
        <v>46129.67809</v>
      </c>
      <c r="G1641" s="86" t="str">
        <f>IFERROR(__xludf.DUMMYFUNCTION("""COMPUTED_VALUE"""),"Done")</f>
        <v>Done</v>
      </c>
      <c r="H1641" s="88">
        <f>IFERROR(__xludf.DUMMYFUNCTION("""COMPUTED_VALUE"""),0.0)</f>
        <v>0</v>
      </c>
      <c r="I1641" s="90" t="str">
        <f>IFERROR(__xludf.DUMMYFUNCTION("""COMPUTED_VALUE"""),"EMP5009 Rup Kumar Mandal")</f>
        <v>EMP5009 Rup Kumar Mandal</v>
      </c>
      <c r="J1641" s="91"/>
    </row>
    <row r="1642">
      <c r="B1642" s="76" t="str">
        <f>IFERROR(__xludf.DUMMYFUNCTION("""COMPUTED_VALUE"""),"Solution / Check data in database according to new logics                ")</f>
        <v>Solution / Check data in database according to new logics                </v>
      </c>
      <c r="C1642" s="82">
        <f>IFERROR(__xludf.DUMMYFUNCTION("""COMPUTED_VALUE"""),5106.0)</f>
        <v>5106</v>
      </c>
      <c r="D1642" s="76" t="str">
        <f>IFERROR(__xludf.DUMMYFUNCTION("""COMPUTED_VALUE"""),"TR.....&amp; ALL REPORTS")</f>
        <v>TR.....&amp; ALL REPORTS</v>
      </c>
      <c r="E1642" s="84">
        <f>IFERROR(__xludf.DUMMYFUNCTION("""COMPUTED_VALUE"""),46132.45416666666)</f>
        <v>46132.45417</v>
      </c>
      <c r="F1642" s="86">
        <f>IFERROR(__xludf.DUMMYFUNCTION("""COMPUTED_VALUE"""),46132.427049363425)</f>
        <v>46132.42705</v>
      </c>
      <c r="G1642" s="86" t="str">
        <f>IFERROR(__xludf.DUMMYFUNCTION("""COMPUTED_VALUE"""),"Done")</f>
        <v>Done</v>
      </c>
      <c r="H1642" s="88">
        <f>IFERROR(__xludf.DUMMYFUNCTION("""COMPUTED_VALUE"""),0.0)</f>
        <v>0</v>
      </c>
      <c r="I1642" s="90" t="str">
        <f>IFERROR(__xludf.DUMMYFUNCTION("""COMPUTED_VALUE"""),"EMP5009 Rup Kumar Mandal")</f>
        <v>EMP5009 Rup Kumar Mandal</v>
      </c>
      <c r="J1642" s="91"/>
    </row>
    <row r="1643">
      <c r="B1643" s="76" t="str">
        <f>IFERROR(__xludf.DUMMYFUNCTION("""COMPUTED_VALUE"""),"Solution / Check data in database according to new logics                ")</f>
        <v>Solution / Check data in database according to new logics                </v>
      </c>
      <c r="C1643" s="82">
        <f>IFERROR(__xludf.DUMMYFUNCTION("""COMPUTED_VALUE"""),5107.0)</f>
        <v>5107</v>
      </c>
      <c r="D1643" s="76" t="str">
        <f>IFERROR(__xludf.DUMMYFUNCTION("""COMPUTED_VALUE"""),"TR.....&amp; all reports")</f>
        <v>TR.....&amp; all reports</v>
      </c>
      <c r="E1643" s="84">
        <f>IFERROR(__xludf.DUMMYFUNCTION("""COMPUTED_VALUE"""),46132.45625)</f>
        <v>46132.45625</v>
      </c>
      <c r="F1643" s="86">
        <f>IFERROR(__xludf.DUMMYFUNCTION("""COMPUTED_VALUE"""),46132.42707835648)</f>
        <v>46132.42708</v>
      </c>
      <c r="G1643" s="86" t="str">
        <f>IFERROR(__xludf.DUMMYFUNCTION("""COMPUTED_VALUE"""),"Done")</f>
        <v>Done</v>
      </c>
      <c r="H1643" s="88">
        <f>IFERROR(__xludf.DUMMYFUNCTION("""COMPUTED_VALUE"""),0.0)</f>
        <v>0</v>
      </c>
      <c r="I1643" s="90" t="str">
        <f>IFERROR(__xludf.DUMMYFUNCTION("""COMPUTED_VALUE"""),"EMP5009 Rup Kumar Mandal")</f>
        <v>EMP5009 Rup Kumar Mandal</v>
      </c>
      <c r="J1643" s="91"/>
    </row>
    <row r="1644">
      <c r="B1644" s="76" t="str">
        <f>IFERROR(__xludf.DUMMYFUNCTION("""COMPUTED_VALUE"""),"Solution / Check data in database according to new logics                ")</f>
        <v>Solution / Check data in database according to new logics                </v>
      </c>
      <c r="C1644" s="82">
        <f>IFERROR(__xludf.DUMMYFUNCTION("""COMPUTED_VALUE"""),5108.0)</f>
        <v>5108</v>
      </c>
      <c r="D1644" s="76" t="str">
        <f>IFERROR(__xludf.DUMMYFUNCTION("""COMPUTED_VALUE"""),"Mark Entry")</f>
        <v>Mark Entry</v>
      </c>
      <c r="E1644" s="84">
        <f>IFERROR(__xludf.DUMMYFUNCTION("""COMPUTED_VALUE"""),46133.80347222222)</f>
        <v>46133.80347</v>
      </c>
      <c r="F1644" s="86">
        <f>IFERROR(__xludf.DUMMYFUNCTION("""COMPUTED_VALUE"""),46132.83259414352)</f>
        <v>46132.83259</v>
      </c>
      <c r="G1644" s="86" t="str">
        <f>IFERROR(__xludf.DUMMYFUNCTION("""COMPUTED_VALUE"""),"Done")</f>
        <v>Done</v>
      </c>
      <c r="H1644" s="88">
        <f>IFERROR(__xludf.DUMMYFUNCTION("""COMPUTED_VALUE"""),0.0)</f>
        <v>0</v>
      </c>
      <c r="I1644" s="90" t="str">
        <f>IFERROR(__xludf.DUMMYFUNCTION("""COMPUTED_VALUE"""),"EMP0237 Swarnendu Chakraborty")</f>
        <v>EMP0237 Swarnendu Chakraborty</v>
      </c>
      <c r="J1644" s="91"/>
    </row>
    <row r="1645">
      <c r="B1645" s="76" t="str">
        <f>IFERROR(__xludf.DUMMYFUNCTION("""COMPUTED_VALUE"""),"Solution / Check data in database according to new logics                ")</f>
        <v>Solution / Check data in database according to new logics                </v>
      </c>
      <c r="C1645" s="82">
        <f>IFERROR(__xludf.DUMMYFUNCTION("""COMPUTED_VALUE"""),5109.0)</f>
        <v>5109</v>
      </c>
      <c r="D1645" s="76" t="str">
        <f>IFERROR(__xludf.DUMMYFUNCTION("""COMPUTED_VALUE"""),"Mark Entry")</f>
        <v>Mark Entry</v>
      </c>
      <c r="E1645" s="84">
        <f>IFERROR(__xludf.DUMMYFUNCTION("""COMPUTED_VALUE"""),46133.804861111115)</f>
        <v>46133.80486</v>
      </c>
      <c r="F1645" s="86">
        <f>IFERROR(__xludf.DUMMYFUNCTION("""COMPUTED_VALUE"""),46132.8325712963)</f>
        <v>46132.83257</v>
      </c>
      <c r="G1645" s="86" t="str">
        <f>IFERROR(__xludf.DUMMYFUNCTION("""COMPUTED_VALUE"""),"Done")</f>
        <v>Done</v>
      </c>
      <c r="H1645" s="88">
        <f>IFERROR(__xludf.DUMMYFUNCTION("""COMPUTED_VALUE"""),0.0)</f>
        <v>0</v>
      </c>
      <c r="I1645" s="90" t="str">
        <f>IFERROR(__xludf.DUMMYFUNCTION("""COMPUTED_VALUE"""),"EMP5009 Rup Kumar Mandal")</f>
        <v>EMP5009 Rup Kumar Mandal</v>
      </c>
      <c r="J1645" s="91"/>
    </row>
    <row r="1646">
      <c r="B1646" s="76" t="str">
        <f>IFERROR(__xludf.DUMMYFUNCTION("""COMPUTED_VALUE"""),"Solution / Check data in database according to new logics                ")</f>
        <v>Solution / Check data in database according to new logics                </v>
      </c>
      <c r="C1646" s="82">
        <f>IFERROR(__xludf.DUMMYFUNCTION("""COMPUTED_VALUE"""),5110.0)</f>
        <v>5110</v>
      </c>
      <c r="D1646" s="76" t="str">
        <f>IFERROR(__xludf.DUMMYFUNCTION("""COMPUTED_VALUE"""),"RR ENROLLMENT FEES OVERALL")</f>
        <v>RR ENROLLMENT FEES OVERALL</v>
      </c>
      <c r="E1646" s="84">
        <f>IFERROR(__xludf.DUMMYFUNCTION("""COMPUTED_VALUE"""),46134.58333333333)</f>
        <v>46134.58333</v>
      </c>
      <c r="F1646" s="86">
        <f>IFERROR(__xludf.DUMMYFUNCTION("""COMPUTED_VALUE"""),46133.46197840278)</f>
        <v>46133.46198</v>
      </c>
      <c r="G1646" s="86" t="str">
        <f>IFERROR(__xludf.DUMMYFUNCTION("""COMPUTED_VALUE"""),"Done")</f>
        <v>Done</v>
      </c>
      <c r="H1646" s="88">
        <f>IFERROR(__xludf.DUMMYFUNCTION("""COMPUTED_VALUE"""),0.0)</f>
        <v>0</v>
      </c>
      <c r="I1646" s="90" t="str">
        <f>IFERROR(__xludf.DUMMYFUNCTION("""COMPUTED_VALUE"""),"EMP0042 HULESHWAR KUMAR SAHU")</f>
        <v>EMP0042 HULESHWAR KUMAR SAHU</v>
      </c>
      <c r="J1646" s="91"/>
    </row>
    <row r="1647">
      <c r="B1647" s="76" t="str">
        <f>IFERROR(__xludf.DUMMYFUNCTION("""COMPUTED_VALUE"""),"Solution / Check data in database according to new logics                ")</f>
        <v>Solution / Check data in database according to new logics                </v>
      </c>
      <c r="C1647" s="82">
        <f>IFERROR(__xludf.DUMMYFUNCTION("""COMPUTED_VALUE"""),5111.0)</f>
        <v>5111</v>
      </c>
      <c r="D1647" s="76" t="str">
        <f>IFERROR(__xludf.DUMMYFUNCTION("""COMPUTED_VALUE"""),"3386")</f>
        <v>3386</v>
      </c>
      <c r="E1647" s="84">
        <f>IFERROR(__xludf.DUMMYFUNCTION("""COMPUTED_VALUE"""),46134.67569444445)</f>
        <v>46134.67569</v>
      </c>
      <c r="F1647" s="86">
        <f>IFERROR(__xludf.DUMMYFUNCTION("""COMPUTED_VALUE"""),46133.462260370376)</f>
        <v>46133.46226</v>
      </c>
      <c r="G1647" s="86" t="str">
        <f>IFERROR(__xludf.DUMMYFUNCTION("""COMPUTED_VALUE"""),"Done")</f>
        <v>Done</v>
      </c>
      <c r="H1647" s="88">
        <f>IFERROR(__xludf.DUMMYFUNCTION("""COMPUTED_VALUE"""),0.0)</f>
        <v>0</v>
      </c>
      <c r="I1647" s="90" t="str">
        <f>IFERROR(__xludf.DUMMYFUNCTION("""COMPUTED_VALUE"""),"EMP0021 Tamanna Dewangan")</f>
        <v>EMP0021 Tamanna Dewangan</v>
      </c>
      <c r="J1647" s="91"/>
    </row>
    <row r="1648">
      <c r="B1648" s="76" t="str">
        <f>IFERROR(__xludf.DUMMYFUNCTION("""COMPUTED_VALUE"""),"Solution / Check data in database according to new logics                ")</f>
        <v>Solution / Check data in database according to new logics                </v>
      </c>
      <c r="C1648" s="82">
        <f>IFERROR(__xludf.DUMMYFUNCTION("""COMPUTED_VALUE"""),5112.0)</f>
        <v>5112</v>
      </c>
      <c r="D1648" s="76" t="str">
        <f>IFERROR(__xludf.DUMMYFUNCTION("""COMPUTED_VALUE"""),"Admit Card")</f>
        <v>Admit Card</v>
      </c>
      <c r="E1648" s="84">
        <f>IFERROR(__xludf.DUMMYFUNCTION("""COMPUTED_VALUE"""),46135.589583333334)</f>
        <v>46135.58958</v>
      </c>
      <c r="F1648" s="86">
        <f>IFERROR(__xludf.DUMMYFUNCTION("""COMPUTED_VALUE"""),46134.62964302083)</f>
        <v>46134.62964</v>
      </c>
      <c r="G1648" s="86" t="str">
        <f>IFERROR(__xludf.DUMMYFUNCTION("""COMPUTED_VALUE"""),"Done")</f>
        <v>Done</v>
      </c>
      <c r="H1648" s="88">
        <f>IFERROR(__xludf.DUMMYFUNCTION("""COMPUTED_VALUE"""),0.0)</f>
        <v>0</v>
      </c>
      <c r="I1648" s="90" t="str">
        <f>IFERROR(__xludf.DUMMYFUNCTION("""COMPUTED_VALUE"""),"EMP5009 Rup Kumar Mandal")</f>
        <v>EMP5009 Rup Kumar Mandal</v>
      </c>
      <c r="J1648" s="91"/>
    </row>
    <row r="1649">
      <c r="B1649" s="76" t="str">
        <f>IFERROR(__xludf.DUMMYFUNCTION("""COMPUTED_VALUE"""),"Solution / Check data in database according to new logics                ")</f>
        <v>Solution / Check data in database according to new logics                </v>
      </c>
      <c r="C1649" s="82">
        <f>IFERROR(__xludf.DUMMYFUNCTION("""COMPUTED_VALUE"""),5113.0)</f>
        <v>5113</v>
      </c>
      <c r="D1649" s="76" t="str">
        <f>IFERROR(__xludf.DUMMYFUNCTION("""COMPUTED_VALUE"""),"Marks Sheet NEP")</f>
        <v>Marks Sheet NEP</v>
      </c>
      <c r="E1649" s="84">
        <f>IFERROR(__xludf.DUMMYFUNCTION("""COMPUTED_VALUE"""),46136.72916666667)</f>
        <v>46136.72917</v>
      </c>
      <c r="F1649" s="86">
        <f>IFERROR(__xludf.DUMMYFUNCTION("""COMPUTED_VALUE"""),46135.597855)</f>
        <v>46135.59786</v>
      </c>
      <c r="G1649" s="86" t="str">
        <f>IFERROR(__xludf.DUMMYFUNCTION("""COMPUTED_VALUE"""),"Done")</f>
        <v>Done</v>
      </c>
      <c r="H1649" s="88">
        <f>IFERROR(__xludf.DUMMYFUNCTION("""COMPUTED_VALUE"""),0.0)</f>
        <v>0</v>
      </c>
      <c r="I1649" s="90" t="str">
        <f>IFERROR(__xludf.DUMMYFUNCTION("""COMPUTED_VALUE"""),"EMP0042 HULESHWAR KUMAR SAHU")</f>
        <v>EMP0042 HULESHWAR KUMAR SAHU</v>
      </c>
      <c r="J1649" s="91"/>
    </row>
    <row r="1650">
      <c r="B1650" s="76" t="str">
        <f>IFERROR(__xludf.DUMMYFUNCTION("""COMPUTED_VALUE"""),"Solution / Check data in database according to new logics                ")</f>
        <v>Solution / Check data in database according to new logics                </v>
      </c>
      <c r="C1650" s="82">
        <f>IFERROR(__xludf.DUMMYFUNCTION("""COMPUTED_VALUE"""),5114.0)</f>
        <v>5114</v>
      </c>
      <c r="D1650" s="76" t="str">
        <f>IFERROR(__xludf.DUMMYFUNCTION("""COMPUTED_VALUE"""),"Marks Sheet Old")</f>
        <v>Marks Sheet Old</v>
      </c>
      <c r="E1650" s="84">
        <f>IFERROR(__xludf.DUMMYFUNCTION("""COMPUTED_VALUE"""),46136.72986111111)</f>
        <v>46136.72986</v>
      </c>
      <c r="F1650" s="86">
        <f>IFERROR(__xludf.DUMMYFUNCTION("""COMPUTED_VALUE"""),46135.78029461806)</f>
        <v>46135.78029</v>
      </c>
      <c r="G1650" s="86" t="str">
        <f>IFERROR(__xludf.DUMMYFUNCTION("""COMPUTED_VALUE"""),"Done")</f>
        <v>Done</v>
      </c>
      <c r="H1650" s="88">
        <f>IFERROR(__xludf.DUMMYFUNCTION("""COMPUTED_VALUE"""),0.0)</f>
        <v>0</v>
      </c>
      <c r="I1650" s="90" t="str">
        <f>IFERROR(__xludf.DUMMYFUNCTION("""COMPUTED_VALUE"""),"EMP0042 HULESHWAR KUMAR SAHU")</f>
        <v>EMP0042 HULESHWAR KUMAR SAHU</v>
      </c>
      <c r="J1650" s="91"/>
    </row>
    <row r="1651">
      <c r="B1651" s="76" t="str">
        <f>IFERROR(__xludf.DUMMYFUNCTION("""COMPUTED_VALUE"""),"Solution / Check data in database according to new logics                ")</f>
        <v>Solution / Check data in database according to new logics                </v>
      </c>
      <c r="C1651" s="82">
        <f>IFERROR(__xludf.DUMMYFUNCTION("""COMPUTED_VALUE"""),5115.0)</f>
        <v>5115</v>
      </c>
      <c r="D1651" s="76" t="str">
        <f>IFERROR(__xludf.DUMMYFUNCTION("""COMPUTED_VALUE"""),"admitcard")</f>
        <v>admitcard</v>
      </c>
      <c r="E1651" s="84">
        <f>IFERROR(__xludf.DUMMYFUNCTION("""COMPUTED_VALUE"""),46136.79652777778)</f>
        <v>46136.79653</v>
      </c>
      <c r="F1651" s="86">
        <f>IFERROR(__xludf.DUMMYFUNCTION("""COMPUTED_VALUE"""),46135.780233900456)</f>
        <v>46135.78023</v>
      </c>
      <c r="G1651" s="86" t="str">
        <f>IFERROR(__xludf.DUMMYFUNCTION("""COMPUTED_VALUE"""),"Done")</f>
        <v>Done</v>
      </c>
      <c r="H1651" s="88">
        <f>IFERROR(__xludf.DUMMYFUNCTION("""COMPUTED_VALUE"""),0.0)</f>
        <v>0</v>
      </c>
      <c r="I1651" s="90" t="str">
        <f>IFERROR(__xludf.DUMMYFUNCTION("""COMPUTED_VALUE"""),"EMP5009 Rup Kumar Mandal")</f>
        <v>EMP5009 Rup Kumar Mandal</v>
      </c>
      <c r="J1651" s="91"/>
    </row>
    <row r="1652">
      <c r="B1652" s="76" t="str">
        <f>IFERROR(__xludf.DUMMYFUNCTION("""COMPUTED_VALUE"""),"Solution / Check data in database according to new logics                ")</f>
        <v>Solution / Check data in database according to new logics                </v>
      </c>
      <c r="C1652" s="82">
        <f>IFERROR(__xludf.DUMMYFUNCTION("""COMPUTED_VALUE"""),5116.0)</f>
        <v>5116</v>
      </c>
      <c r="D1652" s="76" t="str">
        <f>IFERROR(__xludf.DUMMYFUNCTION("""COMPUTED_VALUE"""),"grade-card-nep")</f>
        <v>grade-card-nep</v>
      </c>
      <c r="E1652" s="84">
        <f>IFERROR(__xludf.DUMMYFUNCTION("""COMPUTED_VALUE"""),46136.8)</f>
        <v>46136.8</v>
      </c>
      <c r="F1652" s="86">
        <f>IFERROR(__xludf.DUMMYFUNCTION("""COMPUTED_VALUE"""),46135.780233900456)</f>
        <v>46135.78023</v>
      </c>
      <c r="G1652" s="86" t="str">
        <f>IFERROR(__xludf.DUMMYFUNCTION("""COMPUTED_VALUE"""),"Done")</f>
        <v>Done</v>
      </c>
      <c r="H1652" s="88">
        <f>IFERROR(__xludf.DUMMYFUNCTION("""COMPUTED_VALUE"""),0.0)</f>
        <v>0</v>
      </c>
      <c r="I1652" s="90" t="str">
        <f>IFERROR(__xludf.DUMMYFUNCTION("""COMPUTED_VALUE"""),"EMP0021 Tamanna Dewangan")</f>
        <v>EMP0021 Tamanna Dewangan</v>
      </c>
      <c r="J1652" s="91"/>
    </row>
    <row r="1653">
      <c r="B1653" s="76" t="str">
        <f>IFERROR(__xludf.DUMMYFUNCTION("""COMPUTED_VALUE"""),"Solution / Check data in database according to new logics                ")</f>
        <v>Solution / Check data in database according to new logics                </v>
      </c>
      <c r="C1653" s="82">
        <f>IFERROR(__xludf.DUMMYFUNCTION("""COMPUTED_VALUE"""),5117.0)</f>
        <v>5117</v>
      </c>
      <c r="D1653" s="76" t="str">
        <f>IFERROR(__xludf.DUMMYFUNCTION("""COMPUTED_VALUE"""),"Regarding BA/BCom-6th Sem Practical/Sessional Award Sheet")</f>
        <v>Regarding BA/BCom-6th Sem Practical/Sessional Award Sheet</v>
      </c>
      <c r="E1653" s="84">
        <f>IFERROR(__xludf.DUMMYFUNCTION("""COMPUTED_VALUE"""),46137.495833333334)</f>
        <v>46137.49583</v>
      </c>
      <c r="F1653" s="86">
        <f>IFERROR(__xludf.DUMMYFUNCTION("""COMPUTED_VALUE"""),46135.78025049769)</f>
        <v>46135.78025</v>
      </c>
      <c r="G1653" s="86" t="str">
        <f>IFERROR(__xludf.DUMMYFUNCTION("""COMPUTED_VALUE"""),"Done")</f>
        <v>Done</v>
      </c>
      <c r="H1653" s="88">
        <f>IFERROR(__xludf.DUMMYFUNCTION("""COMPUTED_VALUE"""),0.0)</f>
        <v>0</v>
      </c>
      <c r="I1653" s="90" t="str">
        <f>IFERROR(__xludf.DUMMYFUNCTION("""COMPUTED_VALUE"""),"EMP0237 Swarnendu Chakraborty")</f>
        <v>EMP0237 Swarnendu Chakraborty</v>
      </c>
      <c r="J1653" s="91"/>
    </row>
    <row r="1654">
      <c r="B1654" s="76" t="str">
        <f>IFERROR(__xludf.DUMMYFUNCTION("""COMPUTED_VALUE"""),"Solution / Check data in database according to new logics                ")</f>
        <v>Solution / Check data in database according to new logics                </v>
      </c>
      <c r="C1654" s="82">
        <f>IFERROR(__xludf.DUMMYFUNCTION("""COMPUTED_VALUE"""),5118.0)</f>
        <v>5118</v>
      </c>
      <c r="D1654" s="76" t="str">
        <f>IFERROR(__xludf.DUMMYFUNCTION("""COMPUTED_VALUE"""),"TR semester (NEW)")</f>
        <v>TR semester (NEW)</v>
      </c>
      <c r="E1654" s="84">
        <f>IFERROR(__xludf.DUMMYFUNCTION("""COMPUTED_VALUE"""),46137.523611111115)</f>
        <v>46137.52361</v>
      </c>
      <c r="F1654" s="86">
        <f>IFERROR(__xludf.DUMMYFUNCTION("""COMPUTED_VALUE"""),46135.780135092595)</f>
        <v>46135.78014</v>
      </c>
      <c r="G1654" s="86" t="str">
        <f>IFERROR(__xludf.DUMMYFUNCTION("""COMPUTED_VALUE"""),"Done")</f>
        <v>Done</v>
      </c>
      <c r="H1654" s="88">
        <f>IFERROR(__xludf.DUMMYFUNCTION("""COMPUTED_VALUE"""),0.0)</f>
        <v>0</v>
      </c>
      <c r="I1654" s="90" t="str">
        <f>IFERROR(__xludf.DUMMYFUNCTION("""COMPUTED_VALUE"""),"EMP5009 Rup Kumar Mandal")</f>
        <v>EMP5009 Rup Kumar Mandal</v>
      </c>
      <c r="J1654" s="91"/>
    </row>
    <row r="1655">
      <c r="B1655" s="76" t="str">
        <f>IFERROR(__xludf.DUMMYFUNCTION("""COMPUTED_VALUE"""),"Solution / Check data in database according to new logics                ")</f>
        <v>Solution / Check data in database according to new logics                </v>
      </c>
      <c r="C1655" s="82">
        <f>IFERROR(__xludf.DUMMYFUNCTION("""COMPUTED_VALUE"""),5119.0)</f>
        <v>5119</v>
      </c>
      <c r="D1655" s="76" t="str">
        <f>IFERROR(__xludf.DUMMYFUNCTION("""COMPUTED_VALUE"""),"Old marksheet report data not correcte please check as discus ")</f>
        <v>Old marksheet report data not correcte please check as discus </v>
      </c>
      <c r="E1655" s="84">
        <f>IFERROR(__xludf.DUMMYFUNCTION("""COMPUTED_VALUE"""),46137.79791666666)</f>
        <v>46137.79792</v>
      </c>
      <c r="F1655" s="86">
        <f>IFERROR(__xludf.DUMMYFUNCTION("""COMPUTED_VALUE"""),46137.417774884256)</f>
        <v>46137.41777</v>
      </c>
      <c r="G1655" s="86" t="str">
        <f>IFERROR(__xludf.DUMMYFUNCTION("""COMPUTED_VALUE"""),"Done")</f>
        <v>Done</v>
      </c>
      <c r="H1655" s="88">
        <f>IFERROR(__xludf.DUMMYFUNCTION("""COMPUTED_VALUE"""),0.0)</f>
        <v>0</v>
      </c>
      <c r="I1655" s="90" t="str">
        <f>IFERROR(__xludf.DUMMYFUNCTION("""COMPUTED_VALUE"""),"EMP0237 Swarnendu Chakraborty")</f>
        <v>EMP0237 Swarnendu Chakraborty</v>
      </c>
      <c r="J1655" s="91"/>
    </row>
    <row r="1656">
      <c r="B1656" s="76" t="str">
        <f>IFERROR(__xludf.DUMMYFUNCTION("""COMPUTED_VALUE"""),"Solution / Check data in database according to new logics                ")</f>
        <v>Solution / Check data in database according to new logics                </v>
      </c>
      <c r="C1656" s="82">
        <f>IFERROR(__xludf.DUMMYFUNCTION("""COMPUTED_VALUE"""),5120.0)</f>
        <v>5120</v>
      </c>
      <c r="D1656" s="76" t="str">
        <f>IFERROR(__xludf.DUMMYFUNCTION("""COMPUTED_VALUE"""),"NEP TR REPORT")</f>
        <v>NEP TR REPORT</v>
      </c>
      <c r="E1656" s="84">
        <f>IFERROR(__xludf.DUMMYFUNCTION("""COMPUTED_VALUE"""),46137.79861111111)</f>
        <v>46137.79861</v>
      </c>
      <c r="F1656" s="86">
        <f>IFERROR(__xludf.DUMMYFUNCTION("""COMPUTED_VALUE"""),46137.40948697917)</f>
        <v>46137.40949</v>
      </c>
      <c r="G1656" s="86" t="str">
        <f>IFERROR(__xludf.DUMMYFUNCTION("""COMPUTED_VALUE"""),"Done")</f>
        <v>Done</v>
      </c>
      <c r="H1656" s="88">
        <f>IFERROR(__xludf.DUMMYFUNCTION("""COMPUTED_VALUE"""),0.0)</f>
        <v>0</v>
      </c>
      <c r="I1656" s="90" t="str">
        <f>IFERROR(__xludf.DUMMYFUNCTION("""COMPUTED_VALUE"""),"EMP5009 Rup Kumar Mandal")</f>
        <v>EMP5009 Rup Kumar Mandal</v>
      </c>
      <c r="J1656" s="91"/>
    </row>
    <row r="1657">
      <c r="B1657" s="76" t="str">
        <f>IFERROR(__xludf.DUMMYFUNCTION("""COMPUTED_VALUE"""),"Solution / Check data in database according to new logics                ")</f>
        <v>Solution / Check data in database according to new logics                </v>
      </c>
      <c r="C1657" s="82">
        <f>IFERROR(__xludf.DUMMYFUNCTION("""COMPUTED_VALUE"""),5121.0)</f>
        <v>5121</v>
      </c>
      <c r="D1657" s="76" t="str">
        <f>IFERROR(__xludf.DUMMYFUNCTION("""COMPUTED_VALUE"""),"TR REPORT NEP")</f>
        <v>TR REPORT NEP</v>
      </c>
      <c r="E1657" s="84">
        <f>IFERROR(__xludf.DUMMYFUNCTION("""COMPUTED_VALUE"""),46137.80138888889)</f>
        <v>46137.80139</v>
      </c>
      <c r="F1657" s="86">
        <f>IFERROR(__xludf.DUMMYFUNCTION("""COMPUTED_VALUE"""),46137.409190798615)</f>
        <v>46137.40919</v>
      </c>
      <c r="G1657" s="86" t="str">
        <f>IFERROR(__xludf.DUMMYFUNCTION("""COMPUTED_VALUE"""),"Done")</f>
        <v>Done</v>
      </c>
      <c r="H1657" s="88">
        <f>IFERROR(__xludf.DUMMYFUNCTION("""COMPUTED_VALUE"""),0.0)</f>
        <v>0</v>
      </c>
      <c r="I1657" s="90" t="str">
        <f>IFERROR(__xludf.DUMMYFUNCTION("""COMPUTED_VALUE"""),"EMP5009 Rup Kumar Mandal")</f>
        <v>EMP5009 Rup Kumar Mandal</v>
      </c>
      <c r="J1657" s="91"/>
    </row>
    <row r="1658">
      <c r="B1658" s="76" t="str">
        <f>IFERROR(__xludf.DUMMYFUNCTION("""COMPUTED_VALUE"""),"Solution / Check data in database according to new logics                ")</f>
        <v>Solution / Check data in database according to new logics                </v>
      </c>
      <c r="C1658" s="82">
        <f>IFERROR(__xludf.DUMMYFUNCTION("""COMPUTED_VALUE"""),5122.0)</f>
        <v>5122</v>
      </c>
      <c r="D1658" s="76" t="str">
        <f>IFERROR(__xludf.DUMMYFUNCTION("""COMPUTED_VALUE"""),"TR REPORT NON-NEP")</f>
        <v>TR REPORT NON-NEP</v>
      </c>
      <c r="E1658" s="84">
        <f>IFERROR(__xludf.DUMMYFUNCTION("""COMPUTED_VALUE"""),46137.81736111111)</f>
        <v>46137.81736</v>
      </c>
      <c r="F1658" s="86">
        <f>IFERROR(__xludf.DUMMYFUNCTION("""COMPUTED_VALUE"""),46137.40921733796)</f>
        <v>46137.40922</v>
      </c>
      <c r="G1658" s="86" t="str">
        <f>IFERROR(__xludf.DUMMYFUNCTION("""COMPUTED_VALUE"""),"Done")</f>
        <v>Done</v>
      </c>
      <c r="H1658" s="88">
        <f>IFERROR(__xludf.DUMMYFUNCTION("""COMPUTED_VALUE"""),0.0)</f>
        <v>0</v>
      </c>
      <c r="I1658" s="90" t="str">
        <f>IFERROR(__xludf.DUMMYFUNCTION("""COMPUTED_VALUE"""),"EMP5009 Rup Kumar Mandal")</f>
        <v>EMP5009 Rup Kumar Mandal</v>
      </c>
      <c r="J1658" s="91"/>
    </row>
    <row r="1659">
      <c r="B1659" s="76" t="str">
        <f>IFERROR(__xludf.DUMMYFUNCTION("""COMPUTED_VALUE"""),"Solution / Check data in database according to new logics                ")</f>
        <v>Solution / Check data in database according to new logics                </v>
      </c>
      <c r="C1659" s="82">
        <f>IFERROR(__xludf.DUMMYFUNCTION("""COMPUTED_VALUE"""),5123.0)</f>
        <v>5123</v>
      </c>
      <c r="D1659" s="76" t="str">
        <f>IFERROR(__xludf.DUMMYFUNCTION("""COMPUTED_VALUE"""),"quick sight anaylisys report")</f>
        <v>quick sight anaylisys report</v>
      </c>
      <c r="E1659" s="84">
        <f>IFERROR(__xludf.DUMMYFUNCTION("""COMPUTED_VALUE"""),46140.794444444444)</f>
        <v>46140.79444</v>
      </c>
      <c r="F1659" s="86">
        <f>IFERROR(__xludf.DUMMYFUNCTION("""COMPUTED_VALUE"""),46140.776139456015)</f>
        <v>46140.77614</v>
      </c>
      <c r="G1659" s="86" t="str">
        <f>IFERROR(__xludf.DUMMYFUNCTION("""COMPUTED_VALUE"""),"Done")</f>
        <v>Done</v>
      </c>
      <c r="H1659" s="88">
        <f>IFERROR(__xludf.DUMMYFUNCTION("""COMPUTED_VALUE"""),0.0)</f>
        <v>0</v>
      </c>
      <c r="I1659" s="90" t="str">
        <f>IFERROR(__xludf.DUMMYFUNCTION("""COMPUTED_VALUE"""),"EMP0021 Tamanna Dewangan")</f>
        <v>EMP0021 Tamanna Dewangan</v>
      </c>
      <c r="J1659" s="91"/>
    </row>
    <row r="1660">
      <c r="B1660" s="76" t="str">
        <f>IFERROR(__xludf.DUMMYFUNCTION("""COMPUTED_VALUE"""),"Solution / Check data in database according to new logics                ")</f>
        <v>Solution / Check data in database according to new logics                </v>
      </c>
      <c r="C1660" s="82">
        <f>IFERROR(__xludf.DUMMYFUNCTION("""COMPUTED_VALUE"""),5124.0)</f>
        <v>5124</v>
      </c>
      <c r="D1660" s="76" t="str">
        <f>IFERROR(__xludf.DUMMYFUNCTION("""COMPUTED_VALUE"""),"NURSING GRADE CARD")</f>
        <v>NURSING GRADE CARD</v>
      </c>
      <c r="E1660" s="84">
        <f>IFERROR(__xludf.DUMMYFUNCTION("""COMPUTED_VALUE"""),46140.816666666666)</f>
        <v>46140.81667</v>
      </c>
      <c r="F1660" s="86">
        <f>IFERROR(__xludf.DUMMYFUNCTION("""COMPUTED_VALUE"""),46139.76939743055)</f>
        <v>46139.7694</v>
      </c>
      <c r="G1660" s="86" t="str">
        <f>IFERROR(__xludf.DUMMYFUNCTION("""COMPUTED_VALUE"""),"Done")</f>
        <v>Done</v>
      </c>
      <c r="H1660" s="88">
        <f>IFERROR(__xludf.DUMMYFUNCTION("""COMPUTED_VALUE"""),0.0)</f>
        <v>0</v>
      </c>
      <c r="I1660" s="90" t="str">
        <f>IFERROR(__xludf.DUMMYFUNCTION("""COMPUTED_VALUE"""),"EMP0042 HULESHWAR KUMAR SAHU")</f>
        <v>EMP0042 HULESHWAR KUMAR SAHU</v>
      </c>
      <c r="J1660" s="91"/>
    </row>
    <row r="1661">
      <c r="B1661" s="76" t="str">
        <f>IFERROR(__xludf.DUMMYFUNCTION("""COMPUTED_VALUE"""),"Solution / Check data in database according to new logics                ")</f>
        <v>Solution / Check data in database according to new logics                </v>
      </c>
      <c r="C1661" s="82">
        <f>IFERROR(__xludf.DUMMYFUNCTION("""COMPUTED_VALUE"""),5125.0)</f>
        <v>5125</v>
      </c>
      <c r="D1661" s="76" t="str">
        <f>IFERROR(__xludf.DUMMYFUNCTION("""COMPUTED_VALUE"""),"ADMITCARD")</f>
        <v>ADMITCARD</v>
      </c>
      <c r="E1661" s="84">
        <f>IFERROR(__xludf.DUMMYFUNCTION("""COMPUTED_VALUE"""),46141.60833333334)</f>
        <v>46141.60833</v>
      </c>
      <c r="F1661" s="86">
        <f>IFERROR(__xludf.DUMMYFUNCTION("""COMPUTED_VALUE"""),46140.430731365734)</f>
        <v>46140.43073</v>
      </c>
      <c r="G1661" s="86" t="str">
        <f>IFERROR(__xludf.DUMMYFUNCTION("""COMPUTED_VALUE"""),"Done")</f>
        <v>Done</v>
      </c>
      <c r="H1661" s="88">
        <f>IFERROR(__xludf.DUMMYFUNCTION("""COMPUTED_VALUE"""),0.0)</f>
        <v>0</v>
      </c>
      <c r="I1661" s="90" t="str">
        <f>IFERROR(__xludf.DUMMYFUNCTION("""COMPUTED_VALUE"""),"EMP5009 Rup Kumar Mandal")</f>
        <v>EMP5009 Rup Kumar Mandal</v>
      </c>
      <c r="J1661" s="91"/>
    </row>
    <row r="1662">
      <c r="B1662" s="76" t="str">
        <f>IFERROR(__xludf.DUMMYFUNCTION("""COMPUTED_VALUE"""),"Solution / Check data in database according to new logics                ")</f>
        <v>Solution / Check data in database according to new logics                </v>
      </c>
      <c r="C1662" s="82">
        <f>IFERROR(__xludf.DUMMYFUNCTION("""COMPUTED_VALUE"""),5126.0)</f>
        <v>5126</v>
      </c>
      <c r="D1662" s="76" t="str">
        <f>IFERROR(__xludf.DUMMYFUNCTION("""COMPUTED_VALUE"""),"ROLL LIST")</f>
        <v>ROLL LIST</v>
      </c>
      <c r="E1662" s="84">
        <f>IFERROR(__xludf.DUMMYFUNCTION("""COMPUTED_VALUE"""),46141.60902777778)</f>
        <v>46141.60903</v>
      </c>
      <c r="F1662" s="86">
        <f>IFERROR(__xludf.DUMMYFUNCTION("""COMPUTED_VALUE"""),46140.43074696759)</f>
        <v>46140.43075</v>
      </c>
      <c r="G1662" s="86" t="str">
        <f>IFERROR(__xludf.DUMMYFUNCTION("""COMPUTED_VALUE"""),"Done")</f>
        <v>Done</v>
      </c>
      <c r="H1662" s="88">
        <f>IFERROR(__xludf.DUMMYFUNCTION("""COMPUTED_VALUE"""),0.0)</f>
        <v>0</v>
      </c>
      <c r="I1662" s="90" t="str">
        <f>IFERROR(__xludf.DUMMYFUNCTION("""COMPUTED_VALUE"""),"EMP5009 Rup Kumar Mandal")</f>
        <v>EMP5009 Rup Kumar Mandal</v>
      </c>
      <c r="J1662" s="91"/>
    </row>
    <row r="1663">
      <c r="B1663" s="76" t="str">
        <f>IFERROR(__xludf.DUMMYFUNCTION("""COMPUTED_VALUE"""),"Solution / Check data in database according to new logics                ")</f>
        <v>Solution / Check data in database according to new logics                </v>
      </c>
      <c r="C1663" s="82">
        <f>IFERROR(__xludf.DUMMYFUNCTION("""COMPUTED_VALUE"""),5127.0)</f>
        <v>5127</v>
      </c>
      <c r="D1663" s="76" t="str">
        <f>IFERROR(__xludf.DUMMYFUNCTION("""COMPUTED_VALUE"""),"The details of Total Credits, Grade Point Average, and Total Credit Earned will be available shortly. please update this mgs in student result section if any semester SGPA/AGPA missing")</f>
        <v>The details of Total Credits, Grade Point Average, and Total Credit Earned will be available shortly. please update this mgs in student result section if any semester SGPA/AGPA missing</v>
      </c>
      <c r="E1663" s="84">
        <f>IFERROR(__xludf.DUMMYFUNCTION("""COMPUTED_VALUE"""),46143.80972222222)</f>
        <v>46143.80972</v>
      </c>
      <c r="F1663" s="86">
        <f>IFERROR(__xludf.DUMMYFUNCTION("""COMPUTED_VALUE"""),46143.44628753472)</f>
        <v>46143.44629</v>
      </c>
      <c r="G1663" s="86" t="str">
        <f>IFERROR(__xludf.DUMMYFUNCTION("""COMPUTED_VALUE"""),"Done")</f>
        <v>Done</v>
      </c>
      <c r="H1663" s="88">
        <f>IFERROR(__xludf.DUMMYFUNCTION("""COMPUTED_VALUE"""),0.0)</f>
        <v>0</v>
      </c>
      <c r="I1663" s="90" t="str">
        <f>IFERROR(__xludf.DUMMYFUNCTION("""COMPUTED_VALUE"""),"EMP0237 Swarnendu Chakraborty")</f>
        <v>EMP0237 Swarnendu Chakraborty</v>
      </c>
      <c r="J1663" s="91"/>
    </row>
    <row r="1664">
      <c r="B1664" s="76" t="str">
        <f>IFERROR(__xludf.DUMMYFUNCTION("""COMPUTED_VALUE"""),"Solution / Check data in database according to new logics                ")</f>
        <v>Solution / Check data in database according to new logics                </v>
      </c>
      <c r="C1664" s="82">
        <f>IFERROR(__xludf.DUMMYFUNCTION("""COMPUTED_VALUE"""),5128.0)</f>
        <v>5128</v>
      </c>
      <c r="D1664" s="76" t="str">
        <f>IFERROR(__xludf.DUMMYFUNCTION("""COMPUTED_VALUE"""),"Marks Sheet NEP")</f>
        <v>Marks Sheet NEP</v>
      </c>
      <c r="E1664" s="84">
        <f>IFERROR(__xludf.DUMMYFUNCTION("""COMPUTED_VALUE"""),46144.819444444445)</f>
        <v>46144.81944</v>
      </c>
      <c r="F1664" s="86">
        <f>IFERROR(__xludf.DUMMYFUNCTION("""COMPUTED_VALUE"""),46143.61536449074)</f>
        <v>46143.61536</v>
      </c>
      <c r="G1664" s="86" t="str">
        <f>IFERROR(__xludf.DUMMYFUNCTION("""COMPUTED_VALUE"""),"Done")</f>
        <v>Done</v>
      </c>
      <c r="H1664" s="88">
        <f>IFERROR(__xludf.DUMMYFUNCTION("""COMPUTED_VALUE"""),0.0)</f>
        <v>0</v>
      </c>
      <c r="I1664" s="90" t="str">
        <f>IFERROR(__xludf.DUMMYFUNCTION("""COMPUTED_VALUE"""),"EMP0042 HULESHWAR KUMAR SAHU")</f>
        <v>EMP0042 HULESHWAR KUMAR SAHU</v>
      </c>
      <c r="J1664" s="91"/>
    </row>
    <row r="1665">
      <c r="B1665" s="76" t="str">
        <f>IFERROR(__xludf.DUMMYFUNCTION("""COMPUTED_VALUE"""),"Solution / Check data in database according to new logics                ")</f>
        <v>Solution / Check data in database according to new logics                </v>
      </c>
      <c r="C1665" s="82">
        <f>IFERROR(__xludf.DUMMYFUNCTION("""COMPUTED_VALUE"""),5129.0)</f>
        <v>5129</v>
      </c>
      <c r="D1665" s="76" t="str">
        <f>IFERROR(__xludf.DUMMYFUNCTION("""COMPUTED_VALUE"""),"GAU BARCODE GENERATE")</f>
        <v>GAU BARCODE GENERATE</v>
      </c>
      <c r="E1665" s="84">
        <f>IFERROR(__xludf.DUMMYFUNCTION("""COMPUTED_VALUE"""),46146.49652777778)</f>
        <v>46146.49653</v>
      </c>
      <c r="F1665" s="86">
        <f>IFERROR(__xludf.DUMMYFUNCTION("""COMPUTED_VALUE"""),46143.61542028935)</f>
        <v>46143.61542</v>
      </c>
      <c r="G1665" s="86" t="str">
        <f>IFERROR(__xludf.DUMMYFUNCTION("""COMPUTED_VALUE"""),"Done")</f>
        <v>Done</v>
      </c>
      <c r="H1665" s="88">
        <f>IFERROR(__xludf.DUMMYFUNCTION("""COMPUTED_VALUE"""),0.0)</f>
        <v>0</v>
      </c>
      <c r="I1665" s="90" t="str">
        <f>IFERROR(__xludf.DUMMYFUNCTION("""COMPUTED_VALUE"""),"EMP0021 Tamanna Dewangan")</f>
        <v>EMP0021 Tamanna Dewangan</v>
      </c>
      <c r="J1665" s="91"/>
    </row>
    <row r="1666">
      <c r="B1666" s="76" t="str">
        <f>IFERROR(__xludf.DUMMYFUNCTION("""COMPUTED_VALUE"""),"Solution / Check data in database according to new logics                ")</f>
        <v>Solution / Check data in database according to new logics                </v>
      </c>
      <c r="C1666" s="82">
        <f>IFERROR(__xludf.DUMMYFUNCTION("""COMPUTED_VALUE"""),5130.0)</f>
        <v>5130</v>
      </c>
      <c r="D1666" s="76" t="str">
        <f>IFERROR(__xludf.DUMMYFUNCTION("""COMPUTED_VALUE"""),"Marks Sheet Old")</f>
        <v>Marks Sheet Old</v>
      </c>
      <c r="E1666" s="84">
        <f>IFERROR(__xludf.DUMMYFUNCTION("""COMPUTED_VALUE"""),46146.52638888889)</f>
        <v>46146.52639</v>
      </c>
      <c r="F1666" s="86">
        <f>IFERROR(__xludf.DUMMYFUNCTION("""COMPUTED_VALUE"""),46143.802529849534)</f>
        <v>46143.80253</v>
      </c>
      <c r="G1666" s="86" t="str">
        <f>IFERROR(__xludf.DUMMYFUNCTION("""COMPUTED_VALUE"""),"Done")</f>
        <v>Done</v>
      </c>
      <c r="H1666" s="88">
        <f>IFERROR(__xludf.DUMMYFUNCTION("""COMPUTED_VALUE"""),0.0)</f>
        <v>0</v>
      </c>
      <c r="I1666" s="90" t="str">
        <f>IFERROR(__xludf.DUMMYFUNCTION("""COMPUTED_VALUE"""),"EMP0042 HULESHWAR KUMAR SAHU")</f>
        <v>EMP0042 HULESHWAR KUMAR SAHU</v>
      </c>
      <c r="J1666" s="91"/>
    </row>
    <row r="1667">
      <c r="B1667" s="76" t="str">
        <f>IFERROR(__xludf.DUMMYFUNCTION("""COMPUTED_VALUE"""),"Solution / Check data in database according to new logics                ")</f>
        <v>Solution / Check data in database according to new logics                </v>
      </c>
      <c r="C1667" s="82">
        <f>IFERROR(__xludf.DUMMYFUNCTION("""COMPUTED_VALUE"""),5131.0)</f>
        <v>5131</v>
      </c>
      <c r="D1667" s="76" t="str">
        <f>IFERROR(__xludf.DUMMYFUNCTION("""COMPUTED_VALUE"""),"roll list PG")</f>
        <v>roll list PG</v>
      </c>
      <c r="E1667" s="84">
        <f>IFERROR(__xludf.DUMMYFUNCTION("""COMPUTED_VALUE"""),46146.566666666666)</f>
        <v>46146.56667</v>
      </c>
      <c r="F1667" s="86">
        <f>IFERROR(__xludf.DUMMYFUNCTION("""COMPUTED_VALUE"""),46144.61231201389)</f>
        <v>46144.61231</v>
      </c>
      <c r="G1667" s="86" t="str">
        <f>IFERROR(__xludf.DUMMYFUNCTION("""COMPUTED_VALUE"""),"Done")</f>
        <v>Done</v>
      </c>
      <c r="H1667" s="88">
        <f>IFERROR(__xludf.DUMMYFUNCTION("""COMPUTED_VALUE"""),0.0)</f>
        <v>0</v>
      </c>
      <c r="I1667" s="90" t="str">
        <f>IFERROR(__xludf.DUMMYFUNCTION("""COMPUTED_VALUE"""),"EMP0237 Swarnendu Chakraborty")</f>
        <v>EMP0237 Swarnendu Chakraborty</v>
      </c>
      <c r="J1667" s="91"/>
    </row>
    <row r="1668">
      <c r="B1668" s="76" t="str">
        <f>IFERROR(__xludf.DUMMYFUNCTION("""COMPUTED_VALUE"""),"Solution / Check data in database according to new logics                ")</f>
        <v>Solution / Check data in database according to new logics                </v>
      </c>
      <c r="C1668" s="82">
        <f>IFERROR(__xludf.DUMMYFUNCTION("""COMPUTED_VALUE"""),5132.0)</f>
        <v>5132</v>
      </c>
      <c r="D1668" s="76" t="str">
        <f>IFERROR(__xludf.DUMMYFUNCTION("""COMPUTED_VALUE"""),"Old Marks sheet")</f>
        <v>Old Marks sheet</v>
      </c>
      <c r="E1668" s="84">
        <f>IFERROR(__xludf.DUMMYFUNCTION("""COMPUTED_VALUE"""),46146.76736111111)</f>
        <v>46146.76736</v>
      </c>
      <c r="F1668" s="86">
        <f>IFERROR(__xludf.DUMMYFUNCTION("""COMPUTED_VALUE"""),46144.61238359953)</f>
        <v>46144.61238</v>
      </c>
      <c r="G1668" s="86" t="str">
        <f>IFERROR(__xludf.DUMMYFUNCTION("""COMPUTED_VALUE"""),"Done")</f>
        <v>Done</v>
      </c>
      <c r="H1668" s="88">
        <f>IFERROR(__xludf.DUMMYFUNCTION("""COMPUTED_VALUE"""),0.0)</f>
        <v>0</v>
      </c>
      <c r="I1668" s="90" t="str">
        <f>IFERROR(__xludf.DUMMYFUNCTION("""COMPUTED_VALUE"""),"EMP0042 HULESHWAR KUMAR SAHU")</f>
        <v>EMP0042 HULESHWAR KUMAR SAHU</v>
      </c>
      <c r="J1668" s="91"/>
    </row>
    <row r="1669">
      <c r="B1669" s="76" t="str">
        <f>IFERROR(__xludf.DUMMYFUNCTION("""COMPUTED_VALUE"""),"Solution / Check data in database according to new logics                ")</f>
        <v>Solution / Check data in database according to new logics                </v>
      </c>
      <c r="C1669" s="82">
        <f>IFERROR(__xludf.DUMMYFUNCTION("""COMPUTED_VALUE"""),5133.0)</f>
        <v>5133</v>
      </c>
      <c r="D1669" s="76" t="str">
        <f>IFERROR(__xludf.DUMMYFUNCTION("""COMPUTED_VALUE"""),"Attendance report")</f>
        <v>Attendance report</v>
      </c>
      <c r="E1669" s="84">
        <f>IFERROR(__xludf.DUMMYFUNCTION("""COMPUTED_VALUE"""),46146.8)</f>
        <v>46146.8</v>
      </c>
      <c r="F1669" s="86">
        <f>IFERROR(__xludf.DUMMYFUNCTION("""COMPUTED_VALUE"""),46144.6124194213)</f>
        <v>46144.61242</v>
      </c>
      <c r="G1669" s="86" t="str">
        <f>IFERROR(__xludf.DUMMYFUNCTION("""COMPUTED_VALUE"""),"Done")</f>
        <v>Done</v>
      </c>
      <c r="H1669" s="88">
        <f>IFERROR(__xludf.DUMMYFUNCTION("""COMPUTED_VALUE"""),0.0)</f>
        <v>0</v>
      </c>
      <c r="I1669" s="90" t="str">
        <f>IFERROR(__xludf.DUMMYFUNCTION("""COMPUTED_VALUE"""),"EMP0237 Swarnendu Chakraborty")</f>
        <v>EMP0237 Swarnendu Chakraborty</v>
      </c>
      <c r="J1669" s="91"/>
    </row>
    <row r="1670">
      <c r="B1670" s="76" t="str">
        <f>IFERROR(__xludf.DUMMYFUNCTION("""COMPUTED_VALUE"""),"Solution / Check data in database according to new logics                ")</f>
        <v>Solution / Check data in database according to new logics                </v>
      </c>
      <c r="C1670" s="82">
        <f>IFERROR(__xludf.DUMMYFUNCTION("""COMPUTED_VALUE"""),5134.0)</f>
        <v>5134</v>
      </c>
      <c r="D1670" s="76" t="str">
        <f>IFERROR(__xludf.DUMMYFUNCTION("""COMPUTED_VALUE"""),"subject_wise_report_rsos")</f>
        <v>subject_wise_report_rsos</v>
      </c>
      <c r="E1670" s="84">
        <f>IFERROR(__xludf.DUMMYFUNCTION("""COMPUTED_VALUE"""),46147.44652777778)</f>
        <v>46147.44653</v>
      </c>
      <c r="F1670" s="86">
        <f>IFERROR(__xludf.DUMMYFUNCTION("""COMPUTED_VALUE"""),46144.6124493287)</f>
        <v>46144.61245</v>
      </c>
      <c r="G1670" s="86" t="str">
        <f>IFERROR(__xludf.DUMMYFUNCTION("""COMPUTED_VALUE"""),"Done")</f>
        <v>Done</v>
      </c>
      <c r="H1670" s="88">
        <f>IFERROR(__xludf.DUMMYFUNCTION("""COMPUTED_VALUE"""),0.0)</f>
        <v>0</v>
      </c>
      <c r="I1670" s="90" t="str">
        <f>IFERROR(__xludf.DUMMYFUNCTION("""COMPUTED_VALUE"""),"EMP0021 Tamanna Dewangan")</f>
        <v>EMP0021 Tamanna Dewangan</v>
      </c>
      <c r="J1670" s="91"/>
    </row>
    <row r="1671">
      <c r="B1671" s="76" t="str">
        <f>IFERROR(__xludf.DUMMYFUNCTION("""COMPUTED_VALUE"""),"Solution / Check data in database according to new logics                ")</f>
        <v>Solution / Check data in database according to new logics                </v>
      </c>
      <c r="C1671" s="82">
        <f>IFERROR(__xludf.DUMMYFUNCTION("""COMPUTED_VALUE"""),5135.0)</f>
        <v>5135</v>
      </c>
      <c r="D1671" s="76" t="str">
        <f>IFERROR(__xludf.DUMMYFUNCTION("""COMPUTED_VALUE"""),"Packet_Issue_Receive_Report.jasper")</f>
        <v>Packet_Issue_Receive_Report.jasper</v>
      </c>
      <c r="E1671" s="84">
        <f>IFERROR(__xludf.DUMMYFUNCTION("""COMPUTED_VALUE"""),46148.478472222225)</f>
        <v>46148.47847</v>
      </c>
      <c r="F1671" s="86">
        <f>IFERROR(__xludf.DUMMYFUNCTION("""COMPUTED_VALUE"""),46146.66444873842)</f>
        <v>46146.66445</v>
      </c>
      <c r="G1671" s="86" t="str">
        <f>IFERROR(__xludf.DUMMYFUNCTION("""COMPUTED_VALUE"""),"Done")</f>
        <v>Done</v>
      </c>
      <c r="H1671" s="88">
        <f>IFERROR(__xludf.DUMMYFUNCTION("""COMPUTED_VALUE"""),0.0)</f>
        <v>0</v>
      </c>
      <c r="I1671" s="90" t="str">
        <f>IFERROR(__xludf.DUMMYFUNCTION("""COMPUTED_VALUE"""),"EMP0042 HULESHWAR KUMAR SAHU")</f>
        <v>EMP0042 HULESHWAR KUMAR SAHU</v>
      </c>
      <c r="J1671" s="91"/>
    </row>
    <row r="1672">
      <c r="B1672" s="76" t="str">
        <f>IFERROR(__xludf.DUMMYFUNCTION("""COMPUTED_VALUE"""),"Solution / Check data in database according to new logics                ")</f>
        <v>Solution / Check data in database according to new logics                </v>
      </c>
      <c r="C1672" s="82">
        <f>IFERROR(__xludf.DUMMYFUNCTION("""COMPUTED_VALUE"""),5136.0)</f>
        <v>5136</v>
      </c>
      <c r="D1672" s="76" t="str">
        <f>IFERROR(__xludf.DUMMYFUNCTION("""COMPUTED_VALUE"""),"Marksheet nep camulative Nep Major miner")</f>
        <v>Marksheet nep camulative Nep Major miner</v>
      </c>
      <c r="E1672" s="84">
        <f>IFERROR(__xludf.DUMMYFUNCTION("""COMPUTED_VALUE"""),46148.549305555556)</f>
        <v>46148.54931</v>
      </c>
      <c r="F1672" s="86">
        <f>IFERROR(__xludf.DUMMYFUNCTION("""COMPUTED_VALUE"""),46146.750244062496)</f>
        <v>46146.75024</v>
      </c>
      <c r="G1672" s="86" t="str">
        <f>IFERROR(__xludf.DUMMYFUNCTION("""COMPUTED_VALUE"""),"Done")</f>
        <v>Done</v>
      </c>
      <c r="H1672" s="88">
        <f>IFERROR(__xludf.DUMMYFUNCTION("""COMPUTED_VALUE"""),0.0)</f>
        <v>0</v>
      </c>
      <c r="I1672" s="90" t="str">
        <f>IFERROR(__xludf.DUMMYFUNCTION("""COMPUTED_VALUE"""),"EMP0021 Tamanna Dewangan")</f>
        <v>EMP0021 Tamanna Dewangan</v>
      </c>
      <c r="J1672" s="91"/>
    </row>
    <row r="1673">
      <c r="B1673" s="76" t="str">
        <f>IFERROR(__xludf.DUMMYFUNCTION("""COMPUTED_VALUE"""),"Solution / Check data in database according to new logics                ")</f>
        <v>Solution / Check data in database according to new logics                </v>
      </c>
      <c r="C1673" s="82">
        <f>IFERROR(__xludf.DUMMYFUNCTION("""COMPUTED_VALUE"""),5137.0)</f>
        <v>5137</v>
      </c>
      <c r="D1673" s="76" t="str">
        <f>IFERROR(__xludf.DUMMYFUNCTION("""COMPUTED_VALUE"""),"NURSING GRADE CARD")</f>
        <v>NURSING GRADE CARD</v>
      </c>
      <c r="E1673" s="84">
        <f>IFERROR(__xludf.DUMMYFUNCTION("""COMPUTED_VALUE"""),46148.57916666666)</f>
        <v>46148.57917</v>
      </c>
      <c r="F1673" s="86">
        <f>IFERROR(__xludf.DUMMYFUNCTION("""COMPUTED_VALUE"""),46146.75032684028)</f>
        <v>46146.75033</v>
      </c>
      <c r="G1673" s="86" t="str">
        <f>IFERROR(__xludf.DUMMYFUNCTION("""COMPUTED_VALUE"""),"Done")</f>
        <v>Done</v>
      </c>
      <c r="H1673" s="88">
        <f>IFERROR(__xludf.DUMMYFUNCTION("""COMPUTED_VALUE"""),0.0)</f>
        <v>0</v>
      </c>
      <c r="I1673" s="90" t="str">
        <f>IFERROR(__xludf.DUMMYFUNCTION("""COMPUTED_VALUE"""),"EMP0042 HULESHWAR KUMAR SAHU")</f>
        <v>EMP0042 HULESHWAR KUMAR SAHU</v>
      </c>
      <c r="J1673" s="91"/>
    </row>
    <row r="1674">
      <c r="B1674" s="76" t="str">
        <f>IFERROR(__xludf.DUMMYFUNCTION("""COMPUTED_VALUE"""),"Solution / Check data in database according to new logics                ")</f>
        <v>Solution / Check data in database according to new logics                </v>
      </c>
      <c r="C1674" s="82">
        <f>IFERROR(__xludf.DUMMYFUNCTION("""COMPUTED_VALUE"""),5138.0)</f>
        <v>5138</v>
      </c>
      <c r="D1674" s="76" t="str">
        <f>IFERROR(__xludf.DUMMYFUNCTION("""COMPUTED_VALUE"""),"	TR PHD Nursing")</f>
        <v>	TR PHD Nursing</v>
      </c>
      <c r="E1674" s="84">
        <f>IFERROR(__xludf.DUMMYFUNCTION("""COMPUTED_VALUE"""),46148.759722222225)</f>
        <v>46148.75972</v>
      </c>
      <c r="F1674" s="86">
        <f>IFERROR(__xludf.DUMMYFUNCTION("""COMPUTED_VALUE"""),46147.560338738425)</f>
        <v>46147.56034</v>
      </c>
      <c r="G1674" s="86" t="str">
        <f>IFERROR(__xludf.DUMMYFUNCTION("""COMPUTED_VALUE"""),"Done")</f>
        <v>Done</v>
      </c>
      <c r="H1674" s="88">
        <f>IFERROR(__xludf.DUMMYFUNCTION("""COMPUTED_VALUE"""),0.0)</f>
        <v>0</v>
      </c>
      <c r="I1674" s="90" t="str">
        <f>IFERROR(__xludf.DUMMYFUNCTION("""COMPUTED_VALUE"""),"EMP0021 Tamanna Dewangan")</f>
        <v>EMP0021 Tamanna Dewangan</v>
      </c>
      <c r="J1674" s="91"/>
    </row>
    <row r="1675">
      <c r="B1675" s="76" t="str">
        <f>IFERROR(__xludf.DUMMYFUNCTION("""COMPUTED_VALUE"""),"Solution / Check data in database according to new logics                ")</f>
        <v>Solution / Check data in database according to new logics                </v>
      </c>
      <c r="C1675" s="82">
        <f>IFERROR(__xludf.DUMMYFUNCTION("""COMPUTED_VALUE"""),5139.0)</f>
        <v>5139</v>
      </c>
      <c r="D1675" s="76" t="str">
        <f>IFERROR(__xludf.DUMMYFUNCTION("""COMPUTED_VALUE"""),"MARKSHEET 4SEM")</f>
        <v>MARKSHEET 4SEM</v>
      </c>
      <c r="E1675" s="84">
        <f>IFERROR(__xludf.DUMMYFUNCTION("""COMPUTED_VALUE"""),46149.83263888889)</f>
        <v>46149.83264</v>
      </c>
      <c r="F1675" s="86">
        <f>IFERROR(__xludf.DUMMYFUNCTION("""COMPUTED_VALUE"""),46148.768174826386)</f>
        <v>46148.76817</v>
      </c>
      <c r="G1675" s="86" t="str">
        <f>IFERROR(__xludf.DUMMYFUNCTION("""COMPUTED_VALUE"""),"Done")</f>
        <v>Done</v>
      </c>
      <c r="H1675" s="88">
        <f>IFERROR(__xludf.DUMMYFUNCTION("""COMPUTED_VALUE"""),0.0)</f>
        <v>0</v>
      </c>
      <c r="I1675" s="90" t="str">
        <f>IFERROR(__xludf.DUMMYFUNCTION("""COMPUTED_VALUE"""),"EMP5009 Rup Kumar Mandal")</f>
        <v>EMP5009 Rup Kumar Mandal</v>
      </c>
      <c r="J1675" s="91"/>
    </row>
    <row r="1676">
      <c r="B1676" s="76" t="str">
        <f>IFERROR(__xludf.DUMMYFUNCTION("""COMPUTED_VALUE"""),"Solution / Check data in database according to new logics                ")</f>
        <v>Solution / Check data in database according to new logics                </v>
      </c>
      <c r="C1676" s="82">
        <f>IFERROR(__xludf.DUMMYFUNCTION("""COMPUTED_VALUE"""),5140.0)</f>
        <v>5140</v>
      </c>
      <c r="D1676" s="76" t="str">
        <f>IFERROR(__xludf.DUMMYFUNCTION("""COMPUTED_VALUE"""),"Multiple Report:ICR marksheet: marksheet llb")</f>
        <v>Multiple Report:ICR marksheet: marksheet llb</v>
      </c>
      <c r="E1676" s="84">
        <f>IFERROR(__xludf.DUMMYFUNCTION("""COMPUTED_VALUE"""),46150.56180555555)</f>
        <v>46150.56181</v>
      </c>
      <c r="F1676" s="86">
        <f>IFERROR(__xludf.DUMMYFUNCTION("""COMPUTED_VALUE"""),46148.768132916666)</f>
        <v>46148.76813</v>
      </c>
      <c r="G1676" s="86" t="str">
        <f>IFERROR(__xludf.DUMMYFUNCTION("""COMPUTED_VALUE"""),"Done")</f>
        <v>Done</v>
      </c>
      <c r="H1676" s="88">
        <f>IFERROR(__xludf.DUMMYFUNCTION("""COMPUTED_VALUE"""),0.0)</f>
        <v>0</v>
      </c>
      <c r="I1676" s="90" t="str">
        <f>IFERROR(__xludf.DUMMYFUNCTION("""COMPUTED_VALUE"""),"EMP0042 HULESHWAR KUMAR SAHU")</f>
        <v>EMP0042 HULESHWAR KUMAR SAHU</v>
      </c>
      <c r="J1676" s="91"/>
    </row>
    <row r="1677">
      <c r="B1677" s="76" t="str">
        <f>IFERROR(__xludf.DUMMYFUNCTION("""COMPUTED_VALUE"""),"Solution / Check data in database according to new logics                ")</f>
        <v>Solution / Check data in database according to new logics                </v>
      </c>
      <c r="C1677" s="82">
        <f>IFERROR(__xludf.DUMMYFUNCTION("""COMPUTED_VALUE"""),5141.0)</f>
        <v>5141</v>
      </c>
      <c r="D1677" s="76" t="str">
        <f>IFERROR(__xludf.DUMMYFUNCTION("""COMPUTED_VALUE"""),"gradecard")</f>
        <v>gradecard</v>
      </c>
      <c r="E1677" s="84">
        <f>IFERROR(__xludf.DUMMYFUNCTION("""COMPUTED_VALUE"""),46151.53333333333)</f>
        <v>46151.53333</v>
      </c>
      <c r="F1677" s="86">
        <f>IFERROR(__xludf.DUMMYFUNCTION("""COMPUTED_VALUE"""),46150.47947859954)</f>
        <v>46150.47948</v>
      </c>
      <c r="G1677" s="86" t="str">
        <f>IFERROR(__xludf.DUMMYFUNCTION("""COMPUTED_VALUE"""),"Done")</f>
        <v>Done</v>
      </c>
      <c r="H1677" s="88">
        <f>IFERROR(__xludf.DUMMYFUNCTION("""COMPUTED_VALUE"""),0.0)</f>
        <v>0</v>
      </c>
      <c r="I1677" s="90" t="str">
        <f>IFERROR(__xludf.DUMMYFUNCTION("""COMPUTED_VALUE"""),"EMP0021 Tamanna Dewangan")</f>
        <v>EMP0021 Tamanna Dewangan</v>
      </c>
      <c r="J1677" s="91"/>
    </row>
    <row r="1678">
      <c r="B1678" s="76" t="str">
        <f>IFERROR(__xludf.DUMMYFUNCTION("""COMPUTED_VALUE"""),"Solution / Check data in database according to new logics                ")</f>
        <v>Solution / Check data in database according to new logics                </v>
      </c>
      <c r="C1678" s="82">
        <f>IFERROR(__xludf.DUMMYFUNCTION("""COMPUTED_VALUE"""),5142.0)</f>
        <v>5142</v>
      </c>
      <c r="D1678" s="76" t="str">
        <f>IFERROR(__xludf.DUMMYFUNCTION("""COMPUTED_VALUE"""),"GRADE CARD AGRICULTURE")</f>
        <v>GRADE CARD AGRICULTURE</v>
      </c>
      <c r="E1678" s="84">
        <f>IFERROR(__xludf.DUMMYFUNCTION("""COMPUTED_VALUE"""),46151.56388888889)</f>
        <v>46151.56389</v>
      </c>
      <c r="F1678" s="86">
        <f>IFERROR(__xludf.DUMMYFUNCTION("""COMPUTED_VALUE"""),46150.479497175926)</f>
        <v>46150.4795</v>
      </c>
      <c r="G1678" s="86" t="str">
        <f>IFERROR(__xludf.DUMMYFUNCTION("""COMPUTED_VALUE"""),"Done")</f>
        <v>Done</v>
      </c>
      <c r="H1678" s="88">
        <f>IFERROR(__xludf.DUMMYFUNCTION("""COMPUTED_VALUE"""),0.0)</f>
        <v>0</v>
      </c>
      <c r="I1678" s="90" t="str">
        <f>IFERROR(__xludf.DUMMYFUNCTION("""COMPUTED_VALUE"""),"EMP0042 HULESHWAR KUMAR SAHU")</f>
        <v>EMP0042 HULESHWAR KUMAR SAHU</v>
      </c>
      <c r="J1678" s="91"/>
    </row>
    <row r="1679">
      <c r="B1679" s="76" t="str">
        <f>IFERROR(__xludf.DUMMYFUNCTION("""COMPUTED_VALUE"""),"Solution / Check data in database according to new logics                ")</f>
        <v>Solution / Check data in database according to new logics                </v>
      </c>
      <c r="C1679" s="82">
        <f>IFERROR(__xludf.DUMMYFUNCTION("""COMPUTED_VALUE"""),5143.0)</f>
        <v>5143</v>
      </c>
      <c r="D1679" s="76" t="str">
        <f>IFERROR(__xludf.DUMMYFUNCTION("""COMPUTED_VALUE"""),"SATISH KUMAR")</f>
        <v>SATISH KUMAR</v>
      </c>
      <c r="E1679" s="84">
        <f>IFERROR(__xludf.DUMMYFUNCTION("""COMPUTED_VALUE"""),46153.59722222222)</f>
        <v>46153.59722</v>
      </c>
      <c r="F1679" s="86">
        <f>IFERROR(__xludf.DUMMYFUNCTION("""COMPUTED_VALUE"""),46151.522719201384)</f>
        <v>46151.52272</v>
      </c>
      <c r="G1679" s="86" t="str">
        <f>IFERROR(__xludf.DUMMYFUNCTION("""COMPUTED_VALUE"""),"Done")</f>
        <v>Done</v>
      </c>
      <c r="H1679" s="88">
        <f>IFERROR(__xludf.DUMMYFUNCTION("""COMPUTED_VALUE"""),0.0)</f>
        <v>0</v>
      </c>
      <c r="I1679" s="90" t="str">
        <f>IFERROR(__xludf.DUMMYFUNCTION("""COMPUTED_VALUE"""),"EMP0042 HULESHWAR KUMAR SAHU")</f>
        <v>EMP0042 HULESHWAR KUMAR SAHU</v>
      </c>
      <c r="J1679" s="91"/>
    </row>
    <row r="1680">
      <c r="B1680" s="76" t="str">
        <f>IFERROR(__xludf.DUMMYFUNCTION("""COMPUTED_VALUE"""),"Solution / Check data in database according to new logics                ")</f>
        <v>Solution / Check data in database according to new logics                </v>
      </c>
      <c r="C1680" s="82">
        <f>IFERROR(__xludf.DUMMYFUNCTION("""COMPUTED_VALUE"""),5144.0)</f>
        <v>5144</v>
      </c>
      <c r="D1680" s="76" t="str">
        <f>IFERROR(__xludf.DUMMYFUNCTION("""COMPUTED_VALUE"""),"SATISH KUMAR")</f>
        <v>SATISH KUMAR</v>
      </c>
      <c r="E1680" s="84">
        <f>IFERROR(__xludf.DUMMYFUNCTION("""COMPUTED_VALUE"""),46153.597916666666)</f>
        <v>46153.59792</v>
      </c>
      <c r="F1680" s="86">
        <f>IFERROR(__xludf.DUMMYFUNCTION("""COMPUTED_VALUE"""),46151.52272543981)</f>
        <v>46151.52273</v>
      </c>
      <c r="G1680" s="86" t="str">
        <f>IFERROR(__xludf.DUMMYFUNCTION("""COMPUTED_VALUE"""),"Done")</f>
        <v>Done</v>
      </c>
      <c r="H1680" s="88">
        <f>IFERROR(__xludf.DUMMYFUNCTION("""COMPUTED_VALUE"""),0.0)</f>
        <v>0</v>
      </c>
      <c r="I1680" s="90" t="str">
        <f>IFERROR(__xludf.DUMMYFUNCTION("""COMPUTED_VALUE"""),"EMP0042 HULESHWAR KUMAR SAHU")</f>
        <v>EMP0042 HULESHWAR KUMAR SAHU</v>
      </c>
      <c r="J1680" s="91"/>
    </row>
    <row r="1681">
      <c r="B1681" s="76" t="str">
        <f>IFERROR(__xludf.DUMMYFUNCTION("""COMPUTED_VALUE"""),"Solution / Check data in database according to new logics                ")</f>
        <v>Solution / Check data in database according to new logics                </v>
      </c>
      <c r="C1681" s="82">
        <f>IFERROR(__xludf.DUMMYFUNCTION("""COMPUTED_VALUE"""),5145.0)</f>
        <v>5145</v>
      </c>
      <c r="D1681" s="76" t="str">
        <f>IFERROR(__xludf.DUMMYFUNCTION("""COMPUTED_VALUE"""),"STUDENT_ATTENDANCE")</f>
        <v>STUDENT_ATTENDANCE</v>
      </c>
      <c r="E1681" s="84">
        <f>IFERROR(__xludf.DUMMYFUNCTION("""COMPUTED_VALUE"""),46154.49722222222)</f>
        <v>46154.49722</v>
      </c>
      <c r="F1681" s="86">
        <f>IFERROR(__xludf.DUMMYFUNCTION("""COMPUTED_VALUE"""),46151.625777824076)</f>
        <v>46151.62578</v>
      </c>
      <c r="G1681" s="86" t="str">
        <f>IFERROR(__xludf.DUMMYFUNCTION("""COMPUTED_VALUE"""),"Done")</f>
        <v>Done</v>
      </c>
      <c r="H1681" s="88">
        <f>IFERROR(__xludf.DUMMYFUNCTION("""COMPUTED_VALUE"""),0.0)</f>
        <v>0</v>
      </c>
      <c r="I1681" s="90" t="str">
        <f>IFERROR(__xludf.DUMMYFUNCTION("""COMPUTED_VALUE"""),"EMP5009 Rup Kumar Mandal")</f>
        <v>EMP5009 Rup Kumar Mandal</v>
      </c>
      <c r="J1681" s="91"/>
    </row>
    <row r="1682">
      <c r="B1682" s="76" t="str">
        <f>IFERROR(__xludf.DUMMYFUNCTION("""COMPUTED_VALUE"""),"Solution / Check data in database according to new logics                ")</f>
        <v>Solution / Check data in database according to new logics                </v>
      </c>
      <c r="C1682" s="82">
        <f>IFERROR(__xludf.DUMMYFUNCTION("""COMPUTED_VALUE"""),5146.0)</f>
        <v>5146</v>
      </c>
      <c r="D1682" s="76" t="str">
        <f>IFERROR(__xludf.DUMMYFUNCTION("""COMPUTED_VALUE"""),"STUDENT_ATTENDANCE ")</f>
        <v>STUDENT_ATTENDANCE </v>
      </c>
      <c r="E1682" s="84">
        <f>IFERROR(__xludf.DUMMYFUNCTION("""COMPUTED_VALUE"""),46154.49861111111)</f>
        <v>46154.49861</v>
      </c>
      <c r="F1682" s="86">
        <f>IFERROR(__xludf.DUMMYFUNCTION("""COMPUTED_VALUE"""),46151.62578960648)</f>
        <v>46151.62579</v>
      </c>
      <c r="G1682" s="86" t="str">
        <f>IFERROR(__xludf.DUMMYFUNCTION("""COMPUTED_VALUE"""),"Done")</f>
        <v>Done</v>
      </c>
      <c r="H1682" s="88">
        <f>IFERROR(__xludf.DUMMYFUNCTION("""COMPUTED_VALUE"""),0.0)</f>
        <v>0</v>
      </c>
      <c r="I1682" s="90" t="str">
        <f>IFERROR(__xludf.DUMMYFUNCTION("""COMPUTED_VALUE"""),"EMP5009 Rup Kumar Mandal")</f>
        <v>EMP5009 Rup Kumar Mandal</v>
      </c>
      <c r="J1682" s="91"/>
    </row>
    <row r="1683">
      <c r="B1683" s="76" t="str">
        <f>IFERROR(__xludf.DUMMYFUNCTION("""COMPUTED_VALUE"""),"Solution / Check data in database according to new logics                ")</f>
        <v>Solution / Check data in database according to new logics                </v>
      </c>
      <c r="C1683" s="82">
        <f>IFERROR(__xludf.DUMMYFUNCTION("""COMPUTED_VALUE"""),5147.0)</f>
        <v>5147</v>
      </c>
      <c r="D1683" s="76" t="str">
        <f>IFERROR(__xludf.DUMMYFUNCTION("""COMPUTED_VALUE"""),"	TR NEW AGRICULTURE AND ALL")</f>
        <v>	TR NEW AGRICULTURE AND ALL</v>
      </c>
      <c r="E1683" s="84">
        <f>IFERROR(__xludf.DUMMYFUNCTION("""COMPUTED_VALUE"""),46154.56805555556)</f>
        <v>46154.56806</v>
      </c>
      <c r="F1683" s="86">
        <f>IFERROR(__xludf.DUMMYFUNCTION("""COMPUTED_VALUE"""),46153.46872547454)</f>
        <v>46153.46873</v>
      </c>
      <c r="G1683" s="86" t="str">
        <f>IFERROR(__xludf.DUMMYFUNCTION("""COMPUTED_VALUE"""),"Done")</f>
        <v>Done</v>
      </c>
      <c r="H1683" s="88">
        <f>IFERROR(__xludf.DUMMYFUNCTION("""COMPUTED_VALUE"""),0.0)</f>
        <v>0</v>
      </c>
      <c r="I1683" s="90" t="str">
        <f>IFERROR(__xludf.DUMMYFUNCTION("""COMPUTED_VALUE"""),"EMP0042 HULESHWAR KUMAR SAHU")</f>
        <v>EMP0042 HULESHWAR KUMAR SAHU</v>
      </c>
      <c r="J1683" s="91"/>
    </row>
    <row r="1684">
      <c r="B1684" s="76" t="str">
        <f>IFERROR(__xludf.DUMMYFUNCTION("""COMPUTED_VALUE"""),"Solution / Check data in database according to new logics                ")</f>
        <v>Solution / Check data in database according to new logics                </v>
      </c>
      <c r="C1684" s="82">
        <f>IFERROR(__xludf.DUMMYFUNCTION("""COMPUTED_VALUE"""),5148.0)</f>
        <v>5148</v>
      </c>
      <c r="D1684" s="76" t="str">
        <f>IFERROR(__xludf.DUMMYFUNCTION("""COMPUTED_VALUE"""),"2019-20 BATCHES BA COURSE MATHAMTICS SUBJECT NOT SHOWING UNIT PARTS IN DMC")</f>
        <v>2019-20 BATCHES BA COURSE MATHAMTICS SUBJECT NOT SHOWING UNIT PARTS IN DMC</v>
      </c>
      <c r="E1684" s="84">
        <f>IFERROR(__xludf.DUMMYFUNCTION("""COMPUTED_VALUE"""),46154.771527777775)</f>
        <v>46154.77153</v>
      </c>
      <c r="F1684" s="86">
        <f>IFERROR(__xludf.DUMMYFUNCTION("""COMPUTED_VALUE"""),46153.69407453704)</f>
        <v>46153.69407</v>
      </c>
      <c r="G1684" s="86" t="str">
        <f>IFERROR(__xludf.DUMMYFUNCTION("""COMPUTED_VALUE"""),"Done")</f>
        <v>Done</v>
      </c>
      <c r="H1684" s="88">
        <f>IFERROR(__xludf.DUMMYFUNCTION("""COMPUTED_VALUE"""),0.0)</f>
        <v>0</v>
      </c>
      <c r="I1684" s="90" t="str">
        <f>IFERROR(__xludf.DUMMYFUNCTION("""COMPUTED_VALUE"""),"EMP0237 Swarnendu Chakraborty")</f>
        <v>EMP0237 Swarnendu Chakraborty</v>
      </c>
      <c r="J1684" s="91"/>
    </row>
    <row r="1685">
      <c r="B1685" s="76" t="str">
        <f>IFERROR(__xludf.DUMMYFUNCTION("""COMPUTED_VALUE"""),"Solution / Check data in database according to new logics                ")</f>
        <v>Solution / Check data in database according to new logics                </v>
      </c>
      <c r="C1685" s="82">
        <f>IFERROR(__xludf.DUMMYFUNCTION("""COMPUTED_VALUE"""),5149.0)</f>
        <v>5149</v>
      </c>
      <c r="D1685" s="76" t="str">
        <f>IFERROR(__xludf.DUMMYFUNCTION("""COMPUTED_VALUE"""),"	Marksheet MBBS New Format")</f>
        <v>	Marksheet MBBS New Format</v>
      </c>
      <c r="E1685" s="84">
        <f>IFERROR(__xludf.DUMMYFUNCTION("""COMPUTED_VALUE"""),46156.52916666667)</f>
        <v>46156.52917</v>
      </c>
      <c r="F1685" s="86">
        <f>IFERROR(__xludf.DUMMYFUNCTION("""COMPUTED_VALUE"""),46154.675191134265)</f>
        <v>46154.67519</v>
      </c>
      <c r="G1685" s="86" t="str">
        <f>IFERROR(__xludf.DUMMYFUNCTION("""COMPUTED_VALUE"""),"Done")</f>
        <v>Done</v>
      </c>
      <c r="H1685" s="88">
        <f>IFERROR(__xludf.DUMMYFUNCTION("""COMPUTED_VALUE"""),0.0)</f>
        <v>0</v>
      </c>
      <c r="I1685" s="90" t="str">
        <f>IFERROR(__xludf.DUMMYFUNCTION("""COMPUTED_VALUE"""),"EMP0042 HULESHWAR KUMAR SAHU")</f>
        <v>EMP0042 HULESHWAR KUMAR SAHU</v>
      </c>
      <c r="J1685" s="91"/>
    </row>
    <row r="1686">
      <c r="B1686" s="76" t="str">
        <f>IFERROR(__xludf.DUMMYFUNCTION("""COMPUTED_VALUE"""),"Solution / Check data in database according to new logics                ")</f>
        <v>Solution / Check data in database according to new logics                </v>
      </c>
      <c r="C1686" s="82">
        <f>IFERROR(__xludf.DUMMYFUNCTION("""COMPUTED_VALUE"""),5150.0)</f>
        <v>5150</v>
      </c>
      <c r="D1686" s="76" t="str">
        <f>IFERROR(__xludf.DUMMYFUNCTION("""COMPUTED_VALUE"""),"Transcript PG")</f>
        <v>Transcript PG</v>
      </c>
      <c r="E1686" s="84">
        <f>IFERROR(__xludf.DUMMYFUNCTION("""COMPUTED_VALUE"""),46156.53263888889)</f>
        <v>46156.53264</v>
      </c>
      <c r="F1686" s="86">
        <f>IFERROR(__xludf.DUMMYFUNCTION("""COMPUTED_VALUE"""),46155.52170217593)</f>
        <v>46155.5217</v>
      </c>
      <c r="G1686" s="86" t="str">
        <f>IFERROR(__xludf.DUMMYFUNCTION("""COMPUTED_VALUE"""),"Done")</f>
        <v>Done</v>
      </c>
      <c r="H1686" s="88">
        <f>IFERROR(__xludf.DUMMYFUNCTION("""COMPUTED_VALUE"""),0.0)</f>
        <v>0</v>
      </c>
      <c r="I1686" s="90" t="str">
        <f>IFERROR(__xludf.DUMMYFUNCTION("""COMPUTED_VALUE"""),"EMP0042 HULESHWAR KUMAR SAHU")</f>
        <v>EMP0042 HULESHWAR KUMAR SAHU</v>
      </c>
      <c r="J1686" s="91"/>
    </row>
    <row r="1687">
      <c r="B1687" s="76" t="str">
        <f>IFERROR(__xludf.DUMMYFUNCTION("""COMPUTED_VALUE"""),"Solution / Check data in database according to new logics                ")</f>
        <v>Solution / Check data in database according to new logics                </v>
      </c>
      <c r="C1687" s="82">
        <f>IFERROR(__xludf.DUMMYFUNCTION("""COMPUTED_VALUE"""),5151.0)</f>
        <v>5151</v>
      </c>
      <c r="D1687" s="76" t="str">
        <f>IFERROR(__xludf.DUMMYFUNCTION("""COMPUTED_VALUE"""),"Marksheet LLB")</f>
        <v>Marksheet LLB</v>
      </c>
      <c r="E1687" s="84">
        <f>IFERROR(__xludf.DUMMYFUNCTION("""COMPUTED_VALUE"""),46156.56388888889)</f>
        <v>46156.56389</v>
      </c>
      <c r="F1687" s="86">
        <f>IFERROR(__xludf.DUMMYFUNCTION("""COMPUTED_VALUE"""),46155.52272306713)</f>
        <v>46155.52272</v>
      </c>
      <c r="G1687" s="86" t="str">
        <f>IFERROR(__xludf.DUMMYFUNCTION("""COMPUTED_VALUE"""),"Done")</f>
        <v>Done</v>
      </c>
      <c r="H1687" s="88">
        <f>IFERROR(__xludf.DUMMYFUNCTION("""COMPUTED_VALUE"""),0.0)</f>
        <v>0</v>
      </c>
      <c r="I1687" s="90" t="str">
        <f>IFERROR(__xludf.DUMMYFUNCTION("""COMPUTED_VALUE"""),"EMP0042 HULESHWAR KUMAR SAHU")</f>
        <v>EMP0042 HULESHWAR KUMAR SAHU</v>
      </c>
      <c r="J1687" s="91"/>
    </row>
    <row r="1688">
      <c r="B1688" s="76" t="str">
        <f>IFERROR(__xludf.DUMMYFUNCTION("""COMPUTED_VALUE"""),"Solution / Check data in database according to new logics                ")</f>
        <v>Solution / Check data in database according to new logics                </v>
      </c>
      <c r="C1688" s="82">
        <f>IFERROR(__xludf.DUMMYFUNCTION("""COMPUTED_VALUE"""),5152.0)</f>
        <v>5152</v>
      </c>
      <c r="D1688" s="76" t="str">
        <f>IFERROR(__xludf.DUMMYFUNCTION("""COMPUTED_VALUE"""),"NEP Marksheet")</f>
        <v>NEP Marksheet</v>
      </c>
      <c r="E1688" s="84">
        <f>IFERROR(__xludf.DUMMYFUNCTION("""COMPUTED_VALUE"""),46158.5375)</f>
        <v>46158.5375</v>
      </c>
      <c r="F1688" s="86">
        <f>IFERROR(__xludf.DUMMYFUNCTION("""COMPUTED_VALUE"""),46156.76127070602)</f>
        <v>46156.76127</v>
      </c>
      <c r="G1688" s="86" t="str">
        <f>IFERROR(__xludf.DUMMYFUNCTION("""COMPUTED_VALUE"""),"Done")</f>
        <v>Done</v>
      </c>
      <c r="H1688" s="88">
        <f>IFERROR(__xludf.DUMMYFUNCTION("""COMPUTED_VALUE"""),0.0)</f>
        <v>0</v>
      </c>
      <c r="I1688" s="90" t="str">
        <f>IFERROR(__xludf.DUMMYFUNCTION("""COMPUTED_VALUE"""),"EMP0042 HULESHWAR KUMAR SAHU")</f>
        <v>EMP0042 HULESHWAR KUMAR SAHU</v>
      </c>
      <c r="J1688" s="91"/>
    </row>
    <row r="1689">
      <c r="B1689" s="76" t="str">
        <f>IFERROR(__xludf.DUMMYFUNCTION("""COMPUTED_VALUE"""),"Solution / Check data in database according to new logics                ")</f>
        <v>Solution / Check data in database according to new logics                </v>
      </c>
      <c r="C1689" s="82">
        <f>IFERROR(__xludf.DUMMYFUNCTION("""COMPUTED_VALUE"""),5153.0)</f>
        <v>5153</v>
      </c>
      <c r="D1689" s="76" t="str">
        <f>IFERROR(__xludf.DUMMYFUNCTION("""COMPUTED_VALUE"""),"OLD Marksheet")</f>
        <v>OLD Marksheet</v>
      </c>
      <c r="E1689" s="84">
        <f>IFERROR(__xludf.DUMMYFUNCTION("""COMPUTED_VALUE"""),46158.53958333333)</f>
        <v>46158.53958</v>
      </c>
      <c r="F1689" s="86">
        <f>IFERROR(__xludf.DUMMYFUNCTION("""COMPUTED_VALUE"""),46156.761272094904)</f>
        <v>46156.76127</v>
      </c>
      <c r="G1689" s="86" t="str">
        <f>IFERROR(__xludf.DUMMYFUNCTION("""COMPUTED_VALUE"""),"Done")</f>
        <v>Done</v>
      </c>
      <c r="H1689" s="88">
        <f>IFERROR(__xludf.DUMMYFUNCTION("""COMPUTED_VALUE"""),0.0)</f>
        <v>0</v>
      </c>
      <c r="I1689" s="90" t="str">
        <f>IFERROR(__xludf.DUMMYFUNCTION("""COMPUTED_VALUE"""),"EMP0021 Tamanna Dewangan")</f>
        <v>EMP0021 Tamanna Dewangan</v>
      </c>
      <c r="J1689" s="91"/>
    </row>
    <row r="1690">
      <c r="B1690" s="76" t="str">
        <f>IFERROR(__xludf.DUMMYFUNCTION("""COMPUTED_VALUE"""),"Solution / Check data in database according to new logics                ")</f>
        <v>Solution / Check data in database according to new logics                </v>
      </c>
      <c r="C1690" s="82">
        <f>IFERROR(__xludf.DUMMYFUNCTION("""COMPUTED_VALUE"""),5154.0)</f>
        <v>5154</v>
      </c>
      <c r="D1690" s="76" t="str">
        <f>IFERROR(__xludf.DUMMYFUNCTION("""COMPUTED_VALUE"""),"TR Report")</f>
        <v>TR Report</v>
      </c>
      <c r="E1690" s="84">
        <f>IFERROR(__xludf.DUMMYFUNCTION("""COMPUTED_VALUE"""),46158.5625)</f>
        <v>46158.5625</v>
      </c>
      <c r="F1690" s="86">
        <f>IFERROR(__xludf.DUMMYFUNCTION("""COMPUTED_VALUE"""),46157.677231284724)</f>
        <v>46157.67723</v>
      </c>
      <c r="G1690" s="86" t="str">
        <f>IFERROR(__xludf.DUMMYFUNCTION("""COMPUTED_VALUE"""),"Done")</f>
        <v>Done</v>
      </c>
      <c r="H1690" s="88">
        <f>IFERROR(__xludf.DUMMYFUNCTION("""COMPUTED_VALUE"""),0.0)</f>
        <v>0</v>
      </c>
      <c r="I1690" s="90" t="str">
        <f>IFERROR(__xludf.DUMMYFUNCTION("""COMPUTED_VALUE"""),"EMP0021 Tamanna Dewangan")</f>
        <v>EMP0021 Tamanna Dewangan</v>
      </c>
      <c r="J1690" s="91"/>
    </row>
    <row r="1691">
      <c r="B1691" s="76" t="str">
        <f>IFERROR(__xludf.DUMMYFUNCTION("""COMPUTED_VALUE"""),"Solution / Check data in database according to new logics                ")</f>
        <v>Solution / Check data in database according to new logics                </v>
      </c>
      <c r="C1691" s="82">
        <f>IFERROR(__xludf.DUMMYFUNCTION("""COMPUTED_VALUE"""),5155.0)</f>
        <v>5155</v>
      </c>
      <c r="D1691" s="76" t="str">
        <f>IFERROR(__xludf.DUMMYFUNCTION("""COMPUTED_VALUE"""),"Marksheet LLB(Absorption)")</f>
        <v>Marksheet LLB(Absorption)</v>
      </c>
      <c r="E1691" s="84">
        <f>IFERROR(__xludf.DUMMYFUNCTION("""COMPUTED_VALUE"""),46158.56388888889)</f>
        <v>46158.56389</v>
      </c>
      <c r="F1691" s="86">
        <f>IFERROR(__xludf.DUMMYFUNCTION("""COMPUTED_VALUE"""),46157.467050625004)</f>
        <v>46157.46705</v>
      </c>
      <c r="G1691" s="86" t="str">
        <f>IFERROR(__xludf.DUMMYFUNCTION("""COMPUTED_VALUE"""),"Done")</f>
        <v>Done</v>
      </c>
      <c r="H1691" s="88">
        <f>IFERROR(__xludf.DUMMYFUNCTION("""COMPUTED_VALUE"""),0.0)</f>
        <v>0</v>
      </c>
      <c r="I1691" s="90" t="str">
        <f>IFERROR(__xludf.DUMMYFUNCTION("""COMPUTED_VALUE"""),"EMP0042 HULESHWAR KUMAR SAHU")</f>
        <v>EMP0042 HULESHWAR KUMAR SAHU</v>
      </c>
      <c r="J1691" s="91"/>
    </row>
    <row r="1692">
      <c r="B1692" s="76" t="str">
        <f>IFERROR(__xludf.DUMMYFUNCTION("""COMPUTED_VALUE"""),"Solution / Check data in database according to new logics                ")</f>
        <v>Solution / Check data in database according to new logics                </v>
      </c>
      <c r="C1692" s="82">
        <f>IFERROR(__xludf.DUMMYFUNCTION("""COMPUTED_VALUE"""),5156.0)</f>
        <v>5156</v>
      </c>
      <c r="D1692" s="76" t="str">
        <f>IFERROR(__xludf.DUMMYFUNCTION("""COMPUTED_VALUE"""),"MISCELLEROUS REPORT IN FILED ADD ")</f>
        <v>MISCELLEROUS REPORT IN FILED ADD </v>
      </c>
      <c r="E1692" s="84">
        <f>IFERROR(__xludf.DUMMYFUNCTION("""COMPUTED_VALUE"""),46160.78402777778)</f>
        <v>46160.78403</v>
      </c>
      <c r="F1692" s="86">
        <f>IFERROR(__xludf.DUMMYFUNCTION("""COMPUTED_VALUE"""),46160.45695798611)</f>
        <v>46160.45696</v>
      </c>
      <c r="G1692" s="86" t="str">
        <f>IFERROR(__xludf.DUMMYFUNCTION("""COMPUTED_VALUE"""),"Done")</f>
        <v>Done</v>
      </c>
      <c r="H1692" s="88">
        <f>IFERROR(__xludf.DUMMYFUNCTION("""COMPUTED_VALUE"""),0.0)</f>
        <v>0</v>
      </c>
      <c r="I1692" s="90" t="str">
        <f>IFERROR(__xludf.DUMMYFUNCTION("""COMPUTED_VALUE"""),"EMP0237 Swarnendu Chakraborty")</f>
        <v>EMP0237 Swarnendu Chakraborty</v>
      </c>
      <c r="J1692" s="91"/>
    </row>
    <row r="1693">
      <c r="B1693" s="76" t="str">
        <f>IFERROR(__xludf.DUMMYFUNCTION("""COMPUTED_VALUE"""),"Solution / Check data in database according to new logics                ")</f>
        <v>Solution / Check data in database according to new logics                </v>
      </c>
      <c r="C1693" s="82">
        <f>IFERROR(__xludf.DUMMYFUNCTION("""COMPUTED_VALUE"""),5157.0)</f>
        <v>5157</v>
      </c>
      <c r="D1693" s="76" t="str">
        <f>IFERROR(__xludf.DUMMYFUNCTION("""COMPUTED_VALUE"""),"Student Checklist")</f>
        <v>Student Checklist</v>
      </c>
      <c r="E1693" s="84">
        <f>IFERROR(__xludf.DUMMYFUNCTION("""COMPUTED_VALUE"""),46161.48055555555)</f>
        <v>46161.48056</v>
      </c>
      <c r="F1693" s="86">
        <f>IFERROR(__xludf.DUMMYFUNCTION("""COMPUTED_VALUE"""),46160.452872002315)</f>
        <v>46160.45287</v>
      </c>
      <c r="G1693" s="86" t="str">
        <f>IFERROR(__xludf.DUMMYFUNCTION("""COMPUTED_VALUE"""),"Done")</f>
        <v>Done</v>
      </c>
      <c r="H1693" s="88">
        <f>IFERROR(__xludf.DUMMYFUNCTION("""COMPUTED_VALUE"""),0.0)</f>
        <v>0</v>
      </c>
      <c r="I1693" s="90" t="str">
        <f>IFERROR(__xludf.DUMMYFUNCTION("""COMPUTED_VALUE"""),"EMP5009 Rup Kumar Mandal")</f>
        <v>EMP5009 Rup Kumar Mandal</v>
      </c>
      <c r="J1693" s="91"/>
    </row>
    <row r="1694">
      <c r="B1694" s="76" t="str">
        <f>IFERROR(__xludf.DUMMYFUNCTION("""COMPUTED_VALUE"""),"Solution / Check data in database according to new logics                ")</f>
        <v>Solution / Check data in database according to new logics                </v>
      </c>
      <c r="C1694" s="82">
        <f>IFERROR(__xludf.DUMMYFUNCTION("""COMPUTED_VALUE"""),5158.0)</f>
        <v>5158</v>
      </c>
      <c r="D1694" s="76" t="str">
        <f>IFERROR(__xludf.DUMMYFUNCTION("""COMPUTED_VALUE"""),"ADMIT")</f>
        <v>ADMIT</v>
      </c>
      <c r="E1694" s="84">
        <f>IFERROR(__xludf.DUMMYFUNCTION("""COMPUTED_VALUE"""),46161.48333333334)</f>
        <v>46161.48333</v>
      </c>
      <c r="F1694" s="86">
        <f>IFERROR(__xludf.DUMMYFUNCTION("""COMPUTED_VALUE"""),46160.452881944446)</f>
        <v>46160.45288</v>
      </c>
      <c r="G1694" s="86" t="str">
        <f>IFERROR(__xludf.DUMMYFUNCTION("""COMPUTED_VALUE"""),"Done")</f>
        <v>Done</v>
      </c>
      <c r="H1694" s="88">
        <f>IFERROR(__xludf.DUMMYFUNCTION("""COMPUTED_VALUE"""),0.0)</f>
        <v>0</v>
      </c>
      <c r="I1694" s="90" t="str">
        <f>IFERROR(__xludf.DUMMYFUNCTION("""COMPUTED_VALUE"""),"EMP5009 Rup Kumar Mandal")</f>
        <v>EMP5009 Rup Kumar Mandal</v>
      </c>
      <c r="J1694" s="91"/>
    </row>
    <row r="1695">
      <c r="B1695" s="76" t="str">
        <f>IFERROR(__xludf.DUMMYFUNCTION("""COMPUTED_VALUE"""),"Solution / Check data in database according to new logics                ")</f>
        <v>Solution / Check data in database according to new logics                </v>
      </c>
      <c r="C1695" s="82">
        <f>IFERROR(__xludf.DUMMYFUNCTION("""COMPUTED_VALUE"""),5159.0)</f>
        <v>5159</v>
      </c>
      <c r="D1695" s="76" t="str">
        <f>IFERROR(__xludf.DUMMYFUNCTION("""COMPUTED_VALUE"""),"ATTENDANCE (AR/DR)")</f>
        <v>ATTENDANCE (AR/DR)</v>
      </c>
      <c r="E1695" s="84">
        <f>IFERROR(__xludf.DUMMYFUNCTION("""COMPUTED_VALUE"""),46161.48472222222)</f>
        <v>46161.48472</v>
      </c>
      <c r="F1695" s="86">
        <f>IFERROR(__xludf.DUMMYFUNCTION("""COMPUTED_VALUE"""),46160.452836666664)</f>
        <v>46160.45284</v>
      </c>
      <c r="G1695" s="86" t="str">
        <f>IFERROR(__xludf.DUMMYFUNCTION("""COMPUTED_VALUE"""),"Done")</f>
        <v>Done</v>
      </c>
      <c r="H1695" s="88">
        <f>IFERROR(__xludf.DUMMYFUNCTION("""COMPUTED_VALUE"""),0.0)</f>
        <v>0</v>
      </c>
      <c r="I1695" s="90" t="str">
        <f>IFERROR(__xludf.DUMMYFUNCTION("""COMPUTED_VALUE"""),"EMP5009 Rup Kumar Mandal")</f>
        <v>EMP5009 Rup Kumar Mandal</v>
      </c>
      <c r="J1695" s="91"/>
    </row>
    <row r="1696">
      <c r="B1696" s="76" t="str">
        <f>IFERROR(__xludf.DUMMYFUNCTION("""COMPUTED_VALUE"""),"Solution / Check data in database according to new logics                ")</f>
        <v>Solution / Check data in database according to new logics                </v>
      </c>
      <c r="C1696" s="82">
        <f>IFERROR(__xludf.DUMMYFUNCTION("""COMPUTED_VALUE"""),5160.0)</f>
        <v>5160</v>
      </c>
      <c r="D1696" s="76" t="str">
        <f>IFERROR(__xludf.DUMMYFUNCTION("""COMPUTED_VALUE"""),"TOP SHEET (BEFORE)")</f>
        <v>TOP SHEET (BEFORE)</v>
      </c>
      <c r="E1696" s="84">
        <f>IFERROR(__xludf.DUMMYFUNCTION("""COMPUTED_VALUE"""),46161.48611111111)</f>
        <v>46161.48611</v>
      </c>
      <c r="F1696" s="86">
        <f>IFERROR(__xludf.DUMMYFUNCTION("""COMPUTED_VALUE"""),46160.45294490741)</f>
        <v>46160.45294</v>
      </c>
      <c r="G1696" s="86" t="str">
        <f>IFERROR(__xludf.DUMMYFUNCTION("""COMPUTED_VALUE"""),"Done")</f>
        <v>Done</v>
      </c>
      <c r="H1696" s="88">
        <f>IFERROR(__xludf.DUMMYFUNCTION("""COMPUTED_VALUE"""),0.0)</f>
        <v>0</v>
      </c>
      <c r="I1696" s="90" t="str">
        <f>IFERROR(__xludf.DUMMYFUNCTION("""COMPUTED_VALUE"""),"EMP5009 Rup Kumar Mandal")</f>
        <v>EMP5009 Rup Kumar Mandal</v>
      </c>
      <c r="J1696" s="91"/>
    </row>
    <row r="1697">
      <c r="B1697" s="76" t="str">
        <f>IFERROR(__xludf.DUMMYFUNCTION("""COMPUTED_VALUE"""),"Solution / Check data in database according to new logics                ")</f>
        <v>Solution / Check data in database according to new logics                </v>
      </c>
      <c r="C1697" s="82">
        <f>IFERROR(__xludf.DUMMYFUNCTION("""COMPUTED_VALUE"""),5161.0)</f>
        <v>5161</v>
      </c>
      <c r="D1697" s="76" t="str">
        <f>IFERROR(__xludf.DUMMYFUNCTION("""COMPUTED_VALUE"""),"PREVIOUS ")</f>
        <v>PREVIOUS </v>
      </c>
      <c r="E1697" s="84">
        <f>IFERROR(__xludf.DUMMYFUNCTION("""COMPUTED_VALUE"""),46161.486805555556)</f>
        <v>46161.48681</v>
      </c>
      <c r="F1697" s="86">
        <f>IFERROR(__xludf.DUMMYFUNCTION("""COMPUTED_VALUE"""),46160.452976203705)</f>
        <v>46160.45298</v>
      </c>
      <c r="G1697" s="86" t="str">
        <f>IFERROR(__xludf.DUMMYFUNCTION("""COMPUTED_VALUE"""),"Done")</f>
        <v>Done</v>
      </c>
      <c r="H1697" s="88">
        <f>IFERROR(__xludf.DUMMYFUNCTION("""COMPUTED_VALUE"""),0.0)</f>
        <v>0</v>
      </c>
      <c r="I1697" s="90" t="str">
        <f>IFERROR(__xludf.DUMMYFUNCTION("""COMPUTED_VALUE"""),"EMP5009 Rup Kumar Mandal")</f>
        <v>EMP5009 Rup Kumar Mandal</v>
      </c>
      <c r="J1697" s="91"/>
    </row>
    <row r="1698">
      <c r="B1698" s="76" t="str">
        <f>IFERROR(__xludf.DUMMYFUNCTION("""COMPUTED_VALUE"""),"Solution / Check data in database according to new logics                ")</f>
        <v>Solution / Check data in database according to new logics                </v>
      </c>
      <c r="C1698" s="82">
        <f>IFERROR(__xludf.DUMMYFUNCTION("""COMPUTED_VALUE"""),5162.0)</f>
        <v>5162</v>
      </c>
      <c r="D1698" s="76" t="str">
        <f>IFERROR(__xludf.DUMMYFUNCTION("""COMPUTED_VALUE"""),"Marks Entry Report")</f>
        <v>Marks Entry Report</v>
      </c>
      <c r="E1698" s="84">
        <f>IFERROR(__xludf.DUMMYFUNCTION("""COMPUTED_VALUE"""),46161.82708333334)</f>
        <v>46161.82708</v>
      </c>
      <c r="F1698" s="86">
        <f>IFERROR(__xludf.DUMMYFUNCTION("""COMPUTED_VALUE"""),46160.622679618056)</f>
        <v>46160.62268</v>
      </c>
      <c r="G1698" s="86" t="str">
        <f>IFERROR(__xludf.DUMMYFUNCTION("""COMPUTED_VALUE"""),"Done")</f>
        <v>Done</v>
      </c>
      <c r="H1698" s="88">
        <f>IFERROR(__xludf.DUMMYFUNCTION("""COMPUTED_VALUE"""),0.0)</f>
        <v>0</v>
      </c>
      <c r="I1698" s="90" t="str">
        <f>IFERROR(__xludf.DUMMYFUNCTION("""COMPUTED_VALUE"""),"EMP0042 HULESHWAR KUMAR SAHU")</f>
        <v>EMP0042 HULESHWAR KUMAR SAHU</v>
      </c>
      <c r="J1698" s="91"/>
    </row>
    <row r="1699">
      <c r="B1699" s="76" t="str">
        <f>IFERROR(__xludf.DUMMYFUNCTION("""COMPUTED_VALUE"""),"Solution / Check data in database according to new logics                ")</f>
        <v>Solution / Check data in database according to new logics                </v>
      </c>
      <c r="C1699" s="82">
        <f>IFERROR(__xludf.DUMMYFUNCTION("""COMPUTED_VALUE"""),5163.0)</f>
        <v>5163</v>
      </c>
      <c r="D1699" s="76" t="str">
        <f>IFERROR(__xludf.DUMMYFUNCTION("""COMPUTED_VALUE"""),"Seat Allotment Paper List/DATE WISE SUBJECT LIST")</f>
        <v>Seat Allotment Paper List/DATE WISE SUBJECT LIST</v>
      </c>
      <c r="E1699" s="84">
        <f>IFERROR(__xludf.DUMMYFUNCTION("""COMPUTED_VALUE"""),46162.59444444445)</f>
        <v>46162.59444</v>
      </c>
      <c r="F1699" s="86">
        <f>IFERROR(__xludf.DUMMYFUNCTION("""COMPUTED_VALUE"""),46160.81641644676)</f>
        <v>46160.81642</v>
      </c>
      <c r="G1699" s="86" t="str">
        <f>IFERROR(__xludf.DUMMYFUNCTION("""COMPUTED_VALUE"""),"Done")</f>
        <v>Done</v>
      </c>
      <c r="H1699" s="88">
        <f>IFERROR(__xludf.DUMMYFUNCTION("""COMPUTED_VALUE"""),0.0)</f>
        <v>0</v>
      </c>
      <c r="I1699" s="90" t="str">
        <f>IFERROR(__xludf.DUMMYFUNCTION("""COMPUTED_VALUE"""),"EMP0042 HULESHWAR KUMAR SAHU")</f>
        <v>EMP0042 HULESHWAR KUMAR SAHU</v>
      </c>
      <c r="J1699" s="91"/>
    </row>
    <row r="1700">
      <c r="B1700" s="76" t="str">
        <f>IFERROR(__xludf.DUMMYFUNCTION("""COMPUTED_VALUE"""),"Solution / Check data in database according to new logics                ")</f>
        <v>Solution / Check data in database according to new logics                </v>
      </c>
      <c r="C1700" s="82">
        <f>IFERROR(__xludf.DUMMYFUNCTION("""COMPUTED_VALUE"""),5164.0)</f>
        <v>5164</v>
      </c>
      <c r="D1700" s="76" t="str">
        <f>IFERROR(__xludf.DUMMYFUNCTION("""COMPUTED_VALUE"""),"	DESK SLIP")</f>
        <v>	DESK SLIP</v>
      </c>
      <c r="E1700" s="84">
        <f>IFERROR(__xludf.DUMMYFUNCTION("""COMPUTED_VALUE"""),46162.59513888889)</f>
        <v>46162.59514</v>
      </c>
      <c r="F1700" s="86">
        <f>IFERROR(__xludf.DUMMYFUNCTION("""COMPUTED_VALUE"""),46160.75261278936)</f>
        <v>46160.75261</v>
      </c>
      <c r="G1700" s="86" t="str">
        <f>IFERROR(__xludf.DUMMYFUNCTION("""COMPUTED_VALUE"""),"Done")</f>
        <v>Done</v>
      </c>
      <c r="H1700" s="88">
        <f>IFERROR(__xludf.DUMMYFUNCTION("""COMPUTED_VALUE"""),0.0)</f>
        <v>0</v>
      </c>
      <c r="I1700" s="90" t="str">
        <f>IFERROR(__xludf.DUMMYFUNCTION("""COMPUTED_VALUE"""),"EMP0042 HULESHWAR KUMAR SAHU")</f>
        <v>EMP0042 HULESHWAR KUMAR SAHU</v>
      </c>
      <c r="J1700" s="91"/>
    </row>
    <row r="1701">
      <c r="B1701" s="76" t="str">
        <f>IFERROR(__xludf.DUMMYFUNCTION("""COMPUTED_VALUE"""),"Solution / Check data in database according to new logics                ")</f>
        <v>Solution / Check data in database according to new logics                </v>
      </c>
      <c r="C1701" s="82">
        <f>IFERROR(__xludf.DUMMYFUNCTION("""COMPUTED_VALUE"""),5165.0)</f>
        <v>5165</v>
      </c>
      <c r="D1701" s="76" t="str">
        <f>IFERROR(__xludf.DUMMYFUNCTION("""COMPUTED_VALUE"""),"Marks Sheet")</f>
        <v>Marks Sheet</v>
      </c>
      <c r="E1701" s="84">
        <f>IFERROR(__xludf.DUMMYFUNCTION("""COMPUTED_VALUE"""),46162.611805555556)</f>
        <v>46162.61181</v>
      </c>
      <c r="F1701" s="86">
        <f>IFERROR(__xludf.DUMMYFUNCTION("""COMPUTED_VALUE"""),46160.81649629629)</f>
        <v>46160.8165</v>
      </c>
      <c r="G1701" s="86" t="str">
        <f>IFERROR(__xludf.DUMMYFUNCTION("""COMPUTED_VALUE"""),"Done")</f>
        <v>Done</v>
      </c>
      <c r="H1701" s="88">
        <f>IFERROR(__xludf.DUMMYFUNCTION("""COMPUTED_VALUE"""),0.0)</f>
        <v>0</v>
      </c>
      <c r="I1701" s="90" t="str">
        <f>IFERROR(__xludf.DUMMYFUNCTION("""COMPUTED_VALUE"""),"EMP0042 HULESHWAR KUMAR SAHU")</f>
        <v>EMP0042 HULESHWAR KUMAR SAHU</v>
      </c>
      <c r="J1701" s="91"/>
    </row>
    <row r="1702">
      <c r="B1702" s="76" t="str">
        <f>IFERROR(__xludf.DUMMYFUNCTION("""COMPUTED_VALUE"""),"Solution / Check data in database according to new logics                ")</f>
        <v>Solution / Check data in database according to new logics                </v>
      </c>
      <c r="C1702" s="82">
        <f>IFERROR(__xludf.DUMMYFUNCTION("""COMPUTED_VALUE"""),5166.0)</f>
        <v>5166</v>
      </c>
      <c r="D1702" s="76" t="str">
        <f>IFERROR(__xludf.DUMMYFUNCTION("""COMPUTED_VALUE"""),"TR Report")</f>
        <v>TR Report</v>
      </c>
      <c r="E1702" s="84">
        <f>IFERROR(__xludf.DUMMYFUNCTION("""COMPUTED_VALUE"""),46162.74166666667)</f>
        <v>46162.74167</v>
      </c>
      <c r="F1702" s="86">
        <f>IFERROR(__xludf.DUMMYFUNCTION("""COMPUTED_VALUE"""),46162.65347858796)</f>
        <v>46162.65348</v>
      </c>
      <c r="G1702" s="86" t="str">
        <f>IFERROR(__xludf.DUMMYFUNCTION("""COMPUTED_VALUE"""),"Done")</f>
        <v>Done</v>
      </c>
      <c r="H1702" s="88">
        <f>IFERROR(__xludf.DUMMYFUNCTION("""COMPUTED_VALUE"""),0.0)</f>
        <v>0</v>
      </c>
      <c r="I1702" s="90" t="str">
        <f>IFERROR(__xludf.DUMMYFUNCTION("""COMPUTED_VALUE"""),"EMP0237 Swarnendu Chakraborty")</f>
        <v>EMP0237 Swarnendu Chakraborty</v>
      </c>
      <c r="J1702" s="91"/>
    </row>
    <row r="1703">
      <c r="B1703" s="76" t="str">
        <f>IFERROR(__xludf.DUMMYFUNCTION("""COMPUTED_VALUE"""),"Solution / Check data in database according to new logics                ")</f>
        <v>Solution / Check data in database according to new logics                </v>
      </c>
      <c r="C1703" s="82">
        <f>IFERROR(__xludf.DUMMYFUNCTION("""COMPUTED_VALUE"""),5167.0)</f>
        <v>5167</v>
      </c>
      <c r="D1703" s="76" t="str">
        <f>IFERROR(__xludf.DUMMYFUNCTION("""COMPUTED_VALUE"""),"TR")</f>
        <v>TR</v>
      </c>
      <c r="E1703" s="84">
        <f>IFERROR(__xludf.DUMMYFUNCTION("""COMPUTED_VALUE"""),46162.79583333334)</f>
        <v>46162.79583</v>
      </c>
      <c r="F1703" s="86">
        <f>IFERROR(__xludf.DUMMYFUNCTION("""COMPUTED_VALUE"""),46161.703734710645)</f>
        <v>46161.70373</v>
      </c>
      <c r="G1703" s="86" t="str">
        <f>IFERROR(__xludf.DUMMYFUNCTION("""COMPUTED_VALUE"""),"Done")</f>
        <v>Done</v>
      </c>
      <c r="H1703" s="88">
        <f>IFERROR(__xludf.DUMMYFUNCTION("""COMPUTED_VALUE"""),0.0)</f>
        <v>0</v>
      </c>
      <c r="I1703" s="90" t="str">
        <f>IFERROR(__xludf.DUMMYFUNCTION("""COMPUTED_VALUE"""),"EMP0042 HULESHWAR KUMAR SAHU")</f>
        <v>EMP0042 HULESHWAR KUMAR SAHU</v>
      </c>
      <c r="J1703" s="91"/>
    </row>
    <row r="1704">
      <c r="B1704" s="76" t="str">
        <f>IFERROR(__xludf.DUMMYFUNCTION("""COMPUTED_VALUE"""),"Solution / Check data in database according to new logics                ")</f>
        <v>Solution / Check data in database according to new logics                </v>
      </c>
      <c r="C1704" s="82">
        <f>IFERROR(__xludf.DUMMYFUNCTION("""COMPUTED_VALUE"""),5168.0)</f>
        <v>5168</v>
      </c>
      <c r="D1704" s="76" t="str">
        <f>IFERROR(__xludf.DUMMYFUNCTION("""COMPUTED_VALUE"""),"NEP UG TR COLLEGEWISE")</f>
        <v>NEP UG TR COLLEGEWISE</v>
      </c>
      <c r="E1704" s="84">
        <f>IFERROR(__xludf.DUMMYFUNCTION("""COMPUTED_VALUE"""),46162.81180555555)</f>
        <v>46162.81181</v>
      </c>
      <c r="F1704" s="86">
        <f>IFERROR(__xludf.DUMMYFUNCTION("""COMPUTED_VALUE"""),46162.65352475695)</f>
        <v>46162.65352</v>
      </c>
      <c r="G1704" s="86" t="str">
        <f>IFERROR(__xludf.DUMMYFUNCTION("""COMPUTED_VALUE"""),"Done")</f>
        <v>Done</v>
      </c>
      <c r="H1704" s="88">
        <f>IFERROR(__xludf.DUMMYFUNCTION("""COMPUTED_VALUE"""),0.0)</f>
        <v>0</v>
      </c>
      <c r="I1704" s="90" t="str">
        <f>IFERROR(__xludf.DUMMYFUNCTION("""COMPUTED_VALUE"""),"EMP0042 HULESHWAR KUMAR SAHU")</f>
        <v>EMP0042 HULESHWAR KUMAR SAHU</v>
      </c>
      <c r="J1704" s="91"/>
    </row>
    <row r="1705">
      <c r="B1705" s="76" t="str">
        <f>IFERROR(__xludf.DUMMYFUNCTION("""COMPUTED_VALUE"""),"Solution / Check data in database according to new logics                ")</f>
        <v>Solution / Check data in database according to new logics                </v>
      </c>
      <c r="C1705" s="82">
        <f>IFERROR(__xludf.DUMMYFUNCTION("""COMPUTED_VALUE"""),5169.0)</f>
        <v>5169</v>
      </c>
      <c r="D1705" s="76" t="str">
        <f>IFERROR(__xludf.DUMMYFUNCTION("""COMPUTED_VALUE"""),"Marks Sheet Old")</f>
        <v>Marks Sheet Old</v>
      </c>
      <c r="E1705" s="84">
        <f>IFERROR(__xludf.DUMMYFUNCTION("""COMPUTED_VALUE"""),46163.52569444444)</f>
        <v>46163.52569</v>
      </c>
      <c r="F1705" s="86">
        <f>IFERROR(__xludf.DUMMYFUNCTION("""COMPUTED_VALUE"""),46161.70378627315)</f>
        <v>46161.70379</v>
      </c>
      <c r="G1705" s="86" t="str">
        <f>IFERROR(__xludf.DUMMYFUNCTION("""COMPUTED_VALUE"""),"Done")</f>
        <v>Done</v>
      </c>
      <c r="H1705" s="88">
        <f>IFERROR(__xludf.DUMMYFUNCTION("""COMPUTED_VALUE"""),0.0)</f>
        <v>0</v>
      </c>
      <c r="I1705" s="90" t="str">
        <f>IFERROR(__xludf.DUMMYFUNCTION("""COMPUTED_VALUE"""),"EMP0042 HULESHWAR KUMAR SAHU")</f>
        <v>EMP0042 HULESHWAR KUMAR SAHU</v>
      </c>
      <c r="J1705" s="91"/>
    </row>
    <row r="1706">
      <c r="B1706" s="76" t="str">
        <f>IFERROR(__xludf.DUMMYFUNCTION("""COMPUTED_VALUE"""),"Solution / Check data in database according to new logics                ")</f>
        <v>Solution / Check data in database according to new logics                </v>
      </c>
      <c r="C1706" s="82">
        <f>IFERROR(__xludf.DUMMYFUNCTION("""COMPUTED_VALUE"""),5170.0)</f>
        <v>5170</v>
      </c>
      <c r="D1706" s="76" t="str">
        <f>IFERROR(__xludf.DUMMYFUNCTION("""COMPUTED_VALUE"""),"NEP M.A HISTRIY ADMIT CARD ERROR SOLVED ")</f>
        <v>NEP M.A HISTRIY ADMIT CARD ERROR SOLVED </v>
      </c>
      <c r="E1706" s="84">
        <f>IFERROR(__xludf.DUMMYFUNCTION("""COMPUTED_VALUE"""),46163.60416666667)</f>
        <v>46163.60417</v>
      </c>
      <c r="F1706" s="86">
        <f>IFERROR(__xludf.DUMMYFUNCTION("""COMPUTED_VALUE"""),46162.66981464121)</f>
        <v>46162.66981</v>
      </c>
      <c r="G1706" s="86" t="str">
        <f>IFERROR(__xludf.DUMMYFUNCTION("""COMPUTED_VALUE"""),"Done")</f>
        <v>Done</v>
      </c>
      <c r="H1706" s="88">
        <f>IFERROR(__xludf.DUMMYFUNCTION("""COMPUTED_VALUE"""),0.0)</f>
        <v>0</v>
      </c>
      <c r="I1706" s="90" t="str">
        <f>IFERROR(__xludf.DUMMYFUNCTION("""COMPUTED_VALUE"""),"EMP0042 HULESHWAR KUMAR SAHU")</f>
        <v>EMP0042 HULESHWAR KUMAR SAHU</v>
      </c>
      <c r="J1706" s="91"/>
    </row>
    <row r="1707">
      <c r="B1707" s="76" t="str">
        <f>IFERROR(__xludf.DUMMYFUNCTION("""COMPUTED_VALUE"""),"Solution / Check data in database according to new logics                ")</f>
        <v>Solution / Check data in database according to new logics                </v>
      </c>
      <c r="C1707" s="82">
        <f>IFERROR(__xludf.DUMMYFUNCTION("""COMPUTED_VALUE"""),5171.0)</f>
        <v>5171</v>
      </c>
      <c r="D1707" s="76" t="str">
        <f>IFERROR(__xludf.DUMMYFUNCTION("""COMPUTED_VALUE"""),"Multiple Report")</f>
        <v>Multiple Report</v>
      </c>
      <c r="E1707" s="84">
        <f>IFERROR(__xludf.DUMMYFUNCTION("""COMPUTED_VALUE"""),46164.57430555555)</f>
        <v>46164.57431</v>
      </c>
      <c r="F1707" s="86">
        <f>IFERROR(__xludf.DUMMYFUNCTION("""COMPUTED_VALUE"""),46163.7018394213)</f>
        <v>46163.70184</v>
      </c>
      <c r="G1707" s="86" t="str">
        <f>IFERROR(__xludf.DUMMYFUNCTION("""COMPUTED_VALUE"""),"Done")</f>
        <v>Done</v>
      </c>
      <c r="H1707" s="88">
        <f>IFERROR(__xludf.DUMMYFUNCTION("""COMPUTED_VALUE"""),0.0)</f>
        <v>0</v>
      </c>
      <c r="I1707" s="90" t="str">
        <f>IFERROR(__xludf.DUMMYFUNCTION("""COMPUTED_VALUE"""),"EMP5009 Rup Kumar Mandal")</f>
        <v>EMP5009 Rup Kumar Mandal</v>
      </c>
      <c r="J1707" s="91"/>
    </row>
    <row r="1708">
      <c r="B1708" s="76" t="str">
        <f>IFERROR(__xludf.DUMMYFUNCTION("""COMPUTED_VALUE"""),"Solution / Check data in database according to new logics                ")</f>
        <v>Solution / Check data in database according to new logics                </v>
      </c>
      <c r="C1708" s="82">
        <f>IFERROR(__xludf.DUMMYFUNCTION("""COMPUTED_VALUE"""),5172.0)</f>
        <v>5172</v>
      </c>
      <c r="D1708" s="76" t="str">
        <f>IFERROR(__xludf.DUMMYFUNCTION("""COMPUTED_VALUE"""),"ppr/pps report")</f>
        <v>ppr/pps report</v>
      </c>
      <c r="E1708" s="84">
        <f>IFERROR(__xludf.DUMMYFUNCTION("""COMPUTED_VALUE"""),46164.73958333333)</f>
        <v>46164.73958</v>
      </c>
      <c r="F1708" s="86">
        <f>IFERROR(__xludf.DUMMYFUNCTION("""COMPUTED_VALUE"""),46164.48861355324)</f>
        <v>46164.48861</v>
      </c>
      <c r="G1708" s="86" t="str">
        <f>IFERROR(__xludf.DUMMYFUNCTION("""COMPUTED_VALUE"""),"Done")</f>
        <v>Done</v>
      </c>
      <c r="H1708" s="88">
        <f>IFERROR(__xludf.DUMMYFUNCTION("""COMPUTED_VALUE"""),0.0)</f>
        <v>0</v>
      </c>
      <c r="I1708" s="90" t="str">
        <f>IFERROR(__xludf.DUMMYFUNCTION("""COMPUTED_VALUE"""),"EMP0237 Swarnendu Chakraborty")</f>
        <v>EMP0237 Swarnendu Chakraborty</v>
      </c>
      <c r="J1708" s="91"/>
    </row>
    <row r="1709">
      <c r="B1709" s="76" t="str">
        <f>IFERROR(__xludf.DUMMYFUNCTION("""COMPUTED_VALUE"""),"Solution / Check data in database according to new logics                ")</f>
        <v>Solution / Check data in database according to new logics                </v>
      </c>
      <c r="C1709" s="82">
        <f>IFERROR(__xludf.DUMMYFUNCTION("""COMPUTED_VALUE"""),5173.0)</f>
        <v>5173</v>
      </c>
      <c r="D1709" s="76" t="str">
        <f>IFERROR(__xludf.DUMMYFUNCTION("""COMPUTED_VALUE"""),"SMKV")</f>
        <v>SMKV</v>
      </c>
      <c r="E1709" s="84">
        <f>IFERROR(__xludf.DUMMYFUNCTION("""COMPUTED_VALUE"""),46164.804861111115)</f>
        <v>46164.80486</v>
      </c>
      <c r="F1709" s="86">
        <f>IFERROR(__xludf.DUMMYFUNCTION("""COMPUTED_VALUE"""),46163.65130957176)</f>
        <v>46163.65131</v>
      </c>
      <c r="G1709" s="86" t="str">
        <f>IFERROR(__xludf.DUMMYFUNCTION("""COMPUTED_VALUE"""),"Done")</f>
        <v>Done</v>
      </c>
      <c r="H1709" s="88">
        <f>IFERROR(__xludf.DUMMYFUNCTION("""COMPUTED_VALUE"""),0.0)</f>
        <v>0</v>
      </c>
      <c r="I1709" s="90" t="str">
        <f>IFERROR(__xludf.DUMMYFUNCTION("""COMPUTED_VALUE"""),"EMP0042 HULESHWAR KUMAR SAHU")</f>
        <v>EMP0042 HULESHWAR KUMAR SAHU</v>
      </c>
      <c r="J1709" s="91"/>
    </row>
    <row r="1710">
      <c r="B1710" s="76" t="str">
        <f>IFERROR(__xludf.DUMMYFUNCTION("""COMPUTED_VALUE"""),"Solution / Check data in database according to new logics                ")</f>
        <v>Solution / Check data in database according to new logics                </v>
      </c>
      <c r="C1710" s="82">
        <f>IFERROR(__xludf.DUMMYFUNCTION("""COMPUTED_VALUE"""),5174.0)</f>
        <v>5174</v>
      </c>
      <c r="D1710" s="76" t="str">
        <f>IFERROR(__xludf.DUMMYFUNCTION("""COMPUTED_VALUE"""),"Marks Sheet NEP")</f>
        <v>Marks Sheet NEP</v>
      </c>
      <c r="E1710" s="84">
        <f>IFERROR(__xludf.DUMMYFUNCTION("""COMPUTED_VALUE"""),46164.81805555556)</f>
        <v>46164.81806</v>
      </c>
      <c r="F1710" s="86">
        <f>IFERROR(__xludf.DUMMYFUNCTION("""COMPUTED_VALUE"""),46163.65132449074)</f>
        <v>46163.65132</v>
      </c>
      <c r="G1710" s="86" t="str">
        <f>IFERROR(__xludf.DUMMYFUNCTION("""COMPUTED_VALUE"""),"Done")</f>
        <v>Done</v>
      </c>
      <c r="H1710" s="88">
        <f>IFERROR(__xludf.DUMMYFUNCTION("""COMPUTED_VALUE"""),0.0)</f>
        <v>0</v>
      </c>
      <c r="I1710" s="90" t="str">
        <f>IFERROR(__xludf.DUMMYFUNCTION("""COMPUTED_VALUE"""),"EMP0042 HULESHWAR KUMAR SAHU")</f>
        <v>EMP0042 HULESHWAR KUMAR SAHU</v>
      </c>
      <c r="J1710" s="91"/>
    </row>
    <row r="1711">
      <c r="B1711" s="76" t="str">
        <f>IFERROR(__xludf.DUMMYFUNCTION("""COMPUTED_VALUE"""),"Solution / Check data in database according to new logics                ")</f>
        <v>Solution / Check data in database according to new logics                </v>
      </c>
      <c r="C1711" s="82">
        <f>IFERROR(__xludf.DUMMYFUNCTION("""COMPUTED_VALUE"""),5175.0)</f>
        <v>5175</v>
      </c>
      <c r="D1711" s="76" t="str">
        <f>IFERROR(__xludf.DUMMYFUNCTION("""COMPUTED_VALUE"""),"Marksheet")</f>
        <v>Marksheet</v>
      </c>
      <c r="E1711" s="84">
        <f>IFERROR(__xludf.DUMMYFUNCTION("""COMPUTED_VALUE"""),46164.82777777778)</f>
        <v>46164.82778</v>
      </c>
      <c r="F1711" s="86">
        <f>IFERROR(__xludf.DUMMYFUNCTION("""COMPUTED_VALUE"""),46164.48870826389)</f>
        <v>46164.48871</v>
      </c>
      <c r="G1711" s="86" t="str">
        <f>IFERROR(__xludf.DUMMYFUNCTION("""COMPUTED_VALUE"""),"Done")</f>
        <v>Done</v>
      </c>
      <c r="H1711" s="88">
        <f>IFERROR(__xludf.DUMMYFUNCTION("""COMPUTED_VALUE"""),0.0)</f>
        <v>0</v>
      </c>
      <c r="I1711" s="90" t="str">
        <f>IFERROR(__xludf.DUMMYFUNCTION("""COMPUTED_VALUE"""),"EMP0237 Swarnendu Chakraborty")</f>
        <v>EMP0237 Swarnendu Chakraborty</v>
      </c>
      <c r="J1711" s="91"/>
    </row>
    <row r="1712">
      <c r="B1712" s="76" t="str">
        <f>IFERROR(__xludf.DUMMYFUNCTION("""COMPUTED_VALUE"""),"Solution / Check data in database according to new logics                ")</f>
        <v>Solution / Check data in database according to new logics                </v>
      </c>
      <c r="C1712" s="82">
        <f>IFERROR(__xludf.DUMMYFUNCTION("""COMPUTED_VALUE"""),5176.0)</f>
        <v>5176</v>
      </c>
      <c r="D1712" s="76" t="str">
        <f>IFERROR(__xludf.DUMMYFUNCTION("""COMPUTED_VALUE"""),"Tr hosting ug nep tr ")</f>
        <v>Tr hosting ug nep tr </v>
      </c>
      <c r="E1712" s="84">
        <f>IFERROR(__xludf.DUMMYFUNCTION("""COMPUTED_VALUE"""),46164.82777777778)</f>
        <v>46164.82778</v>
      </c>
      <c r="F1712" s="86">
        <f>IFERROR(__xludf.DUMMYFUNCTION("""COMPUTED_VALUE"""),46163.651269236114)</f>
        <v>46163.65127</v>
      </c>
      <c r="G1712" s="86" t="str">
        <f>IFERROR(__xludf.DUMMYFUNCTION("""COMPUTED_VALUE"""),"Done")</f>
        <v>Done</v>
      </c>
      <c r="H1712" s="88">
        <f>IFERROR(__xludf.DUMMYFUNCTION("""COMPUTED_VALUE"""),0.0)</f>
        <v>0</v>
      </c>
      <c r="I1712" s="90" t="str">
        <f>IFERROR(__xludf.DUMMYFUNCTION("""COMPUTED_VALUE"""),"EMP0042 HULESHWAR KUMAR SAHU")</f>
        <v>EMP0042 HULESHWAR KUMAR SAHU</v>
      </c>
      <c r="J1712" s="91"/>
    </row>
    <row r="1713">
      <c r="B1713" s="76" t="str">
        <f>IFERROR(__xludf.DUMMYFUNCTION("""COMPUTED_VALUE"""),"Solution / Check data in database according to new logics                ")</f>
        <v>Solution / Check data in database according to new logics                </v>
      </c>
      <c r="C1713" s="82">
        <f>IFERROR(__xludf.DUMMYFUNCTION("""COMPUTED_VALUE"""),5177.0)</f>
        <v>5177</v>
      </c>
      <c r="D1713" s="76" t="str">
        <f>IFERROR(__xludf.DUMMYFUNCTION("""COMPUTED_VALUE"""),"ADMIT CARD")</f>
        <v>ADMIT CARD</v>
      </c>
      <c r="E1713" s="84">
        <f>IFERROR(__xludf.DUMMYFUNCTION("""COMPUTED_VALUE"""),46165.54513888889)</f>
        <v>46165.54514</v>
      </c>
      <c r="F1713" s="86">
        <f>IFERROR(__xludf.DUMMYFUNCTION("""COMPUTED_VALUE"""),46163.799596550925)</f>
        <v>46163.7996</v>
      </c>
      <c r="G1713" s="86" t="str">
        <f>IFERROR(__xludf.DUMMYFUNCTION("""COMPUTED_VALUE"""),"Done")</f>
        <v>Done</v>
      </c>
      <c r="H1713" s="88">
        <f>IFERROR(__xludf.DUMMYFUNCTION("""COMPUTED_VALUE"""),0.0)</f>
        <v>0</v>
      </c>
      <c r="I1713" s="90" t="str">
        <f>IFERROR(__xludf.DUMMYFUNCTION("""COMPUTED_VALUE"""),"EMP5009 Rup Kumar Mandal")</f>
        <v>EMP5009 Rup Kumar Mandal</v>
      </c>
      <c r="J1713" s="91"/>
    </row>
    <row r="1714">
      <c r="B1714" s="76" t="str">
        <f>IFERROR(__xludf.DUMMYFUNCTION("""COMPUTED_VALUE"""),"Solution / Check data in database according to new logics                ")</f>
        <v>Solution / Check data in database according to new logics                </v>
      </c>
      <c r="C1714" s="82">
        <f>IFERROR(__xludf.DUMMYFUNCTION("""COMPUTED_VALUE"""),5178.0)</f>
        <v>5178</v>
      </c>
      <c r="D1714" s="76" t="str">
        <f>IFERROR(__xludf.DUMMYFUNCTION("""COMPUTED_VALUE"""),"ADMIT CARD ROLL WISE")</f>
        <v>ADMIT CARD ROLL WISE</v>
      </c>
      <c r="E1714" s="84">
        <f>IFERROR(__xludf.DUMMYFUNCTION("""COMPUTED_VALUE"""),46165.54652777778)</f>
        <v>46165.54653</v>
      </c>
      <c r="F1714" s="86">
        <f>IFERROR(__xludf.DUMMYFUNCTION("""COMPUTED_VALUE"""),46163.79955898148)</f>
        <v>46163.79956</v>
      </c>
      <c r="G1714" s="86" t="str">
        <f>IFERROR(__xludf.DUMMYFUNCTION("""COMPUTED_VALUE"""),"Done")</f>
        <v>Done</v>
      </c>
      <c r="H1714" s="88">
        <f>IFERROR(__xludf.DUMMYFUNCTION("""COMPUTED_VALUE"""),0.0)</f>
        <v>0</v>
      </c>
      <c r="I1714" s="90" t="str">
        <f>IFERROR(__xludf.DUMMYFUNCTION("""COMPUTED_VALUE"""),"EMP5009 Rup Kumar Mandal")</f>
        <v>EMP5009 Rup Kumar Mandal</v>
      </c>
      <c r="J1714" s="91"/>
    </row>
    <row r="1715">
      <c r="B1715" s="76" t="str">
        <f>IFERROR(__xludf.DUMMYFUNCTION("""COMPUTED_VALUE"""),"Solution / Check data in database according to new logics                ")</f>
        <v>Solution / Check data in database according to new logics                </v>
      </c>
      <c r="C1715" s="82">
        <f>IFERROR(__xludf.DUMMYFUNCTION("""COMPUTED_VALUE"""),5179.0)</f>
        <v>5179</v>
      </c>
      <c r="D1715" s="76" t="str">
        <f>IFERROR(__xludf.DUMMYFUNCTION("""COMPUTED_VALUE"""),"Schedule IV")</f>
        <v>Schedule IV</v>
      </c>
      <c r="E1715" s="84">
        <f>IFERROR(__xludf.DUMMYFUNCTION("""COMPUTED_VALUE"""),46165.566666666666)</f>
        <v>46165.56667</v>
      </c>
      <c r="F1715" s="86">
        <f>IFERROR(__xludf.DUMMYFUNCTION("""COMPUTED_VALUE"""),46163.80844681714)</f>
        <v>46163.80845</v>
      </c>
      <c r="G1715" s="86" t="str">
        <f>IFERROR(__xludf.DUMMYFUNCTION("""COMPUTED_VALUE"""),"Done")</f>
        <v>Done</v>
      </c>
      <c r="H1715" s="88">
        <f>IFERROR(__xludf.DUMMYFUNCTION("""COMPUTED_VALUE"""),0.0)</f>
        <v>0</v>
      </c>
      <c r="I1715" s="90" t="str">
        <f>IFERROR(__xludf.DUMMYFUNCTION("""COMPUTED_VALUE"""),"EMP0042 HULESHWAR KUMAR SAHU")</f>
        <v>EMP0042 HULESHWAR KUMAR SAHU</v>
      </c>
      <c r="J1715" s="91"/>
    </row>
    <row r="1716">
      <c r="B1716" s="76" t="str">
        <f>IFERROR(__xludf.DUMMYFUNCTION("""COMPUTED_VALUE"""),"Solution / Check data in database according to new logics                ")</f>
        <v>Solution / Check data in database according to new logics                </v>
      </c>
      <c r="C1716" s="82">
        <f>IFERROR(__xludf.DUMMYFUNCTION("""COMPUTED_VALUE"""),5180.0)</f>
        <v>5180</v>
      </c>
      <c r="D1716" s="76" t="str">
        <f>IFERROR(__xludf.DUMMYFUNCTION("""COMPUTED_VALUE"""),"packet upload report.")</f>
        <v>packet upload report.</v>
      </c>
      <c r="E1716" s="84">
        <f>IFERROR(__xludf.DUMMYFUNCTION("""COMPUTED_VALUE"""),46165.618055555555)</f>
        <v>46165.61806</v>
      </c>
      <c r="F1716" s="86">
        <f>IFERROR(__xludf.DUMMYFUNCTION("""COMPUTED_VALUE"""),46163.79949480324)</f>
        <v>46163.79949</v>
      </c>
      <c r="G1716" s="86" t="str">
        <f>IFERROR(__xludf.DUMMYFUNCTION("""COMPUTED_VALUE"""),"Done")</f>
        <v>Done</v>
      </c>
      <c r="H1716" s="88">
        <f>IFERROR(__xludf.DUMMYFUNCTION("""COMPUTED_VALUE"""),0.0)</f>
        <v>0</v>
      </c>
      <c r="I1716" s="90" t="str">
        <f>IFERROR(__xludf.DUMMYFUNCTION("""COMPUTED_VALUE"""),"EMP5009 Rup Kumar Mandal")</f>
        <v>EMP5009 Rup Kumar Mandal</v>
      </c>
      <c r="J1716" s="91"/>
    </row>
    <row r="1717">
      <c r="B1717" s="76" t="str">
        <f>IFERROR(__xludf.DUMMYFUNCTION("""COMPUTED_VALUE"""),"Solution / Check data in database according to new logics                ")</f>
        <v>Solution / Check data in database according to new logics                </v>
      </c>
      <c r="C1717" s="82">
        <f>IFERROR(__xludf.DUMMYFUNCTION("""COMPUTED_VALUE"""),5181.0)</f>
        <v>5181</v>
      </c>
      <c r="D1717" s="76" t="str">
        <f>IFERROR(__xludf.DUMMYFUNCTION("""COMPUTED_VALUE"""),"M.COM HONS 6TH SEM NEW GRADING MARKSHEET ERROR SOLVED")</f>
        <v>M.COM HONS 6TH SEM NEW GRADING MARKSHEET ERROR SOLVED</v>
      </c>
      <c r="E1717" s="84">
        <f>IFERROR(__xludf.DUMMYFUNCTION("""COMPUTED_VALUE"""),46165.65555555555)</f>
        <v>46165.65556</v>
      </c>
      <c r="F1717" s="86">
        <f>IFERROR(__xludf.DUMMYFUNCTION("""COMPUTED_VALUE"""),46163.808176666666)</f>
        <v>46163.80818</v>
      </c>
      <c r="G1717" s="86" t="str">
        <f>IFERROR(__xludf.DUMMYFUNCTION("""COMPUTED_VALUE"""),"Done")</f>
        <v>Done</v>
      </c>
      <c r="H1717" s="88">
        <f>IFERROR(__xludf.DUMMYFUNCTION("""COMPUTED_VALUE"""),0.0)</f>
        <v>0</v>
      </c>
      <c r="I1717" s="90" t="str">
        <f>IFERROR(__xludf.DUMMYFUNCTION("""COMPUTED_VALUE"""),"EMP0042 HULESHWAR KUMAR SAHU")</f>
        <v>EMP0042 HULESHWAR KUMAR SAHU</v>
      </c>
      <c r="J1717" s="91"/>
    </row>
    <row r="1718">
      <c r="B1718" s="76" t="str">
        <f>IFERROR(__xludf.DUMMYFUNCTION("""COMPUTED_VALUE"""),"Solution / Check data in database according to new logics                ")</f>
        <v>Solution / Check data in database according to new logics                </v>
      </c>
      <c r="C1718" s="82">
        <f>IFERROR(__xludf.DUMMYFUNCTION("""COMPUTED_VALUE"""),5182.0)</f>
        <v>5182</v>
      </c>
      <c r="D1718" s="76" t="str">
        <f>IFERROR(__xludf.DUMMYFUNCTION("""COMPUTED_VALUE"""),"Marksheet")</f>
        <v>Marksheet</v>
      </c>
      <c r="E1718" s="84">
        <f>IFERROR(__xludf.DUMMYFUNCTION("""COMPUTED_VALUE"""),46167.48541666666)</f>
        <v>46167.48542</v>
      </c>
      <c r="F1718" s="86">
        <f>IFERROR(__xludf.DUMMYFUNCTION("""COMPUTED_VALUE"""),46167.44359290509)</f>
        <v>46167.44359</v>
      </c>
      <c r="G1718" s="86" t="str">
        <f>IFERROR(__xludf.DUMMYFUNCTION("""COMPUTED_VALUE"""),"Done")</f>
        <v>Done</v>
      </c>
      <c r="H1718" s="88">
        <f>IFERROR(__xludf.DUMMYFUNCTION("""COMPUTED_VALUE"""),0.0)</f>
        <v>0</v>
      </c>
      <c r="I1718" s="90" t="str">
        <f>IFERROR(__xludf.DUMMYFUNCTION("""COMPUTED_VALUE"""),"EMP0237 Swarnendu Chakraborty")</f>
        <v>EMP0237 Swarnendu Chakraborty</v>
      </c>
      <c r="J1718" s="91"/>
    </row>
    <row r="1719">
      <c r="B1719" s="76" t="str">
        <f>IFERROR(__xludf.DUMMYFUNCTION("""COMPUTED_VALUE"""),"Solution / Check data in database according to new logics                ")</f>
        <v>Solution / Check data in database according to new logics                </v>
      </c>
      <c r="C1719" s="82">
        <f>IFERROR(__xludf.DUMMYFUNCTION("""COMPUTED_VALUE"""),5183.0)</f>
        <v>5183</v>
      </c>
      <c r="D1719" s="76" t="str">
        <f>IFERROR(__xludf.DUMMYFUNCTION("""COMPUTED_VALUE"""),"	Grade Card (OTHERS)")</f>
        <v>	Grade Card (OTHERS)</v>
      </c>
      <c r="E1719" s="84">
        <f>IFERROR(__xludf.DUMMYFUNCTION("""COMPUTED_VALUE"""),46167.53263888889)</f>
        <v>46167.53264</v>
      </c>
      <c r="F1719" s="86">
        <f>IFERROR(__xludf.DUMMYFUNCTION("""COMPUTED_VALUE"""),46164.75604501158)</f>
        <v>46164.75605</v>
      </c>
      <c r="G1719" s="86" t="str">
        <f>IFERROR(__xludf.DUMMYFUNCTION("""COMPUTED_VALUE"""),"Done")</f>
        <v>Done</v>
      </c>
      <c r="H1719" s="88">
        <f>IFERROR(__xludf.DUMMYFUNCTION("""COMPUTED_VALUE"""),0.0)</f>
        <v>0</v>
      </c>
      <c r="I1719" s="90" t="str">
        <f>IFERROR(__xludf.DUMMYFUNCTION("""COMPUTED_VALUE"""),"EMP0042 HULESHWAR KUMAR SAHU")</f>
        <v>EMP0042 HULESHWAR KUMAR SAHU</v>
      </c>
      <c r="J1719" s="91"/>
    </row>
    <row r="1720">
      <c r="B1720" s="76" t="str">
        <f>IFERROR(__xludf.DUMMYFUNCTION("""COMPUTED_VALUE"""),"Solution / Check data in database according to new logics                ")</f>
        <v>Solution / Check data in database according to new logics                </v>
      </c>
      <c r="C1720" s="82">
        <f>IFERROR(__xludf.DUMMYFUNCTION("""COMPUTED_VALUE"""),5184.0)</f>
        <v>5184</v>
      </c>
      <c r="D1720" s="76" t="str">
        <f>IFERROR(__xludf.DUMMYFUNCTION("""COMPUTED_VALUE"""),"Lable")</f>
        <v>Lable</v>
      </c>
      <c r="E1720" s="84">
        <f>IFERROR(__xludf.DUMMYFUNCTION("""COMPUTED_VALUE"""),46167.55902777778)</f>
        <v>46167.55903</v>
      </c>
      <c r="F1720" s="86">
        <f>IFERROR(__xludf.DUMMYFUNCTION("""COMPUTED_VALUE"""),46165.4616687963)</f>
        <v>46165.46167</v>
      </c>
      <c r="G1720" s="86" t="str">
        <f>IFERROR(__xludf.DUMMYFUNCTION("""COMPUTED_VALUE"""),"Done")</f>
        <v>Done</v>
      </c>
      <c r="H1720" s="88">
        <f>IFERROR(__xludf.DUMMYFUNCTION("""COMPUTED_VALUE"""),0.0)</f>
        <v>0</v>
      </c>
      <c r="I1720" s="90" t="str">
        <f>IFERROR(__xludf.DUMMYFUNCTION("""COMPUTED_VALUE"""),"EMP5009 Rup Kumar Mandal")</f>
        <v>EMP5009 Rup Kumar Mandal</v>
      </c>
      <c r="J1720" s="91"/>
    </row>
    <row r="1721">
      <c r="B1721" s="76" t="str">
        <f>IFERROR(__xludf.DUMMYFUNCTION("""COMPUTED_VALUE"""),"Solution / Check data in database according to new logics                ")</f>
        <v>Solution / Check data in database according to new logics                </v>
      </c>
      <c r="C1721" s="82">
        <f>IFERROR(__xludf.DUMMYFUNCTION("""COMPUTED_VALUE"""),5185.0)</f>
        <v>5185</v>
      </c>
      <c r="D1721" s="76" t="str">
        <f>IFERROR(__xludf.DUMMYFUNCTION("""COMPUTED_VALUE"""),"Mark sheet")</f>
        <v>Mark sheet</v>
      </c>
      <c r="E1721" s="84">
        <f>IFERROR(__xludf.DUMMYFUNCTION("""COMPUTED_VALUE"""),46167.56041666667)</f>
        <v>46167.56042</v>
      </c>
      <c r="F1721" s="86">
        <f>IFERROR(__xludf.DUMMYFUNCTION("""COMPUTED_VALUE"""),46165.46168548611)</f>
        <v>46165.46169</v>
      </c>
      <c r="G1721" s="86" t="str">
        <f>IFERROR(__xludf.DUMMYFUNCTION("""COMPUTED_VALUE"""),"Done")</f>
        <v>Done</v>
      </c>
      <c r="H1721" s="88">
        <f>IFERROR(__xludf.DUMMYFUNCTION("""COMPUTED_VALUE"""),0.0)</f>
        <v>0</v>
      </c>
      <c r="I1721" s="90" t="str">
        <f>IFERROR(__xludf.DUMMYFUNCTION("""COMPUTED_VALUE"""),"EMP5009 Rup Kumar Mandal")</f>
        <v>EMP5009 Rup Kumar Mandal</v>
      </c>
      <c r="J1721" s="91"/>
    </row>
    <row r="1722">
      <c r="B1722" s="76" t="str">
        <f>IFERROR(__xludf.DUMMYFUNCTION("""COMPUTED_VALUE"""),"Solution / Check data in database according to new logics                ")</f>
        <v>Solution / Check data in database according to new logics                </v>
      </c>
      <c r="C1722" s="82">
        <f>IFERROR(__xludf.DUMMYFUNCTION("""COMPUTED_VALUE"""),5186.0)</f>
        <v>5186</v>
      </c>
      <c r="D1722" s="76" t="str">
        <f>IFERROR(__xludf.DUMMYFUNCTION("""COMPUTED_VALUE"""),"LABEL ")</f>
        <v>LABEL </v>
      </c>
      <c r="E1722" s="84">
        <f>IFERROR(__xludf.DUMMYFUNCTION("""COMPUTED_VALUE"""),46167.56111111111)</f>
        <v>46167.56111</v>
      </c>
      <c r="F1722" s="86">
        <f>IFERROR(__xludf.DUMMYFUNCTION("""COMPUTED_VALUE"""),46165.49507925926)</f>
        <v>46165.49508</v>
      </c>
      <c r="G1722" s="86" t="str">
        <f>IFERROR(__xludf.DUMMYFUNCTION("""COMPUTED_VALUE"""),"Done")</f>
        <v>Done</v>
      </c>
      <c r="H1722" s="88">
        <f>IFERROR(__xludf.DUMMYFUNCTION("""COMPUTED_VALUE"""),0.0)</f>
        <v>0</v>
      </c>
      <c r="I1722" s="90" t="str">
        <f>IFERROR(__xludf.DUMMYFUNCTION("""COMPUTED_VALUE"""),"EMP5009 Rup Kumar Mandal")</f>
        <v>EMP5009 Rup Kumar Mandal</v>
      </c>
      <c r="J1722" s="91"/>
    </row>
    <row r="1723">
      <c r="B1723" s="76" t="str">
        <f>IFERROR(__xludf.DUMMYFUNCTION("""COMPUTED_VALUE"""),"Solution / Check data in database according to new logics                ")</f>
        <v>Solution / Check data in database according to new logics                </v>
      </c>
      <c r="C1723" s="82">
        <f>IFERROR(__xludf.DUMMYFUNCTION("""COMPUTED_VALUE"""),5187.0)</f>
        <v>5187</v>
      </c>
      <c r="D1723" s="76" t="str">
        <f>IFERROR(__xludf.DUMMYFUNCTION("""COMPUTED_VALUE"""),"Attendance Register (DR-AR)")</f>
        <v>Attendance Register (DR-AR)</v>
      </c>
      <c r="E1723" s="84">
        <f>IFERROR(__xludf.DUMMYFUNCTION("""COMPUTED_VALUE"""),46167.53055555555)</f>
        <v>46167.53056</v>
      </c>
      <c r="F1723" s="86">
        <f>IFERROR(__xludf.DUMMYFUNCTION("""COMPUTED_VALUE"""),46165.49508642361)</f>
        <v>46165.49509</v>
      </c>
      <c r="G1723" s="86" t="str">
        <f>IFERROR(__xludf.DUMMYFUNCTION("""COMPUTED_VALUE"""),"Done")</f>
        <v>Done</v>
      </c>
      <c r="H1723" s="88">
        <f>IFERROR(__xludf.DUMMYFUNCTION("""COMPUTED_VALUE"""),0.0)</f>
        <v>0</v>
      </c>
      <c r="I1723" s="90" t="str">
        <f>IFERROR(__xludf.DUMMYFUNCTION("""COMPUTED_VALUE"""),"EMP5009 Rup Kumar Mandal")</f>
        <v>EMP5009 Rup Kumar Mandal</v>
      </c>
      <c r="J1723" s="91"/>
    </row>
    <row r="1724">
      <c r="B1724" s="76" t="str">
        <f>IFERROR(__xludf.DUMMYFUNCTION("""COMPUTED_VALUE"""),"Solution / Check data in database according to new logics                ")</f>
        <v>Solution / Check data in database according to new logics                </v>
      </c>
      <c r="C1724" s="82">
        <f>IFERROR(__xludf.DUMMYFUNCTION("""COMPUTED_VALUE"""),5188.0)</f>
        <v>5188</v>
      </c>
      <c r="D1724" s="76" t="str">
        <f>IFERROR(__xludf.DUMMYFUNCTION("""COMPUTED_VALUE"""),"Attendance Register (DR-AR)")</f>
        <v>Attendance Register (DR-AR)</v>
      </c>
      <c r="E1724" s="84">
        <f>IFERROR(__xludf.DUMMYFUNCTION("""COMPUTED_VALUE"""),46167.53263888889)</f>
        <v>46167.53264</v>
      </c>
      <c r="F1724" s="86">
        <f>IFERROR(__xludf.DUMMYFUNCTION("""COMPUTED_VALUE"""),46165.46170341436)</f>
        <v>46165.4617</v>
      </c>
      <c r="G1724" s="86" t="str">
        <f>IFERROR(__xludf.DUMMYFUNCTION("""COMPUTED_VALUE"""),"Done")</f>
        <v>Done</v>
      </c>
      <c r="H1724" s="88">
        <f>IFERROR(__xludf.DUMMYFUNCTION("""COMPUTED_VALUE"""),0.0)</f>
        <v>0</v>
      </c>
      <c r="I1724" s="90" t="str">
        <f>IFERROR(__xludf.DUMMYFUNCTION("""COMPUTED_VALUE"""),"EMP5009 Rup Kumar Mandal")</f>
        <v>EMP5009 Rup Kumar Mandal</v>
      </c>
      <c r="J1724" s="91"/>
    </row>
    <row r="1725">
      <c r="B1725" s="76" t="str">
        <f>IFERROR(__xludf.DUMMYFUNCTION("""COMPUTED_VALUE"""),"Solution / Check data in database according to new logics                ")</f>
        <v>Solution / Check data in database according to new logics                </v>
      </c>
      <c r="C1725" s="82">
        <f>IFERROR(__xludf.DUMMYFUNCTION("""COMPUTED_VALUE"""),5189.0)</f>
        <v>5189</v>
      </c>
      <c r="D1725" s="76" t="str">
        <f>IFERROR(__xludf.DUMMYFUNCTION("""COMPUTED_VALUE"""),"ADMIT")</f>
        <v>ADMIT</v>
      </c>
      <c r="E1725" s="84">
        <f>IFERROR(__xludf.DUMMYFUNCTION("""COMPUTED_VALUE"""),46167.53472222222)</f>
        <v>46167.53472</v>
      </c>
      <c r="F1725" s="86">
        <f>IFERROR(__xludf.DUMMYFUNCTION("""COMPUTED_VALUE"""),46165.49510583333)</f>
        <v>46165.49511</v>
      </c>
      <c r="G1725" s="86" t="str">
        <f>IFERROR(__xludf.DUMMYFUNCTION("""COMPUTED_VALUE"""),"Done")</f>
        <v>Done</v>
      </c>
      <c r="H1725" s="88">
        <f>IFERROR(__xludf.DUMMYFUNCTION("""COMPUTED_VALUE"""),0.0)</f>
        <v>0</v>
      </c>
      <c r="I1725" s="90" t="str">
        <f>IFERROR(__xludf.DUMMYFUNCTION("""COMPUTED_VALUE"""),"EMP5009 Rup Kumar Mandal")</f>
        <v>EMP5009 Rup Kumar Mandal</v>
      </c>
      <c r="J1725" s="91"/>
    </row>
    <row r="1726">
      <c r="B1726" s="76" t="str">
        <f>IFERROR(__xludf.DUMMYFUNCTION("""COMPUTED_VALUE"""),"Solution / Check data in database according to new logics                ")</f>
        <v>Solution / Check data in database according to new logics                </v>
      </c>
      <c r="C1726" s="82">
        <f>IFERROR(__xludf.DUMMYFUNCTION("""COMPUTED_VALUE"""),5190.0)</f>
        <v>5190</v>
      </c>
      <c r="D1726" s="76" t="str">
        <f>IFERROR(__xludf.DUMMYFUNCTION("""COMPUTED_VALUE"""),"Top sheet  before attendance sheet")</f>
        <v>Top sheet  before attendance sheet</v>
      </c>
      <c r="E1726" s="84">
        <f>IFERROR(__xludf.DUMMYFUNCTION("""COMPUTED_VALUE"""),46167.54166666667)</f>
        <v>46167.54167</v>
      </c>
      <c r="F1726" s="86">
        <f>IFERROR(__xludf.DUMMYFUNCTION("""COMPUTED_VALUE"""),46165.49511614584)</f>
        <v>46165.49512</v>
      </c>
      <c r="G1726" s="86" t="str">
        <f>IFERROR(__xludf.DUMMYFUNCTION("""COMPUTED_VALUE"""),"Done")</f>
        <v>Done</v>
      </c>
      <c r="H1726" s="88">
        <f>IFERROR(__xludf.DUMMYFUNCTION("""COMPUTED_VALUE"""),0.0)</f>
        <v>0</v>
      </c>
      <c r="I1726" s="90" t="str">
        <f>IFERROR(__xludf.DUMMYFUNCTION("""COMPUTED_VALUE"""),"EMP5009 Rup Kumar Mandal")</f>
        <v>EMP5009 Rup Kumar Mandal</v>
      </c>
      <c r="J1726" s="91"/>
    </row>
    <row r="1727">
      <c r="B1727" s="76" t="str">
        <f>IFERROR(__xludf.DUMMYFUNCTION("""COMPUTED_VALUE"""),"Solution / Check data in database according to new logics                ")</f>
        <v>Solution / Check data in database according to new logics                </v>
      </c>
      <c r="C1727" s="82">
        <f>IFERROR(__xludf.DUMMYFUNCTION("""COMPUTED_VALUE"""),5191.0)</f>
        <v>5191</v>
      </c>
      <c r="D1727" s="76" t="str">
        <f>IFERROR(__xludf.DUMMYFUNCTION("""COMPUTED_VALUE"""),"Top sheet  after attendance sheet")</f>
        <v>Top sheet  after attendance sheet</v>
      </c>
      <c r="E1727" s="84">
        <f>IFERROR(__xludf.DUMMYFUNCTION("""COMPUTED_VALUE"""),46167.54305555555)</f>
        <v>46167.54306</v>
      </c>
      <c r="F1727" s="86">
        <f>IFERROR(__xludf.DUMMYFUNCTION("""COMPUTED_VALUE"""),46165.49512197917)</f>
        <v>46165.49512</v>
      </c>
      <c r="G1727" s="86" t="str">
        <f>IFERROR(__xludf.DUMMYFUNCTION("""COMPUTED_VALUE"""),"Done")</f>
        <v>Done</v>
      </c>
      <c r="H1727" s="88">
        <f>IFERROR(__xludf.DUMMYFUNCTION("""COMPUTED_VALUE"""),0.0)</f>
        <v>0</v>
      </c>
      <c r="I1727" s="90" t="str">
        <f>IFERROR(__xludf.DUMMYFUNCTION("""COMPUTED_VALUE"""),"EMP5009 Rup Kumar Mandal")</f>
        <v>EMP5009 Rup Kumar Mandal</v>
      </c>
      <c r="J1727" s="91"/>
    </row>
    <row r="1728">
      <c r="B1728" s="76" t="str">
        <f>IFERROR(__xludf.DUMMYFUNCTION("""COMPUTED_VALUE"""),"Solution / Check data in database according to new logics                ")</f>
        <v>Solution / Check data in database according to new logics                </v>
      </c>
      <c r="C1728" s="82">
        <f>IFERROR(__xludf.DUMMYFUNCTION("""COMPUTED_VALUE"""),5192.0)</f>
        <v>5192</v>
      </c>
      <c r="D1728" s="76" t="str">
        <f>IFERROR(__xludf.DUMMYFUNCTION("""COMPUTED_VALUE"""),"LABLE")</f>
        <v>LABLE</v>
      </c>
      <c r="E1728" s="84">
        <f>IFERROR(__xludf.DUMMYFUNCTION("""COMPUTED_VALUE"""),46167.544444444444)</f>
        <v>46167.54444</v>
      </c>
      <c r="F1728" s="86">
        <f>IFERROR(__xludf.DUMMYFUNCTION("""COMPUTED_VALUE"""),46165.49518143519)</f>
        <v>46165.49518</v>
      </c>
      <c r="G1728" s="86" t="str">
        <f>IFERROR(__xludf.DUMMYFUNCTION("""COMPUTED_VALUE"""),"Done")</f>
        <v>Done</v>
      </c>
      <c r="H1728" s="88">
        <f>IFERROR(__xludf.DUMMYFUNCTION("""COMPUTED_VALUE"""),0.0)</f>
        <v>0</v>
      </c>
      <c r="I1728" s="90" t="str">
        <f>IFERROR(__xludf.DUMMYFUNCTION("""COMPUTED_VALUE"""),"EMP5009 Rup Kumar Mandal")</f>
        <v>EMP5009 Rup Kumar Mandal</v>
      </c>
      <c r="J1728" s="91"/>
    </row>
    <row r="1729">
      <c r="B1729" s="76" t="str">
        <f>IFERROR(__xludf.DUMMYFUNCTION("""COMPUTED_VALUE"""),"Solution / Check data in database according to new logics                ")</f>
        <v>Solution / Check data in database according to new logics                </v>
      </c>
      <c r="C1729" s="82">
        <f>IFERROR(__xludf.DUMMYFUNCTION("""COMPUTED_VALUE"""),5193.0)</f>
        <v>5193</v>
      </c>
      <c r="D1729" s="76" t="str">
        <f>IFERROR(__xludf.DUMMYFUNCTION("""COMPUTED_VALUE"""),"BBA sem III NEP W-25 Marksheet Correction ")</f>
        <v>BBA sem III NEP W-25 Marksheet Correction </v>
      </c>
      <c r="E1729" s="84">
        <f>IFERROR(__xludf.DUMMYFUNCTION("""COMPUTED_VALUE"""),46167.56875)</f>
        <v>46167.56875</v>
      </c>
      <c r="F1729" s="86">
        <f>IFERROR(__xludf.DUMMYFUNCTION("""COMPUTED_VALUE"""),46164.75552230325)</f>
        <v>46164.75552</v>
      </c>
      <c r="G1729" s="86" t="str">
        <f>IFERROR(__xludf.DUMMYFUNCTION("""COMPUTED_VALUE"""),"Done")</f>
        <v>Done</v>
      </c>
      <c r="H1729" s="88">
        <f>IFERROR(__xludf.DUMMYFUNCTION("""COMPUTED_VALUE"""),0.0)</f>
        <v>0</v>
      </c>
      <c r="I1729" s="90" t="str">
        <f>IFERROR(__xludf.DUMMYFUNCTION("""COMPUTED_VALUE"""),"EMP0042 HULESHWAR KUMAR SAHU")</f>
        <v>EMP0042 HULESHWAR KUMAR SAHU</v>
      </c>
      <c r="J1729" s="91"/>
    </row>
    <row r="1730">
      <c r="B1730" s="76" t="str">
        <f>IFERROR(__xludf.DUMMYFUNCTION("""COMPUTED_VALUE"""),"Solution / Check data in database according to new logics                ")</f>
        <v>Solution / Check data in database according to new logics                </v>
      </c>
      <c r="C1730" s="82">
        <f>IFERROR(__xludf.DUMMYFUNCTION("""COMPUTED_VALUE"""),5194.0)</f>
        <v>5194</v>
      </c>
      <c r="D1730" s="76" t="str">
        <f>IFERROR(__xludf.DUMMYFUNCTION("""COMPUTED_VALUE"""),"College summary")</f>
        <v>College summary</v>
      </c>
      <c r="E1730" s="84">
        <f>IFERROR(__xludf.DUMMYFUNCTION("""COMPUTED_VALUE"""),46167.57708333334)</f>
        <v>46167.57708</v>
      </c>
      <c r="F1730" s="86">
        <f>IFERROR(__xludf.DUMMYFUNCTION("""COMPUTED_VALUE"""),46165.495225486105)</f>
        <v>46165.49523</v>
      </c>
      <c r="G1730" s="86" t="str">
        <f>IFERROR(__xludf.DUMMYFUNCTION("""COMPUTED_VALUE"""),"Done")</f>
        <v>Done</v>
      </c>
      <c r="H1730" s="88">
        <f>IFERROR(__xludf.DUMMYFUNCTION("""COMPUTED_VALUE"""),0.0)</f>
        <v>0</v>
      </c>
      <c r="I1730" s="90" t="str">
        <f>IFERROR(__xludf.DUMMYFUNCTION("""COMPUTED_VALUE"""),"EMP5009 Rup Kumar Mandal")</f>
        <v>EMP5009 Rup Kumar Mandal</v>
      </c>
      <c r="J1730" s="91"/>
    </row>
    <row r="1731">
      <c r="B1731" s="76" t="str">
        <f>IFERROR(__xludf.DUMMYFUNCTION("""COMPUTED_VALUE"""),"Solution / Check data in database according to new logics                ")</f>
        <v>Solution / Check data in database according to new logics                </v>
      </c>
      <c r="C1731" s="82">
        <f>IFERROR(__xludf.DUMMYFUNCTION("""COMPUTED_VALUE"""),5195.0)</f>
        <v>5195</v>
      </c>
      <c r="D1731" s="76" t="str">
        <f>IFERROR(__xludf.DUMMYFUNCTION("""COMPUTED_VALUE"""),"RE-APPEAR")</f>
        <v>RE-APPEAR</v>
      </c>
      <c r="E1731" s="84">
        <f>IFERROR(__xludf.DUMMYFUNCTION("""COMPUTED_VALUE"""),46167.58541666667)</f>
        <v>46167.58542</v>
      </c>
      <c r="F1731" s="86">
        <f>IFERROR(__xludf.DUMMYFUNCTION("""COMPUTED_VALUE"""),46165.49528498843)</f>
        <v>46165.49528</v>
      </c>
      <c r="G1731" s="86" t="str">
        <f>IFERROR(__xludf.DUMMYFUNCTION("""COMPUTED_VALUE"""),"Done")</f>
        <v>Done</v>
      </c>
      <c r="H1731" s="88">
        <f>IFERROR(__xludf.DUMMYFUNCTION("""COMPUTED_VALUE"""),0.0)</f>
        <v>0</v>
      </c>
      <c r="I1731" s="90" t="str">
        <f>IFERROR(__xludf.DUMMYFUNCTION("""COMPUTED_VALUE"""),"EMP5009 Rup Kumar Mandal")</f>
        <v>EMP5009 Rup Kumar Mandal</v>
      </c>
      <c r="J1731" s="91"/>
    </row>
    <row r="1732">
      <c r="B1732" s="76" t="str">
        <f>IFERROR(__xludf.DUMMYFUNCTION("""COMPUTED_VALUE"""),"Solution / Check data in database according to new logics                ")</f>
        <v>Solution / Check data in database according to new logics                </v>
      </c>
      <c r="C1732" s="82">
        <f>IFERROR(__xludf.DUMMYFUNCTION("""COMPUTED_VALUE"""),5196.0)</f>
        <v>5196</v>
      </c>
      <c r="D1732" s="76" t="str">
        <f>IFERROR(__xludf.DUMMYFUNCTION("""COMPUTED_VALUE"""),"GRADE CARD OTHERS")</f>
        <v>GRADE CARD OTHERS</v>
      </c>
      <c r="E1732" s="84">
        <f>IFERROR(__xludf.DUMMYFUNCTION("""COMPUTED_VALUE"""),46167.66527777778)</f>
        <v>46167.66528</v>
      </c>
      <c r="F1732" s="86">
        <f>IFERROR(__xludf.DUMMYFUNCTION("""COMPUTED_VALUE"""),46165.462287395836)</f>
        <v>46165.46229</v>
      </c>
      <c r="G1732" s="86" t="str">
        <f>IFERROR(__xludf.DUMMYFUNCTION("""COMPUTED_VALUE"""),"Done")</f>
        <v>Done</v>
      </c>
      <c r="H1732" s="88">
        <f>IFERROR(__xludf.DUMMYFUNCTION("""COMPUTED_VALUE"""),0.0)</f>
        <v>0</v>
      </c>
      <c r="I1732" s="90" t="str">
        <f>IFERROR(__xludf.DUMMYFUNCTION("""COMPUTED_VALUE"""),"EMP0042 HULESHWAR KUMAR SAHU")</f>
        <v>EMP0042 HULESHWAR KUMAR SAHU</v>
      </c>
      <c r="J1732" s="91"/>
    </row>
    <row r="1733">
      <c r="B1733" s="76" t="str">
        <f>IFERROR(__xludf.DUMMYFUNCTION("""COMPUTED_VALUE"""),"Solution / Check data in database according to new logics                ")</f>
        <v>Solution / Check data in database according to new logics                </v>
      </c>
      <c r="C1733" s="82">
        <f>IFERROR(__xludf.DUMMYFUNCTION("""COMPUTED_VALUE"""),5197.0)</f>
        <v>5197</v>
      </c>
      <c r="D1733" s="76" t="str">
        <f>IFERROR(__xludf.DUMMYFUNCTION("""COMPUTED_VALUE"""),"Multiple Report ")</f>
        <v>Multiple Report </v>
      </c>
      <c r="E1733" s="84">
        <f>IFERROR(__xludf.DUMMYFUNCTION("""COMPUTED_VALUE"""),46168.58194444445)</f>
        <v>46168.58194</v>
      </c>
      <c r="F1733" s="86">
        <f>IFERROR(__xludf.DUMMYFUNCTION("""COMPUTED_VALUE"""),46165.68420146991)</f>
        <v>46165.6842</v>
      </c>
      <c r="G1733" s="86" t="str">
        <f>IFERROR(__xludf.DUMMYFUNCTION("""COMPUTED_VALUE"""),"Done")</f>
        <v>Done</v>
      </c>
      <c r="H1733" s="88">
        <f>IFERROR(__xludf.DUMMYFUNCTION("""COMPUTED_VALUE"""),0.0)</f>
        <v>0</v>
      </c>
      <c r="I1733" s="90" t="str">
        <f>IFERROR(__xludf.DUMMYFUNCTION("""COMPUTED_VALUE"""),"EMP0042 HULESHWAR KUMAR SAHU")</f>
        <v>EMP0042 HULESHWAR KUMAR SAHU</v>
      </c>
      <c r="J1733" s="91"/>
    </row>
    <row r="1734">
      <c r="B1734" s="76" t="str">
        <f>IFERROR(__xludf.DUMMYFUNCTION("""COMPUTED_VALUE"""),"Solution / Check data in database according to new logics                ")</f>
        <v>Solution / Check data in database according to new logics                </v>
      </c>
      <c r="C1734" s="82">
        <f>IFERROR(__xludf.DUMMYFUNCTION("""COMPUTED_VALUE"""),5198.0)</f>
        <v>5198</v>
      </c>
      <c r="D1734" s="76" t="str">
        <f>IFERROR(__xludf.DUMMYFUNCTION("""COMPUTED_VALUE"""),"TR NEP COLLEGE WISE")</f>
        <v>TR NEP COLLEGE WISE</v>
      </c>
      <c r="E1734" s="84">
        <f>IFERROR(__xludf.DUMMYFUNCTION("""COMPUTED_VALUE"""),46168.78472222222)</f>
        <v>46168.78472</v>
      </c>
      <c r="F1734" s="86">
        <f>IFERROR(__xludf.DUMMYFUNCTION("""COMPUTED_VALUE"""),46167.554950694444)</f>
        <v>46167.55495</v>
      </c>
      <c r="G1734" s="86" t="str">
        <f>IFERROR(__xludf.DUMMYFUNCTION("""COMPUTED_VALUE"""),"Done")</f>
        <v>Done</v>
      </c>
      <c r="H1734" s="88">
        <f>IFERROR(__xludf.DUMMYFUNCTION("""COMPUTED_VALUE"""),0.0)</f>
        <v>0</v>
      </c>
      <c r="I1734" s="90" t="str">
        <f>IFERROR(__xludf.DUMMYFUNCTION("""COMPUTED_VALUE"""),"EMP0042 HULESHWAR KUMAR SAHU")</f>
        <v>EMP0042 HULESHWAR KUMAR SAHU</v>
      </c>
      <c r="J1734" s="91"/>
    </row>
    <row r="1735">
      <c r="B1735" s="76" t="str">
        <f>IFERROR(__xludf.DUMMYFUNCTION("""COMPUTED_VALUE"""),"Solution / Check data in database according to new logics                ")</f>
        <v>Solution / Check data in database according to new logics                </v>
      </c>
      <c r="C1735" s="82">
        <f>IFERROR(__xludf.DUMMYFUNCTION("""COMPUTED_VALUE"""),5199.0)</f>
        <v>5199</v>
      </c>
      <c r="D1735" s="76" t="str">
        <f>IFERROR(__xludf.DUMMYFUNCTION("""COMPUTED_VALUE"""),"Transcript PG")</f>
        <v>Transcript PG</v>
      </c>
      <c r="E1735" s="84">
        <f>IFERROR(__xludf.DUMMYFUNCTION("""COMPUTED_VALUE"""),46169.56597222222)</f>
        <v>46169.56597</v>
      </c>
      <c r="F1735" s="86">
        <f>IFERROR(__xludf.DUMMYFUNCTION("""COMPUTED_VALUE"""),46169.510197361116)</f>
        <v>46169.5102</v>
      </c>
      <c r="G1735" s="86" t="str">
        <f>IFERROR(__xludf.DUMMYFUNCTION("""COMPUTED_VALUE"""),"Done")</f>
        <v>Done</v>
      </c>
      <c r="H1735" s="88">
        <f>IFERROR(__xludf.DUMMYFUNCTION("""COMPUTED_VALUE"""),0.0)</f>
        <v>0</v>
      </c>
      <c r="I1735" s="90" t="str">
        <f>IFERROR(__xludf.DUMMYFUNCTION("""COMPUTED_VALUE"""),"EMP0042 HULESHWAR KUMAR SAHU")</f>
        <v>EMP0042 HULESHWAR KUMAR SAHU</v>
      </c>
      <c r="J1735" s="91"/>
    </row>
    <row r="1736">
      <c r="B1736" s="76" t="str">
        <f>IFERROR(__xludf.DUMMYFUNCTION("""COMPUTED_VALUE"""),"Solution / Check data in database according to new logics                ")</f>
        <v>Solution / Check data in database according to new logics                </v>
      </c>
      <c r="C1736" s="82">
        <f>IFERROR(__xludf.DUMMYFUNCTION("""COMPUTED_VALUE"""),5200.0)</f>
        <v>5200</v>
      </c>
      <c r="D1736" s="76" t="str">
        <f>IFERROR(__xludf.DUMMYFUNCTION("""COMPUTED_VALUE"""),"P.G 4sem Attandance &amp; roll sheet correction Examination -2024 to Examination -2026")</f>
        <v>P.G 4sem Attandance &amp; roll sheet correction Examination -2024 to Examination -2026</v>
      </c>
      <c r="E1736" s="84">
        <f>IFERROR(__xludf.DUMMYFUNCTION("""COMPUTED_VALUE"""),46169.575)</f>
        <v>46169.575</v>
      </c>
      <c r="F1736" s="86">
        <f>IFERROR(__xludf.DUMMYFUNCTION("""COMPUTED_VALUE"""),46168.44572545139)</f>
        <v>46168.44573</v>
      </c>
      <c r="G1736" s="86" t="str">
        <f>IFERROR(__xludf.DUMMYFUNCTION("""COMPUTED_VALUE"""),"Done")</f>
        <v>Done</v>
      </c>
      <c r="H1736" s="88">
        <f>IFERROR(__xludf.DUMMYFUNCTION("""COMPUTED_VALUE"""),0.0)</f>
        <v>0</v>
      </c>
      <c r="I1736" s="90" t="str">
        <f>IFERROR(__xludf.DUMMYFUNCTION("""COMPUTED_VALUE"""),"EMP5009 Rup Kumar Mandal")</f>
        <v>EMP5009 Rup Kumar Mandal</v>
      </c>
      <c r="J1736" s="91"/>
    </row>
    <row r="1737">
      <c r="B1737" s="76" t="str">
        <f>IFERROR(__xludf.DUMMYFUNCTION("""COMPUTED_VALUE"""),"Solution / Check data in database according to new logics                ")</f>
        <v>Solution / Check data in database according to new logics                </v>
      </c>
      <c r="C1737" s="82">
        <f>IFERROR(__xludf.DUMMYFUNCTION("""COMPUTED_VALUE"""),5201.0)</f>
        <v>5201</v>
      </c>
      <c r="D1737" s="76" t="str">
        <f>IFERROR(__xludf.DUMMYFUNCTION("""COMPUTED_VALUE"""),"grade card")</f>
        <v>grade card</v>
      </c>
      <c r="E1737" s="84">
        <f>IFERROR(__xludf.DUMMYFUNCTION("""COMPUTED_VALUE"""),46169.58541666667)</f>
        <v>46169.58542</v>
      </c>
      <c r="F1737" s="86">
        <f>IFERROR(__xludf.DUMMYFUNCTION("""COMPUTED_VALUE"""),46168.44572545139)</f>
        <v>46168.44573</v>
      </c>
      <c r="G1737" s="86" t="str">
        <f>IFERROR(__xludf.DUMMYFUNCTION("""COMPUTED_VALUE"""),"Done")</f>
        <v>Done</v>
      </c>
      <c r="H1737" s="88">
        <f>IFERROR(__xludf.DUMMYFUNCTION("""COMPUTED_VALUE"""),0.0)</f>
        <v>0</v>
      </c>
      <c r="I1737" s="90" t="str">
        <f>IFERROR(__xludf.DUMMYFUNCTION("""COMPUTED_VALUE"""),"EMP5009 Rup Kumar Mandal")</f>
        <v>EMP5009 Rup Kumar Mandal</v>
      </c>
      <c r="J1737" s="91"/>
    </row>
    <row r="1738">
      <c r="B1738" s="76" t="str">
        <f>IFERROR(__xludf.DUMMYFUNCTION("""COMPUTED_VALUE"""),"Solution / Check data in database according to new logics                ")</f>
        <v>Solution / Check data in database according to new logics                </v>
      </c>
      <c r="C1738" s="82">
        <f>IFERROR(__xludf.DUMMYFUNCTION("""COMPUTED_VALUE"""),5202.0)</f>
        <v>5202</v>
      </c>
      <c r="D1738" s="76" t="str">
        <f>IFERROR(__xludf.DUMMYFUNCTION("""COMPUTED_VALUE"""),"grade card")</f>
        <v>grade card</v>
      </c>
      <c r="E1738" s="84">
        <f>IFERROR(__xludf.DUMMYFUNCTION("""COMPUTED_VALUE"""),46169.5875)</f>
        <v>46169.5875</v>
      </c>
      <c r="F1738" s="86">
        <f>IFERROR(__xludf.DUMMYFUNCTION("""COMPUTED_VALUE"""),46168.44573202546)</f>
        <v>46168.44573</v>
      </c>
      <c r="G1738" s="86" t="str">
        <f>IFERROR(__xludf.DUMMYFUNCTION("""COMPUTED_VALUE"""),"Done")</f>
        <v>Done</v>
      </c>
      <c r="H1738" s="88">
        <f>IFERROR(__xludf.DUMMYFUNCTION("""COMPUTED_VALUE"""),0.0)</f>
        <v>0</v>
      </c>
      <c r="I1738" s="90" t="str">
        <f>IFERROR(__xludf.DUMMYFUNCTION("""COMPUTED_VALUE"""),"EMP5009 Rup Kumar Mandal")</f>
        <v>EMP5009 Rup Kumar Mandal</v>
      </c>
      <c r="J1738" s="91"/>
    </row>
    <row r="1739">
      <c r="B1739" s="76" t="str">
        <f>IFERROR(__xludf.DUMMYFUNCTION("""COMPUTED_VALUE"""),"Solution / Check data in database according to new logics                ")</f>
        <v>Solution / Check data in database according to new logics                </v>
      </c>
      <c r="C1739" s="82">
        <f>IFERROR(__xludf.DUMMYFUNCTION("""COMPUTED_VALUE"""),5203.0)</f>
        <v>5203</v>
      </c>
      <c r="D1739" s="76" t="str">
        <f>IFERROR(__xludf.DUMMYFUNCTION("""COMPUTED_VALUE"""),"Admit Card (PG Section)")</f>
        <v>Admit Card (PG Section)</v>
      </c>
      <c r="E1739" s="84">
        <f>IFERROR(__xludf.DUMMYFUNCTION("""COMPUTED_VALUE"""),46169.59722222222)</f>
        <v>46169.59722</v>
      </c>
      <c r="F1739" s="86">
        <f>IFERROR(__xludf.DUMMYFUNCTION("""COMPUTED_VALUE"""),46168.44573202546)</f>
        <v>46168.44573</v>
      </c>
      <c r="G1739" s="86" t="str">
        <f>IFERROR(__xludf.DUMMYFUNCTION("""COMPUTED_VALUE"""),"Done")</f>
        <v>Done</v>
      </c>
      <c r="H1739" s="88">
        <f>IFERROR(__xludf.DUMMYFUNCTION("""COMPUTED_VALUE"""),0.0)</f>
        <v>0</v>
      </c>
      <c r="I1739" s="90" t="str">
        <f>IFERROR(__xludf.DUMMYFUNCTION("""COMPUTED_VALUE"""),"EMP5009 Rup Kumar Mandal")</f>
        <v>EMP5009 Rup Kumar Mandal</v>
      </c>
      <c r="J1739" s="91"/>
    </row>
    <row r="1740">
      <c r="B1740" s="76" t="str">
        <f>IFERROR(__xludf.DUMMYFUNCTION("""COMPUTED_VALUE"""),"Solution / Check data in database according to new logics                ")</f>
        <v>Solution / Check data in database according to new logics                </v>
      </c>
      <c r="C1740" s="82">
        <f>IFERROR(__xludf.DUMMYFUNCTION("""COMPUTED_VALUE"""),5204.0)</f>
        <v>5204</v>
      </c>
      <c r="D1740" s="76" t="str">
        <f>IFERROR(__xludf.DUMMYFUNCTION("""COMPUTED_VALUE"""),"5231")</f>
        <v>5231</v>
      </c>
      <c r="E1740" s="84">
        <f>IFERROR(__xludf.DUMMYFUNCTION("""COMPUTED_VALUE"""),46169.64166666666)</f>
        <v>46169.64167</v>
      </c>
      <c r="F1740" s="86">
        <f>IFERROR(__xludf.DUMMYFUNCTION("""COMPUTED_VALUE"""),46168.445841932866)</f>
        <v>46168.44584</v>
      </c>
      <c r="G1740" s="86" t="str">
        <f>IFERROR(__xludf.DUMMYFUNCTION("""COMPUTED_VALUE"""),"Done")</f>
        <v>Done</v>
      </c>
      <c r="H1740" s="88">
        <f>IFERROR(__xludf.DUMMYFUNCTION("""COMPUTED_VALUE"""),0.0)</f>
        <v>0</v>
      </c>
      <c r="I1740" s="90" t="str">
        <f>IFERROR(__xludf.DUMMYFUNCTION("""COMPUTED_VALUE"""),"EMP5009 Rup Kumar Mandal")</f>
        <v>EMP5009 Rup Kumar Mandal</v>
      </c>
      <c r="J1740" s="91"/>
    </row>
    <row r="1741">
      <c r="B1741" s="76" t="str">
        <f>IFERROR(__xludf.DUMMYFUNCTION("""COMPUTED_VALUE"""),"Solution / Check data in database according to new logics                ")</f>
        <v>Solution / Check data in database according to new logics                </v>
      </c>
      <c r="C1741" s="82">
        <f>IFERROR(__xludf.DUMMYFUNCTION("""COMPUTED_VALUE"""),5205.0)</f>
        <v>5205</v>
      </c>
      <c r="D1741" s="76" t="str">
        <f>IFERROR(__xludf.DUMMYFUNCTION("""COMPUTED_VALUE"""),"5190")</f>
        <v>5190</v>
      </c>
      <c r="E1741" s="84">
        <f>IFERROR(__xludf.DUMMYFUNCTION("""COMPUTED_VALUE"""),46169.64236111111)</f>
        <v>46169.64236</v>
      </c>
      <c r="F1741" s="86">
        <f>IFERROR(__xludf.DUMMYFUNCTION("""COMPUTED_VALUE"""),46168.445841932866)</f>
        <v>46168.44584</v>
      </c>
      <c r="G1741" s="86" t="str">
        <f>IFERROR(__xludf.DUMMYFUNCTION("""COMPUTED_VALUE"""),"Done")</f>
        <v>Done</v>
      </c>
      <c r="H1741" s="88">
        <f>IFERROR(__xludf.DUMMYFUNCTION("""COMPUTED_VALUE"""),0.0)</f>
        <v>0</v>
      </c>
      <c r="I1741" s="90" t="str">
        <f>IFERROR(__xludf.DUMMYFUNCTION("""COMPUTED_VALUE"""),"EMP5009 Rup Kumar Mandal")</f>
        <v>EMP5009 Rup Kumar Mandal</v>
      </c>
      <c r="J1741" s="91"/>
    </row>
    <row r="1742">
      <c r="B1742" s="76" t="str">
        <f>IFERROR(__xludf.DUMMYFUNCTION("""COMPUTED_VALUE"""),"Solution / Check data in database according to new logics                ")</f>
        <v>Solution / Check data in database according to new logics                </v>
      </c>
      <c r="C1742" s="82">
        <f>IFERROR(__xludf.DUMMYFUNCTION("""COMPUTED_VALUE"""),5206.0)</f>
        <v>5206</v>
      </c>
      <c r="D1742" s="76" t="str">
        <f>IFERROR(__xludf.DUMMYFUNCTION("""COMPUTED_VALUE"""),"5189")</f>
        <v>5189</v>
      </c>
      <c r="E1742" s="84">
        <f>IFERROR(__xludf.DUMMYFUNCTION("""COMPUTED_VALUE"""),46169.64375)</f>
        <v>46169.64375</v>
      </c>
      <c r="F1742" s="86">
        <f>IFERROR(__xludf.DUMMYFUNCTION("""COMPUTED_VALUE"""),46168.44584655092)</f>
        <v>46168.44585</v>
      </c>
      <c r="G1742" s="86" t="str">
        <f>IFERROR(__xludf.DUMMYFUNCTION("""COMPUTED_VALUE"""),"Done")</f>
        <v>Done</v>
      </c>
      <c r="H1742" s="88">
        <f>IFERROR(__xludf.DUMMYFUNCTION("""COMPUTED_VALUE"""),0.0)</f>
        <v>0</v>
      </c>
      <c r="I1742" s="90" t="str">
        <f>IFERROR(__xludf.DUMMYFUNCTION("""COMPUTED_VALUE"""),"EMP5009 Rup Kumar Mandal")</f>
        <v>EMP5009 Rup Kumar Mandal</v>
      </c>
      <c r="J1742" s="91"/>
    </row>
    <row r="1743">
      <c r="B1743" s="76" t="str">
        <f>IFERROR(__xludf.DUMMYFUNCTION("""COMPUTED_VALUE"""),"Solution / Check data in database according to new logics                ")</f>
        <v>Solution / Check data in database according to new logics                </v>
      </c>
      <c r="C1743" s="82">
        <f>IFERROR(__xludf.DUMMYFUNCTION("""COMPUTED_VALUE"""),5207.0)</f>
        <v>5207</v>
      </c>
      <c r="D1743" s="76" t="str">
        <f>IFERROR(__xludf.DUMMYFUNCTION("""COMPUTED_VALUE"""),"Roll List (PG Section)")</f>
        <v>Roll List (PG Section)</v>
      </c>
      <c r="E1743" s="84">
        <f>IFERROR(__xludf.DUMMYFUNCTION("""COMPUTED_VALUE"""),46170.540972222225)</f>
        <v>46170.54097</v>
      </c>
      <c r="F1743" s="86">
        <f>IFERROR(__xludf.DUMMYFUNCTION("""COMPUTED_VALUE"""),46168.77991702546)</f>
        <v>46168.77992</v>
      </c>
      <c r="G1743" s="86" t="str">
        <f>IFERROR(__xludf.DUMMYFUNCTION("""COMPUTED_VALUE"""),"Done")</f>
        <v>Done</v>
      </c>
      <c r="H1743" s="88">
        <f>IFERROR(__xludf.DUMMYFUNCTION("""COMPUTED_VALUE"""),0.0)</f>
        <v>0</v>
      </c>
      <c r="I1743" s="90" t="str">
        <f>IFERROR(__xludf.DUMMYFUNCTION("""COMPUTED_VALUE"""),"EMP5009 Rup Kumar Mandal")</f>
        <v>EMP5009 Rup Kumar Mandal</v>
      </c>
      <c r="J1743" s="91"/>
    </row>
    <row r="1744">
      <c r="B1744" s="76" t="str">
        <f>IFERROR(__xludf.DUMMYFUNCTION("""COMPUTED_VALUE"""),"Solution / Check data in database according to new logics                ")</f>
        <v>Solution / Check data in database according to new logics                </v>
      </c>
      <c r="C1744" s="82">
        <f>IFERROR(__xludf.DUMMYFUNCTION("""COMPUTED_VALUE"""),5208.0)</f>
        <v>5208</v>
      </c>
      <c r="D1744" s="76" t="str">
        <f>IFERROR(__xludf.DUMMYFUNCTION("""COMPUTED_VALUE"""),"admit cad corretion")</f>
        <v>admit cad corretion</v>
      </c>
      <c r="E1744" s="84">
        <f>IFERROR(__xludf.DUMMYFUNCTION("""COMPUTED_VALUE"""),46170.7875)</f>
        <v>46170.7875</v>
      </c>
      <c r="F1744" s="86">
        <f>IFERROR(__xludf.DUMMYFUNCTION("""COMPUTED_VALUE"""),46169.79532038194)</f>
        <v>46169.79532</v>
      </c>
      <c r="G1744" s="86" t="str">
        <f>IFERROR(__xludf.DUMMYFUNCTION("""COMPUTED_VALUE"""),"Done")</f>
        <v>Done</v>
      </c>
      <c r="H1744" s="88">
        <f>IFERROR(__xludf.DUMMYFUNCTION("""COMPUTED_VALUE"""),0.0)</f>
        <v>0</v>
      </c>
      <c r="I1744" s="90" t="str">
        <f>IFERROR(__xludf.DUMMYFUNCTION("""COMPUTED_VALUE"""),"EMP0042 HULESHWAR KUMAR SAHU")</f>
        <v>EMP0042 HULESHWAR KUMAR SAHU</v>
      </c>
      <c r="J1744" s="91"/>
    </row>
    <row r="1745">
      <c r="B1745" s="76" t="str">
        <f>IFERROR(__xludf.DUMMYFUNCTION("""COMPUTED_VALUE"""),"Solution / Check data in database according to new logics                ")</f>
        <v>Solution / Check data in database according to new logics                </v>
      </c>
      <c r="C1745" s="82">
        <f>IFERROR(__xludf.DUMMYFUNCTION("""COMPUTED_VALUE"""),5209.0)</f>
        <v>5209</v>
      </c>
      <c r="D1745" s="76" t="str">
        <f>IFERROR(__xludf.DUMMYFUNCTION("""COMPUTED_VALUE"""),"attendance sheet")</f>
        <v>attendance sheet</v>
      </c>
      <c r="E1745" s="84">
        <f>IFERROR(__xludf.DUMMYFUNCTION("""COMPUTED_VALUE"""),46171.53402777778)</f>
        <v>46171.53403</v>
      </c>
      <c r="F1745" s="86">
        <f>IFERROR(__xludf.DUMMYFUNCTION("""COMPUTED_VALUE"""),46170.57608835649)</f>
        <v>46170.57609</v>
      </c>
      <c r="G1745" s="86" t="str">
        <f>IFERROR(__xludf.DUMMYFUNCTION("""COMPUTED_VALUE"""),"Done")</f>
        <v>Done</v>
      </c>
      <c r="H1745" s="88">
        <f>IFERROR(__xludf.DUMMYFUNCTION("""COMPUTED_VALUE"""),0.0)</f>
        <v>0</v>
      </c>
      <c r="I1745" s="90" t="str">
        <f>IFERROR(__xludf.DUMMYFUNCTION("""COMPUTED_VALUE"""),"EMP5009 Rup Kumar Mandal")</f>
        <v>EMP5009 Rup Kumar Mandal</v>
      </c>
      <c r="J1745" s="91"/>
    </row>
    <row r="1746">
      <c r="B1746" s="76" t="str">
        <f>IFERROR(__xludf.DUMMYFUNCTION("""COMPUTED_VALUE"""),"Solution / Check data in database according to new logics                ")</f>
        <v>Solution / Check data in database according to new logics                </v>
      </c>
      <c r="C1746" s="82">
        <f>IFERROR(__xludf.DUMMYFUNCTION("""COMPUTED_VALUE"""),5210.0)</f>
        <v>5210</v>
      </c>
      <c r="D1746" s="76" t="str">
        <f>IFERROR(__xludf.DUMMYFUNCTION("""COMPUTED_VALUE"""),"packet wise marks entry report")</f>
        <v>packet wise marks entry report</v>
      </c>
      <c r="E1746" s="84">
        <f>IFERROR(__xludf.DUMMYFUNCTION("""COMPUTED_VALUE"""),46171.59027777778)</f>
        <v>46171.59028</v>
      </c>
      <c r="F1746" s="86">
        <f>IFERROR(__xludf.DUMMYFUNCTION("""COMPUTED_VALUE"""),46169.76104700232)</f>
        <v>46169.76105</v>
      </c>
      <c r="G1746" s="86" t="str">
        <f>IFERROR(__xludf.DUMMYFUNCTION("""COMPUTED_VALUE"""),"Done")</f>
        <v>Done</v>
      </c>
      <c r="H1746" s="88">
        <f>IFERROR(__xludf.DUMMYFUNCTION("""COMPUTED_VALUE"""),0.0)</f>
        <v>0</v>
      </c>
      <c r="I1746" s="90" t="str">
        <f>IFERROR(__xludf.DUMMYFUNCTION("""COMPUTED_VALUE"""),"EMP0021 Tamanna Dewangan")</f>
        <v>EMP0021 Tamanna Dewangan</v>
      </c>
      <c r="J1746" s="91"/>
    </row>
    <row r="1747">
      <c r="B1747" s="76" t="str">
        <f>IFERROR(__xludf.DUMMYFUNCTION("""COMPUTED_VALUE"""),"Solution / Check data in database according to new logics                ")</f>
        <v>Solution / Check data in database according to new logics                </v>
      </c>
      <c r="C1747" s="82">
        <f>IFERROR(__xludf.DUMMYFUNCTION("""COMPUTED_VALUE"""),5211.0)</f>
        <v>5211</v>
      </c>
      <c r="D1747" s="76" t="str">
        <f>IFERROR(__xludf.DUMMYFUNCTION("""COMPUTED_VALUE"""),"TR")</f>
        <v>TR</v>
      </c>
      <c r="E1747" s="84">
        <f>IFERROR(__xludf.DUMMYFUNCTION("""COMPUTED_VALUE"""),46171.59166666667)</f>
        <v>46171.59167</v>
      </c>
      <c r="F1747" s="86">
        <f>IFERROR(__xludf.DUMMYFUNCTION("""COMPUTED_VALUE"""),46169.79521962963)</f>
        <v>46169.79522</v>
      </c>
      <c r="G1747" s="86" t="str">
        <f>IFERROR(__xludf.DUMMYFUNCTION("""COMPUTED_VALUE"""),"Done")</f>
        <v>Done</v>
      </c>
      <c r="H1747" s="88">
        <f>IFERROR(__xludf.DUMMYFUNCTION("""COMPUTED_VALUE"""),0.0)</f>
        <v>0</v>
      </c>
      <c r="I1747" s="90" t="str">
        <f>IFERROR(__xludf.DUMMYFUNCTION("""COMPUTED_VALUE"""),"EMP0042 HULESHWAR KUMAR SAHU")</f>
        <v>EMP0042 HULESHWAR KUMAR SAHU</v>
      </c>
      <c r="J1747" s="91"/>
    </row>
    <row r="1748">
      <c r="B1748" s="76" t="str">
        <f>IFERROR(__xludf.DUMMYFUNCTION("""COMPUTED_VALUE"""),"Solution / Check data in database according to new logics                ")</f>
        <v>Solution / Check data in database according to new logics                </v>
      </c>
      <c r="C1748" s="82">
        <f>IFERROR(__xludf.DUMMYFUNCTION("""COMPUTED_VALUE"""),5212.0)</f>
        <v>5212</v>
      </c>
      <c r="D1748" s="76" t="str">
        <f>IFERROR(__xludf.DUMMYFUNCTION("""COMPUTED_VALUE"""),"Examination Report")</f>
        <v>Examination Report</v>
      </c>
      <c r="E1748" s="84">
        <f>IFERROR(__xludf.DUMMYFUNCTION("""COMPUTED_VALUE"""),46171.81388888889)</f>
        <v>46171.81389</v>
      </c>
      <c r="F1748" s="86">
        <f>IFERROR(__xludf.DUMMYFUNCTION("""COMPUTED_VALUE"""),46170.67010292825)</f>
        <v>46170.6701</v>
      </c>
      <c r="G1748" s="86" t="str">
        <f>IFERROR(__xludf.DUMMYFUNCTION("""COMPUTED_VALUE"""),"Done")</f>
        <v>Done</v>
      </c>
      <c r="H1748" s="88">
        <f>IFERROR(__xludf.DUMMYFUNCTION("""COMPUTED_VALUE"""),0.0)</f>
        <v>0</v>
      </c>
      <c r="I1748" s="90" t="str">
        <f>IFERROR(__xludf.DUMMYFUNCTION("""COMPUTED_VALUE"""),"EMP0042 HULESHWAR KUMAR SAHU")</f>
        <v>EMP0042 HULESHWAR KUMAR SAHU</v>
      </c>
      <c r="J1748" s="91"/>
    </row>
    <row r="1749">
      <c r="B1749" s="76" t="str">
        <f>IFERROR(__xludf.DUMMYFUNCTION("""COMPUTED_VALUE"""),"Solution / Check data in database according to new logics                ")</f>
        <v>Solution / Check data in database according to new logics                </v>
      </c>
      <c r="C1749" s="82">
        <f>IFERROR(__xludf.DUMMYFUNCTION("""COMPUTED_VALUE"""),5213.0)</f>
        <v>5213</v>
      </c>
      <c r="D1749" s="76" t="str">
        <f>IFERROR(__xludf.DUMMYFUNCTION("""COMPUTED_VALUE"""),"Attestation Sheet")</f>
        <v>Attestation Sheet</v>
      </c>
      <c r="E1749" s="84">
        <f>IFERROR(__xludf.DUMMYFUNCTION("""COMPUTED_VALUE"""),46172.46041666667)</f>
        <v>46172.46042</v>
      </c>
      <c r="F1749" s="86">
        <f>IFERROR(__xludf.DUMMYFUNCTION("""COMPUTED_VALUE"""),46170.7245165625)</f>
        <v>46170.72452</v>
      </c>
      <c r="G1749" s="86" t="str">
        <f>IFERROR(__xludf.DUMMYFUNCTION("""COMPUTED_VALUE"""),"Done")</f>
        <v>Done</v>
      </c>
      <c r="H1749" s="88">
        <f>IFERROR(__xludf.DUMMYFUNCTION("""COMPUTED_VALUE"""),0.0)</f>
        <v>0</v>
      </c>
      <c r="I1749" s="90" t="str">
        <f>IFERROR(__xludf.DUMMYFUNCTION("""COMPUTED_VALUE"""),"EMP5009 Rup Kumar Mandal")</f>
        <v>EMP5009 Rup Kumar Mandal</v>
      </c>
      <c r="J1749" s="91"/>
    </row>
    <row r="1750">
      <c r="B1750" s="76" t="str">
        <f>IFERROR(__xludf.DUMMYFUNCTION("""COMPUTED_VALUE"""),"Solution / Check data in database according to new logics                ")</f>
        <v>Solution / Check data in database according to new logics                </v>
      </c>
      <c r="C1750" s="82">
        <f>IFERROR(__xludf.DUMMYFUNCTION("""COMPUTED_VALUE"""),5214.0)</f>
        <v>5214</v>
      </c>
      <c r="D1750" s="76" t="str">
        <f>IFERROR(__xludf.DUMMYFUNCTION("""COMPUTED_VALUE"""),"seating plan report")</f>
        <v>seating plan report</v>
      </c>
      <c r="E1750" s="84">
        <f>IFERROR(__xludf.DUMMYFUNCTION("""COMPUTED_VALUE"""),46172.461111111115)</f>
        <v>46172.46111</v>
      </c>
      <c r="F1750" s="86">
        <f>IFERROR(__xludf.DUMMYFUNCTION("""COMPUTED_VALUE"""),46170.724521620374)</f>
        <v>46170.72452</v>
      </c>
      <c r="G1750" s="86" t="str">
        <f>IFERROR(__xludf.DUMMYFUNCTION("""COMPUTED_VALUE"""),"Done")</f>
        <v>Done</v>
      </c>
      <c r="H1750" s="88">
        <f>IFERROR(__xludf.DUMMYFUNCTION("""COMPUTED_VALUE"""),0.0)</f>
        <v>0</v>
      </c>
      <c r="I1750" s="90" t="str">
        <f>IFERROR(__xludf.DUMMYFUNCTION("""COMPUTED_VALUE"""),"EMP5009 Rup Kumar Mandal")</f>
        <v>EMP5009 Rup Kumar Mandal</v>
      </c>
      <c r="J1750" s="91"/>
    </row>
    <row r="1751">
      <c r="B1751" s="76" t="str">
        <f>IFERROR(__xludf.DUMMYFUNCTION("""COMPUTED_VALUE"""),"Solution / Check data in database according to new logics                ")</f>
        <v>Solution / Check data in database according to new logics                </v>
      </c>
      <c r="C1751" s="82">
        <f>IFERROR(__xludf.DUMMYFUNCTION("""COMPUTED_VALUE"""),5215.0)</f>
        <v>5215</v>
      </c>
      <c r="D1751" s="76" t="str">
        <f>IFERROR(__xludf.DUMMYFUNCTION("""COMPUTED_VALUE"""),"admit card")</f>
        <v>admit card</v>
      </c>
      <c r="E1751" s="84">
        <f>IFERROR(__xludf.DUMMYFUNCTION("""COMPUTED_VALUE"""),46172.461805555555)</f>
        <v>46172.46181</v>
      </c>
      <c r="F1751" s="86">
        <f>IFERROR(__xludf.DUMMYFUNCTION("""COMPUTED_VALUE"""),46171.66247686343)</f>
        <v>46171.66248</v>
      </c>
      <c r="G1751" s="86" t="str">
        <f>IFERROR(__xludf.DUMMYFUNCTION("""COMPUTED_VALUE"""),"Done")</f>
        <v>Done</v>
      </c>
      <c r="H1751" s="88">
        <f>IFERROR(__xludf.DUMMYFUNCTION("""COMPUTED_VALUE"""),0.0)</f>
        <v>0</v>
      </c>
      <c r="I1751" s="90" t="str">
        <f>IFERROR(__xludf.DUMMYFUNCTION("""COMPUTED_VALUE"""),"EMP0021 Tamanna Dewangan")</f>
        <v>EMP0021 Tamanna Dewangan</v>
      </c>
      <c r="J1751" s="91"/>
    </row>
    <row r="1752">
      <c r="B1752" s="76" t="str">
        <f>IFERROR(__xludf.DUMMYFUNCTION("""COMPUTED_VALUE"""),"Solution / Check data in database according to new logics                ")</f>
        <v>Solution / Check data in database according to new logics                </v>
      </c>
      <c r="C1752" s="82">
        <f>IFERROR(__xludf.DUMMYFUNCTION("""COMPUTED_VALUE"""),5216.0)</f>
        <v>5216</v>
      </c>
      <c r="D1752" s="76" t="str">
        <f>IFERROR(__xludf.DUMMYFUNCTION("""COMPUTED_VALUE"""),"Table Sticker")</f>
        <v>Table Sticker</v>
      </c>
      <c r="E1752" s="84">
        <f>IFERROR(__xludf.DUMMYFUNCTION("""COMPUTED_VALUE"""),46172.53402777778)</f>
        <v>46172.53403</v>
      </c>
      <c r="F1752" s="86">
        <f>IFERROR(__xludf.DUMMYFUNCTION("""COMPUTED_VALUE"""),46171.66232478009)</f>
        <v>46171.66232</v>
      </c>
      <c r="G1752" s="86" t="str">
        <f>IFERROR(__xludf.DUMMYFUNCTION("""COMPUTED_VALUE"""),"Done")</f>
        <v>Done</v>
      </c>
      <c r="H1752" s="88">
        <f>IFERROR(__xludf.DUMMYFUNCTION("""COMPUTED_VALUE"""),0.0)</f>
        <v>0</v>
      </c>
      <c r="I1752" s="90" t="str">
        <f>IFERROR(__xludf.DUMMYFUNCTION("""COMPUTED_VALUE"""),"EMP0042 HULESHWAR KUMAR SAHU")</f>
        <v>EMP0042 HULESHWAR KUMAR SAHU</v>
      </c>
      <c r="J1752" s="91"/>
    </row>
    <row r="1753">
      <c r="B1753" s="76" t="str">
        <f>IFERROR(__xludf.DUMMYFUNCTION("""COMPUTED_VALUE"""),"Solution / Check data in database according to new logics                ")</f>
        <v>Solution / Check data in database according to new logics                </v>
      </c>
      <c r="C1753" s="82">
        <f>IFERROR(__xludf.DUMMYFUNCTION("""COMPUTED_VALUE"""),5217.0)</f>
        <v>5217</v>
      </c>
      <c r="D1753" s="76" t="str">
        <f>IFERROR(__xludf.DUMMYFUNCTION("""COMPUTED_VALUE"""),"DISPATCH_CHALLAN")</f>
        <v>DISPATCH_CHALLAN</v>
      </c>
      <c r="E1753" s="84">
        <f>IFERROR(__xludf.DUMMYFUNCTION("""COMPUTED_VALUE"""),46172.56597222222)</f>
        <v>46172.56597</v>
      </c>
      <c r="F1753" s="86">
        <f>IFERROR(__xludf.DUMMYFUNCTION("""COMPUTED_VALUE"""),46170.72454613426)</f>
        <v>46170.72455</v>
      </c>
      <c r="G1753" s="86" t="str">
        <f>IFERROR(__xludf.DUMMYFUNCTION("""COMPUTED_VALUE"""),"Done")</f>
        <v>Done</v>
      </c>
      <c r="H1753" s="88">
        <f>IFERROR(__xludf.DUMMYFUNCTION("""COMPUTED_VALUE"""),0.0)</f>
        <v>0</v>
      </c>
      <c r="I1753" s="90" t="str">
        <f>IFERROR(__xludf.DUMMYFUNCTION("""COMPUTED_VALUE"""),"EMP5009 Rup Kumar Mandal")</f>
        <v>EMP5009 Rup Kumar Mandal</v>
      </c>
      <c r="J1753" s="91"/>
    </row>
    <row r="1754">
      <c r="B1754" s="76" t="str">
        <f>IFERROR(__xludf.DUMMYFUNCTION("""COMPUTED_VALUE"""),"Solution / Check data in database according to new logics                ")</f>
        <v>Solution / Check data in database according to new logics                </v>
      </c>
      <c r="C1754" s="82">
        <f>IFERROR(__xludf.DUMMYFUNCTION("""COMPUTED_VALUE"""),5218.0)</f>
        <v>5218</v>
      </c>
      <c r="D1754" s="76" t="str">
        <f>IFERROR(__xludf.DUMMYFUNCTION("""COMPUTED_VALUE"""),"Top sheet after attendance entry")</f>
        <v>Top sheet after attendance entry</v>
      </c>
      <c r="E1754" s="84">
        <f>IFERROR(__xludf.DUMMYFUNCTION("""COMPUTED_VALUE"""),46172.56875)</f>
        <v>46172.56875</v>
      </c>
      <c r="F1754" s="86">
        <f>IFERROR(__xludf.DUMMYFUNCTION("""COMPUTED_VALUE"""),46170.72454982639)</f>
        <v>46170.72455</v>
      </c>
      <c r="G1754" s="86" t="str">
        <f>IFERROR(__xludf.DUMMYFUNCTION("""COMPUTED_VALUE"""),"Done")</f>
        <v>Done</v>
      </c>
      <c r="H1754" s="88">
        <f>IFERROR(__xludf.DUMMYFUNCTION("""COMPUTED_VALUE"""),0.0)</f>
        <v>0</v>
      </c>
      <c r="I1754" s="90" t="str">
        <f>IFERROR(__xludf.DUMMYFUNCTION("""COMPUTED_VALUE"""),"EMP5009 Rup Kumar Mandal")</f>
        <v>EMP5009 Rup Kumar Mandal</v>
      </c>
      <c r="J1754" s="91"/>
    </row>
    <row r="1755">
      <c r="B1755" s="76" t="str">
        <f>IFERROR(__xludf.DUMMYFUNCTION("""COMPUTED_VALUE"""),"Solution / Check data in database according to new logics                ")</f>
        <v>Solution / Check data in database according to new logics                </v>
      </c>
      <c r="C1755" s="82">
        <f>IFERROR(__xludf.DUMMYFUNCTION("""COMPUTED_VALUE"""),5219.0)</f>
        <v>5219</v>
      </c>
      <c r="D1755" s="76" t="str">
        <f>IFERROR(__xludf.DUMMYFUNCTION("""COMPUTED_VALUE"""),"Top sheet before attendance sheet")</f>
        <v>Top sheet before attendance sheet</v>
      </c>
      <c r="E1755" s="84">
        <f>IFERROR(__xludf.DUMMYFUNCTION("""COMPUTED_VALUE"""),46172.57083333333)</f>
        <v>46172.57083</v>
      </c>
      <c r="F1755" s="86">
        <f>IFERROR(__xludf.DUMMYFUNCTION("""COMPUTED_VALUE"""),46170.7245599537)</f>
        <v>46170.72456</v>
      </c>
      <c r="G1755" s="86" t="str">
        <f>IFERROR(__xludf.DUMMYFUNCTION("""COMPUTED_VALUE"""),"Done")</f>
        <v>Done</v>
      </c>
      <c r="H1755" s="88">
        <f>IFERROR(__xludf.DUMMYFUNCTION("""COMPUTED_VALUE"""),0.0)</f>
        <v>0</v>
      </c>
      <c r="I1755" s="90" t="str">
        <f>IFERROR(__xludf.DUMMYFUNCTION("""COMPUTED_VALUE"""),"EMP5009 Rup Kumar Mandal")</f>
        <v>EMP5009 Rup Kumar Mandal</v>
      </c>
      <c r="J1755" s="91"/>
    </row>
    <row r="1756">
      <c r="B1756" s="76" t="str">
        <f>IFERROR(__xludf.DUMMYFUNCTION("""COMPUTED_VALUE"""),"Solution / Check data in database according to new logics                ")</f>
        <v>Solution / Check data in database according to new logics                </v>
      </c>
      <c r="C1756" s="82">
        <f>IFERROR(__xludf.DUMMYFUNCTION("""COMPUTED_VALUE"""),5220.0)</f>
        <v>5220</v>
      </c>
      <c r="D1756" s="76" t="str">
        <f>IFERROR(__xludf.DUMMYFUNCTION("""COMPUTED_VALUE"""),"B.Pharm 4th Semester Examination 2025 (II), Medicinal Chemistry I – Practical ( BP406P ) students marks missing. Session - 2024-25 (S),")</f>
        <v>B.Pharm 4th Semester Examination 2025 (II), Medicinal Chemistry I – Practical ( BP406P ) students marks missing. Session - 2024-25 (S),</v>
      </c>
      <c r="E1756" s="84">
        <f>IFERROR(__xludf.DUMMYFUNCTION("""COMPUTED_VALUE"""),46172.65)</f>
        <v>46172.65</v>
      </c>
      <c r="F1756" s="86">
        <f>IFERROR(__xludf.DUMMYFUNCTION("""COMPUTED_VALUE"""),46172.46927556713)</f>
        <v>46172.46928</v>
      </c>
      <c r="G1756" s="86" t="str">
        <f>IFERROR(__xludf.DUMMYFUNCTION("""COMPUTED_VALUE"""),"Done")</f>
        <v>Done</v>
      </c>
      <c r="H1756" s="88">
        <f>IFERROR(__xludf.DUMMYFUNCTION("""COMPUTED_VALUE"""),0.0)</f>
        <v>0</v>
      </c>
      <c r="I1756" s="90" t="str">
        <f>IFERROR(__xludf.DUMMYFUNCTION("""COMPUTED_VALUE"""),"EMP0021 Tamanna Dewangan")</f>
        <v>EMP0021 Tamanna Dewangan</v>
      </c>
      <c r="J1756" s="91"/>
    </row>
    <row r="1757">
      <c r="B1757" s="76" t="str">
        <f>IFERROR(__xludf.DUMMYFUNCTION("""COMPUTED_VALUE"""),"Solution / Check data in database according to new logics                ")</f>
        <v>Solution / Check data in database according to new logics                </v>
      </c>
      <c r="C1757" s="82">
        <f>IFERROR(__xludf.DUMMYFUNCTION("""COMPUTED_VALUE"""),5221.0)</f>
        <v>5221</v>
      </c>
      <c r="D1757" s="76" t="str">
        <f>IFERROR(__xludf.DUMMYFUNCTION("""COMPUTED_VALUE"""),"TR REPORT NEP")</f>
        <v>TR REPORT NEP</v>
      </c>
      <c r="E1757" s="84">
        <f>IFERROR(__xludf.DUMMYFUNCTION("""COMPUTED_VALUE"""),46172.74444444444)</f>
        <v>46172.74444</v>
      </c>
      <c r="F1757" s="86">
        <f>IFERROR(__xludf.DUMMYFUNCTION("""COMPUTED_VALUE"""),46172.46933082176)</f>
        <v>46172.46933</v>
      </c>
      <c r="G1757" s="86" t="str">
        <f>IFERROR(__xludf.DUMMYFUNCTION("""COMPUTED_VALUE"""),"Done")</f>
        <v>Done</v>
      </c>
      <c r="H1757" s="88">
        <f>IFERROR(__xludf.DUMMYFUNCTION("""COMPUTED_VALUE"""),0.0)</f>
        <v>0</v>
      </c>
      <c r="I1757" s="90" t="str">
        <f>IFERROR(__xludf.DUMMYFUNCTION("""COMPUTED_VALUE"""),"EMP5009 Rup Kumar Mandal")</f>
        <v>EMP5009 Rup Kumar Mandal</v>
      </c>
      <c r="J1757" s="91"/>
    </row>
    <row r="1758">
      <c r="B1758" s="76" t="str">
        <f>IFERROR(__xludf.DUMMYFUNCTION("""COMPUTED_VALUE"""),"Solution / Check data in database according to new logics                ")</f>
        <v>Solution / Check data in database according to new logics                </v>
      </c>
      <c r="C1758" s="82">
        <f>IFERROR(__xludf.DUMMYFUNCTION("""COMPUTED_VALUE"""),5222.0)</f>
        <v>5222</v>
      </c>
      <c r="D1758" s="76" t="str">
        <f>IFERROR(__xludf.DUMMYFUNCTION("""COMPUTED_VALUE"""),"COLLAGE WISE COURSE WILSE FORM LIVE")</f>
        <v>COLLAGE WISE COURSE WILSE FORM LIVE</v>
      </c>
      <c r="E1758" s="84">
        <f>IFERROR(__xludf.DUMMYFUNCTION("""COMPUTED_VALUE"""),46172.77083333333)</f>
        <v>46172.77083</v>
      </c>
      <c r="F1758" s="86">
        <f>IFERROR(__xludf.DUMMYFUNCTION("""COMPUTED_VALUE"""),46172.48049277778)</f>
        <v>46172.48049</v>
      </c>
      <c r="G1758" s="86" t="str">
        <f>IFERROR(__xludf.DUMMYFUNCTION("""COMPUTED_VALUE"""),"Done")</f>
        <v>Done</v>
      </c>
      <c r="H1758" s="88">
        <f>IFERROR(__xludf.DUMMYFUNCTION("""COMPUTED_VALUE"""),0.0)</f>
        <v>0</v>
      </c>
      <c r="I1758" s="90" t="str">
        <f>IFERROR(__xludf.DUMMYFUNCTION("""COMPUTED_VALUE"""),"EMP5009 Rup Kumar Mandal")</f>
        <v>EMP5009 Rup Kumar Mandal</v>
      </c>
      <c r="J1758" s="91"/>
    </row>
    <row r="1759">
      <c r="B1759" s="76" t="str">
        <f>IFERROR(__xludf.DUMMYFUNCTION("""COMPUTED_VALUE"""),"Solution / Check data in database according to new logics                ")</f>
        <v>Solution / Check data in database according to new logics                </v>
      </c>
      <c r="C1759" s="82">
        <f>IFERROR(__xludf.DUMMYFUNCTION("""COMPUTED_VALUE"""),5223.0)</f>
        <v>5223</v>
      </c>
      <c r="D1759" s="76" t="str">
        <f>IFERROR(__xludf.DUMMYFUNCTION("""COMPUTED_VALUE"""),"CBCS EARN CREDIT REPORT")</f>
        <v>CBCS EARN CREDIT REPORT</v>
      </c>
      <c r="E1759" s="84">
        <f>IFERROR(__xludf.DUMMYFUNCTION("""COMPUTED_VALUE"""),46174.52569444444)</f>
        <v>46174.52569</v>
      </c>
      <c r="F1759" s="86">
        <f>IFERROR(__xludf.DUMMYFUNCTION("""COMPUTED_VALUE"""),46171.73713244213)</f>
        <v>46171.73713</v>
      </c>
      <c r="G1759" s="86" t="str">
        <f>IFERROR(__xludf.DUMMYFUNCTION("""COMPUTED_VALUE"""),"Done")</f>
        <v>Done</v>
      </c>
      <c r="H1759" s="88">
        <f>IFERROR(__xludf.DUMMYFUNCTION("""COMPUTED_VALUE"""),0.0)</f>
        <v>0</v>
      </c>
      <c r="I1759" s="90" t="str">
        <f>IFERROR(__xludf.DUMMYFUNCTION("""COMPUTED_VALUE"""),"EMP0042 HULESHWAR KUMAR SAHU")</f>
        <v>EMP0042 HULESHWAR KUMAR SAHU</v>
      </c>
      <c r="J1759" s="91"/>
    </row>
    <row r="1760">
      <c r="B1760" s="76" t="str">
        <f>IFERROR(__xludf.DUMMYFUNCTION("""COMPUTED_VALUE"""),"Solution / Check data in database according to new logics                ")</f>
        <v>Solution / Check data in database according to new logics                </v>
      </c>
      <c r="C1760" s="82">
        <f>IFERROR(__xludf.DUMMYFUNCTION("""COMPUTED_VALUE"""),5224.0)</f>
        <v>5224</v>
      </c>
      <c r="D1760" s="76" t="str">
        <f>IFERROR(__xludf.DUMMYFUNCTION("""COMPUTED_VALUE"""),"Bachelor of Pharmacy (LATERAL ENTRY) 7th sem. report generated problem.")</f>
        <v>Bachelor of Pharmacy (LATERAL ENTRY) 7th sem. report generated problem.</v>
      </c>
      <c r="E1760" s="84">
        <f>IFERROR(__xludf.DUMMYFUNCTION("""COMPUTED_VALUE"""),46174.54583333334)</f>
        <v>46174.54583</v>
      </c>
      <c r="F1760" s="86">
        <f>IFERROR(__xludf.DUMMYFUNCTION("""COMPUTED_VALUE"""),46174.534212962964)</f>
        <v>46174.53421</v>
      </c>
      <c r="G1760" s="86" t="str">
        <f>IFERROR(__xludf.DUMMYFUNCTION("""COMPUTED_VALUE"""),"Done")</f>
        <v>Done</v>
      </c>
      <c r="H1760" s="88">
        <f>IFERROR(__xludf.DUMMYFUNCTION("""COMPUTED_VALUE"""),0.0)</f>
        <v>0</v>
      </c>
      <c r="I1760" s="90" t="str">
        <f>IFERROR(__xludf.DUMMYFUNCTION("""COMPUTED_VALUE"""),"EMP5009 Rup Kumar Mandal")</f>
        <v>EMP5009 Rup Kumar Mandal</v>
      </c>
      <c r="J1760" s="91"/>
    </row>
    <row r="1761">
      <c r="B1761" s="76" t="str">
        <f>IFERROR(__xludf.DUMMYFUNCTION("""COMPUTED_VALUE"""),"Solution / Check data in database according to new logics                ")</f>
        <v>Solution / Check data in database according to new logics                </v>
      </c>
      <c r="C1761" s="82">
        <f>IFERROR(__xludf.DUMMYFUNCTION("""COMPUTED_VALUE"""),5225.0)</f>
        <v>5225</v>
      </c>
      <c r="D1761" s="76" t="str">
        <f>IFERROR(__xludf.DUMMYFUNCTION("""COMPUTED_VALUE"""),"Question Paper Packet slip Date Wise")</f>
        <v>Question Paper Packet slip Date Wise</v>
      </c>
      <c r="E1761" s="84">
        <f>IFERROR(__xludf.DUMMYFUNCTION("""COMPUTED_VALUE"""),46175.76458333334)</f>
        <v>46175.76458</v>
      </c>
      <c r="F1761" s="86">
        <f>IFERROR(__xludf.DUMMYFUNCTION("""COMPUTED_VALUE"""),46175.47078795139)</f>
        <v>46175.47079</v>
      </c>
      <c r="G1761" s="86" t="str">
        <f>IFERROR(__xludf.DUMMYFUNCTION("""COMPUTED_VALUE"""),"Done")</f>
        <v>Done</v>
      </c>
      <c r="H1761" s="88">
        <f>IFERROR(__xludf.DUMMYFUNCTION("""COMPUTED_VALUE"""),0.0)</f>
        <v>0</v>
      </c>
      <c r="I1761" s="90" t="str">
        <f>IFERROR(__xludf.DUMMYFUNCTION("""COMPUTED_VALUE"""),"EMP0237 Swarnendu Chakraborty")</f>
        <v>EMP0237 Swarnendu Chakraborty</v>
      </c>
      <c r="J1761" s="91"/>
    </row>
    <row r="1762">
      <c r="B1762" s="76" t="str">
        <f>IFERROR(__xludf.DUMMYFUNCTION("""COMPUTED_VALUE"""),"Solution / Check data in database according to new logics                ")</f>
        <v>Solution / Check data in database according to new logics                </v>
      </c>
      <c r="C1762" s="82">
        <f>IFERROR(__xludf.DUMMYFUNCTION("""COMPUTED_VALUE"""),5226.0)</f>
        <v>5226</v>
      </c>
      <c r="D1762" s="76" t="str">
        <f>IFERROR(__xludf.DUMMYFUNCTION("""COMPUTED_VALUE"""),"MULTIPLE REPORT")</f>
        <v>MULTIPLE REPORT</v>
      </c>
      <c r="E1762" s="84">
        <f>IFERROR(__xludf.DUMMYFUNCTION("""COMPUTED_VALUE"""),46175.788194444445)</f>
        <v>46175.78819</v>
      </c>
      <c r="F1762" s="86">
        <f>IFERROR(__xludf.DUMMYFUNCTION("""COMPUTED_VALUE"""),46175.66738799768)</f>
        <v>46175.66739</v>
      </c>
      <c r="G1762" s="86" t="str">
        <f>IFERROR(__xludf.DUMMYFUNCTION("""COMPUTED_VALUE"""),"Done")</f>
        <v>Done</v>
      </c>
      <c r="H1762" s="88">
        <f>IFERROR(__xludf.DUMMYFUNCTION("""COMPUTED_VALUE"""),0.0)</f>
        <v>0</v>
      </c>
      <c r="I1762" s="90" t="str">
        <f>IFERROR(__xludf.DUMMYFUNCTION("""COMPUTED_VALUE"""),"EMP0237 Swarnendu Chakraborty")</f>
        <v>EMP0237 Swarnendu Chakraborty</v>
      </c>
      <c r="J1762" s="91"/>
    </row>
    <row r="1763">
      <c r="B1763" s="76" t="str">
        <f>IFERROR(__xludf.DUMMYFUNCTION("""COMPUTED_VALUE"""),"Solution / Check data in database according to new logics                ")</f>
        <v>Solution / Check data in database according to new logics                </v>
      </c>
      <c r="C1763" s="82">
        <f>IFERROR(__xludf.DUMMYFUNCTION("""COMPUTED_VALUE"""),5227.0)</f>
        <v>5227</v>
      </c>
      <c r="D1763" s="76" t="str">
        <f>IFERROR(__xludf.DUMMYFUNCTION("""COMPUTED_VALUE"""),"B.COM 1ST SEM REAPPEAR  DATA NOT SHOWN IN TR")</f>
        <v>B.COM 1ST SEM REAPPEAR  DATA NOT SHOWN IN TR</v>
      </c>
      <c r="E1763" s="84">
        <f>IFERROR(__xludf.DUMMYFUNCTION("""COMPUTED_VALUE"""),46177.538194444445)</f>
        <v>46177.53819</v>
      </c>
      <c r="F1763" s="86">
        <f>IFERROR(__xludf.DUMMYFUNCTION("""COMPUTED_VALUE"""),46175.66726431713)</f>
        <v>46175.66726</v>
      </c>
      <c r="G1763" s="86" t="str">
        <f>IFERROR(__xludf.DUMMYFUNCTION("""COMPUTED_VALUE"""),"Done")</f>
        <v>Done</v>
      </c>
      <c r="H1763" s="88">
        <f>IFERROR(__xludf.DUMMYFUNCTION("""COMPUTED_VALUE"""),0.0)</f>
        <v>0</v>
      </c>
      <c r="I1763" s="90" t="str">
        <f>IFERROR(__xludf.DUMMYFUNCTION("""COMPUTED_VALUE"""),"EMP5009 Rup Kumar Mandal")</f>
        <v>EMP5009 Rup Kumar Mandal</v>
      </c>
      <c r="J1763" s="91"/>
    </row>
    <row r="1764">
      <c r="B1764" s="76" t="str">
        <f>IFERROR(__xludf.DUMMYFUNCTION("""COMPUTED_VALUE"""),"Solution / Check data in database according to new logics                ")</f>
        <v>Solution / Check data in database according to new logics                </v>
      </c>
      <c r="C1764" s="82">
        <f>IFERROR(__xludf.DUMMYFUNCTION("""COMPUTED_VALUE"""),5228.0)</f>
        <v>5228</v>
      </c>
      <c r="D1764" s="76" t="str">
        <f>IFERROR(__xludf.DUMMYFUNCTION("""COMPUTED_VALUE"""),"pattern status report.")</f>
        <v>pattern status report.</v>
      </c>
      <c r="E1764" s="84">
        <f>IFERROR(__xludf.DUMMYFUNCTION("""COMPUTED_VALUE"""),46177.53125)</f>
        <v>46177.53125</v>
      </c>
      <c r="F1764" s="86">
        <f>IFERROR(__xludf.DUMMYFUNCTION("""COMPUTED_VALUE"""),46176.54623394676)</f>
        <v>46176.54623</v>
      </c>
      <c r="G1764" s="86" t="str">
        <f>IFERROR(__xludf.DUMMYFUNCTION("""COMPUTED_VALUE"""),"Done")</f>
        <v>Done</v>
      </c>
      <c r="H1764" s="88">
        <f>IFERROR(__xludf.DUMMYFUNCTION("""COMPUTED_VALUE"""),0.0)</f>
        <v>0</v>
      </c>
      <c r="I1764" s="90" t="str">
        <f>IFERROR(__xludf.DUMMYFUNCTION("""COMPUTED_VALUE"""),"EMP5009 Rup Kumar Mandal")</f>
        <v>EMP5009 Rup Kumar Mandal</v>
      </c>
      <c r="J1764" s="91"/>
    </row>
    <row r="1765">
      <c r="B1765" s="76" t="str">
        <f>IFERROR(__xludf.DUMMYFUNCTION("""COMPUTED_VALUE"""),"Solution / Check data in database according to new logics                ")</f>
        <v>Solution / Check data in database according to new logics                </v>
      </c>
      <c r="C1765" s="82">
        <f>IFERROR(__xludf.DUMMYFUNCTION("""COMPUTED_VALUE"""),5229.0)</f>
        <v>5229</v>
      </c>
      <c r="D1765" s="76" t="str">
        <f>IFERROR(__xludf.DUMMYFUNCTION("""COMPUTED_VALUE"""),"correctuon in marksheet")</f>
        <v>correctuon in marksheet</v>
      </c>
      <c r="E1765" s="84">
        <f>IFERROR(__xludf.DUMMYFUNCTION("""COMPUTED_VALUE"""),46177.53402777778)</f>
        <v>46177.53403</v>
      </c>
      <c r="F1765" s="86">
        <f>IFERROR(__xludf.DUMMYFUNCTION("""COMPUTED_VALUE"""),46177.471459375)</f>
        <v>46177.47146</v>
      </c>
      <c r="G1765" s="86" t="str">
        <f>IFERROR(__xludf.DUMMYFUNCTION("""COMPUTED_VALUE"""),"Done")</f>
        <v>Done</v>
      </c>
      <c r="H1765" s="88">
        <f>IFERROR(__xludf.DUMMYFUNCTION("""COMPUTED_VALUE"""),0.0)</f>
        <v>0</v>
      </c>
      <c r="I1765" s="90" t="str">
        <f>IFERROR(__xludf.DUMMYFUNCTION("""COMPUTED_VALUE"""),"EMP0237 Swarnendu Chakraborty")</f>
        <v>EMP0237 Swarnendu Chakraborty</v>
      </c>
      <c r="J1765" s="91"/>
    </row>
    <row r="1766">
      <c r="B1766" s="76" t="str">
        <f>IFERROR(__xludf.DUMMYFUNCTION("""COMPUTED_VALUE"""),"Solution / Check data in database according to new logics                ")</f>
        <v>Solution / Check data in database according to new logics                </v>
      </c>
      <c r="C1766" s="82">
        <f>IFERROR(__xludf.DUMMYFUNCTION("""COMPUTED_VALUE"""),5230.0)</f>
        <v>5230</v>
      </c>
      <c r="D1766" s="76" t="str">
        <f>IFERROR(__xludf.DUMMYFUNCTION("""COMPUTED_VALUE"""),"TR")</f>
        <v>TR</v>
      </c>
      <c r="E1766" s="84">
        <f>IFERROR(__xludf.DUMMYFUNCTION("""COMPUTED_VALUE"""),46177.773611111115)</f>
        <v>46177.77361</v>
      </c>
      <c r="F1766" s="86">
        <f>IFERROR(__xludf.DUMMYFUNCTION("""COMPUTED_VALUE"""),46177.68686707177)</f>
        <v>46177.68687</v>
      </c>
      <c r="G1766" s="86" t="str">
        <f>IFERROR(__xludf.DUMMYFUNCTION("""COMPUTED_VALUE"""),"Done")</f>
        <v>Done</v>
      </c>
      <c r="H1766" s="88">
        <f>IFERROR(__xludf.DUMMYFUNCTION("""COMPUTED_VALUE"""),0.0)</f>
        <v>0</v>
      </c>
      <c r="I1766" s="90" t="str">
        <f>IFERROR(__xludf.DUMMYFUNCTION("""COMPUTED_VALUE"""),"EMP0021 Tamanna Dewangan")</f>
        <v>EMP0021 Tamanna Dewangan</v>
      </c>
      <c r="J1766" s="91"/>
    </row>
    <row r="1767">
      <c r="B1767" s="76" t="str">
        <f>IFERROR(__xludf.DUMMYFUNCTION("""COMPUTED_VALUE"""),"Solution / Check data in database according to new logics                ")</f>
        <v>Solution / Check data in database according to new logics                </v>
      </c>
      <c r="C1767" s="82">
        <f>IFERROR(__xludf.DUMMYFUNCTION("""COMPUTED_VALUE"""),5231.0)</f>
        <v>5231</v>
      </c>
      <c r="D1767" s="76" t="str">
        <f>IFERROR(__xludf.DUMMYFUNCTION("""COMPUTED_VALUE"""),"ADMIT CARD")</f>
        <v>ADMIT CARD</v>
      </c>
      <c r="E1767" s="84">
        <f>IFERROR(__xludf.DUMMYFUNCTION("""COMPUTED_VALUE"""),46178.554861111115)</f>
        <v>46178.55486</v>
      </c>
      <c r="F1767" s="86">
        <f>IFERROR(__xludf.DUMMYFUNCTION("""COMPUTED_VALUE"""),46176.79582543982)</f>
        <v>46176.79583</v>
      </c>
      <c r="G1767" s="86" t="str">
        <f>IFERROR(__xludf.DUMMYFUNCTION("""COMPUTED_VALUE"""),"Done")</f>
        <v>Done</v>
      </c>
      <c r="H1767" s="88">
        <f>IFERROR(__xludf.DUMMYFUNCTION("""COMPUTED_VALUE"""),0.0)</f>
        <v>0</v>
      </c>
      <c r="I1767" s="90" t="str">
        <f>IFERROR(__xludf.DUMMYFUNCTION("""COMPUTED_VALUE"""),"EMP0042 HULESHWAR KUMAR SAHU")</f>
        <v>EMP0042 HULESHWAR KUMAR SAHU</v>
      </c>
      <c r="J1767" s="91"/>
    </row>
    <row r="1768">
      <c r="B1768" s="76" t="str">
        <f>IFERROR(__xludf.DUMMYFUNCTION("""COMPUTED_VALUE"""),"Solution / Check data in database according to new logics                ")</f>
        <v>Solution / Check data in database according to new logics                </v>
      </c>
      <c r="C1768" s="82">
        <f>IFERROR(__xludf.DUMMYFUNCTION("""COMPUTED_VALUE"""),5232.0)</f>
        <v>5232</v>
      </c>
      <c r="D1768" s="76" t="str">
        <f>IFERROR(__xludf.DUMMYFUNCTION("""COMPUTED_VALUE"""),"Marksheet Paramedical")</f>
        <v>Marksheet Paramedical</v>
      </c>
      <c r="E1768" s="84">
        <f>IFERROR(__xludf.DUMMYFUNCTION("""COMPUTED_VALUE"""),46178.55763888889)</f>
        <v>46178.55764</v>
      </c>
      <c r="F1768" s="86">
        <f>IFERROR(__xludf.DUMMYFUNCTION("""COMPUTED_VALUE"""),46176.795913877315)</f>
        <v>46176.79591</v>
      </c>
      <c r="G1768" s="86" t="str">
        <f>IFERROR(__xludf.DUMMYFUNCTION("""COMPUTED_VALUE"""),"Done")</f>
        <v>Done</v>
      </c>
      <c r="H1768" s="88">
        <f>IFERROR(__xludf.DUMMYFUNCTION("""COMPUTED_VALUE"""),0.0)</f>
        <v>0</v>
      </c>
      <c r="I1768" s="90" t="str">
        <f>IFERROR(__xludf.DUMMYFUNCTION("""COMPUTED_VALUE"""),"EMP0042 HULESHWAR KUMAR SAHU")</f>
        <v>EMP0042 HULESHWAR KUMAR SAHU</v>
      </c>
      <c r="J1768" s="91"/>
    </row>
    <row r="1769">
      <c r="B1769" s="76" t="str">
        <f>IFERROR(__xludf.DUMMYFUNCTION("""COMPUTED_VALUE"""),"Solution / Check data in database according to new logics                ")</f>
        <v>Solution / Check data in database according to new logics                </v>
      </c>
      <c r="C1769" s="82">
        <f>IFERROR(__xludf.DUMMYFUNCTION("""COMPUTED_VALUE"""),5233.0)</f>
        <v>5233</v>
      </c>
      <c r="D1769" s="76" t="str">
        <f>IFERROR(__xludf.DUMMYFUNCTION("""COMPUTED_VALUE"""),"GRADE CARD AGRICULTURE")</f>
        <v>GRADE CARD AGRICULTURE</v>
      </c>
      <c r="E1769" s="84">
        <f>IFERROR(__xludf.DUMMYFUNCTION("""COMPUTED_VALUE"""),46178.56527777778)</f>
        <v>46178.56528</v>
      </c>
      <c r="F1769" s="86">
        <f>IFERROR(__xludf.DUMMYFUNCTION("""COMPUTED_VALUE"""),46177.471666087964)</f>
        <v>46177.47167</v>
      </c>
      <c r="G1769" s="86" t="str">
        <f>IFERROR(__xludf.DUMMYFUNCTION("""COMPUTED_VALUE"""),"Done")</f>
        <v>Done</v>
      </c>
      <c r="H1769" s="88">
        <f>IFERROR(__xludf.DUMMYFUNCTION("""COMPUTED_VALUE"""),0.0)</f>
        <v>0</v>
      </c>
      <c r="I1769" s="90" t="str">
        <f>IFERROR(__xludf.DUMMYFUNCTION("""COMPUTED_VALUE"""),"EMP0237 Swarnendu Chakraborty")</f>
        <v>EMP0237 Swarnendu Chakraborty</v>
      </c>
      <c r="J1769" s="91"/>
    </row>
    <row r="1770">
      <c r="B1770" s="76" t="str">
        <f>IFERROR(__xludf.DUMMYFUNCTION("""COMPUTED_VALUE"""),"Solution / Check data in database according to new logics                ")</f>
        <v>Solution / Check data in database according to new logics                </v>
      </c>
      <c r="C1770" s="82">
        <f>IFERROR(__xludf.DUMMYFUNCTION("""COMPUTED_VALUE"""),5234.0)</f>
        <v>5234</v>
      </c>
      <c r="D1770" s="76" t="str">
        <f>IFERROR(__xludf.DUMMYFUNCTION("""COMPUTED_VALUE"""),"Continuous Assesment Marks (PG Section)")</f>
        <v>Continuous Assesment Marks (PG Section)</v>
      </c>
      <c r="E1770" s="84">
        <f>IFERROR(__xludf.DUMMYFUNCTION("""COMPUTED_VALUE"""),46179.52847222222)</f>
        <v>46179.52847</v>
      </c>
      <c r="F1770" s="86">
        <f>IFERROR(__xludf.DUMMYFUNCTION("""COMPUTED_VALUE"""),46178.556758425926)</f>
        <v>46178.55676</v>
      </c>
      <c r="G1770" s="86" t="str">
        <f>IFERROR(__xludf.DUMMYFUNCTION("""COMPUTED_VALUE"""),"Done")</f>
        <v>Done</v>
      </c>
      <c r="H1770" s="88">
        <f>IFERROR(__xludf.DUMMYFUNCTION("""COMPUTED_VALUE"""),0.0)</f>
        <v>0</v>
      </c>
      <c r="I1770" s="90" t="str">
        <f>IFERROR(__xludf.DUMMYFUNCTION("""COMPUTED_VALUE"""),"EMP0021 Tamanna Dewangan")</f>
        <v>EMP0021 Tamanna Dewangan</v>
      </c>
      <c r="J1770" s="91"/>
    </row>
    <row r="1771">
      <c r="B1771" s="76" t="str">
        <f>IFERROR(__xludf.DUMMYFUNCTION("""COMPUTED_VALUE"""),"Solution / Check data in database according to new logics                ")</f>
        <v>Solution / Check data in database according to new logics                </v>
      </c>
      <c r="C1771" s="82">
        <f>IFERROR(__xludf.DUMMYFUNCTION("""COMPUTED_VALUE"""),5235.0)</f>
        <v>5235</v>
      </c>
      <c r="D1771" s="76" t="str">
        <f>IFERROR(__xludf.DUMMYFUNCTION("""COMPUTED_VALUE"""),"Multiple Report ")</f>
        <v>Multiple Report </v>
      </c>
      <c r="E1771" s="84">
        <f>IFERROR(__xludf.DUMMYFUNCTION("""COMPUTED_VALUE"""),46179.75208333333)</f>
        <v>46179.75208</v>
      </c>
      <c r="F1771" s="86">
        <f>IFERROR(__xludf.DUMMYFUNCTION("""COMPUTED_VALUE"""),46179.45394684027)</f>
        <v>46179.45395</v>
      </c>
      <c r="G1771" s="86" t="str">
        <f>IFERROR(__xludf.DUMMYFUNCTION("""COMPUTED_VALUE"""),"Done")</f>
        <v>Done</v>
      </c>
      <c r="H1771" s="88">
        <f>IFERROR(__xludf.DUMMYFUNCTION("""COMPUTED_VALUE"""),0.0)</f>
        <v>0</v>
      </c>
      <c r="I1771" s="90" t="str">
        <f>IFERROR(__xludf.DUMMYFUNCTION("""COMPUTED_VALUE"""),"EMP0042 HULESHWAR KUMAR SAHU")</f>
        <v>EMP0042 HULESHWAR KUMAR SAHU</v>
      </c>
      <c r="J1771" s="91"/>
    </row>
    <row r="1772">
      <c r="B1772" s="76" t="str">
        <f>IFERROR(__xludf.DUMMYFUNCTION("""COMPUTED_VALUE"""),"Solution / Check data in database according to new logics                ")</f>
        <v>Solution / Check data in database according to new logics                </v>
      </c>
      <c r="C1772" s="82">
        <f>IFERROR(__xludf.DUMMYFUNCTION("""COMPUTED_VALUE"""),5236.0)</f>
        <v>5236</v>
      </c>
      <c r="D1772" s="76" t="str">
        <f>IFERROR(__xludf.DUMMYFUNCTION("""COMPUTED_VALUE"""),"DESPATCH CHALLAN")</f>
        <v>DESPATCH CHALLAN</v>
      </c>
      <c r="E1772" s="84">
        <f>IFERROR(__xludf.DUMMYFUNCTION("""COMPUTED_VALUE"""),46181.535416666666)</f>
        <v>46181.53542</v>
      </c>
      <c r="F1772" s="86">
        <f>IFERROR(__xludf.DUMMYFUNCTION("""COMPUTED_VALUE"""),46179.454014918985)</f>
        <v>46179.45401</v>
      </c>
      <c r="G1772" s="86" t="str">
        <f>IFERROR(__xludf.DUMMYFUNCTION("""COMPUTED_VALUE"""),"Done")</f>
        <v>Done</v>
      </c>
      <c r="H1772" s="88">
        <f>IFERROR(__xludf.DUMMYFUNCTION("""COMPUTED_VALUE"""),0.0)</f>
        <v>0</v>
      </c>
      <c r="I1772" s="90" t="str">
        <f>IFERROR(__xludf.DUMMYFUNCTION("""COMPUTED_VALUE"""),"EMP0021 Tamanna Dewangan")</f>
        <v>EMP0021 Tamanna Dewangan</v>
      </c>
      <c r="J1772" s="91"/>
    </row>
    <row r="1773">
      <c r="B1773" s="76" t="str">
        <f>IFERROR(__xludf.DUMMYFUNCTION("""COMPUTED_VALUE"""),"Solution / Check data in database according to new logics                ")</f>
        <v>Solution / Check data in database according to new logics                </v>
      </c>
      <c r="C1773" s="82">
        <f>IFERROR(__xludf.DUMMYFUNCTION("""COMPUTED_VALUE"""),5237.0)</f>
        <v>5237</v>
      </c>
      <c r="D1773" s="76" t="str">
        <f>IFERROR(__xludf.DUMMYFUNCTION("""COMPUTED_VALUE"""),"Top sheet after attendance entry ")</f>
        <v>Top sheet after attendance entry </v>
      </c>
      <c r="E1773" s="84">
        <f>IFERROR(__xludf.DUMMYFUNCTION("""COMPUTED_VALUE"""),46181.538888888885)</f>
        <v>46181.53889</v>
      </c>
      <c r="F1773" s="86">
        <f>IFERROR(__xludf.DUMMYFUNCTION("""COMPUTED_VALUE"""),46179.688077673614)</f>
        <v>46179.68808</v>
      </c>
      <c r="G1773" s="86" t="str">
        <f>IFERROR(__xludf.DUMMYFUNCTION("""COMPUTED_VALUE"""),"Done")</f>
        <v>Done</v>
      </c>
      <c r="H1773" s="88">
        <f>IFERROR(__xludf.DUMMYFUNCTION("""COMPUTED_VALUE"""),0.0)</f>
        <v>0</v>
      </c>
      <c r="I1773" s="90" t="str">
        <f>IFERROR(__xludf.DUMMYFUNCTION("""COMPUTED_VALUE"""),"EMP5009 Rup Kumar Mandal")</f>
        <v>EMP5009 Rup Kumar Mandal</v>
      </c>
      <c r="J1773" s="91"/>
    </row>
    <row r="1774">
      <c r="B1774" s="76" t="str">
        <f>IFERROR(__xludf.DUMMYFUNCTION("""COMPUTED_VALUE"""),"Solution / Check data in database according to new logics                ")</f>
        <v>Solution / Check data in database according to new logics                </v>
      </c>
      <c r="C1774" s="82">
        <f>IFERROR(__xludf.DUMMYFUNCTION("""COMPUTED_VALUE"""),5238.0)</f>
        <v>5238</v>
      </c>
      <c r="D1774" s="76" t="str">
        <f>IFERROR(__xludf.DUMMYFUNCTION("""COMPUTED_VALUE"""),"TR")</f>
        <v>TR</v>
      </c>
      <c r="E1774" s="84">
        <f>IFERROR(__xludf.DUMMYFUNCTION("""COMPUTED_VALUE"""),46182.5375)</f>
        <v>46182.5375</v>
      </c>
      <c r="F1774" s="86">
        <f>IFERROR(__xludf.DUMMYFUNCTION("""COMPUTED_VALUE"""),46179.688077673614)</f>
        <v>46179.68808</v>
      </c>
      <c r="G1774" s="86" t="str">
        <f>IFERROR(__xludf.DUMMYFUNCTION("""COMPUTED_VALUE"""),"Done")</f>
        <v>Done</v>
      </c>
      <c r="H1774" s="88">
        <f>IFERROR(__xludf.DUMMYFUNCTION("""COMPUTED_VALUE"""),0.0)</f>
        <v>0</v>
      </c>
      <c r="I1774" s="90" t="str">
        <f>IFERROR(__xludf.DUMMYFUNCTION("""COMPUTED_VALUE"""),"EMP5009 Rup Kumar Mandal")</f>
        <v>EMP5009 Rup Kumar Mandal</v>
      </c>
      <c r="J1774" s="91"/>
    </row>
    <row r="1775">
      <c r="B1775" s="76" t="str">
        <f>IFERROR(__xludf.DUMMYFUNCTION("""COMPUTED_VALUE"""),"Solution / Check data in database according to new logics                ")</f>
        <v>Solution / Check data in database according to new logics                </v>
      </c>
      <c r="C1775" s="82">
        <f>IFERROR(__xludf.DUMMYFUNCTION("""COMPUTED_VALUE"""),5239.0)</f>
        <v>5239</v>
      </c>
      <c r="D1775" s="76" t="str">
        <f>IFERROR(__xludf.DUMMYFUNCTION("""COMPUTED_VALUE"""),"TR NEW AGRICULTURE AND ALL")</f>
        <v>TR NEW AGRICULTURE AND ALL</v>
      </c>
      <c r="E1775" s="84">
        <f>IFERROR(__xludf.DUMMYFUNCTION("""COMPUTED_VALUE"""),46183.61458333333)</f>
        <v>46183.61458</v>
      </c>
      <c r="F1775" s="86">
        <f>IFERROR(__xludf.DUMMYFUNCTION("""COMPUTED_VALUE"""),46182.45270850695)</f>
        <v>46182.45271</v>
      </c>
      <c r="G1775" s="86" t="str">
        <f>IFERROR(__xludf.DUMMYFUNCTION("""COMPUTED_VALUE"""),"Done")</f>
        <v>Done</v>
      </c>
      <c r="H1775" s="88">
        <f>IFERROR(__xludf.DUMMYFUNCTION("""COMPUTED_VALUE"""),0.0)</f>
        <v>0</v>
      </c>
      <c r="I1775" s="90" t="str">
        <f>IFERROR(__xludf.DUMMYFUNCTION("""COMPUTED_VALUE"""),"EMP0042 HULESHWAR KUMAR SAHU")</f>
        <v>EMP0042 HULESHWAR KUMAR SAHU</v>
      </c>
      <c r="J1775" s="91"/>
    </row>
    <row r="1776">
      <c r="B1776" s="76" t="str">
        <f>IFERROR(__xludf.DUMMYFUNCTION("""COMPUTED_VALUE"""),"Solution / Check data in database according to new logics                ")</f>
        <v>Solution / Check data in database according to new logics                </v>
      </c>
      <c r="C1776" s="82">
        <f>IFERROR(__xludf.DUMMYFUNCTION("""COMPUTED_VALUE"""),5240.0)</f>
        <v>5240</v>
      </c>
      <c r="D1776" s="76" t="str">
        <f>IFERROR(__xludf.DUMMYFUNCTION("""COMPUTED_VALUE"""),"TR REPORT")</f>
        <v>TR REPORT</v>
      </c>
      <c r="E1776" s="84">
        <f>IFERROR(__xludf.DUMMYFUNCTION("""COMPUTED_VALUE"""),46183.600694444445)</f>
        <v>46183.60069</v>
      </c>
      <c r="F1776" s="86">
        <f>IFERROR(__xludf.DUMMYFUNCTION("""COMPUTED_VALUE"""),46182.45271662038)</f>
        <v>46182.45272</v>
      </c>
      <c r="G1776" s="86" t="str">
        <f>IFERROR(__xludf.DUMMYFUNCTION("""COMPUTED_VALUE"""),"Done")</f>
        <v>Done</v>
      </c>
      <c r="H1776" s="88">
        <f>IFERROR(__xludf.DUMMYFUNCTION("""COMPUTED_VALUE"""),0.0)</f>
        <v>0</v>
      </c>
      <c r="I1776" s="90" t="str">
        <f>IFERROR(__xludf.DUMMYFUNCTION("""COMPUTED_VALUE"""),"EMP0042 HULESHWAR KUMAR SAHU")</f>
        <v>EMP0042 HULESHWAR KUMAR SAHU</v>
      </c>
      <c r="J1776" s="91"/>
    </row>
    <row r="1777">
      <c r="B1777" s="76" t="str">
        <f>IFERROR(__xludf.DUMMYFUNCTION("""COMPUTED_VALUE"""),"Solution / Check data in database according to new logics                ")</f>
        <v>Solution / Check data in database according to new logics                </v>
      </c>
      <c r="C1777" s="82">
        <f>IFERROR(__xludf.DUMMYFUNCTION("""COMPUTED_VALUE"""),5241.0)</f>
        <v>5241</v>
      </c>
      <c r="D1777" s="76" t="str">
        <f>IFERROR(__xludf.DUMMYFUNCTION("""COMPUTED_VALUE"""),"5coltrsem8_bfa.")</f>
        <v>5coltrsem8_bfa.</v>
      </c>
      <c r="E1777" s="84">
        <f>IFERROR(__xludf.DUMMYFUNCTION("""COMPUTED_VALUE"""),46184.46875)</f>
        <v>46184.46875</v>
      </c>
      <c r="F1777" s="86">
        <f>IFERROR(__xludf.DUMMYFUNCTION("""COMPUTED_VALUE"""),46183.80051685185)</f>
        <v>46183.80052</v>
      </c>
      <c r="G1777" s="86" t="str">
        <f>IFERROR(__xludf.DUMMYFUNCTION("""COMPUTED_VALUE"""),"Done")</f>
        <v>Done</v>
      </c>
      <c r="H1777" s="88">
        <f>IFERROR(__xludf.DUMMYFUNCTION("""COMPUTED_VALUE"""),0.0)</f>
        <v>0</v>
      </c>
      <c r="I1777" s="90" t="str">
        <f>IFERROR(__xludf.DUMMYFUNCTION("""COMPUTED_VALUE"""),"EMP0021 Tamanna Dewangan")</f>
        <v>EMP0021 Tamanna Dewangan</v>
      </c>
      <c r="J1777" s="91"/>
    </row>
    <row r="1778">
      <c r="B1778" s="76" t="str">
        <f>IFERROR(__xludf.DUMMYFUNCTION("""COMPUTED_VALUE"""),"Solution / Check data in database according to new logics                ")</f>
        <v>Solution / Check data in database according to new logics                </v>
      </c>
      <c r="C1778" s="82">
        <f>IFERROR(__xludf.DUMMYFUNCTION("""COMPUTED_VALUE"""),5242.0)</f>
        <v>5242</v>
      </c>
      <c r="D1778" s="76" t="str">
        <f>IFERROR(__xludf.DUMMYFUNCTION("""COMPUTED_VALUE"""),"ATTENDENCE SHEET , MEMO REPORT , ADMIT CARD , CENTER WISE SUBJECT WISE STUDENTS DETALIS")</f>
        <v>ATTENDENCE SHEET , MEMO REPORT , ADMIT CARD , CENTER WISE SUBJECT WISE STUDENTS DETALIS</v>
      </c>
      <c r="E1778" s="84">
        <f>IFERROR(__xludf.DUMMYFUNCTION("""COMPUTED_VALUE"""),46184.53263888889)</f>
        <v>46184.53264</v>
      </c>
      <c r="F1778" s="86">
        <f>IFERROR(__xludf.DUMMYFUNCTION("""COMPUTED_VALUE"""),46182.74150001157)</f>
        <v>46182.7415</v>
      </c>
      <c r="G1778" s="86" t="str">
        <f>IFERROR(__xludf.DUMMYFUNCTION("""COMPUTED_VALUE"""),"Done")</f>
        <v>Done</v>
      </c>
      <c r="H1778" s="88">
        <f>IFERROR(__xludf.DUMMYFUNCTION("""COMPUTED_VALUE"""),0.0)</f>
        <v>0</v>
      </c>
      <c r="I1778" s="90" t="str">
        <f>IFERROR(__xludf.DUMMYFUNCTION("""COMPUTED_VALUE"""),"EMP0021 Tamanna Dewangan")</f>
        <v>EMP0021 Tamanna Dewangan</v>
      </c>
      <c r="J1778" s="91"/>
    </row>
    <row r="1779">
      <c r="B1779" s="76" t="str">
        <f>IFERROR(__xludf.DUMMYFUNCTION("""COMPUTED_VALUE"""),"Solution / Check data in database according to new logics                ")</f>
        <v>Solution / Check data in database according to new logics                </v>
      </c>
      <c r="C1779" s="82">
        <f>IFERROR(__xludf.DUMMYFUNCTION("""COMPUTED_VALUE"""),5243.0)</f>
        <v>5243</v>
      </c>
      <c r="D1779" s="76" t="str">
        <f>IFERROR(__xludf.DUMMYFUNCTION("""COMPUTED_VALUE"""),"GRADECARD10")</f>
        <v>GRADECARD10</v>
      </c>
      <c r="E1779" s="84">
        <f>IFERROR(__xludf.DUMMYFUNCTION("""COMPUTED_VALUE"""),46184.728472222225)</f>
        <v>46184.72847</v>
      </c>
      <c r="F1779" s="86">
        <f>IFERROR(__xludf.DUMMYFUNCTION("""COMPUTED_VALUE"""),46183.46549431713)</f>
        <v>46183.46549</v>
      </c>
      <c r="G1779" s="86" t="str">
        <f>IFERROR(__xludf.DUMMYFUNCTION("""COMPUTED_VALUE"""),"Done")</f>
        <v>Done</v>
      </c>
      <c r="H1779" s="88">
        <f>IFERROR(__xludf.DUMMYFUNCTION("""COMPUTED_VALUE"""),0.0)</f>
        <v>0</v>
      </c>
      <c r="I1779" s="90" t="str">
        <f>IFERROR(__xludf.DUMMYFUNCTION("""COMPUTED_VALUE"""),"EMP0021 Tamanna Dewangan")</f>
        <v>EMP0021 Tamanna Dewangan</v>
      </c>
      <c r="J1779" s="91"/>
    </row>
    <row r="1780">
      <c r="B1780" s="76" t="str">
        <f>IFERROR(__xludf.DUMMYFUNCTION("""COMPUTED_VALUE"""),"Solution / Check data in database according to new logics                ")</f>
        <v>Solution / Check data in database according to new logics                </v>
      </c>
      <c r="C1780" s="82">
        <f>IFERROR(__xludf.DUMMYFUNCTION("""COMPUTED_VALUE"""),5244.0)</f>
        <v>5244</v>
      </c>
      <c r="D1780" s="76" t="str">
        <f>IFERROR(__xludf.DUMMYFUNCTION("""COMPUTED_VALUE"""),"	TR (NURSING)")</f>
        <v>	TR (NURSING)</v>
      </c>
      <c r="E1780" s="84">
        <f>IFERROR(__xludf.DUMMYFUNCTION("""COMPUTED_VALUE"""),46184.78402777778)</f>
        <v>46184.78403</v>
      </c>
      <c r="F1780" s="86">
        <f>IFERROR(__xludf.DUMMYFUNCTION("""COMPUTED_VALUE"""),46184.50615199075)</f>
        <v>46184.50615</v>
      </c>
      <c r="G1780" s="86" t="str">
        <f>IFERROR(__xludf.DUMMYFUNCTION("""COMPUTED_VALUE"""),"Done")</f>
        <v>Done</v>
      </c>
      <c r="H1780" s="88">
        <f>IFERROR(__xludf.DUMMYFUNCTION("""COMPUTED_VALUE"""),0.0)</f>
        <v>0</v>
      </c>
      <c r="I1780" s="90" t="str">
        <f>IFERROR(__xludf.DUMMYFUNCTION("""COMPUTED_VALUE"""),"EMP0042 HULESHWAR KUMAR SAHU")</f>
        <v>EMP0042 HULESHWAR KUMAR SAHU</v>
      </c>
      <c r="J1780" s="91"/>
    </row>
    <row r="1781">
      <c r="B1781" s="76" t="str">
        <f>IFERROR(__xludf.DUMMYFUNCTION("""COMPUTED_VALUE"""),"Solution / Check data in database according to new logics                ")</f>
        <v>Solution / Check data in database according to new logics                </v>
      </c>
      <c r="C1781" s="82">
        <f>IFERROR(__xludf.DUMMYFUNCTION("""COMPUTED_VALUE"""),5245.0)</f>
        <v>5245</v>
      </c>
      <c r="D1781" s="76" t="str">
        <f>IFERROR(__xludf.DUMMYFUNCTION("""COMPUTED_VALUE"""),"Marksheet B.Sc Nursing")</f>
        <v>Marksheet B.Sc Nursing</v>
      </c>
      <c r="E1781" s="84">
        <f>IFERROR(__xludf.DUMMYFUNCTION("""COMPUTED_VALUE"""),46184.785416666666)</f>
        <v>46184.78542</v>
      </c>
      <c r="F1781" s="86">
        <f>IFERROR(__xludf.DUMMYFUNCTION("""COMPUTED_VALUE"""),46183.76112372686)</f>
        <v>46183.76112</v>
      </c>
      <c r="G1781" s="86" t="str">
        <f>IFERROR(__xludf.DUMMYFUNCTION("""COMPUTED_VALUE"""),"Done")</f>
        <v>Done</v>
      </c>
      <c r="H1781" s="88">
        <f>IFERROR(__xludf.DUMMYFUNCTION("""COMPUTED_VALUE"""),0.0)</f>
        <v>0</v>
      </c>
      <c r="I1781" s="90" t="str">
        <f>IFERROR(__xludf.DUMMYFUNCTION("""COMPUTED_VALUE"""),"EMP0042 HULESHWAR KUMAR SAHU")</f>
        <v>EMP0042 HULESHWAR KUMAR SAHU</v>
      </c>
      <c r="J1781" s="91"/>
    </row>
    <row r="1782">
      <c r="B1782" s="76" t="str">
        <f>IFERROR(__xludf.DUMMYFUNCTION("""COMPUTED_VALUE"""),"Solution / Check data in database according to new logics                ")</f>
        <v>Solution / Check data in database according to new logics                </v>
      </c>
      <c r="C1782" s="82">
        <f>IFERROR(__xludf.DUMMYFUNCTION("""COMPUTED_VALUE"""),5246.0)</f>
        <v>5246</v>
      </c>
      <c r="D1782" s="76" t="str">
        <f>IFERROR(__xludf.DUMMYFUNCTION("""COMPUTED_VALUE"""),"Grade Carde B.Tech")</f>
        <v>Grade Carde B.Tech</v>
      </c>
      <c r="E1782" s="84">
        <f>IFERROR(__xludf.DUMMYFUNCTION("""COMPUTED_VALUE"""),46184.79722222222)</f>
        <v>46184.79722</v>
      </c>
      <c r="F1782" s="86">
        <f>IFERROR(__xludf.DUMMYFUNCTION("""COMPUTED_VALUE"""),46183.797871574076)</f>
        <v>46183.79787</v>
      </c>
      <c r="G1782" s="86" t="str">
        <f>IFERROR(__xludf.DUMMYFUNCTION("""COMPUTED_VALUE"""),"Done")</f>
        <v>Done</v>
      </c>
      <c r="H1782" s="88">
        <f>IFERROR(__xludf.DUMMYFUNCTION("""COMPUTED_VALUE"""),0.0)</f>
        <v>0</v>
      </c>
      <c r="I1782" s="90" t="str">
        <f>IFERROR(__xludf.DUMMYFUNCTION("""COMPUTED_VALUE"""),"EMP0042 HULESHWAR KUMAR SAHU")</f>
        <v>EMP0042 HULESHWAR KUMAR SAHU</v>
      </c>
      <c r="J1782" s="91"/>
    </row>
    <row r="1783">
      <c r="B1783" s="76" t="str">
        <f>IFERROR(__xludf.DUMMYFUNCTION("""COMPUTED_VALUE"""),"Solution / Check data in database according to new logics                ")</f>
        <v>Solution / Check data in database according to new logics                </v>
      </c>
      <c r="C1783" s="82">
        <f>IFERROR(__xludf.DUMMYFUNCTION("""COMPUTED_VALUE"""),5247.0)</f>
        <v>5247</v>
      </c>
      <c r="D1783" s="76" t="str">
        <f>IFERROR(__xludf.DUMMYFUNCTION("""COMPUTED_VALUE"""),"attendance sheet ")</f>
        <v>attendance sheet </v>
      </c>
      <c r="E1783" s="84">
        <f>IFERROR(__xludf.DUMMYFUNCTION("""COMPUTED_VALUE"""),46185.44861111111)</f>
        <v>46185.44861</v>
      </c>
      <c r="F1783" s="86">
        <f>IFERROR(__xludf.DUMMYFUNCTION("""COMPUTED_VALUE"""),46183.79800488426)</f>
        <v>46183.798</v>
      </c>
      <c r="G1783" s="86" t="str">
        <f>IFERROR(__xludf.DUMMYFUNCTION("""COMPUTED_VALUE"""),"Done")</f>
        <v>Done</v>
      </c>
      <c r="H1783" s="88">
        <f>IFERROR(__xludf.DUMMYFUNCTION("""COMPUTED_VALUE"""),0.0)</f>
        <v>0</v>
      </c>
      <c r="I1783" s="90" t="str">
        <f>IFERROR(__xludf.DUMMYFUNCTION("""COMPUTED_VALUE"""),"EMP0042 HULESHWAR KUMAR SAHU")</f>
        <v>EMP0042 HULESHWAR KUMAR SAHU</v>
      </c>
      <c r="J1783" s="91"/>
    </row>
    <row r="1784">
      <c r="B1784" s="76" t="str">
        <f>IFERROR(__xludf.DUMMYFUNCTION("""COMPUTED_VALUE"""),"Solution / Check data in database according to new logics                ")</f>
        <v>Solution / Check data in database according to new logics                </v>
      </c>
      <c r="C1784" s="82">
        <f>IFERROR(__xludf.DUMMYFUNCTION("""COMPUTED_VALUE"""),5248.0)</f>
        <v>5248</v>
      </c>
      <c r="D1784" s="76" t="str">
        <f>IFERROR(__xludf.DUMMYFUNCTION("""COMPUTED_VALUE"""),"ADMIT CARD ")</f>
        <v>ADMIT CARD </v>
      </c>
      <c r="E1784" s="84">
        <f>IFERROR(__xludf.DUMMYFUNCTION("""COMPUTED_VALUE"""),46185.48541666666)</f>
        <v>46185.48542</v>
      </c>
      <c r="F1784" s="86">
        <f>IFERROR(__xludf.DUMMYFUNCTION("""COMPUTED_VALUE"""),46183.79802611111)</f>
        <v>46183.79803</v>
      </c>
      <c r="G1784" s="86" t="str">
        <f>IFERROR(__xludf.DUMMYFUNCTION("""COMPUTED_VALUE"""),"Done")</f>
        <v>Done</v>
      </c>
      <c r="H1784" s="88">
        <f>IFERROR(__xludf.DUMMYFUNCTION("""COMPUTED_VALUE"""),0.0)</f>
        <v>0</v>
      </c>
      <c r="I1784" s="90" t="str">
        <f>IFERROR(__xludf.DUMMYFUNCTION("""COMPUTED_VALUE"""),"EMP5009 Rup Kumar Mandal")</f>
        <v>EMP5009 Rup Kumar Mandal</v>
      </c>
      <c r="J1784" s="91"/>
    </row>
    <row r="1785">
      <c r="B1785" s="76" t="str">
        <f>IFERROR(__xludf.DUMMYFUNCTION("""COMPUTED_VALUE"""),"Solution / Check data in database according to new logics                ")</f>
        <v>Solution / Check data in database according to new logics                </v>
      </c>
      <c r="C1785" s="82">
        <f>IFERROR(__xludf.DUMMYFUNCTION("""COMPUTED_VALUE"""),5249.0)</f>
        <v>5249</v>
      </c>
      <c r="D1785" s="76" t="str">
        <f>IFERROR(__xludf.DUMMYFUNCTION("""COMPUTED_VALUE"""),"SHASTRI RESULT SHEET")</f>
        <v>SHASTRI RESULT SHEET</v>
      </c>
      <c r="E1785" s="84">
        <f>IFERROR(__xludf.DUMMYFUNCTION("""COMPUTED_VALUE"""),46188.46527777778)</f>
        <v>46188.46528</v>
      </c>
      <c r="F1785" s="86">
        <f>IFERROR(__xludf.DUMMYFUNCTION("""COMPUTED_VALUE"""),46187.7840115625)</f>
        <v>46187.78401</v>
      </c>
      <c r="G1785" s="86" t="str">
        <f>IFERROR(__xludf.DUMMYFUNCTION("""COMPUTED_VALUE"""),"Done")</f>
        <v>Done</v>
      </c>
      <c r="H1785" s="88">
        <f>IFERROR(__xludf.DUMMYFUNCTION("""COMPUTED_VALUE"""),0.0)</f>
        <v>0</v>
      </c>
      <c r="I1785" s="90" t="str">
        <f>IFERROR(__xludf.DUMMYFUNCTION("""COMPUTED_VALUE"""),"EMP0042 HULESHWAR KUMAR SAHU")</f>
        <v>EMP0042 HULESHWAR KUMAR SAHU</v>
      </c>
      <c r="J1785" s="91"/>
    </row>
    <row r="1786">
      <c r="B1786" s="76" t="str">
        <f>IFERROR(__xludf.DUMMYFUNCTION("""COMPUTED_VALUE"""),"Solution / Check data in database according to new logics                ")</f>
        <v>Solution / Check data in database according to new logics                </v>
      </c>
      <c r="C1786" s="82">
        <f>IFERROR(__xludf.DUMMYFUNCTION("""COMPUTED_VALUE"""),5250.0)</f>
        <v>5250</v>
      </c>
      <c r="D1786" s="76" t="str">
        <f>IFERROR(__xludf.DUMMYFUNCTION("""COMPUTED_VALUE"""),"SHASTRI TR")</f>
        <v>SHASTRI TR</v>
      </c>
      <c r="E1786" s="84">
        <f>IFERROR(__xludf.DUMMYFUNCTION("""COMPUTED_VALUE"""),46188.46597222222)</f>
        <v>46188.46597</v>
      </c>
      <c r="F1786" s="86">
        <f>IFERROR(__xludf.DUMMYFUNCTION("""COMPUTED_VALUE"""),46187.784033159725)</f>
        <v>46187.78403</v>
      </c>
      <c r="G1786" s="86" t="str">
        <f>IFERROR(__xludf.DUMMYFUNCTION("""COMPUTED_VALUE"""),"Done")</f>
        <v>Done</v>
      </c>
      <c r="H1786" s="88">
        <f>IFERROR(__xludf.DUMMYFUNCTION("""COMPUTED_VALUE"""),0.0)</f>
        <v>0</v>
      </c>
      <c r="I1786" s="90" t="str">
        <f>IFERROR(__xludf.DUMMYFUNCTION("""COMPUTED_VALUE"""),"EMP0042 HULESHWAR KUMAR SAHU")</f>
        <v>EMP0042 HULESHWAR KUMAR SAHU</v>
      </c>
      <c r="J1786" s="91"/>
    </row>
    <row r="1787">
      <c r="B1787" s="76" t="str">
        <f>IFERROR(__xludf.DUMMYFUNCTION("""COMPUTED_VALUE"""),"Solution / Check data in database according to new logics                ")</f>
        <v>Solution / Check data in database according to new logics                </v>
      </c>
      <c r="C1787" s="82">
        <f>IFERROR(__xludf.DUMMYFUNCTION("""COMPUTED_VALUE"""),5251.0)</f>
        <v>5251</v>
      </c>
      <c r="D1787" s="76" t="str">
        <f>IFERROR(__xludf.DUMMYFUNCTION("""COMPUTED_VALUE"""),"REGISTRATION FORM")</f>
        <v>REGISTRATION FORM</v>
      </c>
      <c r="E1787" s="84">
        <f>IFERROR(__xludf.DUMMYFUNCTION("""COMPUTED_VALUE"""),46188.566666666666)</f>
        <v>46188.56667</v>
      </c>
      <c r="F1787" s="86">
        <f>IFERROR(__xludf.DUMMYFUNCTION("""COMPUTED_VALUE"""),46188.51474549768)</f>
        <v>46188.51475</v>
      </c>
      <c r="G1787" s="86" t="str">
        <f>IFERROR(__xludf.DUMMYFUNCTION("""COMPUTED_VALUE"""),"Done")</f>
        <v>Done</v>
      </c>
      <c r="H1787" s="88">
        <f>IFERROR(__xludf.DUMMYFUNCTION("""COMPUTED_VALUE"""),0.0)</f>
        <v>0</v>
      </c>
      <c r="I1787" s="90" t="str">
        <f>IFERROR(__xludf.DUMMYFUNCTION("""COMPUTED_VALUE"""),"EMP0042 HULESHWAR KUMAR SAHU")</f>
        <v>EMP0042 HULESHWAR KUMAR SAHU</v>
      </c>
      <c r="J1787" s="91"/>
    </row>
    <row r="1788">
      <c r="B1788" s="76" t="str">
        <f>IFERROR(__xludf.DUMMYFUNCTION("""COMPUTED_VALUE"""),"Solution / Check data in database according to new logics                ")</f>
        <v>Solution / Check data in database according to new logics                </v>
      </c>
      <c r="C1788" s="82">
        <f>IFERROR(__xludf.DUMMYFUNCTION("""COMPUTED_VALUE"""),5252.0)</f>
        <v>5252</v>
      </c>
      <c r="D1788" s="76" t="str">
        <f>IFERROR(__xludf.DUMMYFUNCTION("""COMPUTED_VALUE"""),"Template NEP")</f>
        <v>Template NEP</v>
      </c>
      <c r="E1788" s="84">
        <f>IFERROR(__xludf.DUMMYFUNCTION("""COMPUTED_VALUE"""),46188.77986111111)</f>
        <v>46188.77986</v>
      </c>
      <c r="F1788" s="86">
        <f>IFERROR(__xludf.DUMMYFUNCTION("""COMPUTED_VALUE"""),46188.514886365745)</f>
        <v>46188.51489</v>
      </c>
      <c r="G1788" s="86" t="str">
        <f>IFERROR(__xludf.DUMMYFUNCTION("""COMPUTED_VALUE"""),"Done")</f>
        <v>Done</v>
      </c>
      <c r="H1788" s="88">
        <f>IFERROR(__xludf.DUMMYFUNCTION("""COMPUTED_VALUE"""),0.0)</f>
        <v>0</v>
      </c>
      <c r="I1788" s="90" t="str">
        <f>IFERROR(__xludf.DUMMYFUNCTION("""COMPUTED_VALUE"""),"EMP5009 Rup Kumar Mandal")</f>
        <v>EMP5009 Rup Kumar Mandal</v>
      </c>
      <c r="J1788" s="91"/>
    </row>
    <row r="1789">
      <c r="B1789" s="76" t="str">
        <f>IFERROR(__xludf.DUMMYFUNCTION("""COMPUTED_VALUE"""),"Solution / Check data in database according to new logics                ")</f>
        <v>Solution / Check data in database according to new logics                </v>
      </c>
      <c r="C1789" s="82">
        <f>IFERROR(__xludf.DUMMYFUNCTION("""COMPUTED_VALUE"""),5253.0)</f>
        <v>5253</v>
      </c>
      <c r="D1789" s="76" t="str">
        <f>IFERROR(__xludf.DUMMYFUNCTION("""COMPUTED_VALUE"""),"Multiple Report ")</f>
        <v>Multiple Report </v>
      </c>
      <c r="E1789" s="84">
        <f>IFERROR(__xludf.DUMMYFUNCTION("""COMPUTED_VALUE"""),46189.43888888889)</f>
        <v>46189.43889</v>
      </c>
      <c r="F1789" s="86">
        <f>IFERROR(__xludf.DUMMYFUNCTION("""COMPUTED_VALUE"""),46188.51501653935)</f>
        <v>46188.51502</v>
      </c>
      <c r="G1789" s="86" t="str">
        <f>IFERROR(__xludf.DUMMYFUNCTION("""COMPUTED_VALUE"""),"Done")</f>
        <v>Done</v>
      </c>
      <c r="H1789" s="88">
        <f>IFERROR(__xludf.DUMMYFUNCTION("""COMPUTED_VALUE"""),0.0)</f>
        <v>0</v>
      </c>
      <c r="I1789" s="90" t="str">
        <f>IFERROR(__xludf.DUMMYFUNCTION("""COMPUTED_VALUE"""),"EMP0237 Swarnendu Chakraborty")</f>
        <v>EMP0237 Swarnendu Chakraborty</v>
      </c>
      <c r="J1789" s="91"/>
    </row>
    <row r="1790">
      <c r="B1790" s="76" t="str">
        <f>IFERROR(__xludf.DUMMYFUNCTION("""COMPUTED_VALUE"""),"Solution / Check data in database according to new logics                ")</f>
        <v>Solution / Check data in database according to new logics                </v>
      </c>
      <c r="C1790" s="82">
        <f>IFERROR(__xludf.DUMMYFUNCTION("""COMPUTED_VALUE"""),5254.0)</f>
        <v>5254</v>
      </c>
      <c r="D1790" s="76" t="str">
        <f>IFERROR(__xludf.DUMMYFUNCTION("""COMPUTED_VALUE"""),"Multiple Report ")</f>
        <v>Multiple Report </v>
      </c>
      <c r="E1790" s="84">
        <f>IFERROR(__xludf.DUMMYFUNCTION("""COMPUTED_VALUE"""),46189.44236111111)</f>
        <v>46189.44236</v>
      </c>
      <c r="F1790" s="86">
        <f>IFERROR(__xludf.DUMMYFUNCTION("""COMPUTED_VALUE"""),46188.51503090278)</f>
        <v>46188.51503</v>
      </c>
      <c r="G1790" s="86" t="str">
        <f>IFERROR(__xludf.DUMMYFUNCTION("""COMPUTED_VALUE"""),"Done")</f>
        <v>Done</v>
      </c>
      <c r="H1790" s="88">
        <f>IFERROR(__xludf.DUMMYFUNCTION("""COMPUTED_VALUE"""),0.0)</f>
        <v>0</v>
      </c>
      <c r="I1790" s="90" t="str">
        <f>IFERROR(__xludf.DUMMYFUNCTION("""COMPUTED_VALUE"""),"EMP0237 Swarnendu Chakraborty")</f>
        <v>EMP0237 Swarnendu Chakraborty</v>
      </c>
      <c r="J1790" s="91"/>
    </row>
    <row r="1791">
      <c r="B1791" s="76" t="str">
        <f>IFERROR(__xludf.DUMMYFUNCTION("""COMPUTED_VALUE"""),"Solution / Check data in database according to new logics                ")</f>
        <v>Solution / Check data in database according to new logics                </v>
      </c>
      <c r="C1791" s="82">
        <f>IFERROR(__xludf.DUMMYFUNCTION("""COMPUTED_VALUE"""),5255.0)</f>
        <v>5255</v>
      </c>
      <c r="D1791" s="76" t="str">
        <f>IFERROR(__xludf.DUMMYFUNCTION("""COMPUTED_VALUE"""),"Multiple Report ")</f>
        <v>Multiple Report </v>
      </c>
      <c r="E1791" s="84">
        <f>IFERROR(__xludf.DUMMYFUNCTION("""COMPUTED_VALUE"""),46189.445138888885)</f>
        <v>46189.44514</v>
      </c>
      <c r="F1791" s="86">
        <f>IFERROR(__xludf.DUMMYFUNCTION("""COMPUTED_VALUE"""),46188.51701717593)</f>
        <v>46188.51702</v>
      </c>
      <c r="G1791" s="86" t="str">
        <f>IFERROR(__xludf.DUMMYFUNCTION("""COMPUTED_VALUE"""),"Done")</f>
        <v>Done</v>
      </c>
      <c r="H1791" s="88">
        <f>IFERROR(__xludf.DUMMYFUNCTION("""COMPUTED_VALUE"""),0.0)</f>
        <v>0</v>
      </c>
      <c r="I1791" s="90" t="str">
        <f>IFERROR(__xludf.DUMMYFUNCTION("""COMPUTED_VALUE"""),"EMP5009 Rup Kumar Mandal")</f>
        <v>EMP5009 Rup Kumar Mandal</v>
      </c>
      <c r="J1791" s="91"/>
    </row>
    <row r="1792">
      <c r="B1792" s="76" t="str">
        <f>IFERROR(__xludf.DUMMYFUNCTION("""COMPUTED_VALUE"""),"Solution / Check data in database according to new logics                ")</f>
        <v>Solution / Check data in database according to new logics                </v>
      </c>
      <c r="C1792" s="82">
        <f>IFERROR(__xludf.DUMMYFUNCTION("""COMPUTED_VALUE"""),5256.0)</f>
        <v>5256</v>
      </c>
      <c r="D1792" s="76" t="str">
        <f>IFERROR(__xludf.DUMMYFUNCTION("""COMPUTED_VALUE"""),"Multiple Report ")</f>
        <v>Multiple Report </v>
      </c>
      <c r="E1792" s="84">
        <f>IFERROR(__xludf.DUMMYFUNCTION("""COMPUTED_VALUE"""),46189.44791666667)</f>
        <v>46189.44792</v>
      </c>
      <c r="F1792" s="86">
        <f>IFERROR(__xludf.DUMMYFUNCTION("""COMPUTED_VALUE"""),46188.51703650463)</f>
        <v>46188.51704</v>
      </c>
      <c r="G1792" s="86" t="str">
        <f>IFERROR(__xludf.DUMMYFUNCTION("""COMPUTED_VALUE"""),"Done")</f>
        <v>Done</v>
      </c>
      <c r="H1792" s="88">
        <f>IFERROR(__xludf.DUMMYFUNCTION("""COMPUTED_VALUE"""),0.0)</f>
        <v>0</v>
      </c>
      <c r="I1792" s="90" t="str">
        <f>IFERROR(__xludf.DUMMYFUNCTION("""COMPUTED_VALUE"""),"EMP5009 Rup Kumar Mandal")</f>
        <v>EMP5009 Rup Kumar Mandal</v>
      </c>
      <c r="J1792" s="91"/>
    </row>
    <row r="1793">
      <c r="B1793" s="76" t="str">
        <f>IFERROR(__xludf.DUMMYFUNCTION("""COMPUTED_VALUE"""),"Solution / Check data in database according to new logics                ")</f>
        <v>Solution / Check data in database according to new logics                </v>
      </c>
      <c r="C1793" s="82">
        <f>IFERROR(__xludf.DUMMYFUNCTION("""COMPUTED_VALUE"""),5257.0)</f>
        <v>5257</v>
      </c>
      <c r="D1793" s="76" t="str">
        <f>IFERROR(__xludf.DUMMYFUNCTION("""COMPUTED_VALUE"""),"Multiple Report ")</f>
        <v>Multiple Report </v>
      </c>
      <c r="E1793" s="84">
        <f>IFERROR(__xludf.DUMMYFUNCTION("""COMPUTED_VALUE"""),46189.45208333334)</f>
        <v>46189.45208</v>
      </c>
      <c r="F1793" s="86">
        <f>IFERROR(__xludf.DUMMYFUNCTION("""COMPUTED_VALUE"""),46188.517175162044)</f>
        <v>46188.51718</v>
      </c>
      <c r="G1793" s="86" t="str">
        <f>IFERROR(__xludf.DUMMYFUNCTION("""COMPUTED_VALUE"""),"Done")</f>
        <v>Done</v>
      </c>
      <c r="H1793" s="88">
        <f>IFERROR(__xludf.DUMMYFUNCTION("""COMPUTED_VALUE"""),0.0)</f>
        <v>0</v>
      </c>
      <c r="I1793" s="90" t="str">
        <f>IFERROR(__xludf.DUMMYFUNCTION("""COMPUTED_VALUE"""),"EMP0237 Swarnendu Chakraborty")</f>
        <v>EMP0237 Swarnendu Chakraborty</v>
      </c>
      <c r="J1793" s="91"/>
    </row>
    <row r="1794">
      <c r="B1794" s="76" t="str">
        <f>IFERROR(__xludf.DUMMYFUNCTION("""COMPUTED_VALUE"""),"Solution / Check data in database according to new logics                ")</f>
        <v>Solution / Check data in database according to new logics                </v>
      </c>
      <c r="C1794" s="82">
        <f>IFERROR(__xludf.DUMMYFUNCTION("""COMPUTED_VALUE"""),5258.0)</f>
        <v>5258</v>
      </c>
      <c r="D1794" s="76" t="str">
        <f>IFERROR(__xludf.DUMMYFUNCTION("""COMPUTED_VALUE"""),"Multiple Report ")</f>
        <v>Multiple Report </v>
      </c>
      <c r="E1794" s="84">
        <f>IFERROR(__xludf.DUMMYFUNCTION("""COMPUTED_VALUE"""),46189.455555555556)</f>
        <v>46189.45556</v>
      </c>
      <c r="F1794" s="86">
        <f>IFERROR(__xludf.DUMMYFUNCTION("""COMPUTED_VALUE"""),46188.51706197917)</f>
        <v>46188.51706</v>
      </c>
      <c r="G1794" s="86" t="str">
        <f>IFERROR(__xludf.DUMMYFUNCTION("""COMPUTED_VALUE"""),"Done")</f>
        <v>Done</v>
      </c>
      <c r="H1794" s="88">
        <f>IFERROR(__xludf.DUMMYFUNCTION("""COMPUTED_VALUE"""),0.0)</f>
        <v>0</v>
      </c>
      <c r="I1794" s="90" t="str">
        <f>IFERROR(__xludf.DUMMYFUNCTION("""COMPUTED_VALUE"""),"EMP0042 HULESHWAR KUMAR SAHU")</f>
        <v>EMP0042 HULESHWAR KUMAR SAHU</v>
      </c>
      <c r="J1794" s="91"/>
    </row>
    <row r="1795">
      <c r="B1795" s="76" t="str">
        <f>IFERROR(__xludf.DUMMYFUNCTION("""COMPUTED_VALUE"""),"Solution / Check data in database according to new logics                ")</f>
        <v>Solution / Check data in database according to new logics                </v>
      </c>
      <c r="C1795" s="82">
        <f>IFERROR(__xludf.DUMMYFUNCTION("""COMPUTED_VALUE"""),5259.0)</f>
        <v>5259</v>
      </c>
      <c r="D1795" s="76" t="str">
        <f>IFERROR(__xludf.DUMMYFUNCTION("""COMPUTED_VALUE"""),"TR BCA Clg wise")</f>
        <v>TR BCA Clg wise</v>
      </c>
      <c r="E1795" s="84">
        <f>IFERROR(__xludf.DUMMYFUNCTION("""COMPUTED_VALUE"""),46189.41666666667)</f>
        <v>46189.41667</v>
      </c>
      <c r="F1795" s="86">
        <f>IFERROR(__xludf.DUMMYFUNCTION("""COMPUTED_VALUE"""),46188.51707869212)</f>
        <v>46188.51708</v>
      </c>
      <c r="G1795" s="86" t="str">
        <f>IFERROR(__xludf.DUMMYFUNCTION("""COMPUTED_VALUE"""),"Done")</f>
        <v>Done</v>
      </c>
      <c r="H1795" s="88">
        <f>IFERROR(__xludf.DUMMYFUNCTION("""COMPUTED_VALUE"""),0.0)</f>
        <v>0</v>
      </c>
      <c r="I1795" s="90" t="str">
        <f>IFERROR(__xludf.DUMMYFUNCTION("""COMPUTED_VALUE"""),"EMP0042 HULESHWAR KUMAR SAHU")</f>
        <v>EMP0042 HULESHWAR KUMAR SAHU</v>
      </c>
      <c r="J1795" s="91"/>
    </row>
    <row r="1796">
      <c r="B1796" s="76" t="str">
        <f>IFERROR(__xludf.DUMMYFUNCTION("""COMPUTED_VALUE"""),"Solution / Check data in database according to new logics                ")</f>
        <v>Solution / Check data in database according to new logics                </v>
      </c>
      <c r="C1796" s="82">
        <f>IFERROR(__xludf.DUMMYFUNCTION("""COMPUTED_VALUE"""),5260.0)</f>
        <v>5260</v>
      </c>
      <c r="D1796" s="76" t="str">
        <f>IFERROR(__xludf.DUMMYFUNCTION("""COMPUTED_VALUE"""),"Attendance Sheet First Semester ( Sem - 1) GCKN-103 - S.K. Govt. College, Kanwali (Rewari) PG undefined RE-APPEAR_SE03")</f>
        <v>Attendance Sheet First Semester ( Sem - 1) GCKN-103 - S.K. Govt. College, Kanwali (Rewari) PG undefined RE-APPEAR_SE03</v>
      </c>
      <c r="E1796" s="84">
        <f>IFERROR(__xludf.DUMMYFUNCTION("""COMPUTED_VALUE"""),46189.67013888889)</f>
        <v>46189.67014</v>
      </c>
      <c r="F1796" s="86">
        <f>IFERROR(__xludf.DUMMYFUNCTION("""COMPUTED_VALUE"""),46188.51682416666)</f>
        <v>46188.51682</v>
      </c>
      <c r="G1796" s="86" t="str">
        <f>IFERROR(__xludf.DUMMYFUNCTION("""COMPUTED_VALUE"""),"Done")</f>
        <v>Done</v>
      </c>
      <c r="H1796" s="88">
        <f>IFERROR(__xludf.DUMMYFUNCTION("""COMPUTED_VALUE"""),0.0)</f>
        <v>0</v>
      </c>
      <c r="I1796" s="90" t="str">
        <f>IFERROR(__xludf.DUMMYFUNCTION("""COMPUTED_VALUE"""),"EMP0042 HULESHWAR KUMAR SAHU")</f>
        <v>EMP0042 HULESHWAR KUMAR SAHU</v>
      </c>
      <c r="J1796" s="91"/>
    </row>
    <row r="1797">
      <c r="B1797" s="76" t="str">
        <f>IFERROR(__xludf.DUMMYFUNCTION("""COMPUTED_VALUE"""),"Solution / Check data in database according to new logics                ")</f>
        <v>Solution / Check data in database according to new logics                </v>
      </c>
      <c r="C1797" s="82">
        <f>IFERROR(__xludf.DUMMYFUNCTION("""COMPUTED_VALUE"""),5261.0)</f>
        <v>5261</v>
      </c>
      <c r="D1797" s="76" t="str">
        <f>IFERROR(__xludf.DUMMYFUNCTION("""COMPUTED_VALUE"""),"Mark Foil for Teacher")</f>
        <v>Mark Foil for Teacher</v>
      </c>
      <c r="E1797" s="84">
        <f>IFERROR(__xludf.DUMMYFUNCTION("""COMPUTED_VALUE"""),46189.73611111111)</f>
        <v>46189.73611</v>
      </c>
      <c r="F1797" s="86">
        <f>IFERROR(__xludf.DUMMYFUNCTION("""COMPUTED_VALUE"""),46188.51684006945)</f>
        <v>46188.51684</v>
      </c>
      <c r="G1797" s="86" t="str">
        <f>IFERROR(__xludf.DUMMYFUNCTION("""COMPUTED_VALUE"""),"Done")</f>
        <v>Done</v>
      </c>
      <c r="H1797" s="88">
        <f>IFERROR(__xludf.DUMMYFUNCTION("""COMPUTED_VALUE"""),0.0)</f>
        <v>0</v>
      </c>
      <c r="I1797" s="90" t="str">
        <f>IFERROR(__xludf.DUMMYFUNCTION("""COMPUTED_VALUE"""),"EMP0042 HULESHWAR KUMAR SAHU")</f>
        <v>EMP0042 HULESHWAR KUMAR SAHU</v>
      </c>
      <c r="J1797" s="91"/>
    </row>
    <row r="1798">
      <c r="B1798" s="76" t="str">
        <f>IFERROR(__xludf.DUMMYFUNCTION("""COMPUTED_VALUE"""),"Solution / Check data in database according to new logics                ")</f>
        <v>Solution / Check data in database according to new logics                </v>
      </c>
      <c r="C1798" s="82">
        <f>IFERROR(__xludf.DUMMYFUNCTION("""COMPUTED_VALUE"""),5262.0)</f>
        <v>5262</v>
      </c>
      <c r="D1798" s="76" t="str">
        <f>IFERROR(__xludf.DUMMYFUNCTION("""COMPUTED_VALUE"""),"Marksheet old")</f>
        <v>Marksheet old</v>
      </c>
      <c r="E1798" s="84">
        <f>IFERROR(__xludf.DUMMYFUNCTION("""COMPUTED_VALUE"""),46190.73402777778)</f>
        <v>46190.73403</v>
      </c>
      <c r="F1798" s="86">
        <f>IFERROR(__xludf.DUMMYFUNCTION("""COMPUTED_VALUE"""),46190.54079517361)</f>
        <v>46190.5408</v>
      </c>
      <c r="G1798" s="86" t="str">
        <f>IFERROR(__xludf.DUMMYFUNCTION("""COMPUTED_VALUE"""),"Done")</f>
        <v>Done</v>
      </c>
      <c r="H1798" s="88">
        <f>IFERROR(__xludf.DUMMYFUNCTION("""COMPUTED_VALUE"""),0.0)</f>
        <v>0</v>
      </c>
      <c r="I1798" s="90" t="str">
        <f>IFERROR(__xludf.DUMMYFUNCTION("""COMPUTED_VALUE"""),"EMP0237 Swarnendu Chakraborty")</f>
        <v>EMP0237 Swarnendu Chakraborty</v>
      </c>
      <c r="J1798" s="91"/>
    </row>
    <row r="1799">
      <c r="B1799" s="76" t="str">
        <f>IFERROR(__xludf.DUMMYFUNCTION("""COMPUTED_VALUE"""),"Solution / Check data in database according to new logics                ")</f>
        <v>Solution / Check data in database according to new logics                </v>
      </c>
      <c r="C1799" s="82">
        <f>IFERROR(__xludf.DUMMYFUNCTION("""COMPUTED_VALUE"""),5263.0)</f>
        <v>5263</v>
      </c>
      <c r="D1799" s="76" t="str">
        <f>IFERROR(__xludf.DUMMYFUNCTION("""COMPUTED_VALUE"""),"marksheet new")</f>
        <v>marksheet new</v>
      </c>
      <c r="E1799" s="84">
        <f>IFERROR(__xludf.DUMMYFUNCTION("""COMPUTED_VALUE"""),46190.73472222222)</f>
        <v>46190.73472</v>
      </c>
      <c r="F1799" s="86">
        <f>IFERROR(__xludf.DUMMYFUNCTION("""COMPUTED_VALUE"""),46190.54083788194)</f>
        <v>46190.54084</v>
      </c>
      <c r="G1799" s="86" t="str">
        <f>IFERROR(__xludf.DUMMYFUNCTION("""COMPUTED_VALUE"""),"Done")</f>
        <v>Done</v>
      </c>
      <c r="H1799" s="88">
        <f>IFERROR(__xludf.DUMMYFUNCTION("""COMPUTED_VALUE"""),0.0)</f>
        <v>0</v>
      </c>
      <c r="I1799" s="90" t="str">
        <f>IFERROR(__xludf.DUMMYFUNCTION("""COMPUTED_VALUE"""),"EMP0237 Swarnendu Chakraborty")</f>
        <v>EMP0237 Swarnendu Chakraborty</v>
      </c>
      <c r="J1799" s="91"/>
    </row>
    <row r="1800">
      <c r="B1800" s="76" t="str">
        <f>IFERROR(__xludf.DUMMYFUNCTION("""COMPUTED_VALUE"""),"Solution / Check data in database according to new logics                ")</f>
        <v>Solution / Check data in database according to new logics                </v>
      </c>
      <c r="C1800" s="82">
        <f>IFERROR(__xludf.DUMMYFUNCTION("""COMPUTED_VALUE"""),5264.0)</f>
        <v>5264</v>
      </c>
      <c r="D1800" s="76" t="str">
        <f>IFERROR(__xludf.DUMMYFUNCTION("""COMPUTED_VALUE"""),"Marksheet")</f>
        <v>Marksheet</v>
      </c>
      <c r="E1800" s="84">
        <f>IFERROR(__xludf.DUMMYFUNCTION("""COMPUTED_VALUE"""),46190.736805555556)</f>
        <v>46190.73681</v>
      </c>
      <c r="F1800" s="86">
        <f>IFERROR(__xludf.DUMMYFUNCTION("""COMPUTED_VALUE"""),46189.819448125)</f>
        <v>46189.81945</v>
      </c>
      <c r="G1800" s="86" t="str">
        <f>IFERROR(__xludf.DUMMYFUNCTION("""COMPUTED_VALUE"""),"Done")</f>
        <v>Done</v>
      </c>
      <c r="H1800" s="88">
        <f>IFERROR(__xludf.DUMMYFUNCTION("""COMPUTED_VALUE"""),0.0)</f>
        <v>0</v>
      </c>
      <c r="I1800" s="90" t="str">
        <f>IFERROR(__xludf.DUMMYFUNCTION("""COMPUTED_VALUE"""),"EMP5009 Rup Kumar Mandal")</f>
        <v>EMP5009 Rup Kumar Mandal</v>
      </c>
      <c r="J1800" s="91"/>
    </row>
    <row r="1801">
      <c r="B1801" s="76" t="str">
        <f>IFERROR(__xludf.DUMMYFUNCTION("""COMPUTED_VALUE"""),"Solution / Check data in database according to new logics                ")</f>
        <v>Solution / Check data in database according to new logics                </v>
      </c>
      <c r="C1801" s="82">
        <f>IFERROR(__xludf.DUMMYFUNCTION("""COMPUTED_VALUE"""),5265.0)</f>
        <v>5265</v>
      </c>
      <c r="D1801" s="76" t="str">
        <f>IFERROR(__xludf.DUMMYFUNCTION("""COMPUTED_VALUE"""),"payment report")</f>
        <v>payment report</v>
      </c>
      <c r="E1801" s="84">
        <f>IFERROR(__xludf.DUMMYFUNCTION("""COMPUTED_VALUE"""),46190.73888888889)</f>
        <v>46190.73889</v>
      </c>
      <c r="F1801" s="86">
        <f>IFERROR(__xludf.DUMMYFUNCTION("""COMPUTED_VALUE"""),46189.819460949075)</f>
        <v>46189.81946</v>
      </c>
      <c r="G1801" s="86" t="str">
        <f>IFERROR(__xludf.DUMMYFUNCTION("""COMPUTED_VALUE"""),"Done")</f>
        <v>Done</v>
      </c>
      <c r="H1801" s="88">
        <f>IFERROR(__xludf.DUMMYFUNCTION("""COMPUTED_VALUE"""),0.0)</f>
        <v>0</v>
      </c>
      <c r="I1801" s="90" t="str">
        <f>IFERROR(__xludf.DUMMYFUNCTION("""COMPUTED_VALUE"""),"EMP5009 Rup Kumar Mandal")</f>
        <v>EMP5009 Rup Kumar Mandal</v>
      </c>
      <c r="J1801" s="91"/>
    </row>
    <row r="1802">
      <c r="B1802" s="76" t="str">
        <f>IFERROR(__xludf.DUMMYFUNCTION("""COMPUTED_VALUE"""),"Solution / Check data in database according to new logics                ")</f>
        <v>Solution / Check data in database according to new logics                </v>
      </c>
      <c r="C1802" s="82">
        <f>IFERROR(__xludf.DUMMYFUNCTION("""COMPUTED_VALUE"""),5266.0)</f>
        <v>5266</v>
      </c>
      <c r="D1802" s="76" t="str">
        <f>IFERROR(__xludf.DUMMYFUNCTION("""COMPUTED_VALUE"""),"B.Pharm 4th Semester  Session - 2024-25 (S) TR correction.")</f>
        <v>B.Pharm 4th Semester  Session - 2024-25 (S) TR correction.</v>
      </c>
      <c r="E1802" s="84">
        <f>IFERROR(__xludf.DUMMYFUNCTION("""COMPUTED_VALUE"""),46191.48263888889)</f>
        <v>46191.48264</v>
      </c>
      <c r="F1802" s="86">
        <f>IFERROR(__xludf.DUMMYFUNCTION("""COMPUTED_VALUE"""),46189.63121407407)</f>
        <v>46189.63121</v>
      </c>
      <c r="G1802" s="86" t="str">
        <f>IFERROR(__xludf.DUMMYFUNCTION("""COMPUTED_VALUE"""),"Done")</f>
        <v>Done</v>
      </c>
      <c r="H1802" s="88">
        <f>IFERROR(__xludf.DUMMYFUNCTION("""COMPUTED_VALUE"""),0.0)</f>
        <v>0</v>
      </c>
      <c r="I1802" s="90" t="str">
        <f>IFERROR(__xludf.DUMMYFUNCTION("""COMPUTED_VALUE"""),"EMP5009 Rup Kumar Mandal")</f>
        <v>EMP5009 Rup Kumar Mandal</v>
      </c>
      <c r="J1802" s="91"/>
    </row>
    <row r="1803">
      <c r="B1803" s="76" t="str">
        <f>IFERROR(__xludf.DUMMYFUNCTION("""COMPUTED_VALUE"""),"Solution / Check data in database according to new logics                ")</f>
        <v>Solution / Check data in database according to new logics                </v>
      </c>
      <c r="C1803" s="82">
        <f>IFERROR(__xludf.DUMMYFUNCTION("""COMPUTED_VALUE"""),5267.0)</f>
        <v>5267</v>
      </c>
      <c r="D1803" s="76" t="str">
        <f>IFERROR(__xludf.DUMMYFUNCTION("""COMPUTED_VALUE"""),"	NURSING GRADE CARD")</f>
        <v>	NURSING GRADE CARD</v>
      </c>
      <c r="E1803" s="84">
        <f>IFERROR(__xludf.DUMMYFUNCTION("""COMPUTED_VALUE"""),46191.55416666667)</f>
        <v>46191.55417</v>
      </c>
      <c r="F1803" s="86">
        <f>IFERROR(__xludf.DUMMYFUNCTION("""COMPUTED_VALUE"""),46189.8192490625)</f>
        <v>46189.81925</v>
      </c>
      <c r="G1803" s="86" t="str">
        <f>IFERROR(__xludf.DUMMYFUNCTION("""COMPUTED_VALUE"""),"Done")</f>
        <v>Done</v>
      </c>
      <c r="H1803" s="88">
        <f>IFERROR(__xludf.DUMMYFUNCTION("""COMPUTED_VALUE"""),0.0)</f>
        <v>0</v>
      </c>
      <c r="I1803" s="90" t="str">
        <f>IFERROR(__xludf.DUMMYFUNCTION("""COMPUTED_VALUE"""),"EMP0042 HULESHWAR KUMAR SAHU")</f>
        <v>EMP0042 HULESHWAR KUMAR SAHU</v>
      </c>
      <c r="J1803" s="91"/>
    </row>
    <row r="1804">
      <c r="B1804" s="76" t="str">
        <f>IFERROR(__xludf.DUMMYFUNCTION("""COMPUTED_VALUE"""),"Solution / Check data in database according to new logics                ")</f>
        <v>Solution / Check data in database according to new logics                </v>
      </c>
      <c r="C1804" s="82">
        <f>IFERROR(__xludf.DUMMYFUNCTION("""COMPUTED_VALUE"""),5268.0)</f>
        <v>5268</v>
      </c>
      <c r="D1804" s="76" t="str">
        <f>IFERROR(__xludf.DUMMYFUNCTION("""COMPUTED_VALUE"""),"Mark Foil for Teacher")</f>
        <v>Mark Foil for Teacher</v>
      </c>
      <c r="E1804" s="84">
        <f>IFERROR(__xludf.DUMMYFUNCTION("""COMPUTED_VALUE"""),46191.76041666667)</f>
        <v>46191.76042</v>
      </c>
      <c r="F1804" s="86">
        <f>IFERROR(__xludf.DUMMYFUNCTION("""COMPUTED_VALUE"""),46190.71120106482)</f>
        <v>46190.7112</v>
      </c>
      <c r="G1804" s="86" t="str">
        <f>IFERROR(__xludf.DUMMYFUNCTION("""COMPUTED_VALUE"""),"Done")</f>
        <v>Done</v>
      </c>
      <c r="H1804" s="88">
        <f>IFERROR(__xludf.DUMMYFUNCTION("""COMPUTED_VALUE"""),0.0)</f>
        <v>0</v>
      </c>
      <c r="I1804" s="90" t="str">
        <f>IFERROR(__xludf.DUMMYFUNCTION("""COMPUTED_VALUE"""),"EMP0042 HULESHWAR KUMAR SAHU")</f>
        <v>EMP0042 HULESHWAR KUMAR SAHU</v>
      </c>
      <c r="J1804" s="91"/>
    </row>
    <row r="1805">
      <c r="B1805" s="76" t="str">
        <f>IFERROR(__xludf.DUMMYFUNCTION("""COMPUTED_VALUE"""),"Solution / Check data in database according to new logics                ")</f>
        <v>Solution / Check data in database according to new logics                </v>
      </c>
      <c r="C1805" s="82">
        <f>IFERROR(__xludf.DUMMYFUNCTION("""COMPUTED_VALUE"""),5269.0)</f>
        <v>5269</v>
      </c>
      <c r="D1805" s="76" t="str">
        <f>IFERROR(__xludf.DUMMYFUNCTION("""COMPUTED_VALUE"""),"30,013,382")</f>
        <v>30,013,382</v>
      </c>
      <c r="E1805" s="84">
        <f>IFERROR(__xludf.DUMMYFUNCTION("""COMPUTED_VALUE"""),46192.45833333333)</f>
        <v>46192.45833</v>
      </c>
      <c r="F1805" s="86">
        <f>IFERROR(__xludf.DUMMYFUNCTION("""COMPUTED_VALUE"""),46191.521619837964)</f>
        <v>46191.52162</v>
      </c>
      <c r="G1805" s="86" t="str">
        <f>IFERROR(__xludf.DUMMYFUNCTION("""COMPUTED_VALUE"""),"Done")</f>
        <v>Done</v>
      </c>
      <c r="H1805" s="88">
        <f>IFERROR(__xludf.DUMMYFUNCTION("""COMPUTED_VALUE"""),0.0)</f>
        <v>0</v>
      </c>
      <c r="I1805" s="90" t="str">
        <f>IFERROR(__xludf.DUMMYFUNCTION("""COMPUTED_VALUE"""),"EMP0042 HULESHWAR KUMAR SAHU")</f>
        <v>EMP0042 HULESHWAR KUMAR SAHU</v>
      </c>
      <c r="J1805" s="91"/>
    </row>
    <row r="1806">
      <c r="B1806" s="76" t="str">
        <f>IFERROR(__xludf.DUMMYFUNCTION("""COMPUTED_VALUE"""),"Solution / Check data in database according to new logics                ")</f>
        <v>Solution / Check data in database according to new logics                </v>
      </c>
      <c r="C1806" s="82">
        <f>IFERROR(__xludf.DUMMYFUNCTION("""COMPUTED_VALUE"""),5270.0)</f>
        <v>5270</v>
      </c>
      <c r="D1806" s="76" t="str">
        <f>IFERROR(__xludf.DUMMYFUNCTION("""COMPUTED_VALUE"""),"NEP DIGI LOCKER DATA CORRECTION")</f>
        <v>NEP DIGI LOCKER DATA CORRECTION</v>
      </c>
      <c r="E1806" s="84">
        <f>IFERROR(__xludf.DUMMYFUNCTION("""COMPUTED_VALUE"""),46192.53472222222)</f>
        <v>46192.53472</v>
      </c>
      <c r="F1806" s="86">
        <f>IFERROR(__xludf.DUMMYFUNCTION("""COMPUTED_VALUE"""),46191.70963677084)</f>
        <v>46191.70964</v>
      </c>
      <c r="G1806" s="86" t="str">
        <f>IFERROR(__xludf.DUMMYFUNCTION("""COMPUTED_VALUE"""),"Done")</f>
        <v>Done</v>
      </c>
      <c r="H1806" s="88">
        <f>IFERROR(__xludf.DUMMYFUNCTION("""COMPUTED_VALUE"""),0.0)</f>
        <v>0</v>
      </c>
      <c r="I1806" s="90" t="str">
        <f>IFERROR(__xludf.DUMMYFUNCTION("""COMPUTED_VALUE"""),"EMP0042 HULESHWAR KUMAR SAHU")</f>
        <v>EMP0042 HULESHWAR KUMAR SAHU</v>
      </c>
      <c r="J1806" s="91"/>
    </row>
    <row r="1807">
      <c r="B1807" s="76" t="str">
        <f>IFERROR(__xludf.DUMMYFUNCTION("""COMPUTED_VALUE"""),"Solution / Check data in database according to new logics                ")</f>
        <v>Solution / Check data in database according to new logics                </v>
      </c>
      <c r="C1807" s="82">
        <f>IFERROR(__xludf.DUMMYFUNCTION("""COMPUTED_VALUE"""),5271.0)</f>
        <v>5271</v>
      </c>
      <c r="D1807" s="76" t="str">
        <f>IFERROR(__xludf.DUMMYFUNCTION("""COMPUTED_VALUE"""),"NAD ")</f>
        <v>NAD </v>
      </c>
      <c r="E1807" s="84">
        <f>IFERROR(__xludf.DUMMYFUNCTION("""COMPUTED_VALUE"""),46192.78958333333)</f>
        <v>46192.78958</v>
      </c>
      <c r="F1807" s="86">
        <f>IFERROR(__xludf.DUMMYFUNCTION("""COMPUTED_VALUE"""),46191.51327018518)</f>
        <v>46191.51327</v>
      </c>
      <c r="G1807" s="86" t="str">
        <f>IFERROR(__xludf.DUMMYFUNCTION("""COMPUTED_VALUE"""),"Done")</f>
        <v>Done</v>
      </c>
      <c r="H1807" s="88">
        <f>IFERROR(__xludf.DUMMYFUNCTION("""COMPUTED_VALUE"""),0.0)</f>
        <v>0</v>
      </c>
      <c r="I1807" s="90" t="str">
        <f>IFERROR(__xludf.DUMMYFUNCTION("""COMPUTED_VALUE"""),"EMP5009 Rup Kumar Mandal")</f>
        <v>EMP5009 Rup Kumar Mandal</v>
      </c>
      <c r="J1807" s="91"/>
    </row>
    <row r="1808">
      <c r="B1808" s="76" t="str">
        <f>IFERROR(__xludf.DUMMYFUNCTION("""COMPUTED_VALUE"""),"Solution / Check data in database according to new logics                ")</f>
        <v>Solution / Check data in database according to new logics                </v>
      </c>
      <c r="C1808" s="82">
        <f>IFERROR(__xludf.DUMMYFUNCTION("""COMPUTED_VALUE"""),5272.0)</f>
        <v>5272</v>
      </c>
      <c r="D1808" s="76" t="str">
        <f>IFERROR(__xludf.DUMMYFUNCTION("""COMPUTED_VALUE"""),"students data")</f>
        <v>students data</v>
      </c>
      <c r="E1808" s="84">
        <f>IFERROR(__xludf.DUMMYFUNCTION("""COMPUTED_VALUE"""),46192.79583333334)</f>
        <v>46192.79583</v>
      </c>
      <c r="F1808" s="86">
        <f>IFERROR(__xludf.DUMMYFUNCTION("""COMPUTED_VALUE"""),46191.53271075231)</f>
        <v>46191.53271</v>
      </c>
      <c r="G1808" s="86" t="str">
        <f>IFERROR(__xludf.DUMMYFUNCTION("""COMPUTED_VALUE"""),"Done")</f>
        <v>Done</v>
      </c>
      <c r="H1808" s="88">
        <f>IFERROR(__xludf.DUMMYFUNCTION("""COMPUTED_VALUE"""),0.0)</f>
        <v>0</v>
      </c>
      <c r="I1808" s="90" t="str">
        <f>IFERROR(__xludf.DUMMYFUNCTION("""COMPUTED_VALUE"""),"EMP0042 HULESHWAR KUMAR SAHU")</f>
        <v>EMP0042 HULESHWAR KUMAR SAHU</v>
      </c>
      <c r="J1808" s="91"/>
    </row>
    <row r="1809">
      <c r="B1809" s="76" t="str">
        <f>IFERROR(__xludf.DUMMYFUNCTION("""COMPUTED_VALUE"""),"Solution / Check data in database according to new logics                ")</f>
        <v>Solution / Check data in database according to new logics                </v>
      </c>
      <c r="C1809" s="82">
        <f>IFERROR(__xludf.DUMMYFUNCTION("""COMPUTED_VALUE"""),5273.0)</f>
        <v>5273</v>
      </c>
      <c r="D1809" s="76" t="str">
        <f>IFERROR(__xludf.DUMMYFUNCTION("""COMPUTED_VALUE"""),"P.G 2nd Sem Attendance Sheet Blank Session-2025-2027")</f>
        <v>P.G 2nd Sem Attendance Sheet Blank Session-2025-2027</v>
      </c>
      <c r="E1809" s="84">
        <f>IFERROR(__xludf.DUMMYFUNCTION("""COMPUTED_VALUE"""),46193.75833333333)</f>
        <v>46193.75833</v>
      </c>
      <c r="F1809" s="86">
        <f>IFERROR(__xludf.DUMMYFUNCTION("""COMPUTED_VALUE"""),46192.515727418984)</f>
        <v>46192.51573</v>
      </c>
      <c r="G1809" s="86" t="str">
        <f>IFERROR(__xludf.DUMMYFUNCTION("""COMPUTED_VALUE"""),"Done")</f>
        <v>Done</v>
      </c>
      <c r="H1809" s="88">
        <f>IFERROR(__xludf.DUMMYFUNCTION("""COMPUTED_VALUE"""),0.0)</f>
        <v>0</v>
      </c>
      <c r="I1809" s="90" t="str">
        <f>IFERROR(__xludf.DUMMYFUNCTION("""COMPUTED_VALUE"""),"EMP5009 Rup Kumar Mandal")</f>
        <v>EMP5009 Rup Kumar Mandal</v>
      </c>
      <c r="J1809" s="91"/>
    </row>
    <row r="1810">
      <c r="B1810" s="76" t="str">
        <f>IFERROR(__xludf.DUMMYFUNCTION("""COMPUTED_VALUE"""),"Solution / Check data in database according to new logics                ")</f>
        <v>Solution / Check data in database according to new logics                </v>
      </c>
      <c r="C1810" s="82">
        <f>IFERROR(__xludf.DUMMYFUNCTION("""COMPUTED_VALUE"""),5274.0)</f>
        <v>5274</v>
      </c>
      <c r="D1810" s="76" t="str">
        <f>IFERROR(__xludf.DUMMYFUNCTION("""COMPUTED_VALUE"""),"studnet subject mapping ")</f>
        <v>studnet subject mapping </v>
      </c>
      <c r="E1810" s="84">
        <f>IFERROR(__xludf.DUMMYFUNCTION("""COMPUTED_VALUE"""),46195.49375)</f>
        <v>46195.49375</v>
      </c>
      <c r="F1810" s="86">
        <f>IFERROR(__xludf.DUMMYFUNCTION("""COMPUTED_VALUE"""),46192.66745674769)</f>
        <v>46192.66746</v>
      </c>
      <c r="G1810" s="86" t="str">
        <f>IFERROR(__xludf.DUMMYFUNCTION("""COMPUTED_VALUE"""),"Done")</f>
        <v>Done</v>
      </c>
      <c r="H1810" s="88">
        <f>IFERROR(__xludf.DUMMYFUNCTION("""COMPUTED_VALUE"""),0.0)</f>
        <v>0</v>
      </c>
      <c r="I1810" s="90" t="str">
        <f>IFERROR(__xludf.DUMMYFUNCTION("""COMPUTED_VALUE"""),"EMP0042 HULESHWAR KUMAR SAHU")</f>
        <v>EMP0042 HULESHWAR KUMAR SAHU</v>
      </c>
      <c r="J1810" s="91"/>
    </row>
    <row r="1811">
      <c r="B1811" s="76" t="str">
        <f>IFERROR(__xludf.DUMMYFUNCTION("""COMPUTED_VALUE"""),"Solution / Check data in database according to new logics                ")</f>
        <v>Solution / Check data in database according to new logics                </v>
      </c>
      <c r="C1811" s="82">
        <f>IFERROR(__xludf.DUMMYFUNCTION("""COMPUTED_VALUE"""),5275.0)</f>
        <v>5275</v>
      </c>
      <c r="D1811" s="76" t="str">
        <f>IFERROR(__xludf.DUMMYFUNCTION("""COMPUTED_VALUE"""),"NEP DIGI LOCKER CORRECTION")</f>
        <v>NEP DIGI LOCKER CORRECTION</v>
      </c>
      <c r="E1811" s="84">
        <f>IFERROR(__xludf.DUMMYFUNCTION("""COMPUTED_VALUE"""),46195.56041666667)</f>
        <v>46195.56042</v>
      </c>
      <c r="F1811" s="86">
        <f>IFERROR(__xludf.DUMMYFUNCTION("""COMPUTED_VALUE"""),46192.79033100694)</f>
        <v>46192.79033</v>
      </c>
      <c r="G1811" s="86" t="str">
        <f>IFERROR(__xludf.DUMMYFUNCTION("""COMPUTED_VALUE"""),"Done")</f>
        <v>Done</v>
      </c>
      <c r="H1811" s="88">
        <f>IFERROR(__xludf.DUMMYFUNCTION("""COMPUTED_VALUE"""),0.0)</f>
        <v>0</v>
      </c>
      <c r="I1811" s="90" t="str">
        <f>IFERROR(__xludf.DUMMYFUNCTION("""COMPUTED_VALUE"""),"EMP0042 HULESHWAR KUMAR SAHU")</f>
        <v>EMP0042 HULESHWAR KUMAR SAHU</v>
      </c>
      <c r="J1811" s="91"/>
    </row>
    <row r="1812">
      <c r="B1812" s="76" t="str">
        <f>IFERROR(__xludf.DUMMYFUNCTION("""COMPUTED_VALUE"""),"Solution / Check data in database according to new logics                ")</f>
        <v>Solution / Check data in database according to new logics                </v>
      </c>
      <c r="C1812" s="82">
        <f>IFERROR(__xludf.DUMMYFUNCTION("""COMPUTED_VALUE"""),5276.0)</f>
        <v>5276</v>
      </c>
      <c r="D1812" s="76" t="str">
        <f>IFERROR(__xludf.DUMMYFUNCTION("""COMPUTED_VALUE"""),"	TR PARAMEDICAL Old Logic")</f>
        <v>	TR PARAMEDICAL Old Logic</v>
      </c>
      <c r="E1812" s="84">
        <f>IFERROR(__xludf.DUMMYFUNCTION("""COMPUTED_VALUE"""),46195.586805555555)</f>
        <v>46195.58681</v>
      </c>
      <c r="F1812" s="86">
        <f>IFERROR(__xludf.DUMMYFUNCTION("""COMPUTED_VALUE"""),46192.790347118054)</f>
        <v>46192.79035</v>
      </c>
      <c r="G1812" s="86" t="str">
        <f>IFERROR(__xludf.DUMMYFUNCTION("""COMPUTED_VALUE"""),"Done")</f>
        <v>Done</v>
      </c>
      <c r="H1812" s="88">
        <f>IFERROR(__xludf.DUMMYFUNCTION("""COMPUTED_VALUE"""),0.0)</f>
        <v>0</v>
      </c>
      <c r="I1812" s="90" t="str">
        <f>IFERROR(__xludf.DUMMYFUNCTION("""COMPUTED_VALUE"""),"EMP0042 HULESHWAR KUMAR SAHU")</f>
        <v>EMP0042 HULESHWAR KUMAR SAHU</v>
      </c>
      <c r="J1812" s="91"/>
    </row>
    <row r="1813">
      <c r="B1813" s="76" t="str">
        <f>IFERROR(__xludf.DUMMYFUNCTION("""COMPUTED_VALUE"""),"Solution / Check data in database according to new logics                ")</f>
        <v>Solution / Check data in database according to new logics                </v>
      </c>
      <c r="C1813" s="82">
        <f>IFERROR(__xludf.DUMMYFUNCTION("""COMPUTED_VALUE"""),5277.0)</f>
        <v>5277</v>
      </c>
      <c r="D1813" s="76" t="str">
        <f>IFERROR(__xludf.DUMMYFUNCTION("""COMPUTED_VALUE"""),"packet_detail_report.jasper")</f>
        <v>packet_detail_report.jasper</v>
      </c>
      <c r="E1813" s="84">
        <f>IFERROR(__xludf.DUMMYFUNCTION("""COMPUTED_VALUE"""),46195.82291666667)</f>
        <v>46195.82292</v>
      </c>
      <c r="F1813" s="86">
        <f>IFERROR(__xludf.DUMMYFUNCTION("""COMPUTED_VALUE"""),46193.65265164351)</f>
        <v>46193.65265</v>
      </c>
      <c r="G1813" s="86" t="str">
        <f>IFERROR(__xludf.DUMMYFUNCTION("""COMPUTED_VALUE"""),"Done")</f>
        <v>Done</v>
      </c>
      <c r="H1813" s="88">
        <f>IFERROR(__xludf.DUMMYFUNCTION("""COMPUTED_VALUE"""),0.0)</f>
        <v>0</v>
      </c>
      <c r="I1813" s="90" t="str">
        <f>IFERROR(__xludf.DUMMYFUNCTION("""COMPUTED_VALUE"""),"EMP5009 Rup Kumar Mandal")</f>
        <v>EMP5009 Rup Kumar Mandal</v>
      </c>
      <c r="J1813" s="91"/>
    </row>
    <row r="1814">
      <c r="B1814" s="76" t="str">
        <f>IFERROR(__xludf.DUMMYFUNCTION("""COMPUTED_VALUE"""),"Solution / Check data in database according to new logics                ")</f>
        <v>Solution / Check data in database according to new logics                </v>
      </c>
      <c r="C1814" s="82">
        <f>IFERROR(__xludf.DUMMYFUNCTION("""COMPUTED_VALUE"""),5278.0)</f>
        <v>5278</v>
      </c>
      <c r="D1814" s="76" t="str">
        <f>IFERROR(__xludf.DUMMYFUNCTION("""COMPUTED_VALUE"""),"Evaluation report anna.")</f>
        <v>Evaluation report anna.</v>
      </c>
      <c r="E1814" s="84">
        <f>IFERROR(__xludf.DUMMYFUNCTION("""COMPUTED_VALUE"""),46196.44236111111)</f>
        <v>46196.44236</v>
      </c>
      <c r="F1814" s="86">
        <f>IFERROR(__xludf.DUMMYFUNCTION("""COMPUTED_VALUE"""),46193.65265164351)</f>
        <v>46193.65265</v>
      </c>
      <c r="G1814" s="86" t="str">
        <f>IFERROR(__xludf.DUMMYFUNCTION("""COMPUTED_VALUE"""),"Done")</f>
        <v>Done</v>
      </c>
      <c r="H1814" s="88">
        <f>IFERROR(__xludf.DUMMYFUNCTION("""COMPUTED_VALUE"""),0.0)</f>
        <v>0</v>
      </c>
      <c r="I1814" s="90" t="str">
        <f>IFERROR(__xludf.DUMMYFUNCTION("""COMPUTED_VALUE"""),"EMP5009 Rup Kumar Mandal")</f>
        <v>EMP5009 Rup Kumar Mandal</v>
      </c>
      <c r="J1814" s="91"/>
    </row>
    <row r="1815">
      <c r="B1815" s="76" t="str">
        <f>IFERROR(__xludf.DUMMYFUNCTION("""COMPUTED_VALUE"""),"Solution / Check data in database according to new logics                ")</f>
        <v>Solution / Check data in database according to new logics                </v>
      </c>
      <c r="C1815" s="82">
        <f>IFERROR(__xludf.DUMMYFUNCTION("""COMPUTED_VALUE"""),5279.0)</f>
        <v>5279</v>
      </c>
      <c r="D1815" s="76" t="str">
        <f>IFERROR(__xludf.DUMMYFUNCTION("""COMPUTED_VALUE"""),"SMKV")</f>
        <v>SMKV</v>
      </c>
      <c r="E1815" s="84">
        <f>IFERROR(__xludf.DUMMYFUNCTION("""COMPUTED_VALUE"""),46196.55625)</f>
        <v>46196.55625</v>
      </c>
      <c r="F1815" s="86">
        <f>IFERROR(__xludf.DUMMYFUNCTION("""COMPUTED_VALUE"""),46195.50152614583)</f>
        <v>46195.50153</v>
      </c>
      <c r="G1815" s="86" t="str">
        <f>IFERROR(__xludf.DUMMYFUNCTION("""COMPUTED_VALUE"""),"Done")</f>
        <v>Done</v>
      </c>
      <c r="H1815" s="88">
        <f>IFERROR(__xludf.DUMMYFUNCTION("""COMPUTED_VALUE"""),0.0)</f>
        <v>0</v>
      </c>
      <c r="I1815" s="90" t="str">
        <f>IFERROR(__xludf.DUMMYFUNCTION("""COMPUTED_VALUE"""),"EMP0042 HULESHWAR KUMAR SAHU")</f>
        <v>EMP0042 HULESHWAR KUMAR SAHU</v>
      </c>
      <c r="J1815" s="91"/>
    </row>
    <row r="1816">
      <c r="B1816" s="76" t="str">
        <f>IFERROR(__xludf.DUMMYFUNCTION("""COMPUTED_VALUE"""),"Solution / Check data in database according to new logics                ")</f>
        <v>Solution / Check data in database according to new logics                </v>
      </c>
      <c r="C1816" s="82">
        <f>IFERROR(__xludf.DUMMYFUNCTION("""COMPUTED_VALUE"""),5280.0)</f>
        <v>5280</v>
      </c>
      <c r="D1816" s="76" t="str">
        <f>IFERROR(__xludf.DUMMYFUNCTION("""COMPUTED_VALUE"""),"SMKV ")</f>
        <v>SMKV </v>
      </c>
      <c r="E1816" s="84">
        <f>IFERROR(__xludf.DUMMYFUNCTION("""COMPUTED_VALUE"""),46196.55694444444)</f>
        <v>46196.55694</v>
      </c>
      <c r="F1816" s="86">
        <f>IFERROR(__xludf.DUMMYFUNCTION("""COMPUTED_VALUE"""),46195.501544108796)</f>
        <v>46195.50154</v>
      </c>
      <c r="G1816" s="86" t="str">
        <f>IFERROR(__xludf.DUMMYFUNCTION("""COMPUTED_VALUE"""),"Done")</f>
        <v>Done</v>
      </c>
      <c r="H1816" s="88">
        <f>IFERROR(__xludf.DUMMYFUNCTION("""COMPUTED_VALUE"""),0.0)</f>
        <v>0</v>
      </c>
      <c r="I1816" s="90" t="str">
        <f>IFERROR(__xludf.DUMMYFUNCTION("""COMPUTED_VALUE"""),"EMP0042 HULESHWAR KUMAR SAHU")</f>
        <v>EMP0042 HULESHWAR KUMAR SAHU</v>
      </c>
      <c r="J1816" s="91"/>
    </row>
    <row r="1817">
      <c r="B1817" s="76" t="str">
        <f>IFERROR(__xludf.DUMMYFUNCTION("""COMPUTED_VALUE"""),"Solution / Check data in database according to new logics                ")</f>
        <v>Solution / Check data in database according to new logics                </v>
      </c>
      <c r="C1817" s="82">
        <f>IFERROR(__xludf.DUMMYFUNCTION("""COMPUTED_VALUE"""),5281.0)</f>
        <v>5281</v>
      </c>
      <c r="D1817" s="76" t="str">
        <f>IFERROR(__xludf.DUMMYFUNCTION("""COMPUTED_VALUE"""),"SMKV")</f>
        <v>SMKV</v>
      </c>
      <c r="E1817" s="84">
        <f>IFERROR(__xludf.DUMMYFUNCTION("""COMPUTED_VALUE"""),46196.55763888889)</f>
        <v>46196.55764</v>
      </c>
      <c r="F1817" s="86">
        <f>IFERROR(__xludf.DUMMYFUNCTION("""COMPUTED_VALUE"""),46195.501569976856)</f>
        <v>46195.50157</v>
      </c>
      <c r="G1817" s="86" t="str">
        <f>IFERROR(__xludf.DUMMYFUNCTION("""COMPUTED_VALUE"""),"Done")</f>
        <v>Done</v>
      </c>
      <c r="H1817" s="88">
        <f>IFERROR(__xludf.DUMMYFUNCTION("""COMPUTED_VALUE"""),0.0)</f>
        <v>0</v>
      </c>
      <c r="I1817" s="90" t="str">
        <f>IFERROR(__xludf.DUMMYFUNCTION("""COMPUTED_VALUE"""),"EMP0042 HULESHWAR KUMAR SAHU")</f>
        <v>EMP0042 HULESHWAR KUMAR SAHU</v>
      </c>
      <c r="J1817" s="91"/>
    </row>
    <row r="1818">
      <c r="B1818" s="76" t="str">
        <f>IFERROR(__xludf.DUMMYFUNCTION("""COMPUTED_VALUE"""),"Solution / Check data in database according to new logics                ")</f>
        <v>Solution / Check data in database according to new logics                </v>
      </c>
      <c r="C1818" s="82">
        <f>IFERROR(__xludf.DUMMYFUNCTION("""COMPUTED_VALUE"""),5282.0)</f>
        <v>5282</v>
      </c>
      <c r="D1818" s="76" t="str">
        <f>IFERROR(__xludf.DUMMYFUNCTION("""COMPUTED_VALUE"""),"Manual_Cash_Counter")</f>
        <v>Manual_Cash_Counter</v>
      </c>
      <c r="E1818" s="84">
        <f>IFERROR(__xludf.DUMMYFUNCTION("""COMPUTED_VALUE"""),46196.80208333333)</f>
        <v>46196.80208</v>
      </c>
      <c r="F1818" s="86">
        <f>IFERROR(__xludf.DUMMYFUNCTION("""COMPUTED_VALUE"""),46196.559962175925)</f>
        <v>46196.55996</v>
      </c>
      <c r="G1818" s="86" t="str">
        <f>IFERROR(__xludf.DUMMYFUNCTION("""COMPUTED_VALUE"""),"Done")</f>
        <v>Done</v>
      </c>
      <c r="H1818" s="88">
        <f>IFERROR(__xludf.DUMMYFUNCTION("""COMPUTED_VALUE"""),0.0)</f>
        <v>0</v>
      </c>
      <c r="I1818" s="90" t="str">
        <f>IFERROR(__xludf.DUMMYFUNCTION("""COMPUTED_VALUE"""),"EMP5009 Rup Kumar Mandal")</f>
        <v>EMP5009 Rup Kumar Mandal</v>
      </c>
      <c r="J1818" s="91"/>
    </row>
    <row r="1819">
      <c r="B1819" s="76" t="str">
        <f>IFERROR(__xludf.DUMMYFUNCTION("""COMPUTED_VALUE"""),"Solution / Check data in database according to new logics                ")</f>
        <v>Solution / Check data in database according to new logics                </v>
      </c>
      <c r="C1819" s="82">
        <f>IFERROR(__xludf.DUMMYFUNCTION("""COMPUTED_VALUE"""),5283.0)</f>
        <v>5283</v>
      </c>
      <c r="D1819" s="76" t="str">
        <f>IFERROR(__xludf.DUMMYFUNCTION("""COMPUTED_VALUE"""),"Studentwise Cash Counter")</f>
        <v>Studentwise Cash Counter</v>
      </c>
      <c r="E1819" s="84">
        <f>IFERROR(__xludf.DUMMYFUNCTION("""COMPUTED_VALUE"""),46196.802777777775)</f>
        <v>46196.80278</v>
      </c>
      <c r="F1819" s="86">
        <f>IFERROR(__xludf.DUMMYFUNCTION("""COMPUTED_VALUE"""),46196.55997984954)</f>
        <v>46196.55998</v>
      </c>
      <c r="G1819" s="86" t="str">
        <f>IFERROR(__xludf.DUMMYFUNCTION("""COMPUTED_VALUE"""),"Done")</f>
        <v>Done</v>
      </c>
      <c r="H1819" s="88">
        <f>IFERROR(__xludf.DUMMYFUNCTION("""COMPUTED_VALUE"""),0.0)</f>
        <v>0</v>
      </c>
      <c r="I1819" s="90" t="str">
        <f>IFERROR(__xludf.DUMMYFUNCTION("""COMPUTED_VALUE"""),"EMP5009 Rup Kumar Mandal")</f>
        <v>EMP5009 Rup Kumar Mandal</v>
      </c>
      <c r="J1819" s="91"/>
    </row>
    <row r="1820">
      <c r="B1820" s="76" t="str">
        <f>IFERROR(__xludf.DUMMYFUNCTION("""COMPUTED_VALUE"""),"Solution / Check data in database according to new logics                ")</f>
        <v>Solution / Check data in database according to new logics                </v>
      </c>
      <c r="C1820" s="82">
        <f>IFERROR(__xludf.DUMMYFUNCTION("""COMPUTED_VALUE"""),5284.0)</f>
        <v>5284</v>
      </c>
      <c r="D1820" s="76" t="str">
        <f>IFERROR(__xludf.DUMMYFUNCTION("""COMPUTED_VALUE"""),"evaluation report anna.")</f>
        <v>evaluation report anna.</v>
      </c>
      <c r="E1820" s="84">
        <f>IFERROR(__xludf.DUMMYFUNCTION("""COMPUTED_VALUE"""),46197.53263888889)</f>
        <v>46197.53264</v>
      </c>
      <c r="F1820" s="86">
        <f>IFERROR(__xludf.DUMMYFUNCTION("""COMPUTED_VALUE"""),46196.7782529051)</f>
        <v>46196.77825</v>
      </c>
      <c r="G1820" s="86" t="str">
        <f>IFERROR(__xludf.DUMMYFUNCTION("""COMPUTED_VALUE"""),"Done")</f>
        <v>Done</v>
      </c>
      <c r="H1820" s="88">
        <f>IFERROR(__xludf.DUMMYFUNCTION("""COMPUTED_VALUE"""),0.0)</f>
        <v>0</v>
      </c>
      <c r="I1820" s="90" t="str">
        <f>IFERROR(__xludf.DUMMYFUNCTION("""COMPUTED_VALUE"""),"EMP5009 Rup Kumar Mandal")</f>
        <v>EMP5009 Rup Kumar Mandal</v>
      </c>
      <c r="J1820" s="91"/>
    </row>
    <row r="1821">
      <c r="B1821" s="76" t="str">
        <f>IFERROR(__xludf.DUMMYFUNCTION("""COMPUTED_VALUE"""),"Solution / Check data in database according to new logics                ")</f>
        <v>Solution / Check data in database according to new logics                </v>
      </c>
      <c r="C1821" s="82">
        <f>IFERROR(__xludf.DUMMYFUNCTION("""COMPUTED_VALUE"""),5285.0)</f>
        <v>5285</v>
      </c>
      <c r="D1821" s="76" t="str">
        <f>IFERROR(__xludf.DUMMYFUNCTION("""COMPUTED_VALUE"""),"MULTIPLE REPORT")</f>
        <v>MULTIPLE REPORT</v>
      </c>
      <c r="E1821" s="84">
        <f>IFERROR(__xludf.DUMMYFUNCTION("""COMPUTED_VALUE"""),46197.53402777778)</f>
        <v>46197.53403</v>
      </c>
      <c r="F1821" s="86">
        <f>IFERROR(__xludf.DUMMYFUNCTION("""COMPUTED_VALUE"""),46197.49032203703)</f>
        <v>46197.49032</v>
      </c>
      <c r="G1821" s="86" t="str">
        <f>IFERROR(__xludf.DUMMYFUNCTION("""COMPUTED_VALUE"""),"Done")</f>
        <v>Done</v>
      </c>
      <c r="H1821" s="88">
        <f>IFERROR(__xludf.DUMMYFUNCTION("""COMPUTED_VALUE"""),0.0)</f>
        <v>0</v>
      </c>
      <c r="I1821" s="90" t="str">
        <f>IFERROR(__xludf.DUMMYFUNCTION("""COMPUTED_VALUE"""),"EMP0042 HULESHWAR KUMAR SAHU")</f>
        <v>EMP0042 HULESHWAR KUMAR SAHU</v>
      </c>
      <c r="J1821" s="91"/>
    </row>
    <row r="1822">
      <c r="B1822" s="76" t="str">
        <f>IFERROR(__xludf.DUMMYFUNCTION("""COMPUTED_VALUE"""),"Solution / Check data in database according to new logics                ")</f>
        <v>Solution / Check data in database according to new logics                </v>
      </c>
      <c r="C1822" s="82">
        <f>IFERROR(__xludf.DUMMYFUNCTION("""COMPUTED_VALUE"""),5286.0)</f>
        <v>5286</v>
      </c>
      <c r="D1822" s="76" t="str">
        <f>IFERROR(__xludf.DUMMYFUNCTION("""COMPUTED_VALUE"""),"2781")</f>
        <v>2781</v>
      </c>
      <c r="E1822" s="84">
        <f>IFERROR(__xludf.DUMMYFUNCTION("""COMPUTED_VALUE"""),46198.42916666667)</f>
        <v>46198.42917</v>
      </c>
      <c r="F1822" s="86">
        <f>IFERROR(__xludf.DUMMYFUNCTION("""COMPUTED_VALUE"""),46198.406847094906)</f>
        <v>46198.40685</v>
      </c>
      <c r="G1822" s="86" t="str">
        <f>IFERROR(__xludf.DUMMYFUNCTION("""COMPUTED_VALUE"""),"Done")</f>
        <v>Done</v>
      </c>
      <c r="H1822" s="88">
        <f>IFERROR(__xludf.DUMMYFUNCTION("""COMPUTED_VALUE"""),0.0)</f>
        <v>0</v>
      </c>
      <c r="I1822" s="90" t="str">
        <f>IFERROR(__xludf.DUMMYFUNCTION("""COMPUTED_VALUE"""),"EMP5009 Rup Kumar Mandal")</f>
        <v>EMP5009 Rup Kumar Mandal</v>
      </c>
      <c r="J1822" s="91"/>
    </row>
    <row r="1823">
      <c r="B1823" s="76" t="str">
        <f>IFERROR(__xludf.DUMMYFUNCTION("""COMPUTED_VALUE"""),"Solution / Check data in database according to new logics                ")</f>
        <v>Solution / Check data in database according to new logics                </v>
      </c>
      <c r="C1823" s="82">
        <f>IFERROR(__xludf.DUMMYFUNCTION("""COMPUTED_VALUE"""),5287.0)</f>
        <v>5287</v>
      </c>
      <c r="D1823" s="76" t="str">
        <f>IFERROR(__xludf.DUMMYFUNCTION("""COMPUTED_VALUE"""),"TR REPORT")</f>
        <v>TR REPORT</v>
      </c>
      <c r="E1823" s="84">
        <f>IFERROR(__xludf.DUMMYFUNCTION("""COMPUTED_VALUE"""),46198.76388888889)</f>
        <v>46198.76389</v>
      </c>
      <c r="F1823" s="86">
        <f>IFERROR(__xludf.DUMMYFUNCTION("""COMPUTED_VALUE"""),46198.47336199074)</f>
        <v>46198.47336</v>
      </c>
      <c r="G1823" s="86" t="str">
        <f>IFERROR(__xludf.DUMMYFUNCTION("""COMPUTED_VALUE"""),"Done")</f>
        <v>Done</v>
      </c>
      <c r="H1823" s="88">
        <f>IFERROR(__xludf.DUMMYFUNCTION("""COMPUTED_VALUE"""),0.0)</f>
        <v>0</v>
      </c>
      <c r="I1823" s="90" t="str">
        <f>IFERROR(__xludf.DUMMYFUNCTION("""COMPUTED_VALUE"""),"EMP0237 Swarnendu Chakraborty")</f>
        <v>EMP0237 Swarnendu Chakraborty</v>
      </c>
      <c r="J1823" s="91"/>
    </row>
    <row r="1824">
      <c r="B1824" s="76" t="str">
        <f>IFERROR(__xludf.DUMMYFUNCTION("""COMPUTED_VALUE"""),"Solution / Check data in database according to new logics                ")</f>
        <v>Solution / Check data in database according to new logics                </v>
      </c>
      <c r="C1824" s="82">
        <f>IFERROR(__xludf.DUMMYFUNCTION("""COMPUTED_VALUE"""),5288.0)</f>
        <v>5288</v>
      </c>
      <c r="D1824" s="76" t="str">
        <f>IFERROR(__xludf.DUMMYFUNCTION("""COMPUTED_VALUE"""),"5coltrsem6sem_elective_back_")</f>
        <v>5coltrsem6sem_elective_back_</v>
      </c>
      <c r="E1824" s="84">
        <f>IFERROR(__xludf.DUMMYFUNCTION("""COMPUTED_VALUE"""),46198.794444444444)</f>
        <v>46198.79444</v>
      </c>
      <c r="F1824" s="86">
        <f>IFERROR(__xludf.DUMMYFUNCTION("""COMPUTED_VALUE"""),46197.62865607639)</f>
        <v>46197.62866</v>
      </c>
      <c r="G1824" s="86" t="str">
        <f>IFERROR(__xludf.DUMMYFUNCTION("""COMPUTED_VALUE"""),"Done")</f>
        <v>Done</v>
      </c>
      <c r="H1824" s="88">
        <f>IFERROR(__xludf.DUMMYFUNCTION("""COMPUTED_VALUE"""),0.0)</f>
        <v>0</v>
      </c>
      <c r="I1824" s="90" t="str">
        <f>IFERROR(__xludf.DUMMYFUNCTION("""COMPUTED_VALUE"""),"EMP0042 HULESHWAR KUMAR SAHU")</f>
        <v>EMP0042 HULESHWAR KUMAR SAHU</v>
      </c>
      <c r="J1824" s="91"/>
    </row>
    <row r="1825">
      <c r="B1825" s="76" t="str">
        <f>IFERROR(__xludf.DUMMYFUNCTION("""COMPUTED_VALUE"""),"Solution / Check data in database according to new logics                ")</f>
        <v>Solution / Check data in database according to new logics                </v>
      </c>
      <c r="C1825" s="82">
        <f>IFERROR(__xludf.DUMMYFUNCTION("""COMPUTED_VALUE"""),5289.0)</f>
        <v>5289</v>
      </c>
      <c r="D1825" s="76" t="str">
        <f>IFERROR(__xludf.DUMMYFUNCTION("""COMPUTED_VALUE"""),"Marksheet (D.PHARMA)")</f>
        <v>Marksheet (D.PHARMA)</v>
      </c>
      <c r="E1825" s="84">
        <f>IFERROR(__xludf.DUMMYFUNCTION("""COMPUTED_VALUE"""),46198.802777777775)</f>
        <v>46198.80278</v>
      </c>
      <c r="F1825" s="86">
        <f>IFERROR(__xludf.DUMMYFUNCTION("""COMPUTED_VALUE"""),46197.58766928241)</f>
        <v>46197.58767</v>
      </c>
      <c r="G1825" s="86" t="str">
        <f>IFERROR(__xludf.DUMMYFUNCTION("""COMPUTED_VALUE"""),"Done")</f>
        <v>Done</v>
      </c>
      <c r="H1825" s="88">
        <f>IFERROR(__xludf.DUMMYFUNCTION("""COMPUTED_VALUE"""),0.0)</f>
        <v>0</v>
      </c>
      <c r="I1825" s="90" t="str">
        <f>IFERROR(__xludf.DUMMYFUNCTION("""COMPUTED_VALUE"""),"EMP0042 HULESHWAR KUMAR SAHU")</f>
        <v>EMP0042 HULESHWAR KUMAR SAHU</v>
      </c>
      <c r="J1825" s="91"/>
    </row>
    <row r="1826">
      <c r="B1826" s="76" t="str">
        <f>IFERROR(__xludf.DUMMYFUNCTION("""COMPUTED_VALUE"""),"Solution / Check data in database according to new logics                ")</f>
        <v>Solution / Check data in database according to new logics                </v>
      </c>
      <c r="C1826" s="82">
        <f>IFERROR(__xludf.DUMMYFUNCTION("""COMPUTED_VALUE"""),5290.0)</f>
        <v>5290</v>
      </c>
      <c r="D1826" s="76" t="str">
        <f>IFERROR(__xludf.DUMMYFUNCTION("""COMPUTED_VALUE"""),"gradaecard4-btech")</f>
        <v>gradaecard4-btech</v>
      </c>
      <c r="E1826" s="84">
        <f>IFERROR(__xludf.DUMMYFUNCTION("""COMPUTED_VALUE"""),46198.81736111111)</f>
        <v>46198.81736</v>
      </c>
      <c r="F1826" s="86">
        <f>IFERROR(__xludf.DUMMYFUNCTION("""COMPUTED_VALUE"""),46197.80340563657)</f>
        <v>46197.80341</v>
      </c>
      <c r="G1826" s="86" t="str">
        <f>IFERROR(__xludf.DUMMYFUNCTION("""COMPUTED_VALUE"""),"Done")</f>
        <v>Done</v>
      </c>
      <c r="H1826" s="88">
        <f>IFERROR(__xludf.DUMMYFUNCTION("""COMPUTED_VALUE"""),0.0)</f>
        <v>0</v>
      </c>
      <c r="I1826" s="90" t="str">
        <f>IFERROR(__xludf.DUMMYFUNCTION("""COMPUTED_VALUE"""),"EMP0042 HULESHWAR KUMAR SAHU")</f>
        <v>EMP0042 HULESHWAR KUMAR SAHU</v>
      </c>
      <c r="J1826" s="91"/>
    </row>
    <row r="1827">
      <c r="B1827" s="76" t="str">
        <f>IFERROR(__xludf.DUMMYFUNCTION("""COMPUTED_VALUE"""),"Solution / Check data in database according to new logics                ")</f>
        <v>Solution / Check data in database according to new logics                </v>
      </c>
      <c r="C1827" s="82">
        <f>IFERROR(__xludf.DUMMYFUNCTION("""COMPUTED_VALUE"""),5291.0)</f>
        <v>5291</v>
      </c>
      <c r="D1827" s="76" t="str">
        <f>IFERROR(__xludf.DUMMYFUNCTION("""COMPUTED_VALUE"""),"Student wise form report")</f>
        <v>Student wise form report</v>
      </c>
      <c r="E1827" s="84">
        <f>IFERROR(__xludf.DUMMYFUNCTION("""COMPUTED_VALUE"""),46198.82916666666)</f>
        <v>46198.82917</v>
      </c>
      <c r="F1827" s="86">
        <f>IFERROR(__xludf.DUMMYFUNCTION("""COMPUTED_VALUE"""),46198.498661273145)</f>
        <v>46198.49866</v>
      </c>
      <c r="G1827" s="86" t="str">
        <f>IFERROR(__xludf.DUMMYFUNCTION("""COMPUTED_VALUE"""),"Done")</f>
        <v>Done</v>
      </c>
      <c r="H1827" s="88">
        <f>IFERROR(__xludf.DUMMYFUNCTION("""COMPUTED_VALUE"""),0.0)</f>
        <v>0</v>
      </c>
      <c r="I1827" s="90" t="str">
        <f>IFERROR(__xludf.DUMMYFUNCTION("""COMPUTED_VALUE"""),"EMP0237 Swarnendu Chakraborty")</f>
        <v>EMP0237 Swarnendu Chakraborty</v>
      </c>
      <c r="J1827" s="91"/>
    </row>
    <row r="1828">
      <c r="B1828" s="76" t="str">
        <f>IFERROR(__xludf.DUMMYFUNCTION("""COMPUTED_VALUE"""),"Solution / Check data in database according to new logics                ")</f>
        <v>Solution / Check data in database according to new logics                </v>
      </c>
      <c r="C1828" s="82">
        <f>IFERROR(__xludf.DUMMYFUNCTION("""COMPUTED_VALUE"""),5292.0)</f>
        <v>5292</v>
      </c>
      <c r="D1828" s="76" t="str">
        <f>IFERROR(__xludf.DUMMYFUNCTION("""COMPUTED_VALUE"""),"SESSION WISE RESULT SUMMARY ")</f>
        <v>SESSION WISE RESULT SUMMARY </v>
      </c>
      <c r="E1828" s="84">
        <f>IFERROR(__xludf.DUMMYFUNCTION("""COMPUTED_VALUE"""),46199.44097222222)</f>
        <v>46199.44097</v>
      </c>
      <c r="F1828" s="86">
        <f>IFERROR(__xludf.DUMMYFUNCTION("""COMPUTED_VALUE"""),46199.4538412037)</f>
        <v>46199.45384</v>
      </c>
      <c r="G1828" s="86" t="str">
        <f>IFERROR(__xludf.DUMMYFUNCTION("""COMPUTED_VALUE"""),"Done")</f>
        <v>Done</v>
      </c>
      <c r="H1828" s="88">
        <f>IFERROR(__xludf.DUMMYFUNCTION("""COMPUTED_VALUE"""),0.012868981482408493)</f>
        <v>0.01286898148</v>
      </c>
      <c r="I1828" s="90" t="str">
        <f>IFERROR(__xludf.DUMMYFUNCTION("""COMPUTED_VALUE"""),"EMP0237 Swarnendu Chakraborty")</f>
        <v>EMP0237 Swarnendu Chakraborty</v>
      </c>
      <c r="J1828" s="91"/>
    </row>
    <row r="1829">
      <c r="B1829" s="76" t="str">
        <f>IFERROR(__xludf.DUMMYFUNCTION("""COMPUTED_VALUE"""),"Solution / Check data in database according to new logics                ")</f>
        <v>Solution / Check data in database according to new logics                </v>
      </c>
      <c r="C1829" s="82">
        <f>IFERROR(__xludf.DUMMYFUNCTION("""COMPUTED_VALUE"""),5293.0)</f>
        <v>5293</v>
      </c>
      <c r="D1829" s="76" t="str">
        <f>IFERROR(__xludf.DUMMYFUNCTION("""COMPUTED_VALUE"""),"Analytics Deshbord report")</f>
        <v>Analytics Deshbord report</v>
      </c>
      <c r="E1829" s="84">
        <f>IFERROR(__xludf.DUMMYFUNCTION("""COMPUTED_VALUE"""),46199.555555555555)</f>
        <v>46199.55556</v>
      </c>
      <c r="F1829" s="86">
        <f>IFERROR(__xludf.DUMMYFUNCTION("""COMPUTED_VALUE"""),46199.45427130787)</f>
        <v>46199.45427</v>
      </c>
      <c r="G1829" s="86" t="str">
        <f>IFERROR(__xludf.DUMMYFUNCTION("""COMPUTED_VALUE"""),"Done")</f>
        <v>Done</v>
      </c>
      <c r="H1829" s="88">
        <f>IFERROR(__xludf.DUMMYFUNCTION("""COMPUTED_VALUE"""),0.0)</f>
        <v>0</v>
      </c>
      <c r="I1829" s="90" t="str">
        <f>IFERROR(__xludf.DUMMYFUNCTION("""COMPUTED_VALUE"""),"EMP0237 Swarnendu Chakraborty")</f>
        <v>EMP0237 Swarnendu Chakraborty</v>
      </c>
      <c r="J1829" s="91"/>
    </row>
    <row r="1830">
      <c r="B1830" s="76" t="str">
        <f>IFERROR(__xludf.DUMMYFUNCTION("""COMPUTED_VALUE"""),"Solution / Check data in database according to new logics                ")</f>
        <v>Solution / Check data in database according to new logics                </v>
      </c>
      <c r="C1830" s="82">
        <f>IFERROR(__xludf.DUMMYFUNCTION("""COMPUTED_VALUE"""),5294.0)</f>
        <v>5294</v>
      </c>
      <c r="D1830" s="76" t="str">
        <f>IFERROR(__xludf.DUMMYFUNCTION("""COMPUTED_VALUE"""),"TR MBA 4th sem( With division )")</f>
        <v>TR MBA 4th sem( With division )</v>
      </c>
      <c r="E1830" s="84">
        <f>IFERROR(__xludf.DUMMYFUNCTION("""COMPUTED_VALUE"""),46199.75347222222)</f>
        <v>46199.75347</v>
      </c>
      <c r="F1830" s="86">
        <f>IFERROR(__xludf.DUMMYFUNCTION("""COMPUTED_VALUE"""),46198.70390635417)</f>
        <v>46198.70391</v>
      </c>
      <c r="G1830" s="86" t="str">
        <f>IFERROR(__xludf.DUMMYFUNCTION("""COMPUTED_VALUE"""),"Done")</f>
        <v>Done</v>
      </c>
      <c r="H1830" s="88">
        <f>IFERROR(__xludf.DUMMYFUNCTION("""COMPUTED_VALUE"""),0.0)</f>
        <v>0</v>
      </c>
      <c r="I1830" s="90" t="str">
        <f>IFERROR(__xludf.DUMMYFUNCTION("""COMPUTED_VALUE"""),"EMP0042 HULESHWAR KUMAR SAHU")</f>
        <v>EMP0042 HULESHWAR KUMAR SAHU</v>
      </c>
      <c r="J1830" s="91"/>
    </row>
    <row r="1831">
      <c r="B1831" s="76" t="str">
        <f>IFERROR(__xludf.DUMMYFUNCTION("""COMPUTED_VALUE"""),"Solution / Check data in database according to new logics                ")</f>
        <v>Solution / Check data in database according to new logics                </v>
      </c>
      <c r="C1831" s="82">
        <f>IFERROR(__xludf.DUMMYFUNCTION("""COMPUTED_VALUE"""),5295.0)</f>
        <v>5295</v>
      </c>
      <c r="D1831" s="76" t="str">
        <f>IFERROR(__xludf.DUMMYFUNCTION("""COMPUTED_VALUE"""),"NAD DATA")</f>
        <v>NAD DATA</v>
      </c>
      <c r="E1831" s="84">
        <f>IFERROR(__xludf.DUMMYFUNCTION("""COMPUTED_VALUE"""),46199.77986111111)</f>
        <v>46199.77986</v>
      </c>
      <c r="F1831" s="86">
        <f>IFERROR(__xludf.DUMMYFUNCTION("""COMPUTED_VALUE"""),46199.61757971064)</f>
        <v>46199.61758</v>
      </c>
      <c r="G1831" s="86" t="str">
        <f>IFERROR(__xludf.DUMMYFUNCTION("""COMPUTED_VALUE"""),"Done")</f>
        <v>Done</v>
      </c>
      <c r="H1831" s="88">
        <f>IFERROR(__xludf.DUMMYFUNCTION("""COMPUTED_VALUE"""),0.0)</f>
        <v>0</v>
      </c>
      <c r="I1831" s="90" t="str">
        <f>IFERROR(__xludf.DUMMYFUNCTION("""COMPUTED_VALUE"""),"EMP0237 Swarnendu Chakraborty")</f>
        <v>EMP0237 Swarnendu Chakraborty</v>
      </c>
      <c r="J1831" s="91"/>
    </row>
    <row r="1832">
      <c r="B1832" s="76" t="str">
        <f>IFERROR(__xludf.DUMMYFUNCTION("""COMPUTED_VALUE"""),"Solution / Check data in database according to new logics                ")</f>
        <v>Solution / Check data in database according to new logics                </v>
      </c>
      <c r="C1832" s="82">
        <f>IFERROR(__xludf.DUMMYFUNCTION("""COMPUTED_VALUE"""),5296.0)</f>
        <v>5296</v>
      </c>
      <c r="D1832" s="76" t="str">
        <f>IFERROR(__xludf.DUMMYFUNCTION("""COMPUTED_VALUE"""),"ATTESTATION SHEET ")</f>
        <v>ATTESTATION SHEET </v>
      </c>
      <c r="E1832" s="84">
        <f>IFERROR(__xludf.DUMMYFUNCTION("""COMPUTED_VALUE"""),46199.79305555555)</f>
        <v>46199.79306</v>
      </c>
      <c r="F1832" s="86">
        <f>IFERROR(__xludf.DUMMYFUNCTION("""COMPUTED_VALUE"""),46199.46784722222)</f>
        <v>46199.46785</v>
      </c>
      <c r="G1832" s="86" t="str">
        <f>IFERROR(__xludf.DUMMYFUNCTION("""COMPUTED_VALUE"""),"Done")</f>
        <v>Done</v>
      </c>
      <c r="H1832" s="88">
        <f>IFERROR(__xludf.DUMMYFUNCTION("""COMPUTED_VALUE"""),0.0)</f>
        <v>0</v>
      </c>
      <c r="I1832" s="90" t="str">
        <f>IFERROR(__xludf.DUMMYFUNCTION("""COMPUTED_VALUE"""),"EMP5009 Rup Kumar Mandal")</f>
        <v>EMP5009 Rup Kumar Mandal</v>
      </c>
      <c r="J1832" s="91"/>
    </row>
    <row r="1833">
      <c r="B1833" s="76" t="str">
        <f>IFERROR(__xludf.DUMMYFUNCTION("""COMPUTED_VALUE"""),"Solution / Check data in database according to new logics                ")</f>
        <v>Solution / Check data in database according to new logics                </v>
      </c>
      <c r="C1833" s="82">
        <f>IFERROR(__xludf.DUMMYFUNCTION("""COMPUTED_VALUE"""),5297.0)</f>
        <v>5297</v>
      </c>
      <c r="D1833" s="76" t="str">
        <f>IFERROR(__xludf.DUMMYFUNCTION("""COMPUTED_VALUE"""),"NAD data ")</f>
        <v>NAD data </v>
      </c>
      <c r="E1833" s="84">
        <f>IFERROR(__xludf.DUMMYFUNCTION("""COMPUTED_VALUE"""),46200.61944444444)</f>
        <v>46200.61944</v>
      </c>
      <c r="F1833" s="86">
        <f>IFERROR(__xludf.DUMMYFUNCTION("""COMPUTED_VALUE"""),46199.467854525465)</f>
        <v>46199.46785</v>
      </c>
      <c r="G1833" s="86" t="str">
        <f>IFERROR(__xludf.DUMMYFUNCTION("""COMPUTED_VALUE"""),"Done")</f>
        <v>Done</v>
      </c>
      <c r="H1833" s="88">
        <f>IFERROR(__xludf.DUMMYFUNCTION("""COMPUTED_VALUE"""),0.0)</f>
        <v>0</v>
      </c>
      <c r="I1833" s="90" t="str">
        <f>IFERROR(__xludf.DUMMYFUNCTION("""COMPUTED_VALUE"""),"EMP5009 Rup Kumar Mandal")</f>
        <v>EMP5009 Rup Kumar Mandal</v>
      </c>
      <c r="J1833" s="91"/>
    </row>
    <row r="1834">
      <c r="B1834" s="76" t="str">
        <f>IFERROR(__xludf.DUMMYFUNCTION("""COMPUTED_VALUE"""),"Solution / Check data in database according to new logics                ")</f>
        <v>Solution / Check data in database according to new logics                </v>
      </c>
      <c r="C1834" s="82">
        <f>IFERROR(__xludf.DUMMYFUNCTION("""COMPUTED_VALUE"""),5298.0)</f>
        <v>5298</v>
      </c>
      <c r="D1834" s="76" t="str">
        <f>IFERROR(__xludf.DUMMYFUNCTION("""COMPUTED_VALUE"""),"Attendance Sheet PG &amp; PHD")</f>
        <v>Attendance Sheet PG &amp; PHD</v>
      </c>
      <c r="E1834" s="84">
        <f>IFERROR(__xludf.DUMMYFUNCTION("""COMPUTED_VALUE"""),46200.66111111111)</f>
        <v>46200.66111</v>
      </c>
      <c r="F1834" s="86">
        <f>IFERROR(__xludf.DUMMYFUNCTION("""COMPUTED_VALUE"""),46198.80370503472)</f>
        <v>46198.80371</v>
      </c>
      <c r="G1834" s="86" t="str">
        <f>IFERROR(__xludf.DUMMYFUNCTION("""COMPUTED_VALUE"""),"Done")</f>
        <v>Done</v>
      </c>
      <c r="H1834" s="88">
        <f>IFERROR(__xludf.DUMMYFUNCTION("""COMPUTED_VALUE"""),0.0)</f>
        <v>0</v>
      </c>
      <c r="I1834" s="90" t="str">
        <f>IFERROR(__xludf.DUMMYFUNCTION("""COMPUTED_VALUE"""),"EMP0021 Tamanna Dewangan")</f>
        <v>EMP0021 Tamanna Dewangan</v>
      </c>
      <c r="J1834" s="91"/>
    </row>
    <row r="1835">
      <c r="B1835" s="76" t="str">
        <f>IFERROR(__xludf.DUMMYFUNCTION("""COMPUTED_VALUE"""),"Solution / Check data in database according to new logics                ")</f>
        <v>Solution / Check data in database according to new logics                </v>
      </c>
      <c r="C1835" s="82">
        <f>IFERROR(__xludf.DUMMYFUNCTION("""COMPUTED_VALUE"""),5299.0)</f>
        <v>5299</v>
      </c>
      <c r="D1835" s="76" t="str">
        <f>IFERROR(__xludf.DUMMYFUNCTION("""COMPUTED_VALUE"""),"Summary For PG/PHD")</f>
        <v>Summary For PG/PHD</v>
      </c>
      <c r="E1835" s="84">
        <f>IFERROR(__xludf.DUMMYFUNCTION("""COMPUTED_VALUE"""),46200.6625)</f>
        <v>46200.6625</v>
      </c>
      <c r="F1835" s="86">
        <f>IFERROR(__xludf.DUMMYFUNCTION("""COMPUTED_VALUE"""),46198.80372800926)</f>
        <v>46198.80373</v>
      </c>
      <c r="G1835" s="86" t="str">
        <f>IFERROR(__xludf.DUMMYFUNCTION("""COMPUTED_VALUE"""),"Done")</f>
        <v>Done</v>
      </c>
      <c r="H1835" s="88">
        <f>IFERROR(__xludf.DUMMYFUNCTION("""COMPUTED_VALUE"""),0.0)</f>
        <v>0</v>
      </c>
      <c r="I1835" s="90" t="str">
        <f>IFERROR(__xludf.DUMMYFUNCTION("""COMPUTED_VALUE"""),"EMP0021 Tamanna Dewangan")</f>
        <v>EMP0021 Tamanna Dewangan</v>
      </c>
      <c r="J1835" s="91"/>
    </row>
    <row r="1836">
      <c r="B1836" s="76" t="str">
        <f>IFERROR(__xludf.DUMMYFUNCTION("""COMPUTED_VALUE"""),"Solution / Check data in database according to new logics                ")</f>
        <v>Solution / Check data in database according to new logics                </v>
      </c>
      <c r="C1836" s="82">
        <f>IFERROR(__xludf.DUMMYFUNCTION("""COMPUTED_VALUE"""),5300.0)</f>
        <v>5300</v>
      </c>
      <c r="D1836" s="76" t="str">
        <f>IFERROR(__xludf.DUMMYFUNCTION("""COMPUTED_VALUE"""),"Cover Page")</f>
        <v>Cover Page</v>
      </c>
      <c r="E1836" s="84">
        <f>IFERROR(__xludf.DUMMYFUNCTION("""COMPUTED_VALUE"""),46200.663888888885)</f>
        <v>46200.66389</v>
      </c>
      <c r="F1836" s="86">
        <f>IFERROR(__xludf.DUMMYFUNCTION("""COMPUTED_VALUE"""),46198.80377747685)</f>
        <v>46198.80378</v>
      </c>
      <c r="G1836" s="86" t="str">
        <f>IFERROR(__xludf.DUMMYFUNCTION("""COMPUTED_VALUE"""),"Done")</f>
        <v>Done</v>
      </c>
      <c r="H1836" s="88">
        <f>IFERROR(__xludf.DUMMYFUNCTION("""COMPUTED_VALUE"""),0.0)</f>
        <v>0</v>
      </c>
      <c r="I1836" s="90" t="str">
        <f>IFERROR(__xludf.DUMMYFUNCTION("""COMPUTED_VALUE"""),"EMP0021 Tamanna Dewangan")</f>
        <v>EMP0021 Tamanna Dewangan</v>
      </c>
      <c r="J1836" s="91"/>
    </row>
    <row r="1837">
      <c r="B1837" s="76" t="str">
        <f>IFERROR(__xludf.DUMMYFUNCTION("""COMPUTED_VALUE"""),"Solution / Check data in database according to new logics                ")</f>
        <v>Solution / Check data in database according to new logics                </v>
      </c>
      <c r="C1837" s="82">
        <f>IFERROR(__xludf.DUMMYFUNCTION("""COMPUTED_VALUE"""),5301.0)</f>
        <v>5301</v>
      </c>
      <c r="D1837" s="76" t="str">
        <f>IFERROR(__xludf.DUMMYFUNCTION("""COMPUTED_VALUE"""),"Analysis report")</f>
        <v>Analysis report</v>
      </c>
      <c r="E1837" s="84">
        <f>IFERROR(__xludf.DUMMYFUNCTION("""COMPUTED_VALUE"""),46200.67013888889)</f>
        <v>46200.67014</v>
      </c>
      <c r="F1837" s="86">
        <f>IFERROR(__xludf.DUMMYFUNCTION("""COMPUTED_VALUE"""),46199.382226898146)</f>
        <v>46199.38223</v>
      </c>
      <c r="G1837" s="86" t="str">
        <f>IFERROR(__xludf.DUMMYFUNCTION("""COMPUTED_VALUE"""),"Done")</f>
        <v>Done</v>
      </c>
      <c r="H1837" s="88">
        <f>IFERROR(__xludf.DUMMYFUNCTION("""COMPUTED_VALUE"""),0.0)</f>
        <v>0</v>
      </c>
      <c r="I1837" s="90" t="str">
        <f>IFERROR(__xludf.DUMMYFUNCTION("""COMPUTED_VALUE"""),"EMP0021 Tamanna Dewangan")</f>
        <v>EMP0021 Tamanna Dewangan</v>
      </c>
      <c r="J1837" s="91"/>
    </row>
    <row r="1838">
      <c r="B1838" s="76" t="str">
        <f>IFERROR(__xludf.DUMMYFUNCTION("""COMPUTED_VALUE"""),"Solution / Check data in database according to new logics                ")</f>
        <v>Solution / Check data in database according to new logics                </v>
      </c>
      <c r="C1838" s="82">
        <f>IFERROR(__xludf.DUMMYFUNCTION("""COMPUTED_VALUE"""),5302.0)</f>
        <v>5302</v>
      </c>
      <c r="D1838" s="76" t="str">
        <f>IFERROR(__xludf.DUMMYFUNCTION("""COMPUTED_VALUE"""),"Analytics report")</f>
        <v>Analytics report</v>
      </c>
      <c r="E1838" s="84">
        <f>IFERROR(__xludf.DUMMYFUNCTION("""COMPUTED_VALUE"""),46200.67083333334)</f>
        <v>46200.67083</v>
      </c>
      <c r="F1838" s="86">
        <f>IFERROR(__xludf.DUMMYFUNCTION("""COMPUTED_VALUE"""),46199.38227125)</f>
        <v>46199.38227</v>
      </c>
      <c r="G1838" s="86" t="str">
        <f>IFERROR(__xludf.DUMMYFUNCTION("""COMPUTED_VALUE"""),"Done")</f>
        <v>Done</v>
      </c>
      <c r="H1838" s="88">
        <f>IFERROR(__xludf.DUMMYFUNCTION("""COMPUTED_VALUE"""),0.0)</f>
        <v>0</v>
      </c>
      <c r="I1838" s="90" t="str">
        <f>IFERROR(__xludf.DUMMYFUNCTION("""COMPUTED_VALUE"""),"EMP0021 Tamanna Dewangan")</f>
        <v>EMP0021 Tamanna Dewangan</v>
      </c>
      <c r="J1838" s="91"/>
    </row>
    <row r="1839">
      <c r="B1839" s="76" t="str">
        <f>IFERROR(__xludf.DUMMYFUNCTION("""COMPUTED_VALUE"""),"Solution / Check data in database according to new logics                ")</f>
        <v>Solution / Check data in database according to new logics                </v>
      </c>
      <c r="C1839" s="82">
        <f>IFERROR(__xludf.DUMMYFUNCTION("""COMPUTED_VALUE"""),5303.0)</f>
        <v>5303</v>
      </c>
      <c r="D1839" s="76" t="str">
        <f>IFERROR(__xludf.DUMMYFUNCTION("""COMPUTED_VALUE"""),"otal Student and all matrix count mismatch Eg:999 College")</f>
        <v>otal Student and all matrix count mismatch Eg:999 College</v>
      </c>
      <c r="E1839" s="84">
        <f>IFERROR(__xludf.DUMMYFUNCTION("""COMPUTED_VALUE"""),46200.67152777778)</f>
        <v>46200.67153</v>
      </c>
      <c r="F1839" s="86">
        <f>IFERROR(__xludf.DUMMYFUNCTION("""COMPUTED_VALUE"""),46199.38230238426)</f>
        <v>46199.3823</v>
      </c>
      <c r="G1839" s="86" t="str">
        <f>IFERROR(__xludf.DUMMYFUNCTION("""COMPUTED_VALUE"""),"Done")</f>
        <v>Done</v>
      </c>
      <c r="H1839" s="88">
        <f>IFERROR(__xludf.DUMMYFUNCTION("""COMPUTED_VALUE"""),0.0)</f>
        <v>0</v>
      </c>
      <c r="I1839" s="90" t="str">
        <f>IFERROR(__xludf.DUMMYFUNCTION("""COMPUTED_VALUE"""),"EMP0021 Tamanna Dewangan")</f>
        <v>EMP0021 Tamanna Dewangan</v>
      </c>
      <c r="J1839" s="91"/>
    </row>
    <row r="1840">
      <c r="B1840" s="76" t="str">
        <f>IFERROR(__xludf.DUMMYFUNCTION("""COMPUTED_VALUE"""),"Solution / Check data in database according to new logics                ")</f>
        <v>Solution / Check data in database according to new logics                </v>
      </c>
      <c r="C1840" s="82">
        <f>IFERROR(__xludf.DUMMYFUNCTION("""COMPUTED_VALUE"""),5304.0)</f>
        <v>5304</v>
      </c>
      <c r="D1840" s="76" t="str">
        <f>IFERROR(__xludf.DUMMYFUNCTION("""COMPUTED_VALUE"""),"otal Student and all matrix count mismatch Eg:999 College")</f>
        <v>otal Student and all matrix count mismatch Eg:999 College</v>
      </c>
      <c r="E1840" s="84">
        <f>IFERROR(__xludf.DUMMYFUNCTION("""COMPUTED_VALUE"""),46200.67291666666)</f>
        <v>46200.67292</v>
      </c>
      <c r="F1840" s="86">
        <f>IFERROR(__xludf.DUMMYFUNCTION("""COMPUTED_VALUE"""),46199.382969363425)</f>
        <v>46199.38297</v>
      </c>
      <c r="G1840" s="86" t="str">
        <f>IFERROR(__xludf.DUMMYFUNCTION("""COMPUTED_VALUE"""),"Done")</f>
        <v>Done</v>
      </c>
      <c r="H1840" s="88">
        <f>IFERROR(__xludf.DUMMYFUNCTION("""COMPUTED_VALUE"""),0.0)</f>
        <v>0</v>
      </c>
      <c r="I1840" s="90" t="str">
        <f>IFERROR(__xludf.DUMMYFUNCTION("""COMPUTED_VALUE"""),"EMP0021 Tamanna Dewangan")</f>
        <v>EMP0021 Tamanna Dewangan</v>
      </c>
      <c r="J1840" s="91"/>
    </row>
    <row r="1841">
      <c r="B1841" s="76" t="str">
        <f>IFERROR(__xludf.DUMMYFUNCTION("""COMPUTED_VALUE"""),"Solution / Check data in database according to new logics                ")</f>
        <v>Solution / Check data in database according to new logics                </v>
      </c>
      <c r="C1841" s="82">
        <f>IFERROR(__xludf.DUMMYFUNCTION("""COMPUTED_VALUE"""),5305.0)</f>
        <v>5305</v>
      </c>
      <c r="D1841" s="76" t="str">
        <f>IFERROR(__xludf.DUMMYFUNCTION("""COMPUTED_VALUE"""),"fee details")</f>
        <v>fee details</v>
      </c>
      <c r="E1841" s="84">
        <f>IFERROR(__xludf.DUMMYFUNCTION("""COMPUTED_VALUE"""),46200.674305555556)</f>
        <v>46200.67431</v>
      </c>
      <c r="F1841" s="86">
        <f>IFERROR(__xludf.DUMMYFUNCTION("""COMPUTED_VALUE"""),46199.38301078703)</f>
        <v>46199.38301</v>
      </c>
      <c r="G1841" s="86" t="str">
        <f>IFERROR(__xludf.DUMMYFUNCTION("""COMPUTED_VALUE"""),"Done")</f>
        <v>Done</v>
      </c>
      <c r="H1841" s="88">
        <f>IFERROR(__xludf.DUMMYFUNCTION("""COMPUTED_VALUE"""),0.0)</f>
        <v>0</v>
      </c>
      <c r="I1841" s="90" t="str">
        <f>IFERROR(__xludf.DUMMYFUNCTION("""COMPUTED_VALUE"""),"EMP0021 Tamanna Dewangan")</f>
        <v>EMP0021 Tamanna Dewangan</v>
      </c>
      <c r="J1841" s="91"/>
    </row>
    <row r="1842">
      <c r="B1842" s="76" t="str">
        <f>IFERROR(__xludf.DUMMYFUNCTION("""COMPUTED_VALUE"""),"Solution / Check data in database according to new logics                ")</f>
        <v>Solution / Check data in database according to new logics                </v>
      </c>
      <c r="C1842" s="82">
        <f>IFERROR(__xludf.DUMMYFUNCTION("""COMPUTED_VALUE"""),5306.0)</f>
        <v>5306</v>
      </c>
      <c r="D1842" s="76" t="str">
        <f>IFERROR(__xludf.DUMMYFUNCTION("""COMPUTED_VALUE"""),"DIGI LOKER Data new")</f>
        <v>DIGI LOKER Data new</v>
      </c>
      <c r="E1842" s="84">
        <f>IFERROR(__xludf.DUMMYFUNCTION("""COMPUTED_VALUE"""),46200.725)</f>
        <v>46200.725</v>
      </c>
      <c r="F1842" s="86">
        <f>IFERROR(__xludf.DUMMYFUNCTION("""COMPUTED_VALUE"""),46200.56253892361)</f>
        <v>46200.56254</v>
      </c>
      <c r="G1842" s="86" t="str">
        <f>IFERROR(__xludf.DUMMYFUNCTION("""COMPUTED_VALUE"""),"Done")</f>
        <v>Done</v>
      </c>
      <c r="H1842" s="88">
        <f>IFERROR(__xludf.DUMMYFUNCTION("""COMPUTED_VALUE"""),0.0)</f>
        <v>0</v>
      </c>
      <c r="I1842" s="90" t="str">
        <f>IFERROR(__xludf.DUMMYFUNCTION("""COMPUTED_VALUE"""),"EMP5009 Rup Kumar Mandal")</f>
        <v>EMP5009 Rup Kumar Mandal</v>
      </c>
      <c r="J1842" s="91"/>
    </row>
    <row r="1843">
      <c r="B1843" s="76" t="str">
        <f>IFERROR(__xludf.DUMMYFUNCTION("""COMPUTED_VALUE"""),"Solution / Check data in database according to new logics                ")</f>
        <v>Solution / Check data in database according to new logics                </v>
      </c>
      <c r="C1843" s="82">
        <f>IFERROR(__xludf.DUMMYFUNCTION("""COMPUTED_VALUE"""),5307.0)</f>
        <v>5307</v>
      </c>
      <c r="D1843" s="76" t="str">
        <f>IFERROR(__xludf.DUMMYFUNCTION("""COMPUTED_VALUE"""),"TR BCA ")</f>
        <v>TR BCA </v>
      </c>
      <c r="E1843" s="84">
        <f>IFERROR(__xludf.DUMMYFUNCTION("""COMPUTED_VALUE"""),46202.59722222222)</f>
        <v>46202.59722</v>
      </c>
      <c r="F1843" s="86">
        <f>IFERROR(__xludf.DUMMYFUNCTION("""COMPUTED_VALUE"""),46200.68360372685)</f>
        <v>46200.6836</v>
      </c>
      <c r="G1843" s="86" t="str">
        <f>IFERROR(__xludf.DUMMYFUNCTION("""COMPUTED_VALUE"""),"Done")</f>
        <v>Done</v>
      </c>
      <c r="H1843" s="88">
        <f>IFERROR(__xludf.DUMMYFUNCTION("""COMPUTED_VALUE"""),0.0)</f>
        <v>0</v>
      </c>
      <c r="I1843" s="90" t="str">
        <f>IFERROR(__xludf.DUMMYFUNCTION("""COMPUTED_VALUE"""),"EMP0237 Swarnendu Chakraborty")</f>
        <v>EMP0237 Swarnendu Chakraborty</v>
      </c>
      <c r="J1843" s="91"/>
    </row>
    <row r="1844">
      <c r="B1844" s="76" t="str">
        <f>IFERROR(__xludf.DUMMYFUNCTION("""COMPUTED_VALUE"""),"Solution / Check data in database according to new logics                ")</f>
        <v>Solution / Check data in database according to new logics                </v>
      </c>
      <c r="C1844" s="82">
        <f>IFERROR(__xludf.DUMMYFUNCTION("""COMPUTED_VALUE"""),5308.0)</f>
        <v>5308</v>
      </c>
      <c r="D1844" s="76" t="str">
        <f>IFERROR(__xludf.DUMMYFUNCTION("""COMPUTED_VALUE"""),"MULTIPLE REPORT ")</f>
        <v>MULTIPLE REPORT </v>
      </c>
      <c r="E1844" s="84">
        <f>IFERROR(__xludf.DUMMYFUNCTION("""COMPUTED_VALUE"""),46202.61597222222)</f>
        <v>46202.61597</v>
      </c>
      <c r="F1844" s="86">
        <f>IFERROR(__xludf.DUMMYFUNCTION("""COMPUTED_VALUE"""),46200.68363662037)</f>
        <v>46200.68364</v>
      </c>
      <c r="G1844" s="86" t="str">
        <f>IFERROR(__xludf.DUMMYFUNCTION("""COMPUTED_VALUE"""),"Done")</f>
        <v>Done</v>
      </c>
      <c r="H1844" s="88">
        <f>IFERROR(__xludf.DUMMYFUNCTION("""COMPUTED_VALUE"""),0.0)</f>
        <v>0</v>
      </c>
      <c r="I1844" s="90" t="str">
        <f>IFERROR(__xludf.DUMMYFUNCTION("""COMPUTED_VALUE"""),"EMP0042 HULESHWAR KUMAR SAHU")</f>
        <v>EMP0042 HULESHWAR KUMAR SAHU</v>
      </c>
      <c r="J1844" s="91"/>
    </row>
    <row r="1845">
      <c r="B1845" s="76" t="str">
        <f>IFERROR(__xludf.DUMMYFUNCTION("""COMPUTED_VALUE"""),"Solution / Check data in database according to new logics                ")</f>
        <v>Solution / Check data in database according to new logics                </v>
      </c>
      <c r="C1845" s="82">
        <f>IFERROR(__xludf.DUMMYFUNCTION("""COMPUTED_VALUE"""),5309.0)</f>
        <v>5309</v>
      </c>
      <c r="D1845" s="76" t="str">
        <f>IFERROR(__xludf.DUMMYFUNCTION("""COMPUTED_VALUE"""),"MULTIPLE REPORT")</f>
        <v>MULTIPLE REPORT</v>
      </c>
      <c r="E1845" s="84">
        <f>IFERROR(__xludf.DUMMYFUNCTION("""COMPUTED_VALUE"""),46202.742361111115)</f>
        <v>46202.74236</v>
      </c>
      <c r="F1845" s="86">
        <f>IFERROR(__xludf.DUMMYFUNCTION("""COMPUTED_VALUE"""),46200.683643206015)</f>
        <v>46200.68364</v>
      </c>
      <c r="G1845" s="86" t="str">
        <f>IFERROR(__xludf.DUMMYFUNCTION("""COMPUTED_VALUE"""),"Done")</f>
        <v>Done</v>
      </c>
      <c r="H1845" s="88">
        <f>IFERROR(__xludf.DUMMYFUNCTION("""COMPUTED_VALUE"""),0.0)</f>
        <v>0</v>
      </c>
      <c r="I1845" s="90" t="str">
        <f>IFERROR(__xludf.DUMMYFUNCTION("""COMPUTED_VALUE"""),"EMP0042 HULESHWAR KUMAR SAHU")</f>
        <v>EMP0042 HULESHWAR KUMAR SAHU</v>
      </c>
      <c r="J1845" s="91"/>
    </row>
    <row r="1846">
      <c r="B1846" s="76" t="str">
        <f>IFERROR(__xludf.DUMMYFUNCTION("""COMPUTED_VALUE"""),"Solution / Check data in database according to new logics                ")</f>
        <v>Solution / Check data in database according to new logics                </v>
      </c>
      <c r="C1846" s="82">
        <f>IFERROR(__xludf.DUMMYFUNCTION("""COMPUTED_VALUE"""),5310.0)</f>
        <v>5310</v>
      </c>
      <c r="D1846" s="76" t="str">
        <f>IFERROR(__xludf.DUMMYFUNCTION("""COMPUTED_VALUE"""),"TR/Result hosting -new cbcs tr ")</f>
        <v>TR/Result hosting -new cbcs tr </v>
      </c>
      <c r="E1846" s="84">
        <f>IFERROR(__xludf.DUMMYFUNCTION("""COMPUTED_VALUE"""),46202.75833333333)</f>
        <v>46202.75833</v>
      </c>
      <c r="F1846" s="86">
        <f>IFERROR(__xludf.DUMMYFUNCTION("""COMPUTED_VALUE"""),46200.683678518515)</f>
        <v>46200.68368</v>
      </c>
      <c r="G1846" s="86" t="str">
        <f>IFERROR(__xludf.DUMMYFUNCTION("""COMPUTED_VALUE"""),"Done")</f>
        <v>Done</v>
      </c>
      <c r="H1846" s="88">
        <f>IFERROR(__xludf.DUMMYFUNCTION("""COMPUTED_VALUE"""),0.0)</f>
        <v>0</v>
      </c>
      <c r="I1846" s="90" t="str">
        <f>IFERROR(__xludf.DUMMYFUNCTION("""COMPUTED_VALUE"""),"EMP0237 Swarnendu Chakraborty")</f>
        <v>EMP0237 Swarnendu Chakraborty</v>
      </c>
      <c r="J1846" s="91"/>
    </row>
    <row r="1847">
      <c r="B1847" s="76" t="str">
        <f>IFERROR(__xludf.DUMMYFUNCTION("""COMPUTED_VALUE"""),"Solution / Check data in database according to new logics                ")</f>
        <v>Solution / Check data in database according to new logics                </v>
      </c>
      <c r="C1847" s="82">
        <f>IFERROR(__xludf.DUMMYFUNCTION("""COMPUTED_VALUE"""),5311.0)</f>
        <v>5311</v>
      </c>
      <c r="D1847" s="76" t="str">
        <f>IFERROR(__xludf.DUMMYFUNCTION("""COMPUTED_VALUE"""),"nad")</f>
        <v>nad</v>
      </c>
      <c r="E1847" s="84">
        <f>IFERROR(__xludf.DUMMYFUNCTION("""COMPUTED_VALUE"""),46203.61944444444)</f>
        <v>46203.61944</v>
      </c>
      <c r="F1847" s="86">
        <f>IFERROR(__xludf.DUMMYFUNCTION("""COMPUTED_VALUE"""),46202.65901074075)</f>
        <v>46202.65901</v>
      </c>
      <c r="G1847" s="86" t="str">
        <f>IFERROR(__xludf.DUMMYFUNCTION("""COMPUTED_VALUE"""),"Done")</f>
        <v>Done</v>
      </c>
      <c r="H1847" s="88">
        <f>IFERROR(__xludf.DUMMYFUNCTION("""COMPUTED_VALUE"""),0.0)</f>
        <v>0</v>
      </c>
      <c r="I1847" s="90" t="str">
        <f>IFERROR(__xludf.DUMMYFUNCTION("""COMPUTED_VALUE"""),"EMP5009 Rup Kumar Mandal")</f>
        <v>EMP5009 Rup Kumar Mandal</v>
      </c>
      <c r="J1847" s="91"/>
    </row>
    <row r="1848">
      <c r="B1848" s="76" t="str">
        <f>IFERROR(__xludf.DUMMYFUNCTION("""COMPUTED_VALUE"""),"Solution / Check data in database according to new logics                ")</f>
        <v>Solution / Check data in database according to new logics                </v>
      </c>
      <c r="C1848" s="82">
        <f>IFERROR(__xludf.DUMMYFUNCTION("""COMPUTED_VALUE"""),5312.0)</f>
        <v>5312</v>
      </c>
      <c r="D1848" s="76" t="str">
        <f>IFERROR(__xludf.DUMMYFUNCTION("""COMPUTED_VALUE"""),"tr result new")</f>
        <v>tr result new</v>
      </c>
      <c r="E1848" s="84">
        <f>IFERROR(__xludf.DUMMYFUNCTION("""COMPUTED_VALUE"""),46203.76527777778)</f>
        <v>46203.76528</v>
      </c>
      <c r="F1848" s="86">
        <f>IFERROR(__xludf.DUMMYFUNCTION("""COMPUTED_VALUE"""),46202.65902146991)</f>
        <v>46202.65902</v>
      </c>
      <c r="G1848" s="86" t="str">
        <f>IFERROR(__xludf.DUMMYFUNCTION("""COMPUTED_VALUE"""),"Done")</f>
        <v>Done</v>
      </c>
      <c r="H1848" s="88">
        <f>IFERROR(__xludf.DUMMYFUNCTION("""COMPUTED_VALUE"""),0.0)</f>
        <v>0</v>
      </c>
      <c r="I1848" s="90" t="str">
        <f>IFERROR(__xludf.DUMMYFUNCTION("""COMPUTED_VALUE"""),"EMP0042 HULESHWAR KUMAR SAHU")</f>
        <v>EMP0042 HULESHWAR KUMAR SAHU</v>
      </c>
      <c r="J1848" s="91"/>
    </row>
    <row r="1849">
      <c r="B1849" s="76" t="str">
        <f>IFERROR(__xludf.DUMMYFUNCTION("""COMPUTED_VALUE"""),"Solution / Check data in database according to new logics                ")</f>
        <v>Solution / Check data in database according to new logics                </v>
      </c>
      <c r="C1849" s="82">
        <f>IFERROR(__xludf.DUMMYFUNCTION("""COMPUTED_VALUE"""),5313.0)</f>
        <v>5313</v>
      </c>
      <c r="D1849" s="76" t="str">
        <f>IFERROR(__xludf.DUMMYFUNCTION("""COMPUTED_VALUE"""),"Exam Programme")</f>
        <v>Exam Programme</v>
      </c>
      <c r="E1849" s="84">
        <f>IFERROR(__xludf.DUMMYFUNCTION("""COMPUTED_VALUE"""),46204.55902777778)</f>
        <v>46204.55903</v>
      </c>
      <c r="F1849" s="86">
        <f>IFERROR(__xludf.DUMMYFUNCTION("""COMPUTED_VALUE"""),46202.689628657405)</f>
        <v>46202.68963</v>
      </c>
      <c r="G1849" s="86" t="str">
        <f>IFERROR(__xludf.DUMMYFUNCTION("""COMPUTED_VALUE"""),"Done")</f>
        <v>Done</v>
      </c>
      <c r="H1849" s="88">
        <f>IFERROR(__xludf.DUMMYFUNCTION("""COMPUTED_VALUE"""),0.0)</f>
        <v>0</v>
      </c>
      <c r="I1849" s="90" t="str">
        <f>IFERROR(__xludf.DUMMYFUNCTION("""COMPUTED_VALUE"""),"EMP0042 HULESHWAR KUMAR SAHU")</f>
        <v>EMP0042 HULESHWAR KUMAR SAHU</v>
      </c>
      <c r="J1849" s="91"/>
    </row>
    <row r="1850">
      <c r="B1850" s="76" t="str">
        <f>IFERROR(__xludf.DUMMYFUNCTION("""COMPUTED_VALUE"""),"Solution / Check data in database according to new logics                ")</f>
        <v>Solution / Check data in database according to new logics                </v>
      </c>
      <c r="C1850" s="82">
        <f>IFERROR(__xludf.DUMMYFUNCTION("""COMPUTED_VALUE"""),5314.0)</f>
        <v>5314</v>
      </c>
      <c r="D1850" s="76" t="str">
        <f>IFERROR(__xludf.DUMMYFUNCTION("""COMPUTED_VALUE"""),"student data")</f>
        <v>student data</v>
      </c>
      <c r="E1850" s="84">
        <f>IFERROR(__xludf.DUMMYFUNCTION("""COMPUTED_VALUE"""),46204.76666666666)</f>
        <v>46204.76667</v>
      </c>
      <c r="F1850" s="86">
        <f>IFERROR(__xludf.DUMMYFUNCTION("""COMPUTED_VALUE"""),46204.44818974537)</f>
        <v>46204.44819</v>
      </c>
      <c r="G1850" s="86" t="str">
        <f>IFERROR(__xludf.DUMMYFUNCTION("""COMPUTED_VALUE"""),"Done")</f>
        <v>Done</v>
      </c>
      <c r="H1850" s="88">
        <f>IFERROR(__xludf.DUMMYFUNCTION("""COMPUTED_VALUE"""),0.0)</f>
        <v>0</v>
      </c>
      <c r="I1850" s="90" t="str">
        <f>IFERROR(__xludf.DUMMYFUNCTION("""COMPUTED_VALUE"""),"EMP0042 HULESHWAR KUMAR SAHU")</f>
        <v>EMP0042 HULESHWAR KUMAR SAHU</v>
      </c>
      <c r="J1850" s="91"/>
    </row>
    <row r="1851">
      <c r="B1851" s="76" t="str">
        <f>IFERROR(__xludf.DUMMYFUNCTION("""COMPUTED_VALUE"""),"Solution / Check data in database according to new logics                ")</f>
        <v>Solution / Check data in database according to new logics                </v>
      </c>
      <c r="C1851" s="82">
        <f>IFERROR(__xludf.DUMMYFUNCTION("""COMPUTED_VALUE"""),5315.0)</f>
        <v>5315</v>
      </c>
      <c r="D1851" s="76" t="str">
        <f>IFERROR(__xludf.DUMMYFUNCTION("""COMPUTED_VALUE"""),"Result Datils ")</f>
        <v>Result Datils </v>
      </c>
      <c r="E1851" s="84">
        <f>IFERROR(__xludf.DUMMYFUNCTION("""COMPUTED_VALUE"""),46204.78472222222)</f>
        <v>46204.78472</v>
      </c>
      <c r="F1851" s="86">
        <f>IFERROR(__xludf.DUMMYFUNCTION("""COMPUTED_VALUE"""),46204.44825832176)</f>
        <v>46204.44826</v>
      </c>
      <c r="G1851" s="86" t="str">
        <f>IFERROR(__xludf.DUMMYFUNCTION("""COMPUTED_VALUE"""),"Done")</f>
        <v>Done</v>
      </c>
      <c r="H1851" s="88">
        <f>IFERROR(__xludf.DUMMYFUNCTION("""COMPUTED_VALUE"""),0.0)</f>
        <v>0</v>
      </c>
      <c r="I1851" s="90" t="str">
        <f>IFERROR(__xludf.DUMMYFUNCTION("""COMPUTED_VALUE"""),"EMP0237 Swarnendu Chakraborty")</f>
        <v>EMP0237 Swarnendu Chakraborty</v>
      </c>
      <c r="J1851" s="91"/>
    </row>
    <row r="1852">
      <c r="B1852" s="76" t="str">
        <f>IFERROR(__xludf.DUMMYFUNCTION("""COMPUTED_VALUE"""),"Solution / Check data in database according to new logics                ")</f>
        <v>Solution / Check data in database according to new logics                </v>
      </c>
      <c r="C1852" s="82">
        <f>IFERROR(__xludf.DUMMYFUNCTION("""COMPUTED_VALUE"""),5316.0)</f>
        <v>5316</v>
      </c>
      <c r="D1852" s="76" t="str">
        <f>IFERROR(__xludf.DUMMYFUNCTION("""COMPUTED_VALUE"""),"mark entery  report")</f>
        <v>mark entery  report</v>
      </c>
      <c r="E1852" s="84">
        <f>IFERROR(__xludf.DUMMYFUNCTION("""COMPUTED_VALUE"""),46205.486805555556)</f>
        <v>46205.48681</v>
      </c>
      <c r="F1852" s="86">
        <f>IFERROR(__xludf.DUMMYFUNCTION("""COMPUTED_VALUE"""),46204.64012957176)</f>
        <v>46204.64013</v>
      </c>
      <c r="G1852" s="86" t="str">
        <f>IFERROR(__xludf.DUMMYFUNCTION("""COMPUTED_VALUE"""),"Done")</f>
        <v>Done</v>
      </c>
      <c r="H1852" s="88">
        <f>IFERROR(__xludf.DUMMYFUNCTION("""COMPUTED_VALUE"""),0.0)</f>
        <v>0</v>
      </c>
      <c r="I1852" s="90" t="str">
        <f>IFERROR(__xludf.DUMMYFUNCTION("""COMPUTED_VALUE"""),"EMP0042 HULESHWAR KUMAR SAHU")</f>
        <v>EMP0042 HULESHWAR KUMAR SAHU</v>
      </c>
      <c r="J1852" s="91"/>
    </row>
    <row r="1853">
      <c r="B1853" s="76" t="str">
        <f>IFERROR(__xludf.DUMMYFUNCTION("""COMPUTED_VALUE"""),"Solution / Check data in database according to new logics                ")</f>
        <v>Solution / Check data in database according to new logics                </v>
      </c>
      <c r="C1853" s="82">
        <f>IFERROR(__xludf.DUMMYFUNCTION("""COMPUTED_VALUE"""),5317.0)</f>
        <v>5317</v>
      </c>
      <c r="D1853" s="76" t="str">
        <f>IFERROR(__xludf.DUMMYFUNCTION("""COMPUTED_VALUE"""),"TR PARAMEDICAL NEW LOGIC")</f>
        <v>TR PARAMEDICAL NEW LOGIC</v>
      </c>
      <c r="E1853" s="84">
        <f>IFERROR(__xludf.DUMMYFUNCTION("""COMPUTED_VALUE"""),46205.52777777778)</f>
        <v>46205.52778</v>
      </c>
      <c r="F1853" s="86">
        <f>IFERROR(__xludf.DUMMYFUNCTION("""COMPUTED_VALUE"""),46204.640217893524)</f>
        <v>46204.64022</v>
      </c>
      <c r="G1853" s="86" t="str">
        <f>IFERROR(__xludf.DUMMYFUNCTION("""COMPUTED_VALUE"""),"Done")</f>
        <v>Done</v>
      </c>
      <c r="H1853" s="88">
        <f>IFERROR(__xludf.DUMMYFUNCTION("""COMPUTED_VALUE"""),0.0)</f>
        <v>0</v>
      </c>
      <c r="I1853" s="90" t="str">
        <f>IFERROR(__xludf.DUMMYFUNCTION("""COMPUTED_VALUE"""),"EMP0042 HULESHWAR KUMAR SAHU")</f>
        <v>EMP0042 HULESHWAR KUMAR SAHU</v>
      </c>
      <c r="J1853" s="91"/>
    </row>
    <row r="1854">
      <c r="B1854" s="76" t="str">
        <f>IFERROR(__xludf.DUMMYFUNCTION("""COMPUTED_VALUE"""),"Solution / Check data in database according to new logics                ")</f>
        <v>Solution / Check data in database according to new logics                </v>
      </c>
      <c r="C1854" s="82">
        <f>IFERROR(__xludf.DUMMYFUNCTION("""COMPUTED_VALUE"""),5318.0)</f>
        <v>5318</v>
      </c>
      <c r="D1854" s="76" t="str">
        <f>IFERROR(__xludf.DUMMYFUNCTION("""COMPUTED_VALUE"""),"Multiple Report (Transcript)")</f>
        <v>Multiple Report (Transcript)</v>
      </c>
      <c r="E1854" s="84">
        <f>IFERROR(__xludf.DUMMYFUNCTION("""COMPUTED_VALUE"""),46205.54513888889)</f>
        <v>46205.54514</v>
      </c>
      <c r="F1854" s="86">
        <f>IFERROR(__xludf.DUMMYFUNCTION("""COMPUTED_VALUE"""),46203.78330375)</f>
        <v>46203.7833</v>
      </c>
      <c r="G1854" s="86" t="str">
        <f>IFERROR(__xludf.DUMMYFUNCTION("""COMPUTED_VALUE"""),"Done")</f>
        <v>Done</v>
      </c>
      <c r="H1854" s="88">
        <f>IFERROR(__xludf.DUMMYFUNCTION("""COMPUTED_VALUE"""),0.0)</f>
        <v>0</v>
      </c>
      <c r="I1854" s="90" t="str">
        <f>IFERROR(__xludf.DUMMYFUNCTION("""COMPUTED_VALUE"""),"EMP0237 Swarnendu Chakraborty")</f>
        <v>EMP0237 Swarnendu Chakraborty</v>
      </c>
      <c r="J1854" s="91"/>
    </row>
    <row r="1855">
      <c r="B1855" s="76" t="str">
        <f>IFERROR(__xludf.DUMMYFUNCTION("""COMPUTED_VALUE"""),"Solution / Check data in database according to new logics                ")</f>
        <v>Solution / Check data in database according to new logics                </v>
      </c>
      <c r="C1855" s="82">
        <f>IFERROR(__xludf.DUMMYFUNCTION("""COMPUTED_VALUE"""),5319.0)</f>
        <v>5319</v>
      </c>
      <c r="D1855" s="76" t="str">
        <f>IFERROR(__xludf.DUMMYFUNCTION("""COMPUTED_VALUE"""),"2577")</f>
        <v>2577</v>
      </c>
      <c r="E1855" s="84">
        <f>IFERROR(__xludf.DUMMYFUNCTION("""COMPUTED_VALUE"""),46205.71388888889)</f>
        <v>46205.71389</v>
      </c>
      <c r="F1855" s="86">
        <f>IFERROR(__xludf.DUMMYFUNCTION("""COMPUTED_VALUE"""),46204.68988664352)</f>
        <v>46204.68989</v>
      </c>
      <c r="G1855" s="86" t="str">
        <f>IFERROR(__xludf.DUMMYFUNCTION("""COMPUTED_VALUE"""),"Done")</f>
        <v>Done</v>
      </c>
      <c r="H1855" s="88">
        <f>IFERROR(__xludf.DUMMYFUNCTION("""COMPUTED_VALUE"""),0.0)</f>
        <v>0</v>
      </c>
      <c r="I1855" s="90" t="str">
        <f>IFERROR(__xludf.DUMMYFUNCTION("""COMPUTED_VALUE"""),"EMP5009 Rup Kumar Mandal")</f>
        <v>EMP5009 Rup Kumar Mandal</v>
      </c>
      <c r="J1855" s="91"/>
    </row>
    <row r="1856">
      <c r="B1856" s="76" t="str">
        <f>IFERROR(__xludf.DUMMYFUNCTION("""COMPUTED_VALUE"""),"Solution / Check data in database according to new logics                ")</f>
        <v>Solution / Check data in database according to new logics                </v>
      </c>
      <c r="C1856" s="82">
        <f>IFERROR(__xludf.DUMMYFUNCTION("""COMPUTED_VALUE"""),5320.0)</f>
        <v>5320</v>
      </c>
      <c r="D1856" s="76" t="str">
        <f>IFERROR(__xludf.DUMMYFUNCTION("""COMPUTED_VALUE"""),"Analysis")</f>
        <v>Analysis</v>
      </c>
      <c r="E1856" s="84">
        <f>IFERROR(__xludf.DUMMYFUNCTION("""COMPUTED_VALUE"""),46206.47222222222)</f>
        <v>46206.47222</v>
      </c>
      <c r="F1856" s="86">
        <f>IFERROR(__xludf.DUMMYFUNCTION("""COMPUTED_VALUE"""),46205.74152616898)</f>
        <v>46205.74153</v>
      </c>
      <c r="G1856" s="86" t="str">
        <f>IFERROR(__xludf.DUMMYFUNCTION("""COMPUTED_VALUE"""),"Done")</f>
        <v>Done</v>
      </c>
      <c r="H1856" s="88">
        <f>IFERROR(__xludf.DUMMYFUNCTION("""COMPUTED_VALUE"""),0.0)</f>
        <v>0</v>
      </c>
      <c r="I1856" s="90" t="str">
        <f>IFERROR(__xludf.DUMMYFUNCTION("""COMPUTED_VALUE"""),"EMP0021 Tamanna Dewangan")</f>
        <v>EMP0021 Tamanna Dewangan</v>
      </c>
      <c r="J1856" s="91"/>
    </row>
    <row r="1857">
      <c r="B1857" s="76" t="str">
        <f>IFERROR(__xludf.DUMMYFUNCTION("""COMPUTED_VALUE"""),"Solution / Check data in database according to new logics                ")</f>
        <v>Solution / Check data in database according to new logics                </v>
      </c>
      <c r="C1857" s="82">
        <f>IFERROR(__xludf.DUMMYFUNCTION("""COMPUTED_VALUE"""),5321.0)</f>
        <v>5321</v>
      </c>
      <c r="D1857" s="76" t="str">
        <f>IFERROR(__xludf.DUMMYFUNCTION("""COMPUTED_VALUE"""),"Analysis")</f>
        <v>Analysis</v>
      </c>
      <c r="E1857" s="84">
        <f>IFERROR(__xludf.DUMMYFUNCTION("""COMPUTED_VALUE"""),46206.47361111111)</f>
        <v>46206.47361</v>
      </c>
      <c r="F1857" s="86">
        <f>IFERROR(__xludf.DUMMYFUNCTION("""COMPUTED_VALUE"""),46205.74152997685)</f>
        <v>46205.74153</v>
      </c>
      <c r="G1857" s="86" t="str">
        <f>IFERROR(__xludf.DUMMYFUNCTION("""COMPUTED_VALUE"""),"Done")</f>
        <v>Done</v>
      </c>
      <c r="H1857" s="88">
        <f>IFERROR(__xludf.DUMMYFUNCTION("""COMPUTED_VALUE"""),0.0)</f>
        <v>0</v>
      </c>
      <c r="I1857" s="90" t="str">
        <f>IFERROR(__xludf.DUMMYFUNCTION("""COMPUTED_VALUE"""),"EMP0021 Tamanna Dewangan")</f>
        <v>EMP0021 Tamanna Dewangan</v>
      </c>
      <c r="J1857" s="91"/>
    </row>
    <row r="1858">
      <c r="B1858" s="76" t="str">
        <f>IFERROR(__xludf.DUMMYFUNCTION("""COMPUTED_VALUE"""),"Solution / Check data in database according to new logics                ")</f>
        <v>Solution / Check data in database according to new logics                </v>
      </c>
      <c r="C1858" s="82">
        <f>IFERROR(__xludf.DUMMYFUNCTION("""COMPUTED_VALUE"""),5322.0)</f>
        <v>5322</v>
      </c>
      <c r="D1858" s="76" t="str">
        <f>IFERROR(__xludf.DUMMYFUNCTION("""COMPUTED_VALUE"""),"Analysis")</f>
        <v>Analysis</v>
      </c>
      <c r="E1858" s="84">
        <f>IFERROR(__xludf.DUMMYFUNCTION("""COMPUTED_VALUE"""),46206.47430555556)</f>
        <v>46206.47431</v>
      </c>
      <c r="F1858" s="86">
        <f>IFERROR(__xludf.DUMMYFUNCTION("""COMPUTED_VALUE"""),46204.75824552083)</f>
        <v>46204.75825</v>
      </c>
      <c r="G1858" s="86" t="str">
        <f>IFERROR(__xludf.DUMMYFUNCTION("""COMPUTED_VALUE"""),"Done")</f>
        <v>Done</v>
      </c>
      <c r="H1858" s="88">
        <f>IFERROR(__xludf.DUMMYFUNCTION("""COMPUTED_VALUE"""),0.0)</f>
        <v>0</v>
      </c>
      <c r="I1858" s="90" t="str">
        <f>IFERROR(__xludf.DUMMYFUNCTION("""COMPUTED_VALUE"""),"EMP0021 Tamanna Dewangan")</f>
        <v>EMP0021 Tamanna Dewangan</v>
      </c>
      <c r="J1858" s="91"/>
    </row>
    <row r="1859">
      <c r="B1859" s="76" t="str">
        <f>IFERROR(__xludf.DUMMYFUNCTION("""COMPUTED_VALUE"""),"Solution / Check data in database according to new logics                ")</f>
        <v>Solution / Check data in database according to new logics                </v>
      </c>
      <c r="C1859" s="82">
        <f>IFERROR(__xludf.DUMMYFUNCTION("""COMPUTED_VALUE"""),5323.0)</f>
        <v>5323</v>
      </c>
      <c r="D1859" s="76" t="str">
        <f>IFERROR(__xludf.DUMMYFUNCTION("""COMPUTED_VALUE"""),"TR AGRICULTURE 1st To 8th sem supply")</f>
        <v>TR AGRICULTURE 1st To 8th sem supply</v>
      </c>
      <c r="E1859" s="84">
        <f>IFERROR(__xludf.DUMMYFUNCTION("""COMPUTED_VALUE"""),46206.47777777778)</f>
        <v>46206.47778</v>
      </c>
      <c r="F1859" s="86">
        <f>IFERROR(__xludf.DUMMYFUNCTION("""COMPUTED_VALUE"""),46204.7182249537)</f>
        <v>46204.71822</v>
      </c>
      <c r="G1859" s="86" t="str">
        <f>IFERROR(__xludf.DUMMYFUNCTION("""COMPUTED_VALUE"""),"Done")</f>
        <v>Done</v>
      </c>
      <c r="H1859" s="88">
        <f>IFERROR(__xludf.DUMMYFUNCTION("""COMPUTED_VALUE"""),0.0)</f>
        <v>0</v>
      </c>
      <c r="I1859" s="90" t="str">
        <f>IFERROR(__xludf.DUMMYFUNCTION("""COMPUTED_VALUE"""),"EMP0042 HULESHWAR KUMAR SAHU")</f>
        <v>EMP0042 HULESHWAR KUMAR SAHU</v>
      </c>
      <c r="J1859" s="91"/>
    </row>
    <row r="1860">
      <c r="B1860" s="76" t="str">
        <f>IFERROR(__xludf.DUMMYFUNCTION("""COMPUTED_VALUE"""),"Solution / Check data in database according to new logics                ")</f>
        <v>Solution / Check data in database according to new logics                </v>
      </c>
      <c r="C1860" s="82">
        <f>IFERROR(__xludf.DUMMYFUNCTION("""COMPUTED_VALUE"""),5324.0)</f>
        <v>5324</v>
      </c>
      <c r="D1860" s="76" t="str">
        <f>IFERROR(__xludf.DUMMYFUNCTION("""COMPUTED_VALUE"""),"OLD DMC REPORT")</f>
        <v>OLD DMC REPORT</v>
      </c>
      <c r="E1860" s="84">
        <f>IFERROR(__xludf.DUMMYFUNCTION("""COMPUTED_VALUE"""),46206.53472222222)</f>
        <v>46206.53472</v>
      </c>
      <c r="F1860" s="86">
        <f>IFERROR(__xludf.DUMMYFUNCTION("""COMPUTED_VALUE"""),46206.481334247685)</f>
        <v>46206.48133</v>
      </c>
      <c r="G1860" s="86" t="str">
        <f>IFERROR(__xludf.DUMMYFUNCTION("""COMPUTED_VALUE"""),"Done")</f>
        <v>Done</v>
      </c>
      <c r="H1860" s="88">
        <f>IFERROR(__xludf.DUMMYFUNCTION("""COMPUTED_VALUE"""),0.0)</f>
        <v>0</v>
      </c>
      <c r="I1860" s="90" t="str">
        <f>IFERROR(__xludf.DUMMYFUNCTION("""COMPUTED_VALUE"""),"EMP0237 Swarnendu Chakraborty")</f>
        <v>EMP0237 Swarnendu Chakraborty</v>
      </c>
      <c r="J1860" s="91"/>
    </row>
    <row r="1861">
      <c r="B1861" s="76" t="str">
        <f>IFERROR(__xludf.DUMMYFUNCTION("""COMPUTED_VALUE"""),"Solution / Check data in database according to new logics                ")</f>
        <v>Solution / Check data in database according to new logics                </v>
      </c>
      <c r="C1861" s="82">
        <f>IFERROR(__xludf.DUMMYFUNCTION("""COMPUTED_VALUE"""),5325.0)</f>
        <v>5325</v>
      </c>
      <c r="D1861" s="76" t="str">
        <f>IFERROR(__xludf.DUMMYFUNCTION("""COMPUTED_VALUE"""),"REVEL")</f>
        <v>REVEL</v>
      </c>
      <c r="E1861" s="84">
        <f>IFERROR(__xludf.DUMMYFUNCTION("""COMPUTED_VALUE"""),46207.6125)</f>
        <v>46207.6125</v>
      </c>
      <c r="F1861" s="86">
        <f>IFERROR(__xludf.DUMMYFUNCTION("""COMPUTED_VALUE"""),46206.54541269676)</f>
        <v>46206.54541</v>
      </c>
      <c r="G1861" s="86" t="str">
        <f>IFERROR(__xludf.DUMMYFUNCTION("""COMPUTED_VALUE"""),"Done")</f>
        <v>Done</v>
      </c>
      <c r="H1861" s="88">
        <f>IFERROR(__xludf.DUMMYFUNCTION("""COMPUTED_VALUE"""),0.0)</f>
        <v>0</v>
      </c>
      <c r="I1861" s="90" t="str">
        <f>IFERROR(__xludf.DUMMYFUNCTION("""COMPUTED_VALUE"""),"EMP0042 HULESHWAR KUMAR SAHU")</f>
        <v>EMP0042 HULESHWAR KUMAR SAHU</v>
      </c>
      <c r="J1861" s="91"/>
    </row>
    <row r="1862">
      <c r="B1862" s="76" t="str">
        <f>IFERROR(__xludf.DUMMYFUNCTION("""COMPUTED_VALUE"""),"Solution / Check data in database according to new logics                ")</f>
        <v>Solution / Check data in database according to new logics                </v>
      </c>
      <c r="C1862" s="82">
        <f>IFERROR(__xludf.DUMMYFUNCTION("""COMPUTED_VALUE"""),5326.0)</f>
        <v>5326</v>
      </c>
      <c r="D1862" s="76" t="str">
        <f>IFERROR(__xludf.DUMMYFUNCTION("""COMPUTED_VALUE"""),"Attendance Sheet Re Appear HCEK-203 - Happy College of Education, Railway Station, Kosli (Rewari) Annual ( Annual) UG (B.ED(ADDI))-BACHELOR OF EDUCATION(additional)_SE22")</f>
        <v>Attendance Sheet Re Appear HCEK-203 - Happy College of Education, Railway Station, Kosli (Rewari) Annual ( Annual) UG (B.ED(ADDI))-BACHELOR OF EDUCATION(additional)_SE22</v>
      </c>
      <c r="E1862" s="84">
        <f>IFERROR(__xludf.DUMMYFUNCTION("""COMPUTED_VALUE"""),46207.74652777778)</f>
        <v>46207.74653</v>
      </c>
      <c r="F1862" s="86">
        <f>IFERROR(__xludf.DUMMYFUNCTION("""COMPUTED_VALUE"""),46206.5522603125)</f>
        <v>46206.55226</v>
      </c>
      <c r="G1862" s="86" t="str">
        <f>IFERROR(__xludf.DUMMYFUNCTION("""COMPUTED_VALUE"""),"Done")</f>
        <v>Done</v>
      </c>
      <c r="H1862" s="88">
        <f>IFERROR(__xludf.DUMMYFUNCTION("""COMPUTED_VALUE"""),0.0)</f>
        <v>0</v>
      </c>
      <c r="I1862" s="90" t="str">
        <f>IFERROR(__xludf.DUMMYFUNCTION("""COMPUTED_VALUE"""),"EMP0042 HULESHWAR KUMAR SAHU")</f>
        <v>EMP0042 HULESHWAR KUMAR SAHU</v>
      </c>
      <c r="J1862" s="91"/>
    </row>
    <row r="1863">
      <c r="B1863" s="76" t="str">
        <f>IFERROR(__xludf.DUMMYFUNCTION("""COMPUTED_VALUE"""),"Solution / Check data in database according to new logics                ")</f>
        <v>Solution / Check data in database according to new logics                </v>
      </c>
      <c r="C1863" s="82">
        <f>IFERROR(__xludf.DUMMYFUNCTION("""COMPUTED_VALUE"""),5327.0)</f>
        <v>5327</v>
      </c>
      <c r="D1863" s="76" t="str">
        <f>IFERROR(__xludf.DUMMYFUNCTION("""COMPUTED_VALUE"""),"Theory Attendance Sheet SCEM-188 - Saraswati College of Education, Majra Kalan, Mohindergarh Annual ( Annual) UG BACHELOR OF EDUCATION(additional) ( B.ED(ADDI))_SE22")</f>
        <v>Theory Attendance Sheet SCEM-188 - Saraswati College of Education, Majra Kalan, Mohindergarh Annual ( Annual) UG BACHELOR OF EDUCATION(additional) ( B.ED(ADDI))_SE22</v>
      </c>
      <c r="E1863" s="84">
        <f>IFERROR(__xludf.DUMMYFUNCTION("""COMPUTED_VALUE"""),46207.74861111111)</f>
        <v>46207.74861</v>
      </c>
      <c r="F1863" s="86">
        <f>IFERROR(__xludf.DUMMYFUNCTION("""COMPUTED_VALUE"""),46206.69403384259)</f>
        <v>46206.69403</v>
      </c>
      <c r="G1863" s="86" t="str">
        <f>IFERROR(__xludf.DUMMYFUNCTION("""COMPUTED_VALUE"""),"Done")</f>
        <v>Done</v>
      </c>
      <c r="H1863" s="88">
        <f>IFERROR(__xludf.DUMMYFUNCTION("""COMPUTED_VALUE"""),0.0)</f>
        <v>0</v>
      </c>
      <c r="I1863" s="90" t="str">
        <f>IFERROR(__xludf.DUMMYFUNCTION("""COMPUTED_VALUE"""),"EMP0021 Tamanna Dewangan")</f>
        <v>EMP0021 Tamanna Dewangan</v>
      </c>
      <c r="J1863" s="91"/>
    </row>
    <row r="1864">
      <c r="B1864" s="76" t="str">
        <f>IFERROR(__xludf.DUMMYFUNCTION("""COMPUTED_VALUE"""),"Solution / Check data in database according to new logics                ")</f>
        <v>Solution / Check data in database according to new logics                </v>
      </c>
      <c r="C1864" s="82">
        <f>IFERROR(__xludf.DUMMYFUNCTION("""COMPUTED_VALUE"""),5328.0)</f>
        <v>5328</v>
      </c>
      <c r="D1864" s="76" t="str">
        <f>IFERROR(__xludf.DUMMYFUNCTION("""COMPUTED_VALUE"""),"CBCS AND CGP 8th SEM (FINAL TR COMBINED) Eighth Semester ( Sem - 8) UG BACHELOR OF HOTEL MANAGEMENT &amp; CATERING TECHNOLOGY (B.H.M.C.T) ( B.H.M.C.T)_SE22")</f>
        <v>CBCS AND CGP 8th SEM (FINAL TR COMBINED) Eighth Semester ( Sem - 8) UG BACHELOR OF HOTEL MANAGEMENT &amp; CATERING TECHNOLOGY (B.H.M.C.T) ( B.H.M.C.T)_SE22</v>
      </c>
      <c r="E1864" s="84">
        <f>IFERROR(__xludf.DUMMYFUNCTION("""COMPUTED_VALUE"""),46207.76875)</f>
        <v>46207.76875</v>
      </c>
      <c r="F1864" s="86">
        <f>IFERROR(__xludf.DUMMYFUNCTION("""COMPUTED_VALUE"""),46207.55271796296)</f>
        <v>46207.55272</v>
      </c>
      <c r="G1864" s="86" t="str">
        <f>IFERROR(__xludf.DUMMYFUNCTION("""COMPUTED_VALUE"""),"Done")</f>
        <v>Done</v>
      </c>
      <c r="H1864" s="88">
        <f>IFERROR(__xludf.DUMMYFUNCTION("""COMPUTED_VALUE"""),0.0)</f>
        <v>0</v>
      </c>
      <c r="I1864" s="90" t="str">
        <f>IFERROR(__xludf.DUMMYFUNCTION("""COMPUTED_VALUE"""),"EMP0042 HULESHWAR KUMAR SAHU")</f>
        <v>EMP0042 HULESHWAR KUMAR SAHU</v>
      </c>
      <c r="J1864" s="91"/>
    </row>
    <row r="1865">
      <c r="B1865" s="76" t="str">
        <f>IFERROR(__xludf.DUMMYFUNCTION("""COMPUTED_VALUE"""),"Solution / Check data in database according to new logics                ")</f>
        <v>Solution / Check data in database according to new logics                </v>
      </c>
      <c r="C1865" s="82">
        <f>IFERROR(__xludf.DUMMYFUNCTION("""COMPUTED_VALUE"""),5329.0)</f>
        <v>5329</v>
      </c>
      <c r="D1865" s="76" t="str">
        <f>IFERROR(__xludf.DUMMYFUNCTION("""COMPUTED_VALUE"""),"TR NEW AGRICULTURE AND ALL")</f>
        <v>TR NEW AGRICULTURE AND ALL</v>
      </c>
      <c r="E1865" s="84">
        <f>IFERROR(__xludf.DUMMYFUNCTION("""COMPUTED_VALUE"""),46207.82847222222)</f>
        <v>46207.82847</v>
      </c>
      <c r="F1865" s="86">
        <f>IFERROR(__xludf.DUMMYFUNCTION("""COMPUTED_VALUE"""),46206.66195952547)</f>
        <v>46206.66196</v>
      </c>
      <c r="G1865" s="86" t="str">
        <f>IFERROR(__xludf.DUMMYFUNCTION("""COMPUTED_VALUE"""),"Done")</f>
        <v>Done</v>
      </c>
      <c r="H1865" s="88">
        <f>IFERROR(__xludf.DUMMYFUNCTION("""COMPUTED_VALUE"""),0.0)</f>
        <v>0</v>
      </c>
      <c r="I1865" s="90" t="str">
        <f>IFERROR(__xludf.DUMMYFUNCTION("""COMPUTED_VALUE"""),"EMP0042 HULESHWAR KUMAR SAHU")</f>
        <v>EMP0042 HULESHWAR KUMAR SAHU</v>
      </c>
      <c r="J1865" s="91"/>
    </row>
    <row r="1866">
      <c r="B1866" s="76" t="str">
        <f>IFERROR(__xludf.DUMMYFUNCTION("""COMPUTED_VALUE"""),"Solution / Check data in database according to new logics                ")</f>
        <v>Solution / Check data in database according to new logics                </v>
      </c>
      <c r="C1866" s="82">
        <f>IFERROR(__xludf.DUMMYFUNCTION("""COMPUTED_VALUE"""),5330.0)</f>
        <v>5330</v>
      </c>
      <c r="D1866" s="76" t="str">
        <f>IFERROR(__xludf.DUMMYFUNCTION("""COMPUTED_VALUE"""),"B.ED ADDITIONAL ANNUAL ATTENDENCE SHEET  RESOLVED ")</f>
        <v>B.ED ADDITIONAL ANNUAL ATTENDENCE SHEET  RESOLVED </v>
      </c>
      <c r="E1866" s="84">
        <f>IFERROR(__xludf.DUMMYFUNCTION("""COMPUTED_VALUE"""),46209.56111111111)</f>
        <v>46209.56111</v>
      </c>
      <c r="F1866" s="86">
        <f>IFERROR(__xludf.DUMMYFUNCTION("""COMPUTED_VALUE"""),46206.74928001157)</f>
        <v>46206.74928</v>
      </c>
      <c r="G1866" s="86" t="str">
        <f>IFERROR(__xludf.DUMMYFUNCTION("""COMPUTED_VALUE"""),"Done")</f>
        <v>Done</v>
      </c>
      <c r="H1866" s="88">
        <f>IFERROR(__xludf.DUMMYFUNCTION("""COMPUTED_VALUE"""),0.0)</f>
        <v>0</v>
      </c>
      <c r="I1866" s="90" t="str">
        <f>IFERROR(__xludf.DUMMYFUNCTION("""COMPUTED_VALUE"""),"EMP5009 Rup Kumar Mandal")</f>
        <v>EMP5009 Rup Kumar Mandal</v>
      </c>
      <c r="J1866" s="91"/>
    </row>
    <row r="1867">
      <c r="B1867" s="76" t="str">
        <f>IFERROR(__xludf.DUMMYFUNCTION("""COMPUTED_VALUE"""),"Solution / Check data in database according to new logics                ")</f>
        <v>Solution / Check data in database according to new logics                </v>
      </c>
      <c r="C1867" s="82">
        <f>IFERROR(__xludf.DUMMYFUNCTION("""COMPUTED_VALUE"""),5331.0)</f>
        <v>5331</v>
      </c>
      <c r="D1867" s="76" t="str">
        <f>IFERROR(__xludf.DUMMYFUNCTION("""COMPUTED_VALUE"""),"Correction")</f>
        <v>Correction</v>
      </c>
      <c r="E1867" s="84">
        <f>IFERROR(__xludf.DUMMYFUNCTION("""COMPUTED_VALUE"""),46209.61666666667)</f>
        <v>46209.61667</v>
      </c>
      <c r="F1867" s="86">
        <f>IFERROR(__xludf.DUMMYFUNCTION("""COMPUTED_VALUE"""),46207.40403391204)</f>
        <v>46207.40403</v>
      </c>
      <c r="G1867" s="86" t="str">
        <f>IFERROR(__xludf.DUMMYFUNCTION("""COMPUTED_VALUE"""),"Done")</f>
        <v>Done</v>
      </c>
      <c r="H1867" s="88">
        <f>IFERROR(__xludf.DUMMYFUNCTION("""COMPUTED_VALUE"""),0.0)</f>
        <v>0</v>
      </c>
      <c r="I1867" s="90" t="str">
        <f>IFERROR(__xludf.DUMMYFUNCTION("""COMPUTED_VALUE"""),"EMP5009 Rup Kumar Mandal")</f>
        <v>EMP5009 Rup Kumar Mandal</v>
      </c>
      <c r="J1867" s="91"/>
    </row>
    <row r="1868">
      <c r="B1868" s="76" t="str">
        <f>IFERROR(__xludf.DUMMYFUNCTION("""COMPUTED_VALUE"""),"Solution / Check data in database according to new logics                ")</f>
        <v>Solution / Check data in database according to new logics                </v>
      </c>
      <c r="C1868" s="82">
        <f>IFERROR(__xludf.DUMMYFUNCTION("""COMPUTED_VALUE"""),5332.0)</f>
        <v>5332</v>
      </c>
      <c r="D1868" s="76" t="str">
        <f>IFERROR(__xludf.DUMMYFUNCTION("""COMPUTED_VALUE"""),"Same students double entry correction in TR")</f>
        <v>Same students double entry correction in TR</v>
      </c>
      <c r="E1868" s="84">
        <f>IFERROR(__xludf.DUMMYFUNCTION("""COMPUTED_VALUE"""),46214.59722222222)</f>
        <v>46214.59722</v>
      </c>
      <c r="F1868" s="86">
        <f>IFERROR(__xludf.DUMMYFUNCTION("""COMPUTED_VALUE"""),46209.49657570602)</f>
        <v>46209.49658</v>
      </c>
      <c r="G1868" s="86" t="str">
        <f>IFERROR(__xludf.DUMMYFUNCTION("""COMPUTED_VALUE"""),"Done")</f>
        <v>Done</v>
      </c>
      <c r="H1868" s="88">
        <f>IFERROR(__xludf.DUMMYFUNCTION("""COMPUTED_VALUE"""),0.0)</f>
        <v>0</v>
      </c>
      <c r="I1868" s="90" t="str">
        <f>IFERROR(__xludf.DUMMYFUNCTION("""COMPUTED_VALUE"""),"EMP5009 Rup Kumar Mandal")</f>
        <v>EMP5009 Rup Kumar Mandal</v>
      </c>
      <c r="J1868" s="91"/>
    </row>
    <row r="1869">
      <c r="B1869" s="76" t="str">
        <f>IFERROR(__xludf.DUMMYFUNCTION("""COMPUTED_VALUE"""),"Solution / Check data in database according to new logics                ")</f>
        <v>Solution / Check data in database according to new logics                </v>
      </c>
      <c r="C1869" s="82">
        <f>IFERROR(__xludf.DUMMYFUNCTION("""COMPUTED_VALUE"""),5333.0)</f>
        <v>5333</v>
      </c>
      <c r="D1869" s="76" t="str">
        <f>IFERROR(__xludf.DUMMYFUNCTION("""COMPUTED_VALUE"""),"plaease update the fee report")</f>
        <v>plaease update the fee report</v>
      </c>
      <c r="E1869" s="84">
        <f>IFERROR(__xludf.DUMMYFUNCTION("""COMPUTED_VALUE"""),46210.634722222225)</f>
        <v>46210.63472</v>
      </c>
      <c r="F1869" s="86">
        <f>IFERROR(__xludf.DUMMYFUNCTION("""COMPUTED_VALUE"""),46209.4966678125)</f>
        <v>46209.49667</v>
      </c>
      <c r="G1869" s="86" t="str">
        <f>IFERROR(__xludf.DUMMYFUNCTION("""COMPUTED_VALUE"""),"Done")</f>
        <v>Done</v>
      </c>
      <c r="H1869" s="88">
        <f>IFERROR(__xludf.DUMMYFUNCTION("""COMPUTED_VALUE"""),0.0)</f>
        <v>0</v>
      </c>
      <c r="I1869" s="90" t="str">
        <f>IFERROR(__xludf.DUMMYFUNCTION("""COMPUTED_VALUE"""),"EMP5009 Rup Kumar Mandal")</f>
        <v>EMP5009 Rup Kumar Mandal</v>
      </c>
      <c r="J1869" s="91"/>
    </row>
    <row r="1870">
      <c r="B1870" s="76" t="str">
        <f>IFERROR(__xludf.DUMMYFUNCTION("""COMPUTED_VALUE"""),"Solution / Check data in database according to new logics                ")</f>
        <v>Solution / Check data in database according to new logics                </v>
      </c>
      <c r="C1870" s="82">
        <f>IFERROR(__xludf.DUMMYFUNCTION("""COMPUTED_VALUE"""),5334.0)</f>
        <v>5334</v>
      </c>
      <c r="D1870" s="76" t="str">
        <f>IFERROR(__xludf.DUMMYFUNCTION("""COMPUTED_VALUE"""),"Admit Card")</f>
        <v>Admit Card</v>
      </c>
      <c r="E1870" s="84">
        <f>IFERROR(__xludf.DUMMYFUNCTION("""COMPUTED_VALUE"""),46210.722916666666)</f>
        <v>46210.72292</v>
      </c>
      <c r="F1870" s="86">
        <f>IFERROR(__xludf.DUMMYFUNCTION("""COMPUTED_VALUE"""),46209.49684190972)</f>
        <v>46209.49684</v>
      </c>
      <c r="G1870" s="86" t="str">
        <f>IFERROR(__xludf.DUMMYFUNCTION("""COMPUTED_VALUE"""),"Done")</f>
        <v>Done</v>
      </c>
      <c r="H1870" s="88">
        <f>IFERROR(__xludf.DUMMYFUNCTION("""COMPUTED_VALUE"""),0.0)</f>
        <v>0</v>
      </c>
      <c r="I1870" s="90" t="str">
        <f>IFERROR(__xludf.DUMMYFUNCTION("""COMPUTED_VALUE"""),"EMP0042 HULESHWAR KUMAR SAHU")</f>
        <v>EMP0042 HULESHWAR KUMAR SAHU</v>
      </c>
      <c r="J1870" s="91"/>
    </row>
    <row r="1871">
      <c r="B1871" s="76" t="str">
        <f>IFERROR(__xludf.DUMMYFUNCTION("""COMPUTED_VALUE"""),"Solution / Check data in database according to new logics                ")</f>
        <v>Solution / Check data in database according to new logics                </v>
      </c>
      <c r="C1871" s="82">
        <f>IFERROR(__xludf.DUMMYFUNCTION("""COMPUTED_VALUE"""),5335.0)</f>
        <v>5335</v>
      </c>
      <c r="D1871" s="76" t="str">
        <f>IFERROR(__xludf.DUMMYFUNCTION("""COMPUTED_VALUE"""),"TR PARAMEDICAL NEW LOGIC")</f>
        <v>TR PARAMEDICAL NEW LOGIC</v>
      </c>
      <c r="E1871" s="84">
        <f>IFERROR(__xludf.DUMMYFUNCTION("""COMPUTED_VALUE"""),46210.76388888889)</f>
        <v>46210.76389</v>
      </c>
      <c r="F1871" s="86">
        <f>IFERROR(__xludf.DUMMYFUNCTION("""COMPUTED_VALUE"""),46209.588152731485)</f>
        <v>46209.58815</v>
      </c>
      <c r="G1871" s="86" t="str">
        <f>IFERROR(__xludf.DUMMYFUNCTION("""COMPUTED_VALUE"""),"Done")</f>
        <v>Done</v>
      </c>
      <c r="H1871" s="88">
        <f>IFERROR(__xludf.DUMMYFUNCTION("""COMPUTED_VALUE"""),0.0)</f>
        <v>0</v>
      </c>
      <c r="I1871" s="90" t="str">
        <f>IFERROR(__xludf.DUMMYFUNCTION("""COMPUTED_VALUE"""),"EMP0042 HULESHWAR KUMAR SAHU")</f>
        <v>EMP0042 HULESHWAR KUMAR SAHU</v>
      </c>
      <c r="J1871" s="91"/>
    </row>
    <row r="1872">
      <c r="B1872" s="76" t="str">
        <f>IFERROR(__xludf.DUMMYFUNCTION("""COMPUTED_VALUE"""),"Solution / Check data in database according to new logics                ")</f>
        <v>Solution / Check data in database according to new logics                </v>
      </c>
      <c r="C1872" s="82">
        <f>IFERROR(__xludf.DUMMYFUNCTION("""COMPUTED_VALUE"""),5336.0)</f>
        <v>5336</v>
      </c>
      <c r="D1872" s="76" t="str">
        <f>IFERROR(__xludf.DUMMYFUNCTION("""COMPUTED_VALUE"""),"Date Wise filter")</f>
        <v>Date Wise filter</v>
      </c>
      <c r="E1872" s="84">
        <f>IFERROR(__xludf.DUMMYFUNCTION("""COMPUTED_VALUE"""),46210.80416666667)</f>
        <v>46210.80417</v>
      </c>
      <c r="F1872" s="86">
        <f>IFERROR(__xludf.DUMMYFUNCTION("""COMPUTED_VALUE"""),46209.58807606482)</f>
        <v>46209.58808</v>
      </c>
      <c r="G1872" s="86" t="str">
        <f>IFERROR(__xludf.DUMMYFUNCTION("""COMPUTED_VALUE"""),"Done")</f>
        <v>Done</v>
      </c>
      <c r="H1872" s="88">
        <f>IFERROR(__xludf.DUMMYFUNCTION("""COMPUTED_VALUE"""),0.0)</f>
        <v>0</v>
      </c>
      <c r="I1872" s="90" t="str">
        <f>IFERROR(__xludf.DUMMYFUNCTION("""COMPUTED_VALUE"""),"EMP5009 Rup Kumar Mandal")</f>
        <v>EMP5009 Rup Kumar Mandal</v>
      </c>
      <c r="J1872" s="91"/>
    </row>
    <row r="1873">
      <c r="B1873" s="76" t="str">
        <f>IFERROR(__xludf.DUMMYFUNCTION("""COMPUTED_VALUE"""),"Solution / Check data in database according to new logics                ")</f>
        <v>Solution / Check data in database according to new logics                </v>
      </c>
      <c r="C1873" s="82">
        <f>IFERROR(__xludf.DUMMYFUNCTION("""COMPUTED_VALUE"""),5337.0)</f>
        <v>5337</v>
      </c>
      <c r="D1873" s="76" t="str">
        <f>IFERROR(__xludf.DUMMYFUNCTION("""COMPUTED_VALUE"""),"ALL PROVISIONAL FILES")</f>
        <v>ALL PROVISIONAL FILES</v>
      </c>
      <c r="E1873" s="84">
        <f>IFERROR(__xludf.DUMMYFUNCTION("""COMPUTED_VALUE"""),46211.42638888889)</f>
        <v>46211.42639</v>
      </c>
      <c r="F1873" s="86">
        <f>IFERROR(__xludf.DUMMYFUNCTION("""COMPUTED_VALUE"""),46209.72885229167)</f>
        <v>46209.72885</v>
      </c>
      <c r="G1873" s="86" t="str">
        <f>IFERROR(__xludf.DUMMYFUNCTION("""COMPUTED_VALUE"""),"Done")</f>
        <v>Done</v>
      </c>
      <c r="H1873" s="88">
        <f>IFERROR(__xludf.DUMMYFUNCTION("""COMPUTED_VALUE"""),0.0)</f>
        <v>0</v>
      </c>
      <c r="I1873" s="90" t="str">
        <f>IFERROR(__xludf.DUMMYFUNCTION("""COMPUTED_VALUE"""),"EMP0042 HULESHWAR KUMAR SAHU")</f>
        <v>EMP0042 HULESHWAR KUMAR SAHU</v>
      </c>
      <c r="J1873" s="91"/>
    </row>
    <row r="1874">
      <c r="B1874" s="76" t="str">
        <f>IFERROR(__xludf.DUMMYFUNCTION("""COMPUTED_VALUE"""),"Solution / Check data in database according to new logics                ")</f>
        <v>Solution / Check data in database according to new logics                </v>
      </c>
      <c r="C1874" s="82">
        <f>IFERROR(__xludf.DUMMYFUNCTION("""COMPUTED_VALUE"""),5338.0)</f>
        <v>5338</v>
      </c>
      <c r="D1874" s="76" t="str">
        <f>IFERROR(__xludf.DUMMYFUNCTION("""COMPUTED_VALUE"""),"Drop Down Selection")</f>
        <v>Drop Down Selection</v>
      </c>
      <c r="E1874" s="84">
        <f>IFERROR(__xludf.DUMMYFUNCTION("""COMPUTED_VALUE"""),46211.56875)</f>
        <v>46211.56875</v>
      </c>
      <c r="F1874" s="86">
        <f>IFERROR(__xludf.DUMMYFUNCTION("""COMPUTED_VALUE"""),46211.44663871528)</f>
        <v>46211.44664</v>
      </c>
      <c r="G1874" s="86" t="str">
        <f>IFERROR(__xludf.DUMMYFUNCTION("""COMPUTED_VALUE"""),"Done")</f>
        <v>Done</v>
      </c>
      <c r="H1874" s="88">
        <f>IFERROR(__xludf.DUMMYFUNCTION("""COMPUTED_VALUE"""),0.0)</f>
        <v>0</v>
      </c>
      <c r="I1874" s="90" t="str">
        <f>IFERROR(__xludf.DUMMYFUNCTION("""COMPUTED_VALUE"""),"EMP0237 Swarnendu Chakraborty")</f>
        <v>EMP0237 Swarnendu Chakraborty</v>
      </c>
      <c r="J1874" s="91"/>
    </row>
    <row r="1875">
      <c r="B1875" s="76" t="str">
        <f>IFERROR(__xludf.DUMMYFUNCTION("""COMPUTED_VALUE"""),"Solution / Check data in database according to new logics                ")</f>
        <v>Solution / Check data in database according to new logics                </v>
      </c>
      <c r="C1875" s="82">
        <f>IFERROR(__xludf.DUMMYFUNCTION("""COMPUTED_VALUE"""),5339.0)</f>
        <v>5339</v>
      </c>
      <c r="D1875" s="76" t="str">
        <f>IFERROR(__xludf.DUMMYFUNCTION("""COMPUTED_VALUE"""),"	Packet_Slip_Date_Wise")</f>
        <v>	Packet_Slip_Date_Wise</v>
      </c>
      <c r="E1875" s="84">
        <f>IFERROR(__xludf.DUMMYFUNCTION("""COMPUTED_VALUE"""),46211.56180555555)</f>
        <v>46211.56181</v>
      </c>
      <c r="F1875" s="86">
        <f>IFERROR(__xludf.DUMMYFUNCTION("""COMPUTED_VALUE"""),46209.72880542824)</f>
        <v>46209.72881</v>
      </c>
      <c r="G1875" s="86" t="str">
        <f>IFERROR(__xludf.DUMMYFUNCTION("""COMPUTED_VALUE"""),"Done")</f>
        <v>Done</v>
      </c>
      <c r="H1875" s="88">
        <f>IFERROR(__xludf.DUMMYFUNCTION("""COMPUTED_VALUE"""),0.0)</f>
        <v>0</v>
      </c>
      <c r="I1875" s="90" t="str">
        <f>IFERROR(__xludf.DUMMYFUNCTION("""COMPUTED_VALUE"""),"EMP0042 HULESHWAR KUMAR SAHU")</f>
        <v>EMP0042 HULESHWAR KUMAR SAHU</v>
      </c>
      <c r="J1875" s="91"/>
    </row>
    <row r="1876">
      <c r="B1876" s="76" t="str">
        <f>IFERROR(__xludf.DUMMYFUNCTION("""COMPUTED_VALUE"""),"Solution / Check data in database according to new logics                ")</f>
        <v>Solution / Check data in database according to new logics                </v>
      </c>
      <c r="C1876" s="82">
        <f>IFERROR(__xludf.DUMMYFUNCTION("""COMPUTED_VALUE"""),5340.0)</f>
        <v>5340</v>
      </c>
      <c r="D1876" s="76" t="str">
        <f>IFERROR(__xludf.DUMMYFUNCTION("""COMPUTED_VALUE"""),"TR-REPORT")</f>
        <v>TR-REPORT</v>
      </c>
      <c r="E1876" s="84">
        <f>IFERROR(__xludf.DUMMYFUNCTION("""COMPUTED_VALUE"""),46211.80625)</f>
        <v>46211.80625</v>
      </c>
      <c r="F1876" s="86">
        <f>IFERROR(__xludf.DUMMYFUNCTION("""COMPUTED_VALUE"""),46211.4477671875)</f>
        <v>46211.44777</v>
      </c>
      <c r="G1876" s="86" t="str">
        <f>IFERROR(__xludf.DUMMYFUNCTION("""COMPUTED_VALUE"""),"Done")</f>
        <v>Done</v>
      </c>
      <c r="H1876" s="88">
        <f>IFERROR(__xludf.DUMMYFUNCTION("""COMPUTED_VALUE"""),0.0)</f>
        <v>0</v>
      </c>
      <c r="I1876" s="90" t="str">
        <f>IFERROR(__xludf.DUMMYFUNCTION("""COMPUTED_VALUE"""),"EMP0042 HULESHWAR KUMAR SAHU")</f>
        <v>EMP0042 HULESHWAR KUMAR SAHU</v>
      </c>
      <c r="J1876" s="91"/>
    </row>
    <row r="1877">
      <c r="B1877" s="76" t="str">
        <f>IFERROR(__xludf.DUMMYFUNCTION("""COMPUTED_VALUE"""),"Solution / Check data in database according to new logics                ")</f>
        <v>Solution / Check data in database according to new logics                </v>
      </c>
      <c r="C1877" s="82">
        <f>IFERROR(__xludf.DUMMYFUNCTION("""COMPUTED_VALUE"""),5341.0)</f>
        <v>5341</v>
      </c>
      <c r="D1877" s="76" t="str">
        <f>IFERROR(__xludf.DUMMYFUNCTION("""COMPUTED_VALUE"""),"Attendance Report")</f>
        <v>Attendance Report</v>
      </c>
      <c r="E1877" s="84">
        <f>IFERROR(__xludf.DUMMYFUNCTION("""COMPUTED_VALUE"""),46212.759722222225)</f>
        <v>46212.75972</v>
      </c>
      <c r="F1877" s="86">
        <f>IFERROR(__xludf.DUMMYFUNCTION("""COMPUTED_VALUE"""),46211.784125405095)</f>
        <v>46211.78413</v>
      </c>
      <c r="G1877" s="86" t="str">
        <f>IFERROR(__xludf.DUMMYFUNCTION("""COMPUTED_VALUE"""),"Done")</f>
        <v>Done</v>
      </c>
      <c r="H1877" s="88">
        <f>IFERROR(__xludf.DUMMYFUNCTION("""COMPUTED_VALUE"""),0.0)</f>
        <v>0</v>
      </c>
      <c r="I1877" s="90" t="str">
        <f>IFERROR(__xludf.DUMMYFUNCTION("""COMPUTED_VALUE"""),"EMP0237 Swarnendu Chakraborty")</f>
        <v>EMP0237 Swarnendu Chakraborty</v>
      </c>
      <c r="J1877" s="91"/>
    </row>
    <row r="1878">
      <c r="B1878" s="76" t="str">
        <f>IFERROR(__xludf.DUMMYFUNCTION("""COMPUTED_VALUE"""),"Solution / Check data in database according to new logics                ")</f>
        <v>Solution / Check data in database according to new logics                </v>
      </c>
      <c r="C1878" s="82">
        <f>IFERROR(__xludf.DUMMYFUNCTION("""COMPUTED_VALUE"""),5342.0)</f>
        <v>5342</v>
      </c>
      <c r="D1878" s="76" t="str">
        <f>IFERROR(__xludf.DUMMYFUNCTION("""COMPUTED_VALUE"""),"Merit List")</f>
        <v>Merit List</v>
      </c>
      <c r="E1878" s="84">
        <f>IFERROR(__xludf.DUMMYFUNCTION("""COMPUTED_VALUE"""),46213.4375)</f>
        <v>46213.4375</v>
      </c>
      <c r="F1878" s="86">
        <f>IFERROR(__xludf.DUMMYFUNCTION("""COMPUTED_VALUE"""),46211.784143854165)</f>
        <v>46211.78414</v>
      </c>
      <c r="G1878" s="86" t="str">
        <f>IFERROR(__xludf.DUMMYFUNCTION("""COMPUTED_VALUE"""),"Done")</f>
        <v>Done</v>
      </c>
      <c r="H1878" s="88">
        <f>IFERROR(__xludf.DUMMYFUNCTION("""COMPUTED_VALUE"""),0.0)</f>
        <v>0</v>
      </c>
      <c r="I1878" s="90" t="str">
        <f>IFERROR(__xludf.DUMMYFUNCTION("""COMPUTED_VALUE"""),"EMP0042 HULESHWAR KUMAR SAHU")</f>
        <v>EMP0042 HULESHWAR KUMAR SAHU</v>
      </c>
      <c r="J1878" s="91"/>
    </row>
    <row r="1879">
      <c r="B1879" s="76" t="str">
        <f>IFERROR(__xludf.DUMMYFUNCTION("""COMPUTED_VALUE"""),"Solution / Check data in database according to new logics                ")</f>
        <v>Solution / Check data in database according to new logics                </v>
      </c>
      <c r="C1879" s="82">
        <f>IFERROR(__xludf.DUMMYFUNCTION("""COMPUTED_VALUE"""),5343.0)</f>
        <v>5343</v>
      </c>
      <c r="D1879" s="76" t="str">
        <f>IFERROR(__xludf.DUMMYFUNCTION("""COMPUTED_VALUE"""),"Multiple Report Bcom MS")</f>
        <v>Multiple Report Bcom MS</v>
      </c>
      <c r="E1879" s="84">
        <f>IFERROR(__xludf.DUMMYFUNCTION("""COMPUTED_VALUE"""),46213.43541666667)</f>
        <v>46213.43542</v>
      </c>
      <c r="F1879" s="86">
        <f>IFERROR(__xludf.DUMMYFUNCTION("""COMPUTED_VALUE"""),46211.7836025463)</f>
        <v>46211.7836</v>
      </c>
      <c r="G1879" s="86" t="str">
        <f>IFERROR(__xludf.DUMMYFUNCTION("""COMPUTED_VALUE"""),"Done")</f>
        <v>Done</v>
      </c>
      <c r="H1879" s="88">
        <f>IFERROR(__xludf.DUMMYFUNCTION("""COMPUTED_VALUE"""),0.0)</f>
        <v>0</v>
      </c>
      <c r="I1879" s="90" t="str">
        <f>IFERROR(__xludf.DUMMYFUNCTION("""COMPUTED_VALUE"""),"EMP0042 HULESHWAR KUMAR SAHU")</f>
        <v>EMP0042 HULESHWAR KUMAR SAHU</v>
      </c>
      <c r="J1879" s="91"/>
    </row>
    <row r="1880">
      <c r="B1880" s="76" t="str">
        <f>IFERROR(__xludf.DUMMYFUNCTION("""COMPUTED_VALUE"""),"Solution / Check data in database according to new logics                ")</f>
        <v>Solution / Check data in database according to new logics                </v>
      </c>
      <c r="C1880" s="82">
        <f>IFERROR(__xludf.DUMMYFUNCTION("""COMPUTED_VALUE"""),5344.0)</f>
        <v>5344</v>
      </c>
      <c r="D1880" s="76" t="str">
        <f>IFERROR(__xludf.DUMMYFUNCTION("""COMPUTED_VALUE"""),"GAU Attendancesheet")</f>
        <v>GAU Attendancesheet</v>
      </c>
      <c r="E1880" s="84">
        <f>IFERROR(__xludf.DUMMYFUNCTION("""COMPUTED_VALUE"""),46213.586805555555)</f>
        <v>46213.58681</v>
      </c>
      <c r="F1880" s="86">
        <f>IFERROR(__xludf.DUMMYFUNCTION("""COMPUTED_VALUE"""),46213.52396990741)</f>
        <v>46213.52397</v>
      </c>
      <c r="G1880" s="86" t="str">
        <f>IFERROR(__xludf.DUMMYFUNCTION("""COMPUTED_VALUE"""),"Done")</f>
        <v>Done</v>
      </c>
      <c r="H1880" s="88">
        <f>IFERROR(__xludf.DUMMYFUNCTION("""COMPUTED_VALUE"""),0.0)</f>
        <v>0</v>
      </c>
      <c r="I1880" s="90" t="str">
        <f>IFERROR(__xludf.DUMMYFUNCTION("""COMPUTED_VALUE"""),"EMP0021 Tamanna Dewangan")</f>
        <v>EMP0021 Tamanna Dewangan</v>
      </c>
      <c r="J1880" s="91"/>
    </row>
    <row r="1881">
      <c r="B1881" s="76" t="str">
        <f>IFERROR(__xludf.DUMMYFUNCTION("""COMPUTED_VALUE"""),"Solution / Check data in database according to new logics                ")</f>
        <v>Solution / Check data in database according to new logics                </v>
      </c>
      <c r="C1881" s="82">
        <f>IFERROR(__xludf.DUMMYFUNCTION("""COMPUTED_VALUE"""),5345.0)</f>
        <v>5345</v>
      </c>
      <c r="D1881" s="76" t="str">
        <f>IFERROR(__xludf.DUMMYFUNCTION("""COMPUTED_VALUE"""),"UG Attendance Sheet")</f>
        <v>UG Attendance Sheet</v>
      </c>
      <c r="E1881" s="84">
        <f>IFERROR(__xludf.DUMMYFUNCTION("""COMPUTED_VALUE"""),46213.59583333333)</f>
        <v>46213.59583</v>
      </c>
      <c r="F1881" s="86">
        <f>IFERROR(__xludf.DUMMYFUNCTION("""COMPUTED_VALUE"""),46213.523993055554)</f>
        <v>46213.52399</v>
      </c>
      <c r="G1881" s="86" t="str">
        <f>IFERROR(__xludf.DUMMYFUNCTION("""COMPUTED_VALUE"""),"Done")</f>
        <v>Done</v>
      </c>
      <c r="H1881" s="88">
        <f>IFERROR(__xludf.DUMMYFUNCTION("""COMPUTED_VALUE"""),0.0)</f>
        <v>0</v>
      </c>
      <c r="I1881" s="90" t="str">
        <f>IFERROR(__xludf.DUMMYFUNCTION("""COMPUTED_VALUE"""),"EMP0021 Tamanna Dewangan")</f>
        <v>EMP0021 Tamanna Dewangan</v>
      </c>
      <c r="J1881" s="91"/>
    </row>
    <row r="1882">
      <c r="B1882" s="76" t="str">
        <f>IFERROR(__xludf.DUMMYFUNCTION("""COMPUTED_VALUE"""),"Solution / Check data in database according to new logics                ")</f>
        <v>Solution / Check data in database according to new logics                </v>
      </c>
      <c r="C1882" s="82">
        <f>IFERROR(__xludf.DUMMYFUNCTION("""COMPUTED_VALUE"""),5346.0)</f>
        <v>5346</v>
      </c>
      <c r="D1882" s="76" t="str">
        <f>IFERROR(__xludf.DUMMYFUNCTION("""COMPUTED_VALUE"""),"Summary For UG")</f>
        <v>Summary For UG</v>
      </c>
      <c r="E1882" s="84">
        <f>IFERROR(__xludf.DUMMYFUNCTION("""COMPUTED_VALUE"""),46213.597916666666)</f>
        <v>46213.59792</v>
      </c>
      <c r="F1882" s="86">
        <f>IFERROR(__xludf.DUMMYFUNCTION("""COMPUTED_VALUE"""),46213.52402777778)</f>
        <v>46213.52403</v>
      </c>
      <c r="G1882" s="86" t="str">
        <f>IFERROR(__xludf.DUMMYFUNCTION("""COMPUTED_VALUE"""),"Done")</f>
        <v>Done</v>
      </c>
      <c r="H1882" s="88">
        <f>IFERROR(__xludf.DUMMYFUNCTION("""COMPUTED_VALUE"""),0.0)</f>
        <v>0</v>
      </c>
      <c r="I1882" s="90" t="str">
        <f>IFERROR(__xludf.DUMMYFUNCTION("""COMPUTED_VALUE"""),"EMP0021 Tamanna Dewangan")</f>
        <v>EMP0021 Tamanna Dewangan</v>
      </c>
      <c r="J1882" s="91"/>
    </row>
    <row r="1883">
      <c r="B1883" s="76" t="str">
        <f>IFERROR(__xludf.DUMMYFUNCTION("""COMPUTED_VALUE"""),"Solution / Check data in database according to new logics                ")</f>
        <v>Solution / Check data in database according to new logics                </v>
      </c>
      <c r="C1883" s="82">
        <f>IFERROR(__xludf.DUMMYFUNCTION("""COMPUTED_VALUE"""),5347.0)</f>
        <v>5347</v>
      </c>
      <c r="D1883" s="76" t="str">
        <f>IFERROR(__xludf.DUMMYFUNCTION("""COMPUTED_VALUE"""),"Cover Page")</f>
        <v>Cover Page</v>
      </c>
      <c r="E1883" s="84">
        <f>IFERROR(__xludf.DUMMYFUNCTION("""COMPUTED_VALUE"""),46213.59930555556)</f>
        <v>46213.59931</v>
      </c>
      <c r="F1883" s="86">
        <f>IFERROR(__xludf.DUMMYFUNCTION("""COMPUTED_VALUE"""),46213.524976851855)</f>
        <v>46213.52498</v>
      </c>
      <c r="G1883" s="86" t="str">
        <f>IFERROR(__xludf.DUMMYFUNCTION("""COMPUTED_VALUE"""),"Done")</f>
        <v>Done</v>
      </c>
      <c r="H1883" s="88">
        <f>IFERROR(__xludf.DUMMYFUNCTION("""COMPUTED_VALUE"""),0.0)</f>
        <v>0</v>
      </c>
      <c r="I1883" s="90" t="str">
        <f>IFERROR(__xludf.DUMMYFUNCTION("""COMPUTED_VALUE"""),"EMP0021 Tamanna Dewangan")</f>
        <v>EMP0021 Tamanna Dewangan</v>
      </c>
      <c r="J1883" s="91"/>
    </row>
    <row r="1884">
      <c r="B1884" s="76" t="str">
        <f>IFERROR(__xludf.DUMMYFUNCTION("""COMPUTED_VALUE"""),"Solution / Check data in database according to new logics                ")</f>
        <v>Solution / Check data in database according to new logics                </v>
      </c>
      <c r="C1884" s="82">
        <f>IFERROR(__xludf.DUMMYFUNCTION("""COMPUTED_VALUE"""),5348.0)</f>
        <v>5348</v>
      </c>
      <c r="D1884" s="76" t="str">
        <f>IFERROR(__xludf.DUMMYFUNCTION("""COMPUTED_VALUE"""),"inside Analysis report the fee detail is not working")</f>
        <v>inside Analysis report the fee detail is not working</v>
      </c>
      <c r="E1884" s="84">
        <f>IFERROR(__xludf.DUMMYFUNCTION("""COMPUTED_VALUE"""),46213.70833333333)</f>
        <v>46213.70833</v>
      </c>
      <c r="F1884" s="86">
        <f>IFERROR(__xludf.DUMMYFUNCTION("""COMPUTED_VALUE"""),46212.78586239583)</f>
        <v>46212.78586</v>
      </c>
      <c r="G1884" s="86" t="str">
        <f>IFERROR(__xludf.DUMMYFUNCTION("""COMPUTED_VALUE"""),"Done")</f>
        <v>Done</v>
      </c>
      <c r="H1884" s="88">
        <f>IFERROR(__xludf.DUMMYFUNCTION("""COMPUTED_VALUE"""),0.0)</f>
        <v>0</v>
      </c>
      <c r="I1884" s="90" t="str">
        <f>IFERROR(__xludf.DUMMYFUNCTION("""COMPUTED_VALUE"""),"EMP0042 HULESHWAR KUMAR SAHU")</f>
        <v>EMP0042 HULESHWAR KUMAR SAHU</v>
      </c>
      <c r="J1884" s="91"/>
    </row>
    <row r="1885">
      <c r="B1885" s="76" t="str">
        <f>IFERROR(__xludf.DUMMYFUNCTION("""COMPUTED_VALUE"""),"Solution / Check data in database according to new logics                ")</f>
        <v>Solution / Check data in database according to new logics                </v>
      </c>
      <c r="C1885" s="82">
        <f>IFERROR(__xludf.DUMMYFUNCTION("""COMPUTED_VALUE"""),5349.0)</f>
        <v>5349</v>
      </c>
      <c r="D1885" s="76" t="str">
        <f>IFERROR(__xludf.DUMMYFUNCTION("""COMPUTED_VALUE"""),"Challenge revaluation me RV show ho rha")</f>
        <v>Challenge revaluation me RV show ho rha</v>
      </c>
      <c r="E1885" s="84">
        <f>IFERROR(__xludf.DUMMYFUNCTION("""COMPUTED_VALUE"""),46213.711805555555)</f>
        <v>46213.71181</v>
      </c>
      <c r="F1885" s="86">
        <f>IFERROR(__xludf.DUMMYFUNCTION("""COMPUTED_VALUE"""),46212.57450534723)</f>
        <v>46212.57451</v>
      </c>
      <c r="G1885" s="86" t="str">
        <f>IFERROR(__xludf.DUMMYFUNCTION("""COMPUTED_VALUE"""),"Done")</f>
        <v>Done</v>
      </c>
      <c r="H1885" s="88">
        <f>IFERROR(__xludf.DUMMYFUNCTION("""COMPUTED_VALUE"""),0.0)</f>
        <v>0</v>
      </c>
      <c r="I1885" s="90" t="str">
        <f>IFERROR(__xludf.DUMMYFUNCTION("""COMPUTED_VALUE"""),"EMP5009 Rup Kumar Mandal")</f>
        <v>EMP5009 Rup Kumar Mandal</v>
      </c>
      <c r="J1885" s="91"/>
    </row>
    <row r="1886">
      <c r="B1886" s="76" t="str">
        <f>IFERROR(__xludf.DUMMYFUNCTION("""COMPUTED_VALUE"""),"Solution / Check data in database according to new logics                ")</f>
        <v>Solution / Check data in database according to new logics                </v>
      </c>
      <c r="C1886" s="82">
        <f>IFERROR(__xludf.DUMMYFUNCTION("""COMPUTED_VALUE"""),5350.0)</f>
        <v>5350</v>
      </c>
      <c r="D1886" s="76" t="str">
        <f>IFERROR(__xludf.DUMMYFUNCTION("""COMPUTED_VALUE"""),"Transcript")</f>
        <v>Transcript</v>
      </c>
      <c r="E1886" s="84">
        <f>IFERROR(__xludf.DUMMYFUNCTION("""COMPUTED_VALUE"""),46213.72222222222)</f>
        <v>46213.72222</v>
      </c>
      <c r="F1886" s="86">
        <f>IFERROR(__xludf.DUMMYFUNCTION("""COMPUTED_VALUE"""),46212.78571759259)</f>
        <v>46212.78572</v>
      </c>
      <c r="G1886" s="86" t="str">
        <f>IFERROR(__xludf.DUMMYFUNCTION("""COMPUTED_VALUE"""),"Done")</f>
        <v>Done</v>
      </c>
      <c r="H1886" s="88">
        <f>IFERROR(__xludf.DUMMYFUNCTION("""COMPUTED_VALUE"""),0.0)</f>
        <v>0</v>
      </c>
      <c r="I1886" s="90" t="str">
        <f>IFERROR(__xludf.DUMMYFUNCTION("""COMPUTED_VALUE"""),"EMP0042 HULESHWAR KUMAR SAHU")</f>
        <v>EMP0042 HULESHWAR KUMAR SAHU</v>
      </c>
      <c r="J1886" s="91"/>
    </row>
    <row r="1887">
      <c r="B1887" s="76" t="str">
        <f>IFERROR(__xludf.DUMMYFUNCTION("""COMPUTED_VALUE"""),"Solution / Check data in database according to new logics                ")</f>
        <v>Solution / Check data in database according to new logics                </v>
      </c>
      <c r="C1887" s="82">
        <f>IFERROR(__xludf.DUMMYFUNCTION("""COMPUTED_VALUE"""),5351.0)</f>
        <v>5351</v>
      </c>
      <c r="D1887" s="76" t="str">
        <f>IFERROR(__xludf.DUMMYFUNCTION("""COMPUTED_VALUE"""),"ATTANDANCE SHEET")</f>
        <v>ATTANDANCE SHEET</v>
      </c>
      <c r="E1887" s="84">
        <f>IFERROR(__xludf.DUMMYFUNCTION("""COMPUTED_VALUE"""),46214.81805555556)</f>
        <v>46214.81806</v>
      </c>
      <c r="F1887" s="86">
        <f>IFERROR(__xludf.DUMMYFUNCTION("""COMPUTED_VALUE"""),46213.64328048611)</f>
        <v>46213.64328</v>
      </c>
      <c r="G1887" s="86" t="str">
        <f>IFERROR(__xludf.DUMMYFUNCTION("""COMPUTED_VALUE"""),"Done")</f>
        <v>Done</v>
      </c>
      <c r="H1887" s="88">
        <f>IFERROR(__xludf.DUMMYFUNCTION("""COMPUTED_VALUE"""),0.0)</f>
        <v>0</v>
      </c>
      <c r="I1887" s="90" t="str">
        <f>IFERROR(__xludf.DUMMYFUNCTION("""COMPUTED_VALUE"""),"EMP0042 HULESHWAR KUMAR SAHU")</f>
        <v>EMP0042 HULESHWAR KUMAR SAHU</v>
      </c>
      <c r="J1887" s="91"/>
    </row>
    <row r="1888">
      <c r="B1888" s="76" t="str">
        <f>IFERROR(__xludf.DUMMYFUNCTION("""COMPUTED_VALUE"""),"Solution / Check data in database according to new logics                ")</f>
        <v>Solution / Check data in database according to new logics                </v>
      </c>
      <c r="C1888" s="82">
        <f>IFERROR(__xludf.DUMMYFUNCTION("""COMPUTED_VALUE"""),5352.0)</f>
        <v>5352</v>
      </c>
      <c r="D1888" s="76" t="str">
        <f>IFERROR(__xludf.DUMMYFUNCTION("""COMPUTED_VALUE"""),"Grade Card NEP (PG)")</f>
        <v>Grade Card NEP (PG)</v>
      </c>
      <c r="E1888" s="84">
        <f>IFERROR(__xludf.DUMMYFUNCTION("""COMPUTED_VALUE"""),46216.45416666666)</f>
        <v>46216.45417</v>
      </c>
      <c r="F1888" s="86">
        <f>IFERROR(__xludf.DUMMYFUNCTION("""COMPUTED_VALUE"""),46214.4585313889)</f>
        <v>46214.45853</v>
      </c>
      <c r="G1888" s="86" t="str">
        <f>IFERROR(__xludf.DUMMYFUNCTION("""COMPUTED_VALUE"""),"Done")</f>
        <v>Done</v>
      </c>
      <c r="H1888" s="88">
        <f>IFERROR(__xludf.DUMMYFUNCTION("""COMPUTED_VALUE"""),0.0)</f>
        <v>0</v>
      </c>
      <c r="I1888" s="90" t="str">
        <f>IFERROR(__xludf.DUMMYFUNCTION("""COMPUTED_VALUE"""),"EMP5009 Rup Kumar Mandal")</f>
        <v>EMP5009 Rup Kumar Mandal</v>
      </c>
      <c r="J1888" s="91"/>
    </row>
    <row r="1889">
      <c r="B1889" s="76" t="str">
        <f>IFERROR(__xludf.DUMMYFUNCTION("""COMPUTED_VALUE"""),"Solution / Check data in database according to new logics                ")</f>
        <v>Solution / Check data in database according to new logics                </v>
      </c>
      <c r="C1889" s="82">
        <f>IFERROR(__xludf.DUMMYFUNCTION("""COMPUTED_VALUE"""),5353.0)</f>
        <v>5353</v>
      </c>
      <c r="D1889" s="76" t="str">
        <f>IFERROR(__xludf.DUMMYFUNCTION("""COMPUTED_VALUE"""),"TR Format (Grading / Non-Grading)")</f>
        <v>TR Format (Grading / Non-Grading)</v>
      </c>
      <c r="E1889" s="84">
        <f>IFERROR(__xludf.DUMMYFUNCTION("""COMPUTED_VALUE"""),46216.52638888889)</f>
        <v>46216.52639</v>
      </c>
      <c r="F1889" s="86">
        <f>IFERROR(__xludf.DUMMYFUNCTION("""COMPUTED_VALUE"""),46214.45828017362)</f>
        <v>46214.45828</v>
      </c>
      <c r="G1889" s="86" t="str">
        <f>IFERROR(__xludf.DUMMYFUNCTION("""COMPUTED_VALUE"""),"Done")</f>
        <v>Done</v>
      </c>
      <c r="H1889" s="88">
        <f>IFERROR(__xludf.DUMMYFUNCTION("""COMPUTED_VALUE"""),0.0)</f>
        <v>0</v>
      </c>
      <c r="I1889" s="90" t="str">
        <f>IFERROR(__xludf.DUMMYFUNCTION("""COMPUTED_VALUE"""),"EMP5009 Rup Kumar Mandal")</f>
        <v>EMP5009 Rup Kumar Mandal</v>
      </c>
      <c r="J1889" s="91"/>
    </row>
    <row r="1890">
      <c r="B1890" s="76" t="str">
        <f>IFERROR(__xludf.DUMMYFUNCTION("""COMPUTED_VALUE"""),"Solution / Check data in database according to new logics                ")</f>
        <v>Solution / Check data in database according to new logics                </v>
      </c>
      <c r="C1890" s="82">
        <f>IFERROR(__xludf.DUMMYFUNCTION("""COMPUTED_VALUE"""),5354.0)</f>
        <v>5354</v>
      </c>
      <c r="D1890" s="76" t="str">
        <f>IFERROR(__xludf.DUMMYFUNCTION("""COMPUTED_VALUE"""),"Please update in scheme report for subject type, credits")</f>
        <v>Please update in scheme report for subject type, credits</v>
      </c>
      <c r="E1890" s="84">
        <f>IFERROR(__xludf.DUMMYFUNCTION("""COMPUTED_VALUE"""),46216.77083333333)</f>
        <v>46216.77083</v>
      </c>
      <c r="F1890" s="86">
        <f>IFERROR(__xludf.DUMMYFUNCTION("""COMPUTED_VALUE"""),46214.72311355324)</f>
        <v>46214.72311</v>
      </c>
      <c r="G1890" s="86" t="str">
        <f>IFERROR(__xludf.DUMMYFUNCTION("""COMPUTED_VALUE"""),"Done")</f>
        <v>Done</v>
      </c>
      <c r="H1890" s="88">
        <f>IFERROR(__xludf.DUMMYFUNCTION("""COMPUTED_VALUE"""),0.0)</f>
        <v>0</v>
      </c>
      <c r="I1890" s="90" t="str">
        <f>IFERROR(__xludf.DUMMYFUNCTION("""COMPUTED_VALUE"""),"EMP0042 HULESHWAR KUMAR SAHU")</f>
        <v>EMP0042 HULESHWAR KUMAR SAHU</v>
      </c>
      <c r="J1890" s="91"/>
    </row>
    <row r="1891">
      <c r="B1891" s="76" t="str">
        <f>IFERROR(__xludf.DUMMYFUNCTION("""COMPUTED_VALUE"""),"Solution / Check data in database according to new logics                ")</f>
        <v>Solution / Check data in database according to new logics                </v>
      </c>
      <c r="C1891" s="82">
        <f>IFERROR(__xludf.DUMMYFUNCTION("""COMPUTED_VALUE"""),5355.0)</f>
        <v>5355</v>
      </c>
      <c r="D1891" s="76" t="str">
        <f>IFERROR(__xludf.DUMMYFUNCTION("""COMPUTED_VALUE"""),"TR LLB NEW")</f>
        <v>TR LLB NEW</v>
      </c>
      <c r="E1891" s="84">
        <f>IFERROR(__xludf.DUMMYFUNCTION("""COMPUTED_VALUE"""),46216.788888888885)</f>
        <v>46216.78889</v>
      </c>
      <c r="F1891" s="86">
        <f>IFERROR(__xludf.DUMMYFUNCTION("""COMPUTED_VALUE"""),46214.72314135417)</f>
        <v>46214.72314</v>
      </c>
      <c r="G1891" s="86" t="str">
        <f>IFERROR(__xludf.DUMMYFUNCTION("""COMPUTED_VALUE"""),"Done")</f>
        <v>Done</v>
      </c>
      <c r="H1891" s="88">
        <f>IFERROR(__xludf.DUMMYFUNCTION("""COMPUTED_VALUE"""),0.0)</f>
        <v>0</v>
      </c>
      <c r="I1891" s="90" t="str">
        <f>IFERROR(__xludf.DUMMYFUNCTION("""COMPUTED_VALUE"""),"EMP0042 HULESHWAR KUMAR SAHU")</f>
        <v>EMP0042 HULESHWAR KUMAR SAHU</v>
      </c>
      <c r="J1891" s="91"/>
    </row>
    <row r="1892">
      <c r="B1892" s="76" t="str">
        <f>IFERROR(__xludf.DUMMYFUNCTION("""COMPUTED_VALUE"""),"Solution / Check data in database according to new logics                ")</f>
        <v>Solution / Check data in database according to new logics                </v>
      </c>
      <c r="C1892" s="82">
        <f>IFERROR(__xludf.DUMMYFUNCTION("""COMPUTED_VALUE"""),5356.0)</f>
        <v>5356</v>
      </c>
      <c r="D1892" s="76" t="str">
        <f>IFERROR(__xludf.DUMMYFUNCTION("""COMPUTED_VALUE"""),"Multiple Report ")</f>
        <v>Multiple Report </v>
      </c>
      <c r="E1892" s="84">
        <f>IFERROR(__xludf.DUMMYFUNCTION("""COMPUTED_VALUE"""),46217.535416666666)</f>
        <v>46217.53542</v>
      </c>
      <c r="F1892" s="86">
        <f>IFERROR(__xludf.DUMMYFUNCTION("""COMPUTED_VALUE"""),46214.72330920139)</f>
        <v>46214.72331</v>
      </c>
      <c r="G1892" s="86" t="str">
        <f>IFERROR(__xludf.DUMMYFUNCTION("""COMPUTED_VALUE"""),"Done")</f>
        <v>Done</v>
      </c>
      <c r="H1892" s="88">
        <f>IFERROR(__xludf.DUMMYFUNCTION("""COMPUTED_VALUE"""),0.0)</f>
        <v>0</v>
      </c>
      <c r="I1892" s="90" t="str">
        <f>IFERROR(__xludf.DUMMYFUNCTION("""COMPUTED_VALUE"""),"EMP0042 HULESHWAR KUMAR SAHU")</f>
        <v>EMP0042 HULESHWAR KUMAR SAHU</v>
      </c>
      <c r="J1892" s="91"/>
    </row>
    <row r="1893">
      <c r="B1893" s="76" t="str">
        <f>IFERROR(__xludf.DUMMYFUNCTION("""COMPUTED_VALUE"""),"Solution / Check data in database according to new logics                ")</f>
        <v>Solution / Check data in database according to new logics                </v>
      </c>
      <c r="C1893" s="82">
        <f>IFERROR(__xludf.DUMMYFUNCTION("""COMPUTED_VALUE"""),5357.0)</f>
        <v>5357</v>
      </c>
      <c r="D1893" s="76" t="str">
        <f>IFERROR(__xludf.DUMMYFUNCTION("""COMPUTED_VALUE"""),"TR")</f>
        <v>TR</v>
      </c>
      <c r="E1893" s="84">
        <f>IFERROR(__xludf.DUMMYFUNCTION("""COMPUTED_VALUE"""),46217.76180555555)</f>
        <v>46217.76181</v>
      </c>
      <c r="F1893" s="86">
        <f>IFERROR(__xludf.DUMMYFUNCTION("""COMPUTED_VALUE"""),46216.552827141204)</f>
        <v>46216.55283</v>
      </c>
      <c r="G1893" s="86" t="str">
        <f>IFERROR(__xludf.DUMMYFUNCTION("""COMPUTED_VALUE"""),"Done")</f>
        <v>Done</v>
      </c>
      <c r="H1893" s="88">
        <f>IFERROR(__xludf.DUMMYFUNCTION("""COMPUTED_VALUE"""),0.0)</f>
        <v>0</v>
      </c>
      <c r="I1893" s="90" t="str">
        <f>IFERROR(__xludf.DUMMYFUNCTION("""COMPUTED_VALUE"""),"EMP0042 HULESHWAR KUMAR SAHU")</f>
        <v>EMP0042 HULESHWAR KUMAR SAHU</v>
      </c>
      <c r="J1893" s="91"/>
    </row>
    <row r="1894">
      <c r="B1894" s="76" t="str">
        <f>IFERROR(__xludf.DUMMYFUNCTION("""COMPUTED_VALUE"""),"Solution / Check data in database according to new logics                ")</f>
        <v>Solution / Check data in database according to new logics                </v>
      </c>
      <c r="C1894" s="82">
        <f>IFERROR(__xludf.DUMMYFUNCTION("""COMPUTED_VALUE"""),5358.0)</f>
        <v>5358</v>
      </c>
      <c r="D1894" s="76" t="str">
        <f>IFERROR(__xludf.DUMMYFUNCTION("""COMPUTED_VALUE"""),"PRE EXAM REPORT")</f>
        <v>PRE EXAM REPORT</v>
      </c>
      <c r="E1894" s="84">
        <f>IFERROR(__xludf.DUMMYFUNCTION("""COMPUTED_VALUE"""),46217.81736111111)</f>
        <v>46217.81736</v>
      </c>
      <c r="F1894" s="86">
        <f>IFERROR(__xludf.DUMMYFUNCTION("""COMPUTED_VALUE"""),46216.6722917824)</f>
        <v>46216.67229</v>
      </c>
      <c r="G1894" s="86" t="str">
        <f>IFERROR(__xludf.DUMMYFUNCTION("""COMPUTED_VALUE"""),"Done")</f>
        <v>Done</v>
      </c>
      <c r="H1894" s="88">
        <f>IFERROR(__xludf.DUMMYFUNCTION("""COMPUTED_VALUE"""),0.0)</f>
        <v>0</v>
      </c>
      <c r="I1894" s="90" t="str">
        <f>IFERROR(__xludf.DUMMYFUNCTION("""COMPUTED_VALUE"""),"EMP0237 Swarnendu Chakraborty")</f>
        <v>EMP0237 Swarnendu Chakraborty</v>
      </c>
      <c r="J1894" s="91"/>
    </row>
    <row r="1895">
      <c r="B1895" s="76" t="str">
        <f>IFERROR(__xludf.DUMMYFUNCTION("""COMPUTED_VALUE"""),"Solution / Check data in database according to new logics                ")</f>
        <v>Solution / Check data in database according to new logics                </v>
      </c>
      <c r="C1895" s="82">
        <f>IFERROR(__xludf.DUMMYFUNCTION("""COMPUTED_VALUE"""),5359.0)</f>
        <v>5359</v>
      </c>
      <c r="D1895" s="76" t="str">
        <f>IFERROR(__xludf.DUMMYFUNCTION("""COMPUTED_VALUE"""),"TRANSCRIPT")</f>
        <v>TRANSCRIPT</v>
      </c>
      <c r="E1895" s="84">
        <f>IFERROR(__xludf.DUMMYFUNCTION("""COMPUTED_VALUE"""),46218.45694444445)</f>
        <v>46218.45694</v>
      </c>
      <c r="F1895" s="86">
        <f>IFERROR(__xludf.DUMMYFUNCTION("""COMPUTED_VALUE"""),46216.672344502316)</f>
        <v>46216.67234</v>
      </c>
      <c r="G1895" s="86" t="str">
        <f>IFERROR(__xludf.DUMMYFUNCTION("""COMPUTED_VALUE"""),"Done")</f>
        <v>Done</v>
      </c>
      <c r="H1895" s="88">
        <f>IFERROR(__xludf.DUMMYFUNCTION("""COMPUTED_VALUE"""),0.0)</f>
        <v>0</v>
      </c>
      <c r="I1895" s="90" t="str">
        <f>IFERROR(__xludf.DUMMYFUNCTION("""COMPUTED_VALUE"""),"EMP0042 HULESHWAR KUMAR SAHU")</f>
        <v>EMP0042 HULESHWAR KUMAR SAHU</v>
      </c>
      <c r="J1895" s="91"/>
    </row>
    <row r="1896">
      <c r="B1896" s="76" t="str">
        <f>IFERROR(__xludf.DUMMYFUNCTION("""COMPUTED_VALUE"""),"Solution / Check data in database according to new logics                ")</f>
        <v>Solution / Check data in database according to new logics                </v>
      </c>
      <c r="C1896" s="82">
        <f>IFERROR(__xludf.DUMMYFUNCTION("""COMPUTED_VALUE"""),5360.0)</f>
        <v>5360</v>
      </c>
      <c r="D1896" s="76" t="str">
        <f>IFERROR(__xludf.DUMMYFUNCTION("""COMPUTED_VALUE"""),"TR REPORT ")</f>
        <v>TR REPORT </v>
      </c>
      <c r="E1896" s="84">
        <f>IFERROR(__xludf.DUMMYFUNCTION("""COMPUTED_VALUE"""),46218.56597222222)</f>
        <v>46218.56597</v>
      </c>
      <c r="F1896" s="86">
        <f>IFERROR(__xludf.DUMMYFUNCTION("""COMPUTED_VALUE"""),46217.45427560185)</f>
        <v>46217.45428</v>
      </c>
      <c r="G1896" s="86" t="str">
        <f>IFERROR(__xludf.DUMMYFUNCTION("""COMPUTED_VALUE"""),"Done")</f>
        <v>Done</v>
      </c>
      <c r="H1896" s="88">
        <f>IFERROR(__xludf.DUMMYFUNCTION("""COMPUTED_VALUE"""),0.0)</f>
        <v>0</v>
      </c>
      <c r="I1896" s="90" t="str">
        <f>IFERROR(__xludf.DUMMYFUNCTION("""COMPUTED_VALUE"""),"EMP0237 Swarnendu Chakraborty")</f>
        <v>EMP0237 Swarnendu Chakraborty</v>
      </c>
      <c r="J1896" s="91"/>
    </row>
    <row r="1897">
      <c r="B1897" s="76" t="str">
        <f>IFERROR(__xludf.DUMMYFUNCTION("""COMPUTED_VALUE"""),"Solution / Check data in database according to new logics                ")</f>
        <v>Solution / Check data in database according to new logics                </v>
      </c>
      <c r="C1897" s="82">
        <f>IFERROR(__xludf.DUMMYFUNCTION("""COMPUTED_VALUE"""),5361.0)</f>
        <v>5361</v>
      </c>
      <c r="D1897" s="76" t="str">
        <f>IFERROR(__xludf.DUMMYFUNCTION("""COMPUTED_VALUE"""),"Grade Card")</f>
        <v>Grade Card</v>
      </c>
      <c r="E1897" s="84">
        <f>IFERROR(__xludf.DUMMYFUNCTION("""COMPUTED_VALUE"""),46218.79375)</f>
        <v>46218.79375</v>
      </c>
      <c r="F1897" s="86">
        <f>IFERROR(__xludf.DUMMYFUNCTION("""COMPUTED_VALUE"""),46217.45429510417)</f>
        <v>46217.4543</v>
      </c>
      <c r="G1897" s="86" t="str">
        <f>IFERROR(__xludf.DUMMYFUNCTION("""COMPUTED_VALUE"""),"Done")</f>
        <v>Done</v>
      </c>
      <c r="H1897" s="88">
        <f>IFERROR(__xludf.DUMMYFUNCTION("""COMPUTED_VALUE"""),0.0)</f>
        <v>0</v>
      </c>
      <c r="I1897" s="90" t="str">
        <f>IFERROR(__xludf.DUMMYFUNCTION("""COMPUTED_VALUE"""),"EMP5009 Rup Kumar Mandal")</f>
        <v>EMP5009 Rup Kumar Mandal</v>
      </c>
      <c r="J1897" s="91"/>
    </row>
    <row r="1898">
      <c r="B1898" s="76" t="str">
        <f>IFERROR(__xludf.DUMMYFUNCTION("""COMPUTED_VALUE"""),"Solution / Check data in database according to new logics                ")</f>
        <v>Solution / Check data in database according to new logics                </v>
      </c>
      <c r="C1898" s="82">
        <f>IFERROR(__xludf.DUMMYFUNCTION("""COMPUTED_VALUE"""),5362.0)</f>
        <v>5362</v>
      </c>
      <c r="D1898" s="76" t="str">
        <f>IFERROR(__xludf.DUMMYFUNCTION("""COMPUTED_VALUE"""),"3443")</f>
        <v>3443</v>
      </c>
      <c r="E1898" s="84">
        <f>IFERROR(__xludf.DUMMYFUNCTION("""COMPUTED_VALUE"""),46218.799305555556)</f>
        <v>46218.79931</v>
      </c>
      <c r="F1898" s="86">
        <f>IFERROR(__xludf.DUMMYFUNCTION("""COMPUTED_VALUE"""),46217.45430777778)</f>
        <v>46217.45431</v>
      </c>
      <c r="G1898" s="86" t="str">
        <f>IFERROR(__xludf.DUMMYFUNCTION("""COMPUTED_VALUE"""),"Done")</f>
        <v>Done</v>
      </c>
      <c r="H1898" s="88">
        <f>IFERROR(__xludf.DUMMYFUNCTION("""COMPUTED_VALUE"""),0.0)</f>
        <v>0</v>
      </c>
      <c r="I1898" s="90" t="str">
        <f>IFERROR(__xludf.DUMMYFUNCTION("""COMPUTED_VALUE"""),"EMP5009 Rup Kumar Mandal")</f>
        <v>EMP5009 Rup Kumar Mandal</v>
      </c>
      <c r="J1898" s="91"/>
    </row>
    <row r="1899">
      <c r="B1899" s="76" t="str">
        <f>IFERROR(__xludf.DUMMYFUNCTION("""COMPUTED_VALUE"""),"Solution / Check data in database according to new logics                ")</f>
        <v>Solution / Check data in database according to new logics                </v>
      </c>
      <c r="C1899" s="82">
        <f>IFERROR(__xludf.DUMMYFUNCTION("""COMPUTED_VALUE"""),5363.0)</f>
        <v>5363</v>
      </c>
      <c r="D1899" s="76" t="str">
        <f>IFERROR(__xludf.DUMMYFUNCTION("""COMPUTED_VALUE"""),"3386")</f>
        <v>3386</v>
      </c>
      <c r="E1899" s="84">
        <f>IFERROR(__xludf.DUMMYFUNCTION("""COMPUTED_VALUE"""),46218.80138888889)</f>
        <v>46218.80139</v>
      </c>
      <c r="F1899" s="86">
        <f>IFERROR(__xludf.DUMMYFUNCTION("""COMPUTED_VALUE"""),46217.45431349537)</f>
        <v>46217.45431</v>
      </c>
      <c r="G1899" s="86" t="str">
        <f>IFERROR(__xludf.DUMMYFUNCTION("""COMPUTED_VALUE"""),"Done")</f>
        <v>Done</v>
      </c>
      <c r="H1899" s="88">
        <f>IFERROR(__xludf.DUMMYFUNCTION("""COMPUTED_VALUE"""),0.0)</f>
        <v>0</v>
      </c>
      <c r="I1899" s="90" t="str">
        <f>IFERROR(__xludf.DUMMYFUNCTION("""COMPUTED_VALUE"""),"EMP5009 Rup Kumar Mandal")</f>
        <v>EMP5009 Rup Kumar Mandal</v>
      </c>
      <c r="J1899" s="91"/>
    </row>
    <row r="1900">
      <c r="B1900" s="76" t="str">
        <f>IFERROR(__xludf.DUMMYFUNCTION("""COMPUTED_VALUE"""),"Solution / Check data in database according to new logics                ")</f>
        <v>Solution / Check data in database according to new logics                </v>
      </c>
      <c r="C1900" s="82">
        <f>IFERROR(__xludf.DUMMYFUNCTION("""COMPUTED_VALUE"""),5364.0)</f>
        <v>5364</v>
      </c>
      <c r="D1900" s="76" t="str">
        <f>IFERROR(__xludf.DUMMYFUNCTION("""COMPUTED_VALUE"""),"3285")</f>
        <v>3285</v>
      </c>
      <c r="E1900" s="84">
        <f>IFERROR(__xludf.DUMMYFUNCTION("""COMPUTED_VALUE"""),46218.80416666667)</f>
        <v>46218.80417</v>
      </c>
      <c r="F1900" s="86">
        <f>IFERROR(__xludf.DUMMYFUNCTION("""COMPUTED_VALUE"""),46217.45432086805)</f>
        <v>46217.45432</v>
      </c>
      <c r="G1900" s="86" t="str">
        <f>IFERROR(__xludf.DUMMYFUNCTION("""COMPUTED_VALUE"""),"Done")</f>
        <v>Done</v>
      </c>
      <c r="H1900" s="88">
        <f>IFERROR(__xludf.DUMMYFUNCTION("""COMPUTED_VALUE"""),0.0)</f>
        <v>0</v>
      </c>
      <c r="I1900" s="90" t="str">
        <f>IFERROR(__xludf.DUMMYFUNCTION("""COMPUTED_VALUE"""),"EMP5009 Rup Kumar Mandal")</f>
        <v>EMP5009 Rup Kumar Mandal</v>
      </c>
      <c r="J1900" s="91"/>
    </row>
    <row r="1901">
      <c r="B1901" s="76" t="str">
        <f>IFERROR(__xludf.DUMMYFUNCTION("""COMPUTED_VALUE"""),"Solution / Check data in database according to new logics                ")</f>
        <v>Solution / Check data in database according to new logics                </v>
      </c>
      <c r="C1901" s="82">
        <f>IFERROR(__xludf.DUMMYFUNCTION("""COMPUTED_VALUE"""),5365.0)</f>
        <v>5365</v>
      </c>
      <c r="D1901" s="76" t="str">
        <f>IFERROR(__xludf.DUMMYFUNCTION("""COMPUTED_VALUE"""),"3285")</f>
        <v>3285</v>
      </c>
      <c r="E1901" s="84">
        <f>IFERROR(__xludf.DUMMYFUNCTION("""COMPUTED_VALUE"""),46218.805555555555)</f>
        <v>46218.80556</v>
      </c>
      <c r="F1901" s="86">
        <f>IFERROR(__xludf.DUMMYFUNCTION("""COMPUTED_VALUE"""),46217.617650381944)</f>
        <v>46217.61765</v>
      </c>
      <c r="G1901" s="86" t="str">
        <f>IFERROR(__xludf.DUMMYFUNCTION("""COMPUTED_VALUE"""),"Done")</f>
        <v>Done</v>
      </c>
      <c r="H1901" s="88">
        <f>IFERROR(__xludf.DUMMYFUNCTION("""COMPUTED_VALUE"""),0.0)</f>
        <v>0</v>
      </c>
      <c r="I1901" s="90" t="str">
        <f>IFERROR(__xludf.DUMMYFUNCTION("""COMPUTED_VALUE"""),"EMP5009 Rup Kumar Mandal")</f>
        <v>EMP5009 Rup Kumar Mandal</v>
      </c>
      <c r="J1901" s="91"/>
    </row>
    <row r="1902">
      <c r="B1902" s="76" t="str">
        <f>IFERROR(__xludf.DUMMYFUNCTION("""COMPUTED_VALUE"""),"Solution / Check data in database according to new logics                ")</f>
        <v>Solution / Check data in database according to new logics                </v>
      </c>
      <c r="C1902" s="82">
        <f>IFERROR(__xludf.DUMMYFUNCTION("""COMPUTED_VALUE"""),5366.0)</f>
        <v>5366</v>
      </c>
      <c r="D1902" s="76" t="str">
        <f>IFERROR(__xludf.DUMMYFUNCTION("""COMPUTED_VALUE"""),"2577")</f>
        <v>2577</v>
      </c>
      <c r="E1902" s="84">
        <f>IFERROR(__xludf.DUMMYFUNCTION("""COMPUTED_VALUE"""),46218.80694444444)</f>
        <v>46218.80694</v>
      </c>
      <c r="F1902" s="86">
        <f>IFERROR(__xludf.DUMMYFUNCTION("""COMPUTED_VALUE"""),46217.45433646991)</f>
        <v>46217.45434</v>
      </c>
      <c r="G1902" s="86" t="str">
        <f>IFERROR(__xludf.DUMMYFUNCTION("""COMPUTED_VALUE"""),"Done")</f>
        <v>Done</v>
      </c>
      <c r="H1902" s="88">
        <f>IFERROR(__xludf.DUMMYFUNCTION("""COMPUTED_VALUE"""),0.0)</f>
        <v>0</v>
      </c>
      <c r="I1902" s="90" t="str">
        <f>IFERROR(__xludf.DUMMYFUNCTION("""COMPUTED_VALUE"""),"EMP5009 Rup Kumar Mandal")</f>
        <v>EMP5009 Rup Kumar Mandal</v>
      </c>
      <c r="J1902" s="91"/>
    </row>
    <row r="1903">
      <c r="B1903" s="76" t="str">
        <f>IFERROR(__xludf.DUMMYFUNCTION("""COMPUTED_VALUE"""),"Solution / Check data in database according to new logics                ")</f>
        <v>Solution / Check data in database according to new logics                </v>
      </c>
      <c r="C1903" s="82">
        <f>IFERROR(__xludf.DUMMYFUNCTION("""COMPUTED_VALUE"""),5367.0)</f>
        <v>5367</v>
      </c>
      <c r="D1903" s="76" t="str">
        <f>IFERROR(__xludf.DUMMYFUNCTION("""COMPUTED_VALUE"""),"2781")</f>
        <v>2781</v>
      </c>
      <c r="E1903" s="84">
        <f>IFERROR(__xludf.DUMMYFUNCTION("""COMPUTED_VALUE"""),46218.80972222222)</f>
        <v>46218.80972</v>
      </c>
      <c r="F1903" s="86">
        <f>IFERROR(__xludf.DUMMYFUNCTION("""COMPUTED_VALUE"""),46217.61771332176)</f>
        <v>46217.61771</v>
      </c>
      <c r="G1903" s="86" t="str">
        <f>IFERROR(__xludf.DUMMYFUNCTION("""COMPUTED_VALUE"""),"Done")</f>
        <v>Done</v>
      </c>
      <c r="H1903" s="88">
        <f>IFERROR(__xludf.DUMMYFUNCTION("""COMPUTED_VALUE"""),0.0)</f>
        <v>0</v>
      </c>
      <c r="I1903" s="90" t="str">
        <f>IFERROR(__xludf.DUMMYFUNCTION("""COMPUTED_VALUE"""),"EMP5009 Rup Kumar Mandal")</f>
        <v>EMP5009 Rup Kumar Mandal</v>
      </c>
      <c r="J1903" s="91"/>
    </row>
    <row r="1904">
      <c r="B1904" s="76" t="str">
        <f>IFERROR(__xludf.DUMMYFUNCTION("""COMPUTED_VALUE"""),"Solution / Check data in database according to new logics                ")</f>
        <v>Solution / Check data in database according to new logics                </v>
      </c>
      <c r="C1904" s="82">
        <f>IFERROR(__xludf.DUMMYFUNCTION("""COMPUTED_VALUE"""),5368.0)</f>
        <v>5368</v>
      </c>
      <c r="D1904" s="76" t="str">
        <f>IFERROR(__xludf.DUMMYFUNCTION("""COMPUTED_VALUE"""),"3361")</f>
        <v>3361</v>
      </c>
      <c r="E1904" s="84">
        <f>IFERROR(__xludf.DUMMYFUNCTION("""COMPUTED_VALUE"""),46218.81111111111)</f>
        <v>46218.81111</v>
      </c>
      <c r="F1904" s="86">
        <f>IFERROR(__xludf.DUMMYFUNCTION("""COMPUTED_VALUE"""),46217.4543406713)</f>
        <v>46217.45434</v>
      </c>
      <c r="G1904" s="86" t="str">
        <f>IFERROR(__xludf.DUMMYFUNCTION("""COMPUTED_VALUE"""),"Done")</f>
        <v>Done</v>
      </c>
      <c r="H1904" s="88">
        <f>IFERROR(__xludf.DUMMYFUNCTION("""COMPUTED_VALUE"""),0.0)</f>
        <v>0</v>
      </c>
      <c r="I1904" s="90" t="str">
        <f>IFERROR(__xludf.DUMMYFUNCTION("""COMPUTED_VALUE"""),"EMP5009 Rup Kumar Mandal")</f>
        <v>EMP5009 Rup Kumar Mandal</v>
      </c>
      <c r="J1904" s="91"/>
    </row>
    <row r="1905">
      <c r="B1905" s="76" t="str">
        <f>IFERROR(__xludf.DUMMYFUNCTION("""COMPUTED_VALUE"""),"Solution / Check data in database according to new logics                ")</f>
        <v>Solution / Check data in database according to new logics                </v>
      </c>
      <c r="C1905" s="82">
        <f>IFERROR(__xludf.DUMMYFUNCTION("""COMPUTED_VALUE"""),5369.0)</f>
        <v>5369</v>
      </c>
      <c r="D1905" s="76" t="str">
        <f>IFERROR(__xludf.DUMMYFUNCTION("""COMPUTED_VALUE"""),"33,083,375")</f>
        <v>33,083,375</v>
      </c>
      <c r="E1905" s="84">
        <f>IFERROR(__xludf.DUMMYFUNCTION("""COMPUTED_VALUE"""),46218.81319444445)</f>
        <v>46218.81319</v>
      </c>
      <c r="F1905" s="86">
        <f>IFERROR(__xludf.DUMMYFUNCTION("""COMPUTED_VALUE"""),46217.45434819444)</f>
        <v>46217.45435</v>
      </c>
      <c r="G1905" s="86" t="str">
        <f>IFERROR(__xludf.DUMMYFUNCTION("""COMPUTED_VALUE"""),"Done")</f>
        <v>Done</v>
      </c>
      <c r="H1905" s="88">
        <f>IFERROR(__xludf.DUMMYFUNCTION("""COMPUTED_VALUE"""),0.0)</f>
        <v>0</v>
      </c>
      <c r="I1905" s="90" t="str">
        <f>IFERROR(__xludf.DUMMYFUNCTION("""COMPUTED_VALUE"""),"EMP5009 Rup Kumar Mandal")</f>
        <v>EMP5009 Rup Kumar Mandal</v>
      </c>
      <c r="J1905" s="91"/>
    </row>
    <row r="1906">
      <c r="B1906" s="76" t="str">
        <f>IFERROR(__xludf.DUMMYFUNCTION("""COMPUTED_VALUE"""),"Solution / Check data in database according to new logics                ")</f>
        <v>Solution / Check data in database according to new logics                </v>
      </c>
      <c r="C1906" s="82">
        <f>IFERROR(__xludf.DUMMYFUNCTION("""COMPUTED_VALUE"""),5370.0)</f>
        <v>5370</v>
      </c>
      <c r="D1906" s="76" t="str">
        <f>IFERROR(__xludf.DUMMYFUNCTION("""COMPUTED_VALUE"""),"2782")</f>
        <v>2782</v>
      </c>
      <c r="E1906" s="84">
        <f>IFERROR(__xludf.DUMMYFUNCTION("""COMPUTED_VALUE"""),46218.81458333333)</f>
        <v>46218.81458</v>
      </c>
      <c r="F1906" s="86">
        <f>IFERROR(__xludf.DUMMYFUNCTION("""COMPUTED_VALUE"""),46217.45435712962)</f>
        <v>46217.45436</v>
      </c>
      <c r="G1906" s="86" t="str">
        <f>IFERROR(__xludf.DUMMYFUNCTION("""COMPUTED_VALUE"""),"Done")</f>
        <v>Done</v>
      </c>
      <c r="H1906" s="88">
        <f>IFERROR(__xludf.DUMMYFUNCTION("""COMPUTED_VALUE"""),0.0)</f>
        <v>0</v>
      </c>
      <c r="I1906" s="90" t="str">
        <f>IFERROR(__xludf.DUMMYFUNCTION("""COMPUTED_VALUE"""),"EMP5009 Rup Kumar Mandal")</f>
        <v>EMP5009 Rup Kumar Mandal</v>
      </c>
      <c r="J1906" s="91"/>
    </row>
    <row r="1907">
      <c r="B1907" s="76" t="str">
        <f>IFERROR(__xludf.DUMMYFUNCTION("""COMPUTED_VALUE"""),"Solution / Check data in database according to new logics                ")</f>
        <v>Solution / Check data in database according to new logics                </v>
      </c>
      <c r="C1907" s="82">
        <f>IFERROR(__xludf.DUMMYFUNCTION("""COMPUTED_VALUE"""),5371.0)</f>
        <v>5371</v>
      </c>
      <c r="D1907" s="76" t="str">
        <f>IFERROR(__xludf.DUMMYFUNCTION("""COMPUTED_VALUE"""),"MAR ENTRY")</f>
        <v>MAR ENTRY</v>
      </c>
      <c r="E1907" s="84">
        <f>IFERROR(__xludf.DUMMYFUNCTION("""COMPUTED_VALUE"""),46220.44097222222)</f>
        <v>46220.44097</v>
      </c>
      <c r="F1907" s="86">
        <f>IFERROR(__xludf.DUMMYFUNCTION("""COMPUTED_VALUE"""),46218.47945274305)</f>
        <v>46218.47945</v>
      </c>
      <c r="G1907" s="86" t="str">
        <f>IFERROR(__xludf.DUMMYFUNCTION("""COMPUTED_VALUE"""),"Done")</f>
        <v>Done</v>
      </c>
      <c r="H1907" s="88">
        <f>IFERROR(__xludf.DUMMYFUNCTION("""COMPUTED_VALUE"""),0.0)</f>
        <v>0</v>
      </c>
      <c r="I1907" s="90" t="str">
        <f>IFERROR(__xludf.DUMMYFUNCTION("""COMPUTED_VALUE"""),"EMP5009 Rup Kumar Mandal")</f>
        <v>EMP5009 Rup Kumar Mandal</v>
      </c>
      <c r="J1907" s="91"/>
    </row>
    <row r="1908">
      <c r="B1908" s="76" t="str">
        <f>IFERROR(__xludf.DUMMYFUNCTION("""COMPUTED_VALUE"""),"Solution / Check data in database according to new logics                ")</f>
        <v>Solution / Check data in database according to new logics                </v>
      </c>
      <c r="C1908" s="82">
        <f>IFERROR(__xludf.DUMMYFUNCTION("""COMPUTED_VALUE"""),5372.0)</f>
        <v>5372</v>
      </c>
      <c r="D1908" s="76" t="str">
        <f>IFERROR(__xludf.DUMMYFUNCTION("""COMPUTED_VALUE"""),"TR/HOSTING-UG NEP TR ")</f>
        <v>TR/HOSTING-UG NEP TR </v>
      </c>
      <c r="E1908" s="84">
        <f>IFERROR(__xludf.DUMMYFUNCTION("""COMPUTED_VALUE"""),46220.61041666666)</f>
        <v>46220.61042</v>
      </c>
      <c r="F1908" s="86">
        <f>IFERROR(__xludf.DUMMYFUNCTION("""COMPUTED_VALUE"""),46218.80125299769)</f>
        <v>46218.80125</v>
      </c>
      <c r="G1908" s="86" t="str">
        <f>IFERROR(__xludf.DUMMYFUNCTION("""COMPUTED_VALUE"""),"Done")</f>
        <v>Done</v>
      </c>
      <c r="H1908" s="88">
        <f>IFERROR(__xludf.DUMMYFUNCTION("""COMPUTED_VALUE"""),0.0)</f>
        <v>0</v>
      </c>
      <c r="I1908" s="90" t="str">
        <f>IFERROR(__xludf.DUMMYFUNCTION("""COMPUTED_VALUE"""),"EMP0042 HULESHWAR KUMAR SAHU")</f>
        <v>EMP0042 HULESHWAR KUMAR SAHU</v>
      </c>
      <c r="J1908" s="91"/>
    </row>
    <row r="1909">
      <c r="B1909" s="76" t="str">
        <f>IFERROR(__xludf.DUMMYFUNCTION("""COMPUTED_VALUE"""),"Solution / Check data in database according to new logics                ")</f>
        <v>Solution / Check data in database according to new logics                </v>
      </c>
      <c r="C1909" s="82">
        <f>IFERROR(__xludf.DUMMYFUNCTION("""COMPUTED_VALUE"""),5373.0)</f>
        <v>5373</v>
      </c>
      <c r="D1909" s="76" t="str">
        <f>IFERROR(__xludf.DUMMYFUNCTION("""COMPUTED_VALUE"""),"TRANSCRIPT ")</f>
        <v>TRANSCRIPT </v>
      </c>
      <c r="E1909" s="84">
        <f>IFERROR(__xludf.DUMMYFUNCTION("""COMPUTED_VALUE"""),46220.773611111115)</f>
        <v>46220.77361</v>
      </c>
      <c r="F1909" s="86">
        <f>IFERROR(__xludf.DUMMYFUNCTION("""COMPUTED_VALUE"""),46218.851391331016)</f>
        <v>46218.85139</v>
      </c>
      <c r="G1909" s="86" t="str">
        <f>IFERROR(__xludf.DUMMYFUNCTION("""COMPUTED_VALUE"""),"Done")</f>
        <v>Done</v>
      </c>
      <c r="H1909" s="88">
        <f>IFERROR(__xludf.DUMMYFUNCTION("""COMPUTED_VALUE"""),0.0)</f>
        <v>0</v>
      </c>
      <c r="I1909" s="90" t="str">
        <f>IFERROR(__xludf.DUMMYFUNCTION("""COMPUTED_VALUE"""),"EMP0021 Tamanna Dewangan")</f>
        <v>EMP0021 Tamanna Dewangan</v>
      </c>
      <c r="J1909" s="91"/>
    </row>
    <row r="1910">
      <c r="B1910" s="76" t="str">
        <f>IFERROR(__xludf.DUMMYFUNCTION("""COMPUTED_VALUE"""),"Solution / Check data in database according to new logics                ")</f>
        <v>Solution / Check data in database according to new logics                </v>
      </c>
      <c r="C1910" s="82">
        <f>IFERROR(__xludf.DUMMYFUNCTION("""COMPUTED_VALUE"""),5374.0)</f>
        <v>5374</v>
      </c>
      <c r="D1910" s="76" t="str">
        <f>IFERROR(__xludf.DUMMYFUNCTION("""COMPUTED_VALUE"""),"TR HOSTING -UG NEP TR ")</f>
        <v>TR HOSTING -UG NEP TR </v>
      </c>
      <c r="E1910" s="84">
        <f>IFERROR(__xludf.DUMMYFUNCTION("""COMPUTED_VALUE"""),46220.790972222225)</f>
        <v>46220.79097</v>
      </c>
      <c r="F1910" s="86">
        <f>IFERROR(__xludf.DUMMYFUNCTION("""COMPUTED_VALUE"""),46218.8014375926)</f>
        <v>46218.80144</v>
      </c>
      <c r="G1910" s="86" t="str">
        <f>IFERROR(__xludf.DUMMYFUNCTION("""COMPUTED_VALUE"""),"Done")</f>
        <v>Done</v>
      </c>
      <c r="H1910" s="88">
        <f>IFERROR(__xludf.DUMMYFUNCTION("""COMPUTED_VALUE"""),0.0)</f>
        <v>0</v>
      </c>
      <c r="I1910" s="90" t="str">
        <f>IFERROR(__xludf.DUMMYFUNCTION("""COMPUTED_VALUE"""),"EMP0237 Swarnendu Chakraborty")</f>
        <v>EMP0237 Swarnendu Chakraborty</v>
      </c>
      <c r="J1910" s="91"/>
    </row>
    <row r="1911">
      <c r="B1911" s="76" t="str">
        <f>IFERROR(__xludf.DUMMYFUNCTION("""COMPUTED_VALUE"""),"Solution / Check data in database according to new logics                ")</f>
        <v>Solution / Check data in database according to new logics                </v>
      </c>
      <c r="C1911" s="82">
        <f>IFERROR(__xludf.DUMMYFUNCTION("""COMPUTED_VALUE"""),5375.0)</f>
        <v>5375</v>
      </c>
      <c r="D1911" s="76" t="str">
        <f>IFERROR(__xludf.DUMMYFUNCTION("""COMPUTED_VALUE"""),"Migration certificate 241741105043_SE22")</f>
        <v>Migration certificate 241741105043_SE22</v>
      </c>
      <c r="E1911" s="84">
        <f>IFERROR(__xludf.DUMMYFUNCTION("""COMPUTED_VALUE"""),46221.41805555555)</f>
        <v>46221.41806</v>
      </c>
      <c r="F1911" s="86">
        <f>IFERROR(__xludf.DUMMYFUNCTION("""COMPUTED_VALUE"""),46218.82593052083)</f>
        <v>46218.82593</v>
      </c>
      <c r="G1911" s="86" t="str">
        <f>IFERROR(__xludf.DUMMYFUNCTION("""COMPUTED_VALUE"""),"Done")</f>
        <v>Done</v>
      </c>
      <c r="H1911" s="88">
        <f>IFERROR(__xludf.DUMMYFUNCTION("""COMPUTED_VALUE"""),0.0)</f>
        <v>0</v>
      </c>
      <c r="I1911" s="90" t="str">
        <f>IFERROR(__xludf.DUMMYFUNCTION("""COMPUTED_VALUE"""),"EMP0042 HULESHWAR KUMAR SAHU")</f>
        <v>EMP0042 HULESHWAR KUMAR SAHU</v>
      </c>
      <c r="J1911" s="91"/>
    </row>
    <row r="1912">
      <c r="B1912" s="76" t="str">
        <f>IFERROR(__xludf.DUMMYFUNCTION("""COMPUTED_VALUE"""),"Solution / Check data in database according to new logics                ")</f>
        <v>Solution / Check data in database according to new logics                </v>
      </c>
      <c r="C1912" s="82">
        <f>IFERROR(__xludf.DUMMYFUNCTION("""COMPUTED_VALUE"""),5376.0)</f>
        <v>5376</v>
      </c>
      <c r="D1912" s="76" t="str">
        <f>IFERROR(__xludf.DUMMYFUNCTION("""COMPUTED_VALUE"""),"TR report")</f>
        <v>TR report</v>
      </c>
      <c r="E1912" s="84">
        <f>IFERROR(__xludf.DUMMYFUNCTION("""COMPUTED_VALUE"""),46221.43541666667)</f>
        <v>46221.43542</v>
      </c>
      <c r="F1912" s="86">
        <f>IFERROR(__xludf.DUMMYFUNCTION("""COMPUTED_VALUE"""),46218.6410397338)</f>
        <v>46218.64104</v>
      </c>
      <c r="G1912" s="86" t="str">
        <f>IFERROR(__xludf.DUMMYFUNCTION("""COMPUTED_VALUE"""),"Done")</f>
        <v>Done</v>
      </c>
      <c r="H1912" s="88">
        <f>IFERROR(__xludf.DUMMYFUNCTION("""COMPUTED_VALUE"""),0.0)</f>
        <v>0</v>
      </c>
      <c r="I1912" s="90" t="str">
        <f>IFERROR(__xludf.DUMMYFUNCTION("""COMPUTED_VALUE"""),"EMP0237 Swarnendu Chakraborty")</f>
        <v>EMP0237 Swarnendu Chakraborty</v>
      </c>
      <c r="J1912" s="91"/>
    </row>
    <row r="1913">
      <c r="B1913" s="76" t="str">
        <f>IFERROR(__xludf.DUMMYFUNCTION("""COMPUTED_VALUE"""),"Solution / Check data in database according to new logics                ")</f>
        <v>Solution / Check data in database according to new logics                </v>
      </c>
      <c r="C1913" s="82">
        <f>IFERROR(__xludf.DUMMYFUNCTION("""COMPUTED_VALUE"""),5377.0)</f>
        <v>5377</v>
      </c>
      <c r="D1913" s="76" t="str">
        <f>IFERROR(__xludf.DUMMYFUNCTION("""COMPUTED_VALUE"""),"TR Report")</f>
        <v>TR Report</v>
      </c>
      <c r="E1913" s="84">
        <f>IFERROR(__xludf.DUMMYFUNCTION("""COMPUTED_VALUE"""),46221.53055555555)</f>
        <v>46221.53056</v>
      </c>
      <c r="F1913" s="86">
        <f>IFERROR(__xludf.DUMMYFUNCTION("""COMPUTED_VALUE"""),46220.66687966435)</f>
        <v>46220.66688</v>
      </c>
      <c r="G1913" s="86" t="str">
        <f>IFERROR(__xludf.DUMMYFUNCTION("""COMPUTED_VALUE"""),"Done")</f>
        <v>Done</v>
      </c>
      <c r="H1913" s="88">
        <f>IFERROR(__xludf.DUMMYFUNCTION("""COMPUTED_VALUE"""),0.0)</f>
        <v>0</v>
      </c>
      <c r="I1913" s="90" t="str">
        <f>IFERROR(__xludf.DUMMYFUNCTION("""COMPUTED_VALUE"""),"EMP0237 Swarnendu Chakraborty")</f>
        <v>EMP0237 Swarnendu Chakraborty</v>
      </c>
      <c r="J1913" s="91"/>
    </row>
    <row r="1914">
      <c r="B1914" s="76" t="str">
        <f>IFERROR(__xludf.DUMMYFUNCTION("""COMPUTED_VALUE"""),"Solution / Check data in database according to new logics                ")</f>
        <v>Solution / Check data in database according to new logics                </v>
      </c>
      <c r="C1914" s="82">
        <f>IFERROR(__xludf.DUMMYFUNCTION("""COMPUTED_VALUE"""),5378.0)</f>
        <v>5378</v>
      </c>
      <c r="D1914" s="76" t="str">
        <f>IFERROR(__xludf.DUMMYFUNCTION("""COMPUTED_VALUE"""),"TR")</f>
        <v>TR</v>
      </c>
      <c r="E1914" s="84">
        <f>IFERROR(__xludf.DUMMYFUNCTION("""COMPUTED_VALUE"""),46221.53333333333)</f>
        <v>46221.53333</v>
      </c>
      <c r="F1914" s="86">
        <f>IFERROR(__xludf.DUMMYFUNCTION("""COMPUTED_VALUE"""),46218.82672131945)</f>
        <v>46218.82672</v>
      </c>
      <c r="G1914" s="86" t="str">
        <f>IFERROR(__xludf.DUMMYFUNCTION("""COMPUTED_VALUE"""),"Done")</f>
        <v>Done</v>
      </c>
      <c r="H1914" s="88">
        <f>IFERROR(__xludf.DUMMYFUNCTION("""COMPUTED_VALUE"""),0.0)</f>
        <v>0</v>
      </c>
      <c r="I1914" s="90" t="str">
        <f>IFERROR(__xludf.DUMMYFUNCTION("""COMPUTED_VALUE"""),"EMP0042 HULESHWAR KUMAR SAHU")</f>
        <v>EMP0042 HULESHWAR KUMAR SAHU</v>
      </c>
      <c r="J1914" s="91"/>
    </row>
    <row r="1915">
      <c r="B1915" s="76" t="str">
        <f>IFERROR(__xludf.DUMMYFUNCTION("""COMPUTED_VALUE"""),"Solution / Check data in database according to new logics                ")</f>
        <v>Solution / Check data in database according to new logics                </v>
      </c>
      <c r="C1915" s="82">
        <f>IFERROR(__xludf.DUMMYFUNCTION("""COMPUTED_VALUE"""),5379.0)</f>
        <v>5379</v>
      </c>
      <c r="D1915" s="76" t="str">
        <f>IFERROR(__xludf.DUMMYFUNCTION("""COMPUTED_VALUE"""),"gradecard4_btech")</f>
        <v>gradecard4_btech</v>
      </c>
      <c r="E1915" s="84">
        <f>IFERROR(__xludf.DUMMYFUNCTION("""COMPUTED_VALUE"""),46220.75902777778)</f>
        <v>46220.75903</v>
      </c>
      <c r="F1915" s="86">
        <f>IFERROR(__xludf.DUMMYFUNCTION("""COMPUTED_VALUE"""),46219.558934849534)</f>
        <v>46219.55893</v>
      </c>
      <c r="G1915" s="86" t="str">
        <f>IFERROR(__xludf.DUMMYFUNCTION("""COMPUTED_VALUE"""),"Done")</f>
        <v>Done</v>
      </c>
      <c r="H1915" s="88">
        <f>IFERROR(__xludf.DUMMYFUNCTION("""COMPUTED_VALUE"""),0.0)</f>
        <v>0</v>
      </c>
      <c r="I1915" s="90" t="str">
        <f>IFERROR(__xludf.DUMMYFUNCTION("""COMPUTED_VALUE"""),"EMP0042 HULESHWAR KUMAR SAHU")</f>
        <v>EMP0042 HULESHWAR KUMAR SAHU</v>
      </c>
      <c r="J1915" s="91"/>
    </row>
    <row r="1916">
      <c r="B1916" s="76" t="str">
        <f>IFERROR(__xludf.DUMMYFUNCTION("""COMPUTED_VALUE"""),"Solution / Check data in database according to new logics                ")</f>
        <v>Solution / Check data in database according to new logics                </v>
      </c>
      <c r="C1916" s="82">
        <f>IFERROR(__xludf.DUMMYFUNCTION("""COMPUTED_VALUE"""),5380.0)</f>
        <v>5380</v>
      </c>
      <c r="D1916" s="76" t="str">
        <f>IFERROR(__xludf.DUMMYFUNCTION("""COMPUTED_VALUE"""),"Marksheet Paramedical")</f>
        <v>Marksheet Paramedical</v>
      </c>
      <c r="E1916" s="84">
        <f>IFERROR(__xludf.DUMMYFUNCTION("""COMPUTED_VALUE"""),46220.83263888889)</f>
        <v>46220.83264</v>
      </c>
      <c r="F1916" s="86">
        <f>IFERROR(__xludf.DUMMYFUNCTION("""COMPUTED_VALUE"""),46219.590873622685)</f>
        <v>46219.59087</v>
      </c>
      <c r="G1916" s="86" t="str">
        <f>IFERROR(__xludf.DUMMYFUNCTION("""COMPUTED_VALUE"""),"Done")</f>
        <v>Done</v>
      </c>
      <c r="H1916" s="88">
        <f>IFERROR(__xludf.DUMMYFUNCTION("""COMPUTED_VALUE"""),0.0)</f>
        <v>0</v>
      </c>
      <c r="I1916" s="90" t="str">
        <f>IFERROR(__xludf.DUMMYFUNCTION("""COMPUTED_VALUE"""),"EMP0042 HULESHWAR KUMAR SAHU")</f>
        <v>EMP0042 HULESHWAR KUMAR SAHU</v>
      </c>
      <c r="J1916" s="91"/>
    </row>
    <row r="1917">
      <c r="B1917" s="76" t="str">
        <f>IFERROR(__xludf.DUMMYFUNCTION("""COMPUTED_VALUE"""),"Solution / Check data in database according to new logics                ")</f>
        <v>Solution / Check data in database according to new logics                </v>
      </c>
      <c r="C1917" s="82">
        <f>IFERROR(__xludf.DUMMYFUNCTION("""COMPUTED_VALUE"""),5381.0)</f>
        <v>5381</v>
      </c>
      <c r="D1917" s="76" t="str">
        <f>IFERROR(__xludf.DUMMYFUNCTION("""COMPUTED_VALUE"""),"TR correction")</f>
        <v>TR correction</v>
      </c>
      <c r="E1917" s="84">
        <f>IFERROR(__xludf.DUMMYFUNCTION("""COMPUTED_VALUE"""),46221.47986111111)</f>
        <v>46221.47986</v>
      </c>
      <c r="F1917" s="86">
        <f>IFERROR(__xludf.DUMMYFUNCTION("""COMPUTED_VALUE"""),46220.60779306713)</f>
        <v>46220.60779</v>
      </c>
      <c r="G1917" s="86" t="str">
        <f>IFERROR(__xludf.DUMMYFUNCTION("""COMPUTED_VALUE"""),"Done")</f>
        <v>Done</v>
      </c>
      <c r="H1917" s="88">
        <f>IFERROR(__xludf.DUMMYFUNCTION("""COMPUTED_VALUE"""),0.0)</f>
        <v>0</v>
      </c>
      <c r="I1917" s="90" t="str">
        <f>IFERROR(__xludf.DUMMYFUNCTION("""COMPUTED_VALUE"""),"EMP0042 HULESHWAR KUMAR SAHU")</f>
        <v>EMP0042 HULESHWAR KUMAR SAHU</v>
      </c>
      <c r="J1917" s="91"/>
    </row>
    <row r="1918">
      <c r="B1918" s="76" t="str">
        <f>IFERROR(__xludf.DUMMYFUNCTION("""COMPUTED_VALUE"""),"Solution / Check data in database according to new logics                ")</f>
        <v>Solution / Check data in database according to new logics                </v>
      </c>
      <c r="C1918" s="82">
        <f>IFERROR(__xludf.DUMMYFUNCTION("""COMPUTED_VALUE"""),5382.0)</f>
        <v>5382</v>
      </c>
      <c r="D1918" s="76" t="str">
        <f>IFERROR(__xludf.DUMMYFUNCTION("""COMPUTED_VALUE"""),"Upshastri Controller  signature change")</f>
        <v>Upshastri Controller  signature change</v>
      </c>
      <c r="E1918" s="84">
        <f>IFERROR(__xludf.DUMMYFUNCTION("""COMPUTED_VALUE"""),46221.49097222222)</f>
        <v>46221.49097</v>
      </c>
      <c r="F1918" s="86">
        <f>IFERROR(__xludf.DUMMYFUNCTION("""COMPUTED_VALUE"""),46220.60783657407)</f>
        <v>46220.60784</v>
      </c>
      <c r="G1918" s="86" t="str">
        <f>IFERROR(__xludf.DUMMYFUNCTION("""COMPUTED_VALUE"""),"Done")</f>
        <v>Done</v>
      </c>
      <c r="H1918" s="88">
        <f>IFERROR(__xludf.DUMMYFUNCTION("""COMPUTED_VALUE"""),0.0)</f>
        <v>0</v>
      </c>
      <c r="I1918" s="90" t="str">
        <f>IFERROR(__xludf.DUMMYFUNCTION("""COMPUTED_VALUE"""),"EMP0021 Tamanna Dewangan")</f>
        <v>EMP0021 Tamanna Dewangan</v>
      </c>
      <c r="J1918" s="91"/>
    </row>
    <row r="1919">
      <c r="B1919" s="76" t="str">
        <f>IFERROR(__xludf.DUMMYFUNCTION("""COMPUTED_VALUE"""),"Solution / Check data in database according to new logics                ")</f>
        <v>Solution / Check data in database according to new logics                </v>
      </c>
      <c r="C1919" s="82">
        <f>IFERROR(__xludf.DUMMYFUNCTION("""COMPUTED_VALUE"""),5383.0)</f>
        <v>5383</v>
      </c>
      <c r="D1919" s="76" t="str">
        <f>IFERROR(__xludf.DUMMYFUNCTION("""COMPUTED_VALUE"""),"Shastri Semester marksheet Correction")</f>
        <v>Shastri Semester marksheet Correction</v>
      </c>
      <c r="E1919" s="84">
        <f>IFERROR(__xludf.DUMMYFUNCTION("""COMPUTED_VALUE"""),46221.49166666667)</f>
        <v>46221.49167</v>
      </c>
      <c r="F1919" s="86">
        <f>IFERROR(__xludf.DUMMYFUNCTION("""COMPUTED_VALUE"""),46220.60792927084)</f>
        <v>46220.60793</v>
      </c>
      <c r="G1919" s="86" t="str">
        <f>IFERROR(__xludf.DUMMYFUNCTION("""COMPUTED_VALUE"""),"Done")</f>
        <v>Done</v>
      </c>
      <c r="H1919" s="88">
        <f>IFERROR(__xludf.DUMMYFUNCTION("""COMPUTED_VALUE"""),0.0)</f>
        <v>0</v>
      </c>
      <c r="I1919" s="90" t="str">
        <f>IFERROR(__xludf.DUMMYFUNCTION("""COMPUTED_VALUE"""),"EMP0042 HULESHWAR KUMAR SAHU")</f>
        <v>EMP0042 HULESHWAR KUMAR SAHU</v>
      </c>
      <c r="J1919" s="91"/>
    </row>
    <row r="1920">
      <c r="B1920" s="76" t="str">
        <f>IFERROR(__xludf.DUMMYFUNCTION("""COMPUTED_VALUE"""),"Solution / Check data in database according to new logics                ")</f>
        <v>Solution / Check data in database according to new logics                </v>
      </c>
      <c r="C1920" s="82">
        <f>IFERROR(__xludf.DUMMYFUNCTION("""COMPUTED_VALUE"""),5384.0)</f>
        <v>5384</v>
      </c>
      <c r="D1920" s="76" t="str">
        <f>IFERROR(__xludf.DUMMYFUNCTION("""COMPUTED_VALUE"""),"Grade Carde B.Tech")</f>
        <v>Grade Carde B.Tech</v>
      </c>
      <c r="E1920" s="84">
        <f>IFERROR(__xludf.DUMMYFUNCTION("""COMPUTED_VALUE"""),46221.52986111111)</f>
        <v>46221.52986</v>
      </c>
      <c r="F1920" s="86">
        <f>IFERROR(__xludf.DUMMYFUNCTION("""COMPUTED_VALUE"""),46220.60802722222)</f>
        <v>46220.60803</v>
      </c>
      <c r="G1920" s="86" t="str">
        <f>IFERROR(__xludf.DUMMYFUNCTION("""COMPUTED_VALUE"""),"Done")</f>
        <v>Done</v>
      </c>
      <c r="H1920" s="88">
        <f>IFERROR(__xludf.DUMMYFUNCTION("""COMPUTED_VALUE"""),0.0)</f>
        <v>0</v>
      </c>
      <c r="I1920" s="90" t="str">
        <f>IFERROR(__xludf.DUMMYFUNCTION("""COMPUTED_VALUE"""),"EMP0042 HULESHWAR KUMAR SAHU")</f>
        <v>EMP0042 HULESHWAR KUMAR SAHU</v>
      </c>
      <c r="J1920" s="91"/>
    </row>
    <row r="1921">
      <c r="B1921" s="76" t="str">
        <f>IFERROR(__xludf.DUMMYFUNCTION("""COMPUTED_VALUE"""),"Solution / Check data in database according to new logics                ")</f>
        <v>Solution / Check data in database according to new logics                </v>
      </c>
      <c r="C1921" s="82">
        <f>IFERROR(__xludf.DUMMYFUNCTION("""COMPUTED_VALUE"""),5385.0)</f>
        <v>5385</v>
      </c>
      <c r="D1921" s="76" t="str">
        <f>IFERROR(__xludf.DUMMYFUNCTION("""COMPUTED_VALUE"""),"GRADE_CARD")</f>
        <v>GRADE_CARD</v>
      </c>
      <c r="E1921" s="84">
        <f>IFERROR(__xludf.DUMMYFUNCTION("""COMPUTED_VALUE"""),46221.54652777778)</f>
        <v>46221.54653</v>
      </c>
      <c r="F1921" s="86">
        <f>IFERROR(__xludf.DUMMYFUNCTION("""COMPUTED_VALUE"""),46220.78761010417)</f>
        <v>46220.78761</v>
      </c>
      <c r="G1921" s="86" t="str">
        <f>IFERROR(__xludf.DUMMYFUNCTION("""COMPUTED_VALUE"""),"Done")</f>
        <v>Done</v>
      </c>
      <c r="H1921" s="88">
        <f>IFERROR(__xludf.DUMMYFUNCTION("""COMPUTED_VALUE"""),0.0)</f>
        <v>0</v>
      </c>
      <c r="I1921" s="90" t="str">
        <f>IFERROR(__xludf.DUMMYFUNCTION("""COMPUTED_VALUE"""),"EMP5009 Rup Kumar Mandal")</f>
        <v>EMP5009 Rup Kumar Mandal</v>
      </c>
      <c r="J1921" s="91"/>
    </row>
    <row r="1922">
      <c r="B1922" s="76" t="str">
        <f>IFERROR(__xludf.DUMMYFUNCTION("""COMPUTED_VALUE"""),"Solution / Check data in database according to new logics                ")</f>
        <v>Solution / Check data in database according to new logics                </v>
      </c>
      <c r="C1922" s="82">
        <f>IFERROR(__xludf.DUMMYFUNCTION("""COMPUTED_VALUE"""),5386.0)</f>
        <v>5386</v>
      </c>
      <c r="D1922" s="76" t="str">
        <f>IFERROR(__xludf.DUMMYFUNCTION("""COMPUTED_VALUE"""),"TRS_REPORT")</f>
        <v>TRS_REPORT</v>
      </c>
      <c r="E1922" s="84">
        <f>IFERROR(__xludf.DUMMYFUNCTION("""COMPUTED_VALUE"""),46221.55069444445)</f>
        <v>46221.55069</v>
      </c>
      <c r="F1922" s="86">
        <f>IFERROR(__xludf.DUMMYFUNCTION("""COMPUTED_VALUE"""),46220.78764606481)</f>
        <v>46220.78765</v>
      </c>
      <c r="G1922" s="86" t="str">
        <f>IFERROR(__xludf.DUMMYFUNCTION("""COMPUTED_VALUE"""),"Done")</f>
        <v>Done</v>
      </c>
      <c r="H1922" s="88">
        <f>IFERROR(__xludf.DUMMYFUNCTION("""COMPUTED_VALUE"""),0.0)</f>
        <v>0</v>
      </c>
      <c r="I1922" s="90" t="str">
        <f>IFERROR(__xludf.DUMMYFUNCTION("""COMPUTED_VALUE"""),"EMP5009 Rup Kumar Mandal")</f>
        <v>EMP5009 Rup Kumar Mandal</v>
      </c>
      <c r="J1922" s="91"/>
    </row>
    <row r="1923">
      <c r="B1923" s="76" t="str">
        <f>IFERROR(__xludf.DUMMYFUNCTION("""COMPUTED_VALUE"""),"Solution / Check data in database according to new logics                ")</f>
        <v>Solution / Check data in database according to new logics                </v>
      </c>
      <c r="C1923" s="82">
        <f>IFERROR(__xludf.DUMMYFUNCTION("""COMPUTED_VALUE"""),5387.0)</f>
        <v>5387</v>
      </c>
      <c r="D1923" s="76" t="str">
        <f>IFERROR(__xludf.DUMMYFUNCTION("""COMPUTED_VALUE"""),"	Grade Card (OTHERS)")</f>
        <v>	Grade Card (OTHERS)</v>
      </c>
      <c r="E1923" s="84">
        <f>IFERROR(__xludf.DUMMYFUNCTION("""COMPUTED_VALUE"""),46221.77916666667)</f>
        <v>46221.77917</v>
      </c>
      <c r="F1923" s="86">
        <f>IFERROR(__xludf.DUMMYFUNCTION("""COMPUTED_VALUE"""),46220.60774092593)</f>
        <v>46220.60774</v>
      </c>
      <c r="G1923" s="86" t="str">
        <f>IFERROR(__xludf.DUMMYFUNCTION("""COMPUTED_VALUE"""),"Done")</f>
        <v>Done</v>
      </c>
      <c r="H1923" s="88">
        <f>IFERROR(__xludf.DUMMYFUNCTION("""COMPUTED_VALUE"""),0.0)</f>
        <v>0</v>
      </c>
      <c r="I1923" s="90" t="str">
        <f>IFERROR(__xludf.DUMMYFUNCTION("""COMPUTED_VALUE"""),"EMP0021 Tamanna Dewangan")</f>
        <v>EMP0021 Tamanna Dewangan</v>
      </c>
      <c r="J1923" s="91"/>
    </row>
    <row r="1924">
      <c r="B1924" s="76" t="str">
        <f>IFERROR(__xludf.DUMMYFUNCTION("""COMPUTED_VALUE"""),"Solution / Check data in database according to new logics                ")</f>
        <v>Solution / Check data in database according to new logics                </v>
      </c>
      <c r="C1924" s="82">
        <f>IFERROR(__xludf.DUMMYFUNCTION("""COMPUTED_VALUE"""),5388.0)</f>
        <v>5388</v>
      </c>
      <c r="D1924" s="76" t="str">
        <f>IFERROR(__xludf.DUMMYFUNCTION("""COMPUTED_VALUE"""),"	Provisional Certificate")</f>
        <v>	Provisional Certificate</v>
      </c>
      <c r="E1924" s="84">
        <f>IFERROR(__xludf.DUMMYFUNCTION("""COMPUTED_VALUE"""),46223.444444444445)</f>
        <v>46223.44444</v>
      </c>
      <c r="F1924" s="86">
        <f>IFERROR(__xludf.DUMMYFUNCTION("""COMPUTED_VALUE"""),46221.527775925926)</f>
        <v>46221.52778</v>
      </c>
      <c r="G1924" s="86" t="str">
        <f>IFERROR(__xludf.DUMMYFUNCTION("""COMPUTED_VALUE"""),"Done")</f>
        <v>Done</v>
      </c>
      <c r="H1924" s="88">
        <f>IFERROR(__xludf.DUMMYFUNCTION("""COMPUTED_VALUE"""),0.0)</f>
        <v>0</v>
      </c>
      <c r="I1924" s="90" t="str">
        <f>IFERROR(__xludf.DUMMYFUNCTION("""COMPUTED_VALUE"""),"EMP0042 HULESHWAR KUMAR SAHU")</f>
        <v>EMP0042 HULESHWAR KUMAR SAHU</v>
      </c>
      <c r="J1924" s="91"/>
    </row>
    <row r="1925">
      <c r="B1925" s="76" t="str">
        <f>IFERROR(__xludf.DUMMYFUNCTION("""COMPUTED_VALUE"""),"Solution / Check data in database according to new logics                ")</f>
        <v>Solution / Check data in database according to new logics                </v>
      </c>
      <c r="C1925" s="82">
        <f>IFERROR(__xludf.DUMMYFUNCTION("""COMPUTED_VALUE"""),5389.0)</f>
        <v>5389</v>
      </c>
      <c r="D1925" s="76" t="str">
        <f>IFERROR(__xludf.DUMMYFUNCTION("""COMPUTED_VALUE"""),"TR Format (Grading / Non-Grading) ")</f>
        <v>TR Format (Grading / Non-Grading) </v>
      </c>
      <c r="E1925" s="84">
        <f>IFERROR(__xludf.DUMMYFUNCTION("""COMPUTED_VALUE"""),46223.617361111115)</f>
        <v>46223.61736</v>
      </c>
      <c r="F1925" s="86">
        <f>IFERROR(__xludf.DUMMYFUNCTION("""COMPUTED_VALUE"""),46221.43470667824)</f>
        <v>46221.43471</v>
      </c>
      <c r="G1925" s="86" t="str">
        <f>IFERROR(__xludf.DUMMYFUNCTION("""COMPUTED_VALUE"""),"Done")</f>
        <v>Done</v>
      </c>
      <c r="H1925" s="88">
        <f>IFERROR(__xludf.DUMMYFUNCTION("""COMPUTED_VALUE"""),0.0)</f>
        <v>0</v>
      </c>
      <c r="I1925" s="90" t="str">
        <f>IFERROR(__xludf.DUMMYFUNCTION("""COMPUTED_VALUE"""),"EMP5009 Rup Kumar Mandal")</f>
        <v>EMP5009 Rup Kumar Mandal</v>
      </c>
      <c r="J1925" s="91"/>
    </row>
    <row r="1926">
      <c r="B1926" s="76" t="str">
        <f>IFERROR(__xludf.DUMMYFUNCTION("""COMPUTED_VALUE"""),"Solution / Check data in database according to new logics                ")</f>
        <v>Solution / Check data in database according to new logics                </v>
      </c>
      <c r="C1926" s="82">
        <f>IFERROR(__xludf.DUMMYFUNCTION("""COMPUTED_VALUE"""),5390.0)</f>
        <v>5390</v>
      </c>
      <c r="D1926" s="76" t="str">
        <f>IFERROR(__xludf.DUMMYFUNCTION("""COMPUTED_VALUE"""),"TR Format (Grading / Non-Grading) ")</f>
        <v>TR Format (Grading / Non-Grading) </v>
      </c>
      <c r="E1926" s="84">
        <f>IFERROR(__xludf.DUMMYFUNCTION("""COMPUTED_VALUE"""),46223.61875)</f>
        <v>46223.61875</v>
      </c>
      <c r="F1926" s="86">
        <f>IFERROR(__xludf.DUMMYFUNCTION("""COMPUTED_VALUE"""),46221.434726238425)</f>
        <v>46221.43473</v>
      </c>
      <c r="G1926" s="86" t="str">
        <f>IFERROR(__xludf.DUMMYFUNCTION("""COMPUTED_VALUE"""),"Done")</f>
        <v>Done</v>
      </c>
      <c r="H1926" s="88">
        <f>IFERROR(__xludf.DUMMYFUNCTION("""COMPUTED_VALUE"""),0.0)</f>
        <v>0</v>
      </c>
      <c r="I1926" s="90" t="str">
        <f>IFERROR(__xludf.DUMMYFUNCTION("""COMPUTED_VALUE"""),"EMP0021 Tamanna Dewangan")</f>
        <v>EMP0021 Tamanna Dewangan</v>
      </c>
      <c r="J1926" s="91"/>
    </row>
    <row r="1927">
      <c r="B1927" s="76" t="str">
        <f>IFERROR(__xludf.DUMMYFUNCTION("""COMPUTED_VALUE"""),"Solution / Check data in database according to new logics                ")</f>
        <v>Solution / Check data in database according to new logics                </v>
      </c>
      <c r="C1927" s="82">
        <f>IFERROR(__xludf.DUMMYFUNCTION("""COMPUTED_VALUE"""),5391.0)</f>
        <v>5391</v>
      </c>
      <c r="D1927" s="76" t="str">
        <f>IFERROR(__xludf.DUMMYFUNCTION("""COMPUTED_VALUE"""),"PG-SECTION Continuous Assesment Marks Report ")</f>
        <v>PG-SECTION Continuous Assesment Marks Report </v>
      </c>
      <c r="E1927" s="84">
        <f>IFERROR(__xludf.DUMMYFUNCTION("""COMPUTED_VALUE"""),46223.62291666667)</f>
        <v>46223.62292</v>
      </c>
      <c r="F1927" s="86">
        <f>IFERROR(__xludf.DUMMYFUNCTION("""COMPUTED_VALUE"""),46221.434726238425)</f>
        <v>46221.43473</v>
      </c>
      <c r="G1927" s="86" t="str">
        <f>IFERROR(__xludf.DUMMYFUNCTION("""COMPUTED_VALUE"""),"Done")</f>
        <v>Done</v>
      </c>
      <c r="H1927" s="88">
        <f>IFERROR(__xludf.DUMMYFUNCTION("""COMPUTED_VALUE"""),0.0)</f>
        <v>0</v>
      </c>
      <c r="I1927" s="90" t="str">
        <f>IFERROR(__xludf.DUMMYFUNCTION("""COMPUTED_VALUE"""),"EMP5009 Rup Kumar Mandal")</f>
        <v>EMP5009 Rup Kumar Mandal</v>
      </c>
      <c r="J1927" s="91"/>
    </row>
    <row r="1928">
      <c r="B1928" s="76" t="str">
        <f>IFERROR(__xludf.DUMMYFUNCTION("""COMPUTED_VALUE"""),"Solution / Check data in database according to new logics                ")</f>
        <v>Solution / Check data in database according to new logics                </v>
      </c>
      <c r="C1928" s="82">
        <f>IFERROR(__xludf.DUMMYFUNCTION("""COMPUTED_VALUE"""),5392.0)</f>
        <v>5392</v>
      </c>
      <c r="D1928" s="76" t="str">
        <f>IFERROR(__xludf.DUMMYFUNCTION("""COMPUTED_VALUE"""),"PG-SECTION Marks Entry Mis-Match Report")</f>
        <v>PG-SECTION Marks Entry Mis-Match Report</v>
      </c>
      <c r="E1928" s="84">
        <f>IFERROR(__xludf.DUMMYFUNCTION("""COMPUTED_VALUE"""),46223.62569444445)</f>
        <v>46223.62569</v>
      </c>
      <c r="F1928" s="86">
        <f>IFERROR(__xludf.DUMMYFUNCTION("""COMPUTED_VALUE"""),46221.434726238425)</f>
        <v>46221.43473</v>
      </c>
      <c r="G1928" s="86" t="str">
        <f>IFERROR(__xludf.DUMMYFUNCTION("""COMPUTED_VALUE"""),"Done")</f>
        <v>Done</v>
      </c>
      <c r="H1928" s="88">
        <f>IFERROR(__xludf.DUMMYFUNCTION("""COMPUTED_VALUE"""),0.0)</f>
        <v>0</v>
      </c>
      <c r="I1928" s="90" t="str">
        <f>IFERROR(__xludf.DUMMYFUNCTION("""COMPUTED_VALUE"""),"EMP5009 Rup Kumar Mandal")</f>
        <v>EMP5009 Rup Kumar Mandal</v>
      </c>
      <c r="J1928" s="91"/>
    </row>
    <row r="1929">
      <c r="B1929" s="76" t="str">
        <f>IFERROR(__xludf.DUMMYFUNCTION("""COMPUTED_VALUE"""),"Solution / Check data in database according to new logics                ")</f>
        <v>Solution / Check data in database according to new logics                </v>
      </c>
      <c r="C1929" s="82">
        <f>IFERROR(__xludf.DUMMYFUNCTION("""COMPUTED_VALUE"""),5393.0)</f>
        <v>5393</v>
      </c>
      <c r="D1929" s="76" t="str">
        <f>IFERROR(__xludf.DUMMYFUNCTION("""COMPUTED_VALUE"""),"Admit Card")</f>
        <v>Admit Card</v>
      </c>
      <c r="E1929" s="84">
        <f>IFERROR(__xludf.DUMMYFUNCTION("""COMPUTED_VALUE"""),46223.73055555555)</f>
        <v>46223.73056</v>
      </c>
      <c r="F1929" s="86">
        <f>IFERROR(__xludf.DUMMYFUNCTION("""COMPUTED_VALUE"""),46221.619134953704)</f>
        <v>46221.61913</v>
      </c>
      <c r="G1929" s="86" t="str">
        <f>IFERROR(__xludf.DUMMYFUNCTION("""COMPUTED_VALUE"""),"Done")</f>
        <v>Done</v>
      </c>
      <c r="H1929" s="88">
        <f>IFERROR(__xludf.DUMMYFUNCTION("""COMPUTED_VALUE"""),0.0)</f>
        <v>0</v>
      </c>
      <c r="I1929" s="90" t="str">
        <f>IFERROR(__xludf.DUMMYFUNCTION("""COMPUTED_VALUE"""),"EMP0237 Swarnendu Chakraborty")</f>
        <v>EMP0237 Swarnendu Chakraborty</v>
      </c>
      <c r="J1929" s="91"/>
    </row>
    <row r="1930">
      <c r="B1930" s="76" t="str">
        <f>IFERROR(__xludf.DUMMYFUNCTION("""COMPUTED_VALUE"""),"Solution / Check data in database according to new logics                ")</f>
        <v>Solution / Check data in database according to new logics                </v>
      </c>
      <c r="C1930" s="82">
        <f>IFERROR(__xludf.DUMMYFUNCTION("""COMPUTED_VALUE"""),5394.0)</f>
        <v>5394</v>
      </c>
      <c r="D1930" s="76" t="str">
        <f>IFERROR(__xludf.DUMMYFUNCTION("""COMPUTED_VALUE"""),"All marksheet scanner course name change as per discussion.")</f>
        <v>All marksheet scanner course name change as per discussion.</v>
      </c>
      <c r="E1930" s="84">
        <f>IFERROR(__xludf.DUMMYFUNCTION("""COMPUTED_VALUE"""),46224.49097222222)</f>
        <v>46224.49097</v>
      </c>
      <c r="F1930" s="86">
        <f>IFERROR(__xludf.DUMMYFUNCTION("""COMPUTED_VALUE"""),46224.45440216435)</f>
        <v>46224.4544</v>
      </c>
      <c r="G1930" s="86" t="str">
        <f>IFERROR(__xludf.DUMMYFUNCTION("""COMPUTED_VALUE"""),"Done")</f>
        <v>Done</v>
      </c>
      <c r="H1930" s="88">
        <f>IFERROR(__xludf.DUMMYFUNCTION("""COMPUTED_VALUE"""),0.0)</f>
        <v>0</v>
      </c>
      <c r="I1930" s="90" t="str">
        <f>IFERROR(__xludf.DUMMYFUNCTION("""COMPUTED_VALUE"""),"EMP0042 HULESHWAR KUMAR SAHU")</f>
        <v>EMP0042 HULESHWAR KUMAR SAHU</v>
      </c>
      <c r="J1930" s="91"/>
    </row>
    <row r="1931">
      <c r="B1931" s="76" t="str">
        <f>IFERROR(__xludf.DUMMYFUNCTION("""COMPUTED_VALUE"""),"Solution / Check data in database according to new logics                ")</f>
        <v>Solution / Check data in database according to new logics                </v>
      </c>
      <c r="C1931" s="82">
        <f>IFERROR(__xludf.DUMMYFUNCTION("""COMPUTED_VALUE"""),5395.0)</f>
        <v>5395</v>
      </c>
      <c r="D1931" s="76" t="str">
        <f>IFERROR(__xludf.DUMMYFUNCTION("""COMPUTED_VALUE"""),"TR Report")</f>
        <v>TR Report</v>
      </c>
      <c r="E1931" s="84">
        <f>IFERROR(__xludf.DUMMYFUNCTION("""COMPUTED_VALUE"""),46224.638194444444)</f>
        <v>46224.63819</v>
      </c>
      <c r="F1931" s="86">
        <f>IFERROR(__xludf.DUMMYFUNCTION("""COMPUTED_VALUE"""),46224.45442565972)</f>
        <v>46224.45443</v>
      </c>
      <c r="G1931" s="86" t="str">
        <f>IFERROR(__xludf.DUMMYFUNCTION("""COMPUTED_VALUE"""),"Done")</f>
        <v>Done</v>
      </c>
      <c r="H1931" s="88">
        <f>IFERROR(__xludf.DUMMYFUNCTION("""COMPUTED_VALUE"""),0.0)</f>
        <v>0</v>
      </c>
      <c r="I1931" s="90" t="str">
        <f>IFERROR(__xludf.DUMMYFUNCTION("""COMPUTED_VALUE"""),"EMP0237 Swarnendu Chakraborty")</f>
        <v>EMP0237 Swarnendu Chakraborty</v>
      </c>
      <c r="J1931" s="91"/>
    </row>
    <row r="1932">
      <c r="B1932" s="76" t="str">
        <f>IFERROR(__xludf.DUMMYFUNCTION("""COMPUTED_VALUE"""),"Solution / Check data in database according to new logics                ")</f>
        <v>Solution / Check data in database according to new logics                </v>
      </c>
      <c r="C1932" s="82">
        <f>IFERROR(__xludf.DUMMYFUNCTION("""COMPUTED_VALUE"""),5396.0)</f>
        <v>5396</v>
      </c>
      <c r="D1932" s="76" t="str">
        <f>IFERROR(__xludf.DUMMYFUNCTION("""COMPUTED_VALUE"""),"TR pdf to excel convert all course all semester")</f>
        <v>TR pdf to excel convert all course all semester</v>
      </c>
      <c r="E1932" s="84">
        <f>IFERROR(__xludf.DUMMYFUNCTION("""COMPUTED_VALUE"""),46224.620833333334)</f>
        <v>46224.62083</v>
      </c>
      <c r="F1932" s="86">
        <f>IFERROR(__xludf.DUMMYFUNCTION("""COMPUTED_VALUE"""),46223.50137556713)</f>
        <v>46223.50138</v>
      </c>
      <c r="G1932" s="86" t="str">
        <f>IFERROR(__xludf.DUMMYFUNCTION("""COMPUTED_VALUE"""),"Done")</f>
        <v>Done</v>
      </c>
      <c r="H1932" s="88">
        <f>IFERROR(__xludf.DUMMYFUNCTION("""COMPUTED_VALUE"""),0.0)</f>
        <v>0</v>
      </c>
      <c r="I1932" s="90" t="str">
        <f>IFERROR(__xludf.DUMMYFUNCTION("""COMPUTED_VALUE"""),"EMP0042 HULESHWAR KUMAR SAHU")</f>
        <v>EMP0042 HULESHWAR KUMAR SAHU</v>
      </c>
      <c r="J1932" s="91"/>
    </row>
    <row r="1933">
      <c r="B1933" s="76" t="str">
        <f>IFERROR(__xludf.DUMMYFUNCTION("""COMPUTED_VALUE"""),"Solution / Check data in database according to new logics                ")</f>
        <v>Solution / Check data in database according to new logics                </v>
      </c>
      <c r="C1933" s="82">
        <f>IFERROR(__xludf.DUMMYFUNCTION("""COMPUTED_VALUE"""),5397.0)</f>
        <v>5397</v>
      </c>
      <c r="D1933" s="76" t="str">
        <f>IFERROR(__xludf.DUMMYFUNCTION("""COMPUTED_VALUE"""),"gradecard4sem_ug_deploma")</f>
        <v>gradecard4sem_ug_deploma</v>
      </c>
      <c r="E1933" s="84">
        <f>IFERROR(__xludf.DUMMYFUNCTION("""COMPUTED_VALUE"""),46224.75)</f>
        <v>46224.75</v>
      </c>
      <c r="F1933" s="86">
        <f>IFERROR(__xludf.DUMMYFUNCTION("""COMPUTED_VALUE"""),46223.50110673611)</f>
        <v>46223.50111</v>
      </c>
      <c r="G1933" s="86" t="str">
        <f>IFERROR(__xludf.DUMMYFUNCTION("""COMPUTED_VALUE"""),"Done")</f>
        <v>Done</v>
      </c>
      <c r="H1933" s="88">
        <f>IFERROR(__xludf.DUMMYFUNCTION("""COMPUTED_VALUE"""),0.0)</f>
        <v>0</v>
      </c>
      <c r="I1933" s="90" t="str">
        <f>IFERROR(__xludf.DUMMYFUNCTION("""COMPUTED_VALUE"""),"EMP5009 Rup Kumar Mandal")</f>
        <v>EMP5009 Rup Kumar Mandal</v>
      </c>
      <c r="J1933" s="91"/>
    </row>
    <row r="1934">
      <c r="B1934" s="76" t="str">
        <f>IFERROR(__xludf.DUMMYFUNCTION("""COMPUTED_VALUE"""),"Solution / Check data in database according to new logics                ")</f>
        <v>Solution / Check data in database according to new logics                </v>
      </c>
      <c r="C1934" s="82">
        <f>IFERROR(__xludf.DUMMYFUNCTION("""COMPUTED_VALUE"""),5398.0)</f>
        <v>5398</v>
      </c>
      <c r="D1934" s="76" t="str">
        <f>IFERROR(__xludf.DUMMYFUNCTION("""COMPUTED_VALUE"""),"MAR")</f>
        <v>MAR</v>
      </c>
      <c r="E1934" s="84">
        <f>IFERROR(__xludf.DUMMYFUNCTION("""COMPUTED_VALUE"""),46225.42013888889)</f>
        <v>46225.42014</v>
      </c>
      <c r="F1934" s="86">
        <f>IFERROR(__xludf.DUMMYFUNCTION("""COMPUTED_VALUE"""),46224.74679383102)</f>
        <v>46224.74679</v>
      </c>
      <c r="G1934" s="86" t="str">
        <f>IFERROR(__xludf.DUMMYFUNCTION("""COMPUTED_VALUE"""),"Done")</f>
        <v>Done</v>
      </c>
      <c r="H1934" s="88">
        <f>IFERROR(__xludf.DUMMYFUNCTION("""COMPUTED_VALUE"""),0.0)</f>
        <v>0</v>
      </c>
      <c r="I1934" s="90" t="str">
        <f>IFERROR(__xludf.DUMMYFUNCTION("""COMPUTED_VALUE"""),"EMP5009 Rup Kumar Mandal")</f>
        <v>EMP5009 Rup Kumar Mandal</v>
      </c>
      <c r="J1934" s="91"/>
    </row>
    <row r="1935">
      <c r="B1935" s="76" t="str">
        <f>IFERROR(__xludf.DUMMYFUNCTION("""COMPUTED_VALUE"""),"Solution / Check data in database according to new logics                ")</f>
        <v>Solution / Check data in database according to new logics                </v>
      </c>
      <c r="C1935" s="82">
        <f>IFERROR(__xludf.DUMMYFUNCTION("""COMPUTED_VALUE"""),5399.0)</f>
        <v>5399</v>
      </c>
      <c r="D1935" s="76" t="str">
        <f>IFERROR(__xludf.DUMMYFUNCTION("""COMPUTED_VALUE"""),"TR Correction for pre process")</f>
        <v>TR Correction for pre process</v>
      </c>
      <c r="E1935" s="84">
        <f>IFERROR(__xludf.DUMMYFUNCTION("""COMPUTED_VALUE"""),46226.46388888889)</f>
        <v>46226.46389</v>
      </c>
      <c r="F1935" s="86">
        <f>IFERROR(__xludf.DUMMYFUNCTION("""COMPUTED_VALUE"""),46224.81692171296)</f>
        <v>46224.81692</v>
      </c>
      <c r="G1935" s="86" t="str">
        <f>IFERROR(__xludf.DUMMYFUNCTION("""COMPUTED_VALUE"""),"Done")</f>
        <v>Done</v>
      </c>
      <c r="H1935" s="88">
        <f>IFERROR(__xludf.DUMMYFUNCTION("""COMPUTED_VALUE"""),0.0)</f>
        <v>0</v>
      </c>
      <c r="I1935" s="90" t="str">
        <f>IFERROR(__xludf.DUMMYFUNCTION("""COMPUTED_VALUE"""),"EMP0042 HULESHWAR KUMAR SAHU")</f>
        <v>EMP0042 HULESHWAR KUMAR SAHU</v>
      </c>
      <c r="J1935" s="91"/>
    </row>
    <row r="1936">
      <c r="B1936" s="76" t="str">
        <f>IFERROR(__xludf.DUMMYFUNCTION("""COMPUTED_VALUE"""),"Solution / Check data in database according to new logics                ")</f>
        <v>Solution / Check data in database according to new logics                </v>
      </c>
      <c r="C1936" s="82">
        <f>IFERROR(__xludf.DUMMYFUNCTION("""COMPUTED_VALUE"""),5400.0)</f>
        <v>5400</v>
      </c>
      <c r="D1936" s="76" t="str">
        <f>IFERROR(__xludf.DUMMYFUNCTION("""COMPUTED_VALUE"""),"Annual marks correction for regular student")</f>
        <v>Annual marks correction for regular student</v>
      </c>
      <c r="E1936" s="84">
        <f>IFERROR(__xludf.DUMMYFUNCTION("""COMPUTED_VALUE"""),46226.46527777778)</f>
        <v>46226.46528</v>
      </c>
      <c r="F1936" s="86">
        <f>IFERROR(__xludf.DUMMYFUNCTION("""COMPUTED_VALUE"""),46224.81694153935)</f>
        <v>46224.81694</v>
      </c>
      <c r="G1936" s="86" t="str">
        <f>IFERROR(__xludf.DUMMYFUNCTION("""COMPUTED_VALUE"""),"Done")</f>
        <v>Done</v>
      </c>
      <c r="H1936" s="88">
        <f>IFERROR(__xludf.DUMMYFUNCTION("""COMPUTED_VALUE"""),0.0)</f>
        <v>0</v>
      </c>
      <c r="I1936" s="90" t="str">
        <f>IFERROR(__xludf.DUMMYFUNCTION("""COMPUTED_VALUE"""),"EMP0042 HULESHWAR KUMAR SAHU")</f>
        <v>EMP0042 HULESHWAR KUMAR SAHU</v>
      </c>
      <c r="J1936" s="91"/>
    </row>
    <row r="1937">
      <c r="B1937" s="76" t="str">
        <f>IFERROR(__xludf.DUMMYFUNCTION("""COMPUTED_VALUE"""),"Solution / Check data in database according to new logics                ")</f>
        <v>Solution / Check data in database according to new logics                </v>
      </c>
      <c r="C1937" s="82">
        <f>IFERROR(__xludf.DUMMYFUNCTION("""COMPUTED_VALUE"""),5401.0)</f>
        <v>5401</v>
      </c>
      <c r="D1937" s="76" t="str">
        <f>IFERROR(__xludf.DUMMYFUNCTION("""COMPUTED_VALUE"""),"TR report ")</f>
        <v>TR report </v>
      </c>
      <c r="E1937" s="84">
        <f>IFERROR(__xludf.DUMMYFUNCTION("""COMPUTED_VALUE"""),46226.70416666666)</f>
        <v>46226.70417</v>
      </c>
      <c r="F1937" s="86">
        <f>IFERROR(__xludf.DUMMYFUNCTION("""COMPUTED_VALUE"""),46226.446826238425)</f>
        <v>46226.44683</v>
      </c>
      <c r="G1937" s="86" t="str">
        <f>IFERROR(__xludf.DUMMYFUNCTION("""COMPUTED_VALUE"""),"Done")</f>
        <v>Done</v>
      </c>
      <c r="H1937" s="88">
        <f>IFERROR(__xludf.DUMMYFUNCTION("""COMPUTED_VALUE"""),0.0)</f>
        <v>0</v>
      </c>
      <c r="I1937" s="90" t="str">
        <f>IFERROR(__xludf.DUMMYFUNCTION("""COMPUTED_VALUE"""),"EMP0021 Tamanna Dewangan")</f>
        <v>EMP0021 Tamanna Dewangan</v>
      </c>
      <c r="J1937" s="91"/>
    </row>
    <row r="1938">
      <c r="B1938" s="76" t="str">
        <f>IFERROR(__xludf.DUMMYFUNCTION("""COMPUTED_VALUE"""),"Solution / Check data in database according to new logics                ")</f>
        <v>Solution / Check data in database according to new logics                </v>
      </c>
      <c r="C1938" s="82">
        <f>IFERROR(__xludf.DUMMYFUNCTION("""COMPUTED_VALUE"""),5402.0)</f>
        <v>5402</v>
      </c>
      <c r="D1938" s="76" t="str">
        <f>IFERROR(__xludf.DUMMYFUNCTION("""COMPUTED_VALUE"""),"TR report")</f>
        <v>TR report</v>
      </c>
      <c r="E1938" s="84">
        <f>IFERROR(__xludf.DUMMYFUNCTION("""COMPUTED_VALUE"""),46226.70694444445)</f>
        <v>46226.70694</v>
      </c>
      <c r="F1938" s="86">
        <f>IFERROR(__xludf.DUMMYFUNCTION("""COMPUTED_VALUE"""),46226.60800876158)</f>
        <v>46226.60801</v>
      </c>
      <c r="G1938" s="86" t="str">
        <f>IFERROR(__xludf.DUMMYFUNCTION("""COMPUTED_VALUE"""),"Done")</f>
        <v>Done</v>
      </c>
      <c r="H1938" s="88">
        <f>IFERROR(__xludf.DUMMYFUNCTION("""COMPUTED_VALUE"""),0.0)</f>
        <v>0</v>
      </c>
      <c r="I1938" s="90" t="str">
        <f>IFERROR(__xludf.DUMMYFUNCTION("""COMPUTED_VALUE"""),"EMP0237 Swarnendu Chakraborty")</f>
        <v>EMP0237 Swarnendu Chakraborty</v>
      </c>
      <c r="J1938" s="91"/>
    </row>
    <row r="1939">
      <c r="B1939" s="76" t="str">
        <f>IFERROR(__xludf.DUMMYFUNCTION("""COMPUTED_VALUE"""),"Solution / Check data in database according to new logics                ")</f>
        <v>Solution / Check data in database according to new logics                </v>
      </c>
      <c r="C1939" s="82">
        <f>IFERROR(__xludf.DUMMYFUNCTION("""COMPUTED_VALUE"""),5403.0)</f>
        <v>5403</v>
      </c>
      <c r="D1939" s="76" t="str">
        <f>IFERROR(__xludf.DUMMYFUNCTION("""COMPUTED_VALUE"""),"Pre report")</f>
        <v>Pre report</v>
      </c>
      <c r="E1939" s="84">
        <f>IFERROR(__xludf.DUMMYFUNCTION("""COMPUTED_VALUE"""),46226.740277777775)</f>
        <v>46226.74028</v>
      </c>
      <c r="F1939" s="86">
        <f>IFERROR(__xludf.DUMMYFUNCTION("""COMPUTED_VALUE"""),46226.447024699075)</f>
        <v>46226.44702</v>
      </c>
      <c r="G1939" s="86" t="str">
        <f>IFERROR(__xludf.DUMMYFUNCTION("""COMPUTED_VALUE"""),"Done")</f>
        <v>Done</v>
      </c>
      <c r="H1939" s="88">
        <f>IFERROR(__xludf.DUMMYFUNCTION("""COMPUTED_VALUE"""),0.0)</f>
        <v>0</v>
      </c>
      <c r="I1939" s="90" t="str">
        <f>IFERROR(__xludf.DUMMYFUNCTION("""COMPUTED_VALUE"""),"EMP5009 Rup Kumar Mandal")</f>
        <v>EMP5009 Rup Kumar Mandal</v>
      </c>
      <c r="J1939" s="91"/>
    </row>
    <row r="1940">
      <c r="B1940" s="76" t="str">
        <f>IFERROR(__xludf.DUMMYFUNCTION("""COMPUTED_VALUE"""),"Solution / Check data in database according to new logics                ")</f>
        <v>Solution / Check data in database according to new logics                </v>
      </c>
      <c r="C1940" s="82">
        <f>IFERROR(__xludf.DUMMYFUNCTION("""COMPUTED_VALUE"""),5404.0)</f>
        <v>5404</v>
      </c>
      <c r="D1940" s="76" t="str">
        <f>IFERROR(__xludf.DUMMYFUNCTION("""COMPUTED_VALUE"""),"TR NEW AGRICULTURE AND ALL")</f>
        <v>TR NEW AGRICULTURE AND ALL</v>
      </c>
      <c r="E1940" s="84">
        <f>IFERROR(__xludf.DUMMYFUNCTION("""COMPUTED_VALUE"""),46227.48402777778)</f>
        <v>46227.48403</v>
      </c>
      <c r="F1940" s="86">
        <f>IFERROR(__xludf.DUMMYFUNCTION("""COMPUTED_VALUE"""),46226.728908125)</f>
        <v>46226.72891</v>
      </c>
      <c r="G1940" s="86" t="str">
        <f>IFERROR(__xludf.DUMMYFUNCTION("""COMPUTED_VALUE"""),"Done")</f>
        <v>Done</v>
      </c>
      <c r="H1940" s="88">
        <f>IFERROR(__xludf.DUMMYFUNCTION("""COMPUTED_VALUE"""),0.0)</f>
        <v>0</v>
      </c>
      <c r="I1940" s="90" t="str">
        <f>IFERROR(__xludf.DUMMYFUNCTION("""COMPUTED_VALUE"""),"EMP0042 HULESHWAR KUMAR SAHU")</f>
        <v>EMP0042 HULESHWAR KUMAR SAHU</v>
      </c>
      <c r="J1940" s="91"/>
    </row>
    <row r="1941">
      <c r="B1941" s="76" t="str">
        <f>IFERROR(__xludf.DUMMYFUNCTION("""COMPUTED_VALUE"""),"Solution / Check data in database according to new logics                ")</f>
        <v>Solution / Check data in database according to new logics                </v>
      </c>
      <c r="C1941" s="82">
        <f>IFERROR(__xludf.DUMMYFUNCTION("""COMPUTED_VALUE"""),5405.0)</f>
        <v>5405</v>
      </c>
      <c r="D1941" s="76" t="str">
        <f>IFERROR(__xludf.DUMMYFUNCTION("""COMPUTED_VALUE"""),"marksheet")</f>
        <v>marksheet</v>
      </c>
      <c r="E1941" s="84">
        <f>IFERROR(__xludf.DUMMYFUNCTION("""COMPUTED_VALUE"""),46227.74722222222)</f>
        <v>46227.74722</v>
      </c>
      <c r="F1941" s="86">
        <f>IFERROR(__xludf.DUMMYFUNCTION("""COMPUTED_VALUE"""),46227.48672775464)</f>
        <v>46227.48673</v>
      </c>
      <c r="G1941" s="86" t="str">
        <f>IFERROR(__xludf.DUMMYFUNCTION("""COMPUTED_VALUE"""),"Done")</f>
        <v>Done</v>
      </c>
      <c r="H1941" s="88">
        <f>IFERROR(__xludf.DUMMYFUNCTION("""COMPUTED_VALUE"""),0.0)</f>
        <v>0</v>
      </c>
      <c r="I1941" s="90" t="str">
        <f>IFERROR(__xludf.DUMMYFUNCTION("""COMPUTED_VALUE"""),"EMP0237 Swarnendu Chakraborty")</f>
        <v>EMP0237 Swarnendu Chakraborty</v>
      </c>
      <c r="J1941" s="91"/>
    </row>
    <row r="1942">
      <c r="B1942" s="76" t="str">
        <f>IFERROR(__xludf.DUMMYFUNCTION("""COMPUTED_VALUE"""),"Solution / Check data in database according to new logics                ")</f>
        <v>Solution / Check data in database according to new logics                </v>
      </c>
      <c r="C1942" s="82">
        <f>IFERROR(__xludf.DUMMYFUNCTION("""COMPUTED_VALUE"""),5406.0)</f>
        <v>5406</v>
      </c>
      <c r="D1942" s="76" t="str">
        <f>IFERROR(__xludf.DUMMYFUNCTION("""COMPUTED_VALUE"""),"SHASTRI 5TH SEM ADMIT CARD NOT SO SEMESTER")</f>
        <v>SHASTRI 5TH SEM ADMIT CARD NOT SO SEMESTER</v>
      </c>
      <c r="E1942" s="84">
        <f>IFERROR(__xludf.DUMMYFUNCTION("""COMPUTED_VALUE"""),46227.75555555556)</f>
        <v>46227.75556</v>
      </c>
      <c r="F1942" s="86">
        <f>IFERROR(__xludf.DUMMYFUNCTION("""COMPUTED_VALUE"""),46226.72919165509)</f>
        <v>46226.72919</v>
      </c>
      <c r="G1942" s="86" t="str">
        <f>IFERROR(__xludf.DUMMYFUNCTION("""COMPUTED_VALUE"""),"Done")</f>
        <v>Done</v>
      </c>
      <c r="H1942" s="88">
        <f>IFERROR(__xludf.DUMMYFUNCTION("""COMPUTED_VALUE"""),0.0)</f>
        <v>0</v>
      </c>
      <c r="I1942" s="90" t="str">
        <f>IFERROR(__xludf.DUMMYFUNCTION("""COMPUTED_VALUE"""),"EMP0021 Tamanna Dewangan")</f>
        <v>EMP0021 Tamanna Dewangan</v>
      </c>
      <c r="J1942" s="91"/>
    </row>
    <row r="1943">
      <c r="B1943" s="76" t="str">
        <f>IFERROR(__xludf.DUMMYFUNCTION("""COMPUTED_VALUE"""),"Solution / Check data in database according to new logics                ")</f>
        <v>Solution / Check data in database according to new logics                </v>
      </c>
      <c r="C1943" s="82">
        <f>IFERROR(__xludf.DUMMYFUNCTION("""COMPUTED_VALUE"""),5407.0)</f>
        <v>5407</v>
      </c>
      <c r="D1943" s="76" t="str">
        <f>IFERROR(__xludf.DUMMYFUNCTION("""COMPUTED_VALUE"""),"TR")</f>
        <v>TR</v>
      </c>
      <c r="E1943" s="84">
        <f>IFERROR(__xludf.DUMMYFUNCTION("""COMPUTED_VALUE"""),46227.79166666667)</f>
        <v>46227.79167</v>
      </c>
      <c r="F1943" s="86">
        <f>IFERROR(__xludf.DUMMYFUNCTION("""COMPUTED_VALUE"""),46227.444318773145)</f>
        <v>46227.44432</v>
      </c>
      <c r="G1943" s="86" t="str">
        <f>IFERROR(__xludf.DUMMYFUNCTION("""COMPUTED_VALUE"""),"Done")</f>
        <v>Done</v>
      </c>
      <c r="H1943" s="88">
        <f>IFERROR(__xludf.DUMMYFUNCTION("""COMPUTED_VALUE"""),0.0)</f>
        <v>0</v>
      </c>
      <c r="I1943" s="90" t="str">
        <f>IFERROR(__xludf.DUMMYFUNCTION("""COMPUTED_VALUE"""),"EMP0042 HULESHWAR KUMAR SAHU")</f>
        <v>EMP0042 HULESHWAR KUMAR SAHU</v>
      </c>
      <c r="J1943" s="91"/>
    </row>
    <row r="1944">
      <c r="B1944" s="76" t="str">
        <f>IFERROR(__xludf.DUMMYFUNCTION("""COMPUTED_VALUE"""),"Solution / Check data in database according to new logics                ")</f>
        <v>Solution / Check data in database according to new logics                </v>
      </c>
      <c r="C1944" s="82">
        <f>IFERROR(__xludf.DUMMYFUNCTION("""COMPUTED_VALUE"""),5408.0)</f>
        <v>5408</v>
      </c>
      <c r="D1944" s="76" t="str">
        <f>IFERROR(__xludf.DUMMYFUNCTION("""COMPUTED_VALUE"""),"DMC ")</f>
        <v>DMC </v>
      </c>
      <c r="E1944" s="84">
        <f>IFERROR(__xludf.DUMMYFUNCTION("""COMPUTED_VALUE"""),46228.43472222222)</f>
        <v>46228.43472</v>
      </c>
      <c r="F1944" s="86">
        <f>IFERROR(__xludf.DUMMYFUNCTION("""COMPUTED_VALUE"""),46227.662855393515)</f>
        <v>46227.66286</v>
      </c>
      <c r="G1944" s="86" t="str">
        <f>IFERROR(__xludf.DUMMYFUNCTION("""COMPUTED_VALUE"""),"Done")</f>
        <v>Done</v>
      </c>
      <c r="H1944" s="88">
        <f>IFERROR(__xludf.DUMMYFUNCTION("""COMPUTED_VALUE"""),0.0)</f>
        <v>0</v>
      </c>
      <c r="I1944" s="90" t="str">
        <f>IFERROR(__xludf.DUMMYFUNCTION("""COMPUTED_VALUE"""),"EMP0237 Swarnendu Chakraborty")</f>
        <v>EMP0237 Swarnendu Chakraborty</v>
      </c>
      <c r="J1944" s="91"/>
    </row>
    <row r="1945">
      <c r="B1945" s="76" t="str">
        <f>IFERROR(__xludf.DUMMYFUNCTION("""COMPUTED_VALUE"""),"Solution / Check data in database according to new logics                ")</f>
        <v>Solution / Check data in database according to new logics                </v>
      </c>
      <c r="C1945" s="82">
        <f>IFERROR(__xludf.DUMMYFUNCTION("""COMPUTED_VALUE"""),5409.0)</f>
        <v>5409</v>
      </c>
      <c r="D1945" s="76" t="str">
        <f>IFERROR(__xludf.DUMMYFUNCTION("""COMPUTED_VALUE"""),"SPGPA UPDATED IN DMC")</f>
        <v>SPGPA UPDATED IN DMC</v>
      </c>
      <c r="E1945" s="84">
        <f>IFERROR(__xludf.DUMMYFUNCTION("""COMPUTED_VALUE"""),46228.43611111111)</f>
        <v>46228.43611</v>
      </c>
      <c r="F1945" s="86">
        <f>IFERROR(__xludf.DUMMYFUNCTION("""COMPUTED_VALUE"""),46226.72950069445)</f>
        <v>46226.7295</v>
      </c>
      <c r="G1945" s="86" t="str">
        <f>IFERROR(__xludf.DUMMYFUNCTION("""COMPUTED_VALUE"""),"Done")</f>
        <v>Done</v>
      </c>
      <c r="H1945" s="88">
        <f>IFERROR(__xludf.DUMMYFUNCTION("""COMPUTED_VALUE"""),0.0)</f>
        <v>0</v>
      </c>
      <c r="I1945" s="90" t="str">
        <f>IFERROR(__xludf.DUMMYFUNCTION("""COMPUTED_VALUE"""),"EMP5009 Rup Kumar Mandal")</f>
        <v>EMP5009 Rup Kumar Mandal</v>
      </c>
      <c r="J1945" s="91"/>
    </row>
    <row r="1946">
      <c r="B1946" s="76" t="str">
        <f>IFERROR(__xludf.DUMMYFUNCTION("""COMPUTED_VALUE"""),"Solution / Check data in database according to new logics                ")</f>
        <v>Solution / Check data in database according to new logics                </v>
      </c>
      <c r="C1946" s="82">
        <f>IFERROR(__xludf.DUMMYFUNCTION("""COMPUTED_VALUE"""),5410.0)</f>
        <v>5410</v>
      </c>
      <c r="D1946" s="76" t="str">
        <f>IFERROR(__xludf.DUMMYFUNCTION("""COMPUTED_VALUE"""),"MULTIPLE REPORT")</f>
        <v>MULTIPLE REPORT</v>
      </c>
      <c r="E1946" s="84">
        <f>IFERROR(__xludf.DUMMYFUNCTION("""COMPUTED_VALUE"""),46228.55694444444)</f>
        <v>46228.55694</v>
      </c>
      <c r="F1946" s="86">
        <f>IFERROR(__xludf.DUMMYFUNCTION("""COMPUTED_VALUE"""),46228.43345167824)</f>
        <v>46228.43345</v>
      </c>
      <c r="G1946" s="86" t="str">
        <f>IFERROR(__xludf.DUMMYFUNCTION("""COMPUTED_VALUE"""),"Done")</f>
        <v>Done</v>
      </c>
      <c r="H1946" s="88">
        <f>IFERROR(__xludf.DUMMYFUNCTION("""COMPUTED_VALUE"""),0.0)</f>
        <v>0</v>
      </c>
      <c r="I1946" s="90" t="str">
        <f>IFERROR(__xludf.DUMMYFUNCTION("""COMPUTED_VALUE"""),"EMP0021 Tamanna Dewangan")</f>
        <v>EMP0021 Tamanna Dewangan</v>
      </c>
      <c r="J1946" s="91"/>
    </row>
    <row r="1947">
      <c r="B1947" s="76" t="str">
        <f>IFERROR(__xludf.DUMMYFUNCTION("""COMPUTED_VALUE"""),"Solution / Check data in database according to new logics                ")</f>
        <v>Solution / Check data in database according to new logics                </v>
      </c>
      <c r="C1947" s="82">
        <f>IFERROR(__xludf.DUMMYFUNCTION("""COMPUTED_VALUE"""),5411.0)</f>
        <v>5411</v>
      </c>
      <c r="D1947" s="76" t="str">
        <f>IFERROR(__xludf.DUMMYFUNCTION("""COMPUTED_VALUE"""),"	CBCS and CGP (TR COMBINED) Fourth Semester ( Sem - 4) PG MASTER OF SCIENCE (PSYCHOLOGY) ( M.Sc (PSYCHOLOGY)) SCHEME A ( SY01)_SE03")</f>
        <v>	CBCS and CGP (TR COMBINED) Fourth Semester ( Sem - 4) PG MASTER OF SCIENCE (PSYCHOLOGY) ( M.Sc (PSYCHOLOGY)) SCHEME A ( SY01)_SE03</v>
      </c>
      <c r="E1947" s="84">
        <f>IFERROR(__xludf.DUMMYFUNCTION("""COMPUTED_VALUE"""),46228.52777777778)</f>
        <v>46228.52778</v>
      </c>
      <c r="F1947" s="86">
        <f>IFERROR(__xludf.DUMMYFUNCTION("""COMPUTED_VALUE"""),46227.71203381944)</f>
        <v>46227.71203</v>
      </c>
      <c r="G1947" s="86" t="str">
        <f>IFERROR(__xludf.DUMMYFUNCTION("""COMPUTED_VALUE"""),"Done")</f>
        <v>Done</v>
      </c>
      <c r="H1947" s="88">
        <f>IFERROR(__xludf.DUMMYFUNCTION("""COMPUTED_VALUE"""),0.0)</f>
        <v>0</v>
      </c>
      <c r="I1947" s="90" t="str">
        <f>IFERROR(__xludf.DUMMYFUNCTION("""COMPUTED_VALUE"""),"EMP0237 Swarnendu Chakraborty")</f>
        <v>EMP0237 Swarnendu Chakraborty</v>
      </c>
      <c r="J1947" s="91"/>
    </row>
    <row r="1948">
      <c r="B1948" s="76" t="str">
        <f>IFERROR(__xludf.DUMMYFUNCTION("""COMPUTED_VALUE"""),"Solution / Check data in database according to new logics                ")</f>
        <v>Solution / Check data in database according to new logics                </v>
      </c>
      <c r="C1948" s="82">
        <f>IFERROR(__xludf.DUMMYFUNCTION("""COMPUTED_VALUE"""),5412.0)</f>
        <v>5412</v>
      </c>
      <c r="D1948" s="76" t="str">
        <f>IFERROR(__xludf.DUMMYFUNCTION("""COMPUTED_VALUE"""),"pass/fail report")</f>
        <v>pass/fail report</v>
      </c>
      <c r="E1948" s="84">
        <f>IFERROR(__xludf.DUMMYFUNCTION("""COMPUTED_VALUE"""),46228.549305555556)</f>
        <v>46228.54931</v>
      </c>
      <c r="F1948" s="86">
        <f>IFERROR(__xludf.DUMMYFUNCTION("""COMPUTED_VALUE"""),46227.49348671296)</f>
        <v>46227.49349</v>
      </c>
      <c r="G1948" s="86" t="str">
        <f>IFERROR(__xludf.DUMMYFUNCTION("""COMPUTED_VALUE"""),"Done")</f>
        <v>Done</v>
      </c>
      <c r="H1948" s="88">
        <f>IFERROR(__xludf.DUMMYFUNCTION("""COMPUTED_VALUE"""),0.0)</f>
        <v>0</v>
      </c>
      <c r="I1948" s="90" t="str">
        <f>IFERROR(__xludf.DUMMYFUNCTION("""COMPUTED_VALUE"""),"EMP5009 Rup Kumar Mandal")</f>
        <v>EMP5009 Rup Kumar Mandal</v>
      </c>
      <c r="J1948" s="91"/>
    </row>
    <row r="1949">
      <c r="B1949" s="76" t="str">
        <f>IFERROR(__xludf.DUMMYFUNCTION("""COMPUTED_VALUE"""),"Solution / Check data in database according to new logics                ")</f>
        <v>Solution / Check data in database according to new logics                </v>
      </c>
      <c r="C1949" s="82">
        <f>IFERROR(__xludf.DUMMYFUNCTION("""COMPUTED_VALUE"""),5413.0)</f>
        <v>5413</v>
      </c>
      <c r="D1949" s="76" t="str">
        <f>IFERROR(__xludf.DUMMYFUNCTION("""COMPUTED_VALUE"""),"Mark entry report")</f>
        <v>Mark entry report</v>
      </c>
      <c r="E1949" s="84">
        <f>IFERROR(__xludf.DUMMYFUNCTION("""COMPUTED_VALUE"""),46228.572222222225)</f>
        <v>46228.57222</v>
      </c>
      <c r="F1949" s="86">
        <f>IFERROR(__xludf.DUMMYFUNCTION("""COMPUTED_VALUE"""),46228.43200050926)</f>
        <v>46228.432</v>
      </c>
      <c r="G1949" s="86" t="str">
        <f>IFERROR(__xludf.DUMMYFUNCTION("""COMPUTED_VALUE"""),"Done")</f>
        <v>Done</v>
      </c>
      <c r="H1949" s="88">
        <f>IFERROR(__xludf.DUMMYFUNCTION("""COMPUTED_VALUE"""),0.0)</f>
        <v>0</v>
      </c>
      <c r="I1949" s="90" t="str">
        <f>IFERROR(__xludf.DUMMYFUNCTION("""COMPUTED_VALUE"""),"EMP0237 Swarnendu Chakraborty")</f>
        <v>EMP0237 Swarnendu Chakraborty</v>
      </c>
      <c r="J1949" s="91"/>
    </row>
    <row r="1950">
      <c r="B1950" s="76" t="str">
        <f>IFERROR(__xludf.DUMMYFUNCTION("""COMPUTED_VALUE"""),"Solution / Check data in database according to new logics                ")</f>
        <v>Solution / Check data in database according to new logics                </v>
      </c>
      <c r="C1950" s="82">
        <f>IFERROR(__xludf.DUMMYFUNCTION("""COMPUTED_VALUE"""),5414.0)</f>
        <v>5414</v>
      </c>
      <c r="D1950" s="76" t="str">
        <f>IFERROR(__xludf.DUMMYFUNCTION("""COMPUTED_VALUE"""),"TR GAZZATE IN GRADE TABLE UPDATE")</f>
        <v>TR GAZZATE IN GRADE TABLE UPDATE</v>
      </c>
      <c r="E1950" s="84">
        <f>IFERROR(__xludf.DUMMYFUNCTION("""COMPUTED_VALUE"""),46228.785416666666)</f>
        <v>46228.78542</v>
      </c>
      <c r="F1950" s="86">
        <f>IFERROR(__xludf.DUMMYFUNCTION("""COMPUTED_VALUE"""),46227.66257533565)</f>
        <v>46227.66258</v>
      </c>
      <c r="G1950" s="86" t="str">
        <f>IFERROR(__xludf.DUMMYFUNCTION("""COMPUTED_VALUE"""),"Done")</f>
        <v>Done</v>
      </c>
      <c r="H1950" s="88">
        <f>IFERROR(__xludf.DUMMYFUNCTION("""COMPUTED_VALUE"""),0.0)</f>
        <v>0</v>
      </c>
      <c r="I1950" s="90" t="str">
        <f>IFERROR(__xludf.DUMMYFUNCTION("""COMPUTED_VALUE"""),"EMP0237 Swarnendu Chakraborty")</f>
        <v>EMP0237 Swarnendu Chakraborty</v>
      </c>
      <c r="J1950" s="91"/>
    </row>
    <row r="1951">
      <c r="B1951" s="76" t="str">
        <f>IFERROR(__xludf.DUMMYFUNCTION("""COMPUTED_VALUE"""),"Solution / Check data in database according to new logics                ")</f>
        <v>Solution / Check data in database according to new logics                </v>
      </c>
      <c r="C1951" s="82">
        <f>IFERROR(__xludf.DUMMYFUNCTION("""COMPUTED_VALUE"""),5415.0)</f>
        <v>5415</v>
      </c>
      <c r="D1951" s="76" t="str">
        <f>IFERROR(__xludf.DUMMYFUNCTION("""COMPUTED_VALUE"""),"Marks Sheet Heading name correction for LLB")</f>
        <v>Marks Sheet Heading name correction for LLB</v>
      </c>
      <c r="E1951" s="84">
        <f>IFERROR(__xludf.DUMMYFUNCTION("""COMPUTED_VALUE"""),46230.55763888889)</f>
        <v>46230.55764</v>
      </c>
      <c r="F1951" s="86">
        <f>IFERROR(__xludf.DUMMYFUNCTION("""COMPUTED_VALUE"""),46227.71194393519)</f>
        <v>46227.71194</v>
      </c>
      <c r="G1951" s="86" t="str">
        <f>IFERROR(__xludf.DUMMYFUNCTION("""COMPUTED_VALUE"""),"Done")</f>
        <v>Done</v>
      </c>
      <c r="H1951" s="88">
        <f>IFERROR(__xludf.DUMMYFUNCTION("""COMPUTED_VALUE"""),0.0)</f>
        <v>0</v>
      </c>
      <c r="I1951" s="90" t="str">
        <f>IFERROR(__xludf.DUMMYFUNCTION("""COMPUTED_VALUE"""),"EMP0021 Tamanna Dewangan")</f>
        <v>EMP0021 Tamanna Dewangan</v>
      </c>
      <c r="J1951" s="91"/>
    </row>
    <row r="1952">
      <c r="B1952" s="76" t="str">
        <f>IFERROR(__xludf.DUMMYFUNCTION("""COMPUTED_VALUE"""),"Solution / Check data in database according to new logics                ")</f>
        <v>Solution / Check data in database according to new logics                </v>
      </c>
      <c r="C1952" s="82">
        <f>IFERROR(__xludf.DUMMYFUNCTION("""COMPUTED_VALUE"""),5416.0)</f>
        <v>5416</v>
      </c>
      <c r="D1952" s="76" t="str">
        <f>IFERROR(__xludf.DUMMYFUNCTION("""COMPUTED_VALUE"""),"TR report")</f>
        <v>TR report</v>
      </c>
      <c r="E1952" s="84">
        <f>IFERROR(__xludf.DUMMYFUNCTION("""COMPUTED_VALUE"""),46230.55694444444)</f>
        <v>46230.55694</v>
      </c>
      <c r="F1952" s="86">
        <f>IFERROR(__xludf.DUMMYFUNCTION("""COMPUTED_VALUE"""),46228.36160153935)</f>
        <v>46228.3616</v>
      </c>
      <c r="G1952" s="86" t="str">
        <f>IFERROR(__xludf.DUMMYFUNCTION("""COMPUTED_VALUE"""),"Done")</f>
        <v>Done</v>
      </c>
      <c r="H1952" s="88">
        <f>IFERROR(__xludf.DUMMYFUNCTION("""COMPUTED_VALUE"""),0.0)</f>
        <v>0</v>
      </c>
      <c r="I1952" s="90" t="str">
        <f>IFERROR(__xludf.DUMMYFUNCTION("""COMPUTED_VALUE"""),"EMP0237 Swarnendu Chakraborty")</f>
        <v>EMP0237 Swarnendu Chakraborty</v>
      </c>
      <c r="J1952" s="91"/>
    </row>
    <row r="1953">
      <c r="B1953" s="76" t="str">
        <f>IFERROR(__xludf.DUMMYFUNCTION("""COMPUTED_VALUE"""),"Solution / Check data in database according to new logics                ")</f>
        <v>Solution / Check data in database according to new logics                </v>
      </c>
      <c r="C1953" s="82">
        <f>IFERROR(__xludf.DUMMYFUNCTION("""COMPUTED_VALUE"""),5417.0)</f>
        <v>5417</v>
      </c>
      <c r="D1953" s="76" t="str">
        <f>IFERROR(__xludf.DUMMYFUNCTION("""COMPUTED_VALUE"""),"TR Format (Grading / Non-Grading)")</f>
        <v>TR Format (Grading / Non-Grading)</v>
      </c>
      <c r="E1953" s="84">
        <f>IFERROR(__xludf.DUMMYFUNCTION("""COMPUTED_VALUE"""),46230.569444444445)</f>
        <v>46230.56944</v>
      </c>
      <c r="F1953" s="86">
        <f>IFERROR(__xludf.DUMMYFUNCTION("""COMPUTED_VALUE"""),46227.712996319446)</f>
        <v>46227.713</v>
      </c>
      <c r="G1953" s="86" t="str">
        <f>IFERROR(__xludf.DUMMYFUNCTION("""COMPUTED_VALUE"""),"Done")</f>
        <v>Done</v>
      </c>
      <c r="H1953" s="88">
        <f>IFERROR(__xludf.DUMMYFUNCTION("""COMPUTED_VALUE"""),0.0)</f>
        <v>0</v>
      </c>
      <c r="I1953" s="90" t="str">
        <f>IFERROR(__xludf.DUMMYFUNCTION("""COMPUTED_VALUE"""),"EMP5009 Rup Kumar Mandal")</f>
        <v>EMP5009 Rup Kumar Mandal</v>
      </c>
      <c r="J1953" s="91"/>
    </row>
    <row r="1954">
      <c r="B1954" s="76" t="str">
        <f>IFERROR(__xludf.DUMMYFUNCTION("""COMPUTED_VALUE"""),"Solution / Check data in database according to new logics                ")</f>
        <v>Solution / Check data in database according to new logics                </v>
      </c>
      <c r="C1954" s="82">
        <f>IFERROR(__xludf.DUMMYFUNCTION("""COMPUTED_VALUE"""),5418.0)</f>
        <v>5418</v>
      </c>
      <c r="D1954" s="76" t="str">
        <f>IFERROR(__xludf.DUMMYFUNCTION("""COMPUTED_VALUE"""),"Grade Card NEP (PG)")</f>
        <v>Grade Card NEP (PG)</v>
      </c>
      <c r="E1954" s="84">
        <f>IFERROR(__xludf.DUMMYFUNCTION("""COMPUTED_VALUE"""),46230.57083333333)</f>
        <v>46230.57083</v>
      </c>
      <c r="F1954" s="86">
        <f>IFERROR(__xludf.DUMMYFUNCTION("""COMPUTED_VALUE"""),46227.7130155787)</f>
        <v>46227.71302</v>
      </c>
      <c r="G1954" s="86" t="str">
        <f>IFERROR(__xludf.DUMMYFUNCTION("""COMPUTED_VALUE"""),"Done")</f>
        <v>Done</v>
      </c>
      <c r="H1954" s="88">
        <f>IFERROR(__xludf.DUMMYFUNCTION("""COMPUTED_VALUE"""),0.0)</f>
        <v>0</v>
      </c>
      <c r="I1954" s="90" t="str">
        <f>IFERROR(__xludf.DUMMYFUNCTION("""COMPUTED_VALUE"""),"EMP5009 Rup Kumar Mandal")</f>
        <v>EMP5009 Rup Kumar Mandal</v>
      </c>
      <c r="J1954" s="91"/>
    </row>
    <row r="1955">
      <c r="B1955" s="76" t="str">
        <f>IFERROR(__xludf.DUMMYFUNCTION("""COMPUTED_VALUE"""),"Solution / Check data in database according to new logics                ")</f>
        <v>Solution / Check data in database according to new logics                </v>
      </c>
      <c r="C1955" s="82">
        <f>IFERROR(__xludf.DUMMYFUNCTION("""COMPUTED_VALUE"""),5419.0)</f>
        <v>5419</v>
      </c>
      <c r="D1955" s="76" t="str">
        <f>IFERROR(__xludf.DUMMYFUNCTION("""COMPUTED_VALUE"""),"Marksheet Paramedical")</f>
        <v>Marksheet Paramedical</v>
      </c>
      <c r="E1955" s="84">
        <f>IFERROR(__xludf.DUMMYFUNCTION("""COMPUTED_VALUE"""),46230.7125)</f>
        <v>46230.7125</v>
      </c>
      <c r="F1955" s="86">
        <f>IFERROR(__xludf.DUMMYFUNCTION("""COMPUTED_VALUE"""),46228.61702355323)</f>
        <v>46228.61702</v>
      </c>
      <c r="G1955" s="86" t="str">
        <f>IFERROR(__xludf.DUMMYFUNCTION("""COMPUTED_VALUE"""),"Done")</f>
        <v>Done</v>
      </c>
      <c r="H1955" s="88">
        <f>IFERROR(__xludf.DUMMYFUNCTION("""COMPUTED_VALUE"""),0.0)</f>
        <v>0</v>
      </c>
      <c r="I1955" s="90" t="str">
        <f>IFERROR(__xludf.DUMMYFUNCTION("""COMPUTED_VALUE"""),"EMP0021 Tamanna Dewangan")</f>
        <v>EMP0021 Tamanna Dewangan</v>
      </c>
      <c r="J1955" s="91"/>
    </row>
    <row r="1956">
      <c r="B1956" s="76" t="str">
        <f>IFERROR(__xludf.DUMMYFUNCTION("""COMPUTED_VALUE"""),"Solution / Check data in database according to new logics                ")</f>
        <v>Solution / Check data in database according to new logics                </v>
      </c>
      <c r="C1956" s="82">
        <f>IFERROR(__xludf.DUMMYFUNCTION("""COMPUTED_VALUE"""),5420.0)</f>
        <v>5420</v>
      </c>
      <c r="D1956" s="76" t="str">
        <f>IFERROR(__xludf.DUMMYFUNCTION("""COMPUTED_VALUE"""),"PROVISIONAL CERTIFICATE")</f>
        <v>PROVISIONAL CERTIFICATE</v>
      </c>
      <c r="E1956" s="84">
        <f>IFERROR(__xludf.DUMMYFUNCTION("""COMPUTED_VALUE"""),46230.71944444445)</f>
        <v>46230.71944</v>
      </c>
      <c r="F1956" s="86">
        <f>IFERROR(__xludf.DUMMYFUNCTION("""COMPUTED_VALUE"""),46228.61710041667)</f>
        <v>46228.6171</v>
      </c>
      <c r="G1956" s="86" t="str">
        <f>IFERROR(__xludf.DUMMYFUNCTION("""COMPUTED_VALUE"""),"Done")</f>
        <v>Done</v>
      </c>
      <c r="H1956" s="88">
        <f>IFERROR(__xludf.DUMMYFUNCTION("""COMPUTED_VALUE"""),0.0)</f>
        <v>0</v>
      </c>
      <c r="I1956" s="90" t="str">
        <f>IFERROR(__xludf.DUMMYFUNCTION("""COMPUTED_VALUE"""),"EMP0042 HULESHWAR KUMAR SAHU")</f>
        <v>EMP0042 HULESHWAR KUMAR SAHU</v>
      </c>
      <c r="J1956" s="91"/>
    </row>
    <row r="1957">
      <c r="B1957" s="76" t="str">
        <f>IFERROR(__xludf.DUMMYFUNCTION("""COMPUTED_VALUE"""),"Solution / Check data in database according to new logics                ")</f>
        <v>Solution / Check data in database according to new logics                </v>
      </c>
      <c r="C1957" s="82">
        <f>IFERROR(__xludf.DUMMYFUNCTION("""COMPUTED_VALUE"""),5421.0)</f>
        <v>5421</v>
      </c>
      <c r="D1957" s="76" t="str">
        <f>IFERROR(__xludf.DUMMYFUNCTION("""COMPUTED_VALUE"""),"Question Paper Packet slip Date Wise")</f>
        <v>Question Paper Packet slip Date Wise</v>
      </c>
      <c r="E1957" s="84">
        <f>IFERROR(__xludf.DUMMYFUNCTION("""COMPUTED_VALUE"""),46230.72083333333)</f>
        <v>46230.72083</v>
      </c>
      <c r="F1957" s="86">
        <f>IFERROR(__xludf.DUMMYFUNCTION("""COMPUTED_VALUE"""),46228.61713126158)</f>
        <v>46228.61713</v>
      </c>
      <c r="G1957" s="86" t="str">
        <f>IFERROR(__xludf.DUMMYFUNCTION("""COMPUTED_VALUE"""),"Done")</f>
        <v>Done</v>
      </c>
      <c r="H1957" s="88">
        <f>IFERROR(__xludf.DUMMYFUNCTION("""COMPUTED_VALUE"""),0.0)</f>
        <v>0</v>
      </c>
      <c r="I1957" s="90" t="str">
        <f>IFERROR(__xludf.DUMMYFUNCTION("""COMPUTED_VALUE"""),"EMP0042 HULESHWAR KUMAR SAHU")</f>
        <v>EMP0042 HULESHWAR KUMAR SAHU</v>
      </c>
      <c r="J1957" s="91"/>
    </row>
    <row r="1958">
      <c r="B1958" s="76" t="str">
        <f>IFERROR(__xludf.DUMMYFUNCTION("""COMPUTED_VALUE"""),"Solution / Check data in database according to new logics                ")</f>
        <v>Solution / Check data in database according to new logics                </v>
      </c>
      <c r="C1958" s="82">
        <f>IFERROR(__xludf.DUMMYFUNCTION("""COMPUTED_VALUE"""),5422.0)</f>
        <v>5422</v>
      </c>
      <c r="D1958" s="76" t="str">
        <f>IFERROR(__xludf.DUMMYFUNCTION("""COMPUTED_VALUE"""),"Marks sheet")</f>
        <v>Marks sheet</v>
      </c>
      <c r="E1958" s="84">
        <f>IFERROR(__xludf.DUMMYFUNCTION("""COMPUTED_VALUE"""),46231.47152777778)</f>
        <v>46231.47153</v>
      </c>
      <c r="F1958" s="86">
        <f>IFERROR(__xludf.DUMMYFUNCTION("""COMPUTED_VALUE"""),46228.66754513889)</f>
        <v>46228.66755</v>
      </c>
      <c r="G1958" s="86" t="str">
        <f>IFERROR(__xludf.DUMMYFUNCTION("""COMPUTED_VALUE"""),"Done")</f>
        <v>Done</v>
      </c>
      <c r="H1958" s="88">
        <f>IFERROR(__xludf.DUMMYFUNCTION("""COMPUTED_VALUE"""),0.0)</f>
        <v>0</v>
      </c>
      <c r="I1958" s="90" t="str">
        <f>IFERROR(__xludf.DUMMYFUNCTION("""COMPUTED_VALUE"""),"EMP0042 HULESHWAR KUMAR SAHU")</f>
        <v>EMP0042 HULESHWAR KUMAR SAHU</v>
      </c>
      <c r="J1958" s="91"/>
    </row>
    <row r="1959">
      <c r="B1959" s="76" t="str">
        <f>IFERROR(__xludf.DUMMYFUNCTION("""COMPUTED_VALUE"""),"Solution / Check data in database according to new logics                ")</f>
        <v>Solution / Check data in database according to new logics                </v>
      </c>
      <c r="C1959" s="82">
        <f>IFERROR(__xludf.DUMMYFUNCTION("""COMPUTED_VALUE"""),5423.0)</f>
        <v>5423</v>
      </c>
      <c r="D1959" s="76" t="str">
        <f>IFERROR(__xludf.DUMMYFUNCTION("""COMPUTED_VALUE"""),"Packet_Slip_Date_Wise")</f>
        <v>Packet_Slip_Date_Wise</v>
      </c>
      <c r="E1959" s="84">
        <f>IFERROR(__xludf.DUMMYFUNCTION("""COMPUTED_VALUE"""),46231.70416666666)</f>
        <v>46231.70417</v>
      </c>
      <c r="F1959" s="86">
        <f>IFERROR(__xludf.DUMMYFUNCTION("""COMPUTED_VALUE"""),46230.69839038194)</f>
        <v>46230.69839</v>
      </c>
      <c r="G1959" s="86" t="str">
        <f>IFERROR(__xludf.DUMMYFUNCTION("""COMPUTED_VALUE"""),"Done")</f>
        <v>Done</v>
      </c>
      <c r="H1959" s="88">
        <f>IFERROR(__xludf.DUMMYFUNCTION("""COMPUTED_VALUE"""),0.0)</f>
        <v>0</v>
      </c>
      <c r="I1959" s="90" t="str">
        <f>IFERROR(__xludf.DUMMYFUNCTION("""COMPUTED_VALUE"""),"EMP0042 HULESHWAR KUMAR SAHU")</f>
        <v>EMP0042 HULESHWAR KUMAR SAHU</v>
      </c>
      <c r="J1959" s="91"/>
    </row>
    <row r="1960">
      <c r="B1960" s="76" t="str">
        <f>IFERROR(__xludf.DUMMYFUNCTION("""COMPUTED_VALUE"""),"Solution / Check data in database according to new logics                ")</f>
        <v>Solution / Check data in database according to new logics                </v>
      </c>
      <c r="C1960" s="82">
        <f>IFERROR(__xludf.DUMMYFUNCTION("""COMPUTED_VALUE"""),5424.0)</f>
        <v>5424</v>
      </c>
      <c r="D1960" s="76" t="str">
        <f>IFERROR(__xludf.DUMMYFUNCTION("""COMPUTED_VALUE"""),"TR ")</f>
        <v>TR </v>
      </c>
      <c r="E1960" s="84">
        <f>IFERROR(__xludf.DUMMYFUNCTION("""COMPUTED_VALUE"""),46231.785416666666)</f>
        <v>46231.78542</v>
      </c>
      <c r="F1960" s="86">
        <f>IFERROR(__xludf.DUMMYFUNCTION("""COMPUTED_VALUE"""),46230.699283125)</f>
        <v>46230.69928</v>
      </c>
      <c r="G1960" s="86" t="str">
        <f>IFERROR(__xludf.DUMMYFUNCTION("""COMPUTED_VALUE"""),"Done")</f>
        <v>Done</v>
      </c>
      <c r="H1960" s="88">
        <f>IFERROR(__xludf.DUMMYFUNCTION("""COMPUTED_VALUE"""),0.0)</f>
        <v>0</v>
      </c>
      <c r="I1960" s="90" t="str">
        <f>IFERROR(__xludf.DUMMYFUNCTION("""COMPUTED_VALUE"""),"EMP0042 HULESHWAR KUMAR SAHU")</f>
        <v>EMP0042 HULESHWAR KUMAR SAHU</v>
      </c>
      <c r="J1960" s="91"/>
    </row>
    <row r="1961">
      <c r="B1961" s="76" t="str">
        <f>IFERROR(__xludf.DUMMYFUNCTION("""COMPUTED_VALUE"""),"Solution / Check data in database according to new logics                ")</f>
        <v>Solution / Check data in database according to new logics                </v>
      </c>
      <c r="C1961" s="82">
        <f>IFERROR(__xludf.DUMMYFUNCTION("""COMPUTED_VALUE"""),5425.0)</f>
        <v>5425</v>
      </c>
      <c r="D1961" s="76" t="str">
        <f>IFERROR(__xludf.DUMMYFUNCTION("""COMPUTED_VALUE"""),"TR ADMIN")</f>
        <v>TR ADMIN</v>
      </c>
      <c r="E1961" s="84">
        <f>IFERROR(__xludf.DUMMYFUNCTION("""COMPUTED_VALUE"""),46232.538888888885)</f>
        <v>46232.53889</v>
      </c>
      <c r="F1961" s="86">
        <f>IFERROR(__xludf.DUMMYFUNCTION("""COMPUTED_VALUE"""),46230.7633152662)</f>
        <v>46230.76332</v>
      </c>
      <c r="G1961" s="86" t="str">
        <f>IFERROR(__xludf.DUMMYFUNCTION("""COMPUTED_VALUE"""),"Done")</f>
        <v>Done</v>
      </c>
      <c r="H1961" s="88">
        <f>IFERROR(__xludf.DUMMYFUNCTION("""COMPUTED_VALUE"""),0.0)</f>
        <v>0</v>
      </c>
      <c r="I1961" s="90" t="str">
        <f>IFERROR(__xludf.DUMMYFUNCTION("""COMPUTED_VALUE"""),"EMP0042 HULESHWAR KUMAR SAHU")</f>
        <v>EMP0042 HULESHWAR KUMAR SAHU</v>
      </c>
      <c r="J1961" s="91"/>
    </row>
    <row r="1962">
      <c r="B1962" s="76" t="str">
        <f>IFERROR(__xludf.DUMMYFUNCTION("""COMPUTED_VALUE"""),"Solution / Check data in database according to new logics                ")</f>
        <v>Solution / Check data in database according to new logics                </v>
      </c>
      <c r="C1962" s="82">
        <f>IFERROR(__xludf.DUMMYFUNCTION("""COMPUTED_VALUE"""),5426.0)</f>
        <v>5426</v>
      </c>
      <c r="D1962" s="76" t="str">
        <f>IFERROR(__xludf.DUMMYFUNCTION("""COMPUTED_VALUE"""),"CONSOLIDATED MARKS MEMORANDUM BCA")</f>
        <v>CONSOLIDATED MARKS MEMORANDUM BCA</v>
      </c>
      <c r="E1962" s="84">
        <f>IFERROR(__xludf.DUMMYFUNCTION("""COMPUTED_VALUE"""),46232.57777777778)</f>
        <v>46232.57778</v>
      </c>
      <c r="F1962" s="86">
        <f>IFERROR(__xludf.DUMMYFUNCTION("""COMPUTED_VALUE"""),46231.80676221065)</f>
        <v>46231.80676</v>
      </c>
      <c r="G1962" s="86" t="str">
        <f>IFERROR(__xludf.DUMMYFUNCTION("""COMPUTED_VALUE"""),"Done")</f>
        <v>Done</v>
      </c>
      <c r="H1962" s="88">
        <f>IFERROR(__xludf.DUMMYFUNCTION("""COMPUTED_VALUE"""),0.0)</f>
        <v>0</v>
      </c>
      <c r="I1962" s="90" t="str">
        <f>IFERROR(__xludf.DUMMYFUNCTION("""COMPUTED_VALUE"""),"EMP0042 HULESHWAR KUMAR SAHU")</f>
        <v>EMP0042 HULESHWAR KUMAR SAHU</v>
      </c>
      <c r="J1962" s="91"/>
    </row>
    <row r="1963">
      <c r="B1963" s="76" t="str">
        <f>IFERROR(__xludf.DUMMYFUNCTION("""COMPUTED_VALUE"""),"Solution / Check data in database according to new logics                ")</f>
        <v>Solution / Check data in database according to new logics                </v>
      </c>
      <c r="C1963" s="82">
        <f>IFERROR(__xludf.DUMMYFUNCTION("""COMPUTED_VALUE"""),5427.0)</f>
        <v>5427</v>
      </c>
      <c r="D1963" s="76" t="str">
        <f>IFERROR(__xludf.DUMMYFUNCTION("""COMPUTED_VALUE"""),"Admit Card")</f>
        <v>Admit Card</v>
      </c>
      <c r="E1963" s="84">
        <f>IFERROR(__xludf.DUMMYFUNCTION("""COMPUTED_VALUE"""),46232.57916666666)</f>
        <v>46232.57917</v>
      </c>
      <c r="F1963" s="86">
        <f>IFERROR(__xludf.DUMMYFUNCTION("""COMPUTED_VALUE"""),46231.810958842594)</f>
        <v>46231.81096</v>
      </c>
      <c r="G1963" s="86" t="str">
        <f>IFERROR(__xludf.DUMMYFUNCTION("""COMPUTED_VALUE"""),"Done")</f>
        <v>Done</v>
      </c>
      <c r="H1963" s="88">
        <f>IFERROR(__xludf.DUMMYFUNCTION("""COMPUTED_VALUE"""),0.0)</f>
        <v>0</v>
      </c>
      <c r="I1963" s="90" t="str">
        <f>IFERROR(__xludf.DUMMYFUNCTION("""COMPUTED_VALUE"""),"EMP0042 HULESHWAR KUMAR SAHU")</f>
        <v>EMP0042 HULESHWAR KUMAR SAHU</v>
      </c>
      <c r="J1963" s="91"/>
    </row>
    <row r="1964">
      <c r="B1964" s="76" t="str">
        <f>IFERROR(__xludf.DUMMYFUNCTION("""COMPUTED_VALUE"""),"Solution / Check data in database according to new logics                ")</f>
        <v>Solution / Check data in database according to new logics                </v>
      </c>
      <c r="C1964" s="82">
        <f>IFERROR(__xludf.DUMMYFUNCTION("""COMPUTED_VALUE"""),5428.0)</f>
        <v>5428</v>
      </c>
      <c r="D1964" s="76" t="str">
        <f>IFERROR(__xludf.DUMMYFUNCTION("""COMPUTED_VALUE"""),"MARKSHEET PARAMEDICAL")</f>
        <v>MARKSHEET PARAMEDICAL</v>
      </c>
      <c r="E1964" s="84">
        <f>IFERROR(__xludf.DUMMYFUNCTION("""COMPUTED_VALUE"""),46232.57986111111)</f>
        <v>46232.57986</v>
      </c>
      <c r="F1964" s="86">
        <f>IFERROR(__xludf.DUMMYFUNCTION("""COMPUTED_VALUE"""),46231.61375653936)</f>
        <v>46231.61376</v>
      </c>
      <c r="G1964" s="86" t="str">
        <f>IFERROR(__xludf.DUMMYFUNCTION("""COMPUTED_VALUE"""),"Done")</f>
        <v>Done</v>
      </c>
      <c r="H1964" s="88">
        <f>IFERROR(__xludf.DUMMYFUNCTION("""COMPUTED_VALUE"""),0.0)</f>
        <v>0</v>
      </c>
      <c r="I1964" s="90" t="str">
        <f>IFERROR(__xludf.DUMMYFUNCTION("""COMPUTED_VALUE"""),"EMP0042 HULESHWAR KUMAR SAHU")</f>
        <v>EMP0042 HULESHWAR KUMAR SAHU</v>
      </c>
      <c r="J1964" s="91"/>
    </row>
    <row r="1965">
      <c r="B1965" s="76" t="str">
        <f>IFERROR(__xludf.DUMMYFUNCTION("""COMPUTED_VALUE"""),"Solution / Check data in database according to new logics                ")</f>
        <v>Solution / Check data in database according to new logics                </v>
      </c>
      <c r="C1965" s="82">
        <f>IFERROR(__xludf.DUMMYFUNCTION("""COMPUTED_VALUE"""),5429.0)</f>
        <v>5429</v>
      </c>
      <c r="D1965" s="76" t="str">
        <f>IFERROR(__xludf.DUMMYFUNCTION("""COMPUTED_VALUE"""),"Question Paper Packet slip Date Wise")</f>
        <v>Question Paper Packet slip Date Wise</v>
      </c>
      <c r="E1965" s="84">
        <f>IFERROR(__xludf.DUMMYFUNCTION("""COMPUTED_VALUE"""),46232.67638888889)</f>
        <v>46232.67639</v>
      </c>
      <c r="F1965" s="86">
        <f>IFERROR(__xludf.DUMMYFUNCTION("""COMPUTED_VALUE"""),46231.61383956019)</f>
        <v>46231.61384</v>
      </c>
      <c r="G1965" s="86" t="str">
        <f>IFERROR(__xludf.DUMMYFUNCTION("""COMPUTED_VALUE"""),"Done")</f>
        <v>Done</v>
      </c>
      <c r="H1965" s="88">
        <f>IFERROR(__xludf.DUMMYFUNCTION("""COMPUTED_VALUE"""),0.0)</f>
        <v>0</v>
      </c>
      <c r="I1965" s="90" t="str">
        <f>IFERROR(__xludf.DUMMYFUNCTION("""COMPUTED_VALUE"""),"EMP0042 HULESHWAR KUMAR SAHU")</f>
        <v>EMP0042 HULESHWAR KUMAR SAHU</v>
      </c>
      <c r="J1965" s="91"/>
    </row>
    <row r="1966">
      <c r="B1966" s="76" t="str">
        <f>IFERROR(__xludf.DUMMYFUNCTION("""COMPUTED_VALUE"""),"Solution / Check data in database according to new logics                ")</f>
        <v>Solution / Check data in database according to new logics                </v>
      </c>
      <c r="C1966" s="82">
        <f>IFERROR(__xludf.DUMMYFUNCTION("""COMPUTED_VALUE"""),5430.0)</f>
        <v>5430</v>
      </c>
      <c r="D1966" s="76" t="str">
        <f>IFERROR(__xludf.DUMMYFUNCTION("""COMPUTED_VALUE"""),"Ayurveda TR")</f>
        <v>Ayurveda TR</v>
      </c>
      <c r="E1966" s="84">
        <f>IFERROR(__xludf.DUMMYFUNCTION("""COMPUTED_VALUE"""),46232.71805555555)</f>
        <v>46232.71806</v>
      </c>
      <c r="F1966" s="86">
        <f>IFERROR(__xludf.DUMMYFUNCTION("""COMPUTED_VALUE"""),46232.479853576384)</f>
        <v>46232.47985</v>
      </c>
      <c r="G1966" s="86" t="str">
        <f>IFERROR(__xludf.DUMMYFUNCTION("""COMPUTED_VALUE"""),"Done")</f>
        <v>Done</v>
      </c>
      <c r="H1966" s="88">
        <f>IFERROR(__xludf.DUMMYFUNCTION("""COMPUTED_VALUE"""),0.0)</f>
        <v>0</v>
      </c>
      <c r="I1966" s="90" t="str">
        <f>IFERROR(__xludf.DUMMYFUNCTION("""COMPUTED_VALUE"""),"EMP0042 HULESHWAR KUMAR SAHU")</f>
        <v>EMP0042 HULESHWAR KUMAR SAHU</v>
      </c>
      <c r="J1966" s="91"/>
    </row>
    <row r="1967">
      <c r="B1967" s="76" t="str">
        <f>IFERROR(__xludf.DUMMYFUNCTION("""COMPUTED_VALUE"""),"Solution / Check data in database according to new logics                ")</f>
        <v>Solution / Check data in database according to new logics                </v>
      </c>
      <c r="C1967" s="82">
        <f>IFERROR(__xludf.DUMMYFUNCTION("""COMPUTED_VALUE"""),5431.0)</f>
        <v>5431</v>
      </c>
      <c r="D1967" s="76" t="str">
        <f>IFERROR(__xludf.DUMMYFUNCTION("""COMPUTED_VALUE"""),"AYURVEDA MARKSHEET")</f>
        <v>AYURVEDA MARKSHEET</v>
      </c>
      <c r="E1967" s="84">
        <f>IFERROR(__xludf.DUMMYFUNCTION("""COMPUTED_VALUE"""),46233.47708333333)</f>
        <v>46233.47708</v>
      </c>
      <c r="F1967" s="86">
        <f>IFERROR(__xludf.DUMMYFUNCTION("""COMPUTED_VALUE"""),46232.479880937506)</f>
        <v>46232.47988</v>
      </c>
      <c r="G1967" s="86" t="str">
        <f>IFERROR(__xludf.DUMMYFUNCTION("""COMPUTED_VALUE"""),"Done")</f>
        <v>Done</v>
      </c>
      <c r="H1967" s="88">
        <f>IFERROR(__xludf.DUMMYFUNCTION("""COMPUTED_VALUE"""),0.0)</f>
        <v>0</v>
      </c>
      <c r="I1967" s="90" t="str">
        <f>IFERROR(__xludf.DUMMYFUNCTION("""COMPUTED_VALUE"""),"EMP0042 HULESHWAR KUMAR SAHU")</f>
        <v>EMP0042 HULESHWAR KUMAR SAHU</v>
      </c>
      <c r="J1967" s="91"/>
    </row>
    <row r="1968">
      <c r="B1968" s="76" t="str">
        <f>IFERROR(__xludf.DUMMYFUNCTION("""COMPUTED_VALUE"""),"Solution / Check data in database according to new logics                ")</f>
        <v>Solution / Check data in database according to new logics                </v>
      </c>
      <c r="C1968" s="82">
        <f>IFERROR(__xludf.DUMMYFUNCTION("""COMPUTED_VALUE"""),5432.0)</f>
        <v>5432</v>
      </c>
      <c r="D1968" s="76" t="str">
        <f>IFERROR(__xludf.DUMMYFUNCTION("""COMPUTED_VALUE"""),"Marksheet correction ")</f>
        <v>Marksheet correction </v>
      </c>
      <c r="E1968" s="84">
        <f>IFERROR(__xludf.DUMMYFUNCTION("""COMPUTED_VALUE"""),46232.76527777778)</f>
        <v>46232.76528</v>
      </c>
      <c r="F1968" s="86">
        <f>IFERROR(__xludf.DUMMYFUNCTION("""COMPUTED_VALUE"""),46231.61348893519)</f>
        <v>46231.61349</v>
      </c>
      <c r="G1968" s="86" t="str">
        <f>IFERROR(__xludf.DUMMYFUNCTION("""COMPUTED_VALUE"""),"Done")</f>
        <v>Done</v>
      </c>
      <c r="H1968" s="88">
        <f>IFERROR(__xludf.DUMMYFUNCTION("""COMPUTED_VALUE"""),0.0)</f>
        <v>0</v>
      </c>
      <c r="I1968" s="90" t="str">
        <f>IFERROR(__xludf.DUMMYFUNCTION("""COMPUTED_VALUE"""),"EMP0042 HULESHWAR KUMAR SAHU")</f>
        <v>EMP0042 HULESHWAR KUMAR SAHU</v>
      </c>
      <c r="J1968" s="91"/>
    </row>
    <row r="1969">
      <c r="B1969" s="76" t="str">
        <f>IFERROR(__xludf.DUMMYFUNCTION("""COMPUTED_VALUE"""),"Solution / Check data in database according to new logics                ")</f>
        <v>Solution / Check data in database according to new logics                </v>
      </c>
      <c r="C1969" s="82">
        <f>IFERROR(__xludf.DUMMYFUNCTION("""COMPUTED_VALUE"""),5433.0)</f>
        <v>5433</v>
      </c>
      <c r="D1969" s="76" t="str">
        <f>IFERROR(__xludf.DUMMYFUNCTION("""COMPUTED_VALUE"""),"DMC\COURSE TYPE IN ALL ADD")</f>
        <v>DMC\COURSE TYPE IN ALL ADD</v>
      </c>
      <c r="E1969" s="84">
        <f>IFERROR(__xludf.DUMMYFUNCTION("""COMPUTED_VALUE"""),46233.69375)</f>
        <v>46233.69375</v>
      </c>
      <c r="F1969" s="86">
        <f>IFERROR(__xludf.DUMMYFUNCTION("""COMPUTED_VALUE"""),46232.479907465284)</f>
        <v>46232.47991</v>
      </c>
      <c r="G1969" s="86" t="str">
        <f>IFERROR(__xludf.DUMMYFUNCTION("""COMPUTED_VALUE"""),"Done")</f>
        <v>Done</v>
      </c>
      <c r="H1969" s="88">
        <f>IFERROR(__xludf.DUMMYFUNCTION("""COMPUTED_VALUE"""),0.0)</f>
        <v>0</v>
      </c>
      <c r="I1969" s="90" t="str">
        <f>IFERROR(__xludf.DUMMYFUNCTION("""COMPUTED_VALUE"""),"EMP5009 Rup Kumar Mandal")</f>
        <v>EMP5009 Rup Kumar Mandal</v>
      </c>
      <c r="J1969" s="91"/>
    </row>
    <row r="1970">
      <c r="B1970" s="76" t="str">
        <f>IFERROR(__xludf.DUMMYFUNCTION("""COMPUTED_VALUE"""),"Solution / Check data in database according to new logics                ")</f>
        <v>Solution / Check data in database according to new logics                </v>
      </c>
      <c r="C1970" s="82">
        <f>IFERROR(__xludf.DUMMYFUNCTION("""COMPUTED_VALUE"""),5434.0)</f>
        <v>5434</v>
      </c>
      <c r="D1970" s="76" t="str">
        <f>IFERROR(__xludf.DUMMYFUNCTION("""COMPUTED_VALUE"""),"GRADE CARD IT ONWARDS 2023")</f>
        <v>GRADE CARD IT ONWARDS 2023</v>
      </c>
      <c r="E1970" s="84">
        <f>IFERROR(__xludf.DUMMYFUNCTION("""COMPUTED_VALUE"""),46233.69930555555)</f>
        <v>46233.69931</v>
      </c>
      <c r="F1970" s="86">
        <f>IFERROR(__xludf.DUMMYFUNCTION("""COMPUTED_VALUE"""),46232.479928125)</f>
        <v>46232.47993</v>
      </c>
      <c r="G1970" s="86" t="str">
        <f>IFERROR(__xludf.DUMMYFUNCTION("""COMPUTED_VALUE"""),"Done")</f>
        <v>Done</v>
      </c>
      <c r="H1970" s="88">
        <f>IFERROR(__xludf.DUMMYFUNCTION("""COMPUTED_VALUE"""),0.0)</f>
        <v>0</v>
      </c>
      <c r="I1970" s="90" t="str">
        <f>IFERROR(__xludf.DUMMYFUNCTION("""COMPUTED_VALUE"""),"EMP0042 HULESHWAR KUMAR SAHU")</f>
        <v>EMP0042 HULESHWAR KUMAR SAHU</v>
      </c>
      <c r="J1970" s="91"/>
    </row>
    <row r="1971">
      <c r="B1971" s="76" t="str">
        <f>IFERROR(__xludf.DUMMYFUNCTION("""COMPUTED_VALUE"""),"Solution / Check data in database according to new logics                ")</f>
        <v>Solution / Check data in database according to new logics                </v>
      </c>
      <c r="C1971" s="82">
        <f>IFERROR(__xludf.DUMMYFUNCTION("""COMPUTED_VALUE"""),5435.0)</f>
        <v>5435</v>
      </c>
      <c r="D1971" s="76" t="str">
        <f>IFERROR(__xludf.DUMMYFUNCTION("""COMPUTED_VALUE"""),"TR report")</f>
        <v>TR report</v>
      </c>
      <c r="E1971" s="84">
        <f>IFERROR(__xludf.DUMMYFUNCTION("""COMPUTED_VALUE"""),46233.78333333333)</f>
        <v>46233.78333</v>
      </c>
      <c r="F1971" s="86">
        <f>IFERROR(__xludf.DUMMYFUNCTION("""COMPUTED_VALUE"""),46233.43478474537)</f>
        <v>46233.43478</v>
      </c>
      <c r="G1971" s="86" t="str">
        <f>IFERROR(__xludf.DUMMYFUNCTION("""COMPUTED_VALUE"""),"Done")</f>
        <v>Done</v>
      </c>
      <c r="H1971" s="88">
        <f>IFERROR(__xludf.DUMMYFUNCTION("""COMPUTED_VALUE"""),0.0)</f>
        <v>0</v>
      </c>
      <c r="I1971" s="90" t="str">
        <f>IFERROR(__xludf.DUMMYFUNCTION("""COMPUTED_VALUE"""),"EMP5009 Rup Kumar Mandal")</f>
        <v>EMP5009 Rup Kumar Mandal</v>
      </c>
      <c r="J1971" s="91"/>
    </row>
    <row r="1972">
      <c r="B1972" s="76" t="str">
        <f>IFERROR(__xludf.DUMMYFUNCTION("""COMPUTED_VALUE"""),"Solution / Check data in database according to new logics                ")</f>
        <v>Solution / Check data in database according to new logics                </v>
      </c>
      <c r="C1972" s="82">
        <f>IFERROR(__xludf.DUMMYFUNCTION("""COMPUTED_VALUE"""),5436.0)</f>
        <v>5436</v>
      </c>
      <c r="D1972" s="76" t="str">
        <f>IFERROR(__xludf.DUMMYFUNCTION("""COMPUTED_VALUE"""),"Marks Sheet")</f>
        <v>Marks Sheet</v>
      </c>
      <c r="E1972" s="84">
        <f>IFERROR(__xludf.DUMMYFUNCTION("""COMPUTED_VALUE"""),46233.78958333333)</f>
        <v>46233.78958</v>
      </c>
      <c r="F1972" s="86">
        <f>IFERROR(__xludf.DUMMYFUNCTION("""COMPUTED_VALUE"""),46232.89402605324)</f>
        <v>46232.89403</v>
      </c>
      <c r="G1972" s="86" t="str">
        <f>IFERROR(__xludf.DUMMYFUNCTION("""COMPUTED_VALUE"""),"Done")</f>
        <v>Done</v>
      </c>
      <c r="H1972" s="88">
        <f>IFERROR(__xludf.DUMMYFUNCTION("""COMPUTED_VALUE"""),0.0)</f>
        <v>0</v>
      </c>
      <c r="I1972" s="90" t="str">
        <f>IFERROR(__xludf.DUMMYFUNCTION("""COMPUTED_VALUE"""),"EMP0042 HULESHWAR KUMAR SAHU")</f>
        <v>EMP0042 HULESHWAR KUMAR SAHU</v>
      </c>
      <c r="J1972" s="91"/>
    </row>
    <row r="1973">
      <c r="B1973" s="76" t="str">
        <f>IFERROR(__xludf.DUMMYFUNCTION("""COMPUTED_VALUE"""),"Solution / Check data in database according to new logics                ")</f>
        <v>Solution / Check data in database according to new logics                </v>
      </c>
      <c r="C1973" s="82">
        <f>IFERROR(__xludf.DUMMYFUNCTION("""COMPUTED_VALUE"""),5437.0)</f>
        <v>5437</v>
      </c>
      <c r="D1973" s="76" t="str">
        <f>IFERROR(__xludf.DUMMYFUNCTION("""COMPUTED_VALUE"""),"Marks Sheet")</f>
        <v>Marks Sheet</v>
      </c>
      <c r="E1973" s="84">
        <f>IFERROR(__xludf.DUMMYFUNCTION("""COMPUTED_VALUE"""),46233.790972222225)</f>
        <v>46233.79097</v>
      </c>
      <c r="F1973" s="86">
        <f>IFERROR(__xludf.DUMMYFUNCTION("""COMPUTED_VALUE"""),46232.894061875)</f>
        <v>46232.89406</v>
      </c>
      <c r="G1973" s="86" t="str">
        <f>IFERROR(__xludf.DUMMYFUNCTION("""COMPUTED_VALUE"""),"Done")</f>
        <v>Done</v>
      </c>
      <c r="H1973" s="88">
        <f>IFERROR(__xludf.DUMMYFUNCTION("""COMPUTED_VALUE"""),0.0)</f>
        <v>0</v>
      </c>
      <c r="I1973" s="90" t="str">
        <f>IFERROR(__xludf.DUMMYFUNCTION("""COMPUTED_VALUE"""),"EMP0042 HULESHWAR KUMAR SAHU")</f>
        <v>EMP0042 HULESHWAR KUMAR SAHU</v>
      </c>
      <c r="J1973" s="91"/>
    </row>
    <row r="1974">
      <c r="B1974" s="76" t="str">
        <f>IFERROR(__xludf.DUMMYFUNCTION("""COMPUTED_VALUE"""),"Solution / Check data in database according to new logics                ")</f>
        <v>Solution / Check data in database according to new logics                </v>
      </c>
      <c r="C1974" s="82">
        <f>IFERROR(__xludf.DUMMYFUNCTION("""COMPUTED_VALUE"""),5438.0)</f>
        <v>5438</v>
      </c>
      <c r="D1974" s="76" t="str">
        <f>IFERROR(__xludf.DUMMYFUNCTION("""COMPUTED_VALUE"""),"MArks Sheet")</f>
        <v>MArks Sheet</v>
      </c>
      <c r="E1974" s="84">
        <f>IFERROR(__xludf.DUMMYFUNCTION("""COMPUTED_VALUE"""),46233.79166666667)</f>
        <v>46233.79167</v>
      </c>
      <c r="F1974" s="86">
        <f>IFERROR(__xludf.DUMMYFUNCTION("""COMPUTED_VALUE"""),46232.894089664354)</f>
        <v>46232.89409</v>
      </c>
      <c r="G1974" s="86" t="str">
        <f>IFERROR(__xludf.DUMMYFUNCTION("""COMPUTED_VALUE"""),"Done")</f>
        <v>Done</v>
      </c>
      <c r="H1974" s="88">
        <f>IFERROR(__xludf.DUMMYFUNCTION("""COMPUTED_VALUE"""),0.0)</f>
        <v>0</v>
      </c>
      <c r="I1974" s="90" t="str">
        <f>IFERROR(__xludf.DUMMYFUNCTION("""COMPUTED_VALUE"""),"EMP0042 HULESHWAR KUMAR SAHU")</f>
        <v>EMP0042 HULESHWAR KUMAR SAHU</v>
      </c>
      <c r="J1974" s="91"/>
    </row>
    <row r="1975">
      <c r="B1975" s="76" t="str">
        <f>IFERROR(__xludf.DUMMYFUNCTION("""COMPUTED_VALUE"""),"Solution / Check data in database according to new logics                ")</f>
        <v>Solution / Check data in database according to new logics                </v>
      </c>
      <c r="C1975" s="82">
        <f>IFERROR(__xludf.DUMMYFUNCTION("""COMPUTED_VALUE"""),5439.0)</f>
        <v>5439</v>
      </c>
      <c r="D1975" s="76" t="str">
        <f>IFERROR(__xludf.DUMMYFUNCTION("""COMPUTED_VALUE"""),"BCA, BMS, LAW MCA, MBA, BBA TRANSCRIPT REPORT")</f>
        <v>BCA, BMS, LAW MCA, MBA, BBA TRANSCRIPT REPORT</v>
      </c>
      <c r="E1975" s="84">
        <f>IFERROR(__xludf.DUMMYFUNCTION("""COMPUTED_VALUE"""),46233.79513888889)</f>
        <v>46233.79514</v>
      </c>
      <c r="F1975" s="86">
        <f>IFERROR(__xludf.DUMMYFUNCTION("""COMPUTED_VALUE"""),46232.89411320602)</f>
        <v>46232.89411</v>
      </c>
      <c r="G1975" s="86" t="str">
        <f>IFERROR(__xludf.DUMMYFUNCTION("""COMPUTED_VALUE"""),"Done")</f>
        <v>Done</v>
      </c>
      <c r="H1975" s="88">
        <f>IFERROR(__xludf.DUMMYFUNCTION("""COMPUTED_VALUE"""),0.0)</f>
        <v>0</v>
      </c>
      <c r="I1975" s="90" t="str">
        <f>IFERROR(__xludf.DUMMYFUNCTION("""COMPUTED_VALUE"""),"EMP0042 HULESHWAR KUMAR SAHU")</f>
        <v>EMP0042 HULESHWAR KUMAR SAHU</v>
      </c>
      <c r="J1975" s="91"/>
    </row>
    <row r="1976">
      <c r="B1976" s="76" t="str">
        <f>IFERROR(__xludf.DUMMYFUNCTION("""COMPUTED_VALUE"""),"Solution / Check data in database according to new logics                ")</f>
        <v>Solution / Check data in database according to new logics                </v>
      </c>
      <c r="C1976" s="82">
        <f>IFERROR(__xludf.DUMMYFUNCTION("""COMPUTED_VALUE"""),5440.0)</f>
        <v>5440</v>
      </c>
      <c r="D1976" s="76" t="str">
        <f>IFERROR(__xludf.DUMMYFUNCTION("""COMPUTED_VALUE"""),"TR ")</f>
        <v>TR </v>
      </c>
      <c r="E1976" s="84">
        <f>IFERROR(__xludf.DUMMYFUNCTION("""COMPUTED_VALUE"""),46234.82083333333)</f>
        <v>46234.82083</v>
      </c>
      <c r="F1976" s="86">
        <f>IFERROR(__xludf.DUMMYFUNCTION("""COMPUTED_VALUE"""),46234.784332916664)</f>
        <v>46234.78433</v>
      </c>
      <c r="G1976" s="86" t="str">
        <f>IFERROR(__xludf.DUMMYFUNCTION("""COMPUTED_VALUE"""),"Done")</f>
        <v>Done</v>
      </c>
      <c r="H1976" s="88">
        <f>IFERROR(__xludf.DUMMYFUNCTION("""COMPUTED_VALUE"""),0.0)</f>
        <v>0</v>
      </c>
      <c r="I1976" s="90" t="str">
        <f>IFERROR(__xludf.DUMMYFUNCTION("""COMPUTED_VALUE"""),"EMP0042 HULESHWAR KUMAR SAHU")</f>
        <v>EMP0042 HULESHWAR KUMAR SAHU</v>
      </c>
      <c r="J1976" s="91"/>
    </row>
    <row r="1977">
      <c r="B1977" s="76" t="str">
        <f>IFERROR(__xludf.DUMMYFUNCTION("""COMPUTED_VALUE"""),"Solution / Check data in database according to new logics                ")</f>
        <v>Solution / Check data in database according to new logics                </v>
      </c>
      <c r="C1977" s="82">
        <f>IFERROR(__xludf.DUMMYFUNCTION("""COMPUTED_VALUE"""),5441.0)</f>
        <v>5441</v>
      </c>
      <c r="D1977" s="76" t="str">
        <f>IFERROR(__xludf.DUMMYFUNCTION("""COMPUTED_VALUE"""),"MARKSHEET PGDCA (SEMESTER)")</f>
        <v>MARKSHEET PGDCA (SEMESTER)</v>
      </c>
      <c r="E1977" s="84">
        <f>IFERROR(__xludf.DUMMYFUNCTION("""COMPUTED_VALUE"""),46235.464583333334)</f>
        <v>46235.46458</v>
      </c>
      <c r="F1977" s="86">
        <f>IFERROR(__xludf.DUMMYFUNCTION("""COMPUTED_VALUE"""),46234.79736491898)</f>
        <v>46234.79736</v>
      </c>
      <c r="G1977" s="86" t="str">
        <f>IFERROR(__xludf.DUMMYFUNCTION("""COMPUTED_VALUE"""),"Done")</f>
        <v>Done</v>
      </c>
      <c r="H1977" s="88">
        <f>IFERROR(__xludf.DUMMYFUNCTION("""COMPUTED_VALUE"""),0.0)</f>
        <v>0</v>
      </c>
      <c r="I1977" s="90" t="str">
        <f>IFERROR(__xludf.DUMMYFUNCTION("""COMPUTED_VALUE"""),"EMP5009 Rup Kumar Mandal")</f>
        <v>EMP5009 Rup Kumar Mandal</v>
      </c>
      <c r="J1977" s="91"/>
    </row>
    <row r="1978">
      <c r="B1978" s="76" t="str">
        <f>IFERROR(__xludf.DUMMYFUNCTION("""COMPUTED_VALUE"""),"Solution / Check data in database according to new logics                ")</f>
        <v>Solution / Check data in database according to new logics                </v>
      </c>
      <c r="C1978" s="82">
        <f>IFERROR(__xludf.DUMMYFUNCTION("""COMPUTED_VALUE"""),5442.0)</f>
        <v>5442</v>
      </c>
      <c r="D1978" s="76" t="str">
        <f>IFERROR(__xludf.DUMMYFUNCTION("""COMPUTED_VALUE"""),"Grade Card (OTHERS)")</f>
        <v>Grade Card (OTHERS)</v>
      </c>
      <c r="E1978" s="84">
        <f>IFERROR(__xludf.DUMMYFUNCTION("""COMPUTED_VALUE"""),46235.78055555555)</f>
        <v>46235.78056</v>
      </c>
      <c r="F1978" s="86">
        <f>IFERROR(__xludf.DUMMYFUNCTION("""COMPUTED_VALUE"""),46234.791437569445)</f>
        <v>46234.79144</v>
      </c>
      <c r="G1978" s="86" t="str">
        <f>IFERROR(__xludf.DUMMYFUNCTION("""COMPUTED_VALUE"""),"Done")</f>
        <v>Done</v>
      </c>
      <c r="H1978" s="88">
        <f>IFERROR(__xludf.DUMMYFUNCTION("""COMPUTED_VALUE"""),0.0)</f>
        <v>0</v>
      </c>
      <c r="I1978" s="90" t="str">
        <f>IFERROR(__xludf.DUMMYFUNCTION("""COMPUTED_VALUE"""),"EMP0042 HULESHWAR KUMAR SAHU")</f>
        <v>EMP0042 HULESHWAR KUMAR SAHU</v>
      </c>
      <c r="J1978" s="91"/>
    </row>
    <row r="1979">
      <c r="B1979" s="76" t="str">
        <f>IFERROR(__xludf.DUMMYFUNCTION("""COMPUTED_VALUE"""),"Solution / Check data in database according to new logics                ")</f>
        <v>Solution / Check data in database according to new logics                </v>
      </c>
      <c r="C1979" s="82">
        <f>IFERROR(__xludf.DUMMYFUNCTION("""COMPUTED_VALUE"""),5443.0)</f>
        <v>5443</v>
      </c>
      <c r="D1979" s="76" t="str">
        <f>IFERROR(__xludf.DUMMYFUNCTION("""COMPUTED_VALUE"""),"Provisional Ceritificate")</f>
        <v>Provisional Ceritificate</v>
      </c>
      <c r="E1979" s="84">
        <f>IFERROR(__xludf.DUMMYFUNCTION("""COMPUTED_VALUE"""),46235.78125)</f>
        <v>46235.78125</v>
      </c>
      <c r="F1979" s="86">
        <f>IFERROR(__xludf.DUMMYFUNCTION("""COMPUTED_VALUE"""),46234.791746863426)</f>
        <v>46234.79175</v>
      </c>
      <c r="G1979" s="86" t="str">
        <f>IFERROR(__xludf.DUMMYFUNCTION("""COMPUTED_VALUE"""),"Done")</f>
        <v>Done</v>
      </c>
      <c r="H1979" s="88">
        <f>IFERROR(__xludf.DUMMYFUNCTION("""COMPUTED_VALUE"""),0.0)</f>
        <v>0</v>
      </c>
      <c r="I1979" s="90" t="str">
        <f>IFERROR(__xludf.DUMMYFUNCTION("""COMPUTED_VALUE"""),"EMP0042 HULESHWAR KUMAR SAHU")</f>
        <v>EMP0042 HULESHWAR KUMAR SAHU</v>
      </c>
      <c r="J1979" s="91"/>
    </row>
    <row r="1980">
      <c r="B1980" s="76" t="str">
        <f>IFERROR(__xludf.DUMMYFUNCTION("""COMPUTED_VALUE"""),"Solution / Check data in database according to new logics                ")</f>
        <v>Solution / Check data in database according to new logics                </v>
      </c>
      <c r="C1980" s="82">
        <f>IFERROR(__xludf.DUMMYFUNCTION("""COMPUTED_VALUE"""),5444.0)</f>
        <v>5444</v>
      </c>
      <c r="D1980" s="76" t="str">
        <f>IFERROR(__xludf.DUMMYFUNCTION("""COMPUTED_VALUE"""),"Document Report")</f>
        <v>Document Report</v>
      </c>
      <c r="E1980" s="84">
        <f>IFERROR(__xludf.DUMMYFUNCTION("""COMPUTED_VALUE"""),46237.49930555555)</f>
        <v>46237.49931</v>
      </c>
      <c r="F1980" s="86">
        <f>IFERROR(__xludf.DUMMYFUNCTION("""COMPUTED_VALUE"""),46237.39832990741)</f>
        <v>46237.39833</v>
      </c>
      <c r="G1980" s="86" t="str">
        <f>IFERROR(__xludf.DUMMYFUNCTION("""COMPUTED_VALUE"""),"Done")</f>
        <v>Done</v>
      </c>
      <c r="H1980" s="88">
        <f>IFERROR(__xludf.DUMMYFUNCTION("""COMPUTED_VALUE"""),0.0)</f>
        <v>0</v>
      </c>
      <c r="I1980" s="90" t="str">
        <f>IFERROR(__xludf.DUMMYFUNCTION("""COMPUTED_VALUE"""),"EMP5009 Rup Kumar Mandal")</f>
        <v>EMP5009 Rup Kumar Mandal</v>
      </c>
      <c r="J1980" s="91"/>
    </row>
    <row r="1981">
      <c r="B1981" s="76" t="str">
        <f>IFERROR(__xludf.DUMMYFUNCTION("""COMPUTED_VALUE"""),"Solution / Check data in database according to new logics                ")</f>
        <v>Solution / Check data in database according to new logics                </v>
      </c>
      <c r="C1981" s="82">
        <f>IFERROR(__xludf.DUMMYFUNCTION("""COMPUTED_VALUE"""),5445.0)</f>
        <v>5445</v>
      </c>
      <c r="D1981" s="76" t="str">
        <f>IFERROR(__xludf.DUMMYFUNCTION("""COMPUTED_VALUE"""),"TR for Diploma Course DIPLOMA First Year ( 1st ) Diploma in Pharmacy Regular REGULAR EXAMFORM_SE16")</f>
        <v>TR for Diploma Course DIPLOMA First Year ( 1st ) Diploma in Pharmacy Regular REGULAR EXAMFORM_SE16</v>
      </c>
      <c r="E1981" s="84">
        <f>IFERROR(__xludf.DUMMYFUNCTION("""COMPUTED_VALUE"""),46237.53402777778)</f>
        <v>46237.53403</v>
      </c>
      <c r="F1981" s="86">
        <f>IFERROR(__xludf.DUMMYFUNCTION("""COMPUTED_VALUE"""),46235.60135561342)</f>
        <v>46235.60136</v>
      </c>
      <c r="G1981" s="86" t="str">
        <f>IFERROR(__xludf.DUMMYFUNCTION("""COMPUTED_VALUE"""),"Done")</f>
        <v>Done</v>
      </c>
      <c r="H1981" s="88">
        <f>IFERROR(__xludf.DUMMYFUNCTION("""COMPUTED_VALUE"""),0.0)</f>
        <v>0</v>
      </c>
      <c r="I1981" s="90" t="str">
        <f>IFERROR(__xludf.DUMMYFUNCTION("""COMPUTED_VALUE"""),"EMP0042 HULESHWAR KUMAR SAHU")</f>
        <v>EMP0042 HULESHWAR KUMAR SAHU</v>
      </c>
      <c r="J1981" s="91"/>
    </row>
    <row r="1982">
      <c r="B1982" s="76" t="str">
        <f>IFERROR(__xludf.DUMMYFUNCTION("""COMPUTED_VALUE"""),"Solution / Check data in database according to new logics                ")</f>
        <v>Solution / Check data in database according to new logics                </v>
      </c>
      <c r="C1982" s="82">
        <f>IFERROR(__xludf.DUMMYFUNCTION("""COMPUTED_VALUE"""),5446.0)</f>
        <v>5446</v>
      </c>
      <c r="D1982" s="76" t="str">
        <f>IFERROR(__xludf.DUMMYFUNCTION("""COMPUTED_VALUE"""),"TR Promoted BALLB BBALLB")</f>
        <v>TR Promoted BALLB BBALLB</v>
      </c>
      <c r="E1982" s="84">
        <f>IFERROR(__xludf.DUMMYFUNCTION("""COMPUTED_VALUE"""),46237.825694444444)</f>
        <v>46237.82569</v>
      </c>
      <c r="F1982" s="86">
        <f>IFERROR(__xludf.DUMMYFUNCTION("""COMPUTED_VALUE"""),46235.60136811343)</f>
        <v>46235.60137</v>
      </c>
      <c r="G1982" s="86" t="str">
        <f>IFERROR(__xludf.DUMMYFUNCTION("""COMPUTED_VALUE"""),"Done")</f>
        <v>Done</v>
      </c>
      <c r="H1982" s="88">
        <f>IFERROR(__xludf.DUMMYFUNCTION("""COMPUTED_VALUE"""),0.0)</f>
        <v>0</v>
      </c>
      <c r="I1982" s="90" t="str">
        <f>IFERROR(__xludf.DUMMYFUNCTION("""COMPUTED_VALUE"""),"EMP5009 Rup Kumar Mandal")</f>
        <v>EMP5009 Rup Kumar Mandal</v>
      </c>
      <c r="J1982" s="91"/>
    </row>
    <row r="1983">
      <c r="B1983" s="76" t="str">
        <f>IFERROR(__xludf.DUMMYFUNCTION("""COMPUTED_VALUE"""),"Solution / Check data in database according to new logics                ")</f>
        <v>Solution / Check data in database according to new logics                </v>
      </c>
      <c r="C1983" s="82">
        <f>IFERROR(__xludf.DUMMYFUNCTION("""COMPUTED_VALUE"""),5447.0)</f>
        <v>5447</v>
      </c>
      <c r="D1983" s="76" t="str">
        <f>IFERROR(__xludf.DUMMYFUNCTION("""COMPUTED_VALUE"""),"TR")</f>
        <v>TR</v>
      </c>
      <c r="E1983" s="84">
        <f>IFERROR(__xludf.DUMMYFUNCTION("""COMPUTED_VALUE"""),46239.71805555555)</f>
        <v>46239.71806</v>
      </c>
      <c r="F1983" s="86">
        <f>IFERROR(__xludf.DUMMYFUNCTION("""COMPUTED_VALUE"""),46238.523038796295)</f>
        <v>46238.52304</v>
      </c>
      <c r="G1983" s="86" t="str">
        <f>IFERROR(__xludf.DUMMYFUNCTION("""COMPUTED_VALUE"""),"Done")</f>
        <v>Done</v>
      </c>
      <c r="H1983" s="88">
        <f>IFERROR(__xludf.DUMMYFUNCTION("""COMPUTED_VALUE"""),0.0)</f>
        <v>0</v>
      </c>
      <c r="I1983" s="90" t="str">
        <f>IFERROR(__xludf.DUMMYFUNCTION("""COMPUTED_VALUE"""),"EMP0042 HULESHWAR KUMAR SAHU")</f>
        <v>EMP0042 HULESHWAR KUMAR SAHU</v>
      </c>
      <c r="J1983" s="91"/>
    </row>
    <row r="1984">
      <c r="B1984" s="76" t="str">
        <f>IFERROR(__xludf.DUMMYFUNCTION("""COMPUTED_VALUE"""),"Solution / Check data in database according to new logics                ")</f>
        <v>Solution / Check data in database according to new logics                </v>
      </c>
      <c r="C1984" s="82">
        <f>IFERROR(__xludf.DUMMYFUNCTION("""COMPUTED_VALUE"""),5448.0)</f>
        <v>5448</v>
      </c>
      <c r="D1984" s="76" t="str">
        <f>IFERROR(__xludf.DUMMYFUNCTION("""COMPUTED_VALUE"""),"TR")</f>
        <v>TR</v>
      </c>
      <c r="E1984" s="84">
        <f>IFERROR(__xludf.DUMMYFUNCTION("""COMPUTED_VALUE"""),46240.69930555555)</f>
        <v>46240.69931</v>
      </c>
      <c r="F1984" s="86">
        <f>IFERROR(__xludf.DUMMYFUNCTION("""COMPUTED_VALUE"""),46239.8027883449)</f>
        <v>46239.80279</v>
      </c>
      <c r="G1984" s="86" t="str">
        <f>IFERROR(__xludf.DUMMYFUNCTION("""COMPUTED_VALUE"""),"Done")</f>
        <v>Done</v>
      </c>
      <c r="H1984" s="88">
        <f>IFERROR(__xludf.DUMMYFUNCTION("""COMPUTED_VALUE"""),0.0)</f>
        <v>0</v>
      </c>
      <c r="I1984" s="90" t="str">
        <f>IFERROR(__xludf.DUMMYFUNCTION("""COMPUTED_VALUE"""),"EMP0042 HULESHWAR KUMAR SAHU")</f>
        <v>EMP0042 HULESHWAR KUMAR SAHU</v>
      </c>
      <c r="J1984" s="91"/>
    </row>
    <row r="1985">
      <c r="B1985" s="76" t="str">
        <f>IFERROR(__xludf.DUMMYFUNCTION("""COMPUTED_VALUE"""),"Solution / Check data in database according to new logics                ")</f>
        <v>Solution / Check data in database according to new logics                </v>
      </c>
      <c r="C1985" s="82">
        <f>IFERROR(__xludf.DUMMYFUNCTION("""COMPUTED_VALUE"""),5449.0)</f>
        <v>5449</v>
      </c>
      <c r="D1985" s="76" t="str">
        <f>IFERROR(__xludf.DUMMYFUNCTION("""COMPUTED_VALUE"""),"TR")</f>
        <v>TR</v>
      </c>
      <c r="E1985" s="84">
        <f>IFERROR(__xludf.DUMMYFUNCTION("""COMPUTED_VALUE"""),46240.77777777778)</f>
        <v>46240.77778</v>
      </c>
      <c r="F1985" s="86">
        <f>IFERROR(__xludf.DUMMYFUNCTION("""COMPUTED_VALUE"""),46239.80280023148)</f>
        <v>46239.8028</v>
      </c>
      <c r="G1985" s="86" t="str">
        <f>IFERROR(__xludf.DUMMYFUNCTION("""COMPUTED_VALUE"""),"Done")</f>
        <v>Done</v>
      </c>
      <c r="H1985" s="88">
        <f>IFERROR(__xludf.DUMMYFUNCTION("""COMPUTED_VALUE"""),0.0)</f>
        <v>0</v>
      </c>
      <c r="I1985" s="90" t="str">
        <f>IFERROR(__xludf.DUMMYFUNCTION("""COMPUTED_VALUE"""),"EMP0042 HULESHWAR KUMAR SAHU")</f>
        <v>EMP0042 HULESHWAR KUMAR SAHU</v>
      </c>
      <c r="J1985" s="91"/>
    </row>
    <row r="1986">
      <c r="B1986" s="76" t="str">
        <f>IFERROR(__xludf.DUMMYFUNCTION("""COMPUTED_VALUE"""),"Solution / Check data in database according to new logics                ")</f>
        <v>Solution / Check data in database according to new logics                </v>
      </c>
      <c r="C1986" s="82">
        <f>IFERROR(__xludf.DUMMYFUNCTION("""COMPUTED_VALUE"""),5450.0)</f>
        <v>5450</v>
      </c>
      <c r="D1986" s="76" t="str">
        <f>IFERROR(__xludf.DUMMYFUNCTION("""COMPUTED_VALUE"""),"MARKS HEET ")</f>
        <v>MARKS HEET </v>
      </c>
      <c r="E1986" s="84">
        <f>IFERROR(__xludf.DUMMYFUNCTION("""COMPUTED_VALUE"""),46240.77986111111)</f>
        <v>46240.77986</v>
      </c>
      <c r="F1986" s="86">
        <f>IFERROR(__xludf.DUMMYFUNCTION("""COMPUTED_VALUE"""),46239.802568402774)</f>
        <v>46239.80257</v>
      </c>
      <c r="G1986" s="86" t="str">
        <f>IFERROR(__xludf.DUMMYFUNCTION("""COMPUTED_VALUE"""),"Done")</f>
        <v>Done</v>
      </c>
      <c r="H1986" s="88">
        <f>IFERROR(__xludf.DUMMYFUNCTION("""COMPUTED_VALUE"""),0.0)</f>
        <v>0</v>
      </c>
      <c r="I1986" s="90" t="str">
        <f>IFERROR(__xludf.DUMMYFUNCTION("""COMPUTED_VALUE"""),"EMP0042 HULESHWAR KUMAR SAHU")</f>
        <v>EMP0042 HULESHWAR KUMAR SAHU</v>
      </c>
      <c r="J1986" s="91"/>
    </row>
    <row r="1987">
      <c r="B1987" s="76" t="str">
        <f>IFERROR(__xludf.DUMMYFUNCTION("""COMPUTED_VALUE"""),"Solution / Check data in database according to new logics                ")</f>
        <v>Solution / Check data in database according to new logics                </v>
      </c>
      <c r="C1987" s="82">
        <f>IFERROR(__xludf.DUMMYFUNCTION("""COMPUTED_VALUE"""),5451.0)</f>
        <v>5451</v>
      </c>
      <c r="D1987" s="76" t="str">
        <f>IFERROR(__xludf.DUMMYFUNCTION("""COMPUTED_VALUE"""),"MARKSHEET")</f>
        <v>MARKSHEET</v>
      </c>
      <c r="E1987" s="84">
        <f>IFERROR(__xludf.DUMMYFUNCTION("""COMPUTED_VALUE"""),46240.78472222222)</f>
        <v>46240.78472</v>
      </c>
      <c r="F1987" s="86">
        <f>IFERROR(__xludf.DUMMYFUNCTION("""COMPUTED_VALUE"""),46239.802582615746)</f>
        <v>46239.80258</v>
      </c>
      <c r="G1987" s="86" t="str">
        <f>IFERROR(__xludf.DUMMYFUNCTION("""COMPUTED_VALUE"""),"Done")</f>
        <v>Done</v>
      </c>
      <c r="H1987" s="88">
        <f>IFERROR(__xludf.DUMMYFUNCTION("""COMPUTED_VALUE"""),0.0)</f>
        <v>0</v>
      </c>
      <c r="I1987" s="90" t="str">
        <f>IFERROR(__xludf.DUMMYFUNCTION("""COMPUTED_VALUE"""),"EMP0042 HULESHWAR KUMAR SAHU")</f>
        <v>EMP0042 HULESHWAR KUMAR SAHU</v>
      </c>
      <c r="J1987" s="91"/>
    </row>
    <row r="1988">
      <c r="B1988" s="76" t="str">
        <f>IFERROR(__xludf.DUMMYFUNCTION("""COMPUTED_VALUE"""),"Solution / Check data in database according to new logics                ")</f>
        <v>Solution / Check data in database according to new logics                </v>
      </c>
      <c r="C1988" s="82">
        <f>IFERROR(__xludf.DUMMYFUNCTION("""COMPUTED_VALUE"""),5452.0)</f>
        <v>5452</v>
      </c>
      <c r="D1988" s="76" t="str">
        <f>IFERROR(__xludf.DUMMYFUNCTION("""COMPUTED_VALUE"""),"Marks Sheet")</f>
        <v>Marks Sheet</v>
      </c>
      <c r="E1988" s="84">
        <f>IFERROR(__xludf.DUMMYFUNCTION("""COMPUTED_VALUE"""),46241.53402777778)</f>
        <v>46241.53403</v>
      </c>
      <c r="F1988" s="86">
        <f>IFERROR(__xludf.DUMMYFUNCTION("""COMPUTED_VALUE"""),46239.8026039699)</f>
        <v>46239.8026</v>
      </c>
      <c r="G1988" s="86" t="str">
        <f>IFERROR(__xludf.DUMMYFUNCTION("""COMPUTED_VALUE"""),"Done")</f>
        <v>Done</v>
      </c>
      <c r="H1988" s="88">
        <f>IFERROR(__xludf.DUMMYFUNCTION("""COMPUTED_VALUE"""),0.0)</f>
        <v>0</v>
      </c>
      <c r="I1988" s="90" t="str">
        <f>IFERROR(__xludf.DUMMYFUNCTION("""COMPUTED_VALUE"""),"EMP0042 HULESHWAR KUMAR SAHU")</f>
        <v>EMP0042 HULESHWAR KUMAR SAHU</v>
      </c>
      <c r="J1988" s="91"/>
    </row>
    <row r="1989">
      <c r="B1989" s="76" t="str">
        <f>IFERROR(__xludf.DUMMYFUNCTION("""COMPUTED_VALUE"""),"Solution / Check data in database according to new logics                ")</f>
        <v>Solution / Check data in database according to new logics                </v>
      </c>
      <c r="C1989" s="82">
        <f>IFERROR(__xludf.DUMMYFUNCTION("""COMPUTED_VALUE"""),5453.0)</f>
        <v>5453</v>
      </c>
      <c r="D1989" s="76" t="str">
        <f>IFERROR(__xludf.DUMMYFUNCTION("""COMPUTED_VALUE"""),"TR ")</f>
        <v>TR </v>
      </c>
      <c r="E1989" s="84">
        <f>IFERROR(__xludf.DUMMYFUNCTION("""COMPUTED_VALUE"""),46241.70277777778)</f>
        <v>46241.70278</v>
      </c>
      <c r="F1989" s="86"/>
      <c r="G1989" s="86"/>
      <c r="H1989" s="88">
        <f>IFERROR(__xludf.DUMMYFUNCTION("""COMPUTED_VALUE"""),0.0)</f>
        <v>0</v>
      </c>
      <c r="I1989" s="90" t="str">
        <f>IFERROR(__xludf.DUMMYFUNCTION("""COMPUTED_VALUE"""),"EMP0237 Swarnendu Chakraborty")</f>
        <v>EMP0237 Swarnendu Chakraborty</v>
      </c>
      <c r="J1989" s="91"/>
    </row>
    <row r="1990">
      <c r="B1990" s="76" t="str">
        <f>IFERROR(__xludf.DUMMYFUNCTION("""COMPUTED_VALUE"""),"Solution / Check data in database according to new logics                ")</f>
        <v>Solution / Check data in database according to new logics                </v>
      </c>
      <c r="C1990" s="82">
        <f>IFERROR(__xludf.DUMMYFUNCTION("""COMPUTED_VALUE"""),5454.0)</f>
        <v>5454</v>
      </c>
      <c r="D1990" s="76" t="str">
        <f>IFERROR(__xludf.DUMMYFUNCTION("""COMPUTED_VALUE"""),"TR")</f>
        <v>TR</v>
      </c>
      <c r="E1990" s="84">
        <f>IFERROR(__xludf.DUMMYFUNCTION("""COMPUTED_VALUE"""),46241.70486111111)</f>
        <v>46241.70486</v>
      </c>
      <c r="F1990" s="86"/>
      <c r="G1990" s="86"/>
      <c r="H1990" s="88">
        <f>IFERROR(__xludf.DUMMYFUNCTION("""COMPUTED_VALUE"""),0.0)</f>
        <v>0</v>
      </c>
      <c r="I1990" s="90" t="str">
        <f>IFERROR(__xludf.DUMMYFUNCTION("""COMPUTED_VALUE"""),"EMP0237 Swarnendu Chakraborty")</f>
        <v>EMP0237 Swarnendu Chakraborty</v>
      </c>
      <c r="J1990" s="91"/>
    </row>
    <row r="1991">
      <c r="B1991" s="76" t="str">
        <f>IFERROR(__xludf.DUMMYFUNCTION("""COMPUTED_VALUE"""),"Solution / Check data in database according to new logics                ")</f>
        <v>Solution / Check data in database according to new logics                </v>
      </c>
      <c r="C1991" s="82">
        <f>IFERROR(__xludf.DUMMYFUNCTION("""COMPUTED_VALUE"""),5455.0)</f>
        <v>5455</v>
      </c>
      <c r="D1991" s="76" t="str">
        <f>IFERROR(__xludf.DUMMYFUNCTION("""COMPUTED_VALUE"""),"TR REPORT ")</f>
        <v>TR REPORT </v>
      </c>
      <c r="E1991" s="84">
        <f>IFERROR(__xludf.DUMMYFUNCTION("""COMPUTED_VALUE"""),46241.82291666667)</f>
        <v>46241.82292</v>
      </c>
      <c r="F1991" s="86"/>
      <c r="G1991" s="86"/>
      <c r="H1991" s="88">
        <f>IFERROR(__xludf.DUMMYFUNCTION("""COMPUTED_VALUE"""),0.0)</f>
        <v>0</v>
      </c>
      <c r="I1991" s="90"/>
      <c r="J1991" s="91"/>
    </row>
    <row r="1992">
      <c r="B1992" s="76" t="str">
        <f>IFERROR(__xludf.DUMMYFUNCTION("""COMPUTED_VALUE"""),"Solution / Check data in database according to new logics                ")</f>
        <v>Solution / Check data in database according to new logics                </v>
      </c>
      <c r="C1992" s="82">
        <f>IFERROR(__xludf.DUMMYFUNCTION("""COMPUTED_VALUE"""),5456.0)</f>
        <v>5456</v>
      </c>
      <c r="D1992" s="76" t="str">
        <f>IFERROR(__xludf.DUMMYFUNCTION("""COMPUTED_VALUE"""),"TR ")</f>
        <v>TR </v>
      </c>
      <c r="E1992" s="84">
        <f>IFERROR(__xludf.DUMMYFUNCTION("""COMPUTED_VALUE"""),46242.43888888889)</f>
        <v>46242.43889</v>
      </c>
      <c r="F1992" s="86"/>
      <c r="G1992" s="86"/>
      <c r="H1992" s="88">
        <f>IFERROR(__xludf.DUMMYFUNCTION("""COMPUTED_VALUE"""),0.0)</f>
        <v>0</v>
      </c>
      <c r="I1992" s="90"/>
      <c r="J1992" s="91"/>
    </row>
    <row r="1993">
      <c r="B1993" s="76" t="str">
        <f>IFERROR(__xludf.DUMMYFUNCTION("""COMPUTED_VALUE"""),"Solution / Check data in database according to new logics                ")</f>
        <v>Solution / Check data in database according to new logics                </v>
      </c>
      <c r="C1993" s="82">
        <f>IFERROR(__xludf.DUMMYFUNCTION("""COMPUTED_VALUE"""),5457.0)</f>
        <v>5457</v>
      </c>
      <c r="D1993" s="76" t="str">
        <f>IFERROR(__xludf.DUMMYFUNCTION("""COMPUTED_VALUE"""),"PROVIOSNAL CERTIFICATE")</f>
        <v>PROVIOSNAL CERTIFICATE</v>
      </c>
      <c r="E1993" s="84">
        <f>IFERROR(__xludf.DUMMYFUNCTION("""COMPUTED_VALUE"""),46242.49166666667)</f>
        <v>46242.49167</v>
      </c>
      <c r="F1993" s="86"/>
      <c r="G1993" s="86"/>
      <c r="H1993" s="88">
        <f>IFERROR(__xludf.DUMMYFUNCTION("""COMPUTED_VALUE"""),0.0)</f>
        <v>0</v>
      </c>
      <c r="I1993" s="90"/>
      <c r="J1993" s="91"/>
    </row>
    <row r="1994">
      <c r="B1994" s="76" t="str">
        <f>IFERROR(__xludf.DUMMYFUNCTION("""COMPUTED_VALUE"""),"Upload file, cross check and inform                               ")</f>
        <v>Upload file, cross check and inform                               </v>
      </c>
      <c r="C1994" s="82">
        <f>IFERROR(__xludf.DUMMYFUNCTION("""COMPUTED_VALUE"""),4960.0)</f>
        <v>4960</v>
      </c>
      <c r="D1994" s="76" t="str">
        <f>IFERROR(__xludf.DUMMYFUNCTION("""COMPUTED_VALUE"""),"marks entry report")</f>
        <v>marks entry report</v>
      </c>
      <c r="E1994" s="84">
        <f>IFERROR(__xludf.DUMMYFUNCTION("""COMPUTED_VALUE"""),46086.46041666667)</f>
        <v>46086.46042</v>
      </c>
      <c r="F1994" s="86">
        <f>IFERROR(__xludf.DUMMYFUNCTION("""COMPUTED_VALUE"""),46083.69438371528)</f>
        <v>46083.69438</v>
      </c>
      <c r="G1994" s="86" t="str">
        <f>IFERROR(__xludf.DUMMYFUNCTION("""COMPUTED_VALUE"""),"Done")</f>
        <v>Done</v>
      </c>
      <c r="H1994" s="88">
        <f>IFERROR(__xludf.DUMMYFUNCTION("""COMPUTED_VALUE"""),0.0)</f>
        <v>0</v>
      </c>
      <c r="I1994" s="90" t="str">
        <f>IFERROR(__xludf.DUMMYFUNCTION("""COMPUTED_VALUE"""),"EMP0042 HULESHWAR KUMAR SAHU")</f>
        <v>EMP0042 HULESHWAR KUMAR SAHU</v>
      </c>
      <c r="J1994" s="91"/>
    </row>
    <row r="1995">
      <c r="B1995" s="76" t="str">
        <f>IFERROR(__xludf.DUMMYFUNCTION("""COMPUTED_VALUE"""),"Upload file, cross check and inform                               ")</f>
        <v>Upload file, cross check and inform                               </v>
      </c>
      <c r="C1995" s="82">
        <f>IFERROR(__xludf.DUMMYFUNCTION("""COMPUTED_VALUE"""),4961.0)</f>
        <v>4961</v>
      </c>
      <c r="D1995" s="76" t="str">
        <f>IFERROR(__xludf.DUMMYFUNCTION("""COMPUTED_VALUE"""),"overalll pass report")</f>
        <v>overalll pass report</v>
      </c>
      <c r="E1995" s="84">
        <f>IFERROR(__xludf.DUMMYFUNCTION("""COMPUTED_VALUE"""),46086.53680555556)</f>
        <v>46086.53681</v>
      </c>
      <c r="F1995" s="86">
        <f>IFERROR(__xludf.DUMMYFUNCTION("""COMPUTED_VALUE"""),46084.744491631944)</f>
        <v>46084.74449</v>
      </c>
      <c r="G1995" s="86" t="str">
        <f>IFERROR(__xludf.DUMMYFUNCTION("""COMPUTED_VALUE"""),"491")</f>
        <v>491</v>
      </c>
      <c r="H1995" s="88">
        <f>IFERROR(__xludf.DUMMYFUNCTION("""COMPUTED_VALUE"""),0.0)</f>
        <v>0</v>
      </c>
      <c r="I1995" s="90" t="str">
        <f>IFERROR(__xludf.DUMMYFUNCTION("""COMPUTED_VALUE"""),"EMP0042 HULESHWAR KUMAR SAHU")</f>
        <v>EMP0042 HULESHWAR KUMAR SAHU</v>
      </c>
      <c r="J1995" s="91"/>
    </row>
    <row r="1996">
      <c r="B1996" s="76" t="str">
        <f>IFERROR(__xludf.DUMMYFUNCTION("""COMPUTED_VALUE"""),"Upload file, cross check and inform                               ")</f>
        <v>Upload file, cross check and inform                               </v>
      </c>
      <c r="C1996" s="82">
        <f>IFERROR(__xludf.DUMMYFUNCTION("""COMPUTED_VALUE"""),4962.0)</f>
        <v>4962</v>
      </c>
      <c r="D1996" s="76" t="str">
        <f>IFERROR(__xludf.DUMMYFUNCTION("""COMPUTED_VALUE"""),"cbcs tr report")</f>
        <v>cbcs tr report</v>
      </c>
      <c r="E1996" s="84">
        <f>IFERROR(__xludf.DUMMYFUNCTION("""COMPUTED_VALUE"""),46086.538194444445)</f>
        <v>46086.53819</v>
      </c>
      <c r="F1996" s="86">
        <f>IFERROR(__xludf.DUMMYFUNCTION("""COMPUTED_VALUE"""),46084.63841924768)</f>
        <v>46084.63842</v>
      </c>
      <c r="G1996" s="86" t="str">
        <f>IFERROR(__xludf.DUMMYFUNCTION("""COMPUTED_VALUE"""),"491")</f>
        <v>491</v>
      </c>
      <c r="H1996" s="88">
        <f>IFERROR(__xludf.DUMMYFUNCTION("""COMPUTED_VALUE"""),0.0)</f>
        <v>0</v>
      </c>
      <c r="I1996" s="90" t="str">
        <f>IFERROR(__xludf.DUMMYFUNCTION("""COMPUTED_VALUE"""),"EMP0237 Swarnendu Chakraborty")</f>
        <v>EMP0237 Swarnendu Chakraborty</v>
      </c>
      <c r="J1996" s="91"/>
    </row>
    <row r="1997">
      <c r="B1997" s="76" t="str">
        <f>IFERROR(__xludf.DUMMYFUNCTION("""COMPUTED_VALUE"""),"Upload file, cross check and inform                               ")</f>
        <v>Upload file, cross check and inform                               </v>
      </c>
      <c r="C1997" s="82">
        <f>IFERROR(__xludf.DUMMYFUNCTION("""COMPUTED_VALUE"""),4963.0)</f>
        <v>4963</v>
      </c>
      <c r="D1997" s="76" t="str">
        <f>IFERROR(__xludf.DUMMYFUNCTION("""COMPUTED_VALUE"""),"Marksheet")</f>
        <v>Marksheet</v>
      </c>
      <c r="E1997" s="84">
        <f>IFERROR(__xludf.DUMMYFUNCTION("""COMPUTED_VALUE"""),46087.51597222222)</f>
        <v>46087.51597</v>
      </c>
      <c r="F1997" s="86">
        <f>IFERROR(__xludf.DUMMYFUNCTION("""COMPUTED_VALUE"""),46084.638757824076)</f>
        <v>46084.63876</v>
      </c>
      <c r="G1997" s="86" t="str">
        <f>IFERROR(__xludf.DUMMYFUNCTION("""COMPUTED_VALUE"""),"0")</f>
        <v>0</v>
      </c>
      <c r="H1997" s="88">
        <f>IFERROR(__xludf.DUMMYFUNCTION("""COMPUTED_VALUE"""),0.0)</f>
        <v>0</v>
      </c>
      <c r="I1997" s="90" t="str">
        <f>IFERROR(__xludf.DUMMYFUNCTION("""COMPUTED_VALUE"""),"EMP0237 Swarnendu Chakraborty")</f>
        <v>EMP0237 Swarnendu Chakraborty</v>
      </c>
      <c r="J1997" s="91"/>
    </row>
    <row r="1998">
      <c r="B1998" s="76" t="str">
        <f>IFERROR(__xludf.DUMMYFUNCTION("""COMPUTED_VALUE"""),"Upload file, cross check and inform                               ")</f>
        <v>Upload file, cross check and inform                               </v>
      </c>
      <c r="C1998" s="82">
        <f>IFERROR(__xludf.DUMMYFUNCTION("""COMPUTED_VALUE"""),4964.0)</f>
        <v>4964</v>
      </c>
      <c r="D1998" s="76" t="str">
        <f>IFERROR(__xludf.DUMMYFUNCTION("""COMPUTED_VALUE"""),"FINEL RESULT")</f>
        <v>FINEL RESULT</v>
      </c>
      <c r="E1998" s="84">
        <f>IFERROR(__xludf.DUMMYFUNCTION("""COMPUTED_VALUE"""),46087.58263888889)</f>
        <v>46087.58264</v>
      </c>
      <c r="F1998" s="86">
        <f>IFERROR(__xludf.DUMMYFUNCTION("""COMPUTED_VALUE"""),46084.74452900463)</f>
        <v>46084.74453</v>
      </c>
      <c r="G1998" s="86" t="str">
        <f>IFERROR(__xludf.DUMMYFUNCTION("""COMPUTED_VALUE"""),"25/05/2026 10:02:52")</f>
        <v>25/05/2026 10:02:52</v>
      </c>
      <c r="H1998" s="88">
        <f>IFERROR(__xludf.DUMMYFUNCTION("""COMPUTED_VALUE"""),0.0)</f>
        <v>0</v>
      </c>
      <c r="I1998" s="90" t="str">
        <f>IFERROR(__xludf.DUMMYFUNCTION("""COMPUTED_VALUE"""),"EMP0042 HULESHWAR KUMAR SAHU")</f>
        <v>EMP0042 HULESHWAR KUMAR SAHU</v>
      </c>
      <c r="J1998" s="91"/>
    </row>
    <row r="1999">
      <c r="B1999" s="76" t="str">
        <f>IFERROR(__xludf.DUMMYFUNCTION("""COMPUTED_VALUE"""),"Upload file, cross check and inform                               ")</f>
        <v>Upload file, cross check and inform                               </v>
      </c>
      <c r="C1999" s="82">
        <f>IFERROR(__xludf.DUMMYFUNCTION("""COMPUTED_VALUE"""),4965.0)</f>
        <v>4965</v>
      </c>
      <c r="D1999" s="76" t="str">
        <f>IFERROR(__xludf.DUMMYFUNCTION("""COMPUTED_VALUE"""),"Pls do the needful as per format for the session 2024-25")</f>
        <v>Pls do the needful as per format for the session 2024-25</v>
      </c>
      <c r="E1999" s="84">
        <f>IFERROR(__xludf.DUMMYFUNCTION("""COMPUTED_VALUE"""),46087.76041666667)</f>
        <v>46087.76042</v>
      </c>
      <c r="F1999" s="86">
        <f>IFERROR(__xludf.DUMMYFUNCTION("""COMPUTED_VALUE"""),46087.40926153936)</f>
        <v>46087.40926</v>
      </c>
      <c r="G1999" s="86" t="str">
        <f>IFERROR(__xludf.DUMMYFUNCTION("""COMPUTED_VALUE"""),"24/05/2026 06:49:46")</f>
        <v>24/05/2026 06:49:46</v>
      </c>
      <c r="H1999" s="88">
        <f>IFERROR(__xludf.DUMMYFUNCTION("""COMPUTED_VALUE"""),0.0)</f>
        <v>0</v>
      </c>
      <c r="I1999" s="90" t="str">
        <f>IFERROR(__xludf.DUMMYFUNCTION("""COMPUTED_VALUE"""),"EMP0021 Tamanna Dewangan")</f>
        <v>EMP0021 Tamanna Dewangan</v>
      </c>
      <c r="J1999" s="91"/>
    </row>
    <row r="2000">
      <c r="B2000" s="76" t="str">
        <f>IFERROR(__xludf.DUMMYFUNCTION("""COMPUTED_VALUE"""),"Upload file, cross check and inform                               ")</f>
        <v>Upload file, cross check and inform                               </v>
      </c>
      <c r="C2000" s="82">
        <f>IFERROR(__xludf.DUMMYFUNCTION("""COMPUTED_VALUE"""),4966.0)</f>
        <v>4966</v>
      </c>
      <c r="D2000" s="76" t="str">
        <f>IFERROR(__xludf.DUMMYFUNCTION("""COMPUTED_VALUE"""),"ENROLLMENT/REGISTRAION REPORT NEP")</f>
        <v>ENROLLMENT/REGISTRAION REPORT NEP</v>
      </c>
      <c r="E2000" s="84">
        <f>IFERROR(__xludf.DUMMYFUNCTION("""COMPUTED_VALUE"""),46088.59097222222)</f>
        <v>46088.59097</v>
      </c>
      <c r="F2000" s="86">
        <f>IFERROR(__xludf.DUMMYFUNCTION("""COMPUTED_VALUE"""),46087.663445590275)</f>
        <v>46087.66345</v>
      </c>
      <c r="G2000" s="86" t="str">
        <f>IFERROR(__xludf.DUMMYFUNCTION("""COMPUTED_VALUE"""),"Done")</f>
        <v>Done</v>
      </c>
      <c r="H2000" s="88">
        <f>IFERROR(__xludf.DUMMYFUNCTION("""COMPUTED_VALUE"""),0.0)</f>
        <v>0</v>
      </c>
      <c r="I2000" s="90" t="str">
        <f>IFERROR(__xludf.DUMMYFUNCTION("""COMPUTED_VALUE"""),"EMP5009 Rup Kumar Mandal")</f>
        <v>EMP5009 Rup Kumar Mandal</v>
      </c>
      <c r="J2000" s="91"/>
    </row>
    <row r="2001">
      <c r="B2001" s="76" t="str">
        <f>IFERROR(__xludf.DUMMYFUNCTION("""COMPUTED_VALUE"""),"Upload file, cross check and inform                               ")</f>
        <v>Upload file, cross check and inform                               </v>
      </c>
      <c r="C2001" s="82">
        <f>IFERROR(__xludf.DUMMYFUNCTION("""COMPUTED_VALUE"""),4967.0)</f>
        <v>4967</v>
      </c>
      <c r="D2001" s="76" t="str">
        <f>IFERROR(__xludf.DUMMYFUNCTION("""COMPUTED_VALUE"""),"TR REPORT")</f>
        <v>TR REPORT</v>
      </c>
      <c r="E2001" s="84">
        <f>IFERROR(__xludf.DUMMYFUNCTION("""COMPUTED_VALUE"""),46088.59305555555)</f>
        <v>46088.59306</v>
      </c>
      <c r="F2001" s="86">
        <f>IFERROR(__xludf.DUMMYFUNCTION("""COMPUTED_VALUE"""),46087.66342466435)</f>
        <v>46087.66342</v>
      </c>
      <c r="G2001" s="86" t="str">
        <f>IFERROR(__xludf.DUMMYFUNCTION("""COMPUTED_VALUE"""),"Done")</f>
        <v>Done</v>
      </c>
      <c r="H2001" s="88">
        <f>IFERROR(__xludf.DUMMYFUNCTION("""COMPUTED_VALUE"""),0.0)</f>
        <v>0</v>
      </c>
      <c r="I2001" s="90" t="str">
        <f>IFERROR(__xludf.DUMMYFUNCTION("""COMPUTED_VALUE"""),"EMP5009 Rup Kumar Mandal")</f>
        <v>EMP5009 Rup Kumar Mandal</v>
      </c>
      <c r="J2001" s="91"/>
    </row>
    <row r="2002">
      <c r="B2002" s="76" t="str">
        <f>IFERROR(__xludf.DUMMYFUNCTION("""COMPUTED_VALUE"""),"Upload file, cross check and inform                               ")</f>
        <v>Upload file, cross check and inform                               </v>
      </c>
      <c r="C2002" s="82">
        <f>IFERROR(__xludf.DUMMYFUNCTION("""COMPUTED_VALUE"""),4968.0)</f>
        <v>4968</v>
      </c>
      <c r="D2002" s="76" t="str">
        <f>IFERROR(__xludf.DUMMYFUNCTION("""COMPUTED_VALUE"""),"B.SC  2ND SEM REVAL MAY-2019 MARKSHEET BLANK")</f>
        <v>B.SC  2ND SEM REVAL MAY-2019 MARKSHEET BLANK</v>
      </c>
      <c r="E2002" s="84">
        <f>IFERROR(__xludf.DUMMYFUNCTION("""COMPUTED_VALUE"""),46088.77638888889)</f>
        <v>46088.77639</v>
      </c>
      <c r="F2002" s="86">
        <f>IFERROR(__xludf.DUMMYFUNCTION("""COMPUTED_VALUE"""),46087.49585709491)</f>
        <v>46087.49586</v>
      </c>
      <c r="G2002" s="86" t="str">
        <f>IFERROR(__xludf.DUMMYFUNCTION("""COMPUTED_VALUE"""),"Done")</f>
        <v>Done</v>
      </c>
      <c r="H2002" s="88">
        <f>IFERROR(__xludf.DUMMYFUNCTION("""COMPUTED_VALUE"""),0.0)</f>
        <v>0</v>
      </c>
      <c r="I2002" s="90" t="str">
        <f>IFERROR(__xludf.DUMMYFUNCTION("""COMPUTED_VALUE"""),"EMP0042 HULESHWAR KUMAR SAHU")</f>
        <v>EMP0042 HULESHWAR KUMAR SAHU</v>
      </c>
      <c r="J2002" s="91"/>
    </row>
    <row r="2003">
      <c r="B2003" s="76" t="str">
        <f>IFERROR(__xludf.DUMMYFUNCTION("""COMPUTED_VALUE"""),"Upload file, cross check and inform                               ")</f>
        <v>Upload file, cross check and inform                               </v>
      </c>
      <c r="C2003" s="82">
        <f>IFERROR(__xludf.DUMMYFUNCTION("""COMPUTED_VALUE"""),4969.0)</f>
        <v>4969</v>
      </c>
      <c r="D2003" s="76" t="str">
        <f>IFERROR(__xludf.DUMMYFUNCTION("""COMPUTED_VALUE"""),"GAU Generate Attendance Sheet BAMS MARCH 2026")</f>
        <v>GAU Generate Attendance Sheet BAMS MARCH 2026</v>
      </c>
      <c r="E2003" s="84">
        <f>IFERROR(__xludf.DUMMYFUNCTION("""COMPUTED_VALUE"""),46090.5625)</f>
        <v>46090.5625</v>
      </c>
      <c r="F2003" s="86">
        <f>IFERROR(__xludf.DUMMYFUNCTION("""COMPUTED_VALUE"""),46088.417878124994)</f>
        <v>46088.41788</v>
      </c>
      <c r="G2003" s="86" t="str">
        <f>IFERROR(__xludf.DUMMYFUNCTION("""COMPUTED_VALUE"""),"Done")</f>
        <v>Done</v>
      </c>
      <c r="H2003" s="88">
        <f>IFERROR(__xludf.DUMMYFUNCTION("""COMPUTED_VALUE"""),0.0)</f>
        <v>0</v>
      </c>
      <c r="I2003" s="90" t="str">
        <f>IFERROR(__xludf.DUMMYFUNCTION("""COMPUTED_VALUE"""),"EMP0021 Tamanna Dewangan")</f>
        <v>EMP0021 Tamanna Dewangan</v>
      </c>
      <c r="J2003" s="91"/>
    </row>
    <row r="2004">
      <c r="B2004" s="76" t="str">
        <f>IFERROR(__xludf.DUMMYFUNCTION("""COMPUTED_VALUE"""),"Upload file, cross check and inform                               ")</f>
        <v>Upload file, cross check and inform                               </v>
      </c>
      <c r="C2004" s="82">
        <f>IFERROR(__xludf.DUMMYFUNCTION("""COMPUTED_VALUE"""),4970.0)</f>
        <v>4970</v>
      </c>
      <c r="D2004" s="76" t="str">
        <f>IFERROR(__xludf.DUMMYFUNCTION("""COMPUTED_VALUE"""),"Marks Entry Report")</f>
        <v>Marks Entry Report</v>
      </c>
      <c r="E2004" s="84">
        <f>IFERROR(__xludf.DUMMYFUNCTION("""COMPUTED_VALUE"""),46090.63541666667)</f>
        <v>46090.63542</v>
      </c>
      <c r="F2004" s="86">
        <f>IFERROR(__xludf.DUMMYFUNCTION("""COMPUTED_VALUE"""),46088.44906888889)</f>
        <v>46088.44907</v>
      </c>
      <c r="G2004" s="86" t="str">
        <f>IFERROR(__xludf.DUMMYFUNCTION("""COMPUTED_VALUE"""),"Done")</f>
        <v>Done</v>
      </c>
      <c r="H2004" s="88">
        <f>IFERROR(__xludf.DUMMYFUNCTION("""COMPUTED_VALUE"""),0.0)</f>
        <v>0</v>
      </c>
      <c r="I2004" s="90" t="str">
        <f>IFERROR(__xludf.DUMMYFUNCTION("""COMPUTED_VALUE"""),"EMP0042 HULESHWAR KUMAR SAHU")</f>
        <v>EMP0042 HULESHWAR KUMAR SAHU</v>
      </c>
      <c r="J2004" s="91"/>
    </row>
    <row r="2005">
      <c r="B2005" s="76" t="str">
        <f>IFERROR(__xludf.DUMMYFUNCTION("""COMPUTED_VALUE"""),"Upload file, cross check and inform                               ")</f>
        <v>Upload file, cross check and inform                               </v>
      </c>
      <c r="C2005" s="82">
        <f>IFERROR(__xludf.DUMMYFUNCTION("""COMPUTED_VALUE"""),4971.0)</f>
        <v>4971</v>
      </c>
      <c r="D2005" s="76" t="str">
        <f>IFERROR(__xludf.DUMMYFUNCTION("""COMPUTED_VALUE"""),"exam time table repoort")</f>
        <v>exam time table repoort</v>
      </c>
      <c r="E2005" s="84">
        <f>IFERROR(__xludf.DUMMYFUNCTION("""COMPUTED_VALUE"""),46090.67847222222)</f>
        <v>46090.67847</v>
      </c>
      <c r="F2005" s="86">
        <f>IFERROR(__xludf.DUMMYFUNCTION("""COMPUTED_VALUE"""),46088.500586932874)</f>
        <v>46088.50059</v>
      </c>
      <c r="G2005" s="86" t="str">
        <f>IFERROR(__xludf.DUMMYFUNCTION("""COMPUTED_VALUE"""),"Done")</f>
        <v>Done</v>
      </c>
      <c r="H2005" s="88">
        <f>IFERROR(__xludf.DUMMYFUNCTION("""COMPUTED_VALUE"""),0.0)</f>
        <v>0</v>
      </c>
      <c r="I2005" s="90" t="str">
        <f>IFERROR(__xludf.DUMMYFUNCTION("""COMPUTED_VALUE"""),"EMP0042 HULESHWAR KUMAR SAHU")</f>
        <v>EMP0042 HULESHWAR KUMAR SAHU</v>
      </c>
      <c r="J2005" s="91"/>
    </row>
    <row r="2006">
      <c r="B2006" s="76" t="str">
        <f>IFERROR(__xludf.DUMMYFUNCTION("""COMPUTED_VALUE"""),"Upload file, cross check and inform                               ")</f>
        <v>Upload file, cross check and inform                               </v>
      </c>
      <c r="C2006" s="82">
        <f>IFERROR(__xludf.DUMMYFUNCTION("""COMPUTED_VALUE"""),4972.0)</f>
        <v>4972</v>
      </c>
      <c r="D2006" s="76" t="str">
        <f>IFERROR(__xludf.DUMMYFUNCTION("""COMPUTED_VALUE"""),"GAU Generate Attendance Sheet BAMS MARCH 2026 2nd LOT")</f>
        <v>GAU Generate Attendance Sheet BAMS MARCH 2026 2nd LOT</v>
      </c>
      <c r="E2006" s="84">
        <f>IFERROR(__xludf.DUMMYFUNCTION("""COMPUTED_VALUE"""),46090.73611111111)</f>
        <v>46090.73611</v>
      </c>
      <c r="F2006" s="86">
        <f>IFERROR(__xludf.DUMMYFUNCTION("""COMPUTED_VALUE"""),46088.48170363426)</f>
        <v>46088.4817</v>
      </c>
      <c r="G2006" s="86" t="str">
        <f>IFERROR(__xludf.DUMMYFUNCTION("""COMPUTED_VALUE"""),"Done")</f>
        <v>Done</v>
      </c>
      <c r="H2006" s="88">
        <f>IFERROR(__xludf.DUMMYFUNCTION("""COMPUTED_VALUE"""),0.0)</f>
        <v>0</v>
      </c>
      <c r="I2006" s="90" t="str">
        <f>IFERROR(__xludf.DUMMYFUNCTION("""COMPUTED_VALUE"""),"EMP0021 Tamanna Dewangan")</f>
        <v>EMP0021 Tamanna Dewangan</v>
      </c>
      <c r="J2006" s="91"/>
    </row>
    <row r="2007">
      <c r="B2007" s="76" t="str">
        <f>IFERROR(__xludf.DUMMYFUNCTION("""COMPUTED_VALUE"""),"Upload file, cross check and inform                               ")</f>
        <v>Upload file, cross check and inform                               </v>
      </c>
      <c r="C2007" s="82">
        <f>IFERROR(__xludf.DUMMYFUNCTION("""COMPUTED_VALUE"""),4973.0)</f>
        <v>4973</v>
      </c>
      <c r="D2007" s="76" t="str">
        <f>IFERROR(__xludf.DUMMYFUNCTION("""COMPUTED_VALUE"""),"Marks Sheet NEP")</f>
        <v>Marks Sheet NEP</v>
      </c>
      <c r="E2007" s="84">
        <f>IFERROR(__xludf.DUMMYFUNCTION("""COMPUTED_VALUE"""),46090.76180555555)</f>
        <v>46090.76181</v>
      </c>
      <c r="F2007" s="86">
        <f>IFERROR(__xludf.DUMMYFUNCTION("""COMPUTED_VALUE"""),46090.671881979164)</f>
        <v>46090.67188</v>
      </c>
      <c r="G2007" s="86" t="str">
        <f>IFERROR(__xludf.DUMMYFUNCTION("""COMPUTED_VALUE"""),"Done")</f>
        <v>Done</v>
      </c>
      <c r="H2007" s="88">
        <f>IFERROR(__xludf.DUMMYFUNCTION("""COMPUTED_VALUE"""),0.0)</f>
        <v>0</v>
      </c>
      <c r="I2007" s="90" t="str">
        <f>IFERROR(__xludf.DUMMYFUNCTION("""COMPUTED_VALUE"""),"EMP0042 HULESHWAR KUMAR SAHU")</f>
        <v>EMP0042 HULESHWAR KUMAR SAHU</v>
      </c>
      <c r="J2007" s="91"/>
    </row>
    <row r="2008">
      <c r="B2008" s="76" t="str">
        <f>IFERROR(__xludf.DUMMYFUNCTION("""COMPUTED_VALUE"""),"Upload file, cross check and inform                               ")</f>
        <v>Upload file, cross check and inform                               </v>
      </c>
      <c r="C2008" s="82">
        <f>IFERROR(__xludf.DUMMYFUNCTION("""COMPUTED_VALUE"""),4974.0)</f>
        <v>4974</v>
      </c>
      <c r="D2008" s="76" t="str">
        <f>IFERROR(__xludf.DUMMYFUNCTION("""COMPUTED_VALUE"""),"M.S.W 3RD SEM TR NO OF PAGES")</f>
        <v>M.S.W 3RD SEM TR NO OF PAGES</v>
      </c>
      <c r="E2008" s="84">
        <f>IFERROR(__xludf.DUMMYFUNCTION("""COMPUTED_VALUE"""),46091.81527777778)</f>
        <v>46091.81528</v>
      </c>
      <c r="F2008" s="86">
        <f>IFERROR(__xludf.DUMMYFUNCTION("""COMPUTED_VALUE"""),46091.775305613424)</f>
        <v>46091.77531</v>
      </c>
      <c r="G2008" s="86" t="str">
        <f>IFERROR(__xludf.DUMMYFUNCTION("""COMPUTED_VALUE"""),"Done")</f>
        <v>Done</v>
      </c>
      <c r="H2008" s="88">
        <f>IFERROR(__xludf.DUMMYFUNCTION("""COMPUTED_VALUE"""),0.0)</f>
        <v>0</v>
      </c>
      <c r="I2008" s="90" t="str">
        <f>IFERROR(__xludf.DUMMYFUNCTION("""COMPUTED_VALUE"""),"EMP0042 HULESHWAR KUMAR SAHU")</f>
        <v>EMP0042 HULESHWAR KUMAR SAHU</v>
      </c>
      <c r="J2008" s="91"/>
    </row>
    <row r="2009">
      <c r="B2009" s="76" t="str">
        <f>IFERROR(__xludf.DUMMYFUNCTION("""COMPUTED_VALUE"""),"Upload file, cross check and inform                               ")</f>
        <v>Upload file, cross check and inform                               </v>
      </c>
      <c r="C2009" s="82">
        <f>IFERROR(__xludf.DUMMYFUNCTION("""COMPUTED_VALUE"""),4975.0)</f>
        <v>4975</v>
      </c>
      <c r="D2009" s="76" t="str">
        <f>IFERROR(__xludf.DUMMYFUNCTION("""COMPUTED_VALUE"""),"Gold Medel Certificate Gnsu")</f>
        <v>Gold Medel Certificate Gnsu</v>
      </c>
      <c r="E2009" s="84">
        <f>IFERROR(__xludf.DUMMYFUNCTION("""COMPUTED_VALUE"""),46092.4375)</f>
        <v>46092.4375</v>
      </c>
      <c r="F2009" s="86">
        <f>IFERROR(__xludf.DUMMYFUNCTION("""COMPUTED_VALUE"""),46091.54032148148)</f>
        <v>46091.54032</v>
      </c>
      <c r="G2009" s="86" t="str">
        <f>IFERROR(__xludf.DUMMYFUNCTION("""COMPUTED_VALUE"""),"Done")</f>
        <v>Done</v>
      </c>
      <c r="H2009" s="88">
        <f>IFERROR(__xludf.DUMMYFUNCTION("""COMPUTED_VALUE"""),0.0)</f>
        <v>0</v>
      </c>
      <c r="I2009" s="90" t="str">
        <f>IFERROR(__xludf.DUMMYFUNCTION("""COMPUTED_VALUE"""),"EMP0042 HULESHWAR KUMAR SAHU")</f>
        <v>EMP0042 HULESHWAR KUMAR SAHU</v>
      </c>
      <c r="J2009" s="91"/>
    </row>
    <row r="2010">
      <c r="B2010" s="76" t="str">
        <f>IFERROR(__xludf.DUMMYFUNCTION("""COMPUTED_VALUE"""),"Upload file, cross check and inform                               ")</f>
        <v>Upload file, cross check and inform                               </v>
      </c>
      <c r="C2010" s="82">
        <f>IFERROR(__xludf.DUMMYFUNCTION("""COMPUTED_VALUE"""),4976.0)</f>
        <v>4976</v>
      </c>
      <c r="D2010" s="76" t="str">
        <f>IFERROR(__xludf.DUMMYFUNCTION("""COMPUTED_VALUE"""),"ADMIT CARD ")</f>
        <v>ADMIT CARD </v>
      </c>
      <c r="E2010" s="84">
        <f>IFERROR(__xludf.DUMMYFUNCTION("""COMPUTED_VALUE"""),46092.44027777778)</f>
        <v>46092.44028</v>
      </c>
      <c r="F2010" s="86">
        <f>IFERROR(__xludf.DUMMYFUNCTION("""COMPUTED_VALUE"""),46090.6247893287)</f>
        <v>46090.62479</v>
      </c>
      <c r="G2010" s="86" t="str">
        <f>IFERROR(__xludf.DUMMYFUNCTION("""COMPUTED_VALUE"""),"Done")</f>
        <v>Done</v>
      </c>
      <c r="H2010" s="88">
        <f>IFERROR(__xludf.DUMMYFUNCTION("""COMPUTED_VALUE"""),0.0)</f>
        <v>0</v>
      </c>
      <c r="I2010" s="90" t="str">
        <f>IFERROR(__xludf.DUMMYFUNCTION("""COMPUTED_VALUE"""),"EMP0021 Tamanna Dewangan")</f>
        <v>EMP0021 Tamanna Dewangan</v>
      </c>
      <c r="J2010" s="91"/>
    </row>
    <row r="2011">
      <c r="B2011" s="76" t="str">
        <f>IFERROR(__xludf.DUMMYFUNCTION("""COMPUTED_VALUE"""),"Upload file, cross check and inform                               ")</f>
        <v>Upload file, cross check and inform                               </v>
      </c>
      <c r="C2011" s="82">
        <f>IFERROR(__xludf.DUMMYFUNCTION("""COMPUTED_VALUE"""),4977.0)</f>
        <v>4977</v>
      </c>
      <c r="D2011" s="76" t="str">
        <f>IFERROR(__xludf.DUMMYFUNCTION("""COMPUTED_VALUE"""),"Enrolment/Exam form report")</f>
        <v>Enrolment/Exam form report</v>
      </c>
      <c r="E2011" s="84">
        <f>IFERROR(__xludf.DUMMYFUNCTION("""COMPUTED_VALUE"""),46092.44305555556)</f>
        <v>46092.44306</v>
      </c>
      <c r="F2011" s="86">
        <f>IFERROR(__xludf.DUMMYFUNCTION("""COMPUTED_VALUE"""),46091.46887069444)</f>
        <v>46091.46887</v>
      </c>
      <c r="G2011" s="86" t="str">
        <f>IFERROR(__xludf.DUMMYFUNCTION("""COMPUTED_VALUE"""),"Done")</f>
        <v>Done</v>
      </c>
      <c r="H2011" s="88">
        <f>IFERROR(__xludf.DUMMYFUNCTION("""COMPUTED_VALUE"""),0.0)</f>
        <v>0</v>
      </c>
      <c r="I2011" s="90" t="str">
        <f>IFERROR(__xludf.DUMMYFUNCTION("""COMPUTED_VALUE"""),"EMP0237 Swarnendu Chakraborty")</f>
        <v>EMP0237 Swarnendu Chakraborty</v>
      </c>
      <c r="J2011" s="91"/>
    </row>
    <row r="2012">
      <c r="B2012" s="76" t="str">
        <f>IFERROR(__xludf.DUMMYFUNCTION("""COMPUTED_VALUE"""),"Upload file, cross check and inform                               ")</f>
        <v>Upload file, cross check and inform                               </v>
      </c>
      <c r="C2012" s="82">
        <f>IFERROR(__xludf.DUMMYFUNCTION("""COMPUTED_VALUE"""),4978.0)</f>
        <v>4978</v>
      </c>
      <c r="D2012" s="76" t="str">
        <f>IFERROR(__xludf.DUMMYFUNCTION("""COMPUTED_VALUE"""),"MULTIPLE REPORT")</f>
        <v>MULTIPLE REPORT</v>
      </c>
      <c r="E2012" s="84">
        <f>IFERROR(__xludf.DUMMYFUNCTION("""COMPUTED_VALUE"""),46092.49930555555)</f>
        <v>46092.49931</v>
      </c>
      <c r="F2012" s="86">
        <f>IFERROR(__xludf.DUMMYFUNCTION("""COMPUTED_VALUE"""),46091.540458946765)</f>
        <v>46091.54046</v>
      </c>
      <c r="G2012" s="86" t="str">
        <f>IFERROR(__xludf.DUMMYFUNCTION("""COMPUTED_VALUE"""),"Done")</f>
        <v>Done</v>
      </c>
      <c r="H2012" s="88">
        <f>IFERROR(__xludf.DUMMYFUNCTION("""COMPUTED_VALUE"""),0.0)</f>
        <v>0</v>
      </c>
      <c r="I2012" s="90" t="str">
        <f>IFERROR(__xludf.DUMMYFUNCTION("""COMPUTED_VALUE"""),"EMP0042 HULESHWAR KUMAR SAHU")</f>
        <v>EMP0042 HULESHWAR KUMAR SAHU</v>
      </c>
      <c r="J2012" s="91"/>
    </row>
    <row r="2013">
      <c r="B2013" s="76" t="str">
        <f>IFERROR(__xludf.DUMMYFUNCTION("""COMPUTED_VALUE"""),"Upload file, cross check and inform                               ")</f>
        <v>Upload file, cross check and inform                               </v>
      </c>
      <c r="C2013" s="82">
        <f>IFERROR(__xludf.DUMMYFUNCTION("""COMPUTED_VALUE"""),4979.0)</f>
        <v>4979</v>
      </c>
      <c r="D2013" s="76" t="str">
        <f>IFERROR(__xludf.DUMMYFUNCTION("""COMPUTED_VALUE"""),"Degree certificate correction")</f>
        <v>Degree certificate correction</v>
      </c>
      <c r="E2013" s="84">
        <f>IFERROR(__xludf.DUMMYFUNCTION("""COMPUTED_VALUE"""),46092.518055555556)</f>
        <v>46092.51806</v>
      </c>
      <c r="F2013" s="86">
        <f>IFERROR(__xludf.DUMMYFUNCTION("""COMPUTED_VALUE"""),46091.46869702546)</f>
        <v>46091.4687</v>
      </c>
      <c r="G2013" s="86" t="str">
        <f>IFERROR(__xludf.DUMMYFUNCTION("""COMPUTED_VALUE"""),"Done")</f>
        <v>Done</v>
      </c>
      <c r="H2013" s="88">
        <f>IFERROR(__xludf.DUMMYFUNCTION("""COMPUTED_VALUE"""),0.0)</f>
        <v>0</v>
      </c>
      <c r="I2013" s="90" t="str">
        <f>IFERROR(__xludf.DUMMYFUNCTION("""COMPUTED_VALUE"""),"EMP0042 HULESHWAR KUMAR SAHU")</f>
        <v>EMP0042 HULESHWAR KUMAR SAHU</v>
      </c>
      <c r="J2013" s="91"/>
    </row>
    <row r="2014">
      <c r="B2014" s="76" t="str">
        <f>IFERROR(__xludf.DUMMYFUNCTION("""COMPUTED_VALUE"""),"Upload file, cross check and inform                               ")</f>
        <v>Upload file, cross check and inform                               </v>
      </c>
      <c r="C2014" s="82">
        <f>IFERROR(__xludf.DUMMYFUNCTION("""COMPUTED_VALUE"""),4980.0)</f>
        <v>4980</v>
      </c>
      <c r="D2014" s="76" t="str">
        <f>IFERROR(__xludf.DUMMYFUNCTION("""COMPUTED_VALUE"""),"provisional certificate")</f>
        <v>provisional certificate</v>
      </c>
      <c r="E2014" s="84">
        <f>IFERROR(__xludf.DUMMYFUNCTION("""COMPUTED_VALUE"""),46093.5)</f>
        <v>46093.5</v>
      </c>
      <c r="F2014" s="86">
        <f>IFERROR(__xludf.DUMMYFUNCTION("""COMPUTED_VALUE"""),46092.41633600694)</f>
        <v>46092.41634</v>
      </c>
      <c r="G2014" s="86" t="str">
        <f>IFERROR(__xludf.DUMMYFUNCTION("""COMPUTED_VALUE"""),"Done")</f>
        <v>Done</v>
      </c>
      <c r="H2014" s="88">
        <f>IFERROR(__xludf.DUMMYFUNCTION("""COMPUTED_VALUE"""),0.0)</f>
        <v>0</v>
      </c>
      <c r="I2014" s="90" t="str">
        <f>IFERROR(__xludf.DUMMYFUNCTION("""COMPUTED_VALUE"""),"EMP0021 Tamanna Dewangan")</f>
        <v>EMP0021 Tamanna Dewangan</v>
      </c>
      <c r="J2014" s="91"/>
    </row>
    <row r="2015">
      <c r="B2015" s="76" t="str">
        <f>IFERROR(__xludf.DUMMYFUNCTION("""COMPUTED_VALUE"""),"Upload file, cross check and inform                               ")</f>
        <v>Upload file, cross check and inform                               </v>
      </c>
      <c r="C2015" s="82">
        <f>IFERROR(__xludf.DUMMYFUNCTION("""COMPUTED_VALUE"""),4981.0)</f>
        <v>4981</v>
      </c>
      <c r="D2015" s="76" t="str">
        <f>IFERROR(__xludf.DUMMYFUNCTION("""COMPUTED_VALUE"""),"COLLEGE WISE TIME TABLE")</f>
        <v>COLLEGE WISE TIME TABLE</v>
      </c>
      <c r="E2015" s="84">
        <f>IFERROR(__xludf.DUMMYFUNCTION("""COMPUTED_VALUE"""),46093.504166666666)</f>
        <v>46093.50417</v>
      </c>
      <c r="F2015" s="86">
        <f>IFERROR(__xludf.DUMMYFUNCTION("""COMPUTED_VALUE"""),46091.7763475)</f>
        <v>46091.77635</v>
      </c>
      <c r="G2015" s="86" t="str">
        <f>IFERROR(__xludf.DUMMYFUNCTION("""COMPUTED_VALUE"""),"Done")</f>
        <v>Done</v>
      </c>
      <c r="H2015" s="88">
        <f>IFERROR(__xludf.DUMMYFUNCTION("""COMPUTED_VALUE"""),0.0)</f>
        <v>0</v>
      </c>
      <c r="I2015" s="90" t="str">
        <f>IFERROR(__xludf.DUMMYFUNCTION("""COMPUTED_VALUE"""),"EMP0042 HULESHWAR KUMAR SAHU")</f>
        <v>EMP0042 HULESHWAR KUMAR SAHU</v>
      </c>
      <c r="J2015" s="91"/>
    </row>
    <row r="2016">
      <c r="B2016" s="76" t="str">
        <f>IFERROR(__xludf.DUMMYFUNCTION("""COMPUTED_VALUE"""),"Upload file, cross check and inform                               ")</f>
        <v>Upload file, cross check and inform                               </v>
      </c>
      <c r="C2016" s="82">
        <f>IFERROR(__xludf.DUMMYFUNCTION("""COMPUTED_VALUE"""),4982.0)</f>
        <v>4982</v>
      </c>
      <c r="D2016" s="76" t="str">
        <f>IFERROR(__xludf.DUMMYFUNCTION("""COMPUTED_VALUE"""),"TR")</f>
        <v>TR</v>
      </c>
      <c r="E2016" s="84">
        <f>IFERROR(__xludf.DUMMYFUNCTION("""COMPUTED_VALUE"""),46093.64097222222)</f>
        <v>46093.64097</v>
      </c>
      <c r="F2016" s="86">
        <f>IFERROR(__xludf.DUMMYFUNCTION("""COMPUTED_VALUE"""),46092.59765255787)</f>
        <v>46092.59765</v>
      </c>
      <c r="G2016" s="86" t="str">
        <f>IFERROR(__xludf.DUMMYFUNCTION("""COMPUTED_VALUE"""),"Done")</f>
        <v>Done</v>
      </c>
      <c r="H2016" s="88">
        <f>IFERROR(__xludf.DUMMYFUNCTION("""COMPUTED_VALUE"""),0.0)</f>
        <v>0</v>
      </c>
      <c r="I2016" s="90" t="str">
        <f>IFERROR(__xludf.DUMMYFUNCTION("""COMPUTED_VALUE"""),"EMP0042 HULESHWAR KUMAR SAHU")</f>
        <v>EMP0042 HULESHWAR KUMAR SAHU</v>
      </c>
      <c r="J2016" s="91"/>
    </row>
    <row r="2017">
      <c r="B2017" s="76" t="str">
        <f>IFERROR(__xludf.DUMMYFUNCTION("""COMPUTED_VALUE"""),"Upload file, cross check and inform                               ")</f>
        <v>Upload file, cross check and inform                               </v>
      </c>
      <c r="C2017" s="82">
        <f>IFERROR(__xludf.DUMMYFUNCTION("""COMPUTED_VALUE"""),4983.0)</f>
        <v>4983</v>
      </c>
      <c r="D2017" s="76" t="str">
        <f>IFERROR(__xludf.DUMMYFUNCTION("""COMPUTED_VALUE"""),"3152")</f>
        <v>3152</v>
      </c>
      <c r="E2017" s="84">
        <f>IFERROR(__xludf.DUMMYFUNCTION("""COMPUTED_VALUE"""),46093.71527777778)</f>
        <v>46093.71528</v>
      </c>
      <c r="F2017" s="86">
        <f>IFERROR(__xludf.DUMMYFUNCTION("""COMPUTED_VALUE"""),46093.424233240745)</f>
        <v>46093.42423</v>
      </c>
      <c r="G2017" s="86" t="str">
        <f>IFERROR(__xludf.DUMMYFUNCTION("""COMPUTED_VALUE"""),"Done")</f>
        <v>Done</v>
      </c>
      <c r="H2017" s="88">
        <f>IFERROR(__xludf.DUMMYFUNCTION("""COMPUTED_VALUE"""),0.0)</f>
        <v>0</v>
      </c>
      <c r="I2017" s="90" t="str">
        <f>IFERROR(__xludf.DUMMYFUNCTION("""COMPUTED_VALUE"""),"EMP5009 Rup Kumar Mandal")</f>
        <v>EMP5009 Rup Kumar Mandal</v>
      </c>
      <c r="J2017" s="91"/>
    </row>
    <row r="2018">
      <c r="B2018" s="76" t="str">
        <f>IFERROR(__xludf.DUMMYFUNCTION("""COMPUTED_VALUE"""),"Upload file, cross check and inform                               ")</f>
        <v>Upload file, cross check and inform                               </v>
      </c>
      <c r="C2018" s="82">
        <f>IFERROR(__xludf.DUMMYFUNCTION("""COMPUTED_VALUE"""),4984.0)</f>
        <v>4984</v>
      </c>
      <c r="D2018" s="76" t="str">
        <f>IFERROR(__xludf.DUMMYFUNCTION("""COMPUTED_VALUE"""),"Upshastri TR not Download ")</f>
        <v>Upshastri TR not Download </v>
      </c>
      <c r="E2018" s="84">
        <f>IFERROR(__xludf.DUMMYFUNCTION("""COMPUTED_VALUE"""),46094.51527777778)</f>
        <v>46094.51528</v>
      </c>
      <c r="F2018" s="86">
        <f>IFERROR(__xludf.DUMMYFUNCTION("""COMPUTED_VALUE"""),46092.76843978009)</f>
        <v>46092.76844</v>
      </c>
      <c r="G2018" s="86" t="str">
        <f>IFERROR(__xludf.DUMMYFUNCTION("""COMPUTED_VALUE"""),"Done")</f>
        <v>Done</v>
      </c>
      <c r="H2018" s="88">
        <f>IFERROR(__xludf.DUMMYFUNCTION("""COMPUTED_VALUE"""),0.0)</f>
        <v>0</v>
      </c>
      <c r="I2018" s="90" t="str">
        <f>IFERROR(__xludf.DUMMYFUNCTION("""COMPUTED_VALUE"""),"EMP0042 HULESHWAR KUMAR SAHU")</f>
        <v>EMP0042 HULESHWAR KUMAR SAHU</v>
      </c>
      <c r="J2018" s="91"/>
    </row>
    <row r="2019">
      <c r="B2019" s="76" t="str">
        <f>IFERROR(__xludf.DUMMYFUNCTION("""COMPUTED_VALUE"""),"Upload file, cross check and inform                               ")</f>
        <v>Upload file, cross check and inform                               </v>
      </c>
      <c r="C2019" s="82">
        <f>IFERROR(__xludf.DUMMYFUNCTION("""COMPUTED_VALUE"""),4985.0)</f>
        <v>4985</v>
      </c>
      <c r="D2019" s="76" t="str">
        <f>IFERROR(__xludf.DUMMYFUNCTION("""COMPUTED_VALUE"""),"CBCS TR chnage the filter all and add collge wise")</f>
        <v>CBCS TR chnage the filter all and add collge wise</v>
      </c>
      <c r="E2019" s="84">
        <f>IFERROR(__xludf.DUMMYFUNCTION("""COMPUTED_VALUE"""),46094.76875)</f>
        <v>46094.76875</v>
      </c>
      <c r="F2019" s="86">
        <f>IFERROR(__xludf.DUMMYFUNCTION("""COMPUTED_VALUE"""),46094.5088009838)</f>
        <v>46094.5088</v>
      </c>
      <c r="G2019" s="86" t="str">
        <f>IFERROR(__xludf.DUMMYFUNCTION("""COMPUTED_VALUE"""),"Done")</f>
        <v>Done</v>
      </c>
      <c r="H2019" s="88">
        <f>IFERROR(__xludf.DUMMYFUNCTION("""COMPUTED_VALUE"""),0.0)</f>
        <v>0</v>
      </c>
      <c r="I2019" s="90" t="str">
        <f>IFERROR(__xludf.DUMMYFUNCTION("""COMPUTED_VALUE"""),"EMP0021 Tamanna Dewangan")</f>
        <v>EMP0021 Tamanna Dewangan</v>
      </c>
      <c r="J2019" s="91"/>
    </row>
    <row r="2020">
      <c r="B2020" s="76" t="str">
        <f>IFERROR(__xludf.DUMMYFUNCTION("""COMPUTED_VALUE"""),"Upload file, cross check and inform                               ")</f>
        <v>Upload file, cross check and inform                               </v>
      </c>
      <c r="C2020" s="82">
        <f>IFERROR(__xludf.DUMMYFUNCTION("""COMPUTED_VALUE"""),4986.0)</f>
        <v>4986</v>
      </c>
      <c r="D2020" s="76" t="str">
        <f>IFERROR(__xludf.DUMMYFUNCTION("""COMPUTED_VALUE"""),"Marksheet chnage the filter all and add collge wise")</f>
        <v>Marksheet chnage the filter all and add collge wise</v>
      </c>
      <c r="E2020" s="84">
        <f>IFERROR(__xludf.DUMMYFUNCTION("""COMPUTED_VALUE"""),46094.76944444445)</f>
        <v>46094.76944</v>
      </c>
      <c r="F2020" s="86">
        <f>IFERROR(__xludf.DUMMYFUNCTION("""COMPUTED_VALUE"""),46094.50880849537)</f>
        <v>46094.50881</v>
      </c>
      <c r="G2020" s="86" t="str">
        <f>IFERROR(__xludf.DUMMYFUNCTION("""COMPUTED_VALUE"""),"Done")</f>
        <v>Done</v>
      </c>
      <c r="H2020" s="88">
        <f>IFERROR(__xludf.DUMMYFUNCTION("""COMPUTED_VALUE"""),0.0)</f>
        <v>0</v>
      </c>
      <c r="I2020" s="90" t="str">
        <f>IFERROR(__xludf.DUMMYFUNCTION("""COMPUTED_VALUE"""),"EMP5009 Rup Kumar Mandal")</f>
        <v>EMP5009 Rup Kumar Mandal</v>
      </c>
      <c r="J2020" s="91"/>
    </row>
    <row r="2021">
      <c r="B2021" s="76" t="str">
        <f>IFERROR(__xludf.DUMMYFUNCTION("""COMPUTED_VALUE"""),"Upload file, cross check and inform                               ")</f>
        <v>Upload file, cross check and inform                               </v>
      </c>
      <c r="C2021" s="82">
        <f>IFERROR(__xludf.DUMMYFUNCTION("""COMPUTED_VALUE"""),4987.0)</f>
        <v>4987</v>
      </c>
      <c r="D2021" s="76" t="str">
        <f>IFERROR(__xludf.DUMMYFUNCTION("""COMPUTED_VALUE"""),"Marksheet OLD chnage the filter all and add collge wise")</f>
        <v>Marksheet OLD chnage the filter all and add collge wise</v>
      </c>
      <c r="E2021" s="84">
        <f>IFERROR(__xludf.DUMMYFUNCTION("""COMPUTED_VALUE"""),46094.77013888889)</f>
        <v>46094.77014</v>
      </c>
      <c r="F2021" s="86">
        <f>IFERROR(__xludf.DUMMYFUNCTION("""COMPUTED_VALUE"""),46094.50881363426)</f>
        <v>46094.50881</v>
      </c>
      <c r="G2021" s="86" t="str">
        <f>IFERROR(__xludf.DUMMYFUNCTION("""COMPUTED_VALUE"""),"Done")</f>
        <v>Done</v>
      </c>
      <c r="H2021" s="88">
        <f>IFERROR(__xludf.DUMMYFUNCTION("""COMPUTED_VALUE"""),0.0)</f>
        <v>0</v>
      </c>
      <c r="I2021" s="90" t="str">
        <f>IFERROR(__xludf.DUMMYFUNCTION("""COMPUTED_VALUE"""),"EMP5009 Rup Kumar Mandal")</f>
        <v>EMP5009 Rup Kumar Mandal</v>
      </c>
      <c r="J2021" s="91"/>
    </row>
    <row r="2022">
      <c r="B2022" s="76" t="str">
        <f>IFERROR(__xludf.DUMMYFUNCTION("""COMPUTED_VALUE"""),"Upload file, cross check and inform                               ")</f>
        <v>Upload file, cross check and inform                               </v>
      </c>
      <c r="C2022" s="82">
        <f>IFERROR(__xludf.DUMMYFUNCTION("""COMPUTED_VALUE"""),4988.0)</f>
        <v>4988</v>
      </c>
      <c r="D2022" s="76" t="str">
        <f>IFERROR(__xludf.DUMMYFUNCTION("""COMPUTED_VALUE"""),"Marksheet New chnage the filter all and add collge wise")</f>
        <v>Marksheet New chnage the filter all and add collge wise</v>
      </c>
      <c r="E2022" s="84">
        <f>IFERROR(__xludf.DUMMYFUNCTION("""COMPUTED_VALUE"""),46094.77083333333)</f>
        <v>46094.77083</v>
      </c>
      <c r="F2022" s="86">
        <f>IFERROR(__xludf.DUMMYFUNCTION("""COMPUTED_VALUE"""),46094.50881782408)</f>
        <v>46094.50882</v>
      </c>
      <c r="G2022" s="86" t="str">
        <f>IFERROR(__xludf.DUMMYFUNCTION("""COMPUTED_VALUE"""),"Done")</f>
        <v>Done</v>
      </c>
      <c r="H2022" s="88">
        <f>IFERROR(__xludf.DUMMYFUNCTION("""COMPUTED_VALUE"""),0.0)</f>
        <v>0</v>
      </c>
      <c r="I2022" s="90" t="str">
        <f>IFERROR(__xludf.DUMMYFUNCTION("""COMPUTED_VALUE"""),"EMP5009 Rup Kumar Mandal")</f>
        <v>EMP5009 Rup Kumar Mandal</v>
      </c>
      <c r="J2022" s="91"/>
    </row>
    <row r="2023">
      <c r="B2023" s="76" t="str">
        <f>IFERROR(__xludf.DUMMYFUNCTION("""COMPUTED_VALUE"""),"Upload file, cross check and inform                               ")</f>
        <v>Upload file, cross check and inform                               </v>
      </c>
      <c r="C2023" s="82">
        <f>IFERROR(__xludf.DUMMYFUNCTION("""COMPUTED_VALUE"""),4989.0)</f>
        <v>4989</v>
      </c>
      <c r="D2023" s="76" t="str">
        <f>IFERROR(__xludf.DUMMYFUNCTION("""COMPUTED_VALUE"""),"Student enrooment report")</f>
        <v>Student enrooment report</v>
      </c>
      <c r="E2023" s="84">
        <f>IFERROR(__xludf.DUMMYFUNCTION("""COMPUTED_VALUE"""),46095.42291666666)</f>
        <v>46095.42292</v>
      </c>
      <c r="F2023" s="86">
        <f>IFERROR(__xludf.DUMMYFUNCTION("""COMPUTED_VALUE"""),46094.6356100926)</f>
        <v>46094.63561</v>
      </c>
      <c r="G2023" s="86" t="str">
        <f>IFERROR(__xludf.DUMMYFUNCTION("""COMPUTED_VALUE"""),"Done")</f>
        <v>Done</v>
      </c>
      <c r="H2023" s="88">
        <f>IFERROR(__xludf.DUMMYFUNCTION("""COMPUTED_VALUE"""),0.0)</f>
        <v>0</v>
      </c>
      <c r="I2023" s="90" t="str">
        <f>IFERROR(__xludf.DUMMYFUNCTION("""COMPUTED_VALUE"""),"EMP5009 Rup Kumar Mandal")</f>
        <v>EMP5009 Rup Kumar Mandal</v>
      </c>
      <c r="J2023" s="91"/>
    </row>
    <row r="2024">
      <c r="B2024" s="76" t="str">
        <f>IFERROR(__xludf.DUMMYFUNCTION("""COMPUTED_VALUE"""),"Upload file, cross check and inform                               ")</f>
        <v>Upload file, cross check and inform                               </v>
      </c>
      <c r="C2024" s="82">
        <f>IFERROR(__xludf.DUMMYFUNCTION("""COMPUTED_VALUE"""),4990.0)</f>
        <v>4990</v>
      </c>
      <c r="D2024" s="76" t="str">
        <f>IFERROR(__xludf.DUMMYFUNCTION("""COMPUTED_VALUE"""),"Award Sheet Locked/Blank BMDCEM-201 - Baba Mohan Das College of Education, Motla Kalan, Rewari. PG MASTER OF EDUCATION ( M.ED) First Semester ( Sem - 1) Sessional Blank ENROLLMENTFORM_SE21")</f>
        <v>Award Sheet Locked/Blank BMDCEM-201 - Baba Mohan Das College of Education, Motla Kalan, Rewari. PG MASTER OF EDUCATION ( M.ED) First Semester ( Sem - 1) Sessional Blank ENROLLMENTFORM_SE21</v>
      </c>
      <c r="E2024" s="84">
        <f>IFERROR(__xludf.DUMMYFUNCTION("""COMPUTED_VALUE"""),46095.45694444445)</f>
        <v>46095.45694</v>
      </c>
      <c r="F2024" s="86">
        <f>IFERROR(__xludf.DUMMYFUNCTION("""COMPUTED_VALUE"""),46093.76228369213)</f>
        <v>46093.76228</v>
      </c>
      <c r="G2024" s="86" t="str">
        <f>IFERROR(__xludf.DUMMYFUNCTION("""COMPUTED_VALUE"""),"Done")</f>
        <v>Done</v>
      </c>
      <c r="H2024" s="88">
        <f>IFERROR(__xludf.DUMMYFUNCTION("""COMPUTED_VALUE"""),0.0)</f>
        <v>0</v>
      </c>
      <c r="I2024" s="90" t="str">
        <f>IFERROR(__xludf.DUMMYFUNCTION("""COMPUTED_VALUE"""),"EMP0021 Tamanna Dewangan")</f>
        <v>EMP0021 Tamanna Dewangan</v>
      </c>
      <c r="J2024" s="91"/>
    </row>
    <row r="2025">
      <c r="B2025" s="76" t="str">
        <f>IFERROR(__xludf.DUMMYFUNCTION("""COMPUTED_VALUE"""),"Upload file, cross check and inform                               ")</f>
        <v>Upload file, cross check and inform                               </v>
      </c>
      <c r="C2025" s="82">
        <f>IFERROR(__xludf.DUMMYFUNCTION("""COMPUTED_VALUE"""),4991.0)</f>
        <v>4991</v>
      </c>
      <c r="D2025" s="76" t="str">
        <f>IFERROR(__xludf.DUMMYFUNCTION("""COMPUTED_VALUE"""),"CERTIFICATE")</f>
        <v>CERTIFICATE</v>
      </c>
      <c r="E2025" s="84">
        <f>IFERROR(__xludf.DUMMYFUNCTION("""COMPUTED_VALUE"""),46095.492361111115)</f>
        <v>46095.49236</v>
      </c>
      <c r="F2025" s="86">
        <f>IFERROR(__xludf.DUMMYFUNCTION("""COMPUTED_VALUE"""),46093.76222739584)</f>
        <v>46093.76223</v>
      </c>
      <c r="G2025" s="86" t="str">
        <f>IFERROR(__xludf.DUMMYFUNCTION("""COMPUTED_VALUE"""),"Done")</f>
        <v>Done</v>
      </c>
      <c r="H2025" s="88">
        <f>IFERROR(__xludf.DUMMYFUNCTION("""COMPUTED_VALUE"""),0.0)</f>
        <v>0</v>
      </c>
      <c r="I2025" s="90" t="str">
        <f>IFERROR(__xludf.DUMMYFUNCTION("""COMPUTED_VALUE"""),"EMP0042 HULESHWAR KUMAR SAHU")</f>
        <v>EMP0042 HULESHWAR KUMAR SAHU</v>
      </c>
      <c r="J2025" s="91"/>
    </row>
    <row r="2026">
      <c r="B2026" s="76" t="str">
        <f>IFERROR(__xludf.DUMMYFUNCTION("""COMPUTED_VALUE"""),"Upload file, cross check and inform                               ")</f>
        <v>Upload file, cross check and inform                               </v>
      </c>
      <c r="C2026" s="82">
        <f>IFERROR(__xludf.DUMMYFUNCTION("""COMPUTED_VALUE"""),4992.0)</f>
        <v>4992</v>
      </c>
      <c r="D2026" s="76" t="str">
        <f>IFERROR(__xludf.DUMMYFUNCTION("""COMPUTED_VALUE"""),"PROVISIONAL CERTIFICATE")</f>
        <v>PROVISIONAL CERTIFICATE</v>
      </c>
      <c r="E2026" s="84">
        <f>IFERROR(__xludf.DUMMYFUNCTION("""COMPUTED_VALUE"""),46095.56875)</f>
        <v>46095.56875</v>
      </c>
      <c r="F2026" s="86">
        <f>IFERROR(__xludf.DUMMYFUNCTION("""COMPUTED_VALUE"""),46094.45433510417)</f>
        <v>46094.45434</v>
      </c>
      <c r="G2026" s="86" t="str">
        <f>IFERROR(__xludf.DUMMYFUNCTION("""COMPUTED_VALUE"""),"Done")</f>
        <v>Done</v>
      </c>
      <c r="H2026" s="88">
        <f>IFERROR(__xludf.DUMMYFUNCTION("""COMPUTED_VALUE"""),0.0)</f>
        <v>0</v>
      </c>
      <c r="I2026" s="90" t="str">
        <f>IFERROR(__xludf.DUMMYFUNCTION("""COMPUTED_VALUE"""),"EMP0237 Swarnendu Chakraborty")</f>
        <v>EMP0237 Swarnendu Chakraborty</v>
      </c>
      <c r="J2026" s="91"/>
    </row>
    <row r="2027">
      <c r="B2027" s="76" t="str">
        <f>IFERROR(__xludf.DUMMYFUNCTION("""COMPUTED_VALUE"""),"Upload file, cross check and inform                               ")</f>
        <v>Upload file, cross check and inform                               </v>
      </c>
      <c r="C2027" s="82">
        <f>IFERROR(__xludf.DUMMYFUNCTION("""COMPUTED_VALUE"""),4993.0)</f>
        <v>4993</v>
      </c>
      <c r="D2027" s="76" t="str">
        <f>IFERROR(__xludf.DUMMYFUNCTION("""COMPUTED_VALUE"""),"3152")</f>
        <v>3152</v>
      </c>
      <c r="E2027" s="84">
        <f>IFERROR(__xludf.DUMMYFUNCTION("""COMPUTED_VALUE"""),46095.629166666666)</f>
        <v>46095.62917</v>
      </c>
      <c r="F2027" s="86">
        <f>IFERROR(__xludf.DUMMYFUNCTION("""COMPUTED_VALUE"""),46094.4554409838)</f>
        <v>46094.45544</v>
      </c>
      <c r="G2027" s="86" t="str">
        <f>IFERROR(__xludf.DUMMYFUNCTION("""COMPUTED_VALUE"""),"Done")</f>
        <v>Done</v>
      </c>
      <c r="H2027" s="88">
        <f>IFERROR(__xludf.DUMMYFUNCTION("""COMPUTED_VALUE"""),0.0)</f>
        <v>0</v>
      </c>
      <c r="I2027" s="90" t="str">
        <f>IFERROR(__xludf.DUMMYFUNCTION("""COMPUTED_VALUE"""),"EMP5009 Rup Kumar Mandal")</f>
        <v>EMP5009 Rup Kumar Mandal</v>
      </c>
      <c r="J2027" s="91"/>
    </row>
    <row r="2028">
      <c r="B2028" s="76" t="str">
        <f>IFERROR(__xludf.DUMMYFUNCTION("""COMPUTED_VALUE"""),"Upload file, cross check and inform                               ")</f>
        <v>Upload file, cross check and inform                               </v>
      </c>
      <c r="C2028" s="82">
        <f>IFERROR(__xludf.DUMMYFUNCTION("""COMPUTED_VALUE"""),4994.0)</f>
        <v>4994</v>
      </c>
      <c r="D2028" s="76" t="str">
        <f>IFERROR(__xludf.DUMMYFUNCTION("""COMPUTED_VALUE"""),"TR REPORT")</f>
        <v>TR REPORT</v>
      </c>
      <c r="E2028" s="84">
        <f>IFERROR(__xludf.DUMMYFUNCTION("""COMPUTED_VALUE"""),46095.63680555555)</f>
        <v>46095.63681</v>
      </c>
      <c r="F2028" s="86">
        <f>IFERROR(__xludf.DUMMYFUNCTION("""COMPUTED_VALUE"""),46094.45544300926)</f>
        <v>46094.45544</v>
      </c>
      <c r="G2028" s="86" t="str">
        <f>IFERROR(__xludf.DUMMYFUNCTION("""COMPUTED_VALUE"""),"Done")</f>
        <v>Done</v>
      </c>
      <c r="H2028" s="88">
        <f>IFERROR(__xludf.DUMMYFUNCTION("""COMPUTED_VALUE"""),0.0)</f>
        <v>0</v>
      </c>
      <c r="I2028" s="90" t="str">
        <f>IFERROR(__xludf.DUMMYFUNCTION("""COMPUTED_VALUE"""),"EMP5009 Rup Kumar Mandal")</f>
        <v>EMP5009 Rup Kumar Mandal</v>
      </c>
      <c r="J2028" s="91"/>
    </row>
    <row r="2029">
      <c r="B2029" s="76" t="str">
        <f>IFERROR(__xludf.DUMMYFUNCTION("""COMPUTED_VALUE"""),"Upload file, cross check and inform                               ")</f>
        <v>Upload file, cross check and inform                               </v>
      </c>
      <c r="C2029" s="82">
        <f>IFERROR(__xludf.DUMMYFUNCTION("""COMPUTED_VALUE"""),4995.0)</f>
        <v>4995</v>
      </c>
      <c r="D2029" s="76" t="str">
        <f>IFERROR(__xludf.DUMMYFUNCTION("""COMPUTED_VALUE"""),"TR ")</f>
        <v>TR </v>
      </c>
      <c r="E2029" s="84">
        <f>IFERROR(__xludf.DUMMYFUNCTION("""COMPUTED_VALUE"""),46095.76458333334)</f>
        <v>46095.76458</v>
      </c>
      <c r="F2029" s="86">
        <f>IFERROR(__xludf.DUMMYFUNCTION("""COMPUTED_VALUE"""),46094.508551875006)</f>
        <v>46094.50855</v>
      </c>
      <c r="G2029" s="86" t="str">
        <f>IFERROR(__xludf.DUMMYFUNCTION("""COMPUTED_VALUE"""),"Done")</f>
        <v>Done</v>
      </c>
      <c r="H2029" s="88">
        <f>IFERROR(__xludf.DUMMYFUNCTION("""COMPUTED_VALUE"""),0.0)</f>
        <v>0</v>
      </c>
      <c r="I2029" s="90" t="str">
        <f>IFERROR(__xludf.DUMMYFUNCTION("""COMPUTED_VALUE"""),"EMP0042 HULESHWAR KUMAR SAHU")</f>
        <v>EMP0042 HULESHWAR KUMAR SAHU</v>
      </c>
      <c r="J2029" s="91"/>
    </row>
    <row r="2030">
      <c r="B2030" s="76" t="str">
        <f>IFERROR(__xludf.DUMMYFUNCTION("""COMPUTED_VALUE"""),"Upload file, cross check and inform                               ")</f>
        <v>Upload file, cross check and inform                               </v>
      </c>
      <c r="C2030" s="82">
        <f>IFERROR(__xludf.DUMMYFUNCTION("""COMPUTED_VALUE"""),4996.0)</f>
        <v>4996</v>
      </c>
      <c r="D2030" s="76" t="str">
        <f>IFERROR(__xludf.DUMMYFUNCTION("""COMPUTED_VALUE"""),"RESULT DATA")</f>
        <v>RESULT DATA</v>
      </c>
      <c r="E2030" s="84">
        <f>IFERROR(__xludf.DUMMYFUNCTION("""COMPUTED_VALUE"""),46097.475)</f>
        <v>46097.475</v>
      </c>
      <c r="F2030" s="86">
        <f>IFERROR(__xludf.DUMMYFUNCTION("""COMPUTED_VALUE"""),46095.44492656249)</f>
        <v>46095.44493</v>
      </c>
      <c r="G2030" s="86" t="str">
        <f>IFERROR(__xludf.DUMMYFUNCTION("""COMPUTED_VALUE"""),"Done")</f>
        <v>Done</v>
      </c>
      <c r="H2030" s="88">
        <f>IFERROR(__xludf.DUMMYFUNCTION("""COMPUTED_VALUE"""),0.0)</f>
        <v>0</v>
      </c>
      <c r="I2030" s="90" t="str">
        <f>IFERROR(__xludf.DUMMYFUNCTION("""COMPUTED_VALUE"""),"EMP5009 Rup Kumar Mandal")</f>
        <v>EMP5009 Rup Kumar Mandal</v>
      </c>
      <c r="J2030" s="91"/>
    </row>
    <row r="2031">
      <c r="B2031" s="76" t="str">
        <f>IFERROR(__xludf.DUMMYFUNCTION("""COMPUTED_VALUE"""),"Upload file, cross check and inform                               ")</f>
        <v>Upload file, cross check and inform                               </v>
      </c>
      <c r="C2031" s="82">
        <f>IFERROR(__xludf.DUMMYFUNCTION("""COMPUTED_VALUE"""),4997.0)</f>
        <v>4997</v>
      </c>
      <c r="D2031" s="76" t="str">
        <f>IFERROR(__xludf.DUMMYFUNCTION("""COMPUTED_VALUE"""),"Admit card")</f>
        <v>Admit card</v>
      </c>
      <c r="E2031" s="84">
        <f>IFERROR(__xludf.DUMMYFUNCTION("""COMPUTED_VALUE"""),46097.424305555556)</f>
        <v>46097.42431</v>
      </c>
      <c r="F2031" s="86">
        <f>IFERROR(__xludf.DUMMYFUNCTION("""COMPUTED_VALUE"""),46094.63551347222)</f>
        <v>46094.63551</v>
      </c>
      <c r="G2031" s="86" t="str">
        <f>IFERROR(__xludf.DUMMYFUNCTION("""COMPUTED_VALUE"""),"Done")</f>
        <v>Done</v>
      </c>
      <c r="H2031" s="88">
        <f>IFERROR(__xludf.DUMMYFUNCTION("""COMPUTED_VALUE"""),0.0)</f>
        <v>0</v>
      </c>
      <c r="I2031" s="90" t="str">
        <f>IFERROR(__xludf.DUMMYFUNCTION("""COMPUTED_VALUE"""),"EMP5009 Rup Kumar Mandal")</f>
        <v>EMP5009 Rup Kumar Mandal</v>
      </c>
      <c r="J2031" s="91"/>
    </row>
    <row r="2032">
      <c r="B2032" s="76" t="str">
        <f>IFERROR(__xludf.DUMMYFUNCTION("""COMPUTED_VALUE"""),"Upload file, cross check and inform                               ")</f>
        <v>Upload file, cross check and inform                               </v>
      </c>
      <c r="C2032" s="82">
        <f>IFERROR(__xludf.DUMMYFUNCTION("""COMPUTED_VALUE"""),4998.0)</f>
        <v>4998</v>
      </c>
      <c r="D2032" s="76" t="str">
        <f>IFERROR(__xludf.DUMMYFUNCTION("""COMPUTED_VALUE"""),"Attendance Report")</f>
        <v>Attendance Report</v>
      </c>
      <c r="E2032" s="84">
        <f>IFERROR(__xludf.DUMMYFUNCTION("""COMPUTED_VALUE"""),46097.509722222225)</f>
        <v>46097.50972</v>
      </c>
      <c r="F2032" s="86">
        <f>IFERROR(__xludf.DUMMYFUNCTION("""COMPUTED_VALUE"""),46095.44500706018)</f>
        <v>46095.44501</v>
      </c>
      <c r="G2032" s="86" t="str">
        <f>IFERROR(__xludf.DUMMYFUNCTION("""COMPUTED_VALUE"""),"Done")</f>
        <v>Done</v>
      </c>
      <c r="H2032" s="88">
        <f>IFERROR(__xludf.DUMMYFUNCTION("""COMPUTED_VALUE"""),0.0)</f>
        <v>0</v>
      </c>
      <c r="I2032" s="90" t="str">
        <f>IFERROR(__xludf.DUMMYFUNCTION("""COMPUTED_VALUE"""),"EMP0237 Swarnendu Chakraborty")</f>
        <v>EMP0237 Swarnendu Chakraborty</v>
      </c>
      <c r="J2032" s="91"/>
    </row>
    <row r="2033">
      <c r="B2033" s="76" t="str">
        <f>IFERROR(__xludf.DUMMYFUNCTION("""COMPUTED_VALUE"""),"Upload file, cross check and inform                               ")</f>
        <v>Upload file, cross check and inform                               </v>
      </c>
      <c r="C2033" s="82">
        <f>IFERROR(__xludf.DUMMYFUNCTION("""COMPUTED_VALUE"""),4999.0)</f>
        <v>4999</v>
      </c>
      <c r="D2033" s="76" t="str">
        <f>IFERROR(__xludf.DUMMYFUNCTION("""COMPUTED_VALUE"""),"Seating Plan")</f>
        <v>Seating Plan</v>
      </c>
      <c r="E2033" s="84">
        <f>IFERROR(__xludf.DUMMYFUNCTION("""COMPUTED_VALUE"""),46097.57083333333)</f>
        <v>46097.57083</v>
      </c>
      <c r="F2033" s="86">
        <f>IFERROR(__xludf.DUMMYFUNCTION("""COMPUTED_VALUE"""),46097.454452997685)</f>
        <v>46097.45445</v>
      </c>
      <c r="G2033" s="86" t="str">
        <f>IFERROR(__xludf.DUMMYFUNCTION("""COMPUTED_VALUE"""),"Done")</f>
        <v>Done</v>
      </c>
      <c r="H2033" s="88">
        <f>IFERROR(__xludf.DUMMYFUNCTION("""COMPUTED_VALUE"""),0.0)</f>
        <v>0</v>
      </c>
      <c r="I2033" s="90" t="str">
        <f>IFERROR(__xludf.DUMMYFUNCTION("""COMPUTED_VALUE"""),"EMP0042 HULESHWAR KUMAR SAHU")</f>
        <v>EMP0042 HULESHWAR KUMAR SAHU</v>
      </c>
      <c r="J2033" s="91"/>
    </row>
    <row r="2034">
      <c r="B2034" s="76" t="str">
        <f>IFERROR(__xludf.DUMMYFUNCTION("""COMPUTED_VALUE"""),"Upload file, cross check and inform                               ")</f>
        <v>Upload file, cross check and inform                               </v>
      </c>
      <c r="C2034" s="82">
        <f>IFERROR(__xludf.DUMMYFUNCTION("""COMPUTED_VALUE"""),5000.0)</f>
        <v>5000</v>
      </c>
      <c r="D2034" s="76" t="str">
        <f>IFERROR(__xludf.DUMMYFUNCTION("""COMPUTED_VALUE"""),"TR ")</f>
        <v>TR </v>
      </c>
      <c r="E2034" s="84">
        <f>IFERROR(__xludf.DUMMYFUNCTION("""COMPUTED_VALUE"""),46097.6375)</f>
        <v>46097.6375</v>
      </c>
      <c r="F2034" s="86">
        <f>IFERROR(__xludf.DUMMYFUNCTION("""COMPUTED_VALUE"""),46097.45447790509)</f>
        <v>46097.45448</v>
      </c>
      <c r="G2034" s="86" t="str">
        <f>IFERROR(__xludf.DUMMYFUNCTION("""COMPUTED_VALUE"""),"Done")</f>
        <v>Done</v>
      </c>
      <c r="H2034" s="88">
        <f>IFERROR(__xludf.DUMMYFUNCTION("""COMPUTED_VALUE"""),0.0)</f>
        <v>0</v>
      </c>
      <c r="I2034" s="90" t="str">
        <f>IFERROR(__xludf.DUMMYFUNCTION("""COMPUTED_VALUE"""),"EMP0042 HULESHWAR KUMAR SAHU")</f>
        <v>EMP0042 HULESHWAR KUMAR SAHU</v>
      </c>
      <c r="J2034" s="91"/>
    </row>
    <row r="2035">
      <c r="B2035" s="76" t="str">
        <f>IFERROR(__xludf.DUMMYFUNCTION("""COMPUTED_VALUE"""),"Upload file, cross check and inform                               ")</f>
        <v>Upload file, cross check and inform                               </v>
      </c>
      <c r="C2035" s="82">
        <f>IFERROR(__xludf.DUMMYFUNCTION("""COMPUTED_VALUE"""),5001.0)</f>
        <v>5001</v>
      </c>
      <c r="D2035" s="76" t="str">
        <f>IFERROR(__xludf.DUMMYFUNCTION("""COMPUTED_VALUE"""),"Please provide the practical Data for M.Ed. 1st &amp; 3rd Semester, Re-appear, Regular, Mercy Chance,")</f>
        <v>Please provide the practical Data for M.Ed. 1st &amp; 3rd Semester, Re-appear, Regular, Mercy Chance,</v>
      </c>
      <c r="E2035" s="84">
        <f>IFERROR(__xludf.DUMMYFUNCTION("""COMPUTED_VALUE"""),46097.77916666667)</f>
        <v>46097.77917</v>
      </c>
      <c r="F2035" s="86">
        <f>IFERROR(__xludf.DUMMYFUNCTION("""COMPUTED_VALUE"""),46095.5378980787)</f>
        <v>46095.5379</v>
      </c>
      <c r="G2035" s="86" t="str">
        <f>IFERROR(__xludf.DUMMYFUNCTION("""COMPUTED_VALUE"""),"Done")</f>
        <v>Done</v>
      </c>
      <c r="H2035" s="88">
        <f>IFERROR(__xludf.DUMMYFUNCTION("""COMPUTED_VALUE"""),0.0)</f>
        <v>0</v>
      </c>
      <c r="I2035" s="90" t="str">
        <f>IFERROR(__xludf.DUMMYFUNCTION("""COMPUTED_VALUE"""),"EMP0042 HULESHWAR KUMAR SAHU")</f>
        <v>EMP0042 HULESHWAR KUMAR SAHU</v>
      </c>
      <c r="J2035" s="91"/>
    </row>
    <row r="2036">
      <c r="B2036" s="76" t="str">
        <f>IFERROR(__xludf.DUMMYFUNCTION("""COMPUTED_VALUE"""),"Upload file, cross check and inform                               ")</f>
        <v>Upload file, cross check and inform                               </v>
      </c>
      <c r="C2036" s="82">
        <f>IFERROR(__xludf.DUMMYFUNCTION("""COMPUTED_VALUE"""),5002.0)</f>
        <v>5002</v>
      </c>
      <c r="D2036" s="76" t="str">
        <f>IFERROR(__xludf.DUMMYFUNCTION("""COMPUTED_VALUE"""),"OLD formate mrksheet correction")</f>
        <v>OLD formate mrksheet correction</v>
      </c>
      <c r="E2036" s="84">
        <f>IFERROR(__xludf.DUMMYFUNCTION("""COMPUTED_VALUE"""),46098.6)</f>
        <v>46098.6</v>
      </c>
      <c r="F2036" s="86">
        <f>IFERROR(__xludf.DUMMYFUNCTION("""COMPUTED_VALUE"""),46098.54452546296)</f>
        <v>46098.54453</v>
      </c>
      <c r="G2036" s="86" t="str">
        <f>IFERROR(__xludf.DUMMYFUNCTION("""COMPUTED_VALUE"""),"Done")</f>
        <v>Done</v>
      </c>
      <c r="H2036" s="88">
        <f>IFERROR(__xludf.DUMMYFUNCTION("""COMPUTED_VALUE"""),0.0)</f>
        <v>0</v>
      </c>
      <c r="I2036" s="90" t="str">
        <f>IFERROR(__xludf.DUMMYFUNCTION("""COMPUTED_VALUE"""),"EMP0237 Swarnendu Chakraborty")</f>
        <v>EMP0237 Swarnendu Chakraborty</v>
      </c>
      <c r="J2036" s="91"/>
    </row>
    <row r="2037">
      <c r="B2037" s="76" t="str">
        <f>IFERROR(__xludf.DUMMYFUNCTION("""COMPUTED_VALUE"""),"Upload file, cross check and inform                               ")</f>
        <v>Upload file, cross check and inform                               </v>
      </c>
      <c r="C2037" s="82">
        <f>IFERROR(__xludf.DUMMYFUNCTION("""COMPUTED_VALUE"""),5003.0)</f>
        <v>5003</v>
      </c>
      <c r="D2037" s="76" t="str">
        <f>IFERROR(__xludf.DUMMYFUNCTION("""COMPUTED_VALUE"""),"NEW formate mrksheet correction")</f>
        <v>NEW formate mrksheet correction</v>
      </c>
      <c r="E2037" s="84">
        <f>IFERROR(__xludf.DUMMYFUNCTION("""COMPUTED_VALUE"""),46098.6)</f>
        <v>46098.6</v>
      </c>
      <c r="F2037" s="86">
        <f>IFERROR(__xludf.DUMMYFUNCTION("""COMPUTED_VALUE"""),46098.54454861111)</f>
        <v>46098.54455</v>
      </c>
      <c r="G2037" s="86" t="str">
        <f>IFERROR(__xludf.DUMMYFUNCTION("""COMPUTED_VALUE"""),"Done")</f>
        <v>Done</v>
      </c>
      <c r="H2037" s="88">
        <f>IFERROR(__xludf.DUMMYFUNCTION("""COMPUTED_VALUE"""),0.0)</f>
        <v>0</v>
      </c>
      <c r="I2037" s="90" t="str">
        <f>IFERROR(__xludf.DUMMYFUNCTION("""COMPUTED_VALUE"""),"EMP0237 Swarnendu Chakraborty")</f>
        <v>EMP0237 Swarnendu Chakraborty</v>
      </c>
      <c r="J2037" s="91"/>
    </row>
    <row r="2038">
      <c r="B2038" s="76" t="str">
        <f>IFERROR(__xludf.DUMMYFUNCTION("""COMPUTED_VALUE"""),"Upload file, cross check and inform                               ")</f>
        <v>Upload file, cross check and inform                               </v>
      </c>
      <c r="C2038" s="82">
        <f>IFERROR(__xludf.DUMMYFUNCTION("""COMPUTED_VALUE"""),5004.0)</f>
        <v>5004</v>
      </c>
      <c r="D2038" s="76" t="str">
        <f>IFERROR(__xludf.DUMMYFUNCTION("""COMPUTED_VALUE"""),"FINAL CERTIFICATE")</f>
        <v>FINAL CERTIFICATE</v>
      </c>
      <c r="E2038" s="84">
        <f>IFERROR(__xludf.DUMMYFUNCTION("""COMPUTED_VALUE"""),46099.461805555555)</f>
        <v>46099.46181</v>
      </c>
      <c r="F2038" s="86">
        <f>IFERROR(__xludf.DUMMYFUNCTION("""COMPUTED_VALUE"""),46099.454997719906)</f>
        <v>46099.455</v>
      </c>
      <c r="G2038" s="86" t="str">
        <f>IFERROR(__xludf.DUMMYFUNCTION("""COMPUTED_VALUE"""),"Done")</f>
        <v>Done</v>
      </c>
      <c r="H2038" s="88">
        <f>IFERROR(__xludf.DUMMYFUNCTION("""COMPUTED_VALUE"""),0.0)</f>
        <v>0</v>
      </c>
      <c r="I2038" s="90" t="str">
        <f>IFERROR(__xludf.DUMMYFUNCTION("""COMPUTED_VALUE"""),"EMP5009 Rup Kumar Mandal")</f>
        <v>EMP5009 Rup Kumar Mandal</v>
      </c>
      <c r="J2038" s="91"/>
    </row>
    <row r="2039">
      <c r="B2039" s="76" t="str">
        <f>IFERROR(__xludf.DUMMYFUNCTION("""COMPUTED_VALUE"""),"Upload file, cross check and inform                               ")</f>
        <v>Upload file, cross check and inform                               </v>
      </c>
      <c r="C2039" s="82">
        <f>IFERROR(__xludf.DUMMYFUNCTION("""COMPUTED_VALUE"""),5005.0)</f>
        <v>5005</v>
      </c>
      <c r="D2039" s="76" t="str">
        <f>IFERROR(__xludf.DUMMYFUNCTION("""COMPUTED_VALUE"""),"attendance sheet")</f>
        <v>attendance sheet</v>
      </c>
      <c r="E2039" s="84">
        <f>IFERROR(__xludf.DUMMYFUNCTION("""COMPUTED_VALUE"""),46099.53958333333)</f>
        <v>46099.53958</v>
      </c>
      <c r="F2039" s="86">
        <f>IFERROR(__xludf.DUMMYFUNCTION("""COMPUTED_VALUE"""),46097.76164246528)</f>
        <v>46097.76164</v>
      </c>
      <c r="G2039" s="86" t="str">
        <f>IFERROR(__xludf.DUMMYFUNCTION("""COMPUTED_VALUE"""),"Done")</f>
        <v>Done</v>
      </c>
      <c r="H2039" s="88">
        <f>IFERROR(__xludf.DUMMYFUNCTION("""COMPUTED_VALUE"""),0.0)</f>
        <v>0</v>
      </c>
      <c r="I2039" s="90" t="str">
        <f>IFERROR(__xludf.DUMMYFUNCTION("""COMPUTED_VALUE"""),"EMP0021 Tamanna Dewangan")</f>
        <v>EMP0021 Tamanna Dewangan</v>
      </c>
      <c r="J2039" s="91"/>
    </row>
    <row r="2040">
      <c r="B2040" s="76" t="str">
        <f>IFERROR(__xludf.DUMMYFUNCTION("""COMPUTED_VALUE"""),"Upload file, cross check and inform                               ")</f>
        <v>Upload file, cross check and inform                               </v>
      </c>
      <c r="C2040" s="82">
        <f>IFERROR(__xludf.DUMMYFUNCTION("""COMPUTED_VALUE"""),5006.0)</f>
        <v>5006</v>
      </c>
      <c r="D2040" s="76" t="str">
        <f>IFERROR(__xludf.DUMMYFUNCTION("""COMPUTED_VALUE"""),"NEP TR M.A HINDI &amp; SANSKRIT")</f>
        <v>NEP TR M.A HINDI &amp; SANSKRIT</v>
      </c>
      <c r="E2040" s="84">
        <f>IFERROR(__xludf.DUMMYFUNCTION("""COMPUTED_VALUE"""),46100.62986111111)</f>
        <v>46100.62986</v>
      </c>
      <c r="F2040" s="86">
        <f>IFERROR(__xludf.DUMMYFUNCTION("""COMPUTED_VALUE"""),46099.50882856481)</f>
        <v>46099.50883</v>
      </c>
      <c r="G2040" s="86" t="str">
        <f>IFERROR(__xludf.DUMMYFUNCTION("""COMPUTED_VALUE"""),"Done")</f>
        <v>Done</v>
      </c>
      <c r="H2040" s="88">
        <f>IFERROR(__xludf.DUMMYFUNCTION("""COMPUTED_VALUE"""),0.0)</f>
        <v>0</v>
      </c>
      <c r="I2040" s="90" t="str">
        <f>IFERROR(__xludf.DUMMYFUNCTION("""COMPUTED_VALUE"""),"EMP0042 HULESHWAR KUMAR SAHU")</f>
        <v>EMP0042 HULESHWAR KUMAR SAHU</v>
      </c>
      <c r="J2040" s="91"/>
    </row>
    <row r="2041">
      <c r="B2041" s="76" t="str">
        <f>IFERROR(__xludf.DUMMYFUNCTION("""COMPUTED_VALUE"""),"Upload file, cross check and inform                               ")</f>
        <v>Upload file, cross check and inform                               </v>
      </c>
      <c r="C2041" s="82">
        <f>IFERROR(__xludf.DUMMYFUNCTION("""COMPUTED_VALUE"""),5007.0)</f>
        <v>5007</v>
      </c>
      <c r="D2041" s="76" t="str">
        <f>IFERROR(__xludf.DUMMYFUNCTION("""COMPUTED_VALUE"""),"Grade Card (B.PHARMA)")</f>
        <v>Grade Card (B.PHARMA)</v>
      </c>
      <c r="E2041" s="84">
        <f>IFERROR(__xludf.DUMMYFUNCTION("""COMPUTED_VALUE"""),46100.63125)</f>
        <v>46100.63125</v>
      </c>
      <c r="F2041" s="86">
        <f>IFERROR(__xludf.DUMMYFUNCTION("""COMPUTED_VALUE"""),46099.81590119213)</f>
        <v>46099.8159</v>
      </c>
      <c r="G2041" s="86" t="str">
        <f>IFERROR(__xludf.DUMMYFUNCTION("""COMPUTED_VALUE"""),"Done")</f>
        <v>Done</v>
      </c>
      <c r="H2041" s="88">
        <f>IFERROR(__xludf.DUMMYFUNCTION("""COMPUTED_VALUE"""),0.0)</f>
        <v>0</v>
      </c>
      <c r="I2041" s="90" t="str">
        <f>IFERROR(__xludf.DUMMYFUNCTION("""COMPUTED_VALUE"""),"EMP0042 HULESHWAR KUMAR SAHU")</f>
        <v>EMP0042 HULESHWAR KUMAR SAHU</v>
      </c>
      <c r="J2041" s="91"/>
    </row>
    <row r="2042">
      <c r="B2042" s="76" t="str">
        <f>IFERROR(__xludf.DUMMYFUNCTION("""COMPUTED_VALUE"""),"Upload file, cross check and inform                               ")</f>
        <v>Upload file, cross check and inform                               </v>
      </c>
      <c r="C2042" s="82">
        <f>IFERROR(__xludf.DUMMYFUNCTION("""COMPUTED_VALUE"""),5008.0)</f>
        <v>5008</v>
      </c>
      <c r="D2042" s="76" t="str">
        <f>IFERROR(__xludf.DUMMYFUNCTION("""COMPUTED_VALUE"""),"NEP SUMMARY 3RD SEM M.A HINDI")</f>
        <v>NEP SUMMARY 3RD SEM M.A HINDI</v>
      </c>
      <c r="E2042" s="84">
        <f>IFERROR(__xludf.DUMMYFUNCTION("""COMPUTED_VALUE"""),46100.63333333333)</f>
        <v>46100.63333</v>
      </c>
      <c r="F2042" s="86">
        <f>IFERROR(__xludf.DUMMYFUNCTION("""COMPUTED_VALUE"""),46100.62058927083)</f>
        <v>46100.62059</v>
      </c>
      <c r="G2042" s="86" t="str">
        <f>IFERROR(__xludf.DUMMYFUNCTION("""COMPUTED_VALUE"""),"Done")</f>
        <v>Done</v>
      </c>
      <c r="H2042" s="88">
        <f>IFERROR(__xludf.DUMMYFUNCTION("""COMPUTED_VALUE"""),0.0)</f>
        <v>0</v>
      </c>
      <c r="I2042" s="90" t="str">
        <f>IFERROR(__xludf.DUMMYFUNCTION("""COMPUTED_VALUE"""),"EMP0042 HULESHWAR KUMAR SAHU")</f>
        <v>EMP0042 HULESHWAR KUMAR SAHU</v>
      </c>
      <c r="J2042" s="91"/>
    </row>
    <row r="2043">
      <c r="B2043" s="76" t="str">
        <f>IFERROR(__xludf.DUMMYFUNCTION("""COMPUTED_VALUE"""),"Upload file, cross check and inform                               ")</f>
        <v>Upload file, cross check and inform                               </v>
      </c>
      <c r="C2043" s="82">
        <f>IFERROR(__xludf.DUMMYFUNCTION("""COMPUTED_VALUE"""),5009.0)</f>
        <v>5009</v>
      </c>
      <c r="D2043" s="76" t="str">
        <f>IFERROR(__xludf.DUMMYFUNCTION("""COMPUTED_VALUE"""),"NEP SCHEMA M.A SANSKRIT")</f>
        <v>NEP SCHEMA M.A SANSKRIT</v>
      </c>
      <c r="E2043" s="84">
        <f>IFERROR(__xludf.DUMMYFUNCTION("""COMPUTED_VALUE"""),46100.63680555555)</f>
        <v>46100.63681</v>
      </c>
      <c r="F2043" s="86">
        <f>IFERROR(__xludf.DUMMYFUNCTION("""COMPUTED_VALUE"""),46100.46363236111)</f>
        <v>46100.46363</v>
      </c>
      <c r="G2043" s="86" t="str">
        <f>IFERROR(__xludf.DUMMYFUNCTION("""COMPUTED_VALUE"""),"Done")</f>
        <v>Done</v>
      </c>
      <c r="H2043" s="88">
        <f>IFERROR(__xludf.DUMMYFUNCTION("""COMPUTED_VALUE"""),0.0)</f>
        <v>0</v>
      </c>
      <c r="I2043" s="90" t="str">
        <f>IFERROR(__xludf.DUMMYFUNCTION("""COMPUTED_VALUE"""),"EMP0042 HULESHWAR KUMAR SAHU")</f>
        <v>EMP0042 HULESHWAR KUMAR SAHU</v>
      </c>
      <c r="J2043" s="91"/>
    </row>
    <row r="2044">
      <c r="B2044" s="76" t="str">
        <f>IFERROR(__xludf.DUMMYFUNCTION("""COMPUTED_VALUE"""),"Upload file, cross check and inform                               ")</f>
        <v>Upload file, cross check and inform                               </v>
      </c>
      <c r="C2044" s="82">
        <f>IFERROR(__xludf.DUMMYFUNCTION("""COMPUTED_VALUE"""),5010.0)</f>
        <v>5010</v>
      </c>
      <c r="D2044" s="76" t="str">
        <f>IFERROR(__xludf.DUMMYFUNCTION("""COMPUTED_VALUE"""),"NEP MA SANSKRIT 3RD SEM  MARKSHEET ")</f>
        <v>NEP MA SANSKRIT 3RD SEM  MARKSHEET </v>
      </c>
      <c r="E2044" s="84">
        <f>IFERROR(__xludf.DUMMYFUNCTION("""COMPUTED_VALUE"""),46100.63888888889)</f>
        <v>46100.63889</v>
      </c>
      <c r="F2044" s="86">
        <f>IFERROR(__xludf.DUMMYFUNCTION("""COMPUTED_VALUE"""),46099.81148747684)</f>
        <v>46099.81149</v>
      </c>
      <c r="G2044" s="86" t="str">
        <f>IFERROR(__xludf.DUMMYFUNCTION("""COMPUTED_VALUE"""),"Done")</f>
        <v>Done</v>
      </c>
      <c r="H2044" s="88">
        <f>IFERROR(__xludf.DUMMYFUNCTION("""COMPUTED_VALUE"""),0.0)</f>
        <v>0</v>
      </c>
      <c r="I2044" s="90" t="str">
        <f>IFERROR(__xludf.DUMMYFUNCTION("""COMPUTED_VALUE"""),"EMP0021 Tamanna Dewangan")</f>
        <v>EMP0021 Tamanna Dewangan</v>
      </c>
      <c r="J2044" s="91"/>
    </row>
    <row r="2045">
      <c r="B2045" s="76" t="str">
        <f>IFERROR(__xludf.DUMMYFUNCTION("""COMPUTED_VALUE"""),"Upload file, cross check and inform                               ")</f>
        <v>Upload file, cross check and inform                               </v>
      </c>
      <c r="C2045" s="82">
        <f>IFERROR(__xludf.DUMMYFUNCTION("""COMPUTED_VALUE"""),5011.0)</f>
        <v>5011</v>
      </c>
      <c r="D2045" s="76" t="str">
        <f>IFERROR(__xludf.DUMMYFUNCTION("""COMPUTED_VALUE"""),"Tabulation Report BPH (LE) 3rd sem")</f>
        <v>Tabulation Report BPH (LE) 3rd sem</v>
      </c>
      <c r="E2045" s="84">
        <f>IFERROR(__xludf.DUMMYFUNCTION("""COMPUTED_VALUE"""),46100.78263888889)</f>
        <v>46100.78264</v>
      </c>
      <c r="F2045" s="86">
        <f>IFERROR(__xludf.DUMMYFUNCTION("""COMPUTED_VALUE"""),46099.770069768514)</f>
        <v>46099.77007</v>
      </c>
      <c r="G2045" s="86" t="str">
        <f>IFERROR(__xludf.DUMMYFUNCTION("""COMPUTED_VALUE"""),"Done")</f>
        <v>Done</v>
      </c>
      <c r="H2045" s="88">
        <f>IFERROR(__xludf.DUMMYFUNCTION("""COMPUTED_VALUE"""),0.0)</f>
        <v>0</v>
      </c>
      <c r="I2045" s="90" t="str">
        <f>IFERROR(__xludf.DUMMYFUNCTION("""COMPUTED_VALUE"""),"EMP5009 Rup Kumar Mandal")</f>
        <v>EMP5009 Rup Kumar Mandal</v>
      </c>
      <c r="J2045" s="91"/>
    </row>
    <row r="2046">
      <c r="B2046" s="76" t="str">
        <f>IFERROR(__xludf.DUMMYFUNCTION("""COMPUTED_VALUE"""),"Upload file, cross check and inform                               ")</f>
        <v>Upload file, cross check and inform                               </v>
      </c>
      <c r="C2046" s="82">
        <f>IFERROR(__xludf.DUMMYFUNCTION("""COMPUTED_VALUE"""),5012.0)</f>
        <v>5012</v>
      </c>
      <c r="D2046" s="76" t="str">
        <f>IFERROR(__xludf.DUMMYFUNCTION("""COMPUTED_VALUE"""),"TR")</f>
        <v>TR</v>
      </c>
      <c r="E2046" s="84">
        <f>IFERROR(__xludf.DUMMYFUNCTION("""COMPUTED_VALUE"""),46101.79305555555)</f>
        <v>46101.79306</v>
      </c>
      <c r="F2046" s="86">
        <f>IFERROR(__xludf.DUMMYFUNCTION("""COMPUTED_VALUE"""),46100.77246871527)</f>
        <v>46100.77247</v>
      </c>
      <c r="G2046" s="86" t="str">
        <f>IFERROR(__xludf.DUMMYFUNCTION("""COMPUTED_VALUE"""),"Done")</f>
        <v>Done</v>
      </c>
      <c r="H2046" s="88">
        <f>IFERROR(__xludf.DUMMYFUNCTION("""COMPUTED_VALUE"""),0.0)</f>
        <v>0</v>
      </c>
      <c r="I2046" s="90" t="str">
        <f>IFERROR(__xludf.DUMMYFUNCTION("""COMPUTED_VALUE"""),"EMP0042 HULESHWAR KUMAR SAHU")</f>
        <v>EMP0042 HULESHWAR KUMAR SAHU</v>
      </c>
      <c r="J2046" s="91"/>
    </row>
    <row r="2047">
      <c r="B2047" s="76" t="str">
        <f>IFERROR(__xludf.DUMMYFUNCTION("""COMPUTED_VALUE"""),"Upload file, cross check and inform                               ")</f>
        <v>Upload file, cross check and inform                               </v>
      </c>
      <c r="C2047" s="82">
        <f>IFERROR(__xludf.DUMMYFUNCTION("""COMPUTED_VALUE"""),5013.0)</f>
        <v>5013</v>
      </c>
      <c r="D2047" s="76" t="str">
        <f>IFERROR(__xludf.DUMMYFUNCTION("""COMPUTED_VALUE"""),"Student wise data add new culum session")</f>
        <v>Student wise data add new culum session</v>
      </c>
      <c r="E2047" s="84">
        <f>IFERROR(__xludf.DUMMYFUNCTION("""COMPUTED_VALUE"""),46104.51527777778)</f>
        <v>46104.51528</v>
      </c>
      <c r="F2047" s="86">
        <f>IFERROR(__xludf.DUMMYFUNCTION("""COMPUTED_VALUE"""),46100.718668229165)</f>
        <v>46100.71867</v>
      </c>
      <c r="G2047" s="86" t="str">
        <f>IFERROR(__xludf.DUMMYFUNCTION("""COMPUTED_VALUE"""),"Done")</f>
        <v>Done</v>
      </c>
      <c r="H2047" s="88">
        <f>IFERROR(__xludf.DUMMYFUNCTION("""COMPUTED_VALUE"""),0.0)</f>
        <v>0</v>
      </c>
      <c r="I2047" s="90" t="str">
        <f>IFERROR(__xludf.DUMMYFUNCTION("""COMPUTED_VALUE"""),"EMP5009 Rup Kumar Mandal")</f>
        <v>EMP5009 Rup Kumar Mandal</v>
      </c>
      <c r="J2047" s="91"/>
    </row>
    <row r="2048">
      <c r="B2048" s="76" t="str">
        <f>IFERROR(__xludf.DUMMYFUNCTION("""COMPUTED_VALUE"""),"Upload file, cross check and inform                               ")</f>
        <v>Upload file, cross check and inform                               </v>
      </c>
      <c r="C2048" s="82">
        <f>IFERROR(__xludf.DUMMYFUNCTION("""COMPUTED_VALUE"""),5014.0)</f>
        <v>5014</v>
      </c>
      <c r="D2048" s="76" t="str">
        <f>IFERROR(__xludf.DUMMYFUNCTION("""COMPUTED_VALUE"""),"MULTIPLE REPORT")</f>
        <v>MULTIPLE REPORT</v>
      </c>
      <c r="E2048" s="84">
        <f>IFERROR(__xludf.DUMMYFUNCTION("""COMPUTED_VALUE"""),46104.618055555555)</f>
        <v>46104.61806</v>
      </c>
      <c r="F2048" s="86">
        <f>IFERROR(__xludf.DUMMYFUNCTION("""COMPUTED_VALUE"""),46104.650015266205)</f>
        <v>46104.65002</v>
      </c>
      <c r="G2048" s="86" t="str">
        <f>IFERROR(__xludf.DUMMYFUNCTION("""COMPUTED_VALUE"""),"Done")</f>
        <v>Done</v>
      </c>
      <c r="H2048" s="88">
        <f>IFERROR(__xludf.DUMMYFUNCTION("""COMPUTED_VALUE"""),0.03195971064947938)</f>
        <v>0.03195971065</v>
      </c>
      <c r="I2048" s="90" t="str">
        <f>IFERROR(__xludf.DUMMYFUNCTION("""COMPUTED_VALUE"""),"EMP0042 HULESHWAR KUMAR SAHU")</f>
        <v>EMP0042 HULESHWAR KUMAR SAHU</v>
      </c>
      <c r="J2048" s="91"/>
    </row>
    <row r="2049">
      <c r="B2049" s="76" t="str">
        <f>IFERROR(__xludf.DUMMYFUNCTION("""COMPUTED_VALUE"""),"Upload file, cross check and inform                               ")</f>
        <v>Upload file, cross check and inform                               </v>
      </c>
      <c r="C2049" s="82">
        <f>IFERROR(__xludf.DUMMYFUNCTION("""COMPUTED_VALUE"""),5015.0)</f>
        <v>5015</v>
      </c>
      <c r="D2049" s="76" t="str">
        <f>IFERROR(__xludf.DUMMYFUNCTION("""COMPUTED_VALUE"""),"ENROLLMENT REPORT")</f>
        <v>ENROLLMENT REPORT</v>
      </c>
      <c r="E2049" s="84">
        <f>IFERROR(__xludf.DUMMYFUNCTION("""COMPUTED_VALUE"""),46105.70138888889)</f>
        <v>46105.70139</v>
      </c>
      <c r="F2049" s="86">
        <f>IFERROR(__xludf.DUMMYFUNCTION("""COMPUTED_VALUE"""),46104.650393055555)</f>
        <v>46104.65039</v>
      </c>
      <c r="G2049" s="86" t="str">
        <f>IFERROR(__xludf.DUMMYFUNCTION("""COMPUTED_VALUE"""),"Done")</f>
        <v>Done</v>
      </c>
      <c r="H2049" s="88">
        <f>IFERROR(__xludf.DUMMYFUNCTION("""COMPUTED_VALUE"""),0.0)</f>
        <v>0</v>
      </c>
      <c r="I2049" s="90" t="str">
        <f>IFERROR(__xludf.DUMMYFUNCTION("""COMPUTED_VALUE"""),"EMP0021 Tamanna Dewangan")</f>
        <v>EMP0021 Tamanna Dewangan</v>
      </c>
      <c r="J2049" s="91"/>
    </row>
    <row r="2050">
      <c r="B2050" s="76" t="str">
        <f>IFERROR(__xludf.DUMMYFUNCTION("""COMPUTED_VALUE"""),"Upload file, cross check and inform                               ")</f>
        <v>Upload file, cross check and inform                               </v>
      </c>
      <c r="C2050" s="82">
        <f>IFERROR(__xludf.DUMMYFUNCTION("""COMPUTED_VALUE"""),5016.0)</f>
        <v>5016</v>
      </c>
      <c r="D2050" s="76" t="str">
        <f>IFERROR(__xludf.DUMMYFUNCTION("""COMPUTED_VALUE"""),"NEP MISSING REPORT STEP-5(PRE-PROCESSING ERROR)")</f>
        <v>NEP MISSING REPORT STEP-5(PRE-PROCESSING ERROR)</v>
      </c>
      <c r="E2050" s="84">
        <f>IFERROR(__xludf.DUMMYFUNCTION("""COMPUTED_VALUE"""),46105.63680555555)</f>
        <v>46105.63681</v>
      </c>
      <c r="F2050" s="86">
        <f>IFERROR(__xludf.DUMMYFUNCTION("""COMPUTED_VALUE"""),46105.45033396991)</f>
        <v>46105.45033</v>
      </c>
      <c r="G2050" s="86" t="str">
        <f>IFERROR(__xludf.DUMMYFUNCTION("""COMPUTED_VALUE"""),"Done")</f>
        <v>Done</v>
      </c>
      <c r="H2050" s="88">
        <f>IFERROR(__xludf.DUMMYFUNCTION("""COMPUTED_VALUE"""),0.0)</f>
        <v>0</v>
      </c>
      <c r="I2050" s="90" t="str">
        <f>IFERROR(__xludf.DUMMYFUNCTION("""COMPUTED_VALUE"""),"EMP0237 Swarnendu Chakraborty")</f>
        <v>EMP0237 Swarnendu Chakraborty</v>
      </c>
      <c r="J2050" s="91"/>
    </row>
    <row r="2051">
      <c r="B2051" s="76" t="str">
        <f>IFERROR(__xludf.DUMMYFUNCTION("""COMPUTED_VALUE"""),"Upload file, cross check and inform                               ")</f>
        <v>Upload file, cross check and inform                               </v>
      </c>
      <c r="C2051" s="82">
        <f>IFERROR(__xludf.DUMMYFUNCTION("""COMPUTED_VALUE"""),5017.0)</f>
        <v>5017</v>
      </c>
      <c r="D2051" s="76" t="str">
        <f>IFERROR(__xludf.DUMMYFUNCTION("""COMPUTED_VALUE"""),"	CERTIFICATE")</f>
        <v>	CERTIFICATE</v>
      </c>
      <c r="E2051" s="84">
        <f>IFERROR(__xludf.DUMMYFUNCTION("""COMPUTED_VALUE"""),46105.669444444444)</f>
        <v>46105.66944</v>
      </c>
      <c r="F2051" s="86">
        <f>IFERROR(__xludf.DUMMYFUNCTION("""COMPUTED_VALUE"""),46105.450345300924)</f>
        <v>46105.45035</v>
      </c>
      <c r="G2051" s="86" t="str">
        <f>IFERROR(__xludf.DUMMYFUNCTION("""COMPUTED_VALUE"""),"Done")</f>
        <v>Done</v>
      </c>
      <c r="H2051" s="88">
        <f>IFERROR(__xludf.DUMMYFUNCTION("""COMPUTED_VALUE"""),0.0)</f>
        <v>0</v>
      </c>
      <c r="I2051" s="90" t="str">
        <f>IFERROR(__xludf.DUMMYFUNCTION("""COMPUTED_VALUE"""),"EMP0237 Swarnendu Chakraborty")</f>
        <v>EMP0237 Swarnendu Chakraborty</v>
      </c>
      <c r="J2051" s="91"/>
    </row>
    <row r="2052">
      <c r="B2052" s="76" t="str">
        <f>IFERROR(__xludf.DUMMYFUNCTION("""COMPUTED_VALUE"""),"Upload file, cross check and inform                               ")</f>
        <v>Upload file, cross check and inform                               </v>
      </c>
      <c r="C2052" s="82">
        <f>IFERROR(__xludf.DUMMYFUNCTION("""COMPUTED_VALUE"""),5018.0)</f>
        <v>5018</v>
      </c>
      <c r="D2052" s="76" t="str">
        <f>IFERROR(__xludf.DUMMYFUNCTION("""COMPUTED_VALUE"""),"CERTIFICATE")</f>
        <v>CERTIFICATE</v>
      </c>
      <c r="E2052" s="84">
        <f>IFERROR(__xludf.DUMMYFUNCTION("""COMPUTED_VALUE"""),46106.56458333333)</f>
        <v>46106.56458</v>
      </c>
      <c r="F2052" s="86">
        <f>IFERROR(__xludf.DUMMYFUNCTION("""COMPUTED_VALUE"""),46104.73629197917)</f>
        <v>46104.73629</v>
      </c>
      <c r="G2052" s="86" t="str">
        <f>IFERROR(__xludf.DUMMYFUNCTION("""COMPUTED_VALUE"""),"Done")</f>
        <v>Done</v>
      </c>
      <c r="H2052" s="88">
        <f>IFERROR(__xludf.DUMMYFUNCTION("""COMPUTED_VALUE"""),0.0)</f>
        <v>0</v>
      </c>
      <c r="I2052" s="90" t="str">
        <f>IFERROR(__xludf.DUMMYFUNCTION("""COMPUTED_VALUE"""),"EMP0042 HULESHWAR KUMAR SAHU")</f>
        <v>EMP0042 HULESHWAR KUMAR SAHU</v>
      </c>
      <c r="J2052" s="91"/>
    </row>
    <row r="2053">
      <c r="B2053" s="76" t="str">
        <f>IFERROR(__xludf.DUMMYFUNCTION("""COMPUTED_VALUE"""),"Upload file, cross check and inform                               ")</f>
        <v>Upload file, cross check and inform                               </v>
      </c>
      <c r="C2053" s="82">
        <f>IFERROR(__xludf.DUMMYFUNCTION("""COMPUTED_VALUE"""),5019.0)</f>
        <v>5019</v>
      </c>
      <c r="D2053" s="76" t="str">
        <f>IFERROR(__xludf.DUMMYFUNCTION("""COMPUTED_VALUE"""),"MARKSHEET DMC 05 INTEREGATED 6TH SEM")</f>
        <v>MARKSHEET DMC 05 INTEREGATED 6TH SEM</v>
      </c>
      <c r="E2053" s="84">
        <f>IFERROR(__xludf.DUMMYFUNCTION("""COMPUTED_VALUE"""),46106.6)</f>
        <v>46106.6</v>
      </c>
      <c r="F2053" s="86">
        <f>IFERROR(__xludf.DUMMYFUNCTION("""COMPUTED_VALUE"""),46105.69602743055)</f>
        <v>46105.69603</v>
      </c>
      <c r="G2053" s="86" t="str">
        <f>IFERROR(__xludf.DUMMYFUNCTION("""COMPUTED_VALUE"""),"Done")</f>
        <v>Done</v>
      </c>
      <c r="H2053" s="88">
        <f>IFERROR(__xludf.DUMMYFUNCTION("""COMPUTED_VALUE"""),0.0)</f>
        <v>0</v>
      </c>
      <c r="I2053" s="90" t="str">
        <f>IFERROR(__xludf.DUMMYFUNCTION("""COMPUTED_VALUE"""),"EMP0237 Swarnendu Chakraborty")</f>
        <v>EMP0237 Swarnendu Chakraborty</v>
      </c>
      <c r="J2053" s="91"/>
    </row>
    <row r="2054">
      <c r="B2054" s="76" t="str">
        <f>IFERROR(__xludf.DUMMYFUNCTION("""COMPUTED_VALUE"""),"Upload file, cross check and inform                               ")</f>
        <v>Upload file, cross check and inform                               </v>
      </c>
      <c r="C2054" s="82">
        <f>IFERROR(__xludf.DUMMYFUNCTION("""COMPUTED_VALUE"""),5020.0)</f>
        <v>5020</v>
      </c>
      <c r="D2054" s="76" t="str">
        <f>IFERROR(__xludf.DUMMYFUNCTION("""COMPUTED_VALUE"""),"Marksheet please upate the logo and signeture")</f>
        <v>Marksheet please upate the logo and signeture</v>
      </c>
      <c r="E2054" s="84">
        <f>IFERROR(__xludf.DUMMYFUNCTION("""COMPUTED_VALUE"""),46106.620833333334)</f>
        <v>46106.62083</v>
      </c>
      <c r="F2054" s="86">
        <f>IFERROR(__xludf.DUMMYFUNCTION("""COMPUTED_VALUE"""),46106.48459988426)</f>
        <v>46106.4846</v>
      </c>
      <c r="G2054" s="86" t="str">
        <f>IFERROR(__xludf.DUMMYFUNCTION("""COMPUTED_VALUE"""),"Done")</f>
        <v>Done</v>
      </c>
      <c r="H2054" s="88">
        <f>IFERROR(__xludf.DUMMYFUNCTION("""COMPUTED_VALUE"""),0.0)</f>
        <v>0</v>
      </c>
      <c r="I2054" s="90" t="str">
        <f>IFERROR(__xludf.DUMMYFUNCTION("""COMPUTED_VALUE"""),"EMP5009 Rup Kumar Mandal")</f>
        <v>EMP5009 Rup Kumar Mandal</v>
      </c>
      <c r="J2054" s="91"/>
    </row>
    <row r="2055">
      <c r="B2055" s="76" t="str">
        <f>IFERROR(__xludf.DUMMYFUNCTION("""COMPUTED_VALUE"""),"Upload file, cross check and inform                               ")</f>
        <v>Upload file, cross check and inform                               </v>
      </c>
      <c r="C2055" s="82">
        <f>IFERROR(__xludf.DUMMYFUNCTION("""COMPUTED_VALUE"""),5021.0)</f>
        <v>5021</v>
      </c>
      <c r="D2055" s="76" t="str">
        <f>IFERROR(__xludf.DUMMYFUNCTION("""COMPUTED_VALUE"""),"MArksheet correction acoding to atteched file and dicsuction")</f>
        <v>MArksheet correction acoding to atteched file and dicsuction</v>
      </c>
      <c r="E2055" s="84">
        <f>IFERROR(__xludf.DUMMYFUNCTION("""COMPUTED_VALUE"""),46107.59583333333)</f>
        <v>46107.59583</v>
      </c>
      <c r="F2055" s="86">
        <f>IFERROR(__xludf.DUMMYFUNCTION("""COMPUTED_VALUE"""),46106.662378090274)</f>
        <v>46106.66238</v>
      </c>
      <c r="G2055" s="86" t="str">
        <f>IFERROR(__xludf.DUMMYFUNCTION("""COMPUTED_VALUE"""),"Done")</f>
        <v>Done</v>
      </c>
      <c r="H2055" s="88">
        <f>IFERROR(__xludf.DUMMYFUNCTION("""COMPUTED_VALUE"""),0.0)</f>
        <v>0</v>
      </c>
      <c r="I2055" s="90" t="str">
        <f>IFERROR(__xludf.DUMMYFUNCTION("""COMPUTED_VALUE"""),"EMP0237 Swarnendu Chakraborty")</f>
        <v>EMP0237 Swarnendu Chakraborty</v>
      </c>
      <c r="J2055" s="91"/>
    </row>
    <row r="2056">
      <c r="B2056" s="76" t="str">
        <f>IFERROR(__xludf.DUMMYFUNCTION("""COMPUTED_VALUE"""),"Upload file, cross check and inform                               ")</f>
        <v>Upload file, cross check and inform                               </v>
      </c>
      <c r="C2056" s="82">
        <f>IFERROR(__xludf.DUMMYFUNCTION("""COMPUTED_VALUE"""),5022.0)</f>
        <v>5022</v>
      </c>
      <c r="D2056" s="76" t="str">
        <f>IFERROR(__xludf.DUMMYFUNCTION("""COMPUTED_VALUE"""),"TR")</f>
        <v>TR</v>
      </c>
      <c r="E2056" s="84">
        <f>IFERROR(__xludf.DUMMYFUNCTION("""COMPUTED_VALUE"""),46107.78125)</f>
        <v>46107.78125</v>
      </c>
      <c r="F2056" s="86">
        <f>IFERROR(__xludf.DUMMYFUNCTION("""COMPUTED_VALUE"""),46106.59659706018)</f>
        <v>46106.5966</v>
      </c>
      <c r="G2056" s="86" t="str">
        <f>IFERROR(__xludf.DUMMYFUNCTION("""COMPUTED_VALUE"""),"Done")</f>
        <v>Done</v>
      </c>
      <c r="H2056" s="88">
        <f>IFERROR(__xludf.DUMMYFUNCTION("""COMPUTED_VALUE"""),0.0)</f>
        <v>0</v>
      </c>
      <c r="I2056" s="90" t="str">
        <f>IFERROR(__xludf.DUMMYFUNCTION("""COMPUTED_VALUE"""),"EMP0042 HULESHWAR KUMAR SAHU")</f>
        <v>EMP0042 HULESHWAR KUMAR SAHU</v>
      </c>
      <c r="J2056" s="91"/>
    </row>
    <row r="2057">
      <c r="B2057" s="76" t="str">
        <f>IFERROR(__xludf.DUMMYFUNCTION("""COMPUTED_VALUE"""),"Upload file, cross check and inform                               ")</f>
        <v>Upload file, cross check and inform                               </v>
      </c>
      <c r="C2057" s="82">
        <f>IFERROR(__xludf.DUMMYFUNCTION("""COMPUTED_VALUE"""),5023.0)</f>
        <v>5023</v>
      </c>
      <c r="D2057" s="76" t="str">
        <f>IFERROR(__xludf.DUMMYFUNCTION("""COMPUTED_VALUE"""),"Mark Is Greater Than Max mark(Step 7) First Semester ( Sem - 1) BACHELOR OF COMMERCE B.COM_SE02")</f>
        <v>Mark Is Greater Than Max mark(Step 7) First Semester ( Sem - 1) BACHELOR OF COMMERCE B.COM_SE02</v>
      </c>
      <c r="E2057" s="84">
        <f>IFERROR(__xludf.DUMMYFUNCTION("""COMPUTED_VALUE"""),46108.51388888889)</f>
        <v>46108.51389</v>
      </c>
      <c r="F2057" s="86">
        <f>IFERROR(__xludf.DUMMYFUNCTION("""COMPUTED_VALUE"""),46106.66249298611)</f>
        <v>46106.66249</v>
      </c>
      <c r="G2057" s="86" t="str">
        <f>IFERROR(__xludf.DUMMYFUNCTION("""COMPUTED_VALUE"""),"Done")</f>
        <v>Done</v>
      </c>
      <c r="H2057" s="88">
        <f>IFERROR(__xludf.DUMMYFUNCTION("""COMPUTED_VALUE"""),0.0)</f>
        <v>0</v>
      </c>
      <c r="I2057" s="90" t="str">
        <f>IFERROR(__xludf.DUMMYFUNCTION("""COMPUTED_VALUE"""),"EMP0237 Swarnendu Chakraborty")</f>
        <v>EMP0237 Swarnendu Chakraborty</v>
      </c>
      <c r="J2057" s="91"/>
    </row>
    <row r="2058">
      <c r="B2058" s="76" t="str">
        <f>IFERROR(__xludf.DUMMYFUNCTION("""COMPUTED_VALUE"""),"Upload file, cross check and inform                               ")</f>
        <v>Upload file, cross check and inform                               </v>
      </c>
      <c r="C2058" s="82">
        <f>IFERROR(__xludf.DUMMYFUNCTION("""COMPUTED_VALUE"""),5024.0)</f>
        <v>5024</v>
      </c>
      <c r="D2058" s="76" t="str">
        <f>IFERROR(__xludf.DUMMYFUNCTION("""COMPUTED_VALUE"""),"Multiple reports ")</f>
        <v>Multiple reports </v>
      </c>
      <c r="E2058" s="84">
        <f>IFERROR(__xludf.DUMMYFUNCTION("""COMPUTED_VALUE"""),46108.518055555556)</f>
        <v>46108.51806</v>
      </c>
      <c r="F2058" s="86">
        <f>IFERROR(__xludf.DUMMYFUNCTION("""COMPUTED_VALUE"""),46106.75597939815)</f>
        <v>46106.75598</v>
      </c>
      <c r="G2058" s="86" t="str">
        <f>IFERROR(__xludf.DUMMYFUNCTION("""COMPUTED_VALUE"""),"Done")</f>
        <v>Done</v>
      </c>
      <c r="H2058" s="88">
        <f>IFERROR(__xludf.DUMMYFUNCTION("""COMPUTED_VALUE"""),0.0)</f>
        <v>0</v>
      </c>
      <c r="I2058" s="90" t="str">
        <f>IFERROR(__xludf.DUMMYFUNCTION("""COMPUTED_VALUE"""),"EMP0042 HULESHWAR KUMAR SAHU")</f>
        <v>EMP0042 HULESHWAR KUMAR SAHU</v>
      </c>
      <c r="J2058" s="91"/>
    </row>
    <row r="2059">
      <c r="B2059" s="76" t="str">
        <f>IFERROR(__xludf.DUMMYFUNCTION("""COMPUTED_VALUE"""),"Upload file, cross check and inform                               ")</f>
        <v>Upload file, cross check and inform                               </v>
      </c>
      <c r="C2059" s="82">
        <f>IFERROR(__xludf.DUMMYFUNCTION("""COMPUTED_VALUE"""),5025.0)</f>
        <v>5025</v>
      </c>
      <c r="D2059" s="76" t="str">
        <f>IFERROR(__xludf.DUMMYFUNCTION("""COMPUTED_VALUE"""),"TR Format (Grading / Non-Grading) ")</f>
        <v>TR Format (Grading / Non-Grading) </v>
      </c>
      <c r="E2059" s="84">
        <f>IFERROR(__xludf.DUMMYFUNCTION("""COMPUTED_VALUE"""),46108.61319444445)</f>
        <v>46108.61319</v>
      </c>
      <c r="F2059" s="86">
        <f>IFERROR(__xludf.DUMMYFUNCTION("""COMPUTED_VALUE"""),46107.476345358795)</f>
        <v>46107.47635</v>
      </c>
      <c r="G2059" s="86" t="str">
        <f>IFERROR(__xludf.DUMMYFUNCTION("""COMPUTED_VALUE"""),"Done")</f>
        <v>Done</v>
      </c>
      <c r="H2059" s="88">
        <f>IFERROR(__xludf.DUMMYFUNCTION("""COMPUTED_VALUE"""),0.0)</f>
        <v>0</v>
      </c>
      <c r="I2059" s="90" t="str">
        <f>IFERROR(__xludf.DUMMYFUNCTION("""COMPUTED_VALUE"""),"EMP5009 Rup Kumar Mandal")</f>
        <v>EMP5009 Rup Kumar Mandal</v>
      </c>
      <c r="J2059" s="91"/>
    </row>
    <row r="2060">
      <c r="B2060" s="76" t="str">
        <f>IFERROR(__xludf.DUMMYFUNCTION("""COMPUTED_VALUE"""),"Upload file, cross check and inform                               ")</f>
        <v>Upload file, cross check and inform                               </v>
      </c>
      <c r="C2060" s="82">
        <f>IFERROR(__xludf.DUMMYFUNCTION("""COMPUTED_VALUE"""),5026.0)</f>
        <v>5026</v>
      </c>
      <c r="D2060" s="76" t="str">
        <f>IFERROR(__xludf.DUMMYFUNCTION("""COMPUTED_VALUE"""),"	Grade Card NEP (PG) ")</f>
        <v>	Grade Card NEP (PG) </v>
      </c>
      <c r="E2060" s="84">
        <f>IFERROR(__xludf.DUMMYFUNCTION("""COMPUTED_VALUE"""),46108.620833333334)</f>
        <v>46108.62083</v>
      </c>
      <c r="F2060" s="86">
        <f>IFERROR(__xludf.DUMMYFUNCTION("""COMPUTED_VALUE"""),46107.47635947916)</f>
        <v>46107.47636</v>
      </c>
      <c r="G2060" s="86" t="str">
        <f>IFERROR(__xludf.DUMMYFUNCTION("""COMPUTED_VALUE"""),"Done")</f>
        <v>Done</v>
      </c>
      <c r="H2060" s="88">
        <f>IFERROR(__xludf.DUMMYFUNCTION("""COMPUTED_VALUE"""),0.0)</f>
        <v>0</v>
      </c>
      <c r="I2060" s="90" t="str">
        <f>IFERROR(__xludf.DUMMYFUNCTION("""COMPUTED_VALUE"""),"EMP5009 Rup Kumar Mandal")</f>
        <v>EMP5009 Rup Kumar Mandal</v>
      </c>
      <c r="J2060" s="91"/>
    </row>
    <row r="2061">
      <c r="B2061" s="76" t="str">
        <f>IFERROR(__xludf.DUMMYFUNCTION("""COMPUTED_VALUE"""),"Upload file, cross check and inform                               ")</f>
        <v>Upload file, cross check and inform                               </v>
      </c>
      <c r="C2061" s="82">
        <f>IFERROR(__xludf.DUMMYFUNCTION("""COMPUTED_VALUE"""),5027.0)</f>
        <v>5027</v>
      </c>
      <c r="D2061" s="76" t="str">
        <f>IFERROR(__xludf.DUMMYFUNCTION("""COMPUTED_VALUE"""),"Result Recomendation")</f>
        <v>Result Recomendation</v>
      </c>
      <c r="E2061" s="84">
        <f>IFERROR(__xludf.DUMMYFUNCTION("""COMPUTED_VALUE"""),46108.8)</f>
        <v>46108.8</v>
      </c>
      <c r="F2061" s="86">
        <f>IFERROR(__xludf.DUMMYFUNCTION("""COMPUTED_VALUE"""),46108.584386574075)</f>
        <v>46108.58439</v>
      </c>
      <c r="G2061" s="86" t="str">
        <f>IFERROR(__xludf.DUMMYFUNCTION("""COMPUTED_VALUE"""),"Done")</f>
        <v>Done</v>
      </c>
      <c r="H2061" s="88">
        <f>IFERROR(__xludf.DUMMYFUNCTION("""COMPUTED_VALUE"""),0.0)</f>
        <v>0</v>
      </c>
      <c r="I2061" s="90" t="str">
        <f>IFERROR(__xludf.DUMMYFUNCTION("""COMPUTED_VALUE"""),"EMP0042 HULESHWAR KUMAR SAHU")</f>
        <v>EMP0042 HULESHWAR KUMAR SAHU</v>
      </c>
      <c r="J2061" s="91"/>
    </row>
    <row r="2062">
      <c r="B2062" s="76" t="str">
        <f>IFERROR(__xludf.DUMMYFUNCTION("""COMPUTED_VALUE"""),"Upload file, cross check and inform                               ")</f>
        <v>Upload file, cross check and inform                               </v>
      </c>
      <c r="C2062" s="82">
        <f>IFERROR(__xludf.DUMMYFUNCTION("""COMPUTED_VALUE"""),5028.0)</f>
        <v>5028</v>
      </c>
      <c r="D2062" s="76" t="str">
        <f>IFERROR(__xludf.DUMMYFUNCTION("""COMPUTED_VALUE"""),"ENROLLMENT REPORT")</f>
        <v>ENROLLMENT REPORT</v>
      </c>
      <c r="E2062" s="84">
        <f>IFERROR(__xludf.DUMMYFUNCTION("""COMPUTED_VALUE"""),46108.82361111111)</f>
        <v>46108.82361</v>
      </c>
      <c r="F2062" s="86">
        <f>IFERROR(__xludf.DUMMYFUNCTION("""COMPUTED_VALUE"""),46108.584386574075)</f>
        <v>46108.58439</v>
      </c>
      <c r="G2062" s="86" t="str">
        <f>IFERROR(__xludf.DUMMYFUNCTION("""COMPUTED_VALUE"""),"Done")</f>
        <v>Done</v>
      </c>
      <c r="H2062" s="88">
        <f>IFERROR(__xludf.DUMMYFUNCTION("""COMPUTED_VALUE"""),0.0)</f>
        <v>0</v>
      </c>
      <c r="I2062" s="90" t="str">
        <f>IFERROR(__xludf.DUMMYFUNCTION("""COMPUTED_VALUE"""),"EMP5009 Rup Kumar Mandal")</f>
        <v>EMP5009 Rup Kumar Mandal</v>
      </c>
      <c r="J2062" s="91"/>
    </row>
    <row r="2063">
      <c r="B2063" s="76" t="str">
        <f>IFERROR(__xludf.DUMMYFUNCTION("""COMPUTED_VALUE"""),"Upload file, cross check and inform                               ")</f>
        <v>Upload file, cross check and inform                               </v>
      </c>
      <c r="C2063" s="82">
        <f>IFERROR(__xludf.DUMMYFUNCTION("""COMPUTED_VALUE"""),5029.0)</f>
        <v>5029</v>
      </c>
      <c r="D2063" s="76" t="str">
        <f>IFERROR(__xludf.DUMMYFUNCTION("""COMPUTED_VALUE"""),"ENROLLMENT REPORT")</f>
        <v>ENROLLMENT REPORT</v>
      </c>
      <c r="E2063" s="84">
        <f>IFERROR(__xludf.DUMMYFUNCTION("""COMPUTED_VALUE"""),46108.82847222222)</f>
        <v>46108.82847</v>
      </c>
      <c r="F2063" s="86">
        <f>IFERROR(__xludf.DUMMYFUNCTION("""COMPUTED_VALUE"""),46108.584386574075)</f>
        <v>46108.58439</v>
      </c>
      <c r="G2063" s="86" t="str">
        <f>IFERROR(__xludf.DUMMYFUNCTION("""COMPUTED_VALUE"""),"Done")</f>
        <v>Done</v>
      </c>
      <c r="H2063" s="88">
        <f>IFERROR(__xludf.DUMMYFUNCTION("""COMPUTED_VALUE"""),0.0)</f>
        <v>0</v>
      </c>
      <c r="I2063" s="90" t="str">
        <f>IFERROR(__xludf.DUMMYFUNCTION("""COMPUTED_VALUE"""),"EMP5009 Rup Kumar Mandal")</f>
        <v>EMP5009 Rup Kumar Mandal</v>
      </c>
      <c r="J2063" s="91"/>
    </row>
    <row r="2064">
      <c r="B2064" s="76" t="str">
        <f>IFERROR(__xludf.DUMMYFUNCTION("""COMPUTED_VALUE"""),"Upload file, cross check and inform                               ")</f>
        <v>Upload file, cross check and inform                               </v>
      </c>
      <c r="C2064" s="82">
        <f>IFERROR(__xludf.DUMMYFUNCTION("""COMPUTED_VALUE"""),5030.0)</f>
        <v>5030</v>
      </c>
      <c r="D2064" s="76" t="str">
        <f>IFERROR(__xludf.DUMMYFUNCTION("""COMPUTED_VALUE"""),"The course name should be taken from the main header in all result reports.")</f>
        <v>The course name should be taken from the main header in all result reports.</v>
      </c>
      <c r="E2064" s="84">
        <f>IFERROR(__xludf.DUMMYFUNCTION("""COMPUTED_VALUE"""),46109.43472222222)</f>
        <v>46109.43472</v>
      </c>
      <c r="F2064" s="86">
        <f>IFERROR(__xludf.DUMMYFUNCTION("""COMPUTED_VALUE"""),46108.584386574075)</f>
        <v>46108.58439</v>
      </c>
      <c r="G2064" s="86" t="str">
        <f>IFERROR(__xludf.DUMMYFUNCTION("""COMPUTED_VALUE"""),"Done")</f>
        <v>Done</v>
      </c>
      <c r="H2064" s="88">
        <f>IFERROR(__xludf.DUMMYFUNCTION("""COMPUTED_VALUE"""),0.0)</f>
        <v>0</v>
      </c>
      <c r="I2064" s="90" t="str">
        <f>IFERROR(__xludf.DUMMYFUNCTION("""COMPUTED_VALUE"""),"EMP0237 Swarnendu Chakraborty")</f>
        <v>EMP0237 Swarnendu Chakraborty</v>
      </c>
      <c r="J2064" s="91"/>
    </row>
    <row r="2065">
      <c r="B2065" s="76" t="str">
        <f>IFERROR(__xludf.DUMMYFUNCTION("""COMPUTED_VALUE"""),"Upload file, cross check and inform                               ")</f>
        <v>Upload file, cross check and inform                               </v>
      </c>
      <c r="C2065" s="82">
        <f>IFERROR(__xludf.DUMMYFUNCTION("""COMPUTED_VALUE"""),5031.0)</f>
        <v>5031</v>
      </c>
      <c r="D2065" s="76" t="str">
        <f>IFERROR(__xludf.DUMMYFUNCTION("""COMPUTED_VALUE"""),"STUDENTS REGISTRATION COUNT")</f>
        <v>STUDENTS REGISTRATION COUNT</v>
      </c>
      <c r="E2065" s="84">
        <f>IFERROR(__xludf.DUMMYFUNCTION("""COMPUTED_VALUE"""),46109.493055555555)</f>
        <v>46109.49306</v>
      </c>
      <c r="F2065" s="86">
        <f>IFERROR(__xludf.DUMMYFUNCTION("""COMPUTED_VALUE"""),46108.584386574075)</f>
        <v>46108.58439</v>
      </c>
      <c r="G2065" s="86" t="str">
        <f>IFERROR(__xludf.DUMMYFUNCTION("""COMPUTED_VALUE"""),"Done")</f>
        <v>Done</v>
      </c>
      <c r="H2065" s="88">
        <f>IFERROR(__xludf.DUMMYFUNCTION("""COMPUTED_VALUE"""),0.0)</f>
        <v>0</v>
      </c>
      <c r="I2065" s="90" t="str">
        <f>IFERROR(__xludf.DUMMYFUNCTION("""COMPUTED_VALUE"""),"EMP0237 Swarnendu Chakraborty")</f>
        <v>EMP0237 Swarnendu Chakraborty</v>
      </c>
      <c r="J2065" s="91"/>
    </row>
    <row r="2066">
      <c r="B2066" s="76" t="str">
        <f>IFERROR(__xludf.DUMMYFUNCTION("""COMPUTED_VALUE"""),"Upload file, cross check and inform                               ")</f>
        <v>Upload file, cross check and inform                               </v>
      </c>
      <c r="C2066" s="82">
        <f>IFERROR(__xludf.DUMMYFUNCTION("""COMPUTED_VALUE"""),5032.0)</f>
        <v>5032</v>
      </c>
      <c r="D2066" s="76" t="str">
        <f>IFERROR(__xludf.DUMMYFUNCTION("""COMPUTED_VALUE"""),"TR")</f>
        <v>TR</v>
      </c>
      <c r="E2066" s="84">
        <f>IFERROR(__xludf.DUMMYFUNCTION("""COMPUTED_VALUE"""),46111.43680555555)</f>
        <v>46111.43681</v>
      </c>
      <c r="F2066" s="86">
        <f>IFERROR(__xludf.DUMMYFUNCTION("""COMPUTED_VALUE"""),46108.67320237269)</f>
        <v>46108.6732</v>
      </c>
      <c r="G2066" s="86" t="str">
        <f>IFERROR(__xludf.DUMMYFUNCTION("""COMPUTED_VALUE"""),"Done")</f>
        <v>Done</v>
      </c>
      <c r="H2066" s="88">
        <f>IFERROR(__xludf.DUMMYFUNCTION("""COMPUTED_VALUE"""),0.0)</f>
        <v>0</v>
      </c>
      <c r="I2066" s="90" t="str">
        <f>IFERROR(__xludf.DUMMYFUNCTION("""COMPUTED_VALUE"""),"EMP0042 HULESHWAR KUMAR SAHU")</f>
        <v>EMP0042 HULESHWAR KUMAR SAHU</v>
      </c>
      <c r="J2066" s="91"/>
    </row>
    <row r="2067">
      <c r="B2067" s="76" t="str">
        <f>IFERROR(__xludf.DUMMYFUNCTION("""COMPUTED_VALUE"""),"Upload file, cross check and inform                               ")</f>
        <v>Upload file, cross check and inform                               </v>
      </c>
      <c r="C2067" s="82">
        <f>IFERROR(__xludf.DUMMYFUNCTION("""COMPUTED_VALUE"""),5033.0)</f>
        <v>5033</v>
      </c>
      <c r="D2067" s="76" t="str">
        <f>IFERROR(__xludf.DUMMYFUNCTION("""COMPUTED_VALUE"""),"NEP TR ")</f>
        <v>NEP TR </v>
      </c>
      <c r="E2067" s="84">
        <f>IFERROR(__xludf.DUMMYFUNCTION("""COMPUTED_VALUE"""),46111.57638888889)</f>
        <v>46111.57639</v>
      </c>
      <c r="F2067" s="86">
        <f>IFERROR(__xludf.DUMMYFUNCTION("""COMPUTED_VALUE"""),46110.70969351852)</f>
        <v>46110.70969</v>
      </c>
      <c r="G2067" s="86" t="str">
        <f>IFERROR(__xludf.DUMMYFUNCTION("""COMPUTED_VALUE"""),"Done")</f>
        <v>Done</v>
      </c>
      <c r="H2067" s="88">
        <f>IFERROR(__xludf.DUMMYFUNCTION("""COMPUTED_VALUE"""),0.0)</f>
        <v>0</v>
      </c>
      <c r="I2067" s="90" t="str">
        <f>IFERROR(__xludf.DUMMYFUNCTION("""COMPUTED_VALUE"""),"EMP0042 HULESHWAR KUMAR SAHU")</f>
        <v>EMP0042 HULESHWAR KUMAR SAHU</v>
      </c>
      <c r="J2067" s="91"/>
    </row>
    <row r="2068">
      <c r="B2068" s="76" t="str">
        <f>IFERROR(__xludf.DUMMYFUNCTION("""COMPUTED_VALUE"""),"Upload file, cross check and inform                               ")</f>
        <v>Upload file, cross check and inform                               </v>
      </c>
      <c r="C2068" s="82">
        <f>IFERROR(__xludf.DUMMYFUNCTION("""COMPUTED_VALUE"""),5034.0)</f>
        <v>5034</v>
      </c>
      <c r="D2068" s="76" t="str">
        <f>IFERROR(__xludf.DUMMYFUNCTION("""COMPUTED_VALUE"""),"PRE PROCESS ERROR STEP-7")</f>
        <v>PRE PROCESS ERROR STEP-7</v>
      </c>
      <c r="E2068" s="84">
        <f>IFERROR(__xludf.DUMMYFUNCTION("""COMPUTED_VALUE"""),46111.60763888889)</f>
        <v>46111.60764</v>
      </c>
      <c r="F2068" s="86">
        <f>IFERROR(__xludf.DUMMYFUNCTION("""COMPUTED_VALUE"""),46109.681022372686)</f>
        <v>46109.68102</v>
      </c>
      <c r="G2068" s="86" t="str">
        <f>IFERROR(__xludf.DUMMYFUNCTION("""COMPUTED_VALUE"""),"Done")</f>
        <v>Done</v>
      </c>
      <c r="H2068" s="88">
        <f>IFERROR(__xludf.DUMMYFUNCTION("""COMPUTED_VALUE"""),0.0)</f>
        <v>0</v>
      </c>
      <c r="I2068" s="90" t="str">
        <f>IFERROR(__xludf.DUMMYFUNCTION("""COMPUTED_VALUE"""),"EMP0237 Swarnendu Chakraborty")</f>
        <v>EMP0237 Swarnendu Chakraborty</v>
      </c>
      <c r="J2068" s="91"/>
    </row>
    <row r="2069">
      <c r="B2069" s="76" t="str">
        <f>IFERROR(__xludf.DUMMYFUNCTION("""COMPUTED_VALUE"""),"Upload file, cross check and inform                               ")</f>
        <v>Upload file, cross check and inform                               </v>
      </c>
      <c r="C2069" s="82">
        <f>IFERROR(__xludf.DUMMYFUNCTION("""COMPUTED_VALUE"""),5035.0)</f>
        <v>5035</v>
      </c>
      <c r="D2069" s="76" t="str">
        <f>IFERROR(__xludf.DUMMYFUNCTION("""COMPUTED_VALUE"""),"NEP ENROLLMENT/REGISTRATION REPORT")</f>
        <v>NEP ENROLLMENT/REGISTRATION REPORT</v>
      </c>
      <c r="E2069" s="84">
        <f>IFERROR(__xludf.DUMMYFUNCTION("""COMPUTED_VALUE"""),46111.79513888889)</f>
        <v>46111.79514</v>
      </c>
      <c r="F2069" s="86">
        <f>IFERROR(__xludf.DUMMYFUNCTION("""COMPUTED_VALUE"""),46109.68111575232)</f>
        <v>46109.68112</v>
      </c>
      <c r="G2069" s="86" t="str">
        <f>IFERROR(__xludf.DUMMYFUNCTION("""COMPUTED_VALUE"""),"Done")</f>
        <v>Done</v>
      </c>
      <c r="H2069" s="88">
        <f>IFERROR(__xludf.DUMMYFUNCTION("""COMPUTED_VALUE"""),0.0)</f>
        <v>0</v>
      </c>
      <c r="I2069" s="90" t="str">
        <f>IFERROR(__xludf.DUMMYFUNCTION("""COMPUTED_VALUE"""),"EMP0042 HULESHWAR KUMAR SAHU")</f>
        <v>EMP0042 HULESHWAR KUMAR SAHU</v>
      </c>
      <c r="J2069" s="91"/>
    </row>
    <row r="2070">
      <c r="B2070" s="76" t="str">
        <f>IFERROR(__xludf.DUMMYFUNCTION("""COMPUTED_VALUE"""),"Upload file, cross check and inform                               ")</f>
        <v>Upload file, cross check and inform                               </v>
      </c>
      <c r="C2070" s="82">
        <f>IFERROR(__xludf.DUMMYFUNCTION("""COMPUTED_VALUE"""),5036.0)</f>
        <v>5036</v>
      </c>
      <c r="D2070" s="76" t="str">
        <f>IFERROR(__xludf.DUMMYFUNCTION("""COMPUTED_VALUE"""),"MUTIPLE REPORT")</f>
        <v>MUTIPLE REPORT</v>
      </c>
      <c r="E2070" s="84">
        <f>IFERROR(__xludf.DUMMYFUNCTION("""COMPUTED_VALUE"""),46111.820138888885)</f>
        <v>46111.82014</v>
      </c>
      <c r="F2070" s="86">
        <f>IFERROR(__xludf.DUMMYFUNCTION("""COMPUTED_VALUE"""),46110.71030201389)</f>
        <v>46110.7103</v>
      </c>
      <c r="G2070" s="86" t="str">
        <f>IFERROR(__xludf.DUMMYFUNCTION("""COMPUTED_VALUE"""),"Done")</f>
        <v>Done</v>
      </c>
      <c r="H2070" s="88">
        <f>IFERROR(__xludf.DUMMYFUNCTION("""COMPUTED_VALUE"""),0.0)</f>
        <v>0</v>
      </c>
      <c r="I2070" s="90" t="str">
        <f>IFERROR(__xludf.DUMMYFUNCTION("""COMPUTED_VALUE"""),"EMP0042 HULESHWAR KUMAR SAHU")</f>
        <v>EMP0042 HULESHWAR KUMAR SAHU</v>
      </c>
      <c r="J2070" s="91"/>
    </row>
    <row r="2071">
      <c r="B2071" s="76" t="str">
        <f>IFERROR(__xludf.DUMMYFUNCTION("""COMPUTED_VALUE"""),"Upload file, cross check and inform                               ")</f>
        <v>Upload file, cross check and inform                               </v>
      </c>
      <c r="C2071" s="82">
        <f>IFERROR(__xludf.DUMMYFUNCTION("""COMPUTED_VALUE"""),5037.0)</f>
        <v>5037</v>
      </c>
      <c r="D2071" s="76" t="str">
        <f>IFERROR(__xludf.DUMMYFUNCTION("""COMPUTED_VALUE"""),"NEP M.A political1ST SEM TR ")</f>
        <v>NEP M.A political1ST SEM TR </v>
      </c>
      <c r="E2071" s="84">
        <f>IFERROR(__xludf.DUMMYFUNCTION("""COMPUTED_VALUE"""),46112.42291666666)</f>
        <v>46112.42292</v>
      </c>
      <c r="F2071" s="86">
        <f>IFERROR(__xludf.DUMMYFUNCTION("""COMPUTED_VALUE"""),46109.683295960655)</f>
        <v>46109.6833</v>
      </c>
      <c r="G2071" s="86" t="str">
        <f>IFERROR(__xludf.DUMMYFUNCTION("""COMPUTED_VALUE"""),"Done")</f>
        <v>Done</v>
      </c>
      <c r="H2071" s="88">
        <f>IFERROR(__xludf.DUMMYFUNCTION("""COMPUTED_VALUE"""),0.0)</f>
        <v>0</v>
      </c>
      <c r="I2071" s="90" t="str">
        <f>IFERROR(__xludf.DUMMYFUNCTION("""COMPUTED_VALUE"""),"EMP0042 HULESHWAR KUMAR SAHU")</f>
        <v>EMP0042 HULESHWAR KUMAR SAHU</v>
      </c>
      <c r="J2071" s="91"/>
    </row>
    <row r="2072">
      <c r="B2072" s="76" t="str">
        <f>IFERROR(__xludf.DUMMYFUNCTION("""COMPUTED_VALUE"""),"Upload file, cross check and inform                               ")</f>
        <v>Upload file, cross check and inform                               </v>
      </c>
      <c r="C2072" s="82">
        <f>IFERROR(__xludf.DUMMYFUNCTION("""COMPUTED_VALUE"""),5038.0)</f>
        <v>5038</v>
      </c>
      <c r="D2072" s="76" t="str">
        <f>IFERROR(__xludf.DUMMYFUNCTION("""COMPUTED_VALUE"""),"NEP SCHEMA REPORT")</f>
        <v>NEP SCHEMA REPORT</v>
      </c>
      <c r="E2072" s="84">
        <f>IFERROR(__xludf.DUMMYFUNCTION("""COMPUTED_VALUE"""),46112.43958333333)</f>
        <v>46112.43958</v>
      </c>
      <c r="F2072" s="86">
        <f>IFERROR(__xludf.DUMMYFUNCTION("""COMPUTED_VALUE"""),46109.68345413194)</f>
        <v>46109.68345</v>
      </c>
      <c r="G2072" s="86" t="str">
        <f>IFERROR(__xludf.DUMMYFUNCTION("""COMPUTED_VALUE"""),"Done")</f>
        <v>Done</v>
      </c>
      <c r="H2072" s="88">
        <f>IFERROR(__xludf.DUMMYFUNCTION("""COMPUTED_VALUE"""),0.0)</f>
        <v>0</v>
      </c>
      <c r="I2072" s="90" t="str">
        <f>IFERROR(__xludf.DUMMYFUNCTION("""COMPUTED_VALUE"""),"EMP0042 HULESHWAR KUMAR SAHU")</f>
        <v>EMP0042 HULESHWAR KUMAR SAHU</v>
      </c>
      <c r="J2072" s="91"/>
    </row>
    <row r="2073">
      <c r="B2073" s="76" t="str">
        <f>IFERROR(__xludf.DUMMYFUNCTION("""COMPUTED_VALUE"""),"Upload file, cross check and inform                               ")</f>
        <v>Upload file, cross check and inform                               </v>
      </c>
      <c r="C2073" s="82">
        <f>IFERROR(__xludf.DUMMYFUNCTION("""COMPUTED_VALUE"""),5039.0)</f>
        <v>5039</v>
      </c>
      <c r="D2073" s="76" t="str">
        <f>IFERROR(__xludf.DUMMYFUNCTION("""COMPUTED_VALUE"""),"NEP TR REPORT")</f>
        <v>NEP TR REPORT</v>
      </c>
      <c r="E2073" s="84">
        <f>IFERROR(__xludf.DUMMYFUNCTION("""COMPUTED_VALUE"""),46112.444444444445)</f>
        <v>46112.44444</v>
      </c>
      <c r="F2073" s="86">
        <f>IFERROR(__xludf.DUMMYFUNCTION("""COMPUTED_VALUE"""),46109.68362148148)</f>
        <v>46109.68362</v>
      </c>
      <c r="G2073" s="86" t="str">
        <f>IFERROR(__xludf.DUMMYFUNCTION("""COMPUTED_VALUE"""),"Done")</f>
        <v>Done</v>
      </c>
      <c r="H2073" s="88">
        <f>IFERROR(__xludf.DUMMYFUNCTION("""COMPUTED_VALUE"""),0.0)</f>
        <v>0</v>
      </c>
      <c r="I2073" s="90" t="str">
        <f>IFERROR(__xludf.DUMMYFUNCTION("""COMPUTED_VALUE"""),"EMP0042 HULESHWAR KUMAR SAHU")</f>
        <v>EMP0042 HULESHWAR KUMAR SAHU</v>
      </c>
      <c r="J2073" s="91"/>
    </row>
    <row r="2074">
      <c r="B2074" s="76" t="str">
        <f>IFERROR(__xludf.DUMMYFUNCTION("""COMPUTED_VALUE"""),"Upload file, cross check and inform                               ")</f>
        <v>Upload file, cross check and inform                               </v>
      </c>
      <c r="C2074" s="82">
        <f>IFERROR(__xludf.DUMMYFUNCTION("""COMPUTED_VALUE"""),5040.0)</f>
        <v>5040</v>
      </c>
      <c r="D2074" s="76" t="str">
        <f>IFERROR(__xludf.DUMMYFUNCTION("""COMPUTED_VALUE"""),"Correction in Calculation MD Anatomy,3rd year")</f>
        <v>Correction in Calculation MD Anatomy,3rd year</v>
      </c>
      <c r="E2074" s="84">
        <f>IFERROR(__xludf.DUMMYFUNCTION("""COMPUTED_VALUE"""),46112.65347222222)</f>
        <v>46112.65347</v>
      </c>
      <c r="F2074" s="86">
        <f>IFERROR(__xludf.DUMMYFUNCTION("""COMPUTED_VALUE"""),46110.510773055554)</f>
        <v>46110.51077</v>
      </c>
      <c r="G2074" s="86" t="str">
        <f>IFERROR(__xludf.DUMMYFUNCTION("""COMPUTED_VALUE"""),"Done")</f>
        <v>Done</v>
      </c>
      <c r="H2074" s="88">
        <f>IFERROR(__xludf.DUMMYFUNCTION("""COMPUTED_VALUE"""),0.0)</f>
        <v>0</v>
      </c>
      <c r="I2074" s="90" t="str">
        <f>IFERROR(__xludf.DUMMYFUNCTION("""COMPUTED_VALUE"""),"EMP0042 HULESHWAR KUMAR SAHU")</f>
        <v>EMP0042 HULESHWAR KUMAR SAHU</v>
      </c>
      <c r="J2074" s="91"/>
    </row>
    <row r="2075">
      <c r="B2075" s="76" t="str">
        <f>IFERROR(__xludf.DUMMYFUNCTION("""COMPUTED_VALUE"""),"Upload file, cross check and inform                               ")</f>
        <v>Upload file, cross check and inform                               </v>
      </c>
      <c r="C2075" s="82">
        <f>IFERROR(__xludf.DUMMYFUNCTION("""COMPUTED_VALUE"""),5041.0)</f>
        <v>5041</v>
      </c>
      <c r="D2075" s="76" t="str">
        <f>IFERROR(__xludf.DUMMYFUNCTION("""COMPUTED_VALUE"""),"result commetee")</f>
        <v>result commetee</v>
      </c>
      <c r="E2075" s="84">
        <f>IFERROR(__xludf.DUMMYFUNCTION("""COMPUTED_VALUE"""),46112.65416666667)</f>
        <v>46112.65417</v>
      </c>
      <c r="F2075" s="86">
        <f>IFERROR(__xludf.DUMMYFUNCTION("""COMPUTED_VALUE"""),46110.593721805555)</f>
        <v>46110.59372</v>
      </c>
      <c r="G2075" s="86" t="str">
        <f>IFERROR(__xludf.DUMMYFUNCTION("""COMPUTED_VALUE"""),"Done")</f>
        <v>Done</v>
      </c>
      <c r="H2075" s="88">
        <f>IFERROR(__xludf.DUMMYFUNCTION("""COMPUTED_VALUE"""),0.0)</f>
        <v>0</v>
      </c>
      <c r="I2075" s="90" t="str">
        <f>IFERROR(__xludf.DUMMYFUNCTION("""COMPUTED_VALUE"""),"EMP0042 HULESHWAR KUMAR SAHU")</f>
        <v>EMP0042 HULESHWAR KUMAR SAHU</v>
      </c>
      <c r="J2075" s="91"/>
    </row>
    <row r="2076">
      <c r="B2076" s="76" t="str">
        <f>IFERROR(__xludf.DUMMYFUNCTION("""COMPUTED_VALUE"""),"Upload file, cross check and inform                               ")</f>
        <v>Upload file, cross check and inform                               </v>
      </c>
      <c r="C2076" s="82">
        <f>IFERROR(__xludf.DUMMYFUNCTION("""COMPUTED_VALUE"""),5042.0)</f>
        <v>5042</v>
      </c>
      <c r="D2076" s="76" t="str">
        <f>IFERROR(__xludf.DUMMYFUNCTION("""COMPUTED_VALUE"""),"Correction in Calculation MD Physiology ,3rd year")</f>
        <v>Correction in Calculation MD Physiology ,3rd year</v>
      </c>
      <c r="E2076" s="84">
        <f>IFERROR(__xludf.DUMMYFUNCTION("""COMPUTED_VALUE"""),46112.65555555555)</f>
        <v>46112.65556</v>
      </c>
      <c r="F2076" s="86">
        <f>IFERROR(__xludf.DUMMYFUNCTION("""COMPUTED_VALUE"""),46110.59404266204)</f>
        <v>46110.59404</v>
      </c>
      <c r="G2076" s="86" t="str">
        <f>IFERROR(__xludf.DUMMYFUNCTION("""COMPUTED_VALUE"""),"Done")</f>
        <v>Done</v>
      </c>
      <c r="H2076" s="88">
        <f>IFERROR(__xludf.DUMMYFUNCTION("""COMPUTED_VALUE"""),0.0)</f>
        <v>0</v>
      </c>
      <c r="I2076" s="90" t="str">
        <f>IFERROR(__xludf.DUMMYFUNCTION("""COMPUTED_VALUE"""),"EMP0042 HULESHWAR KUMAR SAHU")</f>
        <v>EMP0042 HULESHWAR KUMAR SAHU</v>
      </c>
      <c r="J2076" s="91"/>
    </row>
    <row r="2077">
      <c r="B2077" s="76" t="str">
        <f>IFERROR(__xludf.DUMMYFUNCTION("""COMPUTED_VALUE"""),"Upload file, cross check and inform                               ")</f>
        <v>Upload file, cross check and inform                               </v>
      </c>
      <c r="C2077" s="82">
        <f>IFERROR(__xludf.DUMMYFUNCTION("""COMPUTED_VALUE"""),5043.0)</f>
        <v>5043</v>
      </c>
      <c r="D2077" s="76" t="str">
        <f>IFERROR(__xludf.DUMMYFUNCTION("""COMPUTED_VALUE"""),"TR ")</f>
        <v>TR </v>
      </c>
      <c r="E2077" s="84">
        <f>IFERROR(__xludf.DUMMYFUNCTION("""COMPUTED_VALUE"""),46112.65902777778)</f>
        <v>46112.65903</v>
      </c>
      <c r="F2077" s="86">
        <f>IFERROR(__xludf.DUMMYFUNCTION("""COMPUTED_VALUE"""),46109.68443366898)</f>
        <v>46109.68443</v>
      </c>
      <c r="G2077" s="86" t="str">
        <f>IFERROR(__xludf.DUMMYFUNCTION("""COMPUTED_VALUE"""),"Done")</f>
        <v>Done</v>
      </c>
      <c r="H2077" s="88">
        <f>IFERROR(__xludf.DUMMYFUNCTION("""COMPUTED_VALUE"""),0.0)</f>
        <v>0</v>
      </c>
      <c r="I2077" s="90" t="str">
        <f>IFERROR(__xludf.DUMMYFUNCTION("""COMPUTED_VALUE"""),"EMP0042 HULESHWAR KUMAR SAHU")</f>
        <v>EMP0042 HULESHWAR KUMAR SAHU</v>
      </c>
      <c r="J2077" s="91"/>
    </row>
    <row r="2078">
      <c r="B2078" s="76" t="str">
        <f>IFERROR(__xludf.DUMMYFUNCTION("""COMPUTED_VALUE"""),"Upload file, cross check and inform                               ")</f>
        <v>Upload file, cross check and inform                               </v>
      </c>
      <c r="C2078" s="82">
        <f>IFERROR(__xludf.DUMMYFUNCTION("""COMPUTED_VALUE"""),5044.0)</f>
        <v>5044</v>
      </c>
      <c r="D2078" s="76" t="str">
        <f>IFERROR(__xludf.DUMMYFUNCTION("""COMPUTED_VALUE"""),"ENROLLMENT REPORT (EXAMFORM REPORT ALL)")</f>
        <v>ENROLLMENT REPORT (EXAMFORM REPORT ALL)</v>
      </c>
      <c r="E2078" s="84">
        <f>IFERROR(__xludf.DUMMYFUNCTION("""COMPUTED_VALUE"""),46113.42569444445)</f>
        <v>46113.42569</v>
      </c>
      <c r="F2078" s="86">
        <f>IFERROR(__xludf.DUMMYFUNCTION("""COMPUTED_VALUE"""),46112.446643298616)</f>
        <v>46112.44664</v>
      </c>
      <c r="G2078" s="86" t="str">
        <f>IFERROR(__xludf.DUMMYFUNCTION("""COMPUTED_VALUE"""),"Done")</f>
        <v>Done</v>
      </c>
      <c r="H2078" s="88">
        <f>IFERROR(__xludf.DUMMYFUNCTION("""COMPUTED_VALUE"""),0.0)</f>
        <v>0</v>
      </c>
      <c r="I2078" s="90" t="str">
        <f>IFERROR(__xludf.DUMMYFUNCTION("""COMPUTED_VALUE"""),"EMP0237 Swarnendu Chakraborty")</f>
        <v>EMP0237 Swarnendu Chakraborty</v>
      </c>
      <c r="J2078" s="91"/>
    </row>
    <row r="2079">
      <c r="B2079" s="76" t="str">
        <f>IFERROR(__xludf.DUMMYFUNCTION("""COMPUTED_VALUE"""),"Upload file, cross check and inform                               ")</f>
        <v>Upload file, cross check and inform                               </v>
      </c>
      <c r="C2079" s="82">
        <f>IFERROR(__xludf.DUMMYFUNCTION("""COMPUTED_VALUE"""),5045.0)</f>
        <v>5045</v>
      </c>
      <c r="D2079" s="76" t="str">
        <f>IFERROR(__xludf.DUMMYFUNCTION("""COMPUTED_VALUE"""),"TR REPORT")</f>
        <v>TR REPORT</v>
      </c>
      <c r="E2079" s="84">
        <f>IFERROR(__xludf.DUMMYFUNCTION("""COMPUTED_VALUE"""),46113.47152777778)</f>
        <v>46113.47153</v>
      </c>
      <c r="F2079" s="86">
        <f>IFERROR(__xludf.DUMMYFUNCTION("""COMPUTED_VALUE"""),46112.56274285879)</f>
        <v>46112.56274</v>
      </c>
      <c r="G2079" s="86" t="str">
        <f>IFERROR(__xludf.DUMMYFUNCTION("""COMPUTED_VALUE"""),"Done")</f>
        <v>Done</v>
      </c>
      <c r="H2079" s="88">
        <f>IFERROR(__xludf.DUMMYFUNCTION("""COMPUTED_VALUE"""),0.0)</f>
        <v>0</v>
      </c>
      <c r="I2079" s="90" t="str">
        <f>IFERROR(__xludf.DUMMYFUNCTION("""COMPUTED_VALUE"""),"EMP5009 Rup Kumar Mandal")</f>
        <v>EMP5009 Rup Kumar Mandal</v>
      </c>
      <c r="J2079" s="91"/>
    </row>
    <row r="2080">
      <c r="B2080" s="76" t="str">
        <f>IFERROR(__xludf.DUMMYFUNCTION("""COMPUTED_VALUE"""),"Upload file, cross check and inform                               ")</f>
        <v>Upload file, cross check and inform                               </v>
      </c>
      <c r="C2080" s="82">
        <f>IFERROR(__xludf.DUMMYFUNCTION("""COMPUTED_VALUE"""),5046.0)</f>
        <v>5046</v>
      </c>
      <c r="D2080" s="76" t="str">
        <f>IFERROR(__xludf.DUMMYFUNCTION("""COMPUTED_VALUE"""),"3629")</f>
        <v>3629</v>
      </c>
      <c r="E2080" s="84">
        <f>IFERROR(__xludf.DUMMYFUNCTION("""COMPUTED_VALUE"""),46113.5625)</f>
        <v>46113.5625</v>
      </c>
      <c r="F2080" s="86">
        <f>IFERROR(__xludf.DUMMYFUNCTION("""COMPUTED_VALUE"""),46112.56274285879)</f>
        <v>46112.56274</v>
      </c>
      <c r="G2080" s="86" t="str">
        <f>IFERROR(__xludf.DUMMYFUNCTION("""COMPUTED_VALUE"""),"Done")</f>
        <v>Done</v>
      </c>
      <c r="H2080" s="88">
        <f>IFERROR(__xludf.DUMMYFUNCTION("""COMPUTED_VALUE"""),0.0)</f>
        <v>0</v>
      </c>
      <c r="I2080" s="90" t="str">
        <f>IFERROR(__xludf.DUMMYFUNCTION("""COMPUTED_VALUE"""),"EMP5009 Rup Kumar Mandal")</f>
        <v>EMP5009 Rup Kumar Mandal</v>
      </c>
      <c r="J2080" s="91"/>
    </row>
    <row r="2081">
      <c r="B2081" s="76" t="str">
        <f>IFERROR(__xludf.DUMMYFUNCTION("""COMPUTED_VALUE"""),"Upload file, cross check and inform                               ")</f>
        <v>Upload file, cross check and inform                               </v>
      </c>
      <c r="C2081" s="82">
        <f>IFERROR(__xludf.DUMMYFUNCTION("""COMPUTED_VALUE"""),5047.0)</f>
        <v>5047</v>
      </c>
      <c r="D2081" s="76" t="str">
        <f>IFERROR(__xludf.DUMMYFUNCTION("""COMPUTED_VALUE"""),"3630")</f>
        <v>3630</v>
      </c>
      <c r="E2081" s="84">
        <f>IFERROR(__xludf.DUMMYFUNCTION("""COMPUTED_VALUE"""),46113.56388888889)</f>
        <v>46113.56389</v>
      </c>
      <c r="F2081" s="86">
        <f>IFERROR(__xludf.DUMMYFUNCTION("""COMPUTED_VALUE"""),46112.562750439814)</f>
        <v>46112.56275</v>
      </c>
      <c r="G2081" s="86" t="str">
        <f>IFERROR(__xludf.DUMMYFUNCTION("""COMPUTED_VALUE"""),"Done")</f>
        <v>Done</v>
      </c>
      <c r="H2081" s="88">
        <f>IFERROR(__xludf.DUMMYFUNCTION("""COMPUTED_VALUE"""),0.0)</f>
        <v>0</v>
      </c>
      <c r="I2081" s="90" t="str">
        <f>IFERROR(__xludf.DUMMYFUNCTION("""COMPUTED_VALUE"""),"EMP5009 Rup Kumar Mandal")</f>
        <v>EMP5009 Rup Kumar Mandal</v>
      </c>
      <c r="J2081" s="91"/>
    </row>
    <row r="2082">
      <c r="B2082" s="76" t="str">
        <f>IFERROR(__xludf.DUMMYFUNCTION("""COMPUTED_VALUE"""),"Upload file, cross check and inform                               ")</f>
        <v>Upload file, cross check and inform                               </v>
      </c>
      <c r="C2082" s="82">
        <f>IFERROR(__xludf.DUMMYFUNCTION("""COMPUTED_VALUE"""),5048.0)</f>
        <v>5048</v>
      </c>
      <c r="D2082" s="76" t="str">
        <f>IFERROR(__xludf.DUMMYFUNCTION("""COMPUTED_VALUE"""),"3629")</f>
        <v>3629</v>
      </c>
      <c r="E2082" s="84">
        <f>IFERROR(__xludf.DUMMYFUNCTION("""COMPUTED_VALUE"""),46113.56458333333)</f>
        <v>46113.56458</v>
      </c>
      <c r="F2082" s="86">
        <f>IFERROR(__xludf.DUMMYFUNCTION("""COMPUTED_VALUE"""),46112.56275788195)</f>
        <v>46112.56276</v>
      </c>
      <c r="G2082" s="86" t="str">
        <f>IFERROR(__xludf.DUMMYFUNCTION("""COMPUTED_VALUE"""),"Done")</f>
        <v>Done</v>
      </c>
      <c r="H2082" s="88">
        <f>IFERROR(__xludf.DUMMYFUNCTION("""COMPUTED_VALUE"""),0.0)</f>
        <v>0</v>
      </c>
      <c r="I2082" s="90" t="str">
        <f>IFERROR(__xludf.DUMMYFUNCTION("""COMPUTED_VALUE"""),"EMP5009 Rup Kumar Mandal")</f>
        <v>EMP5009 Rup Kumar Mandal</v>
      </c>
      <c r="J2082" s="91"/>
    </row>
    <row r="2083">
      <c r="B2083" s="76" t="str">
        <f>IFERROR(__xludf.DUMMYFUNCTION("""COMPUTED_VALUE"""),"Upload file, cross check and inform                               ")</f>
        <v>Upload file, cross check and inform                               </v>
      </c>
      <c r="C2083" s="82">
        <f>IFERROR(__xludf.DUMMYFUNCTION("""COMPUTED_VALUE"""),5049.0)</f>
        <v>5049</v>
      </c>
      <c r="D2083" s="76" t="str">
        <f>IFERROR(__xludf.DUMMYFUNCTION("""COMPUTED_VALUE"""),"3630")</f>
        <v>3630</v>
      </c>
      <c r="E2083" s="84">
        <f>IFERROR(__xludf.DUMMYFUNCTION("""COMPUTED_VALUE"""),46113.56597222222)</f>
        <v>46113.56597</v>
      </c>
      <c r="F2083" s="86">
        <f>IFERROR(__xludf.DUMMYFUNCTION("""COMPUTED_VALUE"""),46112.56276396991)</f>
        <v>46112.56276</v>
      </c>
      <c r="G2083" s="86" t="str">
        <f>IFERROR(__xludf.DUMMYFUNCTION("""COMPUTED_VALUE"""),"Done")</f>
        <v>Done</v>
      </c>
      <c r="H2083" s="88">
        <f>IFERROR(__xludf.DUMMYFUNCTION("""COMPUTED_VALUE"""),0.0)</f>
        <v>0</v>
      </c>
      <c r="I2083" s="90" t="str">
        <f>IFERROR(__xludf.DUMMYFUNCTION("""COMPUTED_VALUE"""),"EMP5009 Rup Kumar Mandal")</f>
        <v>EMP5009 Rup Kumar Mandal</v>
      </c>
      <c r="J2083" s="91"/>
    </row>
    <row r="2084">
      <c r="B2084" s="76" t="str">
        <f>IFERROR(__xludf.DUMMYFUNCTION("""COMPUTED_VALUE"""),"Upload file, cross check and inform                               ")</f>
        <v>Upload file, cross check and inform                               </v>
      </c>
      <c r="C2084" s="82">
        <f>IFERROR(__xludf.DUMMYFUNCTION("""COMPUTED_VALUE"""),5050.0)</f>
        <v>5050</v>
      </c>
      <c r="D2084" s="76" t="str">
        <f>IFERROR(__xludf.DUMMYFUNCTION("""COMPUTED_VALUE"""),"TR")</f>
        <v>TR</v>
      </c>
      <c r="E2084" s="84">
        <f>IFERROR(__xludf.DUMMYFUNCTION("""COMPUTED_VALUE"""),46113.620833333334)</f>
        <v>46113.62083</v>
      </c>
      <c r="F2084" s="86">
        <f>IFERROR(__xludf.DUMMYFUNCTION("""COMPUTED_VALUE"""),46112.562774768514)</f>
        <v>46112.56277</v>
      </c>
      <c r="G2084" s="86" t="str">
        <f>IFERROR(__xludf.DUMMYFUNCTION("""COMPUTED_VALUE"""),"Done")</f>
        <v>Done</v>
      </c>
      <c r="H2084" s="88">
        <f>IFERROR(__xludf.DUMMYFUNCTION("""COMPUTED_VALUE"""),0.0)</f>
        <v>0</v>
      </c>
      <c r="I2084" s="90" t="str">
        <f>IFERROR(__xludf.DUMMYFUNCTION("""COMPUTED_VALUE"""),"EMP0042 HULESHWAR KUMAR SAHU")</f>
        <v>EMP0042 HULESHWAR KUMAR SAHU</v>
      </c>
      <c r="J2084" s="91"/>
    </row>
    <row r="2085">
      <c r="B2085" s="76" t="str">
        <f>IFERROR(__xludf.DUMMYFUNCTION("""COMPUTED_VALUE"""),"Upload file, cross check and inform                               ")</f>
        <v>Upload file, cross check and inform                               </v>
      </c>
      <c r="C2085" s="82">
        <f>IFERROR(__xludf.DUMMYFUNCTION("""COMPUTED_VALUE"""),5051.0)</f>
        <v>5051</v>
      </c>
      <c r="D2085" s="76" t="str">
        <f>IFERROR(__xludf.DUMMYFUNCTION("""COMPUTED_VALUE"""),"Teacher entered  marks entry  [Theory Marks Entry (Teacher)]")</f>
        <v>Teacher entered  marks entry  [Theory Marks Entry (Teacher)]</v>
      </c>
      <c r="E2085" s="84">
        <f>IFERROR(__xludf.DUMMYFUNCTION("""COMPUTED_VALUE"""),46113.804861111115)</f>
        <v>46113.80486</v>
      </c>
      <c r="F2085" s="86">
        <f>IFERROR(__xludf.DUMMYFUNCTION("""COMPUTED_VALUE"""),46113.45925020833)</f>
        <v>46113.45925</v>
      </c>
      <c r="G2085" s="86" t="str">
        <f>IFERROR(__xludf.DUMMYFUNCTION("""COMPUTED_VALUE"""),"Done")</f>
        <v>Done</v>
      </c>
      <c r="H2085" s="88">
        <f>IFERROR(__xludf.DUMMYFUNCTION("""COMPUTED_VALUE"""),0.0)</f>
        <v>0</v>
      </c>
      <c r="I2085" s="90" t="str">
        <f>IFERROR(__xludf.DUMMYFUNCTION("""COMPUTED_VALUE"""),"EMP5009 Rup Kumar Mandal")</f>
        <v>EMP5009 Rup Kumar Mandal</v>
      </c>
      <c r="J2085" s="91"/>
    </row>
    <row r="2086">
      <c r="B2086" s="76" t="str">
        <f>IFERROR(__xludf.DUMMYFUNCTION("""COMPUTED_VALUE"""),"Upload file, cross check and inform                               ")</f>
        <v>Upload file, cross check and inform                               </v>
      </c>
      <c r="C2086" s="82">
        <f>IFERROR(__xludf.DUMMYFUNCTION("""COMPUTED_VALUE"""),5052.0)</f>
        <v>5052</v>
      </c>
      <c r="D2086" s="76" t="str">
        <f>IFERROR(__xludf.DUMMYFUNCTION("""COMPUTED_VALUE"""),"Marks entry report [theory marks entry]")</f>
        <v>Marks entry report [theory marks entry]</v>
      </c>
      <c r="E2086" s="84">
        <f>IFERROR(__xludf.DUMMYFUNCTION("""COMPUTED_VALUE"""),46113.80763888889)</f>
        <v>46113.80764</v>
      </c>
      <c r="F2086" s="86">
        <f>IFERROR(__xludf.DUMMYFUNCTION("""COMPUTED_VALUE"""),46113.45926768518)</f>
        <v>46113.45927</v>
      </c>
      <c r="G2086" s="86" t="str">
        <f>IFERROR(__xludf.DUMMYFUNCTION("""COMPUTED_VALUE"""),"Done")</f>
        <v>Done</v>
      </c>
      <c r="H2086" s="88">
        <f>IFERROR(__xludf.DUMMYFUNCTION("""COMPUTED_VALUE"""),0.0)</f>
        <v>0</v>
      </c>
      <c r="I2086" s="90" t="str">
        <f>IFERROR(__xludf.DUMMYFUNCTION("""COMPUTED_VALUE"""),"EMP5009 Rup Kumar Mandal")</f>
        <v>EMP5009 Rup Kumar Mandal</v>
      </c>
      <c r="J2086" s="91"/>
    </row>
    <row r="2087">
      <c r="B2087" s="76" t="str">
        <f>IFERROR(__xludf.DUMMYFUNCTION("""COMPUTED_VALUE"""),"Upload file, cross check and inform                               ")</f>
        <v>Upload file, cross check and inform                               </v>
      </c>
      <c r="C2087" s="82">
        <f>IFERROR(__xludf.DUMMYFUNCTION("""COMPUTED_VALUE"""),5053.0)</f>
        <v>5053</v>
      </c>
      <c r="D2087" s="76" t="str">
        <f>IFERROR(__xludf.DUMMYFUNCTION("""COMPUTED_VALUE"""),"TR_phd_NEW_FORMAT")</f>
        <v>TR_phd_NEW_FORMAT</v>
      </c>
      <c r="E2087" s="84">
        <f>IFERROR(__xludf.DUMMYFUNCTION("""COMPUTED_VALUE"""),46114.788888888885)</f>
        <v>46114.78889</v>
      </c>
      <c r="F2087" s="86">
        <f>IFERROR(__xludf.DUMMYFUNCTION("""COMPUTED_VALUE"""),46113.51872428241)</f>
        <v>46113.51872</v>
      </c>
      <c r="G2087" s="86" t="str">
        <f>IFERROR(__xludf.DUMMYFUNCTION("""COMPUTED_VALUE"""),"Done")</f>
        <v>Done</v>
      </c>
      <c r="H2087" s="88">
        <f>IFERROR(__xludf.DUMMYFUNCTION("""COMPUTED_VALUE"""),0.0)</f>
        <v>0</v>
      </c>
      <c r="I2087" s="90" t="str">
        <f>IFERROR(__xludf.DUMMYFUNCTION("""COMPUTED_VALUE"""),"EMP0042 HULESHWAR KUMAR SAHU")</f>
        <v>EMP0042 HULESHWAR KUMAR SAHU</v>
      </c>
      <c r="J2087" s="91"/>
    </row>
    <row r="2088">
      <c r="B2088" s="76" t="str">
        <f>IFERROR(__xludf.DUMMYFUNCTION("""COMPUTED_VALUE"""),"Upload file, cross check and inform                               ")</f>
        <v>Upload file, cross check and inform                               </v>
      </c>
      <c r="C2088" s="82">
        <f>IFERROR(__xludf.DUMMYFUNCTION("""COMPUTED_VALUE"""),5054.0)</f>
        <v>5054</v>
      </c>
      <c r="D2088" s="76" t="str">
        <f>IFERROR(__xludf.DUMMYFUNCTION("""COMPUTED_VALUE"""),"TR ")</f>
        <v>TR </v>
      </c>
      <c r="E2088" s="84">
        <f>IFERROR(__xludf.DUMMYFUNCTION("""COMPUTED_VALUE"""),46115.41666666667)</f>
        <v>46115.41667</v>
      </c>
      <c r="F2088" s="86">
        <f>IFERROR(__xludf.DUMMYFUNCTION("""COMPUTED_VALUE"""),46113.51925767361)</f>
        <v>46113.51926</v>
      </c>
      <c r="G2088" s="86" t="str">
        <f>IFERROR(__xludf.DUMMYFUNCTION("""COMPUTED_VALUE"""),"Done")</f>
        <v>Done</v>
      </c>
      <c r="H2088" s="88">
        <f>IFERROR(__xludf.DUMMYFUNCTION("""COMPUTED_VALUE"""),0.0)</f>
        <v>0</v>
      </c>
      <c r="I2088" s="90" t="str">
        <f>IFERROR(__xludf.DUMMYFUNCTION("""COMPUTED_VALUE"""),"EMP0042 HULESHWAR KUMAR SAHU")</f>
        <v>EMP0042 HULESHWAR KUMAR SAHU</v>
      </c>
      <c r="J2088" s="91"/>
    </row>
    <row r="2089">
      <c r="B2089" s="76" t="str">
        <f>IFERROR(__xludf.DUMMYFUNCTION("""COMPUTED_VALUE"""),"Upload file, cross check and inform                               ")</f>
        <v>Upload file, cross check and inform                               </v>
      </c>
      <c r="C2089" s="82">
        <f>IFERROR(__xludf.DUMMYFUNCTION("""COMPUTED_VALUE"""),5055.0)</f>
        <v>5055</v>
      </c>
      <c r="D2089" s="76" t="str">
        <f>IFERROR(__xludf.DUMMYFUNCTION("""COMPUTED_VALUE"""),"TR ")</f>
        <v>TR </v>
      </c>
      <c r="E2089" s="84">
        <f>IFERROR(__xludf.DUMMYFUNCTION("""COMPUTED_VALUE"""),46115.50902777778)</f>
        <v>46115.50903</v>
      </c>
      <c r="F2089" s="86">
        <f>IFERROR(__xludf.DUMMYFUNCTION("""COMPUTED_VALUE"""),46115.43520144676)</f>
        <v>46115.4352</v>
      </c>
      <c r="G2089" s="86" t="str">
        <f>IFERROR(__xludf.DUMMYFUNCTION("""COMPUTED_VALUE"""),"Done")</f>
        <v>Done</v>
      </c>
      <c r="H2089" s="88">
        <f>IFERROR(__xludf.DUMMYFUNCTION("""COMPUTED_VALUE"""),0.0)</f>
        <v>0</v>
      </c>
      <c r="I2089" s="90" t="str">
        <f>IFERROR(__xludf.DUMMYFUNCTION("""COMPUTED_VALUE"""),"EMP0042 HULESHWAR KUMAR SAHU")</f>
        <v>EMP0042 HULESHWAR KUMAR SAHU</v>
      </c>
      <c r="J2089" s="91"/>
    </row>
    <row r="2090">
      <c r="B2090" s="76" t="str">
        <f>IFERROR(__xludf.DUMMYFUNCTION("""COMPUTED_VALUE"""),"Upload file, cross check and inform                               ")</f>
        <v>Upload file, cross check and inform                               </v>
      </c>
      <c r="C2090" s="82">
        <f>IFERROR(__xludf.DUMMYFUNCTION("""COMPUTED_VALUE"""),5056.0)</f>
        <v>5056</v>
      </c>
      <c r="D2090" s="76" t="str">
        <f>IFERROR(__xludf.DUMMYFUNCTION("""COMPUTED_VALUE"""),"Provisional Certificate Sign change ")</f>
        <v>Provisional Certificate Sign change </v>
      </c>
      <c r="E2090" s="84">
        <f>IFERROR(__xludf.DUMMYFUNCTION("""COMPUTED_VALUE"""),46115.43472222222)</f>
        <v>46115.43472</v>
      </c>
      <c r="F2090" s="86">
        <f>IFERROR(__xludf.DUMMYFUNCTION("""COMPUTED_VALUE"""),46113.56582282407)</f>
        <v>46113.56582</v>
      </c>
      <c r="G2090" s="86" t="str">
        <f>IFERROR(__xludf.DUMMYFUNCTION("""COMPUTED_VALUE"""),"Done")</f>
        <v>Done</v>
      </c>
      <c r="H2090" s="88">
        <f>IFERROR(__xludf.DUMMYFUNCTION("""COMPUTED_VALUE"""),0.0)</f>
        <v>0</v>
      </c>
      <c r="I2090" s="90" t="str">
        <f>IFERROR(__xludf.DUMMYFUNCTION("""COMPUTED_VALUE"""),"EMP0042 HULESHWAR KUMAR SAHU")</f>
        <v>EMP0042 HULESHWAR KUMAR SAHU</v>
      </c>
      <c r="J2090" s="91"/>
    </row>
    <row r="2091">
      <c r="B2091" s="76" t="str">
        <f>IFERROR(__xludf.DUMMYFUNCTION("""COMPUTED_VALUE"""),"Upload file, cross check and inform                               ")</f>
        <v>Upload file, cross check and inform                               </v>
      </c>
      <c r="C2091" s="82">
        <f>IFERROR(__xludf.DUMMYFUNCTION("""COMPUTED_VALUE"""),5057.0)</f>
        <v>5057</v>
      </c>
      <c r="D2091" s="76" t="str">
        <f>IFERROR(__xludf.DUMMYFUNCTION("""COMPUTED_VALUE"""),"Marksheet MBBS New Format")</f>
        <v>Marksheet MBBS New Format</v>
      </c>
      <c r="E2091" s="84">
        <f>IFERROR(__xludf.DUMMYFUNCTION("""COMPUTED_VALUE"""),46115.43611111111)</f>
        <v>46115.43611</v>
      </c>
      <c r="F2091" s="86">
        <f>IFERROR(__xludf.DUMMYFUNCTION("""COMPUTED_VALUE"""),46113.5657053125)</f>
        <v>46113.56571</v>
      </c>
      <c r="G2091" s="86" t="str">
        <f>IFERROR(__xludf.DUMMYFUNCTION("""COMPUTED_VALUE"""),"Done")</f>
        <v>Done</v>
      </c>
      <c r="H2091" s="88">
        <f>IFERROR(__xludf.DUMMYFUNCTION("""COMPUTED_VALUE"""),0.0)</f>
        <v>0</v>
      </c>
      <c r="I2091" s="90" t="str">
        <f>IFERROR(__xludf.DUMMYFUNCTION("""COMPUTED_VALUE"""),"EMP0042 HULESHWAR KUMAR SAHU")</f>
        <v>EMP0042 HULESHWAR KUMAR SAHU</v>
      </c>
      <c r="J2091" s="91"/>
    </row>
    <row r="2092">
      <c r="B2092" s="76" t="str">
        <f>IFERROR(__xludf.DUMMYFUNCTION("""COMPUTED_VALUE"""),"Upload file, cross check and inform                               ")</f>
        <v>Upload file, cross check and inform                               </v>
      </c>
      <c r="C2092" s="82">
        <f>IFERROR(__xludf.DUMMYFUNCTION("""COMPUTED_VALUE"""),5058.0)</f>
        <v>5058</v>
      </c>
      <c r="D2092" s="76" t="str">
        <f>IFERROR(__xludf.DUMMYFUNCTION("""COMPUTED_VALUE"""),"TR_phd_NEW_FORMAT")</f>
        <v>TR_phd_NEW_FORMAT</v>
      </c>
      <c r="E2092" s="84">
        <f>IFERROR(__xludf.DUMMYFUNCTION("""COMPUTED_VALUE"""),46115.4375)</f>
        <v>46115.4375</v>
      </c>
      <c r="F2092" s="86">
        <f>IFERROR(__xludf.DUMMYFUNCTION("""COMPUTED_VALUE"""),46113.67630965277)</f>
        <v>46113.67631</v>
      </c>
      <c r="G2092" s="86" t="str">
        <f>IFERROR(__xludf.DUMMYFUNCTION("""COMPUTED_VALUE"""),"Done")</f>
        <v>Done</v>
      </c>
      <c r="H2092" s="88">
        <f>IFERROR(__xludf.DUMMYFUNCTION("""COMPUTED_VALUE"""),0.0)</f>
        <v>0</v>
      </c>
      <c r="I2092" s="90" t="str">
        <f>IFERROR(__xludf.DUMMYFUNCTION("""COMPUTED_VALUE"""),"EMP0021 Tamanna Dewangan")</f>
        <v>EMP0021 Tamanna Dewangan</v>
      </c>
      <c r="J2092" s="91"/>
    </row>
    <row r="2093">
      <c r="B2093" s="76" t="str">
        <f>IFERROR(__xludf.DUMMYFUNCTION("""COMPUTED_VALUE"""),"Upload file, cross check and inform                               ")</f>
        <v>Upload file, cross check and inform                               </v>
      </c>
      <c r="C2093" s="82">
        <f>IFERROR(__xludf.DUMMYFUNCTION("""COMPUTED_VALUE"""),5059.0)</f>
        <v>5059</v>
      </c>
      <c r="D2093" s="76" t="str">
        <f>IFERROR(__xludf.DUMMYFUNCTION("""COMPUTED_VALUE"""),"TR REPORT")</f>
        <v>TR REPORT</v>
      </c>
      <c r="E2093" s="84">
        <f>IFERROR(__xludf.DUMMYFUNCTION("""COMPUTED_VALUE"""),46115.59583333333)</f>
        <v>46115.59583</v>
      </c>
      <c r="F2093" s="86">
        <f>IFERROR(__xludf.DUMMYFUNCTION("""COMPUTED_VALUE"""),46115.43446600695)</f>
        <v>46115.43447</v>
      </c>
      <c r="G2093" s="86" t="str">
        <f>IFERROR(__xludf.DUMMYFUNCTION("""COMPUTED_VALUE"""),"Done")</f>
        <v>Done</v>
      </c>
      <c r="H2093" s="88">
        <f>IFERROR(__xludf.DUMMYFUNCTION("""COMPUTED_VALUE"""),0.0)</f>
        <v>0</v>
      </c>
      <c r="I2093" s="90" t="str">
        <f>IFERROR(__xludf.DUMMYFUNCTION("""COMPUTED_VALUE"""),"EMP5009 Rup Kumar Mandal")</f>
        <v>EMP5009 Rup Kumar Mandal</v>
      </c>
      <c r="J2093" s="91"/>
    </row>
    <row r="2094">
      <c r="B2094" s="76" t="str">
        <f>IFERROR(__xludf.DUMMYFUNCTION("""COMPUTED_VALUE"""),"Upload file, cross check and inform                               ")</f>
        <v>Upload file, cross check and inform                               </v>
      </c>
      <c r="C2094" s="82">
        <f>IFERROR(__xludf.DUMMYFUNCTION("""COMPUTED_VALUE"""),5060.0)</f>
        <v>5060</v>
      </c>
      <c r="D2094" s="76" t="str">
        <f>IFERROR(__xludf.DUMMYFUNCTION("""COMPUTED_VALUE"""),"RESULT DATA FORMATE")</f>
        <v>RESULT DATA FORMATE</v>
      </c>
      <c r="E2094" s="84">
        <f>IFERROR(__xludf.DUMMYFUNCTION("""COMPUTED_VALUE"""),46115.597916666666)</f>
        <v>46115.59792</v>
      </c>
      <c r="F2094" s="86">
        <f>IFERROR(__xludf.DUMMYFUNCTION("""COMPUTED_VALUE"""),46115.43447990741)</f>
        <v>46115.43448</v>
      </c>
      <c r="G2094" s="86" t="str">
        <f>IFERROR(__xludf.DUMMYFUNCTION("""COMPUTED_VALUE"""),"Done")</f>
        <v>Done</v>
      </c>
      <c r="H2094" s="88">
        <f>IFERROR(__xludf.DUMMYFUNCTION("""COMPUTED_VALUE"""),0.0)</f>
        <v>0</v>
      </c>
      <c r="I2094" s="90" t="str">
        <f>IFERROR(__xludf.DUMMYFUNCTION("""COMPUTED_VALUE"""),"EMP5009 Rup Kumar Mandal")</f>
        <v>EMP5009 Rup Kumar Mandal</v>
      </c>
      <c r="J2094" s="91"/>
    </row>
    <row r="2095">
      <c r="B2095" s="76" t="str">
        <f>IFERROR(__xludf.DUMMYFUNCTION("""COMPUTED_VALUE"""),"Upload file, cross check and inform                               ")</f>
        <v>Upload file, cross check and inform                               </v>
      </c>
      <c r="C2095" s="82">
        <f>IFERROR(__xludf.DUMMYFUNCTION("""COMPUTED_VALUE"""),5061.0)</f>
        <v>5061</v>
      </c>
      <c r="D2095" s="76" t="str">
        <f>IFERROR(__xludf.DUMMYFUNCTION("""COMPUTED_VALUE"""),"College filter change to all")</f>
        <v>College filter change to all</v>
      </c>
      <c r="E2095" s="84">
        <f>IFERROR(__xludf.DUMMYFUNCTION("""COMPUTED_VALUE"""),46115.62361111111)</f>
        <v>46115.62361</v>
      </c>
      <c r="F2095" s="86">
        <f>IFERROR(__xludf.DUMMYFUNCTION("""COMPUTED_VALUE"""),46115.43449789351)</f>
        <v>46115.4345</v>
      </c>
      <c r="G2095" s="86" t="str">
        <f>IFERROR(__xludf.DUMMYFUNCTION("""COMPUTED_VALUE"""),"Done")</f>
        <v>Done</v>
      </c>
      <c r="H2095" s="88">
        <f>IFERROR(__xludf.DUMMYFUNCTION("""COMPUTED_VALUE"""),0.0)</f>
        <v>0</v>
      </c>
      <c r="I2095" s="90" t="str">
        <f>IFERROR(__xludf.DUMMYFUNCTION("""COMPUTED_VALUE"""),"EMP0021 Tamanna Dewangan")</f>
        <v>EMP0021 Tamanna Dewangan</v>
      </c>
      <c r="J2095" s="91"/>
    </row>
    <row r="2096">
      <c r="B2096" s="76" t="str">
        <f>IFERROR(__xludf.DUMMYFUNCTION("""COMPUTED_VALUE"""),"Upload file, cross check and inform                               ")</f>
        <v>Upload file, cross check and inform                               </v>
      </c>
      <c r="C2096" s="82">
        <f>IFERROR(__xludf.DUMMYFUNCTION("""COMPUTED_VALUE"""),5062.0)</f>
        <v>5062</v>
      </c>
      <c r="D2096" s="76" t="str">
        <f>IFERROR(__xludf.DUMMYFUNCTION("""COMPUTED_VALUE"""),"download TR but downloaded marksheet but TR is not downloading")</f>
        <v>download TR but downloaded marksheet but TR is not downloading</v>
      </c>
      <c r="E2096" s="84">
        <f>IFERROR(__xludf.DUMMYFUNCTION("""COMPUTED_VALUE"""),46115.63611111111)</f>
        <v>46115.63611</v>
      </c>
      <c r="F2096" s="86">
        <f>IFERROR(__xludf.DUMMYFUNCTION("""COMPUTED_VALUE"""),46114.84110942129)</f>
        <v>46114.84111</v>
      </c>
      <c r="G2096" s="86" t="str">
        <f>IFERROR(__xludf.DUMMYFUNCTION("""COMPUTED_VALUE"""),"Done")</f>
        <v>Done</v>
      </c>
      <c r="H2096" s="88">
        <f>IFERROR(__xludf.DUMMYFUNCTION("""COMPUTED_VALUE"""),0.0)</f>
        <v>0</v>
      </c>
      <c r="I2096" s="90" t="str">
        <f>IFERROR(__xludf.DUMMYFUNCTION("""COMPUTED_VALUE"""),"EMP0042 HULESHWAR KUMAR SAHU")</f>
        <v>EMP0042 HULESHWAR KUMAR SAHU</v>
      </c>
      <c r="J2096" s="91"/>
    </row>
    <row r="2097">
      <c r="B2097" s="76" t="str">
        <f>IFERROR(__xludf.DUMMYFUNCTION("""COMPUTED_VALUE"""),"Upload file, cross check and inform                               ")</f>
        <v>Upload file, cross check and inform                               </v>
      </c>
      <c r="C2097" s="82">
        <f>IFERROR(__xludf.DUMMYFUNCTION("""COMPUTED_VALUE"""),5063.0)</f>
        <v>5063</v>
      </c>
      <c r="D2097" s="76" t="str">
        <f>IFERROR(__xludf.DUMMYFUNCTION("""COMPUTED_VALUE"""),"TR")</f>
        <v>TR</v>
      </c>
      <c r="E2097" s="84">
        <f>IFERROR(__xludf.DUMMYFUNCTION("""COMPUTED_VALUE"""),46115.63888888889)</f>
        <v>46115.63889</v>
      </c>
      <c r="F2097" s="86">
        <f>IFERROR(__xludf.DUMMYFUNCTION("""COMPUTED_VALUE"""),46114.45489631945)</f>
        <v>46114.4549</v>
      </c>
      <c r="G2097" s="86" t="str">
        <f>IFERROR(__xludf.DUMMYFUNCTION("""COMPUTED_VALUE"""),"Done")</f>
        <v>Done</v>
      </c>
      <c r="H2097" s="88">
        <f>IFERROR(__xludf.DUMMYFUNCTION("""COMPUTED_VALUE"""),0.0)</f>
        <v>0</v>
      </c>
      <c r="I2097" s="90" t="str">
        <f>IFERROR(__xludf.DUMMYFUNCTION("""COMPUTED_VALUE"""),"EMP0042 HULESHWAR KUMAR SAHU")</f>
        <v>EMP0042 HULESHWAR KUMAR SAHU</v>
      </c>
      <c r="J2097" s="91"/>
    </row>
    <row r="2098">
      <c r="B2098" s="76" t="str">
        <f>IFERROR(__xludf.DUMMYFUNCTION("""COMPUTED_VALUE"""),"Upload file, cross check and inform                               ")</f>
        <v>Upload file, cross check and inform                               </v>
      </c>
      <c r="C2098" s="82">
        <f>IFERROR(__xludf.DUMMYFUNCTION("""COMPUTED_VALUE"""),5064.0)</f>
        <v>5064</v>
      </c>
      <c r="D2098" s="76" t="str">
        <f>IFERROR(__xludf.DUMMYFUNCTION("""COMPUTED_VALUE"""),"Press Release")</f>
        <v>Press Release</v>
      </c>
      <c r="E2098" s="84">
        <f>IFERROR(__xludf.DUMMYFUNCTION("""COMPUTED_VALUE"""),46115.63958333334)</f>
        <v>46115.63958</v>
      </c>
      <c r="F2098" s="86">
        <f>IFERROR(__xludf.DUMMYFUNCTION("""COMPUTED_VALUE"""),46114.45491225694)</f>
        <v>46114.45491</v>
      </c>
      <c r="G2098" s="86" t="str">
        <f>IFERROR(__xludf.DUMMYFUNCTION("""COMPUTED_VALUE"""),"Done")</f>
        <v>Done</v>
      </c>
      <c r="H2098" s="88">
        <f>IFERROR(__xludf.DUMMYFUNCTION("""COMPUTED_VALUE"""),0.0)</f>
        <v>0</v>
      </c>
      <c r="I2098" s="90" t="str">
        <f>IFERROR(__xludf.DUMMYFUNCTION("""COMPUTED_VALUE"""),"EMP0042 HULESHWAR KUMAR SAHU")</f>
        <v>EMP0042 HULESHWAR KUMAR SAHU</v>
      </c>
      <c r="J2098" s="91"/>
    </row>
    <row r="2099">
      <c r="B2099" s="76" t="str">
        <f>IFERROR(__xludf.DUMMYFUNCTION("""COMPUTED_VALUE"""),"Upload file, cross check and inform                               ")</f>
        <v>Upload file, cross check and inform                               </v>
      </c>
      <c r="C2099" s="82">
        <f>IFERROR(__xludf.DUMMYFUNCTION("""COMPUTED_VALUE"""),5065.0)</f>
        <v>5065</v>
      </c>
      <c r="D2099" s="76" t="str">
        <f>IFERROR(__xludf.DUMMYFUNCTION("""COMPUTED_VALUE"""),"Pre Processing Error")</f>
        <v>Pre Processing Error</v>
      </c>
      <c r="E2099" s="84">
        <f>IFERROR(__xludf.DUMMYFUNCTION("""COMPUTED_VALUE"""),46116.49791666667)</f>
        <v>46116.49792</v>
      </c>
      <c r="F2099" s="86">
        <f>IFERROR(__xludf.DUMMYFUNCTION("""COMPUTED_VALUE"""),46115.43886637731)</f>
        <v>46115.43887</v>
      </c>
      <c r="G2099" s="86" t="str">
        <f>IFERROR(__xludf.DUMMYFUNCTION("""COMPUTED_VALUE"""),"Done")</f>
        <v>Done</v>
      </c>
      <c r="H2099" s="88">
        <f>IFERROR(__xludf.DUMMYFUNCTION("""COMPUTED_VALUE"""),0.0)</f>
        <v>0</v>
      </c>
      <c r="I2099" s="90" t="str">
        <f>IFERROR(__xludf.DUMMYFUNCTION("""COMPUTED_VALUE"""),"EMP0237 Swarnendu Chakraborty")</f>
        <v>EMP0237 Swarnendu Chakraborty</v>
      </c>
      <c r="J2099" s="91"/>
    </row>
    <row r="2100">
      <c r="B2100" s="76" t="str">
        <f>IFERROR(__xludf.DUMMYFUNCTION("""COMPUTED_VALUE"""),"Upload file, cross check and inform                               ")</f>
        <v>Upload file, cross check and inform                               </v>
      </c>
      <c r="C2100" s="82">
        <f>IFERROR(__xludf.DUMMYFUNCTION("""COMPUTED_VALUE"""),5066.0)</f>
        <v>5066</v>
      </c>
      <c r="D2100" s="76" t="str">
        <f>IFERROR(__xludf.DUMMYFUNCTION("""COMPUTED_VALUE"""),"Pre Processing Error ")</f>
        <v>Pre Processing Error </v>
      </c>
      <c r="E2100" s="84">
        <f>IFERROR(__xludf.DUMMYFUNCTION("""COMPUTED_VALUE"""),46116.51875)</f>
        <v>46116.51875</v>
      </c>
      <c r="F2100" s="86">
        <f>IFERROR(__xludf.DUMMYFUNCTION("""COMPUTED_VALUE"""),46115.438890150464)</f>
        <v>46115.43889</v>
      </c>
      <c r="G2100" s="86" t="str">
        <f>IFERROR(__xludf.DUMMYFUNCTION("""COMPUTED_VALUE"""),"Done")</f>
        <v>Done</v>
      </c>
      <c r="H2100" s="88">
        <f>IFERROR(__xludf.DUMMYFUNCTION("""COMPUTED_VALUE"""),0.0)</f>
        <v>0</v>
      </c>
      <c r="I2100" s="90" t="str">
        <f>IFERROR(__xludf.DUMMYFUNCTION("""COMPUTED_VALUE"""),"EMP0237 Swarnendu Chakraborty")</f>
        <v>EMP0237 Swarnendu Chakraborty</v>
      </c>
      <c r="J2100" s="91"/>
    </row>
    <row r="2101">
      <c r="B2101" s="76" t="str">
        <f>IFERROR(__xludf.DUMMYFUNCTION("""COMPUTED_VALUE"""),"Upload file, cross check and inform                               ")</f>
        <v>Upload file, cross check and inform                               </v>
      </c>
      <c r="C2101" s="82">
        <f>IFERROR(__xludf.DUMMYFUNCTION("""COMPUTED_VALUE"""),5067.0)</f>
        <v>5067</v>
      </c>
      <c r="D2101" s="76" t="str">
        <f>IFERROR(__xludf.DUMMYFUNCTION("""COMPUTED_VALUE"""),"REVEL FORM")</f>
        <v>REVEL FORM</v>
      </c>
      <c r="E2101" s="84">
        <f>IFERROR(__xludf.DUMMYFUNCTION("""COMPUTED_VALUE"""),46116.57916666666)</f>
        <v>46116.57917</v>
      </c>
      <c r="F2101" s="86">
        <f>IFERROR(__xludf.DUMMYFUNCTION("""COMPUTED_VALUE"""),46114.78793643518)</f>
        <v>46114.78794</v>
      </c>
      <c r="G2101" s="86" t="str">
        <f>IFERROR(__xludf.DUMMYFUNCTION("""COMPUTED_VALUE"""),"Done")</f>
        <v>Done</v>
      </c>
      <c r="H2101" s="88">
        <f>IFERROR(__xludf.DUMMYFUNCTION("""COMPUTED_VALUE"""),0.0)</f>
        <v>0</v>
      </c>
      <c r="I2101" s="90" t="str">
        <f>IFERROR(__xludf.DUMMYFUNCTION("""COMPUTED_VALUE"""),"EMP0042 HULESHWAR KUMAR SAHU")</f>
        <v>EMP0042 HULESHWAR KUMAR SAHU</v>
      </c>
      <c r="J2101" s="91"/>
    </row>
    <row r="2102">
      <c r="B2102" s="76" t="str">
        <f>IFERROR(__xludf.DUMMYFUNCTION("""COMPUTED_VALUE"""),"Upload file, cross check and inform                               ")</f>
        <v>Upload file, cross check and inform                               </v>
      </c>
      <c r="C2102" s="82">
        <f>IFERROR(__xludf.DUMMYFUNCTION("""COMPUTED_VALUE"""),5068.0)</f>
        <v>5068</v>
      </c>
      <c r="D2102" s="76" t="str">
        <f>IFERROR(__xludf.DUMMYFUNCTION("""COMPUTED_VALUE"""),"RESULT DATA")</f>
        <v>RESULT DATA</v>
      </c>
      <c r="E2102" s="84">
        <f>IFERROR(__xludf.DUMMYFUNCTION("""COMPUTED_VALUE"""),46116.580555555556)</f>
        <v>46116.58056</v>
      </c>
      <c r="F2102" s="86">
        <f>IFERROR(__xludf.DUMMYFUNCTION("""COMPUTED_VALUE"""),46114.78795275463)</f>
        <v>46114.78795</v>
      </c>
      <c r="G2102" s="86" t="str">
        <f>IFERROR(__xludf.DUMMYFUNCTION("""COMPUTED_VALUE"""),"Done")</f>
        <v>Done</v>
      </c>
      <c r="H2102" s="88">
        <f>IFERROR(__xludf.DUMMYFUNCTION("""COMPUTED_VALUE"""),0.0)</f>
        <v>0</v>
      </c>
      <c r="I2102" s="90" t="str">
        <f>IFERROR(__xludf.DUMMYFUNCTION("""COMPUTED_VALUE"""),"EMP0042 HULESHWAR KUMAR SAHU")</f>
        <v>EMP0042 HULESHWAR KUMAR SAHU</v>
      </c>
      <c r="J2102" s="91"/>
    </row>
    <row r="2103">
      <c r="B2103" s="76" t="str">
        <f>IFERROR(__xludf.DUMMYFUNCTION("""COMPUTED_VALUE"""),"Upload file, cross check and inform                               ")</f>
        <v>Upload file, cross check and inform                               </v>
      </c>
      <c r="C2103" s="82">
        <f>IFERROR(__xludf.DUMMYFUNCTION("""COMPUTED_VALUE"""),5069.0)</f>
        <v>5069</v>
      </c>
      <c r="D2103" s="76" t="str">
        <f>IFERROR(__xludf.DUMMYFUNCTION("""COMPUTED_VALUE"""),"CA/CIA MARK ENTRY")</f>
        <v>CA/CIA MARK ENTRY</v>
      </c>
      <c r="E2103" s="84">
        <f>IFERROR(__xludf.DUMMYFUNCTION("""COMPUTED_VALUE"""),46116.79166666667)</f>
        <v>46116.79167</v>
      </c>
      <c r="F2103" s="86">
        <f>IFERROR(__xludf.DUMMYFUNCTION("""COMPUTED_VALUE"""),46115.69564915509)</f>
        <v>46115.69565</v>
      </c>
      <c r="G2103" s="86" t="str">
        <f>IFERROR(__xludf.DUMMYFUNCTION("""COMPUTED_VALUE"""),"Done")</f>
        <v>Done</v>
      </c>
      <c r="H2103" s="88">
        <f>IFERROR(__xludf.DUMMYFUNCTION("""COMPUTED_VALUE"""),0.0)</f>
        <v>0</v>
      </c>
      <c r="I2103" s="90" t="str">
        <f>IFERROR(__xludf.DUMMYFUNCTION("""COMPUTED_VALUE"""),"EMP5009 Rup Kumar Mandal")</f>
        <v>EMP5009 Rup Kumar Mandal</v>
      </c>
      <c r="J2103" s="91"/>
    </row>
    <row r="2104">
      <c r="B2104" s="76" t="str">
        <f>IFERROR(__xludf.DUMMYFUNCTION("""COMPUTED_VALUE"""),"Upload file, cross check and inform                               ")</f>
        <v>Upload file, cross check and inform                               </v>
      </c>
      <c r="C2104" s="82">
        <f>IFERROR(__xludf.DUMMYFUNCTION("""COMPUTED_VALUE"""),5070.0)</f>
        <v>5070</v>
      </c>
      <c r="D2104" s="76" t="str">
        <f>IFERROR(__xludf.DUMMYFUNCTION("""COMPUTED_VALUE"""),"grade card pg")</f>
        <v>grade card pg</v>
      </c>
      <c r="E2104" s="84">
        <f>IFERROR(__xludf.DUMMYFUNCTION("""COMPUTED_VALUE"""),46116.79791666666)</f>
        <v>46116.79792</v>
      </c>
      <c r="F2104" s="86">
        <f>IFERROR(__xludf.DUMMYFUNCTION("""COMPUTED_VALUE"""),46115.69098582176)</f>
        <v>46115.69099</v>
      </c>
      <c r="G2104" s="86" t="str">
        <f>IFERROR(__xludf.DUMMYFUNCTION("""COMPUTED_VALUE"""),"Done")</f>
        <v>Done</v>
      </c>
      <c r="H2104" s="88">
        <f>IFERROR(__xludf.DUMMYFUNCTION("""COMPUTED_VALUE"""),0.0)</f>
        <v>0</v>
      </c>
      <c r="I2104" s="90" t="str">
        <f>IFERROR(__xludf.DUMMYFUNCTION("""COMPUTED_VALUE"""),"EMP5009 Rup Kumar Mandal")</f>
        <v>EMP5009 Rup Kumar Mandal</v>
      </c>
      <c r="J2104" s="91"/>
    </row>
    <row r="2105">
      <c r="B2105" s="76" t="str">
        <f>IFERROR(__xludf.DUMMYFUNCTION("""COMPUTED_VALUE"""),"Upload file, cross check and inform                               ")</f>
        <v>Upload file, cross check and inform                               </v>
      </c>
      <c r="C2105" s="82">
        <f>IFERROR(__xludf.DUMMYFUNCTION("""COMPUTED_VALUE"""),5071.0)</f>
        <v>5071</v>
      </c>
      <c r="D2105" s="76" t="str">
        <f>IFERROR(__xludf.DUMMYFUNCTION("""COMPUTED_VALUE"""),"TR Format (Grading / Non-Grading)")</f>
        <v>TR Format (Grading / Non-Grading)</v>
      </c>
      <c r="E2105" s="84">
        <f>IFERROR(__xludf.DUMMYFUNCTION("""COMPUTED_VALUE"""),46116.80208333333)</f>
        <v>46116.80208</v>
      </c>
      <c r="F2105" s="86">
        <f>IFERROR(__xludf.DUMMYFUNCTION("""COMPUTED_VALUE"""),46115.69100689815)</f>
        <v>46115.69101</v>
      </c>
      <c r="G2105" s="86" t="str">
        <f>IFERROR(__xludf.DUMMYFUNCTION("""COMPUTED_VALUE"""),"Done")</f>
        <v>Done</v>
      </c>
      <c r="H2105" s="88">
        <f>IFERROR(__xludf.DUMMYFUNCTION("""COMPUTED_VALUE"""),0.0)</f>
        <v>0</v>
      </c>
      <c r="I2105" s="90" t="str">
        <f>IFERROR(__xludf.DUMMYFUNCTION("""COMPUTED_VALUE"""),"EMP0042 HULESHWAR KUMAR SAHU")</f>
        <v>EMP0042 HULESHWAR KUMAR SAHU</v>
      </c>
      <c r="J2105" s="91"/>
    </row>
    <row r="2106">
      <c r="B2106" s="76" t="str">
        <f>IFERROR(__xludf.DUMMYFUNCTION("""COMPUTED_VALUE"""),"Upload file, cross check and inform                               ")</f>
        <v>Upload file, cross check and inform                               </v>
      </c>
      <c r="C2106" s="82">
        <f>IFERROR(__xludf.DUMMYFUNCTION("""COMPUTED_VALUE"""),5072.0)</f>
        <v>5072</v>
      </c>
      <c r="D2106" s="76" t="str">
        <f>IFERROR(__xludf.DUMMYFUNCTION("""COMPUTED_VALUE"""),"MULTIPLE REPOPRT")</f>
        <v>MULTIPLE REPOPRT</v>
      </c>
      <c r="E2106" s="84">
        <f>IFERROR(__xludf.DUMMYFUNCTION("""COMPUTED_VALUE"""),46118.447222222225)</f>
        <v>46118.44722</v>
      </c>
      <c r="F2106" s="86">
        <f>IFERROR(__xludf.DUMMYFUNCTION("""COMPUTED_VALUE"""),46115.690879155096)</f>
        <v>46115.69088</v>
      </c>
      <c r="G2106" s="86" t="str">
        <f>IFERROR(__xludf.DUMMYFUNCTION("""COMPUTED_VALUE"""),"Done")</f>
        <v>Done</v>
      </c>
      <c r="H2106" s="88">
        <f>IFERROR(__xludf.DUMMYFUNCTION("""COMPUTED_VALUE"""),0.0)</f>
        <v>0</v>
      </c>
      <c r="I2106" s="90" t="str">
        <f>IFERROR(__xludf.DUMMYFUNCTION("""COMPUTED_VALUE"""),"EMP0042 HULESHWAR KUMAR SAHU")</f>
        <v>EMP0042 HULESHWAR KUMAR SAHU</v>
      </c>
      <c r="J2106" s="91"/>
    </row>
    <row r="2107">
      <c r="B2107" s="76" t="str">
        <f>IFERROR(__xludf.DUMMYFUNCTION("""COMPUTED_VALUE"""),"Upload file, cross check and inform                               ")</f>
        <v>Upload file, cross check and inform                               </v>
      </c>
      <c r="C2107" s="82">
        <f>IFERROR(__xludf.DUMMYFUNCTION("""COMPUTED_VALUE"""),5073.0)</f>
        <v>5073</v>
      </c>
      <c r="D2107" s="76" t="str">
        <f>IFERROR(__xludf.DUMMYFUNCTION("""COMPUTED_VALUE"""),"TR ")</f>
        <v>TR </v>
      </c>
      <c r="E2107" s="84">
        <f>IFERROR(__xludf.DUMMYFUNCTION("""COMPUTED_VALUE"""),46118.48055555555)</f>
        <v>46118.48056</v>
      </c>
      <c r="F2107" s="86">
        <f>IFERROR(__xludf.DUMMYFUNCTION("""COMPUTED_VALUE"""),46115.69093733796)</f>
        <v>46115.69094</v>
      </c>
      <c r="G2107" s="86" t="str">
        <f>IFERROR(__xludf.DUMMYFUNCTION("""COMPUTED_VALUE"""),"Done")</f>
        <v>Done</v>
      </c>
      <c r="H2107" s="88">
        <f>IFERROR(__xludf.DUMMYFUNCTION("""COMPUTED_VALUE"""),0.0)</f>
        <v>0</v>
      </c>
      <c r="I2107" s="90" t="str">
        <f>IFERROR(__xludf.DUMMYFUNCTION("""COMPUTED_VALUE"""),"EMP0042 HULESHWAR KUMAR SAHU")</f>
        <v>EMP0042 HULESHWAR KUMAR SAHU</v>
      </c>
      <c r="J2107" s="91"/>
    </row>
    <row r="2108">
      <c r="B2108" s="76" t="str">
        <f>IFERROR(__xludf.DUMMYFUNCTION("""COMPUTED_VALUE"""),"Upload file, cross check and inform                               ")</f>
        <v>Upload file, cross check and inform                               </v>
      </c>
      <c r="C2108" s="82">
        <f>IFERROR(__xludf.DUMMYFUNCTION("""COMPUTED_VALUE"""),5074.0)</f>
        <v>5074</v>
      </c>
      <c r="D2108" s="76" t="str">
        <f>IFERROR(__xludf.DUMMYFUNCTION("""COMPUTED_VALUE"""),"TR REPORT")</f>
        <v>TR REPORT</v>
      </c>
      <c r="E2108" s="84">
        <f>IFERROR(__xludf.DUMMYFUNCTION("""COMPUTED_VALUE"""),46118.54027777778)</f>
        <v>46118.54028</v>
      </c>
      <c r="F2108" s="86">
        <f>IFERROR(__xludf.DUMMYFUNCTION("""COMPUTED_VALUE"""),46115.696025509256)</f>
        <v>46115.69603</v>
      </c>
      <c r="G2108" s="86" t="str">
        <f>IFERROR(__xludf.DUMMYFUNCTION("""COMPUTED_VALUE"""),"Done")</f>
        <v>Done</v>
      </c>
      <c r="H2108" s="88">
        <f>IFERROR(__xludf.DUMMYFUNCTION("""COMPUTED_VALUE"""),0.0)</f>
        <v>0</v>
      </c>
      <c r="I2108" s="90" t="str">
        <f>IFERROR(__xludf.DUMMYFUNCTION("""COMPUTED_VALUE"""),"EMP5009 Rup Kumar Mandal")</f>
        <v>EMP5009 Rup Kumar Mandal</v>
      </c>
      <c r="J2108" s="91"/>
    </row>
    <row r="2109">
      <c r="B2109" s="76" t="str">
        <f>IFERROR(__xludf.DUMMYFUNCTION("""COMPUTED_VALUE"""),"Upload file, cross check and inform                               ")</f>
        <v>Upload file, cross check and inform                               </v>
      </c>
      <c r="C2109" s="82">
        <f>IFERROR(__xludf.DUMMYFUNCTION("""COMPUTED_VALUE"""),5075.0)</f>
        <v>5075</v>
      </c>
      <c r="D2109" s="76" t="str">
        <f>IFERROR(__xludf.DUMMYFUNCTION("""COMPUTED_VALUE"""),"Packet Summary Report")</f>
        <v>Packet Summary Report</v>
      </c>
      <c r="E2109" s="84">
        <f>IFERROR(__xludf.DUMMYFUNCTION("""COMPUTED_VALUE"""),46119.63888888889)</f>
        <v>46119.63889</v>
      </c>
      <c r="F2109" s="86">
        <f>IFERROR(__xludf.DUMMYFUNCTION("""COMPUTED_VALUE"""),46118.438087002316)</f>
        <v>46118.43809</v>
      </c>
      <c r="G2109" s="86" t="str">
        <f>IFERROR(__xludf.DUMMYFUNCTION("""COMPUTED_VALUE"""),"Done")</f>
        <v>Done</v>
      </c>
      <c r="H2109" s="88">
        <f>IFERROR(__xludf.DUMMYFUNCTION("""COMPUTED_VALUE"""),0.0)</f>
        <v>0</v>
      </c>
      <c r="I2109" s="90" t="str">
        <f>IFERROR(__xludf.DUMMYFUNCTION("""COMPUTED_VALUE"""),"EMP0042 HULESHWAR KUMAR SAHU")</f>
        <v>EMP0042 HULESHWAR KUMAR SAHU</v>
      </c>
      <c r="J2109" s="91"/>
    </row>
    <row r="2110">
      <c r="B2110" s="76" t="str">
        <f>IFERROR(__xludf.DUMMYFUNCTION("""COMPUTED_VALUE"""),"Upload file, cross check and inform                               ")</f>
        <v>Upload file, cross check and inform                               </v>
      </c>
      <c r="C2110" s="82">
        <f>IFERROR(__xludf.DUMMYFUNCTION("""COMPUTED_VALUE"""),5076.0)</f>
        <v>5076</v>
      </c>
      <c r="D2110" s="76" t="str">
        <f>IFERROR(__xludf.DUMMYFUNCTION("""COMPUTED_VALUE"""),"PRE PROCESS ERROR STEP-7")</f>
        <v>PRE PROCESS ERROR STEP-7</v>
      </c>
      <c r="E2110" s="84">
        <f>IFERROR(__xludf.DUMMYFUNCTION("""COMPUTED_VALUE"""),46119.8)</f>
        <v>46119.8</v>
      </c>
      <c r="F2110" s="86">
        <f>IFERROR(__xludf.DUMMYFUNCTION("""COMPUTED_VALUE"""),46118.76233684028)</f>
        <v>46118.76234</v>
      </c>
      <c r="G2110" s="86" t="str">
        <f>IFERROR(__xludf.DUMMYFUNCTION("""COMPUTED_VALUE"""),"Done")</f>
        <v>Done</v>
      </c>
      <c r="H2110" s="88">
        <f>IFERROR(__xludf.DUMMYFUNCTION("""COMPUTED_VALUE"""),0.0)</f>
        <v>0</v>
      </c>
      <c r="I2110" s="90" t="str">
        <f>IFERROR(__xludf.DUMMYFUNCTION("""COMPUTED_VALUE"""),"EMP0237 Swarnendu Chakraborty")</f>
        <v>EMP0237 Swarnendu Chakraborty</v>
      </c>
      <c r="J2110" s="91"/>
    </row>
    <row r="2111">
      <c r="B2111" s="76" t="str">
        <f>IFERROR(__xludf.DUMMYFUNCTION("""COMPUTED_VALUE"""),"Upload file, cross check and inform                               ")</f>
        <v>Upload file, cross check and inform                               </v>
      </c>
      <c r="C2111" s="82">
        <f>IFERROR(__xludf.DUMMYFUNCTION("""COMPUTED_VALUE"""),5077.0)</f>
        <v>5077</v>
      </c>
      <c r="D2111" s="76" t="str">
        <f>IFERROR(__xludf.DUMMYFUNCTION("""COMPUTED_VALUE"""),"College wise Allotment List")</f>
        <v>College wise Allotment List</v>
      </c>
      <c r="E2111" s="84">
        <f>IFERROR(__xludf.DUMMYFUNCTION("""COMPUTED_VALUE"""),46120.59722222222)</f>
        <v>46120.59722</v>
      </c>
      <c r="F2111" s="86">
        <f>IFERROR(__xludf.DUMMYFUNCTION("""COMPUTED_VALUE"""),46119.485013182864)</f>
        <v>46119.48501</v>
      </c>
      <c r="G2111" s="86" t="str">
        <f>IFERROR(__xludf.DUMMYFUNCTION("""COMPUTED_VALUE"""),"Done")</f>
        <v>Done</v>
      </c>
      <c r="H2111" s="88">
        <f>IFERROR(__xludf.DUMMYFUNCTION("""COMPUTED_VALUE"""),0.0)</f>
        <v>0</v>
      </c>
      <c r="I2111" s="90" t="str">
        <f>IFERROR(__xludf.DUMMYFUNCTION("""COMPUTED_VALUE"""),"EMP5009 Rup Kumar Mandal")</f>
        <v>EMP5009 Rup Kumar Mandal</v>
      </c>
      <c r="J2111" s="91"/>
    </row>
    <row r="2112">
      <c r="B2112" s="76" t="str">
        <f>IFERROR(__xludf.DUMMYFUNCTION("""COMPUTED_VALUE"""),"Upload file, cross check and inform                               ")</f>
        <v>Upload file, cross check and inform                               </v>
      </c>
      <c r="C2112" s="82">
        <f>IFERROR(__xludf.DUMMYFUNCTION("""COMPUTED_VALUE"""),5078.0)</f>
        <v>5078</v>
      </c>
      <c r="D2112" s="76" t="str">
        <f>IFERROR(__xludf.DUMMYFUNCTION("""COMPUTED_VALUE"""),"NEP")</f>
        <v>NEP</v>
      </c>
      <c r="E2112" s="84">
        <f>IFERROR(__xludf.DUMMYFUNCTION("""COMPUTED_VALUE"""),46120.63958333334)</f>
        <v>46120.63958</v>
      </c>
      <c r="F2112" s="86">
        <f>IFERROR(__xludf.DUMMYFUNCTION("""COMPUTED_VALUE"""),46119.55958526621)</f>
        <v>46119.55959</v>
      </c>
      <c r="G2112" s="86" t="str">
        <f>IFERROR(__xludf.DUMMYFUNCTION("""COMPUTED_VALUE"""),"Done")</f>
        <v>Done</v>
      </c>
      <c r="H2112" s="88">
        <f>IFERROR(__xludf.DUMMYFUNCTION("""COMPUTED_VALUE"""),0.0)</f>
        <v>0</v>
      </c>
      <c r="I2112" s="90" t="str">
        <f>IFERROR(__xludf.DUMMYFUNCTION("""COMPUTED_VALUE"""),"EMP0042 HULESHWAR KUMAR SAHU")</f>
        <v>EMP0042 HULESHWAR KUMAR SAHU</v>
      </c>
      <c r="J2112" s="91"/>
    </row>
    <row r="2113">
      <c r="B2113" s="76" t="str">
        <f>IFERROR(__xludf.DUMMYFUNCTION("""COMPUTED_VALUE"""),"Upload file, cross check and inform                               ")</f>
        <v>Upload file, cross check and inform                               </v>
      </c>
      <c r="C2113" s="82">
        <f>IFERROR(__xludf.DUMMYFUNCTION("""COMPUTED_VALUE"""),5079.0)</f>
        <v>5079</v>
      </c>
      <c r="D2113" s="76" t="str">
        <f>IFERROR(__xludf.DUMMYFUNCTION("""COMPUTED_VALUE"""),"3rd Semester B.Sc. Nursing Examination 2025 (II)	Admit Card update	2024-25 (S)	REAPPER")</f>
        <v>3rd Semester B.Sc. Nursing Examination 2025 (II)	Admit Card update	2024-25 (S)	REAPPER</v>
      </c>
      <c r="E2113" s="84">
        <f>IFERROR(__xludf.DUMMYFUNCTION("""COMPUTED_VALUE"""),46120.64027777778)</f>
        <v>46120.64028</v>
      </c>
      <c r="F2113" s="86">
        <f>IFERROR(__xludf.DUMMYFUNCTION("""COMPUTED_VALUE"""),46119.4853571412)</f>
        <v>46119.48536</v>
      </c>
      <c r="G2113" s="86" t="str">
        <f>IFERROR(__xludf.DUMMYFUNCTION("""COMPUTED_VALUE"""),"Done")</f>
        <v>Done</v>
      </c>
      <c r="H2113" s="88">
        <f>IFERROR(__xludf.DUMMYFUNCTION("""COMPUTED_VALUE"""),0.0)</f>
        <v>0</v>
      </c>
      <c r="I2113" s="90" t="str">
        <f>IFERROR(__xludf.DUMMYFUNCTION("""COMPUTED_VALUE"""),"EMP5009 Rup Kumar Mandal")</f>
        <v>EMP5009 Rup Kumar Mandal</v>
      </c>
      <c r="J2113" s="91"/>
    </row>
    <row r="2114">
      <c r="B2114" s="76" t="str">
        <f>IFERROR(__xludf.DUMMYFUNCTION("""COMPUTED_VALUE"""),"Upload file, cross check and inform                               ")</f>
        <v>Upload file, cross check and inform                               </v>
      </c>
      <c r="C2114" s="82">
        <f>IFERROR(__xludf.DUMMYFUNCTION("""COMPUTED_VALUE"""),5080.0)</f>
        <v>5080</v>
      </c>
      <c r="D2114" s="76" t="str">
        <f>IFERROR(__xludf.DUMMYFUNCTION("""COMPUTED_VALUE"""),"3rd Year B.Sc. Nursing Examination 2025 (II)	Admit Card update	2024-25 (S)	REAPPER")</f>
        <v>3rd Year B.Sc. Nursing Examination 2025 (II)	Admit Card update	2024-25 (S)	REAPPER</v>
      </c>
      <c r="E2114" s="84">
        <f>IFERROR(__xludf.DUMMYFUNCTION("""COMPUTED_VALUE"""),46120.64166666666)</f>
        <v>46120.64167</v>
      </c>
      <c r="F2114" s="86">
        <f>IFERROR(__xludf.DUMMYFUNCTION("""COMPUTED_VALUE"""),46119.48536810186)</f>
        <v>46119.48537</v>
      </c>
      <c r="G2114" s="86" t="str">
        <f>IFERROR(__xludf.DUMMYFUNCTION("""COMPUTED_VALUE"""),"Done")</f>
        <v>Done</v>
      </c>
      <c r="H2114" s="88">
        <f>IFERROR(__xludf.DUMMYFUNCTION("""COMPUTED_VALUE"""),0.0)</f>
        <v>0</v>
      </c>
      <c r="I2114" s="90" t="str">
        <f>IFERROR(__xludf.DUMMYFUNCTION("""COMPUTED_VALUE"""),"EMP0237 Swarnendu Chakraborty")</f>
        <v>EMP0237 Swarnendu Chakraborty</v>
      </c>
      <c r="J2114" s="91"/>
    </row>
    <row r="2115">
      <c r="B2115" s="76" t="str">
        <f>IFERROR(__xludf.DUMMYFUNCTION("""COMPUTED_VALUE"""),"Upload file, cross check and inform                               ")</f>
        <v>Upload file, cross check and inform                               </v>
      </c>
      <c r="C2115" s="82">
        <f>IFERROR(__xludf.DUMMYFUNCTION("""COMPUTED_VALUE"""),5081.0)</f>
        <v>5081</v>
      </c>
      <c r="D2115" s="76" t="str">
        <f>IFERROR(__xludf.DUMMYFUNCTION("""COMPUTED_VALUE"""),"CUT LIST ")</f>
        <v>CUT LIST </v>
      </c>
      <c r="E2115" s="84">
        <f>IFERROR(__xludf.DUMMYFUNCTION("""COMPUTED_VALUE"""),46120.79166666667)</f>
        <v>46120.79167</v>
      </c>
      <c r="F2115" s="86">
        <f>IFERROR(__xludf.DUMMYFUNCTION("""COMPUTED_VALUE"""),46119.67438141204)</f>
        <v>46119.67438</v>
      </c>
      <c r="G2115" s="86" t="str">
        <f>IFERROR(__xludf.DUMMYFUNCTION("""COMPUTED_VALUE"""),"Done")</f>
        <v>Done</v>
      </c>
      <c r="H2115" s="88">
        <f>IFERROR(__xludf.DUMMYFUNCTION("""COMPUTED_VALUE"""),0.0)</f>
        <v>0</v>
      </c>
      <c r="I2115" s="90" t="str">
        <f>IFERROR(__xludf.DUMMYFUNCTION("""COMPUTED_VALUE"""),"EMP0042 HULESHWAR KUMAR SAHU")</f>
        <v>EMP0042 HULESHWAR KUMAR SAHU</v>
      </c>
      <c r="J2115" s="91"/>
    </row>
    <row r="2116">
      <c r="B2116" s="76" t="str">
        <f>IFERROR(__xludf.DUMMYFUNCTION("""COMPUTED_VALUE"""),"Upload file, cross check and inform                               ")</f>
        <v>Upload file, cross check and inform                               </v>
      </c>
      <c r="C2116" s="82">
        <f>IFERROR(__xludf.DUMMYFUNCTION("""COMPUTED_VALUE"""),5082.0)</f>
        <v>5082</v>
      </c>
      <c r="D2116" s="76" t="str">
        <f>IFERROR(__xludf.DUMMYFUNCTION("""COMPUTED_VALUE"""),"SCHEME")</f>
        <v>SCHEME</v>
      </c>
      <c r="E2116" s="84">
        <f>IFERROR(__xludf.DUMMYFUNCTION("""COMPUTED_VALUE"""),46120.79375)</f>
        <v>46120.79375</v>
      </c>
      <c r="F2116" s="86">
        <f>IFERROR(__xludf.DUMMYFUNCTION("""COMPUTED_VALUE"""),46120.62246086806)</f>
        <v>46120.62246</v>
      </c>
      <c r="G2116" s="86" t="str">
        <f>IFERROR(__xludf.DUMMYFUNCTION("""COMPUTED_VALUE"""),"Done")</f>
        <v>Done</v>
      </c>
      <c r="H2116" s="88">
        <f>IFERROR(__xludf.DUMMYFUNCTION("""COMPUTED_VALUE"""),0.0)</f>
        <v>0</v>
      </c>
      <c r="I2116" s="90" t="str">
        <f>IFERROR(__xludf.DUMMYFUNCTION("""COMPUTED_VALUE"""),"EMP0042 HULESHWAR KUMAR SAHU")</f>
        <v>EMP0042 HULESHWAR KUMAR SAHU</v>
      </c>
      <c r="J2116" s="91"/>
    </row>
    <row r="2117">
      <c r="B2117" s="76" t="str">
        <f>IFERROR(__xludf.DUMMYFUNCTION("""COMPUTED_VALUE"""),"Upload file, cross check and inform                               ")</f>
        <v>Upload file, cross check and inform                               </v>
      </c>
      <c r="C2117" s="82">
        <f>IFERROR(__xludf.DUMMYFUNCTION("""COMPUTED_VALUE"""),5083.0)</f>
        <v>5083</v>
      </c>
      <c r="D2117" s="76" t="str">
        <f>IFERROR(__xludf.DUMMYFUNCTION("""COMPUTED_VALUE"""),"College  course wise statistic")</f>
        <v>College  course wise statistic</v>
      </c>
      <c r="E2117" s="84">
        <f>IFERROR(__xludf.DUMMYFUNCTION("""COMPUTED_VALUE"""),46120.825)</f>
        <v>46120.825</v>
      </c>
      <c r="F2117" s="86">
        <f>IFERROR(__xludf.DUMMYFUNCTION("""COMPUTED_VALUE"""),46119.687283796295)</f>
        <v>46119.68728</v>
      </c>
      <c r="G2117" s="86" t="str">
        <f>IFERROR(__xludf.DUMMYFUNCTION("""COMPUTED_VALUE"""),"Done")</f>
        <v>Done</v>
      </c>
      <c r="H2117" s="88">
        <f>IFERROR(__xludf.DUMMYFUNCTION("""COMPUTED_VALUE"""),0.0)</f>
        <v>0</v>
      </c>
      <c r="I2117" s="90" t="str">
        <f>IFERROR(__xludf.DUMMYFUNCTION("""COMPUTED_VALUE"""),"EMP0021 Tamanna Dewangan")</f>
        <v>EMP0021 Tamanna Dewangan</v>
      </c>
      <c r="J2117" s="91"/>
    </row>
    <row r="2118">
      <c r="B2118" s="76" t="str">
        <f>IFERROR(__xludf.DUMMYFUNCTION("""COMPUTED_VALUE"""),"Upload file, cross check and inform                               ")</f>
        <v>Upload file, cross check and inform                               </v>
      </c>
      <c r="C2118" s="82">
        <f>IFERROR(__xludf.DUMMYFUNCTION("""COMPUTED_VALUE"""),5084.0)</f>
        <v>5084</v>
      </c>
      <c r="D2118" s="76" t="str">
        <f>IFERROR(__xludf.DUMMYFUNCTION("""COMPUTED_VALUE"""),"College statistic")</f>
        <v>College statistic</v>
      </c>
      <c r="E2118" s="84">
        <f>IFERROR(__xludf.DUMMYFUNCTION("""COMPUTED_VALUE"""),46120.82916666666)</f>
        <v>46120.82917</v>
      </c>
      <c r="F2118" s="86">
        <f>IFERROR(__xludf.DUMMYFUNCTION("""COMPUTED_VALUE"""),46119.687304004634)</f>
        <v>46119.6873</v>
      </c>
      <c r="G2118" s="86" t="str">
        <f>IFERROR(__xludf.DUMMYFUNCTION("""COMPUTED_VALUE"""),"Done")</f>
        <v>Done</v>
      </c>
      <c r="H2118" s="88">
        <f>IFERROR(__xludf.DUMMYFUNCTION("""COMPUTED_VALUE"""),0.0)</f>
        <v>0</v>
      </c>
      <c r="I2118" s="90" t="str">
        <f>IFERROR(__xludf.DUMMYFUNCTION("""COMPUTED_VALUE"""),"EMP5009 Rup Kumar Mandal")</f>
        <v>EMP5009 Rup Kumar Mandal</v>
      </c>
      <c r="J2118" s="91"/>
    </row>
    <row r="2119">
      <c r="B2119" s="76" t="str">
        <f>IFERROR(__xludf.DUMMYFUNCTION("""COMPUTED_VALUE"""),"Upload file, cross check and inform                               ")</f>
        <v>Upload file, cross check and inform                               </v>
      </c>
      <c r="C2119" s="82">
        <f>IFERROR(__xludf.DUMMYFUNCTION("""COMPUTED_VALUE"""),5085.0)</f>
        <v>5085</v>
      </c>
      <c r="D2119" s="76" t="str">
        <f>IFERROR(__xludf.DUMMYFUNCTION("""COMPUTED_VALUE"""),"Grade Card NEP (PG)")</f>
        <v>Grade Card NEP (PG)</v>
      </c>
      <c r="E2119" s="84">
        <f>IFERROR(__xludf.DUMMYFUNCTION("""COMPUTED_VALUE"""),46121.433333333334)</f>
        <v>46121.43333</v>
      </c>
      <c r="F2119" s="86">
        <f>IFERROR(__xludf.DUMMYFUNCTION("""COMPUTED_VALUE"""),46119.68732563657)</f>
        <v>46119.68733</v>
      </c>
      <c r="G2119" s="86" t="str">
        <f>IFERROR(__xludf.DUMMYFUNCTION("""COMPUTED_VALUE"""),"Done")</f>
        <v>Done</v>
      </c>
      <c r="H2119" s="88">
        <f>IFERROR(__xludf.DUMMYFUNCTION("""COMPUTED_VALUE"""),0.0)</f>
        <v>0</v>
      </c>
      <c r="I2119" s="90" t="str">
        <f>IFERROR(__xludf.DUMMYFUNCTION("""COMPUTED_VALUE"""),"EMP5009 Rup Kumar Mandal")</f>
        <v>EMP5009 Rup Kumar Mandal</v>
      </c>
      <c r="J2119" s="91"/>
    </row>
    <row r="2120">
      <c r="B2120" s="76" t="str">
        <f>IFERROR(__xludf.DUMMYFUNCTION("""COMPUTED_VALUE"""),"Upload file, cross check and inform                               ")</f>
        <v>Upload file, cross check and inform                               </v>
      </c>
      <c r="C2120" s="82">
        <f>IFERROR(__xludf.DUMMYFUNCTION("""COMPUTED_VALUE"""),5086.0)</f>
        <v>5086</v>
      </c>
      <c r="D2120" s="76" t="str">
        <f>IFERROR(__xludf.DUMMYFUNCTION("""COMPUTED_VALUE"""),"Multiple reports ")</f>
        <v>Multiple reports </v>
      </c>
      <c r="E2120" s="84">
        <f>IFERROR(__xludf.DUMMYFUNCTION("""COMPUTED_VALUE"""),46121.60416666667)</f>
        <v>46121.60417</v>
      </c>
      <c r="F2120" s="86">
        <f>IFERROR(__xludf.DUMMYFUNCTION("""COMPUTED_VALUE"""),46119.76531755787)</f>
        <v>46119.76532</v>
      </c>
      <c r="G2120" s="86" t="str">
        <f>IFERROR(__xludf.DUMMYFUNCTION("""COMPUTED_VALUE"""),"Done")</f>
        <v>Done</v>
      </c>
      <c r="H2120" s="88">
        <f>IFERROR(__xludf.DUMMYFUNCTION("""COMPUTED_VALUE"""),0.0)</f>
        <v>0</v>
      </c>
      <c r="I2120" s="90" t="str">
        <f>IFERROR(__xludf.DUMMYFUNCTION("""COMPUTED_VALUE"""),"EMP0042 HULESHWAR KUMAR SAHU")</f>
        <v>EMP0042 HULESHWAR KUMAR SAHU</v>
      </c>
      <c r="J2120" s="91"/>
    </row>
    <row r="2121">
      <c r="B2121" s="76" t="str">
        <f>IFERROR(__xludf.DUMMYFUNCTION("""COMPUTED_VALUE"""),"Upload file, cross check and inform                               ")</f>
        <v>Upload file, cross check and inform                               </v>
      </c>
      <c r="C2121" s="82">
        <f>IFERROR(__xludf.DUMMYFUNCTION("""COMPUTED_VALUE"""),5087.0)</f>
        <v>5087</v>
      </c>
      <c r="D2121" s="76" t="str">
        <f>IFERROR(__xludf.DUMMYFUNCTION("""COMPUTED_VALUE"""),"Multiple reports ")</f>
        <v>Multiple reports </v>
      </c>
      <c r="E2121" s="84">
        <f>IFERROR(__xludf.DUMMYFUNCTION("""COMPUTED_VALUE"""),46121.61875)</f>
        <v>46121.61875</v>
      </c>
      <c r="F2121" s="86">
        <f>IFERROR(__xludf.DUMMYFUNCTION("""COMPUTED_VALUE"""),46119.76535662037)</f>
        <v>46119.76536</v>
      </c>
      <c r="G2121" s="86" t="str">
        <f>IFERROR(__xludf.DUMMYFUNCTION("""COMPUTED_VALUE"""),"Done")</f>
        <v>Done</v>
      </c>
      <c r="H2121" s="88">
        <f>IFERROR(__xludf.DUMMYFUNCTION("""COMPUTED_VALUE"""),0.0)</f>
        <v>0</v>
      </c>
      <c r="I2121" s="90" t="str">
        <f>IFERROR(__xludf.DUMMYFUNCTION("""COMPUTED_VALUE"""),"EMP0021 Tamanna Dewangan")</f>
        <v>EMP0021 Tamanna Dewangan</v>
      </c>
      <c r="J2121" s="91"/>
    </row>
    <row r="2122">
      <c r="B2122" s="76" t="str">
        <f>IFERROR(__xludf.DUMMYFUNCTION("""COMPUTED_VALUE"""),"Upload file, cross check and inform                               ")</f>
        <v>Upload file, cross check and inform                               </v>
      </c>
      <c r="C2122" s="82">
        <f>IFERROR(__xludf.DUMMYFUNCTION("""COMPUTED_VALUE"""),5088.0)</f>
        <v>5088</v>
      </c>
      <c r="D2122" s="76" t="str">
        <f>IFERROR(__xludf.DUMMYFUNCTION("""COMPUTED_VALUE"""),"UPSHASTRI MARKSHEET")</f>
        <v>UPSHASTRI MARKSHEET</v>
      </c>
      <c r="E2122" s="84">
        <f>IFERROR(__xludf.DUMMYFUNCTION("""COMPUTED_VALUE"""),46121.82986111111)</f>
        <v>46121.82986</v>
      </c>
      <c r="F2122" s="86">
        <f>IFERROR(__xludf.DUMMYFUNCTION("""COMPUTED_VALUE"""),46120.731573993064)</f>
        <v>46120.73157</v>
      </c>
      <c r="G2122" s="86" t="str">
        <f>IFERROR(__xludf.DUMMYFUNCTION("""COMPUTED_VALUE"""),"Done")</f>
        <v>Done</v>
      </c>
      <c r="H2122" s="88">
        <f>IFERROR(__xludf.DUMMYFUNCTION("""COMPUTED_VALUE"""),0.0)</f>
        <v>0</v>
      </c>
      <c r="I2122" s="90" t="str">
        <f>IFERROR(__xludf.DUMMYFUNCTION("""COMPUTED_VALUE"""),"EMP0237 Swarnendu Chakraborty")</f>
        <v>EMP0237 Swarnendu Chakraborty</v>
      </c>
      <c r="J2122" s="91"/>
    </row>
    <row r="2123">
      <c r="B2123" s="76" t="str">
        <f>IFERROR(__xludf.DUMMYFUNCTION("""COMPUTED_VALUE"""),"Upload file, cross check and inform                               ")</f>
        <v>Upload file, cross check and inform                               </v>
      </c>
      <c r="C2123" s="82">
        <f>IFERROR(__xludf.DUMMYFUNCTION("""COMPUTED_VALUE"""),5089.0)</f>
        <v>5089</v>
      </c>
      <c r="D2123" s="76" t="str">
        <f>IFERROR(__xludf.DUMMYFUNCTION("""COMPUTED_VALUE"""),"Marksheet Paramedical")</f>
        <v>Marksheet Paramedical</v>
      </c>
      <c r="E2123" s="84">
        <f>IFERROR(__xludf.DUMMYFUNCTION("""COMPUTED_VALUE"""),46122.4375)</f>
        <v>46122.4375</v>
      </c>
      <c r="F2123" s="86">
        <f>IFERROR(__xludf.DUMMYFUNCTION("""COMPUTED_VALUE"""),46120.73159668981)</f>
        <v>46120.7316</v>
      </c>
      <c r="G2123" s="86" t="str">
        <f>IFERROR(__xludf.DUMMYFUNCTION("""COMPUTED_VALUE"""),"Done")</f>
        <v>Done</v>
      </c>
      <c r="H2123" s="88">
        <f>IFERROR(__xludf.DUMMYFUNCTION("""COMPUTED_VALUE"""),0.0)</f>
        <v>0</v>
      </c>
      <c r="I2123" s="90" t="str">
        <f>IFERROR(__xludf.DUMMYFUNCTION("""COMPUTED_VALUE"""),"EMP0042 HULESHWAR KUMAR SAHU")</f>
        <v>EMP0042 HULESHWAR KUMAR SAHU</v>
      </c>
      <c r="J2123" s="91"/>
    </row>
    <row r="2124">
      <c r="B2124" s="76" t="str">
        <f>IFERROR(__xludf.DUMMYFUNCTION("""COMPUTED_VALUE"""),"Upload file, cross check and inform                               ")</f>
        <v>Upload file, cross check and inform                               </v>
      </c>
      <c r="C2124" s="82">
        <f>IFERROR(__xludf.DUMMYFUNCTION("""COMPUTED_VALUE"""),5090.0)</f>
        <v>5090</v>
      </c>
      <c r="D2124" s="76" t="str">
        <f>IFERROR(__xludf.DUMMYFUNCTION("""COMPUTED_VALUE"""),"Methodology Deviation Report")</f>
        <v>Methodology Deviation Report</v>
      </c>
      <c r="E2124" s="84">
        <f>IFERROR(__xludf.DUMMYFUNCTION("""COMPUTED_VALUE"""),46122.62013888889)</f>
        <v>46122.62014</v>
      </c>
      <c r="F2124" s="86">
        <f>IFERROR(__xludf.DUMMYFUNCTION("""COMPUTED_VALUE"""),46121.41948774306)</f>
        <v>46121.41949</v>
      </c>
      <c r="G2124" s="86" t="str">
        <f>IFERROR(__xludf.DUMMYFUNCTION("""COMPUTED_VALUE"""),"Done")</f>
        <v>Done</v>
      </c>
      <c r="H2124" s="88">
        <f>IFERROR(__xludf.DUMMYFUNCTION("""COMPUTED_VALUE"""),0.0)</f>
        <v>0</v>
      </c>
      <c r="I2124" s="90" t="str">
        <f>IFERROR(__xludf.DUMMYFUNCTION("""COMPUTED_VALUE"""),"EMP0042 HULESHWAR KUMAR SAHU")</f>
        <v>EMP0042 HULESHWAR KUMAR SAHU</v>
      </c>
      <c r="J2124" s="91"/>
    </row>
    <row r="2125">
      <c r="B2125" s="76" t="str">
        <f>IFERROR(__xludf.DUMMYFUNCTION("""COMPUTED_VALUE"""),"Upload file, cross check and inform                               ")</f>
        <v>Upload file, cross check and inform                               </v>
      </c>
      <c r="C2125" s="82">
        <f>IFERROR(__xludf.DUMMYFUNCTION("""COMPUTED_VALUE"""),5091.0)</f>
        <v>5091</v>
      </c>
      <c r="D2125" s="76" t="str">
        <f>IFERROR(__xludf.DUMMYFUNCTION("""COMPUTED_VALUE"""),"TR")</f>
        <v>TR</v>
      </c>
      <c r="E2125" s="84">
        <f>IFERROR(__xludf.DUMMYFUNCTION("""COMPUTED_VALUE"""),46122.629166666666)</f>
        <v>46122.62917</v>
      </c>
      <c r="F2125" s="86">
        <f>IFERROR(__xludf.DUMMYFUNCTION("""COMPUTED_VALUE"""),46120.77266707176)</f>
        <v>46120.77267</v>
      </c>
      <c r="G2125" s="86" t="str">
        <f>IFERROR(__xludf.DUMMYFUNCTION("""COMPUTED_VALUE"""),"Done")</f>
        <v>Done</v>
      </c>
      <c r="H2125" s="88">
        <f>IFERROR(__xludf.DUMMYFUNCTION("""COMPUTED_VALUE"""),0.0)</f>
        <v>0</v>
      </c>
      <c r="I2125" s="90" t="str">
        <f>IFERROR(__xludf.DUMMYFUNCTION("""COMPUTED_VALUE"""),"EMP0021 Tamanna Dewangan")</f>
        <v>EMP0021 Tamanna Dewangan</v>
      </c>
      <c r="J2125" s="91"/>
    </row>
    <row r="2126">
      <c r="B2126" s="76" t="str">
        <f>IFERROR(__xludf.DUMMYFUNCTION("""COMPUTED_VALUE"""),"Upload file, cross check and inform                               ")</f>
        <v>Upload file, cross check and inform                               </v>
      </c>
      <c r="C2126" s="82">
        <f>IFERROR(__xludf.DUMMYFUNCTION("""COMPUTED_VALUE"""),5092.0)</f>
        <v>5092</v>
      </c>
      <c r="D2126" s="76" t="str">
        <f>IFERROR(__xludf.DUMMYFUNCTION("""COMPUTED_VALUE"""),"TR ")</f>
        <v>TR </v>
      </c>
      <c r="E2126" s="84">
        <f>IFERROR(__xludf.DUMMYFUNCTION("""COMPUTED_VALUE"""),46122.62986111111)</f>
        <v>46122.62986</v>
      </c>
      <c r="F2126" s="86">
        <f>IFERROR(__xludf.DUMMYFUNCTION("""COMPUTED_VALUE"""),46120.772625034726)</f>
        <v>46120.77263</v>
      </c>
      <c r="G2126" s="86" t="str">
        <f>IFERROR(__xludf.DUMMYFUNCTION("""COMPUTED_VALUE"""),"Done")</f>
        <v>Done</v>
      </c>
      <c r="H2126" s="88">
        <f>IFERROR(__xludf.DUMMYFUNCTION("""COMPUTED_VALUE"""),0.0)</f>
        <v>0</v>
      </c>
      <c r="I2126" s="90" t="str">
        <f>IFERROR(__xludf.DUMMYFUNCTION("""COMPUTED_VALUE"""),"EMP0042 HULESHWAR KUMAR SAHU")</f>
        <v>EMP0042 HULESHWAR KUMAR SAHU</v>
      </c>
      <c r="J2126" s="91"/>
    </row>
    <row r="2127">
      <c r="B2127" s="76" t="str">
        <f>IFERROR(__xludf.DUMMYFUNCTION("""COMPUTED_VALUE"""),"Upload file, cross check and inform                               ")</f>
        <v>Upload file, cross check and inform                               </v>
      </c>
      <c r="C2127" s="82">
        <f>IFERROR(__xludf.DUMMYFUNCTION("""COMPUTED_VALUE"""),5093.0)</f>
        <v>5093</v>
      </c>
      <c r="D2127" s="76" t="str">
        <f>IFERROR(__xludf.DUMMYFUNCTION("""COMPUTED_VALUE"""),"TR")</f>
        <v>TR</v>
      </c>
      <c r="E2127" s="84">
        <f>IFERROR(__xludf.DUMMYFUNCTION("""COMPUTED_VALUE"""),46123.43819444445)</f>
        <v>46123.43819</v>
      </c>
      <c r="F2127" s="86">
        <f>IFERROR(__xludf.DUMMYFUNCTION("""COMPUTED_VALUE"""),46121.75032210648)</f>
        <v>46121.75032</v>
      </c>
      <c r="G2127" s="86" t="str">
        <f>IFERROR(__xludf.DUMMYFUNCTION("""COMPUTED_VALUE"""),"Done")</f>
        <v>Done</v>
      </c>
      <c r="H2127" s="88">
        <f>IFERROR(__xludf.DUMMYFUNCTION("""COMPUTED_VALUE"""),0.0)</f>
        <v>0</v>
      </c>
      <c r="I2127" s="90" t="str">
        <f>IFERROR(__xludf.DUMMYFUNCTION("""COMPUTED_VALUE"""),"EMP5009 Rup Kumar Mandal")</f>
        <v>EMP5009 Rup Kumar Mandal</v>
      </c>
      <c r="J2127" s="91"/>
    </row>
    <row r="2128">
      <c r="B2128" s="76" t="str">
        <f>IFERROR(__xludf.DUMMYFUNCTION("""COMPUTED_VALUE"""),"Upload file, cross check and inform                               ")</f>
        <v>Upload file, cross check and inform                               </v>
      </c>
      <c r="C2128" s="82">
        <f>IFERROR(__xludf.DUMMYFUNCTION("""COMPUTED_VALUE"""),5094.0)</f>
        <v>5094</v>
      </c>
      <c r="D2128" s="76" t="str">
        <f>IFERROR(__xludf.DUMMYFUNCTION("""COMPUTED_VALUE"""),"Result Data")</f>
        <v>Result Data</v>
      </c>
      <c r="E2128" s="84">
        <f>IFERROR(__xludf.DUMMYFUNCTION("""COMPUTED_VALUE"""),46123.49375)</f>
        <v>46123.49375</v>
      </c>
      <c r="F2128" s="86">
        <f>IFERROR(__xludf.DUMMYFUNCTION("""COMPUTED_VALUE"""),46122.45932672454)</f>
        <v>46122.45933</v>
      </c>
      <c r="G2128" s="86" t="str">
        <f>IFERROR(__xludf.DUMMYFUNCTION("""COMPUTED_VALUE"""),"Done")</f>
        <v>Done</v>
      </c>
      <c r="H2128" s="88">
        <f>IFERROR(__xludf.DUMMYFUNCTION("""COMPUTED_VALUE"""),0.0)</f>
        <v>0</v>
      </c>
      <c r="I2128" s="90" t="str">
        <f>IFERROR(__xludf.DUMMYFUNCTION("""COMPUTED_VALUE"""),"EMP0237 Swarnendu Chakraborty")</f>
        <v>EMP0237 Swarnendu Chakraborty</v>
      </c>
      <c r="J2128" s="91"/>
    </row>
    <row r="2129">
      <c r="B2129" s="76" t="str">
        <f>IFERROR(__xludf.DUMMYFUNCTION("""COMPUTED_VALUE"""),"Upload file, cross check and inform                               ")</f>
        <v>Upload file, cross check and inform                               </v>
      </c>
      <c r="C2129" s="82">
        <f>IFERROR(__xludf.DUMMYFUNCTION("""COMPUTED_VALUE"""),5095.0)</f>
        <v>5095</v>
      </c>
      <c r="D2129" s="76" t="str">
        <f>IFERROR(__xludf.DUMMYFUNCTION("""COMPUTED_VALUE"""),"TR semester (NEW)")</f>
        <v>TR semester (NEW)</v>
      </c>
      <c r="E2129" s="84">
        <f>IFERROR(__xludf.DUMMYFUNCTION("""COMPUTED_VALUE"""),46123.56805555556)</f>
        <v>46123.56806</v>
      </c>
      <c r="F2129" s="86">
        <f>IFERROR(__xludf.DUMMYFUNCTION("""COMPUTED_VALUE"""),46122.79942579861)</f>
        <v>46122.79943</v>
      </c>
      <c r="G2129" s="86" t="str">
        <f>IFERROR(__xludf.DUMMYFUNCTION("""COMPUTED_VALUE"""),"Done")</f>
        <v>Done</v>
      </c>
      <c r="H2129" s="88">
        <f>IFERROR(__xludf.DUMMYFUNCTION("""COMPUTED_VALUE"""),0.0)</f>
        <v>0</v>
      </c>
      <c r="I2129" s="90" t="str">
        <f>IFERROR(__xludf.DUMMYFUNCTION("""COMPUTED_VALUE"""),"EMP5009 Rup Kumar Mandal")</f>
        <v>EMP5009 Rup Kumar Mandal</v>
      </c>
      <c r="J2129" s="91"/>
    </row>
    <row r="2130">
      <c r="B2130" s="76" t="str">
        <f>IFERROR(__xludf.DUMMYFUNCTION("""COMPUTED_VALUE"""),"Upload file, cross check and inform                               ")</f>
        <v>Upload file, cross check and inform                               </v>
      </c>
      <c r="C2130" s="82">
        <f>IFERROR(__xludf.DUMMYFUNCTION("""COMPUTED_VALUE"""),5096.0)</f>
        <v>5096</v>
      </c>
      <c r="D2130" s="76" t="str">
        <f>IFERROR(__xludf.DUMMYFUNCTION("""COMPUTED_VALUE"""),"Grade Carde B.Tech")</f>
        <v>Grade Carde B.Tech</v>
      </c>
      <c r="E2130" s="84">
        <f>IFERROR(__xludf.DUMMYFUNCTION("""COMPUTED_VALUE"""),46123.57291666667)</f>
        <v>46123.57292</v>
      </c>
      <c r="F2130" s="86">
        <f>IFERROR(__xludf.DUMMYFUNCTION("""COMPUTED_VALUE"""),46121.76073032407)</f>
        <v>46121.76073</v>
      </c>
      <c r="G2130" s="86" t="str">
        <f>IFERROR(__xludf.DUMMYFUNCTION("""COMPUTED_VALUE"""),"Done")</f>
        <v>Done</v>
      </c>
      <c r="H2130" s="88">
        <f>IFERROR(__xludf.DUMMYFUNCTION("""COMPUTED_VALUE"""),0.0)</f>
        <v>0</v>
      </c>
      <c r="I2130" s="90" t="str">
        <f>IFERROR(__xludf.DUMMYFUNCTION("""COMPUTED_VALUE"""),"EMP0042 HULESHWAR KUMAR SAHU")</f>
        <v>EMP0042 HULESHWAR KUMAR SAHU</v>
      </c>
      <c r="J2130" s="91"/>
    </row>
    <row r="2131">
      <c r="B2131" s="76" t="str">
        <f>IFERROR(__xludf.DUMMYFUNCTION("""COMPUTED_VALUE"""),"Upload file, cross check and inform                               ")</f>
        <v>Upload file, cross check and inform                               </v>
      </c>
      <c r="C2131" s="82">
        <f>IFERROR(__xludf.DUMMYFUNCTION("""COMPUTED_VALUE"""),5097.0)</f>
        <v>5097</v>
      </c>
      <c r="D2131" s="76" t="str">
        <f>IFERROR(__xludf.DUMMYFUNCTION("""COMPUTED_VALUE"""),"Shastri Semester Marksheet publication date to current date change")</f>
        <v>Shastri Semester Marksheet publication date to current date change</v>
      </c>
      <c r="E2131" s="84">
        <f>IFERROR(__xludf.DUMMYFUNCTION("""COMPUTED_VALUE"""),46125.45833333333)</f>
        <v>46125.45833</v>
      </c>
      <c r="F2131" s="86">
        <f>IFERROR(__xludf.DUMMYFUNCTION("""COMPUTED_VALUE"""),46122.63443258102)</f>
        <v>46122.63443</v>
      </c>
      <c r="G2131" s="86" t="str">
        <f>IFERROR(__xludf.DUMMYFUNCTION("""COMPUTED_VALUE"""),"Done")</f>
        <v>Done</v>
      </c>
      <c r="H2131" s="88">
        <f>IFERROR(__xludf.DUMMYFUNCTION("""COMPUTED_VALUE"""),0.0)</f>
        <v>0</v>
      </c>
      <c r="I2131" s="90" t="str">
        <f>IFERROR(__xludf.DUMMYFUNCTION("""COMPUTED_VALUE"""),"EMP0021 Tamanna Dewangan")</f>
        <v>EMP0021 Tamanna Dewangan</v>
      </c>
      <c r="J2131" s="91"/>
    </row>
    <row r="2132">
      <c r="B2132" s="76" t="str">
        <f>IFERROR(__xludf.DUMMYFUNCTION("""COMPUTED_VALUE"""),"Upload file, cross check and inform                               ")</f>
        <v>Upload file, cross check and inform                               </v>
      </c>
      <c r="C2132" s="82">
        <f>IFERROR(__xludf.DUMMYFUNCTION("""COMPUTED_VALUE"""),5098.0)</f>
        <v>5098</v>
      </c>
      <c r="D2132" s="76" t="str">
        <f>IFERROR(__xludf.DUMMYFUNCTION("""COMPUTED_VALUE"""),"GRADE CARD AGRICULTURE")</f>
        <v>GRADE CARD AGRICULTURE</v>
      </c>
      <c r="E2132" s="84">
        <f>IFERROR(__xludf.DUMMYFUNCTION("""COMPUTED_VALUE"""),46127.59652777778)</f>
        <v>46127.59653</v>
      </c>
      <c r="F2132" s="86">
        <f>IFERROR(__xludf.DUMMYFUNCTION("""COMPUTED_VALUE"""),46125.73241976852)</f>
        <v>46125.73242</v>
      </c>
      <c r="G2132" s="86" t="str">
        <f>IFERROR(__xludf.DUMMYFUNCTION("""COMPUTED_VALUE"""),"Done")</f>
        <v>Done</v>
      </c>
      <c r="H2132" s="88">
        <f>IFERROR(__xludf.DUMMYFUNCTION("""COMPUTED_VALUE"""),0.0)</f>
        <v>0</v>
      </c>
      <c r="I2132" s="90" t="str">
        <f>IFERROR(__xludf.DUMMYFUNCTION("""COMPUTED_VALUE"""),"EMP0042 HULESHWAR KUMAR SAHU")</f>
        <v>EMP0042 HULESHWAR KUMAR SAHU</v>
      </c>
      <c r="J2132" s="91"/>
    </row>
    <row r="2133">
      <c r="B2133" s="76" t="str">
        <f>IFERROR(__xludf.DUMMYFUNCTION("""COMPUTED_VALUE"""),"Upload file, cross check and inform                               ")</f>
        <v>Upload file, cross check and inform                               </v>
      </c>
      <c r="C2133" s="82">
        <f>IFERROR(__xludf.DUMMYFUNCTION("""COMPUTED_VALUE"""),5099.0)</f>
        <v>5099</v>
      </c>
      <c r="D2133" s="76" t="str">
        <f>IFERROR(__xludf.DUMMYFUNCTION("""COMPUTED_VALUE"""),"TR_phd_NEW_FORMAT")</f>
        <v>TR_phd_NEW_FORMAT</v>
      </c>
      <c r="E2133" s="84">
        <f>IFERROR(__xludf.DUMMYFUNCTION("""COMPUTED_VALUE"""),46127.59722222222)</f>
        <v>46127.59722</v>
      </c>
      <c r="F2133" s="86">
        <f>IFERROR(__xludf.DUMMYFUNCTION("""COMPUTED_VALUE"""),46125.73243462962)</f>
        <v>46125.73243</v>
      </c>
      <c r="G2133" s="86" t="str">
        <f>IFERROR(__xludf.DUMMYFUNCTION("""COMPUTED_VALUE"""),"Done")</f>
        <v>Done</v>
      </c>
      <c r="H2133" s="88">
        <f>IFERROR(__xludf.DUMMYFUNCTION("""COMPUTED_VALUE"""),0.0)</f>
        <v>0</v>
      </c>
      <c r="I2133" s="90" t="str">
        <f>IFERROR(__xludf.DUMMYFUNCTION("""COMPUTED_VALUE"""),"EMP0042 HULESHWAR KUMAR SAHU")</f>
        <v>EMP0042 HULESHWAR KUMAR SAHU</v>
      </c>
      <c r="J2133" s="91"/>
    </row>
    <row r="2134">
      <c r="B2134" s="76" t="str">
        <f>IFERROR(__xludf.DUMMYFUNCTION("""COMPUTED_VALUE"""),"Upload file, cross check and inform                               ")</f>
        <v>Upload file, cross check and inform                               </v>
      </c>
      <c r="C2134" s="82">
        <f>IFERROR(__xludf.DUMMYFUNCTION("""COMPUTED_VALUE"""),5100.0)</f>
        <v>5100</v>
      </c>
      <c r="D2134" s="76" t="str">
        <f>IFERROR(__xludf.DUMMYFUNCTION("""COMPUTED_VALUE"""),"Session - 2024-25 (S), MBBS ,SUPPLEMENTARY. 1st Professional MBBS Examination 2025 (II), correction in the  supplementary marksheet.")</f>
        <v>Session - 2024-25 (S), MBBS ,SUPPLEMENTARY. 1st Professional MBBS Examination 2025 (II), correction in the  supplementary marksheet.</v>
      </c>
      <c r="E2134" s="84">
        <f>IFERROR(__xludf.DUMMYFUNCTION("""COMPUTED_VALUE"""),46128.5875)</f>
        <v>46128.5875</v>
      </c>
      <c r="F2134" s="86">
        <f>IFERROR(__xludf.DUMMYFUNCTION("""COMPUTED_VALUE"""),46127.42807048611)</f>
        <v>46127.42807</v>
      </c>
      <c r="G2134" s="86" t="str">
        <f>IFERROR(__xludf.DUMMYFUNCTION("""COMPUTED_VALUE"""),"Done")</f>
        <v>Done</v>
      </c>
      <c r="H2134" s="88">
        <f>IFERROR(__xludf.DUMMYFUNCTION("""COMPUTED_VALUE"""),0.0)</f>
        <v>0</v>
      </c>
      <c r="I2134" s="90" t="str">
        <f>IFERROR(__xludf.DUMMYFUNCTION("""COMPUTED_VALUE"""),"EMP0042 HULESHWAR KUMAR SAHU")</f>
        <v>EMP0042 HULESHWAR KUMAR SAHU</v>
      </c>
      <c r="J2134" s="91"/>
    </row>
    <row r="2135">
      <c r="B2135" s="76" t="str">
        <f>IFERROR(__xludf.DUMMYFUNCTION("""COMPUTED_VALUE"""),"Upload file, cross check and inform                               ")</f>
        <v>Upload file, cross check and inform                               </v>
      </c>
      <c r="C2135" s="82">
        <f>IFERROR(__xludf.DUMMYFUNCTION("""COMPUTED_VALUE"""),5101.0)</f>
        <v>5101</v>
      </c>
      <c r="D2135" s="76" t="str">
        <f>IFERROR(__xludf.DUMMYFUNCTION("""COMPUTED_VALUE"""),"Upshastri marksheet not downloading SE23")</f>
        <v>Upshastri marksheet not downloading SE23</v>
      </c>
      <c r="E2135" s="84">
        <f>IFERROR(__xludf.DUMMYFUNCTION("""COMPUTED_VALUE"""),46129.48541666666)</f>
        <v>46129.48542</v>
      </c>
      <c r="F2135" s="86">
        <f>IFERROR(__xludf.DUMMYFUNCTION("""COMPUTED_VALUE"""),46128.5165208912)</f>
        <v>46128.51652</v>
      </c>
      <c r="G2135" s="86" t="str">
        <f>IFERROR(__xludf.DUMMYFUNCTION("""COMPUTED_VALUE"""),"Done")</f>
        <v>Done</v>
      </c>
      <c r="H2135" s="88">
        <f>IFERROR(__xludf.DUMMYFUNCTION("""COMPUTED_VALUE"""),0.0)</f>
        <v>0</v>
      </c>
      <c r="I2135" s="90" t="str">
        <f>IFERROR(__xludf.DUMMYFUNCTION("""COMPUTED_VALUE"""),"EMP0021 Tamanna Dewangan")</f>
        <v>EMP0021 Tamanna Dewangan</v>
      </c>
      <c r="J2135" s="91"/>
    </row>
    <row r="2136">
      <c r="B2136" s="76" t="str">
        <f>IFERROR(__xludf.DUMMYFUNCTION("""COMPUTED_VALUE"""),"Upload file, cross check and inform                               ")</f>
        <v>Upload file, cross check and inform                               </v>
      </c>
      <c r="C2136" s="82">
        <f>IFERROR(__xludf.DUMMYFUNCTION("""COMPUTED_VALUE"""),5102.0)</f>
        <v>5102</v>
      </c>
      <c r="D2136" s="76" t="str">
        <f>IFERROR(__xludf.DUMMYFUNCTION("""COMPUTED_VALUE"""),"Marksheet cumulative nep major minor")</f>
        <v>Marksheet cumulative nep major minor</v>
      </c>
      <c r="E2136" s="84">
        <f>IFERROR(__xludf.DUMMYFUNCTION("""COMPUTED_VALUE"""),46129.80347222222)</f>
        <v>46129.80347</v>
      </c>
      <c r="F2136" s="86">
        <f>IFERROR(__xludf.DUMMYFUNCTION("""COMPUTED_VALUE"""),46129.43847454861)</f>
        <v>46129.43847</v>
      </c>
      <c r="G2136" s="86" t="str">
        <f>IFERROR(__xludf.DUMMYFUNCTION("""COMPUTED_VALUE"""),"Done")</f>
        <v>Done</v>
      </c>
      <c r="H2136" s="88">
        <f>IFERROR(__xludf.DUMMYFUNCTION("""COMPUTED_VALUE"""),0.0)</f>
        <v>0</v>
      </c>
      <c r="I2136" s="90" t="str">
        <f>IFERROR(__xludf.DUMMYFUNCTION("""COMPUTED_VALUE"""),"EMP0042 HULESHWAR KUMAR SAHU")</f>
        <v>EMP0042 HULESHWAR KUMAR SAHU</v>
      </c>
      <c r="J2136" s="91"/>
    </row>
    <row r="2137">
      <c r="B2137" s="76" t="str">
        <f>IFERROR(__xludf.DUMMYFUNCTION("""COMPUTED_VALUE"""),"Upload file, cross check and inform                               ")</f>
        <v>Upload file, cross check and inform                               </v>
      </c>
      <c r="C2137" s="82">
        <f>IFERROR(__xludf.DUMMYFUNCTION("""COMPUTED_VALUE"""),5103.0)</f>
        <v>5103</v>
      </c>
      <c r="D2137" s="76" t="str">
        <f>IFERROR(__xludf.DUMMYFUNCTION("""COMPUTED_VALUE"""),"Multiple Report ")</f>
        <v>Multiple Report </v>
      </c>
      <c r="E2137" s="84">
        <f>IFERROR(__xludf.DUMMYFUNCTION("""COMPUTED_VALUE"""),46129.82152777778)</f>
        <v>46129.82153</v>
      </c>
      <c r="F2137" s="86">
        <f>IFERROR(__xludf.DUMMYFUNCTION("""COMPUTED_VALUE"""),46128.6007177662)</f>
        <v>46128.60072</v>
      </c>
      <c r="G2137" s="86" t="str">
        <f>IFERROR(__xludf.DUMMYFUNCTION("""COMPUTED_VALUE"""),"Done")</f>
        <v>Done</v>
      </c>
      <c r="H2137" s="88">
        <f>IFERROR(__xludf.DUMMYFUNCTION("""COMPUTED_VALUE"""),0.0)</f>
        <v>0</v>
      </c>
      <c r="I2137" s="90" t="str">
        <f>IFERROR(__xludf.DUMMYFUNCTION("""COMPUTED_VALUE"""),"EMP0042 HULESHWAR KUMAR SAHU")</f>
        <v>EMP0042 HULESHWAR KUMAR SAHU</v>
      </c>
      <c r="J2137" s="91"/>
    </row>
    <row r="2138">
      <c r="B2138" s="76" t="str">
        <f>IFERROR(__xludf.DUMMYFUNCTION("""COMPUTED_VALUE"""),"Upload file, cross check and inform                               ")</f>
        <v>Upload file, cross check and inform                               </v>
      </c>
      <c r="C2138" s="82">
        <f>IFERROR(__xludf.DUMMYFUNCTION("""COMPUTED_VALUE"""),5104.0)</f>
        <v>5104</v>
      </c>
      <c r="D2138" s="76" t="str">
        <f>IFERROR(__xludf.DUMMYFUNCTION("""COMPUTED_VALUE"""),"TR")</f>
        <v>TR</v>
      </c>
      <c r="E2138" s="84">
        <f>IFERROR(__xludf.DUMMYFUNCTION("""COMPUTED_VALUE"""),46130.57916666666)</f>
        <v>46130.57917</v>
      </c>
      <c r="F2138" s="86">
        <f>IFERROR(__xludf.DUMMYFUNCTION("""COMPUTED_VALUE"""),46129.52640555556)</f>
        <v>46129.52641</v>
      </c>
      <c r="G2138" s="86" t="str">
        <f>IFERROR(__xludf.DUMMYFUNCTION("""COMPUTED_VALUE"""),"Done")</f>
        <v>Done</v>
      </c>
      <c r="H2138" s="88">
        <f>IFERROR(__xludf.DUMMYFUNCTION("""COMPUTED_VALUE"""),0.0)</f>
        <v>0</v>
      </c>
      <c r="I2138" s="90" t="str">
        <f>IFERROR(__xludf.DUMMYFUNCTION("""COMPUTED_VALUE"""),"EMP0042 HULESHWAR KUMAR SAHU")</f>
        <v>EMP0042 HULESHWAR KUMAR SAHU</v>
      </c>
      <c r="J2138" s="91"/>
    </row>
    <row r="2139">
      <c r="B2139" s="76" t="str">
        <f>IFERROR(__xludf.DUMMYFUNCTION("""COMPUTED_VALUE"""),"Upload file, cross check and inform                               ")</f>
        <v>Upload file, cross check and inform                               </v>
      </c>
      <c r="C2139" s="82">
        <f>IFERROR(__xludf.DUMMYFUNCTION("""COMPUTED_VALUE"""),5105.0)</f>
        <v>5105</v>
      </c>
      <c r="D2139" s="76" t="str">
        <f>IFERROR(__xludf.DUMMYFUNCTION("""COMPUTED_VALUE"""),"Grade Carde B.Tech")</f>
        <v>Grade Carde B.Tech</v>
      </c>
      <c r="E2139" s="84">
        <f>IFERROR(__xludf.DUMMYFUNCTION("""COMPUTED_VALUE"""),46130.79236111111)</f>
        <v>46130.79236</v>
      </c>
      <c r="F2139" s="86">
        <f>IFERROR(__xludf.DUMMYFUNCTION("""COMPUTED_VALUE"""),46129.67846177084)</f>
        <v>46129.67846</v>
      </c>
      <c r="G2139" s="86" t="str">
        <f>IFERROR(__xludf.DUMMYFUNCTION("""COMPUTED_VALUE"""),"Done")</f>
        <v>Done</v>
      </c>
      <c r="H2139" s="88">
        <f>IFERROR(__xludf.DUMMYFUNCTION("""COMPUTED_VALUE"""),0.0)</f>
        <v>0</v>
      </c>
      <c r="I2139" s="90" t="str">
        <f>IFERROR(__xludf.DUMMYFUNCTION("""COMPUTED_VALUE"""),"EMP5009 Rup Kumar Mandal")</f>
        <v>EMP5009 Rup Kumar Mandal</v>
      </c>
      <c r="J2139" s="91"/>
    </row>
    <row r="2140">
      <c r="B2140" s="76" t="str">
        <f>IFERROR(__xludf.DUMMYFUNCTION("""COMPUTED_VALUE"""),"Upload file, cross check and inform                               ")</f>
        <v>Upload file, cross check and inform                               </v>
      </c>
      <c r="C2140" s="82">
        <f>IFERROR(__xludf.DUMMYFUNCTION("""COMPUTED_VALUE"""),5106.0)</f>
        <v>5106</v>
      </c>
      <c r="D2140" s="76" t="str">
        <f>IFERROR(__xludf.DUMMYFUNCTION("""COMPUTED_VALUE"""),"TR.....&amp; ALL REPORTS")</f>
        <v>TR.....&amp; ALL REPORTS</v>
      </c>
      <c r="E2140" s="84">
        <f>IFERROR(__xludf.DUMMYFUNCTION("""COMPUTED_VALUE"""),46132.495833333334)</f>
        <v>46132.49583</v>
      </c>
      <c r="F2140" s="86">
        <f>IFERROR(__xludf.DUMMYFUNCTION("""COMPUTED_VALUE"""),46132.48034916667)</f>
        <v>46132.48035</v>
      </c>
      <c r="G2140" s="86" t="str">
        <f>IFERROR(__xludf.DUMMYFUNCTION("""COMPUTED_VALUE"""),"Done")</f>
        <v>Done</v>
      </c>
      <c r="H2140" s="88">
        <f>IFERROR(__xludf.DUMMYFUNCTION("""COMPUTED_VALUE"""),0.0)</f>
        <v>0</v>
      </c>
      <c r="I2140" s="90" t="str">
        <f>IFERROR(__xludf.DUMMYFUNCTION("""COMPUTED_VALUE"""),"EMP5009 Rup Kumar Mandal")</f>
        <v>EMP5009 Rup Kumar Mandal</v>
      </c>
      <c r="J2140" s="91"/>
    </row>
    <row r="2141">
      <c r="B2141" s="76" t="str">
        <f>IFERROR(__xludf.DUMMYFUNCTION("""COMPUTED_VALUE"""),"Upload file, cross check and inform                               ")</f>
        <v>Upload file, cross check and inform                               </v>
      </c>
      <c r="C2141" s="82">
        <f>IFERROR(__xludf.DUMMYFUNCTION("""COMPUTED_VALUE"""),5107.0)</f>
        <v>5107</v>
      </c>
      <c r="D2141" s="76" t="str">
        <f>IFERROR(__xludf.DUMMYFUNCTION("""COMPUTED_VALUE"""),"TR.....&amp; all reports")</f>
        <v>TR.....&amp; all reports</v>
      </c>
      <c r="E2141" s="84">
        <f>IFERROR(__xludf.DUMMYFUNCTION("""COMPUTED_VALUE"""),46132.49791666667)</f>
        <v>46132.49792</v>
      </c>
      <c r="F2141" s="86">
        <f>IFERROR(__xludf.DUMMYFUNCTION("""COMPUTED_VALUE"""),46132.48035819445)</f>
        <v>46132.48036</v>
      </c>
      <c r="G2141" s="86" t="str">
        <f>IFERROR(__xludf.DUMMYFUNCTION("""COMPUTED_VALUE"""),"Done")</f>
        <v>Done</v>
      </c>
      <c r="H2141" s="88">
        <f>IFERROR(__xludf.DUMMYFUNCTION("""COMPUTED_VALUE"""),0.0)</f>
        <v>0</v>
      </c>
      <c r="I2141" s="90" t="str">
        <f>IFERROR(__xludf.DUMMYFUNCTION("""COMPUTED_VALUE"""),"EMP5009 Rup Kumar Mandal")</f>
        <v>EMP5009 Rup Kumar Mandal</v>
      </c>
      <c r="J2141" s="91"/>
    </row>
    <row r="2142">
      <c r="B2142" s="76" t="str">
        <f>IFERROR(__xludf.DUMMYFUNCTION("""COMPUTED_VALUE"""),"Upload file, cross check and inform                               ")</f>
        <v>Upload file, cross check and inform                               </v>
      </c>
      <c r="C2142" s="82">
        <f>IFERROR(__xludf.DUMMYFUNCTION("""COMPUTED_VALUE"""),5108.0)</f>
        <v>5108</v>
      </c>
      <c r="D2142" s="76" t="str">
        <f>IFERROR(__xludf.DUMMYFUNCTION("""COMPUTED_VALUE"""),"Mark Entry")</f>
        <v>Mark Entry</v>
      </c>
      <c r="E2142" s="84">
        <f>IFERROR(__xludf.DUMMYFUNCTION("""COMPUTED_VALUE"""),46134.42847222222)</f>
        <v>46134.42847</v>
      </c>
      <c r="F2142" s="86">
        <f>IFERROR(__xludf.DUMMYFUNCTION("""COMPUTED_VALUE"""),46133.462136076385)</f>
        <v>46133.46214</v>
      </c>
      <c r="G2142" s="86" t="str">
        <f>IFERROR(__xludf.DUMMYFUNCTION("""COMPUTED_VALUE"""),"Done")</f>
        <v>Done</v>
      </c>
      <c r="H2142" s="88">
        <f>IFERROR(__xludf.DUMMYFUNCTION("""COMPUTED_VALUE"""),0.0)</f>
        <v>0</v>
      </c>
      <c r="I2142" s="90" t="str">
        <f>IFERROR(__xludf.DUMMYFUNCTION("""COMPUTED_VALUE"""),"EMP0237 Swarnendu Chakraborty")</f>
        <v>EMP0237 Swarnendu Chakraborty</v>
      </c>
      <c r="J2142" s="91"/>
    </row>
    <row r="2143">
      <c r="B2143" s="76" t="str">
        <f>IFERROR(__xludf.DUMMYFUNCTION("""COMPUTED_VALUE"""),"Upload file, cross check and inform                               ")</f>
        <v>Upload file, cross check and inform                               </v>
      </c>
      <c r="C2143" s="82">
        <f>IFERROR(__xludf.DUMMYFUNCTION("""COMPUTED_VALUE"""),5109.0)</f>
        <v>5109</v>
      </c>
      <c r="D2143" s="76" t="str">
        <f>IFERROR(__xludf.DUMMYFUNCTION("""COMPUTED_VALUE"""),"Mark Entry")</f>
        <v>Mark Entry</v>
      </c>
      <c r="E2143" s="84">
        <f>IFERROR(__xludf.DUMMYFUNCTION("""COMPUTED_VALUE"""),46134.429861111115)</f>
        <v>46134.42986</v>
      </c>
      <c r="F2143" s="86">
        <f>IFERROR(__xludf.DUMMYFUNCTION("""COMPUTED_VALUE"""),46133.462207928234)</f>
        <v>46133.46221</v>
      </c>
      <c r="G2143" s="86" t="str">
        <f>IFERROR(__xludf.DUMMYFUNCTION("""COMPUTED_VALUE"""),"Done")</f>
        <v>Done</v>
      </c>
      <c r="H2143" s="88">
        <f>IFERROR(__xludf.DUMMYFUNCTION("""COMPUTED_VALUE"""),0.0)</f>
        <v>0</v>
      </c>
      <c r="I2143" s="90" t="str">
        <f>IFERROR(__xludf.DUMMYFUNCTION("""COMPUTED_VALUE"""),"EMP5009 Rup Kumar Mandal")</f>
        <v>EMP5009 Rup Kumar Mandal</v>
      </c>
      <c r="J2143" s="91"/>
    </row>
    <row r="2144">
      <c r="B2144" s="76" t="str">
        <f>IFERROR(__xludf.DUMMYFUNCTION("""COMPUTED_VALUE"""),"Upload file, cross check and inform                               ")</f>
        <v>Upload file, cross check and inform                               </v>
      </c>
      <c r="C2144" s="82">
        <f>IFERROR(__xludf.DUMMYFUNCTION("""COMPUTED_VALUE"""),5110.0)</f>
        <v>5110</v>
      </c>
      <c r="D2144" s="76" t="str">
        <f>IFERROR(__xludf.DUMMYFUNCTION("""COMPUTED_VALUE"""),"RR ENROLLMENT FEES OVERALL")</f>
        <v>RR ENROLLMENT FEES OVERALL</v>
      </c>
      <c r="E2144" s="84">
        <f>IFERROR(__xludf.DUMMYFUNCTION("""COMPUTED_VALUE"""),46134.625)</f>
        <v>46134.625</v>
      </c>
      <c r="F2144" s="86">
        <f>IFERROR(__xludf.DUMMYFUNCTION("""COMPUTED_VALUE"""),46133.4623759838)</f>
        <v>46133.46238</v>
      </c>
      <c r="G2144" s="86" t="str">
        <f>IFERROR(__xludf.DUMMYFUNCTION("""COMPUTED_VALUE"""),"Done")</f>
        <v>Done</v>
      </c>
      <c r="H2144" s="88">
        <f>IFERROR(__xludf.DUMMYFUNCTION("""COMPUTED_VALUE"""),0.0)</f>
        <v>0</v>
      </c>
      <c r="I2144" s="90" t="str">
        <f>IFERROR(__xludf.DUMMYFUNCTION("""COMPUTED_VALUE"""),"EMP0042 HULESHWAR KUMAR SAHU")</f>
        <v>EMP0042 HULESHWAR KUMAR SAHU</v>
      </c>
      <c r="J2144" s="91"/>
    </row>
    <row r="2145">
      <c r="B2145" s="76" t="str">
        <f>IFERROR(__xludf.DUMMYFUNCTION("""COMPUTED_VALUE"""),"Upload file, cross check and inform                               ")</f>
        <v>Upload file, cross check and inform                               </v>
      </c>
      <c r="C2145" s="82">
        <f>IFERROR(__xludf.DUMMYFUNCTION("""COMPUTED_VALUE"""),5111.0)</f>
        <v>5111</v>
      </c>
      <c r="D2145" s="76" t="str">
        <f>IFERROR(__xludf.DUMMYFUNCTION("""COMPUTED_VALUE"""),"3386")</f>
        <v>3386</v>
      </c>
      <c r="E2145" s="84">
        <f>IFERROR(__xludf.DUMMYFUNCTION("""COMPUTED_VALUE"""),46134.71736111111)</f>
        <v>46134.71736</v>
      </c>
      <c r="F2145" s="86">
        <f>IFERROR(__xludf.DUMMYFUNCTION("""COMPUTED_VALUE"""),46134.46952365741)</f>
        <v>46134.46952</v>
      </c>
      <c r="G2145" s="86" t="str">
        <f>IFERROR(__xludf.DUMMYFUNCTION("""COMPUTED_VALUE"""),"Done")</f>
        <v>Done</v>
      </c>
      <c r="H2145" s="88">
        <f>IFERROR(__xludf.DUMMYFUNCTION("""COMPUTED_VALUE"""),0.0)</f>
        <v>0</v>
      </c>
      <c r="I2145" s="90" t="str">
        <f>IFERROR(__xludf.DUMMYFUNCTION("""COMPUTED_VALUE"""),"EMP0021 Tamanna Dewangan")</f>
        <v>EMP0021 Tamanna Dewangan</v>
      </c>
      <c r="J2145" s="91"/>
    </row>
    <row r="2146">
      <c r="B2146" s="76" t="str">
        <f>IFERROR(__xludf.DUMMYFUNCTION("""COMPUTED_VALUE"""),"Upload file, cross check and inform                               ")</f>
        <v>Upload file, cross check and inform                               </v>
      </c>
      <c r="C2146" s="82">
        <f>IFERROR(__xludf.DUMMYFUNCTION("""COMPUTED_VALUE"""),5112.0)</f>
        <v>5112</v>
      </c>
      <c r="D2146" s="76" t="str">
        <f>IFERROR(__xludf.DUMMYFUNCTION("""COMPUTED_VALUE"""),"Admit Card")</f>
        <v>Admit Card</v>
      </c>
      <c r="E2146" s="84">
        <f>IFERROR(__xludf.DUMMYFUNCTION("""COMPUTED_VALUE"""),46135.63125)</f>
        <v>46135.63125</v>
      </c>
      <c r="F2146" s="86">
        <f>IFERROR(__xludf.DUMMYFUNCTION("""COMPUTED_VALUE"""),46135.453877928245)</f>
        <v>46135.45388</v>
      </c>
      <c r="G2146" s="86" t="str">
        <f>IFERROR(__xludf.DUMMYFUNCTION("""COMPUTED_VALUE"""),"Done")</f>
        <v>Done</v>
      </c>
      <c r="H2146" s="88">
        <f>IFERROR(__xludf.DUMMYFUNCTION("""COMPUTED_VALUE"""),0.0)</f>
        <v>0</v>
      </c>
      <c r="I2146" s="90" t="str">
        <f>IFERROR(__xludf.DUMMYFUNCTION("""COMPUTED_VALUE"""),"EMP5009 Rup Kumar Mandal")</f>
        <v>EMP5009 Rup Kumar Mandal</v>
      </c>
      <c r="J2146" s="91"/>
    </row>
    <row r="2147">
      <c r="B2147" s="76" t="str">
        <f>IFERROR(__xludf.DUMMYFUNCTION("""COMPUTED_VALUE"""),"Upload file, cross check and inform                               ")</f>
        <v>Upload file, cross check and inform                               </v>
      </c>
      <c r="C2147" s="82">
        <f>IFERROR(__xludf.DUMMYFUNCTION("""COMPUTED_VALUE"""),5113.0)</f>
        <v>5113</v>
      </c>
      <c r="D2147" s="76" t="str">
        <f>IFERROR(__xludf.DUMMYFUNCTION("""COMPUTED_VALUE"""),"Marks Sheet NEP")</f>
        <v>Marks Sheet NEP</v>
      </c>
      <c r="E2147" s="84">
        <f>IFERROR(__xludf.DUMMYFUNCTION("""COMPUTED_VALUE"""),46136.77083333333)</f>
        <v>46136.77083</v>
      </c>
      <c r="F2147" s="86">
        <f>IFERROR(__xludf.DUMMYFUNCTION("""COMPUTED_VALUE"""),46135.59787491898)</f>
        <v>46135.59787</v>
      </c>
      <c r="G2147" s="86" t="str">
        <f>IFERROR(__xludf.DUMMYFUNCTION("""COMPUTED_VALUE"""),"Done")</f>
        <v>Done</v>
      </c>
      <c r="H2147" s="88">
        <f>IFERROR(__xludf.DUMMYFUNCTION("""COMPUTED_VALUE"""),0.0)</f>
        <v>0</v>
      </c>
      <c r="I2147" s="90" t="str">
        <f>IFERROR(__xludf.DUMMYFUNCTION("""COMPUTED_VALUE"""),"EMP0042 HULESHWAR KUMAR SAHU")</f>
        <v>EMP0042 HULESHWAR KUMAR SAHU</v>
      </c>
      <c r="J2147" s="91"/>
    </row>
    <row r="2148">
      <c r="B2148" s="76" t="str">
        <f>IFERROR(__xludf.DUMMYFUNCTION("""COMPUTED_VALUE"""),"Upload file, cross check and inform                               ")</f>
        <v>Upload file, cross check and inform                               </v>
      </c>
      <c r="C2148" s="82">
        <f>IFERROR(__xludf.DUMMYFUNCTION("""COMPUTED_VALUE"""),5114.0)</f>
        <v>5114</v>
      </c>
      <c r="D2148" s="76" t="str">
        <f>IFERROR(__xludf.DUMMYFUNCTION("""COMPUTED_VALUE"""),"Marks Sheet Old")</f>
        <v>Marks Sheet Old</v>
      </c>
      <c r="E2148" s="84">
        <f>IFERROR(__xludf.DUMMYFUNCTION("""COMPUTED_VALUE"""),46136.771527777775)</f>
        <v>46136.77153</v>
      </c>
      <c r="F2148" s="86">
        <f>IFERROR(__xludf.DUMMYFUNCTION("""COMPUTED_VALUE"""),46136.527684803244)</f>
        <v>46136.52768</v>
      </c>
      <c r="G2148" s="86" t="str">
        <f>IFERROR(__xludf.DUMMYFUNCTION("""COMPUTED_VALUE"""),"Done")</f>
        <v>Done</v>
      </c>
      <c r="H2148" s="88">
        <f>IFERROR(__xludf.DUMMYFUNCTION("""COMPUTED_VALUE"""),0.0)</f>
        <v>0</v>
      </c>
      <c r="I2148" s="90" t="str">
        <f>IFERROR(__xludf.DUMMYFUNCTION("""COMPUTED_VALUE"""),"EMP0042 HULESHWAR KUMAR SAHU")</f>
        <v>EMP0042 HULESHWAR KUMAR SAHU</v>
      </c>
      <c r="J2148" s="91"/>
    </row>
    <row r="2149">
      <c r="B2149" s="76" t="str">
        <f>IFERROR(__xludf.DUMMYFUNCTION("""COMPUTED_VALUE"""),"Upload file, cross check and inform                               ")</f>
        <v>Upload file, cross check and inform                               </v>
      </c>
      <c r="C2149" s="82">
        <f>IFERROR(__xludf.DUMMYFUNCTION("""COMPUTED_VALUE"""),5115.0)</f>
        <v>5115</v>
      </c>
      <c r="D2149" s="76" t="str">
        <f>IFERROR(__xludf.DUMMYFUNCTION("""COMPUTED_VALUE"""),"admitcard")</f>
        <v>admitcard</v>
      </c>
      <c r="E2149" s="84">
        <f>IFERROR(__xludf.DUMMYFUNCTION("""COMPUTED_VALUE"""),46137.42152777778)</f>
        <v>46137.42153</v>
      </c>
      <c r="F2149" s="86">
        <f>IFERROR(__xludf.DUMMYFUNCTION("""COMPUTED_VALUE"""),46135.7804112963)</f>
        <v>46135.78041</v>
      </c>
      <c r="G2149" s="86" t="str">
        <f>IFERROR(__xludf.DUMMYFUNCTION("""COMPUTED_VALUE"""),"Done")</f>
        <v>Done</v>
      </c>
      <c r="H2149" s="88">
        <f>IFERROR(__xludf.DUMMYFUNCTION("""COMPUTED_VALUE"""),0.0)</f>
        <v>0</v>
      </c>
      <c r="I2149" s="90" t="str">
        <f>IFERROR(__xludf.DUMMYFUNCTION("""COMPUTED_VALUE"""),"EMP5009 Rup Kumar Mandal")</f>
        <v>EMP5009 Rup Kumar Mandal</v>
      </c>
      <c r="J2149" s="91"/>
    </row>
    <row r="2150">
      <c r="B2150" s="76" t="str">
        <f>IFERROR(__xludf.DUMMYFUNCTION("""COMPUTED_VALUE"""),"Upload file, cross check and inform                               ")</f>
        <v>Upload file, cross check and inform                               </v>
      </c>
      <c r="C2150" s="82">
        <f>IFERROR(__xludf.DUMMYFUNCTION("""COMPUTED_VALUE"""),5116.0)</f>
        <v>5116</v>
      </c>
      <c r="D2150" s="76" t="str">
        <f>IFERROR(__xludf.DUMMYFUNCTION("""COMPUTED_VALUE"""),"grade-card-nep")</f>
        <v>grade-card-nep</v>
      </c>
      <c r="E2150" s="84">
        <f>IFERROR(__xludf.DUMMYFUNCTION("""COMPUTED_VALUE"""),46137.425)</f>
        <v>46137.425</v>
      </c>
      <c r="F2150" s="86">
        <f>IFERROR(__xludf.DUMMYFUNCTION("""COMPUTED_VALUE"""),46135.780341377314)</f>
        <v>46135.78034</v>
      </c>
      <c r="G2150" s="86" t="str">
        <f>IFERROR(__xludf.DUMMYFUNCTION("""COMPUTED_VALUE"""),"Done")</f>
        <v>Done</v>
      </c>
      <c r="H2150" s="88">
        <f>IFERROR(__xludf.DUMMYFUNCTION("""COMPUTED_VALUE"""),0.0)</f>
        <v>0</v>
      </c>
      <c r="I2150" s="90" t="str">
        <f>IFERROR(__xludf.DUMMYFUNCTION("""COMPUTED_VALUE"""),"EMP0021 Tamanna Dewangan")</f>
        <v>EMP0021 Tamanna Dewangan</v>
      </c>
      <c r="J2150" s="91"/>
    </row>
    <row r="2151">
      <c r="B2151" s="76" t="str">
        <f>IFERROR(__xludf.DUMMYFUNCTION("""COMPUTED_VALUE"""),"Upload file, cross check and inform                               ")</f>
        <v>Upload file, cross check and inform                               </v>
      </c>
      <c r="C2151" s="82">
        <f>IFERROR(__xludf.DUMMYFUNCTION("""COMPUTED_VALUE"""),5117.0)</f>
        <v>5117</v>
      </c>
      <c r="D2151" s="76" t="str">
        <f>IFERROR(__xludf.DUMMYFUNCTION("""COMPUTED_VALUE"""),"Regarding BA/BCom-6th Sem Practical/Sessional Award Sheet")</f>
        <v>Regarding BA/BCom-6th Sem Practical/Sessional Award Sheet</v>
      </c>
      <c r="E2151" s="84">
        <f>IFERROR(__xludf.DUMMYFUNCTION("""COMPUTED_VALUE"""),46137.5375)</f>
        <v>46137.5375</v>
      </c>
      <c r="F2151" s="86">
        <f>IFERROR(__xludf.DUMMYFUNCTION("""COMPUTED_VALUE"""),46135.780341377314)</f>
        <v>46135.78034</v>
      </c>
      <c r="G2151" s="86" t="str">
        <f>IFERROR(__xludf.DUMMYFUNCTION("""COMPUTED_VALUE"""),"Done")</f>
        <v>Done</v>
      </c>
      <c r="H2151" s="88">
        <f>IFERROR(__xludf.DUMMYFUNCTION("""COMPUTED_VALUE"""),0.0)</f>
        <v>0</v>
      </c>
      <c r="I2151" s="90" t="str">
        <f>IFERROR(__xludf.DUMMYFUNCTION("""COMPUTED_VALUE"""),"EMP0237 Swarnendu Chakraborty")</f>
        <v>EMP0237 Swarnendu Chakraborty</v>
      </c>
      <c r="J2151" s="91"/>
    </row>
    <row r="2152">
      <c r="B2152" s="76" t="str">
        <f>IFERROR(__xludf.DUMMYFUNCTION("""COMPUTED_VALUE"""),"Upload file, cross check and inform                               ")</f>
        <v>Upload file, cross check and inform                               </v>
      </c>
      <c r="C2152" s="82">
        <f>IFERROR(__xludf.DUMMYFUNCTION("""COMPUTED_VALUE"""),5118.0)</f>
        <v>5118</v>
      </c>
      <c r="D2152" s="76" t="str">
        <f>IFERROR(__xludf.DUMMYFUNCTION("""COMPUTED_VALUE"""),"TR semester (NEW)")</f>
        <v>TR semester (NEW)</v>
      </c>
      <c r="E2152" s="84">
        <f>IFERROR(__xludf.DUMMYFUNCTION("""COMPUTED_VALUE"""),46137.56527777778)</f>
        <v>46137.56528</v>
      </c>
      <c r="F2152" s="86">
        <f>IFERROR(__xludf.DUMMYFUNCTION("""COMPUTED_VALUE"""),46135.780161979164)</f>
        <v>46135.78016</v>
      </c>
      <c r="G2152" s="86" t="str">
        <f>IFERROR(__xludf.DUMMYFUNCTION("""COMPUTED_VALUE"""),"Done")</f>
        <v>Done</v>
      </c>
      <c r="H2152" s="88">
        <f>IFERROR(__xludf.DUMMYFUNCTION("""COMPUTED_VALUE"""),0.0)</f>
        <v>0</v>
      </c>
      <c r="I2152" s="90" t="str">
        <f>IFERROR(__xludf.DUMMYFUNCTION("""COMPUTED_VALUE"""),"EMP5009 Rup Kumar Mandal")</f>
        <v>EMP5009 Rup Kumar Mandal</v>
      </c>
      <c r="J2152" s="91"/>
    </row>
    <row r="2153">
      <c r="B2153" s="76" t="str">
        <f>IFERROR(__xludf.DUMMYFUNCTION("""COMPUTED_VALUE"""),"Upload file, cross check and inform                               ")</f>
        <v>Upload file, cross check and inform                               </v>
      </c>
      <c r="C2153" s="82">
        <f>IFERROR(__xludf.DUMMYFUNCTION("""COMPUTED_VALUE"""),5119.0)</f>
        <v>5119</v>
      </c>
      <c r="D2153" s="76" t="str">
        <f>IFERROR(__xludf.DUMMYFUNCTION("""COMPUTED_VALUE"""),"Old marksheet report data not correcte please check as discus ")</f>
        <v>Old marksheet report data not correcte please check as discus </v>
      </c>
      <c r="E2153" s="84">
        <f>IFERROR(__xludf.DUMMYFUNCTION("""COMPUTED_VALUE"""),46139.42291666666)</f>
        <v>46139.42292</v>
      </c>
      <c r="F2153" s="86">
        <f>IFERROR(__xludf.DUMMYFUNCTION("""COMPUTED_VALUE"""),46137.417801724536)</f>
        <v>46137.4178</v>
      </c>
      <c r="G2153" s="86" t="str">
        <f>IFERROR(__xludf.DUMMYFUNCTION("""COMPUTED_VALUE"""),"Done")</f>
        <v>Done</v>
      </c>
      <c r="H2153" s="88">
        <f>IFERROR(__xludf.DUMMYFUNCTION("""COMPUTED_VALUE"""),0.0)</f>
        <v>0</v>
      </c>
      <c r="I2153" s="90" t="str">
        <f>IFERROR(__xludf.DUMMYFUNCTION("""COMPUTED_VALUE"""),"EMP0237 Swarnendu Chakraborty")</f>
        <v>EMP0237 Swarnendu Chakraborty</v>
      </c>
      <c r="J2153" s="91"/>
    </row>
    <row r="2154">
      <c r="B2154" s="76" t="str">
        <f>IFERROR(__xludf.DUMMYFUNCTION("""COMPUTED_VALUE"""),"Upload file, cross check and inform                               ")</f>
        <v>Upload file, cross check and inform                               </v>
      </c>
      <c r="C2154" s="82">
        <f>IFERROR(__xludf.DUMMYFUNCTION("""COMPUTED_VALUE"""),5120.0)</f>
        <v>5120</v>
      </c>
      <c r="D2154" s="76" t="str">
        <f>IFERROR(__xludf.DUMMYFUNCTION("""COMPUTED_VALUE"""),"NEP TR REPORT")</f>
        <v>NEP TR REPORT</v>
      </c>
      <c r="E2154" s="84">
        <f>IFERROR(__xludf.DUMMYFUNCTION("""COMPUTED_VALUE"""),46139.42361111111)</f>
        <v>46139.42361</v>
      </c>
      <c r="F2154" s="86">
        <f>IFERROR(__xludf.DUMMYFUNCTION("""COMPUTED_VALUE"""),46137.40952365741)</f>
        <v>46137.40952</v>
      </c>
      <c r="G2154" s="86" t="str">
        <f>IFERROR(__xludf.DUMMYFUNCTION("""COMPUTED_VALUE"""),"Done")</f>
        <v>Done</v>
      </c>
      <c r="H2154" s="88">
        <f>IFERROR(__xludf.DUMMYFUNCTION("""COMPUTED_VALUE"""),0.0)</f>
        <v>0</v>
      </c>
      <c r="I2154" s="90" t="str">
        <f>IFERROR(__xludf.DUMMYFUNCTION("""COMPUTED_VALUE"""),"EMP5009 Rup Kumar Mandal")</f>
        <v>EMP5009 Rup Kumar Mandal</v>
      </c>
      <c r="J2154" s="91"/>
    </row>
    <row r="2155">
      <c r="B2155" s="76" t="str">
        <f>IFERROR(__xludf.DUMMYFUNCTION("""COMPUTED_VALUE"""),"Upload file, cross check and inform                               ")</f>
        <v>Upload file, cross check and inform                               </v>
      </c>
      <c r="C2155" s="82">
        <f>IFERROR(__xludf.DUMMYFUNCTION("""COMPUTED_VALUE"""),5121.0)</f>
        <v>5121</v>
      </c>
      <c r="D2155" s="76" t="str">
        <f>IFERROR(__xludf.DUMMYFUNCTION("""COMPUTED_VALUE"""),"TR REPORT NEP")</f>
        <v>TR REPORT NEP</v>
      </c>
      <c r="E2155" s="84">
        <f>IFERROR(__xludf.DUMMYFUNCTION("""COMPUTED_VALUE"""),46139.42638888889)</f>
        <v>46139.42639</v>
      </c>
      <c r="F2155" s="86">
        <f>IFERROR(__xludf.DUMMYFUNCTION("""COMPUTED_VALUE"""),46137.72048320602)</f>
        <v>46137.72048</v>
      </c>
      <c r="G2155" s="86" t="str">
        <f>IFERROR(__xludf.DUMMYFUNCTION("""COMPUTED_VALUE"""),"Done")</f>
        <v>Done</v>
      </c>
      <c r="H2155" s="88">
        <f>IFERROR(__xludf.DUMMYFUNCTION("""COMPUTED_VALUE"""),0.0)</f>
        <v>0</v>
      </c>
      <c r="I2155" s="90" t="str">
        <f>IFERROR(__xludf.DUMMYFUNCTION("""COMPUTED_VALUE"""),"EMP5009 Rup Kumar Mandal")</f>
        <v>EMP5009 Rup Kumar Mandal</v>
      </c>
      <c r="J2155" s="91"/>
    </row>
    <row r="2156">
      <c r="B2156" s="76" t="str">
        <f>IFERROR(__xludf.DUMMYFUNCTION("""COMPUTED_VALUE"""),"Upload file, cross check and inform                               ")</f>
        <v>Upload file, cross check and inform                               </v>
      </c>
      <c r="C2156" s="82">
        <f>IFERROR(__xludf.DUMMYFUNCTION("""COMPUTED_VALUE"""),5122.0)</f>
        <v>5122</v>
      </c>
      <c r="D2156" s="76" t="str">
        <f>IFERROR(__xludf.DUMMYFUNCTION("""COMPUTED_VALUE"""),"TR REPORT NON-NEP")</f>
        <v>TR REPORT NON-NEP</v>
      </c>
      <c r="E2156" s="84">
        <f>IFERROR(__xludf.DUMMYFUNCTION("""COMPUTED_VALUE"""),46139.44236111111)</f>
        <v>46139.44236</v>
      </c>
      <c r="F2156" s="86">
        <f>IFERROR(__xludf.DUMMYFUNCTION("""COMPUTED_VALUE"""),46137.72046034722)</f>
        <v>46137.72046</v>
      </c>
      <c r="G2156" s="86" t="str">
        <f>IFERROR(__xludf.DUMMYFUNCTION("""COMPUTED_VALUE"""),"Done")</f>
        <v>Done</v>
      </c>
      <c r="H2156" s="88">
        <f>IFERROR(__xludf.DUMMYFUNCTION("""COMPUTED_VALUE"""),0.0)</f>
        <v>0</v>
      </c>
      <c r="I2156" s="90" t="str">
        <f>IFERROR(__xludf.DUMMYFUNCTION("""COMPUTED_VALUE"""),"EMP5009 Rup Kumar Mandal")</f>
        <v>EMP5009 Rup Kumar Mandal</v>
      </c>
      <c r="J2156" s="91"/>
    </row>
    <row r="2157">
      <c r="B2157" s="76" t="str">
        <f>IFERROR(__xludf.DUMMYFUNCTION("""COMPUTED_VALUE"""),"Upload file, cross check and inform                               ")</f>
        <v>Upload file, cross check and inform                               </v>
      </c>
      <c r="C2157" s="82">
        <f>IFERROR(__xludf.DUMMYFUNCTION("""COMPUTED_VALUE"""),5123.0)</f>
        <v>5123</v>
      </c>
      <c r="D2157" s="76" t="str">
        <f>IFERROR(__xludf.DUMMYFUNCTION("""COMPUTED_VALUE"""),"quick sight anaylisys report")</f>
        <v>quick sight anaylisys report</v>
      </c>
      <c r="E2157" s="84">
        <f>IFERROR(__xludf.DUMMYFUNCTION("""COMPUTED_VALUE"""),46141.461111111115)</f>
        <v>46141.46111</v>
      </c>
      <c r="F2157" s="86">
        <f>IFERROR(__xludf.DUMMYFUNCTION("""COMPUTED_VALUE"""),46141.43787678241)</f>
        <v>46141.43788</v>
      </c>
      <c r="G2157" s="86" t="str">
        <f>IFERROR(__xludf.DUMMYFUNCTION("""COMPUTED_VALUE"""),"Done")</f>
        <v>Done</v>
      </c>
      <c r="H2157" s="88">
        <f>IFERROR(__xludf.DUMMYFUNCTION("""COMPUTED_VALUE"""),0.0)</f>
        <v>0</v>
      </c>
      <c r="I2157" s="90" t="str">
        <f>IFERROR(__xludf.DUMMYFUNCTION("""COMPUTED_VALUE"""),"EMP0021 Tamanna Dewangan")</f>
        <v>EMP0021 Tamanna Dewangan</v>
      </c>
      <c r="J2157" s="91"/>
    </row>
    <row r="2158">
      <c r="B2158" s="76" t="str">
        <f>IFERROR(__xludf.DUMMYFUNCTION("""COMPUTED_VALUE"""),"Upload file, cross check and inform                               ")</f>
        <v>Upload file, cross check and inform                               </v>
      </c>
      <c r="C2158" s="82">
        <f>IFERROR(__xludf.DUMMYFUNCTION("""COMPUTED_VALUE"""),5124.0)</f>
        <v>5124</v>
      </c>
      <c r="D2158" s="76" t="str">
        <f>IFERROR(__xludf.DUMMYFUNCTION("""COMPUTED_VALUE"""),"NURSING GRADE CARD")</f>
        <v>NURSING GRADE CARD</v>
      </c>
      <c r="E2158" s="84">
        <f>IFERROR(__xludf.DUMMYFUNCTION("""COMPUTED_VALUE"""),46141.441666666666)</f>
        <v>46141.44167</v>
      </c>
      <c r="F2158" s="86">
        <f>IFERROR(__xludf.DUMMYFUNCTION("""COMPUTED_VALUE"""),46139.76942469907)</f>
        <v>46139.76942</v>
      </c>
      <c r="G2158" s="86" t="str">
        <f>IFERROR(__xludf.DUMMYFUNCTION("""COMPUTED_VALUE"""),"Done")</f>
        <v>Done</v>
      </c>
      <c r="H2158" s="88">
        <f>IFERROR(__xludf.DUMMYFUNCTION("""COMPUTED_VALUE"""),0.0)</f>
        <v>0</v>
      </c>
      <c r="I2158" s="90" t="str">
        <f>IFERROR(__xludf.DUMMYFUNCTION("""COMPUTED_VALUE"""),"EMP0042 HULESHWAR KUMAR SAHU")</f>
        <v>EMP0042 HULESHWAR KUMAR SAHU</v>
      </c>
      <c r="J2158" s="91"/>
    </row>
    <row r="2159">
      <c r="B2159" s="76" t="str">
        <f>IFERROR(__xludf.DUMMYFUNCTION("""COMPUTED_VALUE"""),"Upload file, cross check and inform                               ")</f>
        <v>Upload file, cross check and inform                               </v>
      </c>
      <c r="C2159" s="82">
        <f>IFERROR(__xludf.DUMMYFUNCTION("""COMPUTED_VALUE"""),5125.0)</f>
        <v>5125</v>
      </c>
      <c r="D2159" s="76" t="str">
        <f>IFERROR(__xludf.DUMMYFUNCTION("""COMPUTED_VALUE"""),"ADMITCARD")</f>
        <v>ADMITCARD</v>
      </c>
      <c r="E2159" s="84">
        <f>IFERROR(__xludf.DUMMYFUNCTION("""COMPUTED_VALUE"""),46141.65)</f>
        <v>46141.65</v>
      </c>
      <c r="F2159" s="86">
        <f>IFERROR(__xludf.DUMMYFUNCTION("""COMPUTED_VALUE"""),46140.61367341435)</f>
        <v>46140.61367</v>
      </c>
      <c r="G2159" s="86" t="str">
        <f>IFERROR(__xludf.DUMMYFUNCTION("""COMPUTED_VALUE"""),"Done")</f>
        <v>Done</v>
      </c>
      <c r="H2159" s="88">
        <f>IFERROR(__xludf.DUMMYFUNCTION("""COMPUTED_VALUE"""),0.0)</f>
        <v>0</v>
      </c>
      <c r="I2159" s="90" t="str">
        <f>IFERROR(__xludf.DUMMYFUNCTION("""COMPUTED_VALUE"""),"EMP5009 Rup Kumar Mandal")</f>
        <v>EMP5009 Rup Kumar Mandal</v>
      </c>
      <c r="J2159" s="91"/>
    </row>
    <row r="2160">
      <c r="B2160" s="76" t="str">
        <f>IFERROR(__xludf.DUMMYFUNCTION("""COMPUTED_VALUE"""),"Upload file, cross check and inform                               ")</f>
        <v>Upload file, cross check and inform                               </v>
      </c>
      <c r="C2160" s="82">
        <f>IFERROR(__xludf.DUMMYFUNCTION("""COMPUTED_VALUE"""),5126.0)</f>
        <v>5126</v>
      </c>
      <c r="D2160" s="76" t="str">
        <f>IFERROR(__xludf.DUMMYFUNCTION("""COMPUTED_VALUE"""),"ROLL LIST")</f>
        <v>ROLL LIST</v>
      </c>
      <c r="E2160" s="84">
        <f>IFERROR(__xludf.DUMMYFUNCTION("""COMPUTED_VALUE"""),46141.65069444444)</f>
        <v>46141.65069</v>
      </c>
      <c r="F2160" s="86">
        <f>IFERROR(__xludf.DUMMYFUNCTION("""COMPUTED_VALUE"""),46140.61371023148)</f>
        <v>46140.61371</v>
      </c>
      <c r="G2160" s="86" t="str">
        <f>IFERROR(__xludf.DUMMYFUNCTION("""COMPUTED_VALUE"""),"Done")</f>
        <v>Done</v>
      </c>
      <c r="H2160" s="88">
        <f>IFERROR(__xludf.DUMMYFUNCTION("""COMPUTED_VALUE"""),0.0)</f>
        <v>0</v>
      </c>
      <c r="I2160" s="90" t="str">
        <f>IFERROR(__xludf.DUMMYFUNCTION("""COMPUTED_VALUE"""),"EMP5009 Rup Kumar Mandal")</f>
        <v>EMP5009 Rup Kumar Mandal</v>
      </c>
      <c r="J2160" s="91"/>
    </row>
    <row r="2161">
      <c r="B2161" s="76" t="str">
        <f>IFERROR(__xludf.DUMMYFUNCTION("""COMPUTED_VALUE"""),"Upload file, cross check and inform                               ")</f>
        <v>Upload file, cross check and inform                               </v>
      </c>
      <c r="C2161" s="82">
        <f>IFERROR(__xludf.DUMMYFUNCTION("""COMPUTED_VALUE"""),5127.0)</f>
        <v>5127</v>
      </c>
      <c r="D2161" s="76" t="str">
        <f>IFERROR(__xludf.DUMMYFUNCTION("""COMPUTED_VALUE"""),"The details of Total Credits, Grade Point Average, and Total Credit Earned will be available shortly. please update this mgs in student result section if any semester SGPA/AGPA missing")</f>
        <v>The details of Total Credits, Grade Point Average, and Total Credit Earned will be available shortly. please update this mgs in student result section if any semester SGPA/AGPA missing</v>
      </c>
      <c r="E2161" s="84">
        <f>IFERROR(__xludf.DUMMYFUNCTION("""COMPUTED_VALUE"""),46144.43472222222)</f>
        <v>46144.43472</v>
      </c>
      <c r="F2161" s="86">
        <f>IFERROR(__xludf.DUMMYFUNCTION("""COMPUTED_VALUE"""),46143.44637616898)</f>
        <v>46143.44638</v>
      </c>
      <c r="G2161" s="86" t="str">
        <f>IFERROR(__xludf.DUMMYFUNCTION("""COMPUTED_VALUE"""),"Done")</f>
        <v>Done</v>
      </c>
      <c r="H2161" s="88">
        <f>IFERROR(__xludf.DUMMYFUNCTION("""COMPUTED_VALUE"""),0.0)</f>
        <v>0</v>
      </c>
      <c r="I2161" s="90" t="str">
        <f>IFERROR(__xludf.DUMMYFUNCTION("""COMPUTED_VALUE"""),"EMP0237 Swarnendu Chakraborty")</f>
        <v>EMP0237 Swarnendu Chakraborty</v>
      </c>
      <c r="J2161" s="91"/>
    </row>
    <row r="2162">
      <c r="B2162" s="76" t="str">
        <f>IFERROR(__xludf.DUMMYFUNCTION("""COMPUTED_VALUE"""),"Upload file, cross check and inform                               ")</f>
        <v>Upload file, cross check and inform                               </v>
      </c>
      <c r="C2162" s="82">
        <f>IFERROR(__xludf.DUMMYFUNCTION("""COMPUTED_VALUE"""),5128.0)</f>
        <v>5128</v>
      </c>
      <c r="D2162" s="76" t="str">
        <f>IFERROR(__xludf.DUMMYFUNCTION("""COMPUTED_VALUE"""),"Marks Sheet NEP")</f>
        <v>Marks Sheet NEP</v>
      </c>
      <c r="E2162" s="84">
        <f>IFERROR(__xludf.DUMMYFUNCTION("""COMPUTED_VALUE"""),46146.444444444445)</f>
        <v>46146.44444</v>
      </c>
      <c r="F2162" s="86">
        <f>IFERROR(__xludf.DUMMYFUNCTION("""COMPUTED_VALUE"""),46143.63476144676)</f>
        <v>46143.63476</v>
      </c>
      <c r="G2162" s="86" t="str">
        <f>IFERROR(__xludf.DUMMYFUNCTION("""COMPUTED_VALUE"""),"Done")</f>
        <v>Done</v>
      </c>
      <c r="H2162" s="88">
        <f>IFERROR(__xludf.DUMMYFUNCTION("""COMPUTED_VALUE"""),0.0)</f>
        <v>0</v>
      </c>
      <c r="I2162" s="90" t="str">
        <f>IFERROR(__xludf.DUMMYFUNCTION("""COMPUTED_VALUE"""),"EMP0042 HULESHWAR KUMAR SAHU")</f>
        <v>EMP0042 HULESHWAR KUMAR SAHU</v>
      </c>
      <c r="J2162" s="91"/>
    </row>
    <row r="2163">
      <c r="B2163" s="76" t="str">
        <f>IFERROR(__xludf.DUMMYFUNCTION("""COMPUTED_VALUE"""),"Upload file, cross check and inform                               ")</f>
        <v>Upload file, cross check and inform                               </v>
      </c>
      <c r="C2163" s="82">
        <f>IFERROR(__xludf.DUMMYFUNCTION("""COMPUTED_VALUE"""),5129.0)</f>
        <v>5129</v>
      </c>
      <c r="D2163" s="76" t="str">
        <f>IFERROR(__xludf.DUMMYFUNCTION("""COMPUTED_VALUE"""),"GAU BARCODE GENERATE")</f>
        <v>GAU BARCODE GENERATE</v>
      </c>
      <c r="E2163" s="84">
        <f>IFERROR(__xludf.DUMMYFUNCTION("""COMPUTED_VALUE"""),46146.538194444445)</f>
        <v>46146.53819</v>
      </c>
      <c r="F2163" s="86">
        <f>IFERROR(__xludf.DUMMYFUNCTION("""COMPUTED_VALUE"""),46143.802597291666)</f>
        <v>46143.8026</v>
      </c>
      <c r="G2163" s="86" t="str">
        <f>IFERROR(__xludf.DUMMYFUNCTION("""COMPUTED_VALUE"""),"Done")</f>
        <v>Done</v>
      </c>
      <c r="H2163" s="88">
        <f>IFERROR(__xludf.DUMMYFUNCTION("""COMPUTED_VALUE"""),0.0)</f>
        <v>0</v>
      </c>
      <c r="I2163" s="90" t="str">
        <f>IFERROR(__xludf.DUMMYFUNCTION("""COMPUTED_VALUE"""),"EMP0021 Tamanna Dewangan")</f>
        <v>EMP0021 Tamanna Dewangan</v>
      </c>
      <c r="J2163" s="91"/>
    </row>
    <row r="2164">
      <c r="B2164" s="76" t="str">
        <f>IFERROR(__xludf.DUMMYFUNCTION("""COMPUTED_VALUE"""),"Upload file, cross check and inform                               ")</f>
        <v>Upload file, cross check and inform                               </v>
      </c>
      <c r="C2164" s="82">
        <f>IFERROR(__xludf.DUMMYFUNCTION("""COMPUTED_VALUE"""),5130.0)</f>
        <v>5130</v>
      </c>
      <c r="D2164" s="76" t="str">
        <f>IFERROR(__xludf.DUMMYFUNCTION("""COMPUTED_VALUE"""),"Marks Sheet Old")</f>
        <v>Marks Sheet Old</v>
      </c>
      <c r="E2164" s="84">
        <f>IFERROR(__xludf.DUMMYFUNCTION("""COMPUTED_VALUE"""),46146.56805555556)</f>
        <v>46146.56806</v>
      </c>
      <c r="F2164" s="86">
        <f>IFERROR(__xludf.DUMMYFUNCTION("""COMPUTED_VALUE"""),46146.42504501158)</f>
        <v>46146.42505</v>
      </c>
      <c r="G2164" s="86" t="str">
        <f>IFERROR(__xludf.DUMMYFUNCTION("""COMPUTED_VALUE"""),"Done")</f>
        <v>Done</v>
      </c>
      <c r="H2164" s="88">
        <f>IFERROR(__xludf.DUMMYFUNCTION("""COMPUTED_VALUE"""),0.0)</f>
        <v>0</v>
      </c>
      <c r="I2164" s="90" t="str">
        <f>IFERROR(__xludf.DUMMYFUNCTION("""COMPUTED_VALUE"""),"EMP0042 HULESHWAR KUMAR SAHU")</f>
        <v>EMP0042 HULESHWAR KUMAR SAHU</v>
      </c>
      <c r="J2164" s="91"/>
    </row>
    <row r="2165">
      <c r="B2165" s="76" t="str">
        <f>IFERROR(__xludf.DUMMYFUNCTION("""COMPUTED_VALUE"""),"Upload file, cross check and inform                               ")</f>
        <v>Upload file, cross check and inform                               </v>
      </c>
      <c r="C2165" s="82">
        <f>IFERROR(__xludf.DUMMYFUNCTION("""COMPUTED_VALUE"""),5131.0)</f>
        <v>5131</v>
      </c>
      <c r="D2165" s="76" t="str">
        <f>IFERROR(__xludf.DUMMYFUNCTION("""COMPUTED_VALUE"""),"roll list PG")</f>
        <v>roll list PG</v>
      </c>
      <c r="E2165" s="84">
        <f>IFERROR(__xludf.DUMMYFUNCTION("""COMPUTED_VALUE"""),46146.60833333334)</f>
        <v>46146.60833</v>
      </c>
      <c r="F2165" s="86">
        <f>IFERROR(__xludf.DUMMYFUNCTION("""COMPUTED_VALUE"""),46146.425114895836)</f>
        <v>46146.42511</v>
      </c>
      <c r="G2165" s="86" t="str">
        <f>IFERROR(__xludf.DUMMYFUNCTION("""COMPUTED_VALUE"""),"Done")</f>
        <v>Done</v>
      </c>
      <c r="H2165" s="88">
        <f>IFERROR(__xludf.DUMMYFUNCTION("""COMPUTED_VALUE"""),0.0)</f>
        <v>0</v>
      </c>
      <c r="I2165" s="90" t="str">
        <f>IFERROR(__xludf.DUMMYFUNCTION("""COMPUTED_VALUE"""),"EMP0237 Swarnendu Chakraborty")</f>
        <v>EMP0237 Swarnendu Chakraborty</v>
      </c>
      <c r="J2165" s="91"/>
    </row>
    <row r="2166">
      <c r="B2166" s="76" t="str">
        <f>IFERROR(__xludf.DUMMYFUNCTION("""COMPUTED_VALUE"""),"Upload file, cross check and inform                               ")</f>
        <v>Upload file, cross check and inform                               </v>
      </c>
      <c r="C2166" s="82">
        <f>IFERROR(__xludf.DUMMYFUNCTION("""COMPUTED_VALUE"""),5132.0)</f>
        <v>5132</v>
      </c>
      <c r="D2166" s="76" t="str">
        <f>IFERROR(__xludf.DUMMYFUNCTION("""COMPUTED_VALUE"""),"Old Marks sheet")</f>
        <v>Old Marks sheet</v>
      </c>
      <c r="E2166" s="84">
        <f>IFERROR(__xludf.DUMMYFUNCTION("""COMPUTED_VALUE"""),46146.80902777778)</f>
        <v>46146.80903</v>
      </c>
      <c r="F2166" s="86">
        <f>IFERROR(__xludf.DUMMYFUNCTION("""COMPUTED_VALUE"""),46146.46831694445)</f>
        <v>46146.46832</v>
      </c>
      <c r="G2166" s="86" t="str">
        <f>IFERROR(__xludf.DUMMYFUNCTION("""COMPUTED_VALUE"""),"Done")</f>
        <v>Done</v>
      </c>
      <c r="H2166" s="88">
        <f>IFERROR(__xludf.DUMMYFUNCTION("""COMPUTED_VALUE"""),0.0)</f>
        <v>0</v>
      </c>
      <c r="I2166" s="90" t="str">
        <f>IFERROR(__xludf.DUMMYFUNCTION("""COMPUTED_VALUE"""),"EMP0042 HULESHWAR KUMAR SAHU")</f>
        <v>EMP0042 HULESHWAR KUMAR SAHU</v>
      </c>
      <c r="J2166" s="91"/>
    </row>
    <row r="2167">
      <c r="B2167" s="76" t="str">
        <f>IFERROR(__xludf.DUMMYFUNCTION("""COMPUTED_VALUE"""),"Upload file, cross check and inform                               ")</f>
        <v>Upload file, cross check and inform                               </v>
      </c>
      <c r="C2167" s="82">
        <f>IFERROR(__xludf.DUMMYFUNCTION("""COMPUTED_VALUE"""),5133.0)</f>
        <v>5133</v>
      </c>
      <c r="D2167" s="76" t="str">
        <f>IFERROR(__xludf.DUMMYFUNCTION("""COMPUTED_VALUE"""),"Attendance report")</f>
        <v>Attendance report</v>
      </c>
      <c r="E2167" s="84">
        <f>IFERROR(__xludf.DUMMYFUNCTION("""COMPUTED_VALUE"""),46147.425)</f>
        <v>46147.425</v>
      </c>
      <c r="F2167" s="86">
        <f>IFERROR(__xludf.DUMMYFUNCTION("""COMPUTED_VALUE"""),46144.710143344906)</f>
        <v>46144.71014</v>
      </c>
      <c r="G2167" s="86" t="str">
        <f>IFERROR(__xludf.DUMMYFUNCTION("""COMPUTED_VALUE"""),"Done")</f>
        <v>Done</v>
      </c>
      <c r="H2167" s="88">
        <f>IFERROR(__xludf.DUMMYFUNCTION("""COMPUTED_VALUE"""),0.0)</f>
        <v>0</v>
      </c>
      <c r="I2167" s="90" t="str">
        <f>IFERROR(__xludf.DUMMYFUNCTION("""COMPUTED_VALUE"""),"EMP0237 Swarnendu Chakraborty")</f>
        <v>EMP0237 Swarnendu Chakraborty</v>
      </c>
      <c r="J2167" s="91"/>
    </row>
    <row r="2168">
      <c r="B2168" s="76" t="str">
        <f>IFERROR(__xludf.DUMMYFUNCTION("""COMPUTED_VALUE"""),"Upload file, cross check and inform                               ")</f>
        <v>Upload file, cross check and inform                               </v>
      </c>
      <c r="C2168" s="82">
        <f>IFERROR(__xludf.DUMMYFUNCTION("""COMPUTED_VALUE"""),5134.0)</f>
        <v>5134</v>
      </c>
      <c r="D2168" s="76" t="str">
        <f>IFERROR(__xludf.DUMMYFUNCTION("""COMPUTED_VALUE"""),"subject_wise_report_rsos")</f>
        <v>subject_wise_report_rsos</v>
      </c>
      <c r="E2168" s="84">
        <f>IFERROR(__xludf.DUMMYFUNCTION("""COMPUTED_VALUE"""),46147.48819444445)</f>
        <v>46147.48819</v>
      </c>
      <c r="F2168" s="86">
        <f>IFERROR(__xludf.DUMMYFUNCTION("""COMPUTED_VALUE"""),46144.71497850694)</f>
        <v>46144.71498</v>
      </c>
      <c r="G2168" s="86" t="str">
        <f>IFERROR(__xludf.DUMMYFUNCTION("""COMPUTED_VALUE"""),"Done")</f>
        <v>Done</v>
      </c>
      <c r="H2168" s="88">
        <f>IFERROR(__xludf.DUMMYFUNCTION("""COMPUTED_VALUE"""),0.0)</f>
        <v>0</v>
      </c>
      <c r="I2168" s="90" t="str">
        <f>IFERROR(__xludf.DUMMYFUNCTION("""COMPUTED_VALUE"""),"EMP0021 Tamanna Dewangan")</f>
        <v>EMP0021 Tamanna Dewangan</v>
      </c>
      <c r="J2168" s="91"/>
    </row>
    <row r="2169">
      <c r="B2169" s="76" t="str">
        <f>IFERROR(__xludf.DUMMYFUNCTION("""COMPUTED_VALUE"""),"Upload file, cross check and inform                               ")</f>
        <v>Upload file, cross check and inform                               </v>
      </c>
      <c r="C2169" s="82">
        <f>IFERROR(__xludf.DUMMYFUNCTION("""COMPUTED_VALUE"""),5135.0)</f>
        <v>5135</v>
      </c>
      <c r="D2169" s="76" t="str">
        <f>IFERROR(__xludf.DUMMYFUNCTION("""COMPUTED_VALUE"""),"Packet_Issue_Receive_Report.jasper")</f>
        <v>Packet_Issue_Receive_Report.jasper</v>
      </c>
      <c r="E2169" s="84">
        <f>IFERROR(__xludf.DUMMYFUNCTION("""COMPUTED_VALUE"""),46148.52013888889)</f>
        <v>46148.52014</v>
      </c>
      <c r="F2169" s="86">
        <f>IFERROR(__xludf.DUMMYFUNCTION("""COMPUTED_VALUE"""),46146.664481817126)</f>
        <v>46146.66448</v>
      </c>
      <c r="G2169" s="86" t="str">
        <f>IFERROR(__xludf.DUMMYFUNCTION("""COMPUTED_VALUE"""),"Done")</f>
        <v>Done</v>
      </c>
      <c r="H2169" s="88">
        <f>IFERROR(__xludf.DUMMYFUNCTION("""COMPUTED_VALUE"""),0.0)</f>
        <v>0</v>
      </c>
      <c r="I2169" s="90" t="str">
        <f>IFERROR(__xludf.DUMMYFUNCTION("""COMPUTED_VALUE"""),"EMP0042 HULESHWAR KUMAR SAHU")</f>
        <v>EMP0042 HULESHWAR KUMAR SAHU</v>
      </c>
      <c r="J2169" s="91"/>
    </row>
    <row r="2170">
      <c r="B2170" s="76" t="str">
        <f>IFERROR(__xludf.DUMMYFUNCTION("""COMPUTED_VALUE"""),"Upload file, cross check and inform                               ")</f>
        <v>Upload file, cross check and inform                               </v>
      </c>
      <c r="C2170" s="82">
        <f>IFERROR(__xludf.DUMMYFUNCTION("""COMPUTED_VALUE"""),5136.0)</f>
        <v>5136</v>
      </c>
      <c r="D2170" s="76" t="str">
        <f>IFERROR(__xludf.DUMMYFUNCTION("""COMPUTED_VALUE"""),"Marksheet nep camulative Nep Major miner")</f>
        <v>Marksheet nep camulative Nep Major miner</v>
      </c>
      <c r="E2170" s="84">
        <f>IFERROR(__xludf.DUMMYFUNCTION("""COMPUTED_VALUE"""),46148.59097222222)</f>
        <v>46148.59097</v>
      </c>
      <c r="F2170" s="86">
        <f>IFERROR(__xludf.DUMMYFUNCTION("""COMPUTED_VALUE"""),46146.75045133102)</f>
        <v>46146.75045</v>
      </c>
      <c r="G2170" s="86" t="str">
        <f>IFERROR(__xludf.DUMMYFUNCTION("""COMPUTED_VALUE"""),"Done")</f>
        <v>Done</v>
      </c>
      <c r="H2170" s="88">
        <f>IFERROR(__xludf.DUMMYFUNCTION("""COMPUTED_VALUE"""),0.0)</f>
        <v>0</v>
      </c>
      <c r="I2170" s="90" t="str">
        <f>IFERROR(__xludf.DUMMYFUNCTION("""COMPUTED_VALUE"""),"EMP0021 Tamanna Dewangan")</f>
        <v>EMP0021 Tamanna Dewangan</v>
      </c>
      <c r="J2170" s="91"/>
    </row>
    <row r="2171">
      <c r="B2171" s="76" t="str">
        <f>IFERROR(__xludf.DUMMYFUNCTION("""COMPUTED_VALUE"""),"Upload file, cross check and inform                               ")</f>
        <v>Upload file, cross check and inform                               </v>
      </c>
      <c r="C2171" s="82">
        <f>IFERROR(__xludf.DUMMYFUNCTION("""COMPUTED_VALUE"""),5137.0)</f>
        <v>5137</v>
      </c>
      <c r="D2171" s="76" t="str">
        <f>IFERROR(__xludf.DUMMYFUNCTION("""COMPUTED_VALUE"""),"NURSING GRADE CARD")</f>
        <v>NURSING GRADE CARD</v>
      </c>
      <c r="E2171" s="84">
        <f>IFERROR(__xludf.DUMMYFUNCTION("""COMPUTED_VALUE"""),46148.620833333334)</f>
        <v>46148.62083</v>
      </c>
      <c r="F2171" s="86">
        <f>IFERROR(__xludf.DUMMYFUNCTION("""COMPUTED_VALUE"""),46146.75868258102)</f>
        <v>46146.75868</v>
      </c>
      <c r="G2171" s="86" t="str">
        <f>IFERROR(__xludf.DUMMYFUNCTION("""COMPUTED_VALUE"""),"Done")</f>
        <v>Done</v>
      </c>
      <c r="H2171" s="88">
        <f>IFERROR(__xludf.DUMMYFUNCTION("""COMPUTED_VALUE"""),0.0)</f>
        <v>0</v>
      </c>
      <c r="I2171" s="90" t="str">
        <f>IFERROR(__xludf.DUMMYFUNCTION("""COMPUTED_VALUE"""),"EMP0042 HULESHWAR KUMAR SAHU")</f>
        <v>EMP0042 HULESHWAR KUMAR SAHU</v>
      </c>
      <c r="J2171" s="91"/>
    </row>
    <row r="2172">
      <c r="B2172" s="76" t="str">
        <f>IFERROR(__xludf.DUMMYFUNCTION("""COMPUTED_VALUE"""),"Upload file, cross check and inform                               ")</f>
        <v>Upload file, cross check and inform                               </v>
      </c>
      <c r="C2172" s="82">
        <f>IFERROR(__xludf.DUMMYFUNCTION("""COMPUTED_VALUE"""),5138.0)</f>
        <v>5138</v>
      </c>
      <c r="D2172" s="76" t="str">
        <f>IFERROR(__xludf.DUMMYFUNCTION("""COMPUTED_VALUE"""),"	TR PHD Nursing")</f>
        <v>	TR PHD Nursing</v>
      </c>
      <c r="E2172" s="84">
        <f>IFERROR(__xludf.DUMMYFUNCTION("""COMPUTED_VALUE"""),46148.80138888889)</f>
        <v>46148.80139</v>
      </c>
      <c r="F2172" s="86">
        <f>IFERROR(__xludf.DUMMYFUNCTION("""COMPUTED_VALUE"""),46147.560392453706)</f>
        <v>46147.56039</v>
      </c>
      <c r="G2172" s="86" t="str">
        <f>IFERROR(__xludf.DUMMYFUNCTION("""COMPUTED_VALUE"""),"Done")</f>
        <v>Done</v>
      </c>
      <c r="H2172" s="88">
        <f>IFERROR(__xludf.DUMMYFUNCTION("""COMPUTED_VALUE"""),0.0)</f>
        <v>0</v>
      </c>
      <c r="I2172" s="90" t="str">
        <f>IFERROR(__xludf.DUMMYFUNCTION("""COMPUTED_VALUE"""),"EMP0021 Tamanna Dewangan")</f>
        <v>EMP0021 Tamanna Dewangan</v>
      </c>
      <c r="J2172" s="91"/>
    </row>
    <row r="2173">
      <c r="B2173" s="76" t="str">
        <f>IFERROR(__xludf.DUMMYFUNCTION("""COMPUTED_VALUE"""),"Upload file, cross check and inform                               ")</f>
        <v>Upload file, cross check and inform                               </v>
      </c>
      <c r="C2173" s="82">
        <f>IFERROR(__xludf.DUMMYFUNCTION("""COMPUTED_VALUE"""),5139.0)</f>
        <v>5139</v>
      </c>
      <c r="D2173" s="76" t="str">
        <f>IFERROR(__xludf.DUMMYFUNCTION("""COMPUTED_VALUE"""),"MARKSHEET 4SEM")</f>
        <v>MARKSHEET 4SEM</v>
      </c>
      <c r="E2173" s="84">
        <f>IFERROR(__xludf.DUMMYFUNCTION("""COMPUTED_VALUE"""),46150.45763888889)</f>
        <v>46150.45764</v>
      </c>
      <c r="F2173" s="86">
        <f>IFERROR(__xludf.DUMMYFUNCTION("""COMPUTED_VALUE"""),46150.41437233796)</f>
        <v>46150.41437</v>
      </c>
      <c r="G2173" s="86" t="str">
        <f>IFERROR(__xludf.DUMMYFUNCTION("""COMPUTED_VALUE"""),"Done")</f>
        <v>Done</v>
      </c>
      <c r="H2173" s="88">
        <f>IFERROR(__xludf.DUMMYFUNCTION("""COMPUTED_VALUE"""),0.0)</f>
        <v>0</v>
      </c>
      <c r="I2173" s="90" t="str">
        <f>IFERROR(__xludf.DUMMYFUNCTION("""COMPUTED_VALUE"""),"EMP5009 Rup Kumar Mandal")</f>
        <v>EMP5009 Rup Kumar Mandal</v>
      </c>
      <c r="J2173" s="91"/>
    </row>
    <row r="2174">
      <c r="B2174" s="76" t="str">
        <f>IFERROR(__xludf.DUMMYFUNCTION("""COMPUTED_VALUE"""),"Upload file, cross check and inform                               ")</f>
        <v>Upload file, cross check and inform                               </v>
      </c>
      <c r="C2174" s="82">
        <f>IFERROR(__xludf.DUMMYFUNCTION("""COMPUTED_VALUE"""),5140.0)</f>
        <v>5140</v>
      </c>
      <c r="D2174" s="76" t="str">
        <f>IFERROR(__xludf.DUMMYFUNCTION("""COMPUTED_VALUE"""),"Multiple Report:ICR marksheet: marksheet llb")</f>
        <v>Multiple Report:ICR marksheet: marksheet llb</v>
      </c>
      <c r="E2174" s="84">
        <f>IFERROR(__xludf.DUMMYFUNCTION("""COMPUTED_VALUE"""),46150.603472222225)</f>
        <v>46150.60347</v>
      </c>
      <c r="F2174" s="86">
        <f>IFERROR(__xludf.DUMMYFUNCTION("""COMPUTED_VALUE"""),46148.78011685185)</f>
        <v>46148.78012</v>
      </c>
      <c r="G2174" s="86" t="str">
        <f>IFERROR(__xludf.DUMMYFUNCTION("""COMPUTED_VALUE"""),"Done")</f>
        <v>Done</v>
      </c>
      <c r="H2174" s="88">
        <f>IFERROR(__xludf.DUMMYFUNCTION("""COMPUTED_VALUE"""),0.0)</f>
        <v>0</v>
      </c>
      <c r="I2174" s="90" t="str">
        <f>IFERROR(__xludf.DUMMYFUNCTION("""COMPUTED_VALUE"""),"EMP0042 HULESHWAR KUMAR SAHU")</f>
        <v>EMP0042 HULESHWAR KUMAR SAHU</v>
      </c>
      <c r="J2174" s="91"/>
    </row>
    <row r="2175">
      <c r="B2175" s="76" t="str">
        <f>IFERROR(__xludf.DUMMYFUNCTION("""COMPUTED_VALUE"""),"Upload file, cross check and inform                               ")</f>
        <v>Upload file, cross check and inform                               </v>
      </c>
      <c r="C2175" s="82">
        <f>IFERROR(__xludf.DUMMYFUNCTION("""COMPUTED_VALUE"""),5141.0)</f>
        <v>5141</v>
      </c>
      <c r="D2175" s="76" t="str">
        <f>IFERROR(__xludf.DUMMYFUNCTION("""COMPUTED_VALUE"""),"gradecard")</f>
        <v>gradecard</v>
      </c>
      <c r="E2175" s="84">
        <f>IFERROR(__xludf.DUMMYFUNCTION("""COMPUTED_VALUE"""),46151.575)</f>
        <v>46151.575</v>
      </c>
      <c r="F2175" s="86">
        <f>IFERROR(__xludf.DUMMYFUNCTION("""COMPUTED_VALUE"""),46150.47956374999)</f>
        <v>46150.47956</v>
      </c>
      <c r="G2175" s="86" t="str">
        <f>IFERROR(__xludf.DUMMYFUNCTION("""COMPUTED_VALUE"""),"Done")</f>
        <v>Done</v>
      </c>
      <c r="H2175" s="88">
        <f>IFERROR(__xludf.DUMMYFUNCTION("""COMPUTED_VALUE"""),0.0)</f>
        <v>0</v>
      </c>
      <c r="I2175" s="90" t="str">
        <f>IFERROR(__xludf.DUMMYFUNCTION("""COMPUTED_VALUE"""),"EMP0021 Tamanna Dewangan")</f>
        <v>EMP0021 Tamanna Dewangan</v>
      </c>
      <c r="J2175" s="91"/>
    </row>
    <row r="2176">
      <c r="B2176" s="76" t="str">
        <f>IFERROR(__xludf.DUMMYFUNCTION("""COMPUTED_VALUE"""),"Upload file, cross check and inform                               ")</f>
        <v>Upload file, cross check and inform                               </v>
      </c>
      <c r="C2176" s="82">
        <f>IFERROR(__xludf.DUMMYFUNCTION("""COMPUTED_VALUE"""),5142.0)</f>
        <v>5142</v>
      </c>
      <c r="D2176" s="76" t="str">
        <f>IFERROR(__xludf.DUMMYFUNCTION("""COMPUTED_VALUE"""),"GRADE CARD AGRICULTURE")</f>
        <v>GRADE CARD AGRICULTURE</v>
      </c>
      <c r="E2176" s="84">
        <f>IFERROR(__xludf.DUMMYFUNCTION("""COMPUTED_VALUE"""),46151.60555555555)</f>
        <v>46151.60556</v>
      </c>
      <c r="F2176" s="86">
        <f>IFERROR(__xludf.DUMMYFUNCTION("""COMPUTED_VALUE"""),46150.4795850463)</f>
        <v>46150.47959</v>
      </c>
      <c r="G2176" s="86" t="str">
        <f>IFERROR(__xludf.DUMMYFUNCTION("""COMPUTED_VALUE"""),"Done")</f>
        <v>Done</v>
      </c>
      <c r="H2176" s="88">
        <f>IFERROR(__xludf.DUMMYFUNCTION("""COMPUTED_VALUE"""),0.0)</f>
        <v>0</v>
      </c>
      <c r="I2176" s="90" t="str">
        <f>IFERROR(__xludf.DUMMYFUNCTION("""COMPUTED_VALUE"""),"EMP0042 HULESHWAR KUMAR SAHU")</f>
        <v>EMP0042 HULESHWAR KUMAR SAHU</v>
      </c>
      <c r="J2176" s="91"/>
    </row>
    <row r="2177">
      <c r="B2177" s="76" t="str">
        <f>IFERROR(__xludf.DUMMYFUNCTION("""COMPUTED_VALUE"""),"Upload file, cross check and inform                               ")</f>
        <v>Upload file, cross check and inform                               </v>
      </c>
      <c r="C2177" s="82">
        <f>IFERROR(__xludf.DUMMYFUNCTION("""COMPUTED_VALUE"""),5143.0)</f>
        <v>5143</v>
      </c>
      <c r="D2177" s="76" t="str">
        <f>IFERROR(__xludf.DUMMYFUNCTION("""COMPUTED_VALUE"""),"SATISH KUMAR")</f>
        <v>SATISH KUMAR</v>
      </c>
      <c r="E2177" s="84">
        <f>IFERROR(__xludf.DUMMYFUNCTION("""COMPUTED_VALUE"""),46153.63888888889)</f>
        <v>46153.63889</v>
      </c>
      <c r="F2177" s="86">
        <f>IFERROR(__xludf.DUMMYFUNCTION("""COMPUTED_VALUE"""),46151.52275831019)</f>
        <v>46151.52276</v>
      </c>
      <c r="G2177" s="86" t="str">
        <f>IFERROR(__xludf.DUMMYFUNCTION("""COMPUTED_VALUE"""),"Done")</f>
        <v>Done</v>
      </c>
      <c r="H2177" s="88">
        <f>IFERROR(__xludf.DUMMYFUNCTION("""COMPUTED_VALUE"""),0.0)</f>
        <v>0</v>
      </c>
      <c r="I2177" s="90" t="str">
        <f>IFERROR(__xludf.DUMMYFUNCTION("""COMPUTED_VALUE"""),"EMP0042 HULESHWAR KUMAR SAHU")</f>
        <v>EMP0042 HULESHWAR KUMAR SAHU</v>
      </c>
      <c r="J2177" s="91"/>
    </row>
    <row r="2178">
      <c r="B2178" s="76" t="str">
        <f>IFERROR(__xludf.DUMMYFUNCTION("""COMPUTED_VALUE"""),"Upload file, cross check and inform                               ")</f>
        <v>Upload file, cross check and inform                               </v>
      </c>
      <c r="C2178" s="82">
        <f>IFERROR(__xludf.DUMMYFUNCTION("""COMPUTED_VALUE"""),5144.0)</f>
        <v>5144</v>
      </c>
      <c r="D2178" s="76" t="str">
        <f>IFERROR(__xludf.DUMMYFUNCTION("""COMPUTED_VALUE"""),"SATISH KUMAR")</f>
        <v>SATISH KUMAR</v>
      </c>
      <c r="E2178" s="84">
        <f>IFERROR(__xludf.DUMMYFUNCTION("""COMPUTED_VALUE"""),46153.63958333334)</f>
        <v>46153.63958</v>
      </c>
      <c r="F2178" s="86">
        <f>IFERROR(__xludf.DUMMYFUNCTION("""COMPUTED_VALUE"""),46151.52277787037)</f>
        <v>46151.52278</v>
      </c>
      <c r="G2178" s="86" t="str">
        <f>IFERROR(__xludf.DUMMYFUNCTION("""COMPUTED_VALUE"""),"Done")</f>
        <v>Done</v>
      </c>
      <c r="H2178" s="88">
        <f>IFERROR(__xludf.DUMMYFUNCTION("""COMPUTED_VALUE"""),0.0)</f>
        <v>0</v>
      </c>
      <c r="I2178" s="90" t="str">
        <f>IFERROR(__xludf.DUMMYFUNCTION("""COMPUTED_VALUE"""),"EMP0042 HULESHWAR KUMAR SAHU")</f>
        <v>EMP0042 HULESHWAR KUMAR SAHU</v>
      </c>
      <c r="J2178" s="91"/>
    </row>
    <row r="2179">
      <c r="B2179" s="76" t="str">
        <f>IFERROR(__xludf.DUMMYFUNCTION("""COMPUTED_VALUE"""),"Upload file, cross check and inform                               ")</f>
        <v>Upload file, cross check and inform                               </v>
      </c>
      <c r="C2179" s="82">
        <f>IFERROR(__xludf.DUMMYFUNCTION("""COMPUTED_VALUE"""),5145.0)</f>
        <v>5145</v>
      </c>
      <c r="D2179" s="76" t="str">
        <f>IFERROR(__xludf.DUMMYFUNCTION("""COMPUTED_VALUE"""),"STUDENT_ATTENDANCE")</f>
        <v>STUDENT_ATTENDANCE</v>
      </c>
      <c r="E2179" s="84">
        <f>IFERROR(__xludf.DUMMYFUNCTION("""COMPUTED_VALUE"""),46154.538888888885)</f>
        <v>46154.53889</v>
      </c>
      <c r="F2179" s="86">
        <f>IFERROR(__xludf.DUMMYFUNCTION("""COMPUTED_VALUE"""),46153.44394031251)</f>
        <v>46153.44394</v>
      </c>
      <c r="G2179" s="86" t="str">
        <f>IFERROR(__xludf.DUMMYFUNCTION("""COMPUTED_VALUE"""),"Done")</f>
        <v>Done</v>
      </c>
      <c r="H2179" s="88">
        <f>IFERROR(__xludf.DUMMYFUNCTION("""COMPUTED_VALUE"""),0.0)</f>
        <v>0</v>
      </c>
      <c r="I2179" s="90" t="str">
        <f>IFERROR(__xludf.DUMMYFUNCTION("""COMPUTED_VALUE"""),"EMP5009 Rup Kumar Mandal")</f>
        <v>EMP5009 Rup Kumar Mandal</v>
      </c>
      <c r="J2179" s="91"/>
    </row>
    <row r="2180">
      <c r="B2180" s="76" t="str">
        <f>IFERROR(__xludf.DUMMYFUNCTION("""COMPUTED_VALUE"""),"Upload file, cross check and inform                               ")</f>
        <v>Upload file, cross check and inform                               </v>
      </c>
      <c r="C2180" s="82">
        <f>IFERROR(__xludf.DUMMYFUNCTION("""COMPUTED_VALUE"""),5146.0)</f>
        <v>5146</v>
      </c>
      <c r="D2180" s="76" t="str">
        <f>IFERROR(__xludf.DUMMYFUNCTION("""COMPUTED_VALUE"""),"STUDENT_ATTENDANCE ")</f>
        <v>STUDENT_ATTENDANCE </v>
      </c>
      <c r="E2180" s="84">
        <f>IFERROR(__xludf.DUMMYFUNCTION("""COMPUTED_VALUE"""),46154.54027777778)</f>
        <v>46154.54028</v>
      </c>
      <c r="F2180" s="86">
        <f>IFERROR(__xludf.DUMMYFUNCTION("""COMPUTED_VALUE"""),46153.4439472338)</f>
        <v>46153.44395</v>
      </c>
      <c r="G2180" s="86" t="str">
        <f>IFERROR(__xludf.DUMMYFUNCTION("""COMPUTED_VALUE"""),"Done")</f>
        <v>Done</v>
      </c>
      <c r="H2180" s="88">
        <f>IFERROR(__xludf.DUMMYFUNCTION("""COMPUTED_VALUE"""),0.0)</f>
        <v>0</v>
      </c>
      <c r="I2180" s="90" t="str">
        <f>IFERROR(__xludf.DUMMYFUNCTION("""COMPUTED_VALUE"""),"EMP5009 Rup Kumar Mandal")</f>
        <v>EMP5009 Rup Kumar Mandal</v>
      </c>
      <c r="J2180" s="91"/>
    </row>
    <row r="2181">
      <c r="B2181" s="76" t="str">
        <f>IFERROR(__xludf.DUMMYFUNCTION("""COMPUTED_VALUE"""),"Upload file, cross check and inform                               ")</f>
        <v>Upload file, cross check and inform                               </v>
      </c>
      <c r="C2181" s="82">
        <f>IFERROR(__xludf.DUMMYFUNCTION("""COMPUTED_VALUE"""),5147.0)</f>
        <v>5147</v>
      </c>
      <c r="D2181" s="76" t="str">
        <f>IFERROR(__xludf.DUMMYFUNCTION("""COMPUTED_VALUE"""),"	TR NEW AGRICULTURE AND ALL")</f>
        <v>	TR NEW AGRICULTURE AND ALL</v>
      </c>
      <c r="E2181" s="84">
        <f>IFERROR(__xludf.DUMMYFUNCTION("""COMPUTED_VALUE"""),46154.60972222222)</f>
        <v>46154.60972</v>
      </c>
      <c r="F2181" s="86">
        <f>IFERROR(__xludf.DUMMYFUNCTION("""COMPUTED_VALUE"""),46153.46876244213)</f>
        <v>46153.46876</v>
      </c>
      <c r="G2181" s="86" t="str">
        <f>IFERROR(__xludf.DUMMYFUNCTION("""COMPUTED_VALUE"""),"Done")</f>
        <v>Done</v>
      </c>
      <c r="H2181" s="88">
        <f>IFERROR(__xludf.DUMMYFUNCTION("""COMPUTED_VALUE"""),0.0)</f>
        <v>0</v>
      </c>
      <c r="I2181" s="90" t="str">
        <f>IFERROR(__xludf.DUMMYFUNCTION("""COMPUTED_VALUE"""),"EMP0042 HULESHWAR KUMAR SAHU")</f>
        <v>EMP0042 HULESHWAR KUMAR SAHU</v>
      </c>
      <c r="J2181" s="91"/>
    </row>
    <row r="2182">
      <c r="B2182" s="76" t="str">
        <f>IFERROR(__xludf.DUMMYFUNCTION("""COMPUTED_VALUE"""),"Upload file, cross check and inform                               ")</f>
        <v>Upload file, cross check and inform                               </v>
      </c>
      <c r="C2182" s="82">
        <f>IFERROR(__xludf.DUMMYFUNCTION("""COMPUTED_VALUE"""),5148.0)</f>
        <v>5148</v>
      </c>
      <c r="D2182" s="76" t="str">
        <f>IFERROR(__xludf.DUMMYFUNCTION("""COMPUTED_VALUE"""),"2019-20 BATCHES BA COURSE MATHAMTICS SUBJECT NOT SHOWING UNIT PARTS IN DMC")</f>
        <v>2019-20 BATCHES BA COURSE MATHAMTICS SUBJECT NOT SHOWING UNIT PARTS IN DMC</v>
      </c>
      <c r="E2182" s="84">
        <f>IFERROR(__xludf.DUMMYFUNCTION("""COMPUTED_VALUE"""),46154.81319444445)</f>
        <v>46154.81319</v>
      </c>
      <c r="F2182" s="86">
        <f>IFERROR(__xludf.DUMMYFUNCTION("""COMPUTED_VALUE"""),46154.640967534724)</f>
        <v>46154.64097</v>
      </c>
      <c r="G2182" s="86" t="str">
        <f>IFERROR(__xludf.DUMMYFUNCTION("""COMPUTED_VALUE"""),"Done")</f>
        <v>Done</v>
      </c>
      <c r="H2182" s="88">
        <f>IFERROR(__xludf.DUMMYFUNCTION("""COMPUTED_VALUE"""),0.0)</f>
        <v>0</v>
      </c>
      <c r="I2182" s="90" t="str">
        <f>IFERROR(__xludf.DUMMYFUNCTION("""COMPUTED_VALUE"""),"EMP0237 Swarnendu Chakraborty")</f>
        <v>EMP0237 Swarnendu Chakraborty</v>
      </c>
      <c r="J2182" s="91"/>
    </row>
    <row r="2183">
      <c r="B2183" s="76" t="str">
        <f>IFERROR(__xludf.DUMMYFUNCTION("""COMPUTED_VALUE"""),"Upload file, cross check and inform                               ")</f>
        <v>Upload file, cross check and inform                               </v>
      </c>
      <c r="C2183" s="82">
        <f>IFERROR(__xludf.DUMMYFUNCTION("""COMPUTED_VALUE"""),5149.0)</f>
        <v>5149</v>
      </c>
      <c r="D2183" s="76" t="str">
        <f>IFERROR(__xludf.DUMMYFUNCTION("""COMPUTED_VALUE"""),"	Marksheet MBBS New Format")</f>
        <v>	Marksheet MBBS New Format</v>
      </c>
      <c r="E2183" s="84">
        <f>IFERROR(__xludf.DUMMYFUNCTION("""COMPUTED_VALUE"""),46156.57083333333)</f>
        <v>46156.57083</v>
      </c>
      <c r="F2183" s="86">
        <f>IFERROR(__xludf.DUMMYFUNCTION("""COMPUTED_VALUE"""),46154.67523842592)</f>
        <v>46154.67524</v>
      </c>
      <c r="G2183" s="86" t="str">
        <f>IFERROR(__xludf.DUMMYFUNCTION("""COMPUTED_VALUE"""),"Done")</f>
        <v>Done</v>
      </c>
      <c r="H2183" s="88">
        <f>IFERROR(__xludf.DUMMYFUNCTION("""COMPUTED_VALUE"""),0.0)</f>
        <v>0</v>
      </c>
      <c r="I2183" s="90" t="str">
        <f>IFERROR(__xludf.DUMMYFUNCTION("""COMPUTED_VALUE"""),"EMP0042 HULESHWAR KUMAR SAHU")</f>
        <v>EMP0042 HULESHWAR KUMAR SAHU</v>
      </c>
      <c r="J2183" s="91"/>
    </row>
    <row r="2184">
      <c r="B2184" s="76" t="str">
        <f>IFERROR(__xludf.DUMMYFUNCTION("""COMPUTED_VALUE"""),"Upload file, cross check and inform                               ")</f>
        <v>Upload file, cross check and inform                               </v>
      </c>
      <c r="C2184" s="82">
        <f>IFERROR(__xludf.DUMMYFUNCTION("""COMPUTED_VALUE"""),5150.0)</f>
        <v>5150</v>
      </c>
      <c r="D2184" s="76" t="str">
        <f>IFERROR(__xludf.DUMMYFUNCTION("""COMPUTED_VALUE"""),"Transcript PG")</f>
        <v>Transcript PG</v>
      </c>
      <c r="E2184" s="84">
        <f>IFERROR(__xludf.DUMMYFUNCTION("""COMPUTED_VALUE"""),46156.57430555555)</f>
        <v>46156.57431</v>
      </c>
      <c r="F2184" s="86">
        <f>IFERROR(__xludf.DUMMYFUNCTION("""COMPUTED_VALUE"""),46156.49759827547)</f>
        <v>46156.4976</v>
      </c>
      <c r="G2184" s="86" t="str">
        <f>IFERROR(__xludf.DUMMYFUNCTION("""COMPUTED_VALUE"""),"Done")</f>
        <v>Done</v>
      </c>
      <c r="H2184" s="88">
        <f>IFERROR(__xludf.DUMMYFUNCTION("""COMPUTED_VALUE"""),0.0)</f>
        <v>0</v>
      </c>
      <c r="I2184" s="90" t="str">
        <f>IFERROR(__xludf.DUMMYFUNCTION("""COMPUTED_VALUE"""),"EMP0042 HULESHWAR KUMAR SAHU")</f>
        <v>EMP0042 HULESHWAR KUMAR SAHU</v>
      </c>
      <c r="J2184" s="91"/>
    </row>
    <row r="2185">
      <c r="B2185" s="76" t="str">
        <f>IFERROR(__xludf.DUMMYFUNCTION("""COMPUTED_VALUE"""),"Upload file, cross check and inform                               ")</f>
        <v>Upload file, cross check and inform                               </v>
      </c>
      <c r="C2185" s="82">
        <f>IFERROR(__xludf.DUMMYFUNCTION("""COMPUTED_VALUE"""),5151.0)</f>
        <v>5151</v>
      </c>
      <c r="D2185" s="76" t="str">
        <f>IFERROR(__xludf.DUMMYFUNCTION("""COMPUTED_VALUE"""),"Marksheet LLB")</f>
        <v>Marksheet LLB</v>
      </c>
      <c r="E2185" s="84">
        <f>IFERROR(__xludf.DUMMYFUNCTION("""COMPUTED_VALUE"""),46156.60555555555)</f>
        <v>46156.60556</v>
      </c>
      <c r="F2185" s="86">
        <f>IFERROR(__xludf.DUMMYFUNCTION("""COMPUTED_VALUE"""),46155.52286697916)</f>
        <v>46155.52287</v>
      </c>
      <c r="G2185" s="86" t="str">
        <f>IFERROR(__xludf.DUMMYFUNCTION("""COMPUTED_VALUE"""),"Done")</f>
        <v>Done</v>
      </c>
      <c r="H2185" s="88">
        <f>IFERROR(__xludf.DUMMYFUNCTION("""COMPUTED_VALUE"""),0.0)</f>
        <v>0</v>
      </c>
      <c r="I2185" s="90" t="str">
        <f>IFERROR(__xludf.DUMMYFUNCTION("""COMPUTED_VALUE"""),"EMP0042 HULESHWAR KUMAR SAHU")</f>
        <v>EMP0042 HULESHWAR KUMAR SAHU</v>
      </c>
      <c r="J2185" s="91"/>
    </row>
    <row r="2186">
      <c r="B2186" s="76" t="str">
        <f>IFERROR(__xludf.DUMMYFUNCTION("""COMPUTED_VALUE"""),"Upload file, cross check and inform                               ")</f>
        <v>Upload file, cross check and inform                               </v>
      </c>
      <c r="C2186" s="82">
        <f>IFERROR(__xludf.DUMMYFUNCTION("""COMPUTED_VALUE"""),5152.0)</f>
        <v>5152</v>
      </c>
      <c r="D2186" s="76" t="str">
        <f>IFERROR(__xludf.DUMMYFUNCTION("""COMPUTED_VALUE"""),"NEP Marksheet")</f>
        <v>NEP Marksheet</v>
      </c>
      <c r="E2186" s="84">
        <f>IFERROR(__xludf.DUMMYFUNCTION("""COMPUTED_VALUE"""),46158.57916666666)</f>
        <v>46158.57917</v>
      </c>
      <c r="F2186" s="86">
        <f>IFERROR(__xludf.DUMMYFUNCTION("""COMPUTED_VALUE"""),46156.76137357639)</f>
        <v>46156.76137</v>
      </c>
      <c r="G2186" s="86" t="str">
        <f>IFERROR(__xludf.DUMMYFUNCTION("""COMPUTED_VALUE"""),"Done")</f>
        <v>Done</v>
      </c>
      <c r="H2186" s="88">
        <f>IFERROR(__xludf.DUMMYFUNCTION("""COMPUTED_VALUE"""),0.0)</f>
        <v>0</v>
      </c>
      <c r="I2186" s="90" t="str">
        <f>IFERROR(__xludf.DUMMYFUNCTION("""COMPUTED_VALUE"""),"EMP0042 HULESHWAR KUMAR SAHU")</f>
        <v>EMP0042 HULESHWAR KUMAR SAHU</v>
      </c>
      <c r="J2186" s="91"/>
    </row>
    <row r="2187">
      <c r="B2187" s="76" t="str">
        <f>IFERROR(__xludf.DUMMYFUNCTION("""COMPUTED_VALUE"""),"Upload file, cross check and inform                               ")</f>
        <v>Upload file, cross check and inform                               </v>
      </c>
      <c r="C2187" s="82">
        <f>IFERROR(__xludf.DUMMYFUNCTION("""COMPUTED_VALUE"""),5153.0)</f>
        <v>5153</v>
      </c>
      <c r="D2187" s="76" t="str">
        <f>IFERROR(__xludf.DUMMYFUNCTION("""COMPUTED_VALUE"""),"OLD Marksheet")</f>
        <v>OLD Marksheet</v>
      </c>
      <c r="E2187" s="84">
        <f>IFERROR(__xludf.DUMMYFUNCTION("""COMPUTED_VALUE"""),46158.58125)</f>
        <v>46158.58125</v>
      </c>
      <c r="F2187" s="86">
        <f>IFERROR(__xludf.DUMMYFUNCTION("""COMPUTED_VALUE"""),46156.76136739583)</f>
        <v>46156.76137</v>
      </c>
      <c r="G2187" s="86" t="str">
        <f>IFERROR(__xludf.DUMMYFUNCTION("""COMPUTED_VALUE"""),"Done")</f>
        <v>Done</v>
      </c>
      <c r="H2187" s="88">
        <f>IFERROR(__xludf.DUMMYFUNCTION("""COMPUTED_VALUE"""),0.0)</f>
        <v>0</v>
      </c>
      <c r="I2187" s="90" t="str">
        <f>IFERROR(__xludf.DUMMYFUNCTION("""COMPUTED_VALUE"""),"EMP0021 Tamanna Dewangan")</f>
        <v>EMP0021 Tamanna Dewangan</v>
      </c>
      <c r="J2187" s="91"/>
    </row>
    <row r="2188">
      <c r="B2188" s="76" t="str">
        <f>IFERROR(__xludf.DUMMYFUNCTION("""COMPUTED_VALUE"""),"Upload file, cross check and inform                               ")</f>
        <v>Upload file, cross check and inform                               </v>
      </c>
      <c r="C2188" s="82">
        <f>IFERROR(__xludf.DUMMYFUNCTION("""COMPUTED_VALUE"""),5154.0)</f>
        <v>5154</v>
      </c>
      <c r="D2188" s="76" t="str">
        <f>IFERROR(__xludf.DUMMYFUNCTION("""COMPUTED_VALUE"""),"TR Report")</f>
        <v>TR Report</v>
      </c>
      <c r="E2188" s="84">
        <f>IFERROR(__xludf.DUMMYFUNCTION("""COMPUTED_VALUE"""),46158.60416666667)</f>
        <v>46158.60417</v>
      </c>
      <c r="F2188" s="86">
        <f>IFERROR(__xludf.DUMMYFUNCTION("""COMPUTED_VALUE"""),46157.67739686343)</f>
        <v>46157.6774</v>
      </c>
      <c r="G2188" s="86" t="str">
        <f>IFERROR(__xludf.DUMMYFUNCTION("""COMPUTED_VALUE"""),"Done")</f>
        <v>Done</v>
      </c>
      <c r="H2188" s="88">
        <f>IFERROR(__xludf.DUMMYFUNCTION("""COMPUTED_VALUE"""),0.0)</f>
        <v>0</v>
      </c>
      <c r="I2188" s="90" t="str">
        <f>IFERROR(__xludf.DUMMYFUNCTION("""COMPUTED_VALUE"""),"EMP0021 Tamanna Dewangan")</f>
        <v>EMP0021 Tamanna Dewangan</v>
      </c>
      <c r="J2188" s="91"/>
    </row>
    <row r="2189">
      <c r="B2189" s="76" t="str">
        <f>IFERROR(__xludf.DUMMYFUNCTION("""COMPUTED_VALUE"""),"Upload file, cross check and inform                               ")</f>
        <v>Upload file, cross check and inform                               </v>
      </c>
      <c r="C2189" s="82">
        <f>IFERROR(__xludf.DUMMYFUNCTION("""COMPUTED_VALUE"""),5155.0)</f>
        <v>5155</v>
      </c>
      <c r="D2189" s="76" t="str">
        <f>IFERROR(__xludf.DUMMYFUNCTION("""COMPUTED_VALUE"""),"Marksheet LLB(Absorption)")</f>
        <v>Marksheet LLB(Absorption)</v>
      </c>
      <c r="E2189" s="84">
        <f>IFERROR(__xludf.DUMMYFUNCTION("""COMPUTED_VALUE"""),46158.60555555555)</f>
        <v>46158.60556</v>
      </c>
      <c r="F2189" s="86">
        <f>IFERROR(__xludf.DUMMYFUNCTION("""COMPUTED_VALUE"""),46157.80309100695)</f>
        <v>46157.80309</v>
      </c>
      <c r="G2189" s="86" t="str">
        <f>IFERROR(__xludf.DUMMYFUNCTION("""COMPUTED_VALUE"""),"Done")</f>
        <v>Done</v>
      </c>
      <c r="H2189" s="88">
        <f>IFERROR(__xludf.DUMMYFUNCTION("""COMPUTED_VALUE"""),0.0)</f>
        <v>0</v>
      </c>
      <c r="I2189" s="90" t="str">
        <f>IFERROR(__xludf.DUMMYFUNCTION("""COMPUTED_VALUE"""),"EMP0042 HULESHWAR KUMAR SAHU")</f>
        <v>EMP0042 HULESHWAR KUMAR SAHU</v>
      </c>
      <c r="J2189" s="91"/>
    </row>
    <row r="2190">
      <c r="B2190" s="76" t="str">
        <f>IFERROR(__xludf.DUMMYFUNCTION("""COMPUTED_VALUE"""),"Upload file, cross check and inform                               ")</f>
        <v>Upload file, cross check and inform                               </v>
      </c>
      <c r="C2190" s="82">
        <f>IFERROR(__xludf.DUMMYFUNCTION("""COMPUTED_VALUE"""),5156.0)</f>
        <v>5156</v>
      </c>
      <c r="D2190" s="76" t="str">
        <f>IFERROR(__xludf.DUMMYFUNCTION("""COMPUTED_VALUE"""),"MISCELLEROUS REPORT IN FILED ADD ")</f>
        <v>MISCELLEROUS REPORT IN FILED ADD </v>
      </c>
      <c r="E2190" s="84">
        <f>IFERROR(__xludf.DUMMYFUNCTION("""COMPUTED_VALUE"""),46160.825694444444)</f>
        <v>46160.82569</v>
      </c>
      <c r="F2190" s="86">
        <f>IFERROR(__xludf.DUMMYFUNCTION("""COMPUTED_VALUE"""),46160.45700524305)</f>
        <v>46160.45701</v>
      </c>
      <c r="G2190" s="86" t="str">
        <f>IFERROR(__xludf.DUMMYFUNCTION("""COMPUTED_VALUE"""),"Done")</f>
        <v>Done</v>
      </c>
      <c r="H2190" s="88">
        <f>IFERROR(__xludf.DUMMYFUNCTION("""COMPUTED_VALUE"""),0.0)</f>
        <v>0</v>
      </c>
      <c r="I2190" s="90" t="str">
        <f>IFERROR(__xludf.DUMMYFUNCTION("""COMPUTED_VALUE"""),"EMP0237 Swarnendu Chakraborty")</f>
        <v>EMP0237 Swarnendu Chakraborty</v>
      </c>
      <c r="J2190" s="91"/>
    </row>
    <row r="2191">
      <c r="B2191" s="76" t="str">
        <f>IFERROR(__xludf.DUMMYFUNCTION("""COMPUTED_VALUE"""),"Upload file, cross check and inform                               ")</f>
        <v>Upload file, cross check and inform                               </v>
      </c>
      <c r="C2191" s="82">
        <f>IFERROR(__xludf.DUMMYFUNCTION("""COMPUTED_VALUE"""),5157.0)</f>
        <v>5157</v>
      </c>
      <c r="D2191" s="76" t="str">
        <f>IFERROR(__xludf.DUMMYFUNCTION("""COMPUTED_VALUE"""),"Student Checklist")</f>
        <v>Student Checklist</v>
      </c>
      <c r="E2191" s="84">
        <f>IFERROR(__xludf.DUMMYFUNCTION("""COMPUTED_VALUE"""),46161.52222222222)</f>
        <v>46161.52222</v>
      </c>
      <c r="F2191" s="86">
        <f>IFERROR(__xludf.DUMMYFUNCTION("""COMPUTED_VALUE"""),46161.46406800926)</f>
        <v>46161.46407</v>
      </c>
      <c r="G2191" s="86" t="str">
        <f>IFERROR(__xludf.DUMMYFUNCTION("""COMPUTED_VALUE"""),"Done")</f>
        <v>Done</v>
      </c>
      <c r="H2191" s="88">
        <f>IFERROR(__xludf.DUMMYFUNCTION("""COMPUTED_VALUE"""),0.0)</f>
        <v>0</v>
      </c>
      <c r="I2191" s="90" t="str">
        <f>IFERROR(__xludf.DUMMYFUNCTION("""COMPUTED_VALUE"""),"EMP5009 Rup Kumar Mandal")</f>
        <v>EMP5009 Rup Kumar Mandal</v>
      </c>
      <c r="J2191" s="91"/>
    </row>
    <row r="2192">
      <c r="B2192" s="76" t="str">
        <f>IFERROR(__xludf.DUMMYFUNCTION("""COMPUTED_VALUE"""),"Upload file, cross check and inform                               ")</f>
        <v>Upload file, cross check and inform                               </v>
      </c>
      <c r="C2192" s="82">
        <f>IFERROR(__xludf.DUMMYFUNCTION("""COMPUTED_VALUE"""),5158.0)</f>
        <v>5158</v>
      </c>
      <c r="D2192" s="76" t="str">
        <f>IFERROR(__xludf.DUMMYFUNCTION("""COMPUTED_VALUE"""),"ADMIT")</f>
        <v>ADMIT</v>
      </c>
      <c r="E2192" s="84">
        <f>IFERROR(__xludf.DUMMYFUNCTION("""COMPUTED_VALUE"""),46161.525)</f>
        <v>46161.525</v>
      </c>
      <c r="F2192" s="86">
        <f>IFERROR(__xludf.DUMMYFUNCTION("""COMPUTED_VALUE"""),46161.49422519676)</f>
        <v>46161.49423</v>
      </c>
      <c r="G2192" s="86" t="str">
        <f>IFERROR(__xludf.DUMMYFUNCTION("""COMPUTED_VALUE"""),"Done")</f>
        <v>Done</v>
      </c>
      <c r="H2192" s="88">
        <f>IFERROR(__xludf.DUMMYFUNCTION("""COMPUTED_VALUE"""),0.0)</f>
        <v>0</v>
      </c>
      <c r="I2192" s="90" t="str">
        <f>IFERROR(__xludf.DUMMYFUNCTION("""COMPUTED_VALUE"""),"EMP5009 Rup Kumar Mandal")</f>
        <v>EMP5009 Rup Kumar Mandal</v>
      </c>
      <c r="J2192" s="91"/>
    </row>
    <row r="2193">
      <c r="B2193" s="76" t="str">
        <f>IFERROR(__xludf.DUMMYFUNCTION("""COMPUTED_VALUE"""),"Upload file, cross check and inform                               ")</f>
        <v>Upload file, cross check and inform                               </v>
      </c>
      <c r="C2193" s="82">
        <f>IFERROR(__xludf.DUMMYFUNCTION("""COMPUTED_VALUE"""),5159.0)</f>
        <v>5159</v>
      </c>
      <c r="D2193" s="76" t="str">
        <f>IFERROR(__xludf.DUMMYFUNCTION("""COMPUTED_VALUE"""),"ATTENDANCE (AR/DR)")</f>
        <v>ATTENDANCE (AR/DR)</v>
      </c>
      <c r="E2193" s="84">
        <f>IFERROR(__xludf.DUMMYFUNCTION("""COMPUTED_VALUE"""),46161.52638888889)</f>
        <v>46161.52639</v>
      </c>
      <c r="F2193" s="86">
        <f>IFERROR(__xludf.DUMMYFUNCTION("""COMPUTED_VALUE"""),46161.464095625)</f>
        <v>46161.4641</v>
      </c>
      <c r="G2193" s="86" t="str">
        <f>IFERROR(__xludf.DUMMYFUNCTION("""COMPUTED_VALUE"""),"Done")</f>
        <v>Done</v>
      </c>
      <c r="H2193" s="88">
        <f>IFERROR(__xludf.DUMMYFUNCTION("""COMPUTED_VALUE"""),0.0)</f>
        <v>0</v>
      </c>
      <c r="I2193" s="90" t="str">
        <f>IFERROR(__xludf.DUMMYFUNCTION("""COMPUTED_VALUE"""),"EMP5009 Rup Kumar Mandal")</f>
        <v>EMP5009 Rup Kumar Mandal</v>
      </c>
      <c r="J2193" s="91"/>
    </row>
    <row r="2194">
      <c r="B2194" s="76" t="str">
        <f>IFERROR(__xludf.DUMMYFUNCTION("""COMPUTED_VALUE"""),"Upload file, cross check and inform                               ")</f>
        <v>Upload file, cross check and inform                               </v>
      </c>
      <c r="C2194" s="82">
        <f>IFERROR(__xludf.DUMMYFUNCTION("""COMPUTED_VALUE"""),5160.0)</f>
        <v>5160</v>
      </c>
      <c r="D2194" s="76" t="str">
        <f>IFERROR(__xludf.DUMMYFUNCTION("""COMPUTED_VALUE"""),"TOP SHEET (BEFORE)")</f>
        <v>TOP SHEET (BEFORE)</v>
      </c>
      <c r="E2194" s="84">
        <f>IFERROR(__xludf.DUMMYFUNCTION("""COMPUTED_VALUE"""),46161.52777777778)</f>
        <v>46161.52778</v>
      </c>
      <c r="F2194" s="86">
        <f>IFERROR(__xludf.DUMMYFUNCTION("""COMPUTED_VALUE"""),46161.49433174769)</f>
        <v>46161.49433</v>
      </c>
      <c r="G2194" s="86" t="str">
        <f>IFERROR(__xludf.DUMMYFUNCTION("""COMPUTED_VALUE"""),"Done")</f>
        <v>Done</v>
      </c>
      <c r="H2194" s="88">
        <f>IFERROR(__xludf.DUMMYFUNCTION("""COMPUTED_VALUE"""),0.0)</f>
        <v>0</v>
      </c>
      <c r="I2194" s="90" t="str">
        <f>IFERROR(__xludf.DUMMYFUNCTION("""COMPUTED_VALUE"""),"EMP5009 Rup Kumar Mandal")</f>
        <v>EMP5009 Rup Kumar Mandal</v>
      </c>
      <c r="J2194" s="91"/>
    </row>
    <row r="2195">
      <c r="B2195" s="76" t="str">
        <f>IFERROR(__xludf.DUMMYFUNCTION("""COMPUTED_VALUE"""),"Upload file, cross check and inform                               ")</f>
        <v>Upload file, cross check and inform                               </v>
      </c>
      <c r="C2195" s="82">
        <f>IFERROR(__xludf.DUMMYFUNCTION("""COMPUTED_VALUE"""),5161.0)</f>
        <v>5161</v>
      </c>
      <c r="D2195" s="76" t="str">
        <f>IFERROR(__xludf.DUMMYFUNCTION("""COMPUTED_VALUE"""),"PREVIOUS ")</f>
        <v>PREVIOUS </v>
      </c>
      <c r="E2195" s="84">
        <f>IFERROR(__xludf.DUMMYFUNCTION("""COMPUTED_VALUE"""),46161.52847222222)</f>
        <v>46161.52847</v>
      </c>
      <c r="F2195" s="86">
        <f>IFERROR(__xludf.DUMMYFUNCTION("""COMPUTED_VALUE"""),46161.46411269676)</f>
        <v>46161.46411</v>
      </c>
      <c r="G2195" s="86" t="str">
        <f>IFERROR(__xludf.DUMMYFUNCTION("""COMPUTED_VALUE"""),"Done")</f>
        <v>Done</v>
      </c>
      <c r="H2195" s="88">
        <f>IFERROR(__xludf.DUMMYFUNCTION("""COMPUTED_VALUE"""),0.0)</f>
        <v>0</v>
      </c>
      <c r="I2195" s="90" t="str">
        <f>IFERROR(__xludf.DUMMYFUNCTION("""COMPUTED_VALUE"""),"EMP5009 Rup Kumar Mandal")</f>
        <v>EMP5009 Rup Kumar Mandal</v>
      </c>
      <c r="J2195" s="91"/>
    </row>
    <row r="2196">
      <c r="B2196" s="76" t="str">
        <f>IFERROR(__xludf.DUMMYFUNCTION("""COMPUTED_VALUE"""),"Upload file, cross check and inform                               ")</f>
        <v>Upload file, cross check and inform                               </v>
      </c>
      <c r="C2196" s="82">
        <f>IFERROR(__xludf.DUMMYFUNCTION("""COMPUTED_VALUE"""),5162.0)</f>
        <v>5162</v>
      </c>
      <c r="D2196" s="76" t="str">
        <f>IFERROR(__xludf.DUMMYFUNCTION("""COMPUTED_VALUE"""),"Marks Entry Report")</f>
        <v>Marks Entry Report</v>
      </c>
      <c r="E2196" s="84">
        <f>IFERROR(__xludf.DUMMYFUNCTION("""COMPUTED_VALUE"""),46162.45208333334)</f>
        <v>46162.45208</v>
      </c>
      <c r="F2196" s="86">
        <f>IFERROR(__xludf.DUMMYFUNCTION("""COMPUTED_VALUE"""),46160.62273956019)</f>
        <v>46160.62274</v>
      </c>
      <c r="G2196" s="86" t="str">
        <f>IFERROR(__xludf.DUMMYFUNCTION("""COMPUTED_VALUE"""),"Done")</f>
        <v>Done</v>
      </c>
      <c r="H2196" s="88">
        <f>IFERROR(__xludf.DUMMYFUNCTION("""COMPUTED_VALUE"""),0.0)</f>
        <v>0</v>
      </c>
      <c r="I2196" s="90" t="str">
        <f>IFERROR(__xludf.DUMMYFUNCTION("""COMPUTED_VALUE"""),"EMP0042 HULESHWAR KUMAR SAHU")</f>
        <v>EMP0042 HULESHWAR KUMAR SAHU</v>
      </c>
      <c r="J2196" s="91"/>
    </row>
    <row r="2197">
      <c r="B2197" s="76" t="str">
        <f>IFERROR(__xludf.DUMMYFUNCTION("""COMPUTED_VALUE"""),"Upload file, cross check and inform                               ")</f>
        <v>Upload file, cross check and inform                               </v>
      </c>
      <c r="C2197" s="82">
        <f>IFERROR(__xludf.DUMMYFUNCTION("""COMPUTED_VALUE"""),5163.0)</f>
        <v>5163</v>
      </c>
      <c r="D2197" s="76" t="str">
        <f>IFERROR(__xludf.DUMMYFUNCTION("""COMPUTED_VALUE"""),"Seat Allotment Paper List/DATE WISE SUBJECT LIST")</f>
        <v>Seat Allotment Paper List/DATE WISE SUBJECT LIST</v>
      </c>
      <c r="E2197" s="84">
        <f>IFERROR(__xludf.DUMMYFUNCTION("""COMPUTED_VALUE"""),46162.63611111111)</f>
        <v>46162.63611</v>
      </c>
      <c r="F2197" s="86">
        <f>IFERROR(__xludf.DUMMYFUNCTION("""COMPUTED_VALUE"""),46161.49402996528)</f>
        <v>46161.49403</v>
      </c>
      <c r="G2197" s="86" t="str">
        <f>IFERROR(__xludf.DUMMYFUNCTION("""COMPUTED_VALUE"""),"Done")</f>
        <v>Done</v>
      </c>
      <c r="H2197" s="88">
        <f>IFERROR(__xludf.DUMMYFUNCTION("""COMPUTED_VALUE"""),0.0)</f>
        <v>0</v>
      </c>
      <c r="I2197" s="90" t="str">
        <f>IFERROR(__xludf.DUMMYFUNCTION("""COMPUTED_VALUE"""),"EMP0042 HULESHWAR KUMAR SAHU")</f>
        <v>EMP0042 HULESHWAR KUMAR SAHU</v>
      </c>
      <c r="J2197" s="91"/>
    </row>
    <row r="2198">
      <c r="B2198" s="76" t="str">
        <f>IFERROR(__xludf.DUMMYFUNCTION("""COMPUTED_VALUE"""),"Upload file, cross check and inform                               ")</f>
        <v>Upload file, cross check and inform                               </v>
      </c>
      <c r="C2198" s="82">
        <f>IFERROR(__xludf.DUMMYFUNCTION("""COMPUTED_VALUE"""),5164.0)</f>
        <v>5164</v>
      </c>
      <c r="D2198" s="76" t="str">
        <f>IFERROR(__xludf.DUMMYFUNCTION("""COMPUTED_VALUE"""),"	DESK SLIP")</f>
        <v>	DESK SLIP</v>
      </c>
      <c r="E2198" s="84">
        <f>IFERROR(__xludf.DUMMYFUNCTION("""COMPUTED_VALUE"""),46162.63680555555)</f>
        <v>46162.63681</v>
      </c>
      <c r="F2198" s="86">
        <f>IFERROR(__xludf.DUMMYFUNCTION("""COMPUTED_VALUE"""),46160.81654523148)</f>
        <v>46160.81655</v>
      </c>
      <c r="G2198" s="86" t="str">
        <f>IFERROR(__xludf.DUMMYFUNCTION("""COMPUTED_VALUE"""),"Done")</f>
        <v>Done</v>
      </c>
      <c r="H2198" s="88">
        <f>IFERROR(__xludf.DUMMYFUNCTION("""COMPUTED_VALUE"""),0.0)</f>
        <v>0</v>
      </c>
      <c r="I2198" s="90" t="str">
        <f>IFERROR(__xludf.DUMMYFUNCTION("""COMPUTED_VALUE"""),"EMP0042 HULESHWAR KUMAR SAHU")</f>
        <v>EMP0042 HULESHWAR KUMAR SAHU</v>
      </c>
      <c r="J2198" s="91"/>
    </row>
    <row r="2199">
      <c r="B2199" s="76" t="str">
        <f>IFERROR(__xludf.DUMMYFUNCTION("""COMPUTED_VALUE"""),"Upload file, cross check and inform                               ")</f>
        <v>Upload file, cross check and inform                               </v>
      </c>
      <c r="C2199" s="82">
        <f>IFERROR(__xludf.DUMMYFUNCTION("""COMPUTED_VALUE"""),5165.0)</f>
        <v>5165</v>
      </c>
      <c r="D2199" s="76" t="str">
        <f>IFERROR(__xludf.DUMMYFUNCTION("""COMPUTED_VALUE"""),"Marks Sheet")</f>
        <v>Marks Sheet</v>
      </c>
      <c r="E2199" s="84">
        <f>IFERROR(__xludf.DUMMYFUNCTION("""COMPUTED_VALUE"""),46162.65347222222)</f>
        <v>46162.65347</v>
      </c>
      <c r="F2199" s="86">
        <f>IFERROR(__xludf.DUMMYFUNCTION("""COMPUTED_VALUE"""),46161.4944358912)</f>
        <v>46161.49444</v>
      </c>
      <c r="G2199" s="86" t="str">
        <f>IFERROR(__xludf.DUMMYFUNCTION("""COMPUTED_VALUE"""),"Done")</f>
        <v>Done</v>
      </c>
      <c r="H2199" s="88">
        <f>IFERROR(__xludf.DUMMYFUNCTION("""COMPUTED_VALUE"""),0.0)</f>
        <v>0</v>
      </c>
      <c r="I2199" s="90" t="str">
        <f>IFERROR(__xludf.DUMMYFUNCTION("""COMPUTED_VALUE"""),"EMP0042 HULESHWAR KUMAR SAHU")</f>
        <v>EMP0042 HULESHWAR KUMAR SAHU</v>
      </c>
      <c r="J2199" s="91"/>
    </row>
    <row r="2200">
      <c r="B2200" s="76" t="str">
        <f>IFERROR(__xludf.DUMMYFUNCTION("""COMPUTED_VALUE"""),"Upload file, cross check and inform                               ")</f>
        <v>Upload file, cross check and inform                               </v>
      </c>
      <c r="C2200" s="82">
        <f>IFERROR(__xludf.DUMMYFUNCTION("""COMPUTED_VALUE"""),5166.0)</f>
        <v>5166</v>
      </c>
      <c r="D2200" s="76" t="str">
        <f>IFERROR(__xludf.DUMMYFUNCTION("""COMPUTED_VALUE"""),"TR Report")</f>
        <v>TR Report</v>
      </c>
      <c r="E2200" s="84">
        <f>IFERROR(__xludf.DUMMYFUNCTION("""COMPUTED_VALUE"""),46162.78333333333)</f>
        <v>46162.78333</v>
      </c>
      <c r="F2200" s="86">
        <f>IFERROR(__xludf.DUMMYFUNCTION("""COMPUTED_VALUE"""),46162.653508379626)</f>
        <v>46162.65351</v>
      </c>
      <c r="G2200" s="86" t="str">
        <f>IFERROR(__xludf.DUMMYFUNCTION("""COMPUTED_VALUE"""),"Done")</f>
        <v>Done</v>
      </c>
      <c r="H2200" s="88">
        <f>IFERROR(__xludf.DUMMYFUNCTION("""COMPUTED_VALUE"""),0.0)</f>
        <v>0</v>
      </c>
      <c r="I2200" s="90" t="str">
        <f>IFERROR(__xludf.DUMMYFUNCTION("""COMPUTED_VALUE"""),"EMP0237 Swarnendu Chakraborty")</f>
        <v>EMP0237 Swarnendu Chakraborty</v>
      </c>
      <c r="J2200" s="91"/>
    </row>
    <row r="2201">
      <c r="B2201" s="76" t="str">
        <f>IFERROR(__xludf.DUMMYFUNCTION("""COMPUTED_VALUE"""),"Upload file, cross check and inform                               ")</f>
        <v>Upload file, cross check and inform                               </v>
      </c>
      <c r="C2201" s="82">
        <f>IFERROR(__xludf.DUMMYFUNCTION("""COMPUTED_VALUE"""),5167.0)</f>
        <v>5167</v>
      </c>
      <c r="D2201" s="76" t="str">
        <f>IFERROR(__xludf.DUMMYFUNCTION("""COMPUTED_VALUE"""),"TR")</f>
        <v>TR</v>
      </c>
      <c r="E2201" s="84">
        <f>IFERROR(__xludf.DUMMYFUNCTION("""COMPUTED_VALUE"""),46163.42083333334)</f>
        <v>46163.42083</v>
      </c>
      <c r="F2201" s="86">
        <f>IFERROR(__xludf.DUMMYFUNCTION("""COMPUTED_VALUE"""),46161.704668275466)</f>
        <v>46161.70467</v>
      </c>
      <c r="G2201" s="86" t="str">
        <f>IFERROR(__xludf.DUMMYFUNCTION("""COMPUTED_VALUE"""),"Done")</f>
        <v>Done</v>
      </c>
      <c r="H2201" s="88">
        <f>IFERROR(__xludf.DUMMYFUNCTION("""COMPUTED_VALUE"""),0.0)</f>
        <v>0</v>
      </c>
      <c r="I2201" s="90" t="str">
        <f>IFERROR(__xludf.DUMMYFUNCTION("""COMPUTED_VALUE"""),"EMP0042 HULESHWAR KUMAR SAHU")</f>
        <v>EMP0042 HULESHWAR KUMAR SAHU</v>
      </c>
      <c r="J2201" s="91"/>
    </row>
    <row r="2202">
      <c r="B2202" s="76" t="str">
        <f>IFERROR(__xludf.DUMMYFUNCTION("""COMPUTED_VALUE"""),"Upload file, cross check and inform                               ")</f>
        <v>Upload file, cross check and inform                               </v>
      </c>
      <c r="C2202" s="82">
        <f>IFERROR(__xludf.DUMMYFUNCTION("""COMPUTED_VALUE"""),5168.0)</f>
        <v>5168</v>
      </c>
      <c r="D2202" s="76" t="str">
        <f>IFERROR(__xludf.DUMMYFUNCTION("""COMPUTED_VALUE"""),"NEP UG TR COLLEGEWISE")</f>
        <v>NEP UG TR COLLEGEWISE</v>
      </c>
      <c r="E2202" s="84">
        <f>IFERROR(__xludf.DUMMYFUNCTION("""COMPUTED_VALUE"""),46163.43680555555)</f>
        <v>46163.43681</v>
      </c>
      <c r="F2202" s="86">
        <f>IFERROR(__xludf.DUMMYFUNCTION("""COMPUTED_VALUE"""),46163.43162525463)</f>
        <v>46163.43163</v>
      </c>
      <c r="G2202" s="86" t="str">
        <f>IFERROR(__xludf.DUMMYFUNCTION("""COMPUTED_VALUE"""),"Done")</f>
        <v>Done</v>
      </c>
      <c r="H2202" s="88">
        <f>IFERROR(__xludf.DUMMYFUNCTION("""COMPUTED_VALUE"""),0.0)</f>
        <v>0</v>
      </c>
      <c r="I2202" s="90" t="str">
        <f>IFERROR(__xludf.DUMMYFUNCTION("""COMPUTED_VALUE"""),"EMP0042 HULESHWAR KUMAR SAHU")</f>
        <v>EMP0042 HULESHWAR KUMAR SAHU</v>
      </c>
      <c r="J2202" s="91"/>
    </row>
    <row r="2203">
      <c r="B2203" s="76" t="str">
        <f>IFERROR(__xludf.DUMMYFUNCTION("""COMPUTED_VALUE"""),"Upload file, cross check and inform                               ")</f>
        <v>Upload file, cross check and inform                               </v>
      </c>
      <c r="C2203" s="82">
        <f>IFERROR(__xludf.DUMMYFUNCTION("""COMPUTED_VALUE"""),5169.0)</f>
        <v>5169</v>
      </c>
      <c r="D2203" s="76" t="str">
        <f>IFERROR(__xludf.DUMMYFUNCTION("""COMPUTED_VALUE"""),"Marks Sheet Old")</f>
        <v>Marks Sheet Old</v>
      </c>
      <c r="E2203" s="84">
        <f>IFERROR(__xludf.DUMMYFUNCTION("""COMPUTED_VALUE"""),46163.56736111111)</f>
        <v>46163.56736</v>
      </c>
      <c r="F2203" s="86">
        <f>IFERROR(__xludf.DUMMYFUNCTION("""COMPUTED_VALUE"""),46161.704690798615)</f>
        <v>46161.70469</v>
      </c>
      <c r="G2203" s="86" t="str">
        <f>IFERROR(__xludf.DUMMYFUNCTION("""COMPUTED_VALUE"""),"Done")</f>
        <v>Done</v>
      </c>
      <c r="H2203" s="88">
        <f>IFERROR(__xludf.DUMMYFUNCTION("""COMPUTED_VALUE"""),0.0)</f>
        <v>0</v>
      </c>
      <c r="I2203" s="90" t="str">
        <f>IFERROR(__xludf.DUMMYFUNCTION("""COMPUTED_VALUE"""),"EMP0042 HULESHWAR KUMAR SAHU")</f>
        <v>EMP0042 HULESHWAR KUMAR SAHU</v>
      </c>
      <c r="J2203" s="91"/>
    </row>
    <row r="2204">
      <c r="B2204" s="76" t="str">
        <f>IFERROR(__xludf.DUMMYFUNCTION("""COMPUTED_VALUE"""),"Upload file, cross check and inform                               ")</f>
        <v>Upload file, cross check and inform                               </v>
      </c>
      <c r="C2204" s="82">
        <f>IFERROR(__xludf.DUMMYFUNCTION("""COMPUTED_VALUE"""),5170.0)</f>
        <v>5170</v>
      </c>
      <c r="D2204" s="76" t="str">
        <f>IFERROR(__xludf.DUMMYFUNCTION("""COMPUTED_VALUE"""),"NEP M.A HISTRIY ADMIT CARD ERROR SOLVED ")</f>
        <v>NEP M.A HISTRIY ADMIT CARD ERROR SOLVED </v>
      </c>
      <c r="E2204" s="84">
        <f>IFERROR(__xludf.DUMMYFUNCTION("""COMPUTED_VALUE"""),46163.64583333333)</f>
        <v>46163.64583</v>
      </c>
      <c r="F2204" s="86">
        <f>IFERROR(__xludf.DUMMYFUNCTION("""COMPUTED_VALUE"""),46162.66984015047)</f>
        <v>46162.66984</v>
      </c>
      <c r="G2204" s="86" t="str">
        <f>IFERROR(__xludf.DUMMYFUNCTION("""COMPUTED_VALUE"""),"Done")</f>
        <v>Done</v>
      </c>
      <c r="H2204" s="88">
        <f>IFERROR(__xludf.DUMMYFUNCTION("""COMPUTED_VALUE"""),0.0)</f>
        <v>0</v>
      </c>
      <c r="I2204" s="90" t="str">
        <f>IFERROR(__xludf.DUMMYFUNCTION("""COMPUTED_VALUE"""),"EMP0042 HULESHWAR KUMAR SAHU")</f>
        <v>EMP0042 HULESHWAR KUMAR SAHU</v>
      </c>
      <c r="J2204" s="91"/>
    </row>
    <row r="2205">
      <c r="B2205" s="76" t="str">
        <f>IFERROR(__xludf.DUMMYFUNCTION("""COMPUTED_VALUE"""),"Upload file, cross check and inform                               ")</f>
        <v>Upload file, cross check and inform                               </v>
      </c>
      <c r="C2205" s="82">
        <f>IFERROR(__xludf.DUMMYFUNCTION("""COMPUTED_VALUE"""),5171.0)</f>
        <v>5171</v>
      </c>
      <c r="D2205" s="76" t="str">
        <f>IFERROR(__xludf.DUMMYFUNCTION("""COMPUTED_VALUE"""),"Multiple Report")</f>
        <v>Multiple Report</v>
      </c>
      <c r="E2205" s="84">
        <f>IFERROR(__xludf.DUMMYFUNCTION("""COMPUTED_VALUE"""),46164.61597222222)</f>
        <v>46164.61597</v>
      </c>
      <c r="F2205" s="86">
        <f>IFERROR(__xludf.DUMMYFUNCTION("""COMPUTED_VALUE"""),46163.70188458333)</f>
        <v>46163.70188</v>
      </c>
      <c r="G2205" s="86" t="str">
        <f>IFERROR(__xludf.DUMMYFUNCTION("""COMPUTED_VALUE"""),"Done")</f>
        <v>Done</v>
      </c>
      <c r="H2205" s="88">
        <f>IFERROR(__xludf.DUMMYFUNCTION("""COMPUTED_VALUE"""),0.0)</f>
        <v>0</v>
      </c>
      <c r="I2205" s="90" t="str">
        <f>IFERROR(__xludf.DUMMYFUNCTION("""COMPUTED_VALUE"""),"EMP5009 Rup Kumar Mandal")</f>
        <v>EMP5009 Rup Kumar Mandal</v>
      </c>
      <c r="J2205" s="91"/>
    </row>
    <row r="2206">
      <c r="B2206" s="76" t="str">
        <f>IFERROR(__xludf.DUMMYFUNCTION("""COMPUTED_VALUE"""),"Upload file, cross check and inform                               ")</f>
        <v>Upload file, cross check and inform                               </v>
      </c>
      <c r="C2206" s="82">
        <f>IFERROR(__xludf.DUMMYFUNCTION("""COMPUTED_VALUE"""),5172.0)</f>
        <v>5172</v>
      </c>
      <c r="D2206" s="76" t="str">
        <f>IFERROR(__xludf.DUMMYFUNCTION("""COMPUTED_VALUE"""),"ppr/pps report")</f>
        <v>ppr/pps report</v>
      </c>
      <c r="E2206" s="84">
        <f>IFERROR(__xludf.DUMMYFUNCTION("""COMPUTED_VALUE"""),46164.78125)</f>
        <v>46164.78125</v>
      </c>
      <c r="F2206" s="86">
        <f>IFERROR(__xludf.DUMMYFUNCTION("""COMPUTED_VALUE"""),46164.488660138886)</f>
        <v>46164.48866</v>
      </c>
      <c r="G2206" s="86" t="str">
        <f>IFERROR(__xludf.DUMMYFUNCTION("""COMPUTED_VALUE"""),"Done")</f>
        <v>Done</v>
      </c>
      <c r="H2206" s="88">
        <f>IFERROR(__xludf.DUMMYFUNCTION("""COMPUTED_VALUE"""),0.0)</f>
        <v>0</v>
      </c>
      <c r="I2206" s="90" t="str">
        <f>IFERROR(__xludf.DUMMYFUNCTION("""COMPUTED_VALUE"""),"EMP0237 Swarnendu Chakraborty")</f>
        <v>EMP0237 Swarnendu Chakraborty</v>
      </c>
      <c r="J2206" s="91"/>
    </row>
    <row r="2207">
      <c r="B2207" s="76" t="str">
        <f>IFERROR(__xludf.DUMMYFUNCTION("""COMPUTED_VALUE"""),"Upload file, cross check and inform                               ")</f>
        <v>Upload file, cross check and inform                               </v>
      </c>
      <c r="C2207" s="82">
        <f>IFERROR(__xludf.DUMMYFUNCTION("""COMPUTED_VALUE"""),5173.0)</f>
        <v>5173</v>
      </c>
      <c r="D2207" s="76" t="str">
        <f>IFERROR(__xludf.DUMMYFUNCTION("""COMPUTED_VALUE"""),"SMKV")</f>
        <v>SMKV</v>
      </c>
      <c r="E2207" s="84">
        <f>IFERROR(__xludf.DUMMYFUNCTION("""COMPUTED_VALUE"""),46165.429861111115)</f>
        <v>46165.42986</v>
      </c>
      <c r="F2207" s="86">
        <f>IFERROR(__xludf.DUMMYFUNCTION("""COMPUTED_VALUE"""),46163.65139806713)</f>
        <v>46163.6514</v>
      </c>
      <c r="G2207" s="86" t="str">
        <f>IFERROR(__xludf.DUMMYFUNCTION("""COMPUTED_VALUE"""),"Done")</f>
        <v>Done</v>
      </c>
      <c r="H2207" s="88">
        <f>IFERROR(__xludf.DUMMYFUNCTION("""COMPUTED_VALUE"""),0.0)</f>
        <v>0</v>
      </c>
      <c r="I2207" s="90" t="str">
        <f>IFERROR(__xludf.DUMMYFUNCTION("""COMPUTED_VALUE"""),"EMP0042 HULESHWAR KUMAR SAHU")</f>
        <v>EMP0042 HULESHWAR KUMAR SAHU</v>
      </c>
      <c r="J2207" s="91"/>
    </row>
    <row r="2208">
      <c r="B2208" s="76" t="str">
        <f>IFERROR(__xludf.DUMMYFUNCTION("""COMPUTED_VALUE"""),"Upload file, cross check and inform                               ")</f>
        <v>Upload file, cross check and inform                               </v>
      </c>
      <c r="C2208" s="82">
        <f>IFERROR(__xludf.DUMMYFUNCTION("""COMPUTED_VALUE"""),5174.0)</f>
        <v>5174</v>
      </c>
      <c r="D2208" s="76" t="str">
        <f>IFERROR(__xludf.DUMMYFUNCTION("""COMPUTED_VALUE"""),"Marks Sheet NEP")</f>
        <v>Marks Sheet NEP</v>
      </c>
      <c r="E2208" s="84">
        <f>IFERROR(__xludf.DUMMYFUNCTION("""COMPUTED_VALUE"""),46165.44305555556)</f>
        <v>46165.44306</v>
      </c>
      <c r="F2208" s="86">
        <f>IFERROR(__xludf.DUMMYFUNCTION("""COMPUTED_VALUE"""),46164.446637824076)</f>
        <v>46164.44664</v>
      </c>
      <c r="G2208" s="86" t="str">
        <f>IFERROR(__xludf.DUMMYFUNCTION("""COMPUTED_VALUE"""),"Done")</f>
        <v>Done</v>
      </c>
      <c r="H2208" s="88">
        <f>IFERROR(__xludf.DUMMYFUNCTION("""COMPUTED_VALUE"""),0.0)</f>
        <v>0</v>
      </c>
      <c r="I2208" s="90" t="str">
        <f>IFERROR(__xludf.DUMMYFUNCTION("""COMPUTED_VALUE"""),"EMP0042 HULESHWAR KUMAR SAHU")</f>
        <v>EMP0042 HULESHWAR KUMAR SAHU</v>
      </c>
      <c r="J2208" s="91"/>
    </row>
    <row r="2209">
      <c r="B2209" s="76" t="str">
        <f>IFERROR(__xludf.DUMMYFUNCTION("""COMPUTED_VALUE"""),"Upload file, cross check and inform                               ")</f>
        <v>Upload file, cross check and inform                               </v>
      </c>
      <c r="C2209" s="82">
        <f>IFERROR(__xludf.DUMMYFUNCTION("""COMPUTED_VALUE"""),5175.0)</f>
        <v>5175</v>
      </c>
      <c r="D2209" s="76" t="str">
        <f>IFERROR(__xludf.DUMMYFUNCTION("""COMPUTED_VALUE"""),"Marksheet")</f>
        <v>Marksheet</v>
      </c>
      <c r="E2209" s="84">
        <f>IFERROR(__xludf.DUMMYFUNCTION("""COMPUTED_VALUE"""),46165.45277777778)</f>
        <v>46165.45278</v>
      </c>
      <c r="F2209" s="86">
        <f>IFERROR(__xludf.DUMMYFUNCTION("""COMPUTED_VALUE"""),46164.4887362963)</f>
        <v>46164.48874</v>
      </c>
      <c r="G2209" s="86" t="str">
        <f>IFERROR(__xludf.DUMMYFUNCTION("""COMPUTED_VALUE"""),"Done")</f>
        <v>Done</v>
      </c>
      <c r="H2209" s="88">
        <f>IFERROR(__xludf.DUMMYFUNCTION("""COMPUTED_VALUE"""),0.0)</f>
        <v>0</v>
      </c>
      <c r="I2209" s="90" t="str">
        <f>IFERROR(__xludf.DUMMYFUNCTION("""COMPUTED_VALUE"""),"EMP0237 Swarnendu Chakraborty")</f>
        <v>EMP0237 Swarnendu Chakraborty</v>
      </c>
      <c r="J2209" s="91"/>
    </row>
    <row r="2210">
      <c r="B2210" s="76" t="str">
        <f>IFERROR(__xludf.DUMMYFUNCTION("""COMPUTED_VALUE"""),"Upload file, cross check and inform                               ")</f>
        <v>Upload file, cross check and inform                               </v>
      </c>
      <c r="C2210" s="82">
        <f>IFERROR(__xludf.DUMMYFUNCTION("""COMPUTED_VALUE"""),5176.0)</f>
        <v>5176</v>
      </c>
      <c r="D2210" s="76" t="str">
        <f>IFERROR(__xludf.DUMMYFUNCTION("""COMPUTED_VALUE"""),"Tr hosting ug nep tr ")</f>
        <v>Tr hosting ug nep tr </v>
      </c>
      <c r="E2210" s="84">
        <f>IFERROR(__xludf.DUMMYFUNCTION("""COMPUTED_VALUE"""),46165.45277777778)</f>
        <v>46165.45278</v>
      </c>
      <c r="F2210" s="86">
        <f>IFERROR(__xludf.DUMMYFUNCTION("""COMPUTED_VALUE"""),46163.65141716436)</f>
        <v>46163.65142</v>
      </c>
      <c r="G2210" s="86" t="str">
        <f>IFERROR(__xludf.DUMMYFUNCTION("""COMPUTED_VALUE"""),"Done")</f>
        <v>Done</v>
      </c>
      <c r="H2210" s="88">
        <f>IFERROR(__xludf.DUMMYFUNCTION("""COMPUTED_VALUE"""),0.0)</f>
        <v>0</v>
      </c>
      <c r="I2210" s="90" t="str">
        <f>IFERROR(__xludf.DUMMYFUNCTION("""COMPUTED_VALUE"""),"EMP0042 HULESHWAR KUMAR SAHU")</f>
        <v>EMP0042 HULESHWAR KUMAR SAHU</v>
      </c>
      <c r="J2210" s="91"/>
    </row>
    <row r="2211">
      <c r="B2211" s="76" t="str">
        <f>IFERROR(__xludf.DUMMYFUNCTION("""COMPUTED_VALUE"""),"Upload file, cross check and inform                               ")</f>
        <v>Upload file, cross check and inform                               </v>
      </c>
      <c r="C2211" s="82">
        <f>IFERROR(__xludf.DUMMYFUNCTION("""COMPUTED_VALUE"""),5177.0)</f>
        <v>5177</v>
      </c>
      <c r="D2211" s="76" t="str">
        <f>IFERROR(__xludf.DUMMYFUNCTION("""COMPUTED_VALUE"""),"ADMIT CARD")</f>
        <v>ADMIT CARD</v>
      </c>
      <c r="E2211" s="84">
        <f>IFERROR(__xludf.DUMMYFUNCTION("""COMPUTED_VALUE"""),46165.586805555555)</f>
        <v>46165.58681</v>
      </c>
      <c r="F2211" s="86">
        <f>IFERROR(__xludf.DUMMYFUNCTION("""COMPUTED_VALUE"""),46164.42407569445)</f>
        <v>46164.42408</v>
      </c>
      <c r="G2211" s="86" t="str">
        <f>IFERROR(__xludf.DUMMYFUNCTION("""COMPUTED_VALUE"""),"Done")</f>
        <v>Done</v>
      </c>
      <c r="H2211" s="88">
        <f>IFERROR(__xludf.DUMMYFUNCTION("""COMPUTED_VALUE"""),0.0)</f>
        <v>0</v>
      </c>
      <c r="I2211" s="90" t="str">
        <f>IFERROR(__xludf.DUMMYFUNCTION("""COMPUTED_VALUE"""),"EMP5009 Rup Kumar Mandal")</f>
        <v>EMP5009 Rup Kumar Mandal</v>
      </c>
      <c r="J2211" s="91"/>
    </row>
    <row r="2212">
      <c r="B2212" s="76" t="str">
        <f>IFERROR(__xludf.DUMMYFUNCTION("""COMPUTED_VALUE"""),"Upload file, cross check and inform                               ")</f>
        <v>Upload file, cross check and inform                               </v>
      </c>
      <c r="C2212" s="82">
        <f>IFERROR(__xludf.DUMMYFUNCTION("""COMPUTED_VALUE"""),5178.0)</f>
        <v>5178</v>
      </c>
      <c r="D2212" s="76" t="str">
        <f>IFERROR(__xludf.DUMMYFUNCTION("""COMPUTED_VALUE"""),"ADMIT CARD ROLL WISE")</f>
        <v>ADMIT CARD ROLL WISE</v>
      </c>
      <c r="E2212" s="84">
        <f>IFERROR(__xludf.DUMMYFUNCTION("""COMPUTED_VALUE"""),46165.58819444444)</f>
        <v>46165.58819</v>
      </c>
      <c r="F2212" s="86">
        <f>IFERROR(__xludf.DUMMYFUNCTION("""COMPUTED_VALUE"""),46164.42409100694)</f>
        <v>46164.42409</v>
      </c>
      <c r="G2212" s="86" t="str">
        <f>IFERROR(__xludf.DUMMYFUNCTION("""COMPUTED_VALUE"""),"Done")</f>
        <v>Done</v>
      </c>
      <c r="H2212" s="88">
        <f>IFERROR(__xludf.DUMMYFUNCTION("""COMPUTED_VALUE"""),0.0)</f>
        <v>0</v>
      </c>
      <c r="I2212" s="90" t="str">
        <f>IFERROR(__xludf.DUMMYFUNCTION("""COMPUTED_VALUE"""),"EMP5009 Rup Kumar Mandal")</f>
        <v>EMP5009 Rup Kumar Mandal</v>
      </c>
      <c r="J2212" s="91"/>
    </row>
    <row r="2213">
      <c r="B2213" s="76" t="str">
        <f>IFERROR(__xludf.DUMMYFUNCTION("""COMPUTED_VALUE"""),"Upload file, cross check and inform                               ")</f>
        <v>Upload file, cross check and inform                               </v>
      </c>
      <c r="C2213" s="82">
        <f>IFERROR(__xludf.DUMMYFUNCTION("""COMPUTED_VALUE"""),5179.0)</f>
        <v>5179</v>
      </c>
      <c r="D2213" s="76" t="str">
        <f>IFERROR(__xludf.DUMMYFUNCTION("""COMPUTED_VALUE"""),"Schedule IV")</f>
        <v>Schedule IV</v>
      </c>
      <c r="E2213" s="84">
        <f>IFERROR(__xludf.DUMMYFUNCTION("""COMPUTED_VALUE"""),46165.60833333334)</f>
        <v>46165.60833</v>
      </c>
      <c r="F2213" s="86">
        <f>IFERROR(__xludf.DUMMYFUNCTION("""COMPUTED_VALUE"""),46163.808476087965)</f>
        <v>46163.80848</v>
      </c>
      <c r="G2213" s="86" t="str">
        <f>IFERROR(__xludf.DUMMYFUNCTION("""COMPUTED_VALUE"""),"Done")</f>
        <v>Done</v>
      </c>
      <c r="H2213" s="88">
        <f>IFERROR(__xludf.DUMMYFUNCTION("""COMPUTED_VALUE"""),0.0)</f>
        <v>0</v>
      </c>
      <c r="I2213" s="90" t="str">
        <f>IFERROR(__xludf.DUMMYFUNCTION("""COMPUTED_VALUE"""),"EMP0042 HULESHWAR KUMAR SAHU")</f>
        <v>EMP0042 HULESHWAR KUMAR SAHU</v>
      </c>
      <c r="J2213" s="91"/>
    </row>
    <row r="2214">
      <c r="B2214" s="76" t="str">
        <f>IFERROR(__xludf.DUMMYFUNCTION("""COMPUTED_VALUE"""),"Upload file, cross check and inform                               ")</f>
        <v>Upload file, cross check and inform                               </v>
      </c>
      <c r="C2214" s="82">
        <f>IFERROR(__xludf.DUMMYFUNCTION("""COMPUTED_VALUE"""),5180.0)</f>
        <v>5180</v>
      </c>
      <c r="D2214" s="76" t="str">
        <f>IFERROR(__xludf.DUMMYFUNCTION("""COMPUTED_VALUE"""),"packet upload report.")</f>
        <v>packet upload report.</v>
      </c>
      <c r="E2214" s="84">
        <f>IFERROR(__xludf.DUMMYFUNCTION("""COMPUTED_VALUE"""),46165.65972222222)</f>
        <v>46165.65972</v>
      </c>
      <c r="F2214" s="86">
        <f>IFERROR(__xludf.DUMMYFUNCTION("""COMPUTED_VALUE"""),46164.42414809028)</f>
        <v>46164.42415</v>
      </c>
      <c r="G2214" s="86" t="str">
        <f>IFERROR(__xludf.DUMMYFUNCTION("""COMPUTED_VALUE"""),"Done")</f>
        <v>Done</v>
      </c>
      <c r="H2214" s="88">
        <f>IFERROR(__xludf.DUMMYFUNCTION("""COMPUTED_VALUE"""),0.0)</f>
        <v>0</v>
      </c>
      <c r="I2214" s="90" t="str">
        <f>IFERROR(__xludf.DUMMYFUNCTION("""COMPUTED_VALUE"""),"EMP5009 Rup Kumar Mandal")</f>
        <v>EMP5009 Rup Kumar Mandal</v>
      </c>
      <c r="J2214" s="91"/>
    </row>
    <row r="2215">
      <c r="B2215" s="76" t="str">
        <f>IFERROR(__xludf.DUMMYFUNCTION("""COMPUTED_VALUE"""),"Upload file, cross check and inform                               ")</f>
        <v>Upload file, cross check and inform                               </v>
      </c>
      <c r="C2215" s="82">
        <f>IFERROR(__xludf.DUMMYFUNCTION("""COMPUTED_VALUE"""),5181.0)</f>
        <v>5181</v>
      </c>
      <c r="D2215" s="76" t="str">
        <f>IFERROR(__xludf.DUMMYFUNCTION("""COMPUTED_VALUE"""),"M.COM HONS 6TH SEM NEW GRADING MARKSHEET ERROR SOLVED")</f>
        <v>M.COM HONS 6TH SEM NEW GRADING MARKSHEET ERROR SOLVED</v>
      </c>
      <c r="E2215" s="84">
        <f>IFERROR(__xludf.DUMMYFUNCTION("""COMPUTED_VALUE"""),46165.697222222225)</f>
        <v>46165.69722</v>
      </c>
      <c r="F2215" s="86">
        <f>IFERROR(__xludf.DUMMYFUNCTION("""COMPUTED_VALUE"""),46163.80849431713)</f>
        <v>46163.80849</v>
      </c>
      <c r="G2215" s="86" t="str">
        <f>IFERROR(__xludf.DUMMYFUNCTION("""COMPUTED_VALUE"""),"Done")</f>
        <v>Done</v>
      </c>
      <c r="H2215" s="88">
        <f>IFERROR(__xludf.DUMMYFUNCTION("""COMPUTED_VALUE"""),0.0)</f>
        <v>0</v>
      </c>
      <c r="I2215" s="90" t="str">
        <f>IFERROR(__xludf.DUMMYFUNCTION("""COMPUTED_VALUE"""),"EMP0042 HULESHWAR KUMAR SAHU")</f>
        <v>EMP0042 HULESHWAR KUMAR SAHU</v>
      </c>
      <c r="J2215" s="91"/>
    </row>
    <row r="2216">
      <c r="B2216" s="76" t="str">
        <f>IFERROR(__xludf.DUMMYFUNCTION("""COMPUTED_VALUE"""),"Upload file, cross check and inform                               ")</f>
        <v>Upload file, cross check and inform                               </v>
      </c>
      <c r="C2216" s="82">
        <f>IFERROR(__xludf.DUMMYFUNCTION("""COMPUTED_VALUE"""),5182.0)</f>
        <v>5182</v>
      </c>
      <c r="D2216" s="76" t="str">
        <f>IFERROR(__xludf.DUMMYFUNCTION("""COMPUTED_VALUE"""),"Marksheet")</f>
        <v>Marksheet</v>
      </c>
      <c r="E2216" s="84">
        <f>IFERROR(__xludf.DUMMYFUNCTION("""COMPUTED_VALUE"""),46167.527083333334)</f>
        <v>46167.52708</v>
      </c>
      <c r="F2216" s="86">
        <f>IFERROR(__xludf.DUMMYFUNCTION("""COMPUTED_VALUE"""),46167.4436255324)</f>
        <v>46167.44363</v>
      </c>
      <c r="G2216" s="86" t="str">
        <f>IFERROR(__xludf.DUMMYFUNCTION("""COMPUTED_VALUE"""),"Done")</f>
        <v>Done</v>
      </c>
      <c r="H2216" s="88">
        <f>IFERROR(__xludf.DUMMYFUNCTION("""COMPUTED_VALUE"""),0.0)</f>
        <v>0</v>
      </c>
      <c r="I2216" s="90" t="str">
        <f>IFERROR(__xludf.DUMMYFUNCTION("""COMPUTED_VALUE"""),"EMP0237 Swarnendu Chakraborty")</f>
        <v>EMP0237 Swarnendu Chakraborty</v>
      </c>
      <c r="J2216" s="91"/>
    </row>
    <row r="2217">
      <c r="B2217" s="76" t="str">
        <f>IFERROR(__xludf.DUMMYFUNCTION("""COMPUTED_VALUE"""),"Upload file, cross check and inform                               ")</f>
        <v>Upload file, cross check and inform                               </v>
      </c>
      <c r="C2217" s="82">
        <f>IFERROR(__xludf.DUMMYFUNCTION("""COMPUTED_VALUE"""),5183.0)</f>
        <v>5183</v>
      </c>
      <c r="D2217" s="76" t="str">
        <f>IFERROR(__xludf.DUMMYFUNCTION("""COMPUTED_VALUE"""),"	Grade Card (OTHERS)")</f>
        <v>	Grade Card (OTHERS)</v>
      </c>
      <c r="E2217" s="84">
        <f>IFERROR(__xludf.DUMMYFUNCTION("""COMPUTED_VALUE"""),46167.57430555555)</f>
        <v>46167.57431</v>
      </c>
      <c r="F2217" s="86">
        <f>IFERROR(__xludf.DUMMYFUNCTION("""COMPUTED_VALUE"""),46164.75610556713)</f>
        <v>46164.75611</v>
      </c>
      <c r="G2217" s="86" t="str">
        <f>IFERROR(__xludf.DUMMYFUNCTION("""COMPUTED_VALUE"""),"Done")</f>
        <v>Done</v>
      </c>
      <c r="H2217" s="88">
        <f>IFERROR(__xludf.DUMMYFUNCTION("""COMPUTED_VALUE"""),0.0)</f>
        <v>0</v>
      </c>
      <c r="I2217" s="90" t="str">
        <f>IFERROR(__xludf.DUMMYFUNCTION("""COMPUTED_VALUE"""),"EMP0042 HULESHWAR KUMAR SAHU")</f>
        <v>EMP0042 HULESHWAR KUMAR SAHU</v>
      </c>
      <c r="J2217" s="91"/>
    </row>
    <row r="2218">
      <c r="B2218" s="76" t="str">
        <f>IFERROR(__xludf.DUMMYFUNCTION("""COMPUTED_VALUE"""),"Upload file, cross check and inform                               ")</f>
        <v>Upload file, cross check and inform                               </v>
      </c>
      <c r="C2218" s="82">
        <f>IFERROR(__xludf.DUMMYFUNCTION("""COMPUTED_VALUE"""),5184.0)</f>
        <v>5184</v>
      </c>
      <c r="D2218" s="76" t="str">
        <f>IFERROR(__xludf.DUMMYFUNCTION("""COMPUTED_VALUE"""),"Lable")</f>
        <v>Lable</v>
      </c>
      <c r="E2218" s="84">
        <f>IFERROR(__xludf.DUMMYFUNCTION("""COMPUTED_VALUE"""),46167.600694444445)</f>
        <v>46167.60069</v>
      </c>
      <c r="F2218" s="86">
        <f>IFERROR(__xludf.DUMMYFUNCTION("""COMPUTED_VALUE"""),46165.46175820602)</f>
        <v>46165.46176</v>
      </c>
      <c r="G2218" s="86" t="str">
        <f>IFERROR(__xludf.DUMMYFUNCTION("""COMPUTED_VALUE"""),"Done")</f>
        <v>Done</v>
      </c>
      <c r="H2218" s="88">
        <f>IFERROR(__xludf.DUMMYFUNCTION("""COMPUTED_VALUE"""),0.0)</f>
        <v>0</v>
      </c>
      <c r="I2218" s="90" t="str">
        <f>IFERROR(__xludf.DUMMYFUNCTION("""COMPUTED_VALUE"""),"EMP5009 Rup Kumar Mandal")</f>
        <v>EMP5009 Rup Kumar Mandal</v>
      </c>
      <c r="J2218" s="91"/>
    </row>
    <row r="2219">
      <c r="B2219" s="76" t="str">
        <f>IFERROR(__xludf.DUMMYFUNCTION("""COMPUTED_VALUE"""),"Upload file, cross check and inform                               ")</f>
        <v>Upload file, cross check and inform                               </v>
      </c>
      <c r="C2219" s="82">
        <f>IFERROR(__xludf.DUMMYFUNCTION("""COMPUTED_VALUE"""),5185.0)</f>
        <v>5185</v>
      </c>
      <c r="D2219" s="76" t="str">
        <f>IFERROR(__xludf.DUMMYFUNCTION("""COMPUTED_VALUE"""),"Mark sheet")</f>
        <v>Mark sheet</v>
      </c>
      <c r="E2219" s="84">
        <f>IFERROR(__xludf.DUMMYFUNCTION("""COMPUTED_VALUE"""),46167.60208333333)</f>
        <v>46167.60208</v>
      </c>
      <c r="F2219" s="86">
        <f>IFERROR(__xludf.DUMMYFUNCTION("""COMPUTED_VALUE"""),46165.46175820602)</f>
        <v>46165.46176</v>
      </c>
      <c r="G2219" s="86" t="str">
        <f>IFERROR(__xludf.DUMMYFUNCTION("""COMPUTED_VALUE"""),"Done")</f>
        <v>Done</v>
      </c>
      <c r="H2219" s="88">
        <f>IFERROR(__xludf.DUMMYFUNCTION("""COMPUTED_VALUE"""),0.0)</f>
        <v>0</v>
      </c>
      <c r="I2219" s="90" t="str">
        <f>IFERROR(__xludf.DUMMYFUNCTION("""COMPUTED_VALUE"""),"EMP5009 Rup Kumar Mandal")</f>
        <v>EMP5009 Rup Kumar Mandal</v>
      </c>
      <c r="J2219" s="91"/>
    </row>
    <row r="2220">
      <c r="B2220" s="76" t="str">
        <f>IFERROR(__xludf.DUMMYFUNCTION("""COMPUTED_VALUE"""),"Upload file, cross check and inform                               ")</f>
        <v>Upload file, cross check and inform                               </v>
      </c>
      <c r="C2220" s="82">
        <f>IFERROR(__xludf.DUMMYFUNCTION("""COMPUTED_VALUE"""),5186.0)</f>
        <v>5186</v>
      </c>
      <c r="D2220" s="76" t="str">
        <f>IFERROR(__xludf.DUMMYFUNCTION("""COMPUTED_VALUE"""),"LABEL ")</f>
        <v>LABEL </v>
      </c>
      <c r="E2220" s="84">
        <f>IFERROR(__xludf.DUMMYFUNCTION("""COMPUTED_VALUE"""),46167.60277777778)</f>
        <v>46167.60278</v>
      </c>
      <c r="F2220" s="86">
        <f>IFERROR(__xludf.DUMMYFUNCTION("""COMPUTED_VALUE"""),46165.46175820602)</f>
        <v>46165.46176</v>
      </c>
      <c r="G2220" s="86" t="str">
        <f>IFERROR(__xludf.DUMMYFUNCTION("""COMPUTED_VALUE"""),"Done")</f>
        <v>Done</v>
      </c>
      <c r="H2220" s="88">
        <f>IFERROR(__xludf.DUMMYFUNCTION("""COMPUTED_VALUE"""),0.0)</f>
        <v>0</v>
      </c>
      <c r="I2220" s="90" t="str">
        <f>IFERROR(__xludf.DUMMYFUNCTION("""COMPUTED_VALUE"""),"EMP5009 Rup Kumar Mandal")</f>
        <v>EMP5009 Rup Kumar Mandal</v>
      </c>
      <c r="J2220" s="91"/>
    </row>
    <row r="2221">
      <c r="B2221" s="76" t="str">
        <f>IFERROR(__xludf.DUMMYFUNCTION("""COMPUTED_VALUE"""),"Upload file, cross check and inform                               ")</f>
        <v>Upload file, cross check and inform                               </v>
      </c>
      <c r="C2221" s="82">
        <f>IFERROR(__xludf.DUMMYFUNCTION("""COMPUTED_VALUE"""),5187.0)</f>
        <v>5187</v>
      </c>
      <c r="D2221" s="76" t="str">
        <f>IFERROR(__xludf.DUMMYFUNCTION("""COMPUTED_VALUE"""),"Attendance Register (DR-AR)")</f>
        <v>Attendance Register (DR-AR)</v>
      </c>
      <c r="E2221" s="84">
        <f>IFERROR(__xludf.DUMMYFUNCTION("""COMPUTED_VALUE"""),46167.572222222225)</f>
        <v>46167.57222</v>
      </c>
      <c r="F2221" s="86">
        <f>IFERROR(__xludf.DUMMYFUNCTION("""COMPUTED_VALUE"""),46165.46176623842)</f>
        <v>46165.46177</v>
      </c>
      <c r="G2221" s="86" t="str">
        <f>IFERROR(__xludf.DUMMYFUNCTION("""COMPUTED_VALUE"""),"Done")</f>
        <v>Done</v>
      </c>
      <c r="H2221" s="88">
        <f>IFERROR(__xludf.DUMMYFUNCTION("""COMPUTED_VALUE"""),0.0)</f>
        <v>0</v>
      </c>
      <c r="I2221" s="90" t="str">
        <f>IFERROR(__xludf.DUMMYFUNCTION("""COMPUTED_VALUE"""),"EMP5009 Rup Kumar Mandal")</f>
        <v>EMP5009 Rup Kumar Mandal</v>
      </c>
      <c r="J2221" s="91"/>
    </row>
    <row r="2222">
      <c r="B2222" s="76" t="str">
        <f>IFERROR(__xludf.DUMMYFUNCTION("""COMPUTED_VALUE"""),"Upload file, cross check and inform                               ")</f>
        <v>Upload file, cross check and inform                               </v>
      </c>
      <c r="C2222" s="82">
        <f>IFERROR(__xludf.DUMMYFUNCTION("""COMPUTED_VALUE"""),5188.0)</f>
        <v>5188</v>
      </c>
      <c r="D2222" s="76" t="str">
        <f>IFERROR(__xludf.DUMMYFUNCTION("""COMPUTED_VALUE"""),"Attendance Register (DR-AR)")</f>
        <v>Attendance Register (DR-AR)</v>
      </c>
      <c r="E2222" s="84">
        <f>IFERROR(__xludf.DUMMYFUNCTION("""COMPUTED_VALUE"""),46167.57430555555)</f>
        <v>46167.57431</v>
      </c>
      <c r="F2222" s="86">
        <f>IFERROR(__xludf.DUMMYFUNCTION("""COMPUTED_VALUE"""),46165.46176623842)</f>
        <v>46165.46177</v>
      </c>
      <c r="G2222" s="86" t="str">
        <f>IFERROR(__xludf.DUMMYFUNCTION("""COMPUTED_VALUE"""),"Done")</f>
        <v>Done</v>
      </c>
      <c r="H2222" s="88">
        <f>IFERROR(__xludf.DUMMYFUNCTION("""COMPUTED_VALUE"""),0.0)</f>
        <v>0</v>
      </c>
      <c r="I2222" s="90" t="str">
        <f>IFERROR(__xludf.DUMMYFUNCTION("""COMPUTED_VALUE"""),"EMP5009 Rup Kumar Mandal")</f>
        <v>EMP5009 Rup Kumar Mandal</v>
      </c>
      <c r="J2222" s="91"/>
    </row>
    <row r="2223">
      <c r="B2223" s="76" t="str">
        <f>IFERROR(__xludf.DUMMYFUNCTION("""COMPUTED_VALUE"""),"Upload file, cross check and inform                               ")</f>
        <v>Upload file, cross check and inform                               </v>
      </c>
      <c r="C2223" s="82">
        <f>IFERROR(__xludf.DUMMYFUNCTION("""COMPUTED_VALUE"""),5189.0)</f>
        <v>5189</v>
      </c>
      <c r="D2223" s="76" t="str">
        <f>IFERROR(__xludf.DUMMYFUNCTION("""COMPUTED_VALUE"""),"ADMIT")</f>
        <v>ADMIT</v>
      </c>
      <c r="E2223" s="84">
        <f>IFERROR(__xludf.DUMMYFUNCTION("""COMPUTED_VALUE"""),46167.57638888889)</f>
        <v>46167.57639</v>
      </c>
      <c r="F2223" s="86">
        <f>IFERROR(__xludf.DUMMYFUNCTION("""COMPUTED_VALUE"""),46165.46176623842)</f>
        <v>46165.46177</v>
      </c>
      <c r="G2223" s="86" t="str">
        <f>IFERROR(__xludf.DUMMYFUNCTION("""COMPUTED_VALUE"""),"Done")</f>
        <v>Done</v>
      </c>
      <c r="H2223" s="88">
        <f>IFERROR(__xludf.DUMMYFUNCTION("""COMPUTED_VALUE"""),0.0)</f>
        <v>0</v>
      </c>
      <c r="I2223" s="90" t="str">
        <f>IFERROR(__xludf.DUMMYFUNCTION("""COMPUTED_VALUE"""),"EMP5009 Rup Kumar Mandal")</f>
        <v>EMP5009 Rup Kumar Mandal</v>
      </c>
      <c r="J2223" s="91"/>
    </row>
    <row r="2224">
      <c r="B2224" s="76" t="str">
        <f>IFERROR(__xludf.DUMMYFUNCTION("""COMPUTED_VALUE"""),"Upload file, cross check and inform                               ")</f>
        <v>Upload file, cross check and inform                               </v>
      </c>
      <c r="C2224" s="82">
        <f>IFERROR(__xludf.DUMMYFUNCTION("""COMPUTED_VALUE"""),5190.0)</f>
        <v>5190</v>
      </c>
      <c r="D2224" s="76" t="str">
        <f>IFERROR(__xludf.DUMMYFUNCTION("""COMPUTED_VALUE"""),"Top sheet  before attendance sheet")</f>
        <v>Top sheet  before attendance sheet</v>
      </c>
      <c r="E2224" s="84">
        <f>IFERROR(__xludf.DUMMYFUNCTION("""COMPUTED_VALUE"""),46167.58333333333)</f>
        <v>46167.58333</v>
      </c>
      <c r="F2224" s="86">
        <f>IFERROR(__xludf.DUMMYFUNCTION("""COMPUTED_VALUE"""),46165.461774386575)</f>
        <v>46165.46177</v>
      </c>
      <c r="G2224" s="86" t="str">
        <f>IFERROR(__xludf.DUMMYFUNCTION("""COMPUTED_VALUE"""),"Done")</f>
        <v>Done</v>
      </c>
      <c r="H2224" s="88">
        <f>IFERROR(__xludf.DUMMYFUNCTION("""COMPUTED_VALUE"""),0.0)</f>
        <v>0</v>
      </c>
      <c r="I2224" s="90" t="str">
        <f>IFERROR(__xludf.DUMMYFUNCTION("""COMPUTED_VALUE"""),"EMP5009 Rup Kumar Mandal")</f>
        <v>EMP5009 Rup Kumar Mandal</v>
      </c>
      <c r="J2224" s="91"/>
    </row>
    <row r="2225">
      <c r="B2225" s="76" t="str">
        <f>IFERROR(__xludf.DUMMYFUNCTION("""COMPUTED_VALUE"""),"Upload file, cross check and inform                               ")</f>
        <v>Upload file, cross check and inform                               </v>
      </c>
      <c r="C2225" s="82">
        <f>IFERROR(__xludf.DUMMYFUNCTION("""COMPUTED_VALUE"""),5191.0)</f>
        <v>5191</v>
      </c>
      <c r="D2225" s="76" t="str">
        <f>IFERROR(__xludf.DUMMYFUNCTION("""COMPUTED_VALUE"""),"Top sheet  after attendance sheet")</f>
        <v>Top sheet  after attendance sheet</v>
      </c>
      <c r="E2225" s="84">
        <f>IFERROR(__xludf.DUMMYFUNCTION("""COMPUTED_VALUE"""),46167.58472222222)</f>
        <v>46167.58472</v>
      </c>
      <c r="F2225" s="86">
        <f>IFERROR(__xludf.DUMMYFUNCTION("""COMPUTED_VALUE"""),46165.461774386575)</f>
        <v>46165.46177</v>
      </c>
      <c r="G2225" s="86" t="str">
        <f>IFERROR(__xludf.DUMMYFUNCTION("""COMPUTED_VALUE"""),"Done")</f>
        <v>Done</v>
      </c>
      <c r="H2225" s="88">
        <f>IFERROR(__xludf.DUMMYFUNCTION("""COMPUTED_VALUE"""),0.0)</f>
        <v>0</v>
      </c>
      <c r="I2225" s="90" t="str">
        <f>IFERROR(__xludf.DUMMYFUNCTION("""COMPUTED_VALUE"""),"EMP5009 Rup Kumar Mandal")</f>
        <v>EMP5009 Rup Kumar Mandal</v>
      </c>
      <c r="J2225" s="91"/>
    </row>
    <row r="2226">
      <c r="B2226" s="76" t="str">
        <f>IFERROR(__xludf.DUMMYFUNCTION("""COMPUTED_VALUE"""),"Upload file, cross check and inform                               ")</f>
        <v>Upload file, cross check and inform                               </v>
      </c>
      <c r="C2226" s="82">
        <f>IFERROR(__xludf.DUMMYFUNCTION("""COMPUTED_VALUE"""),5192.0)</f>
        <v>5192</v>
      </c>
      <c r="D2226" s="76" t="str">
        <f>IFERROR(__xludf.DUMMYFUNCTION("""COMPUTED_VALUE"""),"LABLE")</f>
        <v>LABLE</v>
      </c>
      <c r="E2226" s="84">
        <f>IFERROR(__xludf.DUMMYFUNCTION("""COMPUTED_VALUE"""),46167.586111111115)</f>
        <v>46167.58611</v>
      </c>
      <c r="F2226" s="86">
        <f>IFERROR(__xludf.DUMMYFUNCTION("""COMPUTED_VALUE"""),46165.461782592596)</f>
        <v>46165.46178</v>
      </c>
      <c r="G2226" s="86" t="str">
        <f>IFERROR(__xludf.DUMMYFUNCTION("""COMPUTED_VALUE"""),"Done")</f>
        <v>Done</v>
      </c>
      <c r="H2226" s="88">
        <f>IFERROR(__xludf.DUMMYFUNCTION("""COMPUTED_VALUE"""),0.0)</f>
        <v>0</v>
      </c>
      <c r="I2226" s="90" t="str">
        <f>IFERROR(__xludf.DUMMYFUNCTION("""COMPUTED_VALUE"""),"EMP5009 Rup Kumar Mandal")</f>
        <v>EMP5009 Rup Kumar Mandal</v>
      </c>
      <c r="J2226" s="91"/>
    </row>
    <row r="2227">
      <c r="B2227" s="76" t="str">
        <f>IFERROR(__xludf.DUMMYFUNCTION("""COMPUTED_VALUE"""),"Upload file, cross check and inform                               ")</f>
        <v>Upload file, cross check and inform                               </v>
      </c>
      <c r="C2227" s="82">
        <f>IFERROR(__xludf.DUMMYFUNCTION("""COMPUTED_VALUE"""),5193.0)</f>
        <v>5193</v>
      </c>
      <c r="D2227" s="76" t="str">
        <f>IFERROR(__xludf.DUMMYFUNCTION("""COMPUTED_VALUE"""),"BBA sem III NEP W-25 Marksheet Correction ")</f>
        <v>BBA sem III NEP W-25 Marksheet Correction </v>
      </c>
      <c r="E2227" s="84">
        <f>IFERROR(__xludf.DUMMYFUNCTION("""COMPUTED_VALUE"""),46167.61041666666)</f>
        <v>46167.61042</v>
      </c>
      <c r="F2227" s="86">
        <f>IFERROR(__xludf.DUMMYFUNCTION("""COMPUTED_VALUE"""),46164.755556215285)</f>
        <v>46164.75556</v>
      </c>
      <c r="G2227" s="86" t="str">
        <f>IFERROR(__xludf.DUMMYFUNCTION("""COMPUTED_VALUE"""),"Done")</f>
        <v>Done</v>
      </c>
      <c r="H2227" s="88">
        <f>IFERROR(__xludf.DUMMYFUNCTION("""COMPUTED_VALUE"""),0.0)</f>
        <v>0</v>
      </c>
      <c r="I2227" s="90" t="str">
        <f>IFERROR(__xludf.DUMMYFUNCTION("""COMPUTED_VALUE"""),"EMP0042 HULESHWAR KUMAR SAHU")</f>
        <v>EMP0042 HULESHWAR KUMAR SAHU</v>
      </c>
      <c r="J2227" s="91"/>
    </row>
    <row r="2228">
      <c r="B2228" s="76" t="str">
        <f>IFERROR(__xludf.DUMMYFUNCTION("""COMPUTED_VALUE"""),"Upload file, cross check and inform                               ")</f>
        <v>Upload file, cross check and inform                               </v>
      </c>
      <c r="C2228" s="82">
        <f>IFERROR(__xludf.DUMMYFUNCTION("""COMPUTED_VALUE"""),5194.0)</f>
        <v>5194</v>
      </c>
      <c r="D2228" s="76" t="str">
        <f>IFERROR(__xludf.DUMMYFUNCTION("""COMPUTED_VALUE"""),"College summary")</f>
        <v>College summary</v>
      </c>
      <c r="E2228" s="84">
        <f>IFERROR(__xludf.DUMMYFUNCTION("""COMPUTED_VALUE"""),46167.61875)</f>
        <v>46167.61875</v>
      </c>
      <c r="F2228" s="86">
        <f>IFERROR(__xludf.DUMMYFUNCTION("""COMPUTED_VALUE"""),46167.429681388894)</f>
        <v>46167.42968</v>
      </c>
      <c r="G2228" s="86" t="str">
        <f>IFERROR(__xludf.DUMMYFUNCTION("""COMPUTED_VALUE"""),"Done")</f>
        <v>Done</v>
      </c>
      <c r="H2228" s="88">
        <f>IFERROR(__xludf.DUMMYFUNCTION("""COMPUTED_VALUE"""),0.0)</f>
        <v>0</v>
      </c>
      <c r="I2228" s="90" t="str">
        <f>IFERROR(__xludf.DUMMYFUNCTION("""COMPUTED_VALUE"""),"EMP5009 Rup Kumar Mandal")</f>
        <v>EMP5009 Rup Kumar Mandal</v>
      </c>
      <c r="J2228" s="91"/>
    </row>
    <row r="2229">
      <c r="B2229" s="76" t="str">
        <f>IFERROR(__xludf.DUMMYFUNCTION("""COMPUTED_VALUE"""),"Upload file, cross check and inform                               ")</f>
        <v>Upload file, cross check and inform                               </v>
      </c>
      <c r="C2229" s="82">
        <f>IFERROR(__xludf.DUMMYFUNCTION("""COMPUTED_VALUE"""),5195.0)</f>
        <v>5195</v>
      </c>
      <c r="D2229" s="76" t="str">
        <f>IFERROR(__xludf.DUMMYFUNCTION("""COMPUTED_VALUE"""),"RE-APPEAR")</f>
        <v>RE-APPEAR</v>
      </c>
      <c r="E2229" s="84">
        <f>IFERROR(__xludf.DUMMYFUNCTION("""COMPUTED_VALUE"""),46167.62708333333)</f>
        <v>46167.62708</v>
      </c>
      <c r="F2229" s="86">
        <f>IFERROR(__xludf.DUMMYFUNCTION("""COMPUTED_VALUE"""),46167.42970192129)</f>
        <v>46167.4297</v>
      </c>
      <c r="G2229" s="86" t="str">
        <f>IFERROR(__xludf.DUMMYFUNCTION("""COMPUTED_VALUE"""),"Done")</f>
        <v>Done</v>
      </c>
      <c r="H2229" s="88">
        <f>IFERROR(__xludf.DUMMYFUNCTION("""COMPUTED_VALUE"""),0.0)</f>
        <v>0</v>
      </c>
      <c r="I2229" s="90" t="str">
        <f>IFERROR(__xludf.DUMMYFUNCTION("""COMPUTED_VALUE"""),"EMP5009 Rup Kumar Mandal")</f>
        <v>EMP5009 Rup Kumar Mandal</v>
      </c>
      <c r="J2229" s="91"/>
    </row>
    <row r="2230">
      <c r="B2230" s="76" t="str">
        <f>IFERROR(__xludf.DUMMYFUNCTION("""COMPUTED_VALUE"""),"Upload file, cross check and inform                               ")</f>
        <v>Upload file, cross check and inform                               </v>
      </c>
      <c r="C2230" s="82">
        <f>IFERROR(__xludf.DUMMYFUNCTION("""COMPUTED_VALUE"""),5196.0)</f>
        <v>5196</v>
      </c>
      <c r="D2230" s="76" t="str">
        <f>IFERROR(__xludf.DUMMYFUNCTION("""COMPUTED_VALUE"""),"GRADE CARD OTHERS")</f>
        <v>GRADE CARD OTHERS</v>
      </c>
      <c r="E2230" s="84">
        <f>IFERROR(__xludf.DUMMYFUNCTION("""COMPUTED_VALUE"""),46167.70694444445)</f>
        <v>46167.70694</v>
      </c>
      <c r="F2230" s="86">
        <f>IFERROR(__xludf.DUMMYFUNCTION("""COMPUTED_VALUE"""),46165.46233693288)</f>
        <v>46165.46234</v>
      </c>
      <c r="G2230" s="86" t="str">
        <f>IFERROR(__xludf.DUMMYFUNCTION("""COMPUTED_VALUE"""),"Done")</f>
        <v>Done</v>
      </c>
      <c r="H2230" s="88">
        <f>IFERROR(__xludf.DUMMYFUNCTION("""COMPUTED_VALUE"""),0.0)</f>
        <v>0</v>
      </c>
      <c r="I2230" s="90" t="str">
        <f>IFERROR(__xludf.DUMMYFUNCTION("""COMPUTED_VALUE"""),"EMP0042 HULESHWAR KUMAR SAHU")</f>
        <v>EMP0042 HULESHWAR KUMAR SAHU</v>
      </c>
      <c r="J2230" s="91"/>
    </row>
    <row r="2231">
      <c r="B2231" s="76" t="str">
        <f>IFERROR(__xludf.DUMMYFUNCTION("""COMPUTED_VALUE"""),"Upload file, cross check and inform                               ")</f>
        <v>Upload file, cross check and inform                               </v>
      </c>
      <c r="C2231" s="82">
        <f>IFERROR(__xludf.DUMMYFUNCTION("""COMPUTED_VALUE"""),5197.0)</f>
        <v>5197</v>
      </c>
      <c r="D2231" s="76" t="str">
        <f>IFERROR(__xludf.DUMMYFUNCTION("""COMPUTED_VALUE"""),"Multiple Report ")</f>
        <v>Multiple Report </v>
      </c>
      <c r="E2231" s="84">
        <f>IFERROR(__xludf.DUMMYFUNCTION("""COMPUTED_VALUE"""),46168.62361111111)</f>
        <v>46168.62361</v>
      </c>
      <c r="F2231" s="86">
        <f>IFERROR(__xludf.DUMMYFUNCTION("""COMPUTED_VALUE"""),46165.684228680555)</f>
        <v>46165.68423</v>
      </c>
      <c r="G2231" s="86" t="str">
        <f>IFERROR(__xludf.DUMMYFUNCTION("""COMPUTED_VALUE"""),"Done")</f>
        <v>Done</v>
      </c>
      <c r="H2231" s="88">
        <f>IFERROR(__xludf.DUMMYFUNCTION("""COMPUTED_VALUE"""),0.0)</f>
        <v>0</v>
      </c>
      <c r="I2231" s="90" t="str">
        <f>IFERROR(__xludf.DUMMYFUNCTION("""COMPUTED_VALUE"""),"EMP0042 HULESHWAR KUMAR SAHU")</f>
        <v>EMP0042 HULESHWAR KUMAR SAHU</v>
      </c>
      <c r="J2231" s="91"/>
    </row>
    <row r="2232">
      <c r="B2232" s="76" t="str">
        <f>IFERROR(__xludf.DUMMYFUNCTION("""COMPUTED_VALUE"""),"Upload file, cross check and inform                               ")</f>
        <v>Upload file, cross check and inform                               </v>
      </c>
      <c r="C2232" s="82">
        <f>IFERROR(__xludf.DUMMYFUNCTION("""COMPUTED_VALUE"""),5198.0)</f>
        <v>5198</v>
      </c>
      <c r="D2232" s="76" t="str">
        <f>IFERROR(__xludf.DUMMYFUNCTION("""COMPUTED_VALUE"""),"TR NEP COLLEGE WISE")</f>
        <v>TR NEP COLLEGE WISE</v>
      </c>
      <c r="E2232" s="84">
        <f>IFERROR(__xludf.DUMMYFUNCTION("""COMPUTED_VALUE"""),46168.82638888889)</f>
        <v>46168.82639</v>
      </c>
      <c r="F2232" s="86">
        <f>IFERROR(__xludf.DUMMYFUNCTION("""COMPUTED_VALUE"""),46168.00888986111)</f>
        <v>46168.00889</v>
      </c>
      <c r="G2232" s="86" t="str">
        <f>IFERROR(__xludf.DUMMYFUNCTION("""COMPUTED_VALUE"""),"Done")</f>
        <v>Done</v>
      </c>
      <c r="H2232" s="88">
        <f>IFERROR(__xludf.DUMMYFUNCTION("""COMPUTED_VALUE"""),0.0)</f>
        <v>0</v>
      </c>
      <c r="I2232" s="90" t="str">
        <f>IFERROR(__xludf.DUMMYFUNCTION("""COMPUTED_VALUE"""),"EMP0042 HULESHWAR KUMAR SAHU")</f>
        <v>EMP0042 HULESHWAR KUMAR SAHU</v>
      </c>
      <c r="J2232" s="91"/>
    </row>
    <row r="2233">
      <c r="B2233" s="76" t="str">
        <f>IFERROR(__xludf.DUMMYFUNCTION("""COMPUTED_VALUE"""),"Upload file, cross check and inform                               ")</f>
        <v>Upload file, cross check and inform                               </v>
      </c>
      <c r="C2233" s="82">
        <f>IFERROR(__xludf.DUMMYFUNCTION("""COMPUTED_VALUE"""),5199.0)</f>
        <v>5199</v>
      </c>
      <c r="D2233" s="76" t="str">
        <f>IFERROR(__xludf.DUMMYFUNCTION("""COMPUTED_VALUE"""),"Transcript PG")</f>
        <v>Transcript PG</v>
      </c>
      <c r="E2233" s="84">
        <f>IFERROR(__xludf.DUMMYFUNCTION("""COMPUTED_VALUE"""),46169.60763888889)</f>
        <v>46169.60764</v>
      </c>
      <c r="F2233" s="86">
        <f>IFERROR(__xludf.DUMMYFUNCTION("""COMPUTED_VALUE"""),46169.56001527778)</f>
        <v>46169.56002</v>
      </c>
      <c r="G2233" s="86" t="str">
        <f>IFERROR(__xludf.DUMMYFUNCTION("""COMPUTED_VALUE"""),"Done")</f>
        <v>Done</v>
      </c>
      <c r="H2233" s="88">
        <f>IFERROR(__xludf.DUMMYFUNCTION("""COMPUTED_VALUE"""),0.0)</f>
        <v>0</v>
      </c>
      <c r="I2233" s="90" t="str">
        <f>IFERROR(__xludf.DUMMYFUNCTION("""COMPUTED_VALUE"""),"EMP0042 HULESHWAR KUMAR SAHU")</f>
        <v>EMP0042 HULESHWAR KUMAR SAHU</v>
      </c>
      <c r="J2233" s="91"/>
    </row>
    <row r="2234">
      <c r="B2234" s="76" t="str">
        <f>IFERROR(__xludf.DUMMYFUNCTION("""COMPUTED_VALUE"""),"Upload file, cross check and inform                               ")</f>
        <v>Upload file, cross check and inform                               </v>
      </c>
      <c r="C2234" s="82">
        <f>IFERROR(__xludf.DUMMYFUNCTION("""COMPUTED_VALUE"""),5200.0)</f>
        <v>5200</v>
      </c>
      <c r="D2234" s="76" t="str">
        <f>IFERROR(__xludf.DUMMYFUNCTION("""COMPUTED_VALUE"""),"P.G 4sem Attandance &amp; roll sheet correction Examination -2024 to Examination -2026")</f>
        <v>P.G 4sem Attandance &amp; roll sheet correction Examination -2024 to Examination -2026</v>
      </c>
      <c r="E2234" s="84">
        <f>IFERROR(__xludf.DUMMYFUNCTION("""COMPUTED_VALUE"""),46169.61666666667)</f>
        <v>46169.61667</v>
      </c>
      <c r="F2234" s="86">
        <f>IFERROR(__xludf.DUMMYFUNCTION("""COMPUTED_VALUE"""),46168.445895787045)</f>
        <v>46168.4459</v>
      </c>
      <c r="G2234" s="86" t="str">
        <f>IFERROR(__xludf.DUMMYFUNCTION("""COMPUTED_VALUE"""),"Done")</f>
        <v>Done</v>
      </c>
      <c r="H2234" s="88">
        <f>IFERROR(__xludf.DUMMYFUNCTION("""COMPUTED_VALUE"""),0.0)</f>
        <v>0</v>
      </c>
      <c r="I2234" s="90" t="str">
        <f>IFERROR(__xludf.DUMMYFUNCTION("""COMPUTED_VALUE"""),"EMP5009 Rup Kumar Mandal")</f>
        <v>EMP5009 Rup Kumar Mandal</v>
      </c>
      <c r="J2234" s="91"/>
    </row>
    <row r="2235">
      <c r="B2235" s="76" t="str">
        <f>IFERROR(__xludf.DUMMYFUNCTION("""COMPUTED_VALUE"""),"Upload file, cross check and inform                               ")</f>
        <v>Upload file, cross check and inform                               </v>
      </c>
      <c r="C2235" s="82">
        <f>IFERROR(__xludf.DUMMYFUNCTION("""COMPUTED_VALUE"""),5201.0)</f>
        <v>5201</v>
      </c>
      <c r="D2235" s="76" t="str">
        <f>IFERROR(__xludf.DUMMYFUNCTION("""COMPUTED_VALUE"""),"grade card")</f>
        <v>grade card</v>
      </c>
      <c r="E2235" s="84">
        <f>IFERROR(__xludf.DUMMYFUNCTION("""COMPUTED_VALUE"""),46169.62708333333)</f>
        <v>46169.62708</v>
      </c>
      <c r="F2235" s="86">
        <f>IFERROR(__xludf.DUMMYFUNCTION("""COMPUTED_VALUE"""),46168.44590208334)</f>
        <v>46168.4459</v>
      </c>
      <c r="G2235" s="86" t="str">
        <f>IFERROR(__xludf.DUMMYFUNCTION("""COMPUTED_VALUE"""),"Done")</f>
        <v>Done</v>
      </c>
      <c r="H2235" s="88">
        <f>IFERROR(__xludf.DUMMYFUNCTION("""COMPUTED_VALUE"""),0.0)</f>
        <v>0</v>
      </c>
      <c r="I2235" s="90" t="str">
        <f>IFERROR(__xludf.DUMMYFUNCTION("""COMPUTED_VALUE"""),"EMP5009 Rup Kumar Mandal")</f>
        <v>EMP5009 Rup Kumar Mandal</v>
      </c>
      <c r="J2235" s="91"/>
    </row>
    <row r="2236">
      <c r="B2236" s="76" t="str">
        <f>IFERROR(__xludf.DUMMYFUNCTION("""COMPUTED_VALUE"""),"Upload file, cross check and inform                               ")</f>
        <v>Upload file, cross check and inform                               </v>
      </c>
      <c r="C2236" s="82">
        <f>IFERROR(__xludf.DUMMYFUNCTION("""COMPUTED_VALUE"""),5202.0)</f>
        <v>5202</v>
      </c>
      <c r="D2236" s="76" t="str">
        <f>IFERROR(__xludf.DUMMYFUNCTION("""COMPUTED_VALUE"""),"grade card")</f>
        <v>grade card</v>
      </c>
      <c r="E2236" s="84">
        <f>IFERROR(__xludf.DUMMYFUNCTION("""COMPUTED_VALUE"""),46169.629166666666)</f>
        <v>46169.62917</v>
      </c>
      <c r="F2236" s="86">
        <f>IFERROR(__xludf.DUMMYFUNCTION("""COMPUTED_VALUE"""),46168.44590208334)</f>
        <v>46168.4459</v>
      </c>
      <c r="G2236" s="86" t="str">
        <f>IFERROR(__xludf.DUMMYFUNCTION("""COMPUTED_VALUE"""),"Done")</f>
        <v>Done</v>
      </c>
      <c r="H2236" s="88">
        <f>IFERROR(__xludf.DUMMYFUNCTION("""COMPUTED_VALUE"""),0.0)</f>
        <v>0</v>
      </c>
      <c r="I2236" s="90" t="str">
        <f>IFERROR(__xludf.DUMMYFUNCTION("""COMPUTED_VALUE"""),"EMP5009 Rup Kumar Mandal")</f>
        <v>EMP5009 Rup Kumar Mandal</v>
      </c>
      <c r="J2236" s="91"/>
    </row>
    <row r="2237">
      <c r="B2237" s="76" t="str">
        <f>IFERROR(__xludf.DUMMYFUNCTION("""COMPUTED_VALUE"""),"Upload file, cross check and inform                               ")</f>
        <v>Upload file, cross check and inform                               </v>
      </c>
      <c r="C2237" s="82">
        <f>IFERROR(__xludf.DUMMYFUNCTION("""COMPUTED_VALUE"""),5203.0)</f>
        <v>5203</v>
      </c>
      <c r="D2237" s="76" t="str">
        <f>IFERROR(__xludf.DUMMYFUNCTION("""COMPUTED_VALUE"""),"Admit Card (PG Section)")</f>
        <v>Admit Card (PG Section)</v>
      </c>
      <c r="E2237" s="84">
        <f>IFERROR(__xludf.DUMMYFUNCTION("""COMPUTED_VALUE"""),46169.63888888889)</f>
        <v>46169.63889</v>
      </c>
      <c r="F2237" s="86">
        <f>IFERROR(__xludf.DUMMYFUNCTION("""COMPUTED_VALUE"""),46168.44590896991)</f>
        <v>46168.44591</v>
      </c>
      <c r="G2237" s="86" t="str">
        <f>IFERROR(__xludf.DUMMYFUNCTION("""COMPUTED_VALUE"""),"Done")</f>
        <v>Done</v>
      </c>
      <c r="H2237" s="88">
        <f>IFERROR(__xludf.DUMMYFUNCTION("""COMPUTED_VALUE"""),0.0)</f>
        <v>0</v>
      </c>
      <c r="I2237" s="90" t="str">
        <f>IFERROR(__xludf.DUMMYFUNCTION("""COMPUTED_VALUE"""),"EMP5009 Rup Kumar Mandal")</f>
        <v>EMP5009 Rup Kumar Mandal</v>
      </c>
      <c r="J2237" s="91"/>
    </row>
    <row r="2238">
      <c r="B2238" s="76" t="str">
        <f>IFERROR(__xludf.DUMMYFUNCTION("""COMPUTED_VALUE"""),"Upload file, cross check and inform                               ")</f>
        <v>Upload file, cross check and inform                               </v>
      </c>
      <c r="C2238" s="82">
        <f>IFERROR(__xludf.DUMMYFUNCTION("""COMPUTED_VALUE"""),5204.0)</f>
        <v>5204</v>
      </c>
      <c r="D2238" s="76" t="str">
        <f>IFERROR(__xludf.DUMMYFUNCTION("""COMPUTED_VALUE"""),"5231")</f>
        <v>5231</v>
      </c>
      <c r="E2238" s="84">
        <f>IFERROR(__xludf.DUMMYFUNCTION("""COMPUTED_VALUE"""),46169.683333333334)</f>
        <v>46169.68333</v>
      </c>
      <c r="F2238" s="86">
        <f>IFERROR(__xludf.DUMMYFUNCTION("""COMPUTED_VALUE"""),46168.779944456015)</f>
        <v>46168.77994</v>
      </c>
      <c r="G2238" s="86" t="str">
        <f>IFERROR(__xludf.DUMMYFUNCTION("""COMPUTED_VALUE"""),"Done")</f>
        <v>Done</v>
      </c>
      <c r="H2238" s="88">
        <f>IFERROR(__xludf.DUMMYFUNCTION("""COMPUTED_VALUE"""),0.0)</f>
        <v>0</v>
      </c>
      <c r="I2238" s="90" t="str">
        <f>IFERROR(__xludf.DUMMYFUNCTION("""COMPUTED_VALUE"""),"EMP5009 Rup Kumar Mandal")</f>
        <v>EMP5009 Rup Kumar Mandal</v>
      </c>
      <c r="J2238" s="91"/>
    </row>
    <row r="2239">
      <c r="B2239" s="76" t="str">
        <f>IFERROR(__xludf.DUMMYFUNCTION("""COMPUTED_VALUE"""),"Upload file, cross check and inform                               ")</f>
        <v>Upload file, cross check and inform                               </v>
      </c>
      <c r="C2239" s="82">
        <f>IFERROR(__xludf.DUMMYFUNCTION("""COMPUTED_VALUE"""),5205.0)</f>
        <v>5205</v>
      </c>
      <c r="D2239" s="76" t="str">
        <f>IFERROR(__xludf.DUMMYFUNCTION("""COMPUTED_VALUE"""),"5190")</f>
        <v>5190</v>
      </c>
      <c r="E2239" s="84">
        <f>IFERROR(__xludf.DUMMYFUNCTION("""COMPUTED_VALUE"""),46169.68402777778)</f>
        <v>46169.68403</v>
      </c>
      <c r="F2239" s="86">
        <f>IFERROR(__xludf.DUMMYFUNCTION("""COMPUTED_VALUE"""),46169.445055138895)</f>
        <v>46169.44506</v>
      </c>
      <c r="G2239" s="86" t="str">
        <f>IFERROR(__xludf.DUMMYFUNCTION("""COMPUTED_VALUE"""),"Done")</f>
        <v>Done</v>
      </c>
      <c r="H2239" s="88">
        <f>IFERROR(__xludf.DUMMYFUNCTION("""COMPUTED_VALUE"""),0.0)</f>
        <v>0</v>
      </c>
      <c r="I2239" s="90" t="str">
        <f>IFERROR(__xludf.DUMMYFUNCTION("""COMPUTED_VALUE"""),"EMP5009 Rup Kumar Mandal")</f>
        <v>EMP5009 Rup Kumar Mandal</v>
      </c>
      <c r="J2239" s="91"/>
    </row>
    <row r="2240">
      <c r="B2240" s="76" t="str">
        <f>IFERROR(__xludf.DUMMYFUNCTION("""COMPUTED_VALUE"""),"Upload file, cross check and inform                               ")</f>
        <v>Upload file, cross check and inform                               </v>
      </c>
      <c r="C2240" s="82">
        <f>IFERROR(__xludf.DUMMYFUNCTION("""COMPUTED_VALUE"""),5206.0)</f>
        <v>5206</v>
      </c>
      <c r="D2240" s="76" t="str">
        <f>IFERROR(__xludf.DUMMYFUNCTION("""COMPUTED_VALUE"""),"5189")</f>
        <v>5189</v>
      </c>
      <c r="E2240" s="84">
        <f>IFERROR(__xludf.DUMMYFUNCTION("""COMPUTED_VALUE"""),46169.68541666667)</f>
        <v>46169.68542</v>
      </c>
      <c r="F2240" s="86">
        <f>IFERROR(__xludf.DUMMYFUNCTION("""COMPUTED_VALUE"""),46168.77995559028)</f>
        <v>46168.77996</v>
      </c>
      <c r="G2240" s="86" t="str">
        <f>IFERROR(__xludf.DUMMYFUNCTION("""COMPUTED_VALUE"""),"Done")</f>
        <v>Done</v>
      </c>
      <c r="H2240" s="88">
        <f>IFERROR(__xludf.DUMMYFUNCTION("""COMPUTED_VALUE"""),0.0)</f>
        <v>0</v>
      </c>
      <c r="I2240" s="90" t="str">
        <f>IFERROR(__xludf.DUMMYFUNCTION("""COMPUTED_VALUE"""),"EMP5009 Rup Kumar Mandal")</f>
        <v>EMP5009 Rup Kumar Mandal</v>
      </c>
      <c r="J2240" s="91"/>
    </row>
    <row r="2241">
      <c r="B2241" s="76" t="str">
        <f>IFERROR(__xludf.DUMMYFUNCTION("""COMPUTED_VALUE"""),"Upload file, cross check and inform                               ")</f>
        <v>Upload file, cross check and inform                               </v>
      </c>
      <c r="C2241" s="82">
        <f>IFERROR(__xludf.DUMMYFUNCTION("""COMPUTED_VALUE"""),5207.0)</f>
        <v>5207</v>
      </c>
      <c r="D2241" s="76" t="str">
        <f>IFERROR(__xludf.DUMMYFUNCTION("""COMPUTED_VALUE"""),"Roll List (PG Section)")</f>
        <v>Roll List (PG Section)</v>
      </c>
      <c r="E2241" s="84">
        <f>IFERROR(__xludf.DUMMYFUNCTION("""COMPUTED_VALUE"""),46170.58263888889)</f>
        <v>46170.58264</v>
      </c>
      <c r="F2241" s="86">
        <f>IFERROR(__xludf.DUMMYFUNCTION("""COMPUTED_VALUE"""),46169.44506262731)</f>
        <v>46169.44506</v>
      </c>
      <c r="G2241" s="86" t="str">
        <f>IFERROR(__xludf.DUMMYFUNCTION("""COMPUTED_VALUE"""),"Done")</f>
        <v>Done</v>
      </c>
      <c r="H2241" s="88">
        <f>IFERROR(__xludf.DUMMYFUNCTION("""COMPUTED_VALUE"""),0.0)</f>
        <v>0</v>
      </c>
      <c r="I2241" s="90" t="str">
        <f>IFERROR(__xludf.DUMMYFUNCTION("""COMPUTED_VALUE"""),"EMP5009 Rup Kumar Mandal")</f>
        <v>EMP5009 Rup Kumar Mandal</v>
      </c>
      <c r="J2241" s="91"/>
    </row>
    <row r="2242">
      <c r="B2242" s="76" t="str">
        <f>IFERROR(__xludf.DUMMYFUNCTION("""COMPUTED_VALUE"""),"Upload file, cross check and inform                               ")</f>
        <v>Upload file, cross check and inform                               </v>
      </c>
      <c r="C2242" s="82">
        <f>IFERROR(__xludf.DUMMYFUNCTION("""COMPUTED_VALUE"""),5208.0)</f>
        <v>5208</v>
      </c>
      <c r="D2242" s="76" t="str">
        <f>IFERROR(__xludf.DUMMYFUNCTION("""COMPUTED_VALUE"""),"admit cad corretion")</f>
        <v>admit cad corretion</v>
      </c>
      <c r="E2242" s="84">
        <f>IFERROR(__xludf.DUMMYFUNCTION("""COMPUTED_VALUE"""),46170.82916666666)</f>
        <v>46170.82917</v>
      </c>
      <c r="F2242" s="86">
        <f>IFERROR(__xludf.DUMMYFUNCTION("""COMPUTED_VALUE"""),46170.67021181713)</f>
        <v>46170.67021</v>
      </c>
      <c r="G2242" s="86" t="str">
        <f>IFERROR(__xludf.DUMMYFUNCTION("""COMPUTED_VALUE"""),"Done")</f>
        <v>Done</v>
      </c>
      <c r="H2242" s="88">
        <f>IFERROR(__xludf.DUMMYFUNCTION("""COMPUTED_VALUE"""),0.0)</f>
        <v>0</v>
      </c>
      <c r="I2242" s="90" t="str">
        <f>IFERROR(__xludf.DUMMYFUNCTION("""COMPUTED_VALUE"""),"EMP0042 HULESHWAR KUMAR SAHU")</f>
        <v>EMP0042 HULESHWAR KUMAR SAHU</v>
      </c>
      <c r="J2242" s="91"/>
    </row>
    <row r="2243">
      <c r="B2243" s="76" t="str">
        <f>IFERROR(__xludf.DUMMYFUNCTION("""COMPUTED_VALUE"""),"Upload file, cross check and inform                               ")</f>
        <v>Upload file, cross check and inform                               </v>
      </c>
      <c r="C2243" s="82">
        <f>IFERROR(__xludf.DUMMYFUNCTION("""COMPUTED_VALUE"""),5209.0)</f>
        <v>5209</v>
      </c>
      <c r="D2243" s="76" t="str">
        <f>IFERROR(__xludf.DUMMYFUNCTION("""COMPUTED_VALUE"""),"attendance sheet")</f>
        <v>attendance sheet</v>
      </c>
      <c r="E2243" s="84">
        <f>IFERROR(__xludf.DUMMYFUNCTION("""COMPUTED_VALUE"""),46171.575694444444)</f>
        <v>46171.57569</v>
      </c>
      <c r="F2243" s="86">
        <f>IFERROR(__xludf.DUMMYFUNCTION("""COMPUTED_VALUE"""),46170.57615689815)</f>
        <v>46170.57616</v>
      </c>
      <c r="G2243" s="86" t="str">
        <f>IFERROR(__xludf.DUMMYFUNCTION("""COMPUTED_VALUE"""),"Done")</f>
        <v>Done</v>
      </c>
      <c r="H2243" s="88">
        <f>IFERROR(__xludf.DUMMYFUNCTION("""COMPUTED_VALUE"""),0.0)</f>
        <v>0</v>
      </c>
      <c r="I2243" s="90" t="str">
        <f>IFERROR(__xludf.DUMMYFUNCTION("""COMPUTED_VALUE"""),"EMP5009 Rup Kumar Mandal")</f>
        <v>EMP5009 Rup Kumar Mandal</v>
      </c>
      <c r="J2243" s="91"/>
    </row>
    <row r="2244">
      <c r="B2244" s="76" t="str">
        <f>IFERROR(__xludf.DUMMYFUNCTION("""COMPUTED_VALUE"""),"Upload file, cross check and inform                               ")</f>
        <v>Upload file, cross check and inform                               </v>
      </c>
      <c r="C2244" s="82">
        <f>IFERROR(__xludf.DUMMYFUNCTION("""COMPUTED_VALUE"""),5210.0)</f>
        <v>5210</v>
      </c>
      <c r="D2244" s="76" t="str">
        <f>IFERROR(__xludf.DUMMYFUNCTION("""COMPUTED_VALUE"""),"packet wise marks entry report")</f>
        <v>packet wise marks entry report</v>
      </c>
      <c r="E2244" s="84">
        <f>IFERROR(__xludf.DUMMYFUNCTION("""COMPUTED_VALUE"""),46171.631944444445)</f>
        <v>46171.63194</v>
      </c>
      <c r="F2244" s="86">
        <f>IFERROR(__xludf.DUMMYFUNCTION("""COMPUTED_VALUE"""),46169.76111846065)</f>
        <v>46169.76112</v>
      </c>
      <c r="G2244" s="86" t="str">
        <f>IFERROR(__xludf.DUMMYFUNCTION("""COMPUTED_VALUE"""),"Done")</f>
        <v>Done</v>
      </c>
      <c r="H2244" s="88">
        <f>IFERROR(__xludf.DUMMYFUNCTION("""COMPUTED_VALUE"""),0.0)</f>
        <v>0</v>
      </c>
      <c r="I2244" s="90" t="str">
        <f>IFERROR(__xludf.DUMMYFUNCTION("""COMPUTED_VALUE"""),"EMP0021 Tamanna Dewangan")</f>
        <v>EMP0021 Tamanna Dewangan</v>
      </c>
      <c r="J2244" s="91"/>
    </row>
    <row r="2245">
      <c r="B2245" s="76" t="str">
        <f>IFERROR(__xludf.DUMMYFUNCTION("""COMPUTED_VALUE"""),"Upload file, cross check and inform                               ")</f>
        <v>Upload file, cross check and inform                               </v>
      </c>
      <c r="C2245" s="82">
        <f>IFERROR(__xludf.DUMMYFUNCTION("""COMPUTED_VALUE"""),5211.0)</f>
        <v>5211</v>
      </c>
      <c r="D2245" s="76" t="str">
        <f>IFERROR(__xludf.DUMMYFUNCTION("""COMPUTED_VALUE"""),"TR")</f>
        <v>TR</v>
      </c>
      <c r="E2245" s="84">
        <f>IFERROR(__xludf.DUMMYFUNCTION("""COMPUTED_VALUE"""),46171.63333333333)</f>
        <v>46171.63333</v>
      </c>
      <c r="F2245" s="86">
        <f>IFERROR(__xludf.DUMMYFUNCTION("""COMPUTED_VALUE"""),46169.7952534838)</f>
        <v>46169.79525</v>
      </c>
      <c r="G2245" s="86" t="str">
        <f>IFERROR(__xludf.DUMMYFUNCTION("""COMPUTED_VALUE"""),"Done")</f>
        <v>Done</v>
      </c>
      <c r="H2245" s="88">
        <f>IFERROR(__xludf.DUMMYFUNCTION("""COMPUTED_VALUE"""),0.0)</f>
        <v>0</v>
      </c>
      <c r="I2245" s="90" t="str">
        <f>IFERROR(__xludf.DUMMYFUNCTION("""COMPUTED_VALUE"""),"EMP0042 HULESHWAR KUMAR SAHU")</f>
        <v>EMP0042 HULESHWAR KUMAR SAHU</v>
      </c>
      <c r="J2245" s="91"/>
    </row>
    <row r="2246">
      <c r="B2246" s="76" t="str">
        <f>IFERROR(__xludf.DUMMYFUNCTION("""COMPUTED_VALUE"""),"Upload file, cross check and inform                               ")</f>
        <v>Upload file, cross check and inform                               </v>
      </c>
      <c r="C2246" s="82">
        <f>IFERROR(__xludf.DUMMYFUNCTION("""COMPUTED_VALUE"""),5212.0)</f>
        <v>5212</v>
      </c>
      <c r="D2246" s="76" t="str">
        <f>IFERROR(__xludf.DUMMYFUNCTION("""COMPUTED_VALUE"""),"Examination Report")</f>
        <v>Examination Report</v>
      </c>
      <c r="E2246" s="84">
        <f>IFERROR(__xludf.DUMMYFUNCTION("""COMPUTED_VALUE"""),46172.43888888889)</f>
        <v>46172.43889</v>
      </c>
      <c r="F2246" s="86">
        <f>IFERROR(__xludf.DUMMYFUNCTION("""COMPUTED_VALUE"""),46170.67013951389)</f>
        <v>46170.67014</v>
      </c>
      <c r="G2246" s="86" t="str">
        <f>IFERROR(__xludf.DUMMYFUNCTION("""COMPUTED_VALUE"""),"Done")</f>
        <v>Done</v>
      </c>
      <c r="H2246" s="88">
        <f>IFERROR(__xludf.DUMMYFUNCTION("""COMPUTED_VALUE"""),0.0)</f>
        <v>0</v>
      </c>
      <c r="I2246" s="90" t="str">
        <f>IFERROR(__xludf.DUMMYFUNCTION("""COMPUTED_VALUE"""),"EMP0042 HULESHWAR KUMAR SAHU")</f>
        <v>EMP0042 HULESHWAR KUMAR SAHU</v>
      </c>
      <c r="J2246" s="91"/>
    </row>
    <row r="2247">
      <c r="B2247" s="76" t="str">
        <f>IFERROR(__xludf.DUMMYFUNCTION("""COMPUTED_VALUE"""),"Upload file, cross check and inform                               ")</f>
        <v>Upload file, cross check and inform                               </v>
      </c>
      <c r="C2247" s="82">
        <f>IFERROR(__xludf.DUMMYFUNCTION("""COMPUTED_VALUE"""),5213.0)</f>
        <v>5213</v>
      </c>
      <c r="D2247" s="76" t="str">
        <f>IFERROR(__xludf.DUMMYFUNCTION("""COMPUTED_VALUE"""),"Attestation Sheet")</f>
        <v>Attestation Sheet</v>
      </c>
      <c r="E2247" s="84">
        <f>IFERROR(__xludf.DUMMYFUNCTION("""COMPUTED_VALUE"""),46172.50208333333)</f>
        <v>46172.50208</v>
      </c>
      <c r="F2247" s="86">
        <f>IFERROR(__xludf.DUMMYFUNCTION("""COMPUTED_VALUE"""),46170.67013951389)</f>
        <v>46170.67014</v>
      </c>
      <c r="G2247" s="86" t="str">
        <f>IFERROR(__xludf.DUMMYFUNCTION("""COMPUTED_VALUE"""),"Done")</f>
        <v>Done</v>
      </c>
      <c r="H2247" s="88">
        <f>IFERROR(__xludf.DUMMYFUNCTION("""COMPUTED_VALUE"""),0.0)</f>
        <v>0</v>
      </c>
      <c r="I2247" s="90" t="str">
        <f>IFERROR(__xludf.DUMMYFUNCTION("""COMPUTED_VALUE"""),"EMP5009 Rup Kumar Mandal")</f>
        <v>EMP5009 Rup Kumar Mandal</v>
      </c>
      <c r="J2247" s="91"/>
    </row>
    <row r="2248">
      <c r="B2248" s="76" t="str">
        <f>IFERROR(__xludf.DUMMYFUNCTION("""COMPUTED_VALUE"""),"Upload file, cross check and inform                               ")</f>
        <v>Upload file, cross check and inform                               </v>
      </c>
      <c r="C2248" s="82">
        <f>IFERROR(__xludf.DUMMYFUNCTION("""COMPUTED_VALUE"""),5214.0)</f>
        <v>5214</v>
      </c>
      <c r="D2248" s="76" t="str">
        <f>IFERROR(__xludf.DUMMYFUNCTION("""COMPUTED_VALUE"""),"seating plan report")</f>
        <v>seating plan report</v>
      </c>
      <c r="E2248" s="84">
        <f>IFERROR(__xludf.DUMMYFUNCTION("""COMPUTED_VALUE"""),46172.50277777778)</f>
        <v>46172.50278</v>
      </c>
      <c r="F2248" s="86">
        <f>IFERROR(__xludf.DUMMYFUNCTION("""COMPUTED_VALUE"""),46172.46915538194)</f>
        <v>46172.46916</v>
      </c>
      <c r="G2248" s="86" t="str">
        <f>IFERROR(__xludf.DUMMYFUNCTION("""COMPUTED_VALUE"""),"Done")</f>
        <v>Done</v>
      </c>
      <c r="H2248" s="88">
        <f>IFERROR(__xludf.DUMMYFUNCTION("""COMPUTED_VALUE"""),0.0)</f>
        <v>0</v>
      </c>
      <c r="I2248" s="90" t="str">
        <f>IFERROR(__xludf.DUMMYFUNCTION("""COMPUTED_VALUE"""),"EMP5009 Rup Kumar Mandal")</f>
        <v>EMP5009 Rup Kumar Mandal</v>
      </c>
      <c r="J2248" s="91"/>
    </row>
    <row r="2249">
      <c r="B2249" s="76" t="str">
        <f>IFERROR(__xludf.DUMMYFUNCTION("""COMPUTED_VALUE"""),"Upload file, cross check and inform                               ")</f>
        <v>Upload file, cross check and inform                               </v>
      </c>
      <c r="C2249" s="82">
        <f>IFERROR(__xludf.DUMMYFUNCTION("""COMPUTED_VALUE"""),5215.0)</f>
        <v>5215</v>
      </c>
      <c r="D2249" s="76" t="str">
        <f>IFERROR(__xludf.DUMMYFUNCTION("""COMPUTED_VALUE"""),"admit card")</f>
        <v>admit card</v>
      </c>
      <c r="E2249" s="84">
        <f>IFERROR(__xludf.DUMMYFUNCTION("""COMPUTED_VALUE"""),46172.50347222222)</f>
        <v>46172.50347</v>
      </c>
      <c r="F2249" s="86">
        <f>IFERROR(__xludf.DUMMYFUNCTION("""COMPUTED_VALUE"""),46172.46917302083)</f>
        <v>46172.46917</v>
      </c>
      <c r="G2249" s="86" t="str">
        <f>IFERROR(__xludf.DUMMYFUNCTION("""COMPUTED_VALUE"""),"Done")</f>
        <v>Done</v>
      </c>
      <c r="H2249" s="88">
        <f>IFERROR(__xludf.DUMMYFUNCTION("""COMPUTED_VALUE"""),0.0)</f>
        <v>0</v>
      </c>
      <c r="I2249" s="90" t="str">
        <f>IFERROR(__xludf.DUMMYFUNCTION("""COMPUTED_VALUE"""),"EMP0021 Tamanna Dewangan")</f>
        <v>EMP0021 Tamanna Dewangan</v>
      </c>
      <c r="J2249" s="91"/>
    </row>
    <row r="2250">
      <c r="B2250" s="76" t="str">
        <f>IFERROR(__xludf.DUMMYFUNCTION("""COMPUTED_VALUE"""),"Upload file, cross check and inform                               ")</f>
        <v>Upload file, cross check and inform                               </v>
      </c>
      <c r="C2250" s="82">
        <f>IFERROR(__xludf.DUMMYFUNCTION("""COMPUTED_VALUE"""),5216.0)</f>
        <v>5216</v>
      </c>
      <c r="D2250" s="76" t="str">
        <f>IFERROR(__xludf.DUMMYFUNCTION("""COMPUTED_VALUE"""),"Table Sticker")</f>
        <v>Table Sticker</v>
      </c>
      <c r="E2250" s="84">
        <f>IFERROR(__xludf.DUMMYFUNCTION("""COMPUTED_VALUE"""),46172.575694444444)</f>
        <v>46172.57569</v>
      </c>
      <c r="F2250" s="86">
        <f>IFERROR(__xludf.DUMMYFUNCTION("""COMPUTED_VALUE"""),46171.66237039352)</f>
        <v>46171.66237</v>
      </c>
      <c r="G2250" s="86" t="str">
        <f>IFERROR(__xludf.DUMMYFUNCTION("""COMPUTED_VALUE"""),"Done")</f>
        <v>Done</v>
      </c>
      <c r="H2250" s="88">
        <f>IFERROR(__xludf.DUMMYFUNCTION("""COMPUTED_VALUE"""),0.0)</f>
        <v>0</v>
      </c>
      <c r="I2250" s="90" t="str">
        <f>IFERROR(__xludf.DUMMYFUNCTION("""COMPUTED_VALUE"""),"EMP0042 HULESHWAR KUMAR SAHU")</f>
        <v>EMP0042 HULESHWAR KUMAR SAHU</v>
      </c>
      <c r="J2250" s="91"/>
    </row>
    <row r="2251">
      <c r="B2251" s="76" t="str">
        <f>IFERROR(__xludf.DUMMYFUNCTION("""COMPUTED_VALUE"""),"Upload file, cross check and inform                               ")</f>
        <v>Upload file, cross check and inform                               </v>
      </c>
      <c r="C2251" s="82">
        <f>IFERROR(__xludf.DUMMYFUNCTION("""COMPUTED_VALUE"""),5217.0)</f>
        <v>5217</v>
      </c>
      <c r="D2251" s="76" t="str">
        <f>IFERROR(__xludf.DUMMYFUNCTION("""COMPUTED_VALUE"""),"DISPATCH_CHALLAN")</f>
        <v>DISPATCH_CHALLAN</v>
      </c>
      <c r="E2251" s="84">
        <f>IFERROR(__xludf.DUMMYFUNCTION("""COMPUTED_VALUE"""),46172.60763888889)</f>
        <v>46172.60764</v>
      </c>
      <c r="F2251" s="86">
        <f>IFERROR(__xludf.DUMMYFUNCTION("""COMPUTED_VALUE"""),46172.46919357639)</f>
        <v>46172.46919</v>
      </c>
      <c r="G2251" s="86" t="str">
        <f>IFERROR(__xludf.DUMMYFUNCTION("""COMPUTED_VALUE"""),"Done")</f>
        <v>Done</v>
      </c>
      <c r="H2251" s="88">
        <f>IFERROR(__xludf.DUMMYFUNCTION("""COMPUTED_VALUE"""),0.0)</f>
        <v>0</v>
      </c>
      <c r="I2251" s="90" t="str">
        <f>IFERROR(__xludf.DUMMYFUNCTION("""COMPUTED_VALUE"""),"EMP5009 Rup Kumar Mandal")</f>
        <v>EMP5009 Rup Kumar Mandal</v>
      </c>
      <c r="J2251" s="91"/>
    </row>
    <row r="2252">
      <c r="B2252" s="76" t="str">
        <f>IFERROR(__xludf.DUMMYFUNCTION("""COMPUTED_VALUE"""),"Upload file, cross check and inform                               ")</f>
        <v>Upload file, cross check and inform                               </v>
      </c>
      <c r="C2252" s="82">
        <f>IFERROR(__xludf.DUMMYFUNCTION("""COMPUTED_VALUE"""),5218.0)</f>
        <v>5218</v>
      </c>
      <c r="D2252" s="76" t="str">
        <f>IFERROR(__xludf.DUMMYFUNCTION("""COMPUTED_VALUE"""),"Top sheet after attendance entry")</f>
        <v>Top sheet after attendance entry</v>
      </c>
      <c r="E2252" s="84">
        <f>IFERROR(__xludf.DUMMYFUNCTION("""COMPUTED_VALUE"""),46172.61041666666)</f>
        <v>46172.61042</v>
      </c>
      <c r="F2252" s="86">
        <f>IFERROR(__xludf.DUMMYFUNCTION("""COMPUTED_VALUE"""),46172.46920887731)</f>
        <v>46172.46921</v>
      </c>
      <c r="G2252" s="86" t="str">
        <f>IFERROR(__xludf.DUMMYFUNCTION("""COMPUTED_VALUE"""),"Done")</f>
        <v>Done</v>
      </c>
      <c r="H2252" s="88">
        <f>IFERROR(__xludf.DUMMYFUNCTION("""COMPUTED_VALUE"""),0.0)</f>
        <v>0</v>
      </c>
      <c r="I2252" s="90" t="str">
        <f>IFERROR(__xludf.DUMMYFUNCTION("""COMPUTED_VALUE"""),"EMP5009 Rup Kumar Mandal")</f>
        <v>EMP5009 Rup Kumar Mandal</v>
      </c>
      <c r="J2252" s="91"/>
    </row>
    <row r="2253">
      <c r="B2253" s="76" t="str">
        <f>IFERROR(__xludf.DUMMYFUNCTION("""COMPUTED_VALUE"""),"Upload file, cross check and inform                               ")</f>
        <v>Upload file, cross check and inform                               </v>
      </c>
      <c r="C2253" s="82">
        <f>IFERROR(__xludf.DUMMYFUNCTION("""COMPUTED_VALUE"""),5219.0)</f>
        <v>5219</v>
      </c>
      <c r="D2253" s="76" t="str">
        <f>IFERROR(__xludf.DUMMYFUNCTION("""COMPUTED_VALUE"""),"Top sheet before attendance sheet")</f>
        <v>Top sheet before attendance sheet</v>
      </c>
      <c r="E2253" s="84">
        <f>IFERROR(__xludf.DUMMYFUNCTION("""COMPUTED_VALUE"""),46172.6125)</f>
        <v>46172.6125</v>
      </c>
      <c r="F2253" s="86">
        <f>IFERROR(__xludf.DUMMYFUNCTION("""COMPUTED_VALUE"""),46172.46920717592)</f>
        <v>46172.46921</v>
      </c>
      <c r="G2253" s="86" t="str">
        <f>IFERROR(__xludf.DUMMYFUNCTION("""COMPUTED_VALUE"""),"Done")</f>
        <v>Done</v>
      </c>
      <c r="H2253" s="88">
        <f>IFERROR(__xludf.DUMMYFUNCTION("""COMPUTED_VALUE"""),0.0)</f>
        <v>0</v>
      </c>
      <c r="I2253" s="90" t="str">
        <f>IFERROR(__xludf.DUMMYFUNCTION("""COMPUTED_VALUE"""),"EMP5009 Rup Kumar Mandal")</f>
        <v>EMP5009 Rup Kumar Mandal</v>
      </c>
      <c r="J2253" s="91"/>
    </row>
    <row r="2254">
      <c r="B2254" s="76" t="str">
        <f>IFERROR(__xludf.DUMMYFUNCTION("""COMPUTED_VALUE"""),"Upload file, cross check and inform                               ")</f>
        <v>Upload file, cross check and inform                               </v>
      </c>
      <c r="C2254" s="82">
        <f>IFERROR(__xludf.DUMMYFUNCTION("""COMPUTED_VALUE"""),5220.0)</f>
        <v>5220</v>
      </c>
      <c r="D2254" s="76" t="str">
        <f>IFERROR(__xludf.DUMMYFUNCTION("""COMPUTED_VALUE"""),"B.Pharm 4th Semester Examination 2025 (II), Medicinal Chemistry I – Practical ( BP406P ) students marks missing. Session - 2024-25 (S),")</f>
        <v>B.Pharm 4th Semester Examination 2025 (II), Medicinal Chemistry I – Practical ( BP406P ) students marks missing. Session - 2024-25 (S),</v>
      </c>
      <c r="E2254" s="84">
        <f>IFERROR(__xludf.DUMMYFUNCTION("""COMPUTED_VALUE"""),46172.691666666666)</f>
        <v>46172.69167</v>
      </c>
      <c r="F2254" s="86">
        <f>IFERROR(__xludf.DUMMYFUNCTION("""COMPUTED_VALUE"""),46172.46930376158)</f>
        <v>46172.4693</v>
      </c>
      <c r="G2254" s="86" t="str">
        <f>IFERROR(__xludf.DUMMYFUNCTION("""COMPUTED_VALUE"""),"Done")</f>
        <v>Done</v>
      </c>
      <c r="H2254" s="88">
        <f>IFERROR(__xludf.DUMMYFUNCTION("""COMPUTED_VALUE"""),0.0)</f>
        <v>0</v>
      </c>
      <c r="I2254" s="90" t="str">
        <f>IFERROR(__xludf.DUMMYFUNCTION("""COMPUTED_VALUE"""),"EMP0021 Tamanna Dewangan")</f>
        <v>EMP0021 Tamanna Dewangan</v>
      </c>
      <c r="J2254" s="91"/>
    </row>
    <row r="2255">
      <c r="B2255" s="76" t="str">
        <f>IFERROR(__xludf.DUMMYFUNCTION("""COMPUTED_VALUE"""),"Upload file, cross check and inform                               ")</f>
        <v>Upload file, cross check and inform                               </v>
      </c>
      <c r="C2255" s="82">
        <f>IFERROR(__xludf.DUMMYFUNCTION("""COMPUTED_VALUE"""),5221.0)</f>
        <v>5221</v>
      </c>
      <c r="D2255" s="76" t="str">
        <f>IFERROR(__xludf.DUMMYFUNCTION("""COMPUTED_VALUE"""),"TR REPORT NEP")</f>
        <v>TR REPORT NEP</v>
      </c>
      <c r="E2255" s="84">
        <f>IFERROR(__xludf.DUMMYFUNCTION("""COMPUTED_VALUE"""),46172.78611111111)</f>
        <v>46172.78611</v>
      </c>
      <c r="F2255" s="86">
        <f>IFERROR(__xludf.DUMMYFUNCTION("""COMPUTED_VALUE"""),46172.46949971065)</f>
        <v>46172.4695</v>
      </c>
      <c r="G2255" s="86" t="str">
        <f>IFERROR(__xludf.DUMMYFUNCTION("""COMPUTED_VALUE"""),"Done")</f>
        <v>Done</v>
      </c>
      <c r="H2255" s="88">
        <f>IFERROR(__xludf.DUMMYFUNCTION("""COMPUTED_VALUE"""),0.0)</f>
        <v>0</v>
      </c>
      <c r="I2255" s="90" t="str">
        <f>IFERROR(__xludf.DUMMYFUNCTION("""COMPUTED_VALUE"""),"EMP5009 Rup Kumar Mandal")</f>
        <v>EMP5009 Rup Kumar Mandal</v>
      </c>
      <c r="J2255" s="91"/>
    </row>
    <row r="2256">
      <c r="B2256" s="76" t="str">
        <f>IFERROR(__xludf.DUMMYFUNCTION("""COMPUTED_VALUE"""),"Upload file, cross check and inform                               ")</f>
        <v>Upload file, cross check and inform                               </v>
      </c>
      <c r="C2256" s="82">
        <f>IFERROR(__xludf.DUMMYFUNCTION("""COMPUTED_VALUE"""),5222.0)</f>
        <v>5222</v>
      </c>
      <c r="D2256" s="76" t="str">
        <f>IFERROR(__xludf.DUMMYFUNCTION("""COMPUTED_VALUE"""),"COLLAGE WISE COURSE WILSE FORM LIVE")</f>
        <v>COLLAGE WISE COURSE WILSE FORM LIVE</v>
      </c>
      <c r="E2256" s="84">
        <f>IFERROR(__xludf.DUMMYFUNCTION("""COMPUTED_VALUE"""),46172.8125)</f>
        <v>46172.8125</v>
      </c>
      <c r="F2256" s="86">
        <f>IFERROR(__xludf.DUMMYFUNCTION("""COMPUTED_VALUE"""),46172.469505497684)</f>
        <v>46172.46951</v>
      </c>
      <c r="G2256" s="86" t="str">
        <f>IFERROR(__xludf.DUMMYFUNCTION("""COMPUTED_VALUE"""),"Done")</f>
        <v>Done</v>
      </c>
      <c r="H2256" s="88">
        <f>IFERROR(__xludf.DUMMYFUNCTION("""COMPUTED_VALUE"""),0.0)</f>
        <v>0</v>
      </c>
      <c r="I2256" s="90" t="str">
        <f>IFERROR(__xludf.DUMMYFUNCTION("""COMPUTED_VALUE"""),"EMP5009 Rup Kumar Mandal")</f>
        <v>EMP5009 Rup Kumar Mandal</v>
      </c>
      <c r="J2256" s="91"/>
    </row>
    <row r="2257">
      <c r="B2257" s="76" t="str">
        <f>IFERROR(__xludf.DUMMYFUNCTION("""COMPUTED_VALUE"""),"Upload file, cross check and inform                               ")</f>
        <v>Upload file, cross check and inform                               </v>
      </c>
      <c r="C2257" s="82">
        <f>IFERROR(__xludf.DUMMYFUNCTION("""COMPUTED_VALUE"""),5223.0)</f>
        <v>5223</v>
      </c>
      <c r="D2257" s="76" t="str">
        <f>IFERROR(__xludf.DUMMYFUNCTION("""COMPUTED_VALUE"""),"CBCS EARN CREDIT REPORT")</f>
        <v>CBCS EARN CREDIT REPORT</v>
      </c>
      <c r="E2257" s="84">
        <f>IFERROR(__xludf.DUMMYFUNCTION("""COMPUTED_VALUE"""),46174.56736111111)</f>
        <v>46174.56736</v>
      </c>
      <c r="F2257" s="86">
        <f>IFERROR(__xludf.DUMMYFUNCTION("""COMPUTED_VALUE"""),46171.737166331026)</f>
        <v>46171.73717</v>
      </c>
      <c r="G2257" s="86" t="str">
        <f>IFERROR(__xludf.DUMMYFUNCTION("""COMPUTED_VALUE"""),"Done")</f>
        <v>Done</v>
      </c>
      <c r="H2257" s="88">
        <f>IFERROR(__xludf.DUMMYFUNCTION("""COMPUTED_VALUE"""),0.0)</f>
        <v>0</v>
      </c>
      <c r="I2257" s="90" t="str">
        <f>IFERROR(__xludf.DUMMYFUNCTION("""COMPUTED_VALUE"""),"EMP0042 HULESHWAR KUMAR SAHU")</f>
        <v>EMP0042 HULESHWAR KUMAR SAHU</v>
      </c>
      <c r="J2257" s="91"/>
    </row>
    <row r="2258">
      <c r="B2258" s="76" t="str">
        <f>IFERROR(__xludf.DUMMYFUNCTION("""COMPUTED_VALUE"""),"Upload file, cross check and inform                               ")</f>
        <v>Upload file, cross check and inform                               </v>
      </c>
      <c r="C2258" s="82">
        <f>IFERROR(__xludf.DUMMYFUNCTION("""COMPUTED_VALUE"""),5224.0)</f>
        <v>5224</v>
      </c>
      <c r="D2258" s="76" t="str">
        <f>IFERROR(__xludf.DUMMYFUNCTION("""COMPUTED_VALUE"""),"Bachelor of Pharmacy (LATERAL ENTRY) 7th sem. report generated problem.")</f>
        <v>Bachelor of Pharmacy (LATERAL ENTRY) 7th sem. report generated problem.</v>
      </c>
      <c r="E2258" s="84">
        <f>IFERROR(__xludf.DUMMYFUNCTION("""COMPUTED_VALUE"""),46174.5875)</f>
        <v>46174.5875</v>
      </c>
      <c r="F2258" s="86">
        <f>IFERROR(__xludf.DUMMYFUNCTION("""COMPUTED_VALUE"""),46174.53446759259)</f>
        <v>46174.53447</v>
      </c>
      <c r="G2258" s="86" t="str">
        <f>IFERROR(__xludf.DUMMYFUNCTION("""COMPUTED_VALUE"""),"Done")</f>
        <v>Done</v>
      </c>
      <c r="H2258" s="88">
        <f>IFERROR(__xludf.DUMMYFUNCTION("""COMPUTED_VALUE"""),0.0)</f>
        <v>0</v>
      </c>
      <c r="I2258" s="90" t="str">
        <f>IFERROR(__xludf.DUMMYFUNCTION("""COMPUTED_VALUE"""),"EMP5009 Rup Kumar Mandal")</f>
        <v>EMP5009 Rup Kumar Mandal</v>
      </c>
      <c r="J2258" s="91"/>
    </row>
    <row r="2259">
      <c r="B2259" s="76" t="str">
        <f>IFERROR(__xludf.DUMMYFUNCTION("""COMPUTED_VALUE"""),"Upload file, cross check and inform                               ")</f>
        <v>Upload file, cross check and inform                               </v>
      </c>
      <c r="C2259" s="82">
        <f>IFERROR(__xludf.DUMMYFUNCTION("""COMPUTED_VALUE"""),5225.0)</f>
        <v>5225</v>
      </c>
      <c r="D2259" s="76" t="str">
        <f>IFERROR(__xludf.DUMMYFUNCTION("""COMPUTED_VALUE"""),"Question Paper Packet slip Date Wise")</f>
        <v>Question Paper Packet slip Date Wise</v>
      </c>
      <c r="E2259" s="84">
        <f>IFERROR(__xludf.DUMMYFUNCTION("""COMPUTED_VALUE"""),46175.80625)</f>
        <v>46175.80625</v>
      </c>
      <c r="F2259" s="86">
        <f>IFERROR(__xludf.DUMMYFUNCTION("""COMPUTED_VALUE"""),46175.470826805555)</f>
        <v>46175.47083</v>
      </c>
      <c r="G2259" s="86" t="str">
        <f>IFERROR(__xludf.DUMMYFUNCTION("""COMPUTED_VALUE"""),"Done")</f>
        <v>Done</v>
      </c>
      <c r="H2259" s="88">
        <f>IFERROR(__xludf.DUMMYFUNCTION("""COMPUTED_VALUE"""),0.0)</f>
        <v>0</v>
      </c>
      <c r="I2259" s="90" t="str">
        <f>IFERROR(__xludf.DUMMYFUNCTION("""COMPUTED_VALUE"""),"EMP0237 Swarnendu Chakraborty")</f>
        <v>EMP0237 Swarnendu Chakraborty</v>
      </c>
      <c r="J2259" s="91"/>
    </row>
    <row r="2260">
      <c r="B2260" s="76" t="str">
        <f>IFERROR(__xludf.DUMMYFUNCTION("""COMPUTED_VALUE"""),"Upload file, cross check and inform                               ")</f>
        <v>Upload file, cross check and inform                               </v>
      </c>
      <c r="C2260" s="82">
        <f>IFERROR(__xludf.DUMMYFUNCTION("""COMPUTED_VALUE"""),5226.0)</f>
        <v>5226</v>
      </c>
      <c r="D2260" s="76" t="str">
        <f>IFERROR(__xludf.DUMMYFUNCTION("""COMPUTED_VALUE"""),"MULTIPLE REPORT")</f>
        <v>MULTIPLE REPORT</v>
      </c>
      <c r="E2260" s="84">
        <f>IFERROR(__xludf.DUMMYFUNCTION("""COMPUTED_VALUE"""),46175.82986111111)</f>
        <v>46175.82986</v>
      </c>
      <c r="F2260" s="86">
        <f>IFERROR(__xludf.DUMMYFUNCTION("""COMPUTED_VALUE"""),46175.66741340278)</f>
        <v>46175.66741</v>
      </c>
      <c r="G2260" s="86" t="str">
        <f>IFERROR(__xludf.DUMMYFUNCTION("""COMPUTED_VALUE"""),"Done")</f>
        <v>Done</v>
      </c>
      <c r="H2260" s="88">
        <f>IFERROR(__xludf.DUMMYFUNCTION("""COMPUTED_VALUE"""),0.0)</f>
        <v>0</v>
      </c>
      <c r="I2260" s="90" t="str">
        <f>IFERROR(__xludf.DUMMYFUNCTION("""COMPUTED_VALUE"""),"EMP0237 Swarnendu Chakraborty")</f>
        <v>EMP0237 Swarnendu Chakraborty</v>
      </c>
      <c r="J2260" s="91"/>
    </row>
    <row r="2261">
      <c r="B2261" s="76" t="str">
        <f>IFERROR(__xludf.DUMMYFUNCTION("""COMPUTED_VALUE"""),"Upload file, cross check and inform                               ")</f>
        <v>Upload file, cross check and inform                               </v>
      </c>
      <c r="C2261" s="82">
        <f>IFERROR(__xludf.DUMMYFUNCTION("""COMPUTED_VALUE"""),5227.0)</f>
        <v>5227</v>
      </c>
      <c r="D2261" s="76" t="str">
        <f>IFERROR(__xludf.DUMMYFUNCTION("""COMPUTED_VALUE"""),"B.COM 1ST SEM REAPPEAR  DATA NOT SHOWN IN TR")</f>
        <v>B.COM 1ST SEM REAPPEAR  DATA NOT SHOWN IN TR</v>
      </c>
      <c r="E2261" s="84">
        <f>IFERROR(__xludf.DUMMYFUNCTION("""COMPUTED_VALUE"""),46177.57986111111)</f>
        <v>46177.57986</v>
      </c>
      <c r="F2261" s="86">
        <f>IFERROR(__xludf.DUMMYFUNCTION("""COMPUTED_VALUE"""),46175.67698383102)</f>
        <v>46175.67698</v>
      </c>
      <c r="G2261" s="86" t="str">
        <f>IFERROR(__xludf.DUMMYFUNCTION("""COMPUTED_VALUE"""),"Done")</f>
        <v>Done</v>
      </c>
      <c r="H2261" s="88">
        <f>IFERROR(__xludf.DUMMYFUNCTION("""COMPUTED_VALUE"""),0.0)</f>
        <v>0</v>
      </c>
      <c r="I2261" s="90" t="str">
        <f>IFERROR(__xludf.DUMMYFUNCTION("""COMPUTED_VALUE"""),"EMP5009 Rup Kumar Mandal")</f>
        <v>EMP5009 Rup Kumar Mandal</v>
      </c>
      <c r="J2261" s="91"/>
    </row>
    <row r="2262">
      <c r="B2262" s="76" t="str">
        <f>IFERROR(__xludf.DUMMYFUNCTION("""COMPUTED_VALUE"""),"Upload file, cross check and inform                               ")</f>
        <v>Upload file, cross check and inform                               </v>
      </c>
      <c r="C2262" s="82">
        <f>IFERROR(__xludf.DUMMYFUNCTION("""COMPUTED_VALUE"""),5228.0)</f>
        <v>5228</v>
      </c>
      <c r="D2262" s="76" t="str">
        <f>IFERROR(__xludf.DUMMYFUNCTION("""COMPUTED_VALUE"""),"pattern status report.")</f>
        <v>pattern status report.</v>
      </c>
      <c r="E2262" s="84">
        <f>IFERROR(__xludf.DUMMYFUNCTION("""COMPUTED_VALUE"""),46177.57291666667)</f>
        <v>46177.57292</v>
      </c>
      <c r="F2262" s="86">
        <f>IFERROR(__xludf.DUMMYFUNCTION("""COMPUTED_VALUE"""),46176.54626105324)</f>
        <v>46176.54626</v>
      </c>
      <c r="G2262" s="86" t="str">
        <f>IFERROR(__xludf.DUMMYFUNCTION("""COMPUTED_VALUE"""),"Done")</f>
        <v>Done</v>
      </c>
      <c r="H2262" s="88">
        <f>IFERROR(__xludf.DUMMYFUNCTION("""COMPUTED_VALUE"""),0.0)</f>
        <v>0</v>
      </c>
      <c r="I2262" s="90" t="str">
        <f>IFERROR(__xludf.DUMMYFUNCTION("""COMPUTED_VALUE"""),"EMP5009 Rup Kumar Mandal")</f>
        <v>EMP5009 Rup Kumar Mandal</v>
      </c>
      <c r="J2262" s="91"/>
    </row>
    <row r="2263">
      <c r="B2263" s="76" t="str">
        <f>IFERROR(__xludf.DUMMYFUNCTION("""COMPUTED_VALUE"""),"Upload file, cross check and inform                               ")</f>
        <v>Upload file, cross check and inform                               </v>
      </c>
      <c r="C2263" s="82">
        <f>IFERROR(__xludf.DUMMYFUNCTION("""COMPUTED_VALUE"""),5229.0)</f>
        <v>5229</v>
      </c>
      <c r="D2263" s="76" t="str">
        <f>IFERROR(__xludf.DUMMYFUNCTION("""COMPUTED_VALUE"""),"correctuon in marksheet")</f>
        <v>correctuon in marksheet</v>
      </c>
      <c r="E2263" s="84">
        <f>IFERROR(__xludf.DUMMYFUNCTION("""COMPUTED_VALUE"""),46177.575694444444)</f>
        <v>46177.57569</v>
      </c>
      <c r="F2263" s="86">
        <f>IFERROR(__xludf.DUMMYFUNCTION("""COMPUTED_VALUE"""),46177.47150521991)</f>
        <v>46177.47151</v>
      </c>
      <c r="G2263" s="86" t="str">
        <f>IFERROR(__xludf.DUMMYFUNCTION("""COMPUTED_VALUE"""),"Done")</f>
        <v>Done</v>
      </c>
      <c r="H2263" s="88">
        <f>IFERROR(__xludf.DUMMYFUNCTION("""COMPUTED_VALUE"""),0.0)</f>
        <v>0</v>
      </c>
      <c r="I2263" s="90" t="str">
        <f>IFERROR(__xludf.DUMMYFUNCTION("""COMPUTED_VALUE"""),"EMP0237 Swarnendu Chakraborty")</f>
        <v>EMP0237 Swarnendu Chakraborty</v>
      </c>
      <c r="J2263" s="91"/>
    </row>
    <row r="2264">
      <c r="B2264" s="76" t="str">
        <f>IFERROR(__xludf.DUMMYFUNCTION("""COMPUTED_VALUE"""),"Upload file, cross check and inform                               ")</f>
        <v>Upload file, cross check and inform                               </v>
      </c>
      <c r="C2264" s="82">
        <f>IFERROR(__xludf.DUMMYFUNCTION("""COMPUTED_VALUE"""),5230.0)</f>
        <v>5230</v>
      </c>
      <c r="D2264" s="76" t="str">
        <f>IFERROR(__xludf.DUMMYFUNCTION("""COMPUTED_VALUE"""),"TR")</f>
        <v>TR</v>
      </c>
      <c r="E2264" s="84">
        <f>IFERROR(__xludf.DUMMYFUNCTION("""COMPUTED_VALUE"""),46177.81527777778)</f>
        <v>46177.81528</v>
      </c>
      <c r="F2264" s="86">
        <f>IFERROR(__xludf.DUMMYFUNCTION("""COMPUTED_VALUE"""),46177.68689777777)</f>
        <v>46177.6869</v>
      </c>
      <c r="G2264" s="86" t="str">
        <f>IFERROR(__xludf.DUMMYFUNCTION("""COMPUTED_VALUE"""),"Done")</f>
        <v>Done</v>
      </c>
      <c r="H2264" s="88">
        <f>IFERROR(__xludf.DUMMYFUNCTION("""COMPUTED_VALUE"""),0.0)</f>
        <v>0</v>
      </c>
      <c r="I2264" s="90" t="str">
        <f>IFERROR(__xludf.DUMMYFUNCTION("""COMPUTED_VALUE"""),"EMP0021 Tamanna Dewangan")</f>
        <v>EMP0021 Tamanna Dewangan</v>
      </c>
      <c r="J2264" s="91"/>
    </row>
    <row r="2265">
      <c r="B2265" s="76" t="str">
        <f>IFERROR(__xludf.DUMMYFUNCTION("""COMPUTED_VALUE"""),"Upload file, cross check and inform                               ")</f>
        <v>Upload file, cross check and inform                               </v>
      </c>
      <c r="C2265" s="82">
        <f>IFERROR(__xludf.DUMMYFUNCTION("""COMPUTED_VALUE"""),5231.0)</f>
        <v>5231</v>
      </c>
      <c r="D2265" s="76" t="str">
        <f>IFERROR(__xludf.DUMMYFUNCTION("""COMPUTED_VALUE"""),"ADMIT CARD")</f>
        <v>ADMIT CARD</v>
      </c>
      <c r="E2265" s="84">
        <f>IFERROR(__xludf.DUMMYFUNCTION("""COMPUTED_VALUE"""),46178.59652777778)</f>
        <v>46178.59653</v>
      </c>
      <c r="F2265" s="86">
        <f>IFERROR(__xludf.DUMMYFUNCTION("""COMPUTED_VALUE"""),46176.79600832176)</f>
        <v>46176.79601</v>
      </c>
      <c r="G2265" s="86" t="str">
        <f>IFERROR(__xludf.DUMMYFUNCTION("""COMPUTED_VALUE"""),"Done")</f>
        <v>Done</v>
      </c>
      <c r="H2265" s="88">
        <f>IFERROR(__xludf.DUMMYFUNCTION("""COMPUTED_VALUE"""),0.0)</f>
        <v>0</v>
      </c>
      <c r="I2265" s="90" t="str">
        <f>IFERROR(__xludf.DUMMYFUNCTION("""COMPUTED_VALUE"""),"EMP0042 HULESHWAR KUMAR SAHU")</f>
        <v>EMP0042 HULESHWAR KUMAR SAHU</v>
      </c>
      <c r="J2265" s="91"/>
    </row>
    <row r="2266">
      <c r="B2266" s="76" t="str">
        <f>IFERROR(__xludf.DUMMYFUNCTION("""COMPUTED_VALUE"""),"Upload file, cross check and inform                               ")</f>
        <v>Upload file, cross check and inform                               </v>
      </c>
      <c r="C2266" s="82">
        <f>IFERROR(__xludf.DUMMYFUNCTION("""COMPUTED_VALUE"""),5232.0)</f>
        <v>5232</v>
      </c>
      <c r="D2266" s="76" t="str">
        <f>IFERROR(__xludf.DUMMYFUNCTION("""COMPUTED_VALUE"""),"Marksheet Paramedical")</f>
        <v>Marksheet Paramedical</v>
      </c>
      <c r="E2266" s="84">
        <f>IFERROR(__xludf.DUMMYFUNCTION("""COMPUTED_VALUE"""),46178.59930555556)</f>
        <v>46178.59931</v>
      </c>
      <c r="F2266" s="86">
        <f>IFERROR(__xludf.DUMMYFUNCTION("""COMPUTED_VALUE"""),46176.796028159726)</f>
        <v>46176.79603</v>
      </c>
      <c r="G2266" s="86" t="str">
        <f>IFERROR(__xludf.DUMMYFUNCTION("""COMPUTED_VALUE"""),"Done")</f>
        <v>Done</v>
      </c>
      <c r="H2266" s="88">
        <f>IFERROR(__xludf.DUMMYFUNCTION("""COMPUTED_VALUE"""),0.0)</f>
        <v>0</v>
      </c>
      <c r="I2266" s="90" t="str">
        <f>IFERROR(__xludf.DUMMYFUNCTION("""COMPUTED_VALUE"""),"EMP0042 HULESHWAR KUMAR SAHU")</f>
        <v>EMP0042 HULESHWAR KUMAR SAHU</v>
      </c>
      <c r="J2266" s="91"/>
    </row>
    <row r="2267">
      <c r="B2267" s="76" t="str">
        <f>IFERROR(__xludf.DUMMYFUNCTION("""COMPUTED_VALUE"""),"Upload file, cross check and inform                               ")</f>
        <v>Upload file, cross check and inform                               </v>
      </c>
      <c r="C2267" s="82">
        <f>IFERROR(__xludf.DUMMYFUNCTION("""COMPUTED_VALUE"""),5233.0)</f>
        <v>5233</v>
      </c>
      <c r="D2267" s="76" t="str">
        <f>IFERROR(__xludf.DUMMYFUNCTION("""COMPUTED_VALUE"""),"GRADE CARD AGRICULTURE")</f>
        <v>GRADE CARD AGRICULTURE</v>
      </c>
      <c r="E2267" s="84">
        <f>IFERROR(__xludf.DUMMYFUNCTION("""COMPUTED_VALUE"""),46178.606944444444)</f>
        <v>46178.60694</v>
      </c>
      <c r="F2267" s="86">
        <f>IFERROR(__xludf.DUMMYFUNCTION("""COMPUTED_VALUE"""),46177.471690150465)</f>
        <v>46177.47169</v>
      </c>
      <c r="G2267" s="86" t="str">
        <f>IFERROR(__xludf.DUMMYFUNCTION("""COMPUTED_VALUE"""),"Done")</f>
        <v>Done</v>
      </c>
      <c r="H2267" s="88">
        <f>IFERROR(__xludf.DUMMYFUNCTION("""COMPUTED_VALUE"""),0.0)</f>
        <v>0</v>
      </c>
      <c r="I2267" s="90" t="str">
        <f>IFERROR(__xludf.DUMMYFUNCTION("""COMPUTED_VALUE"""),"EMP0237 Swarnendu Chakraborty")</f>
        <v>EMP0237 Swarnendu Chakraborty</v>
      </c>
      <c r="J2267" s="91"/>
    </row>
    <row r="2268">
      <c r="B2268" s="76" t="str">
        <f>IFERROR(__xludf.DUMMYFUNCTION("""COMPUTED_VALUE"""),"Upload file, cross check and inform                               ")</f>
        <v>Upload file, cross check and inform                               </v>
      </c>
      <c r="C2268" s="82">
        <f>IFERROR(__xludf.DUMMYFUNCTION("""COMPUTED_VALUE"""),5234.0)</f>
        <v>5234</v>
      </c>
      <c r="D2268" s="76" t="str">
        <f>IFERROR(__xludf.DUMMYFUNCTION("""COMPUTED_VALUE"""),"Continuous Assesment Marks (PG Section)")</f>
        <v>Continuous Assesment Marks (PG Section)</v>
      </c>
      <c r="E2268" s="84">
        <f>IFERROR(__xludf.DUMMYFUNCTION("""COMPUTED_VALUE"""),46179.570138888885)</f>
        <v>46179.57014</v>
      </c>
      <c r="F2268" s="86">
        <f>IFERROR(__xludf.DUMMYFUNCTION("""COMPUTED_VALUE"""),46178.556776018515)</f>
        <v>46178.55678</v>
      </c>
      <c r="G2268" s="86" t="str">
        <f>IFERROR(__xludf.DUMMYFUNCTION("""COMPUTED_VALUE"""),"Done")</f>
        <v>Done</v>
      </c>
      <c r="H2268" s="88">
        <f>IFERROR(__xludf.DUMMYFUNCTION("""COMPUTED_VALUE"""),0.0)</f>
        <v>0</v>
      </c>
      <c r="I2268" s="90" t="str">
        <f>IFERROR(__xludf.DUMMYFUNCTION("""COMPUTED_VALUE"""),"EMP0021 Tamanna Dewangan")</f>
        <v>EMP0021 Tamanna Dewangan</v>
      </c>
      <c r="J2268" s="91"/>
    </row>
    <row r="2269">
      <c r="B2269" s="76" t="str">
        <f>IFERROR(__xludf.DUMMYFUNCTION("""COMPUTED_VALUE"""),"Upload file, cross check and inform                               ")</f>
        <v>Upload file, cross check and inform                               </v>
      </c>
      <c r="C2269" s="82">
        <f>IFERROR(__xludf.DUMMYFUNCTION("""COMPUTED_VALUE"""),5235.0)</f>
        <v>5235</v>
      </c>
      <c r="D2269" s="76" t="str">
        <f>IFERROR(__xludf.DUMMYFUNCTION("""COMPUTED_VALUE"""),"Multiple Report ")</f>
        <v>Multiple Report </v>
      </c>
      <c r="E2269" s="84">
        <f>IFERROR(__xludf.DUMMYFUNCTION("""COMPUTED_VALUE"""),46179.79375)</f>
        <v>46179.79375</v>
      </c>
      <c r="F2269" s="86">
        <f>IFERROR(__xludf.DUMMYFUNCTION("""COMPUTED_VALUE"""),46179.6731158912)</f>
        <v>46179.67312</v>
      </c>
      <c r="G2269" s="86" t="str">
        <f>IFERROR(__xludf.DUMMYFUNCTION("""COMPUTED_VALUE"""),"Done")</f>
        <v>Done</v>
      </c>
      <c r="H2269" s="88">
        <f>IFERROR(__xludf.DUMMYFUNCTION("""COMPUTED_VALUE"""),0.0)</f>
        <v>0</v>
      </c>
      <c r="I2269" s="90" t="str">
        <f>IFERROR(__xludf.DUMMYFUNCTION("""COMPUTED_VALUE"""),"EMP0042 HULESHWAR KUMAR SAHU")</f>
        <v>EMP0042 HULESHWAR KUMAR SAHU</v>
      </c>
      <c r="J2269" s="91"/>
    </row>
    <row r="2270">
      <c r="B2270" s="76" t="str">
        <f>IFERROR(__xludf.DUMMYFUNCTION("""COMPUTED_VALUE"""),"Upload file, cross check and inform                               ")</f>
        <v>Upload file, cross check and inform                               </v>
      </c>
      <c r="C2270" s="82">
        <f>IFERROR(__xludf.DUMMYFUNCTION("""COMPUTED_VALUE"""),5236.0)</f>
        <v>5236</v>
      </c>
      <c r="D2270" s="76" t="str">
        <f>IFERROR(__xludf.DUMMYFUNCTION("""COMPUTED_VALUE"""),"DESPATCH CHALLAN")</f>
        <v>DESPATCH CHALLAN</v>
      </c>
      <c r="E2270" s="84">
        <f>IFERROR(__xludf.DUMMYFUNCTION("""COMPUTED_VALUE"""),46181.57708333334)</f>
        <v>46181.57708</v>
      </c>
      <c r="F2270" s="86">
        <f>IFERROR(__xludf.DUMMYFUNCTION("""COMPUTED_VALUE"""),46181.456159745365)</f>
        <v>46181.45616</v>
      </c>
      <c r="G2270" s="86" t="str">
        <f>IFERROR(__xludf.DUMMYFUNCTION("""COMPUTED_VALUE"""),"Done")</f>
        <v>Done</v>
      </c>
      <c r="H2270" s="88">
        <f>IFERROR(__xludf.DUMMYFUNCTION("""COMPUTED_VALUE"""),0.0)</f>
        <v>0</v>
      </c>
      <c r="I2270" s="90" t="str">
        <f>IFERROR(__xludf.DUMMYFUNCTION("""COMPUTED_VALUE"""),"EMP0021 Tamanna Dewangan")</f>
        <v>EMP0021 Tamanna Dewangan</v>
      </c>
      <c r="J2270" s="91"/>
    </row>
    <row r="2271">
      <c r="B2271" s="76" t="str">
        <f>IFERROR(__xludf.DUMMYFUNCTION("""COMPUTED_VALUE"""),"Upload file, cross check and inform                               ")</f>
        <v>Upload file, cross check and inform                               </v>
      </c>
      <c r="C2271" s="82">
        <f>IFERROR(__xludf.DUMMYFUNCTION("""COMPUTED_VALUE"""),5237.0)</f>
        <v>5237</v>
      </c>
      <c r="D2271" s="76" t="str">
        <f>IFERROR(__xludf.DUMMYFUNCTION("""COMPUTED_VALUE"""),"Top sheet after attendance entry ")</f>
        <v>Top sheet after attendance entry </v>
      </c>
      <c r="E2271" s="84">
        <f>IFERROR(__xludf.DUMMYFUNCTION("""COMPUTED_VALUE"""),46181.580555555556)</f>
        <v>46181.58056</v>
      </c>
      <c r="F2271" s="86">
        <f>IFERROR(__xludf.DUMMYFUNCTION("""COMPUTED_VALUE"""),46181.456108240745)</f>
        <v>46181.45611</v>
      </c>
      <c r="G2271" s="86" t="str">
        <f>IFERROR(__xludf.DUMMYFUNCTION("""COMPUTED_VALUE"""),"Done")</f>
        <v>Done</v>
      </c>
      <c r="H2271" s="88">
        <f>IFERROR(__xludf.DUMMYFUNCTION("""COMPUTED_VALUE"""),0.0)</f>
        <v>0</v>
      </c>
      <c r="I2271" s="90" t="str">
        <f>IFERROR(__xludf.DUMMYFUNCTION("""COMPUTED_VALUE"""),"EMP5009 Rup Kumar Mandal")</f>
        <v>EMP5009 Rup Kumar Mandal</v>
      </c>
      <c r="J2271" s="91"/>
    </row>
    <row r="2272">
      <c r="B2272" s="76" t="str">
        <f>IFERROR(__xludf.DUMMYFUNCTION("""COMPUTED_VALUE"""),"Upload file, cross check and inform                               ")</f>
        <v>Upload file, cross check and inform                               </v>
      </c>
      <c r="C2272" s="82">
        <f>IFERROR(__xludf.DUMMYFUNCTION("""COMPUTED_VALUE"""),5238.0)</f>
        <v>5238</v>
      </c>
      <c r="D2272" s="76" t="str">
        <f>IFERROR(__xludf.DUMMYFUNCTION("""COMPUTED_VALUE"""),"TR")</f>
        <v>TR</v>
      </c>
      <c r="E2272" s="84">
        <f>IFERROR(__xludf.DUMMYFUNCTION("""COMPUTED_VALUE"""),46182.57916666666)</f>
        <v>46182.57917</v>
      </c>
      <c r="F2272" s="86">
        <f>IFERROR(__xludf.DUMMYFUNCTION("""COMPUTED_VALUE"""),46181.45614226852)</f>
        <v>46181.45614</v>
      </c>
      <c r="G2272" s="86" t="str">
        <f>IFERROR(__xludf.DUMMYFUNCTION("""COMPUTED_VALUE"""),"Done")</f>
        <v>Done</v>
      </c>
      <c r="H2272" s="88">
        <f>IFERROR(__xludf.DUMMYFUNCTION("""COMPUTED_VALUE"""),0.0)</f>
        <v>0</v>
      </c>
      <c r="I2272" s="90" t="str">
        <f>IFERROR(__xludf.DUMMYFUNCTION("""COMPUTED_VALUE"""),"EMP5009 Rup Kumar Mandal")</f>
        <v>EMP5009 Rup Kumar Mandal</v>
      </c>
      <c r="J2272" s="91"/>
    </row>
    <row r="2273">
      <c r="B2273" s="76" t="str">
        <f>IFERROR(__xludf.DUMMYFUNCTION("""COMPUTED_VALUE"""),"Upload file, cross check and inform                               ")</f>
        <v>Upload file, cross check and inform                               </v>
      </c>
      <c r="C2273" s="82">
        <f>IFERROR(__xludf.DUMMYFUNCTION("""COMPUTED_VALUE"""),5239.0)</f>
        <v>5239</v>
      </c>
      <c r="D2273" s="76" t="str">
        <f>IFERROR(__xludf.DUMMYFUNCTION("""COMPUTED_VALUE"""),"TR NEW AGRICULTURE AND ALL")</f>
        <v>TR NEW AGRICULTURE AND ALL</v>
      </c>
      <c r="E2273" s="84">
        <f>IFERROR(__xludf.DUMMYFUNCTION("""COMPUTED_VALUE"""),46183.65625)</f>
        <v>46183.65625</v>
      </c>
      <c r="F2273" s="86">
        <f>IFERROR(__xludf.DUMMYFUNCTION("""COMPUTED_VALUE"""),46182.721270937494)</f>
        <v>46182.72127</v>
      </c>
      <c r="G2273" s="86" t="str">
        <f>IFERROR(__xludf.DUMMYFUNCTION("""COMPUTED_VALUE"""),"Done")</f>
        <v>Done</v>
      </c>
      <c r="H2273" s="88">
        <f>IFERROR(__xludf.DUMMYFUNCTION("""COMPUTED_VALUE"""),0.0)</f>
        <v>0</v>
      </c>
      <c r="I2273" s="90" t="str">
        <f>IFERROR(__xludf.DUMMYFUNCTION("""COMPUTED_VALUE"""),"EMP0042 HULESHWAR KUMAR SAHU")</f>
        <v>EMP0042 HULESHWAR KUMAR SAHU</v>
      </c>
      <c r="J2273" s="91"/>
    </row>
    <row r="2274">
      <c r="B2274" s="76" t="str">
        <f>IFERROR(__xludf.DUMMYFUNCTION("""COMPUTED_VALUE"""),"Upload file, cross check and inform                               ")</f>
        <v>Upload file, cross check and inform                               </v>
      </c>
      <c r="C2274" s="82">
        <f>IFERROR(__xludf.DUMMYFUNCTION("""COMPUTED_VALUE"""),5240.0)</f>
        <v>5240</v>
      </c>
      <c r="D2274" s="76" t="str">
        <f>IFERROR(__xludf.DUMMYFUNCTION("""COMPUTED_VALUE"""),"TR REPORT")</f>
        <v>TR REPORT</v>
      </c>
      <c r="E2274" s="84">
        <f>IFERROR(__xludf.DUMMYFUNCTION("""COMPUTED_VALUE"""),46183.64236111111)</f>
        <v>46183.64236</v>
      </c>
      <c r="F2274" s="86">
        <f>IFERROR(__xludf.DUMMYFUNCTION("""COMPUTED_VALUE"""),46182.468466238424)</f>
        <v>46182.46847</v>
      </c>
      <c r="G2274" s="86" t="str">
        <f>IFERROR(__xludf.DUMMYFUNCTION("""COMPUTED_VALUE"""),"Done")</f>
        <v>Done</v>
      </c>
      <c r="H2274" s="88">
        <f>IFERROR(__xludf.DUMMYFUNCTION("""COMPUTED_VALUE"""),0.0)</f>
        <v>0</v>
      </c>
      <c r="I2274" s="90" t="str">
        <f>IFERROR(__xludf.DUMMYFUNCTION("""COMPUTED_VALUE"""),"EMP0042 HULESHWAR KUMAR SAHU")</f>
        <v>EMP0042 HULESHWAR KUMAR SAHU</v>
      </c>
      <c r="J2274" s="91"/>
    </row>
    <row r="2275">
      <c r="B2275" s="76" t="str">
        <f>IFERROR(__xludf.DUMMYFUNCTION("""COMPUTED_VALUE"""),"Upload file, cross check and inform                               ")</f>
        <v>Upload file, cross check and inform                               </v>
      </c>
      <c r="C2275" s="82">
        <f>IFERROR(__xludf.DUMMYFUNCTION("""COMPUTED_VALUE"""),5241.0)</f>
        <v>5241</v>
      </c>
      <c r="D2275" s="76" t="str">
        <f>IFERROR(__xludf.DUMMYFUNCTION("""COMPUTED_VALUE"""),"5coltrsem8_bfa.")</f>
        <v>5coltrsem8_bfa.</v>
      </c>
      <c r="E2275" s="84">
        <f>IFERROR(__xludf.DUMMYFUNCTION("""COMPUTED_VALUE"""),46184.51041666667)</f>
        <v>46184.51042</v>
      </c>
      <c r="F2275" s="86">
        <f>IFERROR(__xludf.DUMMYFUNCTION("""COMPUTED_VALUE"""),46184.46471571759)</f>
        <v>46184.46472</v>
      </c>
      <c r="G2275" s="86" t="str">
        <f>IFERROR(__xludf.DUMMYFUNCTION("""COMPUTED_VALUE"""),"Done")</f>
        <v>Done</v>
      </c>
      <c r="H2275" s="88">
        <f>IFERROR(__xludf.DUMMYFUNCTION("""COMPUTED_VALUE"""),0.0)</f>
        <v>0</v>
      </c>
      <c r="I2275" s="90" t="str">
        <f>IFERROR(__xludf.DUMMYFUNCTION("""COMPUTED_VALUE"""),"EMP0021 Tamanna Dewangan")</f>
        <v>EMP0021 Tamanna Dewangan</v>
      </c>
      <c r="J2275" s="91"/>
    </row>
    <row r="2276">
      <c r="B2276" s="76" t="str">
        <f>IFERROR(__xludf.DUMMYFUNCTION("""COMPUTED_VALUE"""),"Upload file, cross check and inform                               ")</f>
        <v>Upload file, cross check and inform                               </v>
      </c>
      <c r="C2276" s="82">
        <f>IFERROR(__xludf.DUMMYFUNCTION("""COMPUTED_VALUE"""),5242.0)</f>
        <v>5242</v>
      </c>
      <c r="D2276" s="76" t="str">
        <f>IFERROR(__xludf.DUMMYFUNCTION("""COMPUTED_VALUE"""),"ATTENDENCE SHEET , MEMO REPORT , ADMIT CARD , CENTER WISE SUBJECT WISE STUDENTS DETALIS")</f>
        <v>ATTENDENCE SHEET , MEMO REPORT , ADMIT CARD , CENTER WISE SUBJECT WISE STUDENTS DETALIS</v>
      </c>
      <c r="E2276" s="84">
        <f>IFERROR(__xludf.DUMMYFUNCTION("""COMPUTED_VALUE"""),46184.57430555555)</f>
        <v>46184.57431</v>
      </c>
      <c r="F2276" s="86">
        <f>IFERROR(__xludf.DUMMYFUNCTION("""COMPUTED_VALUE"""),46182.74149842592)</f>
        <v>46182.7415</v>
      </c>
      <c r="G2276" s="86" t="str">
        <f>IFERROR(__xludf.DUMMYFUNCTION("""COMPUTED_VALUE"""),"Done")</f>
        <v>Done</v>
      </c>
      <c r="H2276" s="88">
        <f>IFERROR(__xludf.DUMMYFUNCTION("""COMPUTED_VALUE"""),0.0)</f>
        <v>0</v>
      </c>
      <c r="I2276" s="90" t="str">
        <f>IFERROR(__xludf.DUMMYFUNCTION("""COMPUTED_VALUE"""),"EMP0021 Tamanna Dewangan")</f>
        <v>EMP0021 Tamanna Dewangan</v>
      </c>
      <c r="J2276" s="91"/>
    </row>
    <row r="2277">
      <c r="B2277" s="76" t="str">
        <f>IFERROR(__xludf.DUMMYFUNCTION("""COMPUTED_VALUE"""),"Upload file, cross check and inform                               ")</f>
        <v>Upload file, cross check and inform                               </v>
      </c>
      <c r="C2277" s="82">
        <f>IFERROR(__xludf.DUMMYFUNCTION("""COMPUTED_VALUE"""),5243.0)</f>
        <v>5243</v>
      </c>
      <c r="D2277" s="76" t="str">
        <f>IFERROR(__xludf.DUMMYFUNCTION("""COMPUTED_VALUE"""),"GRADECARD10")</f>
        <v>GRADECARD10</v>
      </c>
      <c r="E2277" s="84">
        <f>IFERROR(__xludf.DUMMYFUNCTION("""COMPUTED_VALUE"""),46184.77013888889)</f>
        <v>46184.77014</v>
      </c>
      <c r="F2277" s="86">
        <f>IFERROR(__xludf.DUMMYFUNCTION("""COMPUTED_VALUE"""),46183.46553752315)</f>
        <v>46183.46554</v>
      </c>
      <c r="G2277" s="86" t="str">
        <f>IFERROR(__xludf.DUMMYFUNCTION("""COMPUTED_VALUE"""),"Done")</f>
        <v>Done</v>
      </c>
      <c r="H2277" s="88">
        <f>IFERROR(__xludf.DUMMYFUNCTION("""COMPUTED_VALUE"""),0.0)</f>
        <v>0</v>
      </c>
      <c r="I2277" s="90" t="str">
        <f>IFERROR(__xludf.DUMMYFUNCTION("""COMPUTED_VALUE"""),"EMP0021 Tamanna Dewangan")</f>
        <v>EMP0021 Tamanna Dewangan</v>
      </c>
      <c r="J2277" s="91"/>
    </row>
    <row r="2278">
      <c r="B2278" s="76" t="str">
        <f>IFERROR(__xludf.DUMMYFUNCTION("""COMPUTED_VALUE"""),"Upload file, cross check and inform                               ")</f>
        <v>Upload file, cross check and inform                               </v>
      </c>
      <c r="C2278" s="82">
        <f>IFERROR(__xludf.DUMMYFUNCTION("""COMPUTED_VALUE"""),5244.0)</f>
        <v>5244</v>
      </c>
      <c r="D2278" s="76" t="str">
        <f>IFERROR(__xludf.DUMMYFUNCTION("""COMPUTED_VALUE"""),"	TR (NURSING)")</f>
        <v>	TR (NURSING)</v>
      </c>
      <c r="E2278" s="84">
        <f>IFERROR(__xludf.DUMMYFUNCTION("""COMPUTED_VALUE"""),46184.825694444444)</f>
        <v>46184.82569</v>
      </c>
      <c r="F2278" s="86">
        <f>IFERROR(__xludf.DUMMYFUNCTION("""COMPUTED_VALUE"""),46184.50628253472)</f>
        <v>46184.50628</v>
      </c>
      <c r="G2278" s="86" t="str">
        <f>IFERROR(__xludf.DUMMYFUNCTION("""COMPUTED_VALUE"""),"Done")</f>
        <v>Done</v>
      </c>
      <c r="H2278" s="88">
        <f>IFERROR(__xludf.DUMMYFUNCTION("""COMPUTED_VALUE"""),0.0)</f>
        <v>0</v>
      </c>
      <c r="I2278" s="90" t="str">
        <f>IFERROR(__xludf.DUMMYFUNCTION("""COMPUTED_VALUE"""),"EMP0042 HULESHWAR KUMAR SAHU")</f>
        <v>EMP0042 HULESHWAR KUMAR SAHU</v>
      </c>
      <c r="J2278" s="91"/>
    </row>
    <row r="2279">
      <c r="B2279" s="76" t="str">
        <f>IFERROR(__xludf.DUMMYFUNCTION("""COMPUTED_VALUE"""),"Upload file, cross check and inform                               ")</f>
        <v>Upload file, cross check and inform                               </v>
      </c>
      <c r="C2279" s="82">
        <f>IFERROR(__xludf.DUMMYFUNCTION("""COMPUTED_VALUE"""),5245.0)</f>
        <v>5245</v>
      </c>
      <c r="D2279" s="76" t="str">
        <f>IFERROR(__xludf.DUMMYFUNCTION("""COMPUTED_VALUE"""),"Marksheet B.Sc Nursing")</f>
        <v>Marksheet B.Sc Nursing</v>
      </c>
      <c r="E2279" s="84">
        <f>IFERROR(__xludf.DUMMYFUNCTION("""COMPUTED_VALUE"""),46184.82708333334)</f>
        <v>46184.82708</v>
      </c>
      <c r="F2279" s="86">
        <f>IFERROR(__xludf.DUMMYFUNCTION("""COMPUTED_VALUE"""),46183.76115974537)</f>
        <v>46183.76116</v>
      </c>
      <c r="G2279" s="86" t="str">
        <f>IFERROR(__xludf.DUMMYFUNCTION("""COMPUTED_VALUE"""),"Done")</f>
        <v>Done</v>
      </c>
      <c r="H2279" s="88">
        <f>IFERROR(__xludf.DUMMYFUNCTION("""COMPUTED_VALUE"""),0.0)</f>
        <v>0</v>
      </c>
      <c r="I2279" s="90" t="str">
        <f>IFERROR(__xludf.DUMMYFUNCTION("""COMPUTED_VALUE"""),"EMP0042 HULESHWAR KUMAR SAHU")</f>
        <v>EMP0042 HULESHWAR KUMAR SAHU</v>
      </c>
      <c r="J2279" s="91"/>
    </row>
    <row r="2280">
      <c r="B2280" s="76" t="str">
        <f>IFERROR(__xludf.DUMMYFUNCTION("""COMPUTED_VALUE"""),"Upload file, cross check and inform                               ")</f>
        <v>Upload file, cross check and inform                               </v>
      </c>
      <c r="C2280" s="82">
        <f>IFERROR(__xludf.DUMMYFUNCTION("""COMPUTED_VALUE"""),5246.0)</f>
        <v>5246</v>
      </c>
      <c r="D2280" s="76" t="str">
        <f>IFERROR(__xludf.DUMMYFUNCTION("""COMPUTED_VALUE"""),"Grade Carde B.Tech")</f>
        <v>Grade Carde B.Tech</v>
      </c>
      <c r="E2280" s="84">
        <f>IFERROR(__xludf.DUMMYFUNCTION("""COMPUTED_VALUE"""),46185.42222222222)</f>
        <v>46185.42222</v>
      </c>
      <c r="F2280" s="86">
        <f>IFERROR(__xludf.DUMMYFUNCTION("""COMPUTED_VALUE"""),46183.79790006945)</f>
        <v>46183.7979</v>
      </c>
      <c r="G2280" s="86" t="str">
        <f>IFERROR(__xludf.DUMMYFUNCTION("""COMPUTED_VALUE"""),"Done")</f>
        <v>Done</v>
      </c>
      <c r="H2280" s="88">
        <f>IFERROR(__xludf.DUMMYFUNCTION("""COMPUTED_VALUE"""),0.0)</f>
        <v>0</v>
      </c>
      <c r="I2280" s="90" t="str">
        <f>IFERROR(__xludf.DUMMYFUNCTION("""COMPUTED_VALUE"""),"EMP0042 HULESHWAR KUMAR SAHU")</f>
        <v>EMP0042 HULESHWAR KUMAR SAHU</v>
      </c>
      <c r="J2280" s="91"/>
    </row>
    <row r="2281">
      <c r="B2281" s="76" t="str">
        <f>IFERROR(__xludf.DUMMYFUNCTION("""COMPUTED_VALUE"""),"Upload file, cross check and inform                               ")</f>
        <v>Upload file, cross check and inform                               </v>
      </c>
      <c r="C2281" s="82">
        <f>IFERROR(__xludf.DUMMYFUNCTION("""COMPUTED_VALUE"""),5247.0)</f>
        <v>5247</v>
      </c>
      <c r="D2281" s="76" t="str">
        <f>IFERROR(__xludf.DUMMYFUNCTION("""COMPUTED_VALUE"""),"attendance sheet ")</f>
        <v>attendance sheet </v>
      </c>
      <c r="E2281" s="84">
        <f>IFERROR(__xludf.DUMMYFUNCTION("""COMPUTED_VALUE"""),46185.490277777775)</f>
        <v>46185.49028</v>
      </c>
      <c r="F2281" s="86">
        <f>IFERROR(__xludf.DUMMYFUNCTION("""COMPUTED_VALUE"""),46185.487650497686)</f>
        <v>46185.48765</v>
      </c>
      <c r="G2281" s="86" t="str">
        <f>IFERROR(__xludf.DUMMYFUNCTION("""COMPUTED_VALUE"""),"Done")</f>
        <v>Done</v>
      </c>
      <c r="H2281" s="88">
        <f>IFERROR(__xludf.DUMMYFUNCTION("""COMPUTED_VALUE"""),0.0)</f>
        <v>0</v>
      </c>
      <c r="I2281" s="90" t="str">
        <f>IFERROR(__xludf.DUMMYFUNCTION("""COMPUTED_VALUE"""),"EMP0042 HULESHWAR KUMAR SAHU")</f>
        <v>EMP0042 HULESHWAR KUMAR SAHU</v>
      </c>
      <c r="J2281" s="91"/>
    </row>
    <row r="2282">
      <c r="B2282" s="76" t="str">
        <f>IFERROR(__xludf.DUMMYFUNCTION("""COMPUTED_VALUE"""),"Upload file, cross check and inform                               ")</f>
        <v>Upload file, cross check and inform                               </v>
      </c>
      <c r="C2282" s="82">
        <f>IFERROR(__xludf.DUMMYFUNCTION("""COMPUTED_VALUE"""),5248.0)</f>
        <v>5248</v>
      </c>
      <c r="D2282" s="76" t="str">
        <f>IFERROR(__xludf.DUMMYFUNCTION("""COMPUTED_VALUE"""),"ADMIT CARD ")</f>
        <v>ADMIT CARD </v>
      </c>
      <c r="E2282" s="84">
        <f>IFERROR(__xludf.DUMMYFUNCTION("""COMPUTED_VALUE"""),46185.527083333334)</f>
        <v>46185.52708</v>
      </c>
      <c r="F2282" s="86">
        <f>IFERROR(__xludf.DUMMYFUNCTION("""COMPUTED_VALUE"""),46185.48757657408)</f>
        <v>46185.48758</v>
      </c>
      <c r="G2282" s="86" t="str">
        <f>IFERROR(__xludf.DUMMYFUNCTION("""COMPUTED_VALUE"""),"Done")</f>
        <v>Done</v>
      </c>
      <c r="H2282" s="88">
        <f>IFERROR(__xludf.DUMMYFUNCTION("""COMPUTED_VALUE"""),0.0)</f>
        <v>0</v>
      </c>
      <c r="I2282" s="90" t="str">
        <f>IFERROR(__xludf.DUMMYFUNCTION("""COMPUTED_VALUE"""),"EMP5009 Rup Kumar Mandal")</f>
        <v>EMP5009 Rup Kumar Mandal</v>
      </c>
      <c r="J2282" s="91"/>
    </row>
    <row r="2283">
      <c r="B2283" s="76" t="str">
        <f>IFERROR(__xludf.DUMMYFUNCTION("""COMPUTED_VALUE"""),"Upload file, cross check and inform                               ")</f>
        <v>Upload file, cross check and inform                               </v>
      </c>
      <c r="C2283" s="82">
        <f>IFERROR(__xludf.DUMMYFUNCTION("""COMPUTED_VALUE"""),5249.0)</f>
        <v>5249</v>
      </c>
      <c r="D2283" s="76" t="str">
        <f>IFERROR(__xludf.DUMMYFUNCTION("""COMPUTED_VALUE"""),"SHASTRI RESULT SHEET")</f>
        <v>SHASTRI RESULT SHEET</v>
      </c>
      <c r="E2283" s="84">
        <f>IFERROR(__xludf.DUMMYFUNCTION("""COMPUTED_VALUE"""),46188.506944444445)</f>
        <v>46188.50694</v>
      </c>
      <c r="F2283" s="86">
        <f>IFERROR(__xludf.DUMMYFUNCTION("""COMPUTED_VALUE"""),46188.34738425926)</f>
        <v>46188.34738</v>
      </c>
      <c r="G2283" s="86" t="str">
        <f>IFERROR(__xludf.DUMMYFUNCTION("""COMPUTED_VALUE"""),"Done")</f>
        <v>Done</v>
      </c>
      <c r="H2283" s="88">
        <f>IFERROR(__xludf.DUMMYFUNCTION("""COMPUTED_VALUE"""),0.0)</f>
        <v>0</v>
      </c>
      <c r="I2283" s="90" t="str">
        <f>IFERROR(__xludf.DUMMYFUNCTION("""COMPUTED_VALUE"""),"EMP0042 HULESHWAR KUMAR SAHU")</f>
        <v>EMP0042 HULESHWAR KUMAR SAHU</v>
      </c>
      <c r="J2283" s="91"/>
    </row>
    <row r="2284">
      <c r="B2284" s="76" t="str">
        <f>IFERROR(__xludf.DUMMYFUNCTION("""COMPUTED_VALUE"""),"Upload file, cross check and inform                               ")</f>
        <v>Upload file, cross check and inform                               </v>
      </c>
      <c r="C2284" s="82">
        <f>IFERROR(__xludf.DUMMYFUNCTION("""COMPUTED_VALUE"""),5250.0)</f>
        <v>5250</v>
      </c>
      <c r="D2284" s="76" t="str">
        <f>IFERROR(__xludf.DUMMYFUNCTION("""COMPUTED_VALUE"""),"SHASTRI TR")</f>
        <v>SHASTRI TR</v>
      </c>
      <c r="E2284" s="84">
        <f>IFERROR(__xludf.DUMMYFUNCTION("""COMPUTED_VALUE"""),46188.507638888885)</f>
        <v>46188.50764</v>
      </c>
      <c r="F2284" s="86">
        <f>IFERROR(__xludf.DUMMYFUNCTION("""COMPUTED_VALUE"""),46188.50712962963)</f>
        <v>46188.50713</v>
      </c>
      <c r="G2284" s="86" t="str">
        <f>IFERROR(__xludf.DUMMYFUNCTION("""COMPUTED_VALUE"""),"Done")</f>
        <v>Done</v>
      </c>
      <c r="H2284" s="88">
        <f>IFERROR(__xludf.DUMMYFUNCTION("""COMPUTED_VALUE"""),0.0)</f>
        <v>0</v>
      </c>
      <c r="I2284" s="90" t="str">
        <f>IFERROR(__xludf.DUMMYFUNCTION("""COMPUTED_VALUE"""),"EMP0042 HULESHWAR KUMAR SAHU")</f>
        <v>EMP0042 HULESHWAR KUMAR SAHU</v>
      </c>
      <c r="J2284" s="91"/>
    </row>
    <row r="2285">
      <c r="B2285" s="76" t="str">
        <f>IFERROR(__xludf.DUMMYFUNCTION("""COMPUTED_VALUE"""),"Upload file, cross check and inform                               ")</f>
        <v>Upload file, cross check and inform                               </v>
      </c>
      <c r="C2285" s="82">
        <f>IFERROR(__xludf.DUMMYFUNCTION("""COMPUTED_VALUE"""),5251.0)</f>
        <v>5251</v>
      </c>
      <c r="D2285" s="76" t="str">
        <f>IFERROR(__xludf.DUMMYFUNCTION("""COMPUTED_VALUE"""),"REGISTRATION FORM")</f>
        <v>REGISTRATION FORM</v>
      </c>
      <c r="E2285" s="84">
        <f>IFERROR(__xludf.DUMMYFUNCTION("""COMPUTED_VALUE"""),46188.60833333334)</f>
        <v>46188.60833</v>
      </c>
      <c r="F2285" s="86">
        <f>IFERROR(__xludf.DUMMYFUNCTION("""COMPUTED_VALUE"""),46188.594319710646)</f>
        <v>46188.59432</v>
      </c>
      <c r="G2285" s="86" t="str">
        <f>IFERROR(__xludf.DUMMYFUNCTION("""COMPUTED_VALUE"""),"Done")</f>
        <v>Done</v>
      </c>
      <c r="H2285" s="88">
        <f>IFERROR(__xludf.DUMMYFUNCTION("""COMPUTED_VALUE"""),0.0)</f>
        <v>0</v>
      </c>
      <c r="I2285" s="90" t="str">
        <f>IFERROR(__xludf.DUMMYFUNCTION("""COMPUTED_VALUE"""),"EMP0042 HULESHWAR KUMAR SAHU")</f>
        <v>EMP0042 HULESHWAR KUMAR SAHU</v>
      </c>
      <c r="J2285" s="91"/>
    </row>
    <row r="2286">
      <c r="B2286" s="76" t="str">
        <f>IFERROR(__xludf.DUMMYFUNCTION("""COMPUTED_VALUE"""),"Upload file, cross check and inform                               ")</f>
        <v>Upload file, cross check and inform                               </v>
      </c>
      <c r="C2286" s="82">
        <f>IFERROR(__xludf.DUMMYFUNCTION("""COMPUTED_VALUE"""),5252.0)</f>
        <v>5252</v>
      </c>
      <c r="D2286" s="76" t="str">
        <f>IFERROR(__xludf.DUMMYFUNCTION("""COMPUTED_VALUE"""),"Template NEP")</f>
        <v>Template NEP</v>
      </c>
      <c r="E2286" s="84">
        <f>IFERROR(__xludf.DUMMYFUNCTION("""COMPUTED_VALUE"""),46188.82152777778)</f>
        <v>46188.82153</v>
      </c>
      <c r="F2286" s="86">
        <f>IFERROR(__xludf.DUMMYFUNCTION("""COMPUTED_VALUE"""),46188.51497063657)</f>
        <v>46188.51497</v>
      </c>
      <c r="G2286" s="86" t="str">
        <f>IFERROR(__xludf.DUMMYFUNCTION("""COMPUTED_VALUE"""),"Done")</f>
        <v>Done</v>
      </c>
      <c r="H2286" s="88">
        <f>IFERROR(__xludf.DUMMYFUNCTION("""COMPUTED_VALUE"""),0.0)</f>
        <v>0</v>
      </c>
      <c r="I2286" s="90" t="str">
        <f>IFERROR(__xludf.DUMMYFUNCTION("""COMPUTED_VALUE"""),"EMP5009 Rup Kumar Mandal")</f>
        <v>EMP5009 Rup Kumar Mandal</v>
      </c>
      <c r="J2286" s="91"/>
    </row>
    <row r="2287">
      <c r="B2287" s="76" t="str">
        <f>IFERROR(__xludf.DUMMYFUNCTION("""COMPUTED_VALUE"""),"Upload file, cross check and inform                               ")</f>
        <v>Upload file, cross check and inform                               </v>
      </c>
      <c r="C2287" s="82">
        <f>IFERROR(__xludf.DUMMYFUNCTION("""COMPUTED_VALUE"""),5253.0)</f>
        <v>5253</v>
      </c>
      <c r="D2287" s="76" t="str">
        <f>IFERROR(__xludf.DUMMYFUNCTION("""COMPUTED_VALUE"""),"Multiple Report ")</f>
        <v>Multiple Report </v>
      </c>
      <c r="E2287" s="84">
        <f>IFERROR(__xludf.DUMMYFUNCTION("""COMPUTED_VALUE"""),46189.48055555555)</f>
        <v>46189.48056</v>
      </c>
      <c r="F2287" s="86">
        <f>IFERROR(__xludf.DUMMYFUNCTION("""COMPUTED_VALUE"""),46189.43304483796)</f>
        <v>46189.43304</v>
      </c>
      <c r="G2287" s="86" t="str">
        <f>IFERROR(__xludf.DUMMYFUNCTION("""COMPUTED_VALUE"""),"Done")</f>
        <v>Done</v>
      </c>
      <c r="H2287" s="88">
        <f>IFERROR(__xludf.DUMMYFUNCTION("""COMPUTED_VALUE"""),0.0)</f>
        <v>0</v>
      </c>
      <c r="I2287" s="90" t="str">
        <f>IFERROR(__xludf.DUMMYFUNCTION("""COMPUTED_VALUE"""),"EMP0237 Swarnendu Chakraborty")</f>
        <v>EMP0237 Swarnendu Chakraborty</v>
      </c>
      <c r="J2287" s="91"/>
    </row>
    <row r="2288">
      <c r="B2288" s="76" t="str">
        <f>IFERROR(__xludf.DUMMYFUNCTION("""COMPUTED_VALUE"""),"Upload file, cross check and inform                               ")</f>
        <v>Upload file, cross check and inform                               </v>
      </c>
      <c r="C2288" s="82">
        <f>IFERROR(__xludf.DUMMYFUNCTION("""COMPUTED_VALUE"""),5254.0)</f>
        <v>5254</v>
      </c>
      <c r="D2288" s="76" t="str">
        <f>IFERROR(__xludf.DUMMYFUNCTION("""COMPUTED_VALUE"""),"Multiple Report ")</f>
        <v>Multiple Report </v>
      </c>
      <c r="E2288" s="84">
        <f>IFERROR(__xludf.DUMMYFUNCTION("""COMPUTED_VALUE"""),46189.48402777778)</f>
        <v>46189.48403</v>
      </c>
      <c r="F2288" s="86">
        <f>IFERROR(__xludf.DUMMYFUNCTION("""COMPUTED_VALUE"""),46189.433063923614)</f>
        <v>46189.43306</v>
      </c>
      <c r="G2288" s="86" t="str">
        <f>IFERROR(__xludf.DUMMYFUNCTION("""COMPUTED_VALUE"""),"Done")</f>
        <v>Done</v>
      </c>
      <c r="H2288" s="88">
        <f>IFERROR(__xludf.DUMMYFUNCTION("""COMPUTED_VALUE"""),0.0)</f>
        <v>0</v>
      </c>
      <c r="I2288" s="90" t="str">
        <f>IFERROR(__xludf.DUMMYFUNCTION("""COMPUTED_VALUE"""),"EMP0237 Swarnendu Chakraborty")</f>
        <v>EMP0237 Swarnendu Chakraborty</v>
      </c>
      <c r="J2288" s="91"/>
    </row>
    <row r="2289">
      <c r="B2289" s="76" t="str">
        <f>IFERROR(__xludf.DUMMYFUNCTION("""COMPUTED_VALUE"""),"Upload file, cross check and inform                               ")</f>
        <v>Upload file, cross check and inform                               </v>
      </c>
      <c r="C2289" s="82">
        <f>IFERROR(__xludf.DUMMYFUNCTION("""COMPUTED_VALUE"""),5255.0)</f>
        <v>5255</v>
      </c>
      <c r="D2289" s="76" t="str">
        <f>IFERROR(__xludf.DUMMYFUNCTION("""COMPUTED_VALUE"""),"Multiple Report ")</f>
        <v>Multiple Report </v>
      </c>
      <c r="E2289" s="84">
        <f>IFERROR(__xludf.DUMMYFUNCTION("""COMPUTED_VALUE"""),46189.486805555556)</f>
        <v>46189.48681</v>
      </c>
      <c r="F2289" s="86">
        <f>IFERROR(__xludf.DUMMYFUNCTION("""COMPUTED_VALUE"""),46189.433083993055)</f>
        <v>46189.43308</v>
      </c>
      <c r="G2289" s="86" t="str">
        <f>IFERROR(__xludf.DUMMYFUNCTION("""COMPUTED_VALUE"""),"Done")</f>
        <v>Done</v>
      </c>
      <c r="H2289" s="88">
        <f>IFERROR(__xludf.DUMMYFUNCTION("""COMPUTED_VALUE"""),0.0)</f>
        <v>0</v>
      </c>
      <c r="I2289" s="90" t="str">
        <f>IFERROR(__xludf.DUMMYFUNCTION("""COMPUTED_VALUE"""),"EMP5009 Rup Kumar Mandal")</f>
        <v>EMP5009 Rup Kumar Mandal</v>
      </c>
      <c r="J2289" s="91"/>
    </row>
    <row r="2290">
      <c r="B2290" s="76" t="str">
        <f>IFERROR(__xludf.DUMMYFUNCTION("""COMPUTED_VALUE"""),"Upload file, cross check and inform                               ")</f>
        <v>Upload file, cross check and inform                               </v>
      </c>
      <c r="C2290" s="82">
        <f>IFERROR(__xludf.DUMMYFUNCTION("""COMPUTED_VALUE"""),5256.0)</f>
        <v>5256</v>
      </c>
      <c r="D2290" s="76" t="str">
        <f>IFERROR(__xludf.DUMMYFUNCTION("""COMPUTED_VALUE"""),"Multiple Report ")</f>
        <v>Multiple Report </v>
      </c>
      <c r="E2290" s="84">
        <f>IFERROR(__xludf.DUMMYFUNCTION("""COMPUTED_VALUE"""),46189.48958333333)</f>
        <v>46189.48958</v>
      </c>
      <c r="F2290" s="86">
        <f>IFERROR(__xludf.DUMMYFUNCTION("""COMPUTED_VALUE"""),46189.43310913195)</f>
        <v>46189.43311</v>
      </c>
      <c r="G2290" s="86" t="str">
        <f>IFERROR(__xludf.DUMMYFUNCTION("""COMPUTED_VALUE"""),"Done")</f>
        <v>Done</v>
      </c>
      <c r="H2290" s="88">
        <f>IFERROR(__xludf.DUMMYFUNCTION("""COMPUTED_VALUE"""),0.0)</f>
        <v>0</v>
      </c>
      <c r="I2290" s="90" t="str">
        <f>IFERROR(__xludf.DUMMYFUNCTION("""COMPUTED_VALUE"""),"EMP5009 Rup Kumar Mandal")</f>
        <v>EMP5009 Rup Kumar Mandal</v>
      </c>
      <c r="J2290" s="91"/>
    </row>
    <row r="2291">
      <c r="B2291" s="76" t="str">
        <f>IFERROR(__xludf.DUMMYFUNCTION("""COMPUTED_VALUE"""),"Upload file, cross check and inform                               ")</f>
        <v>Upload file, cross check and inform                               </v>
      </c>
      <c r="C2291" s="82">
        <f>IFERROR(__xludf.DUMMYFUNCTION("""COMPUTED_VALUE"""),5257.0)</f>
        <v>5257</v>
      </c>
      <c r="D2291" s="76" t="str">
        <f>IFERROR(__xludf.DUMMYFUNCTION("""COMPUTED_VALUE"""),"Multiple Report ")</f>
        <v>Multiple Report </v>
      </c>
      <c r="E2291" s="84">
        <f>IFERROR(__xludf.DUMMYFUNCTION("""COMPUTED_VALUE"""),46189.49375)</f>
        <v>46189.49375</v>
      </c>
      <c r="F2291" s="86">
        <f>IFERROR(__xludf.DUMMYFUNCTION("""COMPUTED_VALUE"""),46189.433125763884)</f>
        <v>46189.43313</v>
      </c>
      <c r="G2291" s="86" t="str">
        <f>IFERROR(__xludf.DUMMYFUNCTION("""COMPUTED_VALUE"""),"Done")</f>
        <v>Done</v>
      </c>
      <c r="H2291" s="88">
        <f>IFERROR(__xludf.DUMMYFUNCTION("""COMPUTED_VALUE"""),0.0)</f>
        <v>0</v>
      </c>
      <c r="I2291" s="90" t="str">
        <f>IFERROR(__xludf.DUMMYFUNCTION("""COMPUTED_VALUE"""),"EMP0237 Swarnendu Chakraborty")</f>
        <v>EMP0237 Swarnendu Chakraborty</v>
      </c>
      <c r="J2291" s="91"/>
    </row>
    <row r="2292">
      <c r="B2292" s="76" t="str">
        <f>IFERROR(__xludf.DUMMYFUNCTION("""COMPUTED_VALUE"""),"Upload file, cross check and inform                               ")</f>
        <v>Upload file, cross check and inform                               </v>
      </c>
      <c r="C2292" s="82">
        <f>IFERROR(__xludf.DUMMYFUNCTION("""COMPUTED_VALUE"""),5258.0)</f>
        <v>5258</v>
      </c>
      <c r="D2292" s="76" t="str">
        <f>IFERROR(__xludf.DUMMYFUNCTION("""COMPUTED_VALUE"""),"Multiple Report ")</f>
        <v>Multiple Report </v>
      </c>
      <c r="E2292" s="84">
        <f>IFERROR(__xludf.DUMMYFUNCTION("""COMPUTED_VALUE"""),46189.49722222222)</f>
        <v>46189.49722</v>
      </c>
      <c r="F2292" s="86">
        <f>IFERROR(__xludf.DUMMYFUNCTION("""COMPUTED_VALUE"""),46189.43314613426)</f>
        <v>46189.43315</v>
      </c>
      <c r="G2292" s="86" t="str">
        <f>IFERROR(__xludf.DUMMYFUNCTION("""COMPUTED_VALUE"""),"Done")</f>
        <v>Done</v>
      </c>
      <c r="H2292" s="88">
        <f>IFERROR(__xludf.DUMMYFUNCTION("""COMPUTED_VALUE"""),0.0)</f>
        <v>0</v>
      </c>
      <c r="I2292" s="90" t="str">
        <f>IFERROR(__xludf.DUMMYFUNCTION("""COMPUTED_VALUE"""),"EMP0042 HULESHWAR KUMAR SAHU")</f>
        <v>EMP0042 HULESHWAR KUMAR SAHU</v>
      </c>
      <c r="J2292" s="91"/>
    </row>
    <row r="2293">
      <c r="B2293" s="76" t="str">
        <f>IFERROR(__xludf.DUMMYFUNCTION("""COMPUTED_VALUE"""),"Upload file, cross check and inform                               ")</f>
        <v>Upload file, cross check and inform                               </v>
      </c>
      <c r="C2293" s="82">
        <f>IFERROR(__xludf.DUMMYFUNCTION("""COMPUTED_VALUE"""),5259.0)</f>
        <v>5259</v>
      </c>
      <c r="D2293" s="76" t="str">
        <f>IFERROR(__xludf.DUMMYFUNCTION("""COMPUTED_VALUE"""),"TR BCA Clg wise")</f>
        <v>TR BCA Clg wise</v>
      </c>
      <c r="E2293" s="84">
        <f>IFERROR(__xludf.DUMMYFUNCTION("""COMPUTED_VALUE"""),46189.45833333333)</f>
        <v>46189.45833</v>
      </c>
      <c r="F2293" s="86">
        <f>IFERROR(__xludf.DUMMYFUNCTION("""COMPUTED_VALUE"""),46189.433166944444)</f>
        <v>46189.43317</v>
      </c>
      <c r="G2293" s="86" t="str">
        <f>IFERROR(__xludf.DUMMYFUNCTION("""COMPUTED_VALUE"""),"Done")</f>
        <v>Done</v>
      </c>
      <c r="H2293" s="88">
        <f>IFERROR(__xludf.DUMMYFUNCTION("""COMPUTED_VALUE"""),0.0)</f>
        <v>0</v>
      </c>
      <c r="I2293" s="90" t="str">
        <f>IFERROR(__xludf.DUMMYFUNCTION("""COMPUTED_VALUE"""),"EMP0042 HULESHWAR KUMAR SAHU")</f>
        <v>EMP0042 HULESHWAR KUMAR SAHU</v>
      </c>
      <c r="J2293" s="91"/>
    </row>
    <row r="2294">
      <c r="B2294" s="76" t="str">
        <f>IFERROR(__xludf.DUMMYFUNCTION("""COMPUTED_VALUE"""),"Upload file, cross check and inform                               ")</f>
        <v>Upload file, cross check and inform                               </v>
      </c>
      <c r="C2294" s="82">
        <f>IFERROR(__xludf.DUMMYFUNCTION("""COMPUTED_VALUE"""),5260.0)</f>
        <v>5260</v>
      </c>
      <c r="D2294" s="76" t="str">
        <f>IFERROR(__xludf.DUMMYFUNCTION("""COMPUTED_VALUE"""),"Attendance Sheet First Semester ( Sem - 1) GCKN-103 - S.K. Govt. College, Kanwali (Rewari) PG undefined RE-APPEAR_SE03")</f>
        <v>Attendance Sheet First Semester ( Sem - 1) GCKN-103 - S.K. Govt. College, Kanwali (Rewari) PG undefined RE-APPEAR_SE03</v>
      </c>
      <c r="E2294" s="84">
        <f>IFERROR(__xludf.DUMMYFUNCTION("""COMPUTED_VALUE"""),46189.711805555555)</f>
        <v>46189.71181</v>
      </c>
      <c r="F2294" s="86">
        <f>IFERROR(__xludf.DUMMYFUNCTION("""COMPUTED_VALUE"""),46188.516892037034)</f>
        <v>46188.51689</v>
      </c>
      <c r="G2294" s="86" t="str">
        <f>IFERROR(__xludf.DUMMYFUNCTION("""COMPUTED_VALUE"""),"Done")</f>
        <v>Done</v>
      </c>
      <c r="H2294" s="88">
        <f>IFERROR(__xludf.DUMMYFUNCTION("""COMPUTED_VALUE"""),0.0)</f>
        <v>0</v>
      </c>
      <c r="I2294" s="90" t="str">
        <f>IFERROR(__xludf.DUMMYFUNCTION("""COMPUTED_VALUE"""),"EMP0042 HULESHWAR KUMAR SAHU")</f>
        <v>EMP0042 HULESHWAR KUMAR SAHU</v>
      </c>
      <c r="J2294" s="91"/>
    </row>
    <row r="2295">
      <c r="B2295" s="76" t="str">
        <f>IFERROR(__xludf.DUMMYFUNCTION("""COMPUTED_VALUE"""),"Upload file, cross check and inform                               ")</f>
        <v>Upload file, cross check and inform                               </v>
      </c>
      <c r="C2295" s="82">
        <f>IFERROR(__xludf.DUMMYFUNCTION("""COMPUTED_VALUE"""),5261.0)</f>
        <v>5261</v>
      </c>
      <c r="D2295" s="76" t="str">
        <f>IFERROR(__xludf.DUMMYFUNCTION("""COMPUTED_VALUE"""),"Mark Foil for Teacher")</f>
        <v>Mark Foil for Teacher</v>
      </c>
      <c r="E2295" s="84">
        <f>IFERROR(__xludf.DUMMYFUNCTION("""COMPUTED_VALUE"""),46189.77777777778)</f>
        <v>46189.77778</v>
      </c>
      <c r="F2295" s="86">
        <f>IFERROR(__xludf.DUMMYFUNCTION("""COMPUTED_VALUE"""),46188.516916782406)</f>
        <v>46188.51692</v>
      </c>
      <c r="G2295" s="86" t="str">
        <f>IFERROR(__xludf.DUMMYFUNCTION("""COMPUTED_VALUE"""),"Done")</f>
        <v>Done</v>
      </c>
      <c r="H2295" s="88">
        <f>IFERROR(__xludf.DUMMYFUNCTION("""COMPUTED_VALUE"""),0.0)</f>
        <v>0</v>
      </c>
      <c r="I2295" s="90" t="str">
        <f>IFERROR(__xludf.DUMMYFUNCTION("""COMPUTED_VALUE"""),"EMP0042 HULESHWAR KUMAR SAHU")</f>
        <v>EMP0042 HULESHWAR KUMAR SAHU</v>
      </c>
      <c r="J2295" s="91"/>
    </row>
    <row r="2296">
      <c r="B2296" s="76" t="str">
        <f>IFERROR(__xludf.DUMMYFUNCTION("""COMPUTED_VALUE"""),"Upload file, cross check and inform                               ")</f>
        <v>Upload file, cross check and inform                               </v>
      </c>
      <c r="C2296" s="82">
        <f>IFERROR(__xludf.DUMMYFUNCTION("""COMPUTED_VALUE"""),5262.0)</f>
        <v>5262</v>
      </c>
      <c r="D2296" s="76" t="str">
        <f>IFERROR(__xludf.DUMMYFUNCTION("""COMPUTED_VALUE"""),"Marksheet old")</f>
        <v>Marksheet old</v>
      </c>
      <c r="E2296" s="84">
        <f>IFERROR(__xludf.DUMMYFUNCTION("""COMPUTED_VALUE"""),46190.77569444444)</f>
        <v>46190.77569</v>
      </c>
      <c r="F2296" s="86">
        <f>IFERROR(__xludf.DUMMYFUNCTION("""COMPUTED_VALUE"""),46190.54088706018)</f>
        <v>46190.54089</v>
      </c>
      <c r="G2296" s="86" t="str">
        <f>IFERROR(__xludf.DUMMYFUNCTION("""COMPUTED_VALUE"""),"Done")</f>
        <v>Done</v>
      </c>
      <c r="H2296" s="88">
        <f>IFERROR(__xludf.DUMMYFUNCTION("""COMPUTED_VALUE"""),0.0)</f>
        <v>0</v>
      </c>
      <c r="I2296" s="90" t="str">
        <f>IFERROR(__xludf.DUMMYFUNCTION("""COMPUTED_VALUE"""),"EMP0237 Swarnendu Chakraborty")</f>
        <v>EMP0237 Swarnendu Chakraborty</v>
      </c>
      <c r="J2296" s="91"/>
    </row>
    <row r="2297">
      <c r="B2297" s="76" t="str">
        <f>IFERROR(__xludf.DUMMYFUNCTION("""COMPUTED_VALUE"""),"Upload file, cross check and inform                               ")</f>
        <v>Upload file, cross check and inform                               </v>
      </c>
      <c r="C2297" s="82">
        <f>IFERROR(__xludf.DUMMYFUNCTION("""COMPUTED_VALUE"""),5263.0)</f>
        <v>5263</v>
      </c>
      <c r="D2297" s="76" t="str">
        <f>IFERROR(__xludf.DUMMYFUNCTION("""COMPUTED_VALUE"""),"marksheet new")</f>
        <v>marksheet new</v>
      </c>
      <c r="E2297" s="84">
        <f>IFERROR(__xludf.DUMMYFUNCTION("""COMPUTED_VALUE"""),46190.77638888889)</f>
        <v>46190.77639</v>
      </c>
      <c r="F2297" s="86">
        <f>IFERROR(__xludf.DUMMYFUNCTION("""COMPUTED_VALUE"""),46190.54091016204)</f>
        <v>46190.54091</v>
      </c>
      <c r="G2297" s="86" t="str">
        <f>IFERROR(__xludf.DUMMYFUNCTION("""COMPUTED_VALUE"""),"Done")</f>
        <v>Done</v>
      </c>
      <c r="H2297" s="88">
        <f>IFERROR(__xludf.DUMMYFUNCTION("""COMPUTED_VALUE"""),0.0)</f>
        <v>0</v>
      </c>
      <c r="I2297" s="90" t="str">
        <f>IFERROR(__xludf.DUMMYFUNCTION("""COMPUTED_VALUE"""),"EMP0237 Swarnendu Chakraborty")</f>
        <v>EMP0237 Swarnendu Chakraborty</v>
      </c>
      <c r="J2297" s="91"/>
    </row>
    <row r="2298">
      <c r="B2298" s="76" t="str">
        <f>IFERROR(__xludf.DUMMYFUNCTION("""COMPUTED_VALUE"""),"Upload file, cross check and inform                               ")</f>
        <v>Upload file, cross check and inform                               </v>
      </c>
      <c r="C2298" s="82">
        <f>IFERROR(__xludf.DUMMYFUNCTION("""COMPUTED_VALUE"""),5264.0)</f>
        <v>5264</v>
      </c>
      <c r="D2298" s="76" t="str">
        <f>IFERROR(__xludf.DUMMYFUNCTION("""COMPUTED_VALUE"""),"Marksheet")</f>
        <v>Marksheet</v>
      </c>
      <c r="E2298" s="84">
        <f>IFERROR(__xludf.DUMMYFUNCTION("""COMPUTED_VALUE"""),46190.77847222222)</f>
        <v>46190.77847</v>
      </c>
      <c r="F2298" s="86">
        <f>IFERROR(__xludf.DUMMYFUNCTION("""COMPUTED_VALUE"""),46190.54095436342)</f>
        <v>46190.54095</v>
      </c>
      <c r="G2298" s="86" t="str">
        <f>IFERROR(__xludf.DUMMYFUNCTION("""COMPUTED_VALUE"""),"Done")</f>
        <v>Done</v>
      </c>
      <c r="H2298" s="88">
        <f>IFERROR(__xludf.DUMMYFUNCTION("""COMPUTED_VALUE"""),0.0)</f>
        <v>0</v>
      </c>
      <c r="I2298" s="90" t="str">
        <f>IFERROR(__xludf.DUMMYFUNCTION("""COMPUTED_VALUE"""),"EMP5009 Rup Kumar Mandal")</f>
        <v>EMP5009 Rup Kumar Mandal</v>
      </c>
      <c r="J2298" s="91"/>
    </row>
    <row r="2299">
      <c r="B2299" s="76" t="str">
        <f>IFERROR(__xludf.DUMMYFUNCTION("""COMPUTED_VALUE"""),"Upload file, cross check and inform                               ")</f>
        <v>Upload file, cross check and inform                               </v>
      </c>
      <c r="C2299" s="82">
        <f>IFERROR(__xludf.DUMMYFUNCTION("""COMPUTED_VALUE"""),5265.0)</f>
        <v>5265</v>
      </c>
      <c r="D2299" s="76" t="str">
        <f>IFERROR(__xludf.DUMMYFUNCTION("""COMPUTED_VALUE"""),"payment report")</f>
        <v>payment report</v>
      </c>
      <c r="E2299" s="84">
        <f>IFERROR(__xludf.DUMMYFUNCTION("""COMPUTED_VALUE"""),46190.78055555555)</f>
        <v>46190.78056</v>
      </c>
      <c r="F2299" s="86">
        <f>IFERROR(__xludf.DUMMYFUNCTION("""COMPUTED_VALUE"""),46190.54097707176)</f>
        <v>46190.54098</v>
      </c>
      <c r="G2299" s="86" t="str">
        <f>IFERROR(__xludf.DUMMYFUNCTION("""COMPUTED_VALUE"""),"Done")</f>
        <v>Done</v>
      </c>
      <c r="H2299" s="88">
        <f>IFERROR(__xludf.DUMMYFUNCTION("""COMPUTED_VALUE"""),0.0)</f>
        <v>0</v>
      </c>
      <c r="I2299" s="90" t="str">
        <f>IFERROR(__xludf.DUMMYFUNCTION("""COMPUTED_VALUE"""),"EMP5009 Rup Kumar Mandal")</f>
        <v>EMP5009 Rup Kumar Mandal</v>
      </c>
      <c r="J2299" s="91"/>
    </row>
    <row r="2300">
      <c r="B2300" s="76" t="str">
        <f>IFERROR(__xludf.DUMMYFUNCTION("""COMPUTED_VALUE"""),"Upload file, cross check and inform                               ")</f>
        <v>Upload file, cross check and inform                               </v>
      </c>
      <c r="C2300" s="82">
        <f>IFERROR(__xludf.DUMMYFUNCTION("""COMPUTED_VALUE"""),5266.0)</f>
        <v>5266</v>
      </c>
      <c r="D2300" s="76" t="str">
        <f>IFERROR(__xludf.DUMMYFUNCTION("""COMPUTED_VALUE"""),"B.Pharm 4th Semester  Session - 2024-25 (S) TR correction.")</f>
        <v>B.Pharm 4th Semester  Session - 2024-25 (S) TR correction.</v>
      </c>
      <c r="E2300" s="84">
        <f>IFERROR(__xludf.DUMMYFUNCTION("""COMPUTED_VALUE"""),46191.524305555555)</f>
        <v>46191.52431</v>
      </c>
      <c r="F2300" s="86">
        <f>IFERROR(__xludf.DUMMYFUNCTION("""COMPUTED_VALUE"""),46189.63123452546)</f>
        <v>46189.63123</v>
      </c>
      <c r="G2300" s="86" t="str">
        <f>IFERROR(__xludf.DUMMYFUNCTION("""COMPUTED_VALUE"""),"Done")</f>
        <v>Done</v>
      </c>
      <c r="H2300" s="88">
        <f>IFERROR(__xludf.DUMMYFUNCTION("""COMPUTED_VALUE"""),0.0)</f>
        <v>0</v>
      </c>
      <c r="I2300" s="90" t="str">
        <f>IFERROR(__xludf.DUMMYFUNCTION("""COMPUTED_VALUE"""),"EMP5009 Rup Kumar Mandal")</f>
        <v>EMP5009 Rup Kumar Mandal</v>
      </c>
      <c r="J2300" s="91"/>
    </row>
    <row r="2301">
      <c r="B2301" s="76" t="str">
        <f>IFERROR(__xludf.DUMMYFUNCTION("""COMPUTED_VALUE"""),"Upload file, cross check and inform                               ")</f>
        <v>Upload file, cross check and inform                               </v>
      </c>
      <c r="C2301" s="82">
        <f>IFERROR(__xludf.DUMMYFUNCTION("""COMPUTED_VALUE"""),5267.0)</f>
        <v>5267</v>
      </c>
      <c r="D2301" s="76" t="str">
        <f>IFERROR(__xludf.DUMMYFUNCTION("""COMPUTED_VALUE"""),"	NURSING GRADE CARD")</f>
        <v>	NURSING GRADE CARD</v>
      </c>
      <c r="E2301" s="84">
        <f>IFERROR(__xludf.DUMMYFUNCTION("""COMPUTED_VALUE"""),46191.59583333333)</f>
        <v>46191.59583</v>
      </c>
      <c r="F2301" s="86">
        <f>IFERROR(__xludf.DUMMYFUNCTION("""COMPUTED_VALUE"""),46190.54514505787)</f>
        <v>46190.54515</v>
      </c>
      <c r="G2301" s="86" t="str">
        <f>IFERROR(__xludf.DUMMYFUNCTION("""COMPUTED_VALUE"""),"Done")</f>
        <v>Done</v>
      </c>
      <c r="H2301" s="88">
        <f>IFERROR(__xludf.DUMMYFUNCTION("""COMPUTED_VALUE"""),0.0)</f>
        <v>0</v>
      </c>
      <c r="I2301" s="90" t="str">
        <f>IFERROR(__xludf.DUMMYFUNCTION("""COMPUTED_VALUE"""),"EMP0042 HULESHWAR KUMAR SAHU")</f>
        <v>EMP0042 HULESHWAR KUMAR SAHU</v>
      </c>
      <c r="J2301" s="91"/>
    </row>
    <row r="2302">
      <c r="B2302" s="76" t="str">
        <f>IFERROR(__xludf.DUMMYFUNCTION("""COMPUTED_VALUE"""),"Upload file, cross check and inform                               ")</f>
        <v>Upload file, cross check and inform                               </v>
      </c>
      <c r="C2302" s="82">
        <f>IFERROR(__xludf.DUMMYFUNCTION("""COMPUTED_VALUE"""),5268.0)</f>
        <v>5268</v>
      </c>
      <c r="D2302" s="76" t="str">
        <f>IFERROR(__xludf.DUMMYFUNCTION("""COMPUTED_VALUE"""),"Mark Foil for Teacher")</f>
        <v>Mark Foil for Teacher</v>
      </c>
      <c r="E2302" s="84">
        <f>IFERROR(__xludf.DUMMYFUNCTION("""COMPUTED_VALUE"""),46191.80208333333)</f>
        <v>46191.80208</v>
      </c>
      <c r="F2302" s="86">
        <f>IFERROR(__xludf.DUMMYFUNCTION("""COMPUTED_VALUE"""),46191.52180509259)</f>
        <v>46191.52181</v>
      </c>
      <c r="G2302" s="86" t="str">
        <f>IFERROR(__xludf.DUMMYFUNCTION("""COMPUTED_VALUE"""),"Done")</f>
        <v>Done</v>
      </c>
      <c r="H2302" s="88">
        <f>IFERROR(__xludf.DUMMYFUNCTION("""COMPUTED_VALUE"""),0.0)</f>
        <v>0</v>
      </c>
      <c r="I2302" s="90" t="str">
        <f>IFERROR(__xludf.DUMMYFUNCTION("""COMPUTED_VALUE"""),"EMP0042 HULESHWAR KUMAR SAHU")</f>
        <v>EMP0042 HULESHWAR KUMAR SAHU</v>
      </c>
      <c r="J2302" s="91"/>
    </row>
    <row r="2303">
      <c r="B2303" s="76" t="str">
        <f>IFERROR(__xludf.DUMMYFUNCTION("""COMPUTED_VALUE"""),"Upload file, cross check and inform                               ")</f>
        <v>Upload file, cross check and inform                               </v>
      </c>
      <c r="C2303" s="82">
        <f>IFERROR(__xludf.DUMMYFUNCTION("""COMPUTED_VALUE"""),5269.0)</f>
        <v>5269</v>
      </c>
      <c r="D2303" s="76" t="str">
        <f>IFERROR(__xludf.DUMMYFUNCTION("""COMPUTED_VALUE"""),"30,013,382")</f>
        <v>30,013,382</v>
      </c>
      <c r="E2303" s="84">
        <f>IFERROR(__xludf.DUMMYFUNCTION("""COMPUTED_VALUE"""),46192.5)</f>
        <v>46192.5</v>
      </c>
      <c r="F2303" s="86">
        <f>IFERROR(__xludf.DUMMYFUNCTION("""COMPUTED_VALUE"""),46191.521747349536)</f>
        <v>46191.52175</v>
      </c>
      <c r="G2303" s="86" t="str">
        <f>IFERROR(__xludf.DUMMYFUNCTION("""COMPUTED_VALUE"""),"Done")</f>
        <v>Done</v>
      </c>
      <c r="H2303" s="88">
        <f>IFERROR(__xludf.DUMMYFUNCTION("""COMPUTED_VALUE"""),0.0)</f>
        <v>0</v>
      </c>
      <c r="I2303" s="90" t="str">
        <f>IFERROR(__xludf.DUMMYFUNCTION("""COMPUTED_VALUE"""),"EMP0042 HULESHWAR KUMAR SAHU")</f>
        <v>EMP0042 HULESHWAR KUMAR SAHU</v>
      </c>
      <c r="J2303" s="91"/>
    </row>
    <row r="2304">
      <c r="B2304" s="76" t="str">
        <f>IFERROR(__xludf.DUMMYFUNCTION("""COMPUTED_VALUE"""),"Upload file, cross check and inform                               ")</f>
        <v>Upload file, cross check and inform                               </v>
      </c>
      <c r="C2304" s="82">
        <f>IFERROR(__xludf.DUMMYFUNCTION("""COMPUTED_VALUE"""),5270.0)</f>
        <v>5270</v>
      </c>
      <c r="D2304" s="76" t="str">
        <f>IFERROR(__xludf.DUMMYFUNCTION("""COMPUTED_VALUE"""),"NEP DIGI LOCKER DATA CORRECTION")</f>
        <v>NEP DIGI LOCKER DATA CORRECTION</v>
      </c>
      <c r="E2304" s="84">
        <f>IFERROR(__xludf.DUMMYFUNCTION("""COMPUTED_VALUE"""),46192.57638888889)</f>
        <v>46192.57639</v>
      </c>
      <c r="F2304" s="86">
        <f>IFERROR(__xludf.DUMMYFUNCTION("""COMPUTED_VALUE"""),46191.7097059838)</f>
        <v>46191.70971</v>
      </c>
      <c r="G2304" s="86" t="str">
        <f>IFERROR(__xludf.DUMMYFUNCTION("""COMPUTED_VALUE"""),"Done")</f>
        <v>Done</v>
      </c>
      <c r="H2304" s="88">
        <f>IFERROR(__xludf.DUMMYFUNCTION("""COMPUTED_VALUE"""),0.0)</f>
        <v>0</v>
      </c>
      <c r="I2304" s="90" t="str">
        <f>IFERROR(__xludf.DUMMYFUNCTION("""COMPUTED_VALUE"""),"EMP0042 HULESHWAR KUMAR SAHU")</f>
        <v>EMP0042 HULESHWAR KUMAR SAHU</v>
      </c>
      <c r="J2304" s="91"/>
    </row>
    <row r="2305">
      <c r="B2305" s="76" t="str">
        <f>IFERROR(__xludf.DUMMYFUNCTION("""COMPUTED_VALUE"""),"Upload file, cross check and inform                               ")</f>
        <v>Upload file, cross check and inform                               </v>
      </c>
      <c r="C2305" s="82">
        <f>IFERROR(__xludf.DUMMYFUNCTION("""COMPUTED_VALUE"""),5271.0)</f>
        <v>5271</v>
      </c>
      <c r="D2305" s="76" t="str">
        <f>IFERROR(__xludf.DUMMYFUNCTION("""COMPUTED_VALUE"""),"NAD ")</f>
        <v>NAD </v>
      </c>
      <c r="E2305" s="84">
        <f>IFERROR(__xludf.DUMMYFUNCTION("""COMPUTED_VALUE"""),46192.83125)</f>
        <v>46192.83125</v>
      </c>
      <c r="F2305" s="86">
        <f>IFERROR(__xludf.DUMMYFUNCTION("""COMPUTED_VALUE"""),46192.64001657407)</f>
        <v>46192.64002</v>
      </c>
      <c r="G2305" s="86" t="str">
        <f>IFERROR(__xludf.DUMMYFUNCTION("""COMPUTED_VALUE"""),"Done")</f>
        <v>Done</v>
      </c>
      <c r="H2305" s="88">
        <f>IFERROR(__xludf.DUMMYFUNCTION("""COMPUTED_VALUE"""),0.0)</f>
        <v>0</v>
      </c>
      <c r="I2305" s="90" t="str">
        <f>IFERROR(__xludf.DUMMYFUNCTION("""COMPUTED_VALUE"""),"EMP5009 Rup Kumar Mandal")</f>
        <v>EMP5009 Rup Kumar Mandal</v>
      </c>
      <c r="J2305" s="91"/>
    </row>
    <row r="2306">
      <c r="B2306" s="76" t="str">
        <f>IFERROR(__xludf.DUMMYFUNCTION("""COMPUTED_VALUE"""),"Upload file, cross check and inform                               ")</f>
        <v>Upload file, cross check and inform                               </v>
      </c>
      <c r="C2306" s="82">
        <f>IFERROR(__xludf.DUMMYFUNCTION("""COMPUTED_VALUE"""),5272.0)</f>
        <v>5272</v>
      </c>
      <c r="D2306" s="76" t="str">
        <f>IFERROR(__xludf.DUMMYFUNCTION("""COMPUTED_VALUE"""),"students data")</f>
        <v>students data</v>
      </c>
      <c r="E2306" s="84">
        <f>IFERROR(__xludf.DUMMYFUNCTION("""COMPUTED_VALUE"""),46193.42083333334)</f>
        <v>46193.42083</v>
      </c>
      <c r="F2306" s="86">
        <f>IFERROR(__xludf.DUMMYFUNCTION("""COMPUTED_VALUE"""),46191.53275226852)</f>
        <v>46191.53275</v>
      </c>
      <c r="G2306" s="86" t="str">
        <f>IFERROR(__xludf.DUMMYFUNCTION("""COMPUTED_VALUE"""),"Done")</f>
        <v>Done</v>
      </c>
      <c r="H2306" s="88">
        <f>IFERROR(__xludf.DUMMYFUNCTION("""COMPUTED_VALUE"""),0.0)</f>
        <v>0</v>
      </c>
      <c r="I2306" s="90" t="str">
        <f>IFERROR(__xludf.DUMMYFUNCTION("""COMPUTED_VALUE"""),"EMP0042 HULESHWAR KUMAR SAHU")</f>
        <v>EMP0042 HULESHWAR KUMAR SAHU</v>
      </c>
      <c r="J2306" s="91"/>
    </row>
    <row r="2307">
      <c r="B2307" s="76" t="str">
        <f>IFERROR(__xludf.DUMMYFUNCTION("""COMPUTED_VALUE"""),"Upload file, cross check and inform                               ")</f>
        <v>Upload file, cross check and inform                               </v>
      </c>
      <c r="C2307" s="82">
        <f>IFERROR(__xludf.DUMMYFUNCTION("""COMPUTED_VALUE"""),5273.0)</f>
        <v>5273</v>
      </c>
      <c r="D2307" s="76" t="str">
        <f>IFERROR(__xludf.DUMMYFUNCTION("""COMPUTED_VALUE"""),"P.G 2nd Sem Attendance Sheet Blank Session-2025-2027")</f>
        <v>P.G 2nd Sem Attendance Sheet Blank Session-2025-2027</v>
      </c>
      <c r="E2307" s="84">
        <f>IFERROR(__xludf.DUMMYFUNCTION("""COMPUTED_VALUE"""),46195.46666666667)</f>
        <v>46195.46667</v>
      </c>
      <c r="F2307" s="86">
        <f>IFERROR(__xludf.DUMMYFUNCTION("""COMPUTED_VALUE"""),46193.65237193287)</f>
        <v>46193.65237</v>
      </c>
      <c r="G2307" s="86" t="str">
        <f>IFERROR(__xludf.DUMMYFUNCTION("""COMPUTED_VALUE"""),"Done")</f>
        <v>Done</v>
      </c>
      <c r="H2307" s="88">
        <f>IFERROR(__xludf.DUMMYFUNCTION("""COMPUTED_VALUE"""),0.0)</f>
        <v>0</v>
      </c>
      <c r="I2307" s="90" t="str">
        <f>IFERROR(__xludf.DUMMYFUNCTION("""COMPUTED_VALUE"""),"EMP5009 Rup Kumar Mandal")</f>
        <v>EMP5009 Rup Kumar Mandal</v>
      </c>
      <c r="J2307" s="91"/>
    </row>
    <row r="2308">
      <c r="B2308" s="76" t="str">
        <f>IFERROR(__xludf.DUMMYFUNCTION("""COMPUTED_VALUE"""),"Upload file, cross check and inform                               ")</f>
        <v>Upload file, cross check and inform                               </v>
      </c>
      <c r="C2308" s="82">
        <f>IFERROR(__xludf.DUMMYFUNCTION("""COMPUTED_VALUE"""),5274.0)</f>
        <v>5274</v>
      </c>
      <c r="D2308" s="76" t="str">
        <f>IFERROR(__xludf.DUMMYFUNCTION("""COMPUTED_VALUE"""),"studnet subject mapping ")</f>
        <v>studnet subject mapping </v>
      </c>
      <c r="E2308" s="84">
        <f>IFERROR(__xludf.DUMMYFUNCTION("""COMPUTED_VALUE"""),46195.535416666666)</f>
        <v>46195.53542</v>
      </c>
      <c r="F2308" s="86">
        <f>IFERROR(__xludf.DUMMYFUNCTION("""COMPUTED_VALUE"""),46192.66749255787)</f>
        <v>46192.66749</v>
      </c>
      <c r="G2308" s="86" t="str">
        <f>IFERROR(__xludf.DUMMYFUNCTION("""COMPUTED_VALUE"""),"Done")</f>
        <v>Done</v>
      </c>
      <c r="H2308" s="88">
        <f>IFERROR(__xludf.DUMMYFUNCTION("""COMPUTED_VALUE"""),0.0)</f>
        <v>0</v>
      </c>
      <c r="I2308" s="90" t="str">
        <f>IFERROR(__xludf.DUMMYFUNCTION("""COMPUTED_VALUE"""),"EMP0042 HULESHWAR KUMAR SAHU")</f>
        <v>EMP0042 HULESHWAR KUMAR SAHU</v>
      </c>
      <c r="J2308" s="91"/>
    </row>
    <row r="2309">
      <c r="B2309" s="76" t="str">
        <f>IFERROR(__xludf.DUMMYFUNCTION("""COMPUTED_VALUE"""),"Upload file, cross check and inform                               ")</f>
        <v>Upload file, cross check and inform                               </v>
      </c>
      <c r="C2309" s="82">
        <f>IFERROR(__xludf.DUMMYFUNCTION("""COMPUTED_VALUE"""),5275.0)</f>
        <v>5275</v>
      </c>
      <c r="D2309" s="76" t="str">
        <f>IFERROR(__xludf.DUMMYFUNCTION("""COMPUTED_VALUE"""),"NEP DIGI LOCKER CORRECTION")</f>
        <v>NEP DIGI LOCKER CORRECTION</v>
      </c>
      <c r="E2309" s="84">
        <f>IFERROR(__xludf.DUMMYFUNCTION("""COMPUTED_VALUE"""),46195.60208333333)</f>
        <v>46195.60208</v>
      </c>
      <c r="F2309" s="86">
        <f>IFERROR(__xludf.DUMMYFUNCTION("""COMPUTED_VALUE"""),46192.79039318287)</f>
        <v>46192.79039</v>
      </c>
      <c r="G2309" s="86" t="str">
        <f>IFERROR(__xludf.DUMMYFUNCTION("""COMPUTED_VALUE"""),"Done")</f>
        <v>Done</v>
      </c>
      <c r="H2309" s="88">
        <f>IFERROR(__xludf.DUMMYFUNCTION("""COMPUTED_VALUE"""),0.0)</f>
        <v>0</v>
      </c>
      <c r="I2309" s="90" t="str">
        <f>IFERROR(__xludf.DUMMYFUNCTION("""COMPUTED_VALUE"""),"EMP0042 HULESHWAR KUMAR SAHU")</f>
        <v>EMP0042 HULESHWAR KUMAR SAHU</v>
      </c>
      <c r="J2309" s="91"/>
    </row>
    <row r="2310">
      <c r="B2310" s="76" t="str">
        <f>IFERROR(__xludf.DUMMYFUNCTION("""COMPUTED_VALUE"""),"Upload file, cross check and inform                               ")</f>
        <v>Upload file, cross check and inform                               </v>
      </c>
      <c r="C2310" s="82">
        <f>IFERROR(__xludf.DUMMYFUNCTION("""COMPUTED_VALUE"""),5276.0)</f>
        <v>5276</v>
      </c>
      <c r="D2310" s="76" t="str">
        <f>IFERROR(__xludf.DUMMYFUNCTION("""COMPUTED_VALUE"""),"	TR PARAMEDICAL Old Logic")</f>
        <v>	TR PARAMEDICAL Old Logic</v>
      </c>
      <c r="E2310" s="84">
        <f>IFERROR(__xludf.DUMMYFUNCTION("""COMPUTED_VALUE"""),46195.62847222222)</f>
        <v>46195.62847</v>
      </c>
      <c r="F2310" s="86">
        <f>IFERROR(__xludf.DUMMYFUNCTION("""COMPUTED_VALUE"""),46192.79041724537)</f>
        <v>46192.79042</v>
      </c>
      <c r="G2310" s="86" t="str">
        <f>IFERROR(__xludf.DUMMYFUNCTION("""COMPUTED_VALUE"""),"Done")</f>
        <v>Done</v>
      </c>
      <c r="H2310" s="88">
        <f>IFERROR(__xludf.DUMMYFUNCTION("""COMPUTED_VALUE"""),0.0)</f>
        <v>0</v>
      </c>
      <c r="I2310" s="90" t="str">
        <f>IFERROR(__xludf.DUMMYFUNCTION("""COMPUTED_VALUE"""),"EMP0042 HULESHWAR KUMAR SAHU")</f>
        <v>EMP0042 HULESHWAR KUMAR SAHU</v>
      </c>
      <c r="J2310" s="91"/>
    </row>
    <row r="2311">
      <c r="B2311" s="76" t="str">
        <f>IFERROR(__xludf.DUMMYFUNCTION("""COMPUTED_VALUE"""),"Upload file, cross check and inform                               ")</f>
        <v>Upload file, cross check and inform                               </v>
      </c>
      <c r="C2311" s="82">
        <f>IFERROR(__xludf.DUMMYFUNCTION("""COMPUTED_VALUE"""),5277.0)</f>
        <v>5277</v>
      </c>
      <c r="D2311" s="76" t="str">
        <f>IFERROR(__xludf.DUMMYFUNCTION("""COMPUTED_VALUE"""),"packet_detail_report.jasper")</f>
        <v>packet_detail_report.jasper</v>
      </c>
      <c r="E2311" s="84">
        <f>IFERROR(__xludf.DUMMYFUNCTION("""COMPUTED_VALUE"""),46196.44791666667)</f>
        <v>46196.44792</v>
      </c>
      <c r="F2311" s="86">
        <f>IFERROR(__xludf.DUMMYFUNCTION("""COMPUTED_VALUE"""),46195.481490578706)</f>
        <v>46195.48149</v>
      </c>
      <c r="G2311" s="86" t="str">
        <f>IFERROR(__xludf.DUMMYFUNCTION("""COMPUTED_VALUE"""),"Done")</f>
        <v>Done</v>
      </c>
      <c r="H2311" s="88">
        <f>IFERROR(__xludf.DUMMYFUNCTION("""COMPUTED_VALUE"""),0.0)</f>
        <v>0</v>
      </c>
      <c r="I2311" s="90" t="str">
        <f>IFERROR(__xludf.DUMMYFUNCTION("""COMPUTED_VALUE"""),"EMP5009 Rup Kumar Mandal")</f>
        <v>EMP5009 Rup Kumar Mandal</v>
      </c>
      <c r="J2311" s="91"/>
    </row>
    <row r="2312">
      <c r="B2312" s="76" t="str">
        <f>IFERROR(__xludf.DUMMYFUNCTION("""COMPUTED_VALUE"""),"Upload file, cross check and inform                               ")</f>
        <v>Upload file, cross check and inform                               </v>
      </c>
      <c r="C2312" s="82">
        <f>IFERROR(__xludf.DUMMYFUNCTION("""COMPUTED_VALUE"""),5278.0)</f>
        <v>5278</v>
      </c>
      <c r="D2312" s="76" t="str">
        <f>IFERROR(__xludf.DUMMYFUNCTION("""COMPUTED_VALUE"""),"Evaluation report anna.")</f>
        <v>Evaluation report anna.</v>
      </c>
      <c r="E2312" s="84">
        <f>IFERROR(__xludf.DUMMYFUNCTION("""COMPUTED_VALUE"""),46196.48402777778)</f>
        <v>46196.48403</v>
      </c>
      <c r="F2312" s="86">
        <f>IFERROR(__xludf.DUMMYFUNCTION("""COMPUTED_VALUE"""),46195.481536053245)</f>
        <v>46195.48154</v>
      </c>
      <c r="G2312" s="86" t="str">
        <f>IFERROR(__xludf.DUMMYFUNCTION("""COMPUTED_VALUE"""),"Done")</f>
        <v>Done</v>
      </c>
      <c r="H2312" s="88">
        <f>IFERROR(__xludf.DUMMYFUNCTION("""COMPUTED_VALUE"""),0.0)</f>
        <v>0</v>
      </c>
      <c r="I2312" s="90" t="str">
        <f>IFERROR(__xludf.DUMMYFUNCTION("""COMPUTED_VALUE"""),"EMP5009 Rup Kumar Mandal")</f>
        <v>EMP5009 Rup Kumar Mandal</v>
      </c>
      <c r="J2312" s="91"/>
    </row>
    <row r="2313">
      <c r="B2313" s="76" t="str">
        <f>IFERROR(__xludf.DUMMYFUNCTION("""COMPUTED_VALUE"""),"Upload file, cross check and inform                               ")</f>
        <v>Upload file, cross check and inform                               </v>
      </c>
      <c r="C2313" s="82">
        <f>IFERROR(__xludf.DUMMYFUNCTION("""COMPUTED_VALUE"""),5279.0)</f>
        <v>5279</v>
      </c>
      <c r="D2313" s="76" t="str">
        <f>IFERROR(__xludf.DUMMYFUNCTION("""COMPUTED_VALUE"""),"SMKV")</f>
        <v>SMKV</v>
      </c>
      <c r="E2313" s="84">
        <f>IFERROR(__xludf.DUMMYFUNCTION("""COMPUTED_VALUE"""),46196.597916666666)</f>
        <v>46196.59792</v>
      </c>
      <c r="F2313" s="86">
        <f>IFERROR(__xludf.DUMMYFUNCTION("""COMPUTED_VALUE"""),46195.50163483796)</f>
        <v>46195.50163</v>
      </c>
      <c r="G2313" s="86" t="str">
        <f>IFERROR(__xludf.DUMMYFUNCTION("""COMPUTED_VALUE"""),"Done")</f>
        <v>Done</v>
      </c>
      <c r="H2313" s="88">
        <f>IFERROR(__xludf.DUMMYFUNCTION("""COMPUTED_VALUE"""),0.0)</f>
        <v>0</v>
      </c>
      <c r="I2313" s="90" t="str">
        <f>IFERROR(__xludf.DUMMYFUNCTION("""COMPUTED_VALUE"""),"EMP0042 HULESHWAR KUMAR SAHU")</f>
        <v>EMP0042 HULESHWAR KUMAR SAHU</v>
      </c>
      <c r="J2313" s="91"/>
    </row>
    <row r="2314">
      <c r="B2314" s="76" t="str">
        <f>IFERROR(__xludf.DUMMYFUNCTION("""COMPUTED_VALUE"""),"Upload file, cross check and inform                               ")</f>
        <v>Upload file, cross check and inform                               </v>
      </c>
      <c r="C2314" s="82">
        <f>IFERROR(__xludf.DUMMYFUNCTION("""COMPUTED_VALUE"""),5280.0)</f>
        <v>5280</v>
      </c>
      <c r="D2314" s="76" t="str">
        <f>IFERROR(__xludf.DUMMYFUNCTION("""COMPUTED_VALUE"""),"SMKV ")</f>
        <v>SMKV </v>
      </c>
      <c r="E2314" s="84">
        <f>IFERROR(__xludf.DUMMYFUNCTION("""COMPUTED_VALUE"""),46196.59861111111)</f>
        <v>46196.59861</v>
      </c>
      <c r="F2314" s="86">
        <f>IFERROR(__xludf.DUMMYFUNCTION("""COMPUTED_VALUE"""),46195.50166829861)</f>
        <v>46195.50167</v>
      </c>
      <c r="G2314" s="86" t="str">
        <f>IFERROR(__xludf.DUMMYFUNCTION("""COMPUTED_VALUE"""),"Done")</f>
        <v>Done</v>
      </c>
      <c r="H2314" s="88">
        <f>IFERROR(__xludf.DUMMYFUNCTION("""COMPUTED_VALUE"""),0.0)</f>
        <v>0</v>
      </c>
      <c r="I2314" s="90" t="str">
        <f>IFERROR(__xludf.DUMMYFUNCTION("""COMPUTED_VALUE"""),"EMP0042 HULESHWAR KUMAR SAHU")</f>
        <v>EMP0042 HULESHWAR KUMAR SAHU</v>
      </c>
      <c r="J2314" s="91"/>
    </row>
    <row r="2315">
      <c r="B2315" s="76" t="str">
        <f>IFERROR(__xludf.DUMMYFUNCTION("""COMPUTED_VALUE"""),"Upload file, cross check and inform                               ")</f>
        <v>Upload file, cross check and inform                               </v>
      </c>
      <c r="C2315" s="82">
        <f>IFERROR(__xludf.DUMMYFUNCTION("""COMPUTED_VALUE"""),5281.0)</f>
        <v>5281</v>
      </c>
      <c r="D2315" s="76" t="str">
        <f>IFERROR(__xludf.DUMMYFUNCTION("""COMPUTED_VALUE"""),"SMKV")</f>
        <v>SMKV</v>
      </c>
      <c r="E2315" s="84">
        <f>IFERROR(__xludf.DUMMYFUNCTION("""COMPUTED_VALUE"""),46196.59930555556)</f>
        <v>46196.59931</v>
      </c>
      <c r="F2315" s="86">
        <f>IFERROR(__xludf.DUMMYFUNCTION("""COMPUTED_VALUE"""),46195.501695694446)</f>
        <v>46195.5017</v>
      </c>
      <c r="G2315" s="86" t="str">
        <f>IFERROR(__xludf.DUMMYFUNCTION("""COMPUTED_VALUE"""),"Done")</f>
        <v>Done</v>
      </c>
      <c r="H2315" s="88">
        <f>IFERROR(__xludf.DUMMYFUNCTION("""COMPUTED_VALUE"""),0.0)</f>
        <v>0</v>
      </c>
      <c r="I2315" s="90" t="str">
        <f>IFERROR(__xludf.DUMMYFUNCTION("""COMPUTED_VALUE"""),"EMP0042 HULESHWAR KUMAR SAHU")</f>
        <v>EMP0042 HULESHWAR KUMAR SAHU</v>
      </c>
      <c r="J2315" s="91"/>
    </row>
    <row r="2316">
      <c r="B2316" s="76" t="str">
        <f>IFERROR(__xludf.DUMMYFUNCTION("""COMPUTED_VALUE"""),"Upload file, cross check and inform                               ")</f>
        <v>Upload file, cross check and inform                               </v>
      </c>
      <c r="C2316" s="82">
        <f>IFERROR(__xludf.DUMMYFUNCTION("""COMPUTED_VALUE"""),5282.0)</f>
        <v>5282</v>
      </c>
      <c r="D2316" s="76" t="str">
        <f>IFERROR(__xludf.DUMMYFUNCTION("""COMPUTED_VALUE"""),"Manual_Cash_Counter")</f>
        <v>Manual_Cash_Counter</v>
      </c>
      <c r="E2316" s="84">
        <f>IFERROR(__xludf.DUMMYFUNCTION("""COMPUTED_VALUE"""),46197.42708333333)</f>
        <v>46197.42708</v>
      </c>
      <c r="F2316" s="86">
        <f>IFERROR(__xludf.DUMMYFUNCTION("""COMPUTED_VALUE"""),46196.77820462963)</f>
        <v>46196.7782</v>
      </c>
      <c r="G2316" s="86" t="str">
        <f>IFERROR(__xludf.DUMMYFUNCTION("""COMPUTED_VALUE"""),"Done")</f>
        <v>Done</v>
      </c>
      <c r="H2316" s="88">
        <f>IFERROR(__xludf.DUMMYFUNCTION("""COMPUTED_VALUE"""),0.0)</f>
        <v>0</v>
      </c>
      <c r="I2316" s="90" t="str">
        <f>IFERROR(__xludf.DUMMYFUNCTION("""COMPUTED_VALUE"""),"EMP5009 Rup Kumar Mandal")</f>
        <v>EMP5009 Rup Kumar Mandal</v>
      </c>
      <c r="J2316" s="91"/>
    </row>
    <row r="2317">
      <c r="B2317" s="76" t="str">
        <f>IFERROR(__xludf.DUMMYFUNCTION("""COMPUTED_VALUE"""),"Upload file, cross check and inform                               ")</f>
        <v>Upload file, cross check and inform                               </v>
      </c>
      <c r="C2317" s="82">
        <f>IFERROR(__xludf.DUMMYFUNCTION("""COMPUTED_VALUE"""),5283.0)</f>
        <v>5283</v>
      </c>
      <c r="D2317" s="76" t="str">
        <f>IFERROR(__xludf.DUMMYFUNCTION("""COMPUTED_VALUE"""),"Studentwise Cash Counter")</f>
        <v>Studentwise Cash Counter</v>
      </c>
      <c r="E2317" s="84">
        <f>IFERROR(__xludf.DUMMYFUNCTION("""COMPUTED_VALUE"""),46197.427777777775)</f>
        <v>46197.42778</v>
      </c>
      <c r="F2317" s="86">
        <f>IFERROR(__xludf.DUMMYFUNCTION("""COMPUTED_VALUE"""),46196.77820462963)</f>
        <v>46196.7782</v>
      </c>
      <c r="G2317" s="86" t="str">
        <f>IFERROR(__xludf.DUMMYFUNCTION("""COMPUTED_VALUE"""),"Done")</f>
        <v>Done</v>
      </c>
      <c r="H2317" s="88">
        <f>IFERROR(__xludf.DUMMYFUNCTION("""COMPUTED_VALUE"""),0.0)</f>
        <v>0</v>
      </c>
      <c r="I2317" s="90" t="str">
        <f>IFERROR(__xludf.DUMMYFUNCTION("""COMPUTED_VALUE"""),"EMP5009 Rup Kumar Mandal")</f>
        <v>EMP5009 Rup Kumar Mandal</v>
      </c>
      <c r="J2317" s="91"/>
    </row>
    <row r="2318">
      <c r="B2318" s="76" t="str">
        <f>IFERROR(__xludf.DUMMYFUNCTION("""COMPUTED_VALUE"""),"Upload file, cross check and inform                               ")</f>
        <v>Upload file, cross check and inform                               </v>
      </c>
      <c r="C2318" s="82">
        <f>IFERROR(__xludf.DUMMYFUNCTION("""COMPUTED_VALUE"""),5284.0)</f>
        <v>5284</v>
      </c>
      <c r="D2318" s="76" t="str">
        <f>IFERROR(__xludf.DUMMYFUNCTION("""COMPUTED_VALUE"""),"evaluation report anna.")</f>
        <v>evaluation report anna.</v>
      </c>
      <c r="E2318" s="84">
        <f>IFERROR(__xludf.DUMMYFUNCTION("""COMPUTED_VALUE"""),46197.57430555555)</f>
        <v>46197.57431</v>
      </c>
      <c r="F2318" s="86">
        <f>IFERROR(__xludf.DUMMYFUNCTION("""COMPUTED_VALUE"""),46196.77829743055)</f>
        <v>46196.7783</v>
      </c>
      <c r="G2318" s="86" t="str">
        <f>IFERROR(__xludf.DUMMYFUNCTION("""COMPUTED_VALUE"""),"Done")</f>
        <v>Done</v>
      </c>
      <c r="H2318" s="88">
        <f>IFERROR(__xludf.DUMMYFUNCTION("""COMPUTED_VALUE"""),0.0)</f>
        <v>0</v>
      </c>
      <c r="I2318" s="90" t="str">
        <f>IFERROR(__xludf.DUMMYFUNCTION("""COMPUTED_VALUE"""),"EMP5009 Rup Kumar Mandal")</f>
        <v>EMP5009 Rup Kumar Mandal</v>
      </c>
      <c r="J2318" s="91"/>
    </row>
    <row r="2319">
      <c r="B2319" s="76" t="str">
        <f>IFERROR(__xludf.DUMMYFUNCTION("""COMPUTED_VALUE"""),"Upload file, cross check and inform                               ")</f>
        <v>Upload file, cross check and inform                               </v>
      </c>
      <c r="C2319" s="82">
        <f>IFERROR(__xludf.DUMMYFUNCTION("""COMPUTED_VALUE"""),5285.0)</f>
        <v>5285</v>
      </c>
      <c r="D2319" s="76" t="str">
        <f>IFERROR(__xludf.DUMMYFUNCTION("""COMPUTED_VALUE"""),"MULTIPLE REPORT")</f>
        <v>MULTIPLE REPORT</v>
      </c>
      <c r="E2319" s="84">
        <f>IFERROR(__xludf.DUMMYFUNCTION("""COMPUTED_VALUE"""),46197.575694444444)</f>
        <v>46197.57569</v>
      </c>
      <c r="F2319" s="86">
        <f>IFERROR(__xludf.DUMMYFUNCTION("""COMPUTED_VALUE"""),46197.490386701385)</f>
        <v>46197.49039</v>
      </c>
      <c r="G2319" s="86" t="str">
        <f>IFERROR(__xludf.DUMMYFUNCTION("""COMPUTED_VALUE"""),"Done")</f>
        <v>Done</v>
      </c>
      <c r="H2319" s="88">
        <f>IFERROR(__xludf.DUMMYFUNCTION("""COMPUTED_VALUE"""),0.0)</f>
        <v>0</v>
      </c>
      <c r="I2319" s="90" t="str">
        <f>IFERROR(__xludf.DUMMYFUNCTION("""COMPUTED_VALUE"""),"EMP0042 HULESHWAR KUMAR SAHU")</f>
        <v>EMP0042 HULESHWAR KUMAR SAHU</v>
      </c>
      <c r="J2319" s="91"/>
    </row>
    <row r="2320">
      <c r="B2320" s="76" t="str">
        <f>IFERROR(__xludf.DUMMYFUNCTION("""COMPUTED_VALUE"""),"Upload file, cross check and inform                               ")</f>
        <v>Upload file, cross check and inform                               </v>
      </c>
      <c r="C2320" s="82">
        <f>IFERROR(__xludf.DUMMYFUNCTION("""COMPUTED_VALUE"""),5286.0)</f>
        <v>5286</v>
      </c>
      <c r="D2320" s="76" t="str">
        <f>IFERROR(__xludf.DUMMYFUNCTION("""COMPUTED_VALUE"""),"2781")</f>
        <v>2781</v>
      </c>
      <c r="E2320" s="84">
        <f>IFERROR(__xludf.DUMMYFUNCTION("""COMPUTED_VALUE"""),46198.47083333333)</f>
        <v>46198.47083</v>
      </c>
      <c r="F2320" s="86">
        <f>IFERROR(__xludf.DUMMYFUNCTION("""COMPUTED_VALUE"""),46198.406896863424)</f>
        <v>46198.4069</v>
      </c>
      <c r="G2320" s="86" t="str">
        <f>IFERROR(__xludf.DUMMYFUNCTION("""COMPUTED_VALUE"""),"Done")</f>
        <v>Done</v>
      </c>
      <c r="H2320" s="88">
        <f>IFERROR(__xludf.DUMMYFUNCTION("""COMPUTED_VALUE"""),0.0)</f>
        <v>0</v>
      </c>
      <c r="I2320" s="90" t="str">
        <f>IFERROR(__xludf.DUMMYFUNCTION("""COMPUTED_VALUE"""),"EMP5009 Rup Kumar Mandal")</f>
        <v>EMP5009 Rup Kumar Mandal</v>
      </c>
      <c r="J2320" s="91"/>
    </row>
    <row r="2321">
      <c r="B2321" s="76" t="str">
        <f>IFERROR(__xludf.DUMMYFUNCTION("""COMPUTED_VALUE"""),"Upload file, cross check and inform                               ")</f>
        <v>Upload file, cross check and inform                               </v>
      </c>
      <c r="C2321" s="82">
        <f>IFERROR(__xludf.DUMMYFUNCTION("""COMPUTED_VALUE"""),5287.0)</f>
        <v>5287</v>
      </c>
      <c r="D2321" s="76" t="str">
        <f>IFERROR(__xludf.DUMMYFUNCTION("""COMPUTED_VALUE"""),"TR REPORT")</f>
        <v>TR REPORT</v>
      </c>
      <c r="E2321" s="84">
        <f>IFERROR(__xludf.DUMMYFUNCTION("""COMPUTED_VALUE"""),46198.805555555555)</f>
        <v>46198.80556</v>
      </c>
      <c r="F2321" s="86">
        <f>IFERROR(__xludf.DUMMYFUNCTION("""COMPUTED_VALUE"""),46198.47339326389)</f>
        <v>46198.47339</v>
      </c>
      <c r="G2321" s="86" t="str">
        <f>IFERROR(__xludf.DUMMYFUNCTION("""COMPUTED_VALUE"""),"Done")</f>
        <v>Done</v>
      </c>
      <c r="H2321" s="88">
        <f>IFERROR(__xludf.DUMMYFUNCTION("""COMPUTED_VALUE"""),0.0)</f>
        <v>0</v>
      </c>
      <c r="I2321" s="90" t="str">
        <f>IFERROR(__xludf.DUMMYFUNCTION("""COMPUTED_VALUE"""),"EMP0237 Swarnendu Chakraborty")</f>
        <v>EMP0237 Swarnendu Chakraborty</v>
      </c>
      <c r="J2321" s="91"/>
    </row>
    <row r="2322">
      <c r="B2322" s="76" t="str">
        <f>IFERROR(__xludf.DUMMYFUNCTION("""COMPUTED_VALUE"""),"Upload file, cross check and inform                               ")</f>
        <v>Upload file, cross check and inform                               </v>
      </c>
      <c r="C2322" s="82">
        <f>IFERROR(__xludf.DUMMYFUNCTION("""COMPUTED_VALUE"""),5288.0)</f>
        <v>5288</v>
      </c>
      <c r="D2322" s="76" t="str">
        <f>IFERROR(__xludf.DUMMYFUNCTION("""COMPUTED_VALUE"""),"5coltrsem6sem_elective_back_")</f>
        <v>5coltrsem6sem_elective_back_</v>
      </c>
      <c r="E2322" s="84">
        <f>IFERROR(__xludf.DUMMYFUNCTION("""COMPUTED_VALUE"""),46199.419444444444)</f>
        <v>46199.41944</v>
      </c>
      <c r="F2322" s="86">
        <f>IFERROR(__xludf.DUMMYFUNCTION("""COMPUTED_VALUE"""),46197.628682511575)</f>
        <v>46197.62868</v>
      </c>
      <c r="G2322" s="86" t="str">
        <f>IFERROR(__xludf.DUMMYFUNCTION("""COMPUTED_VALUE"""),"Done")</f>
        <v>Done</v>
      </c>
      <c r="H2322" s="88">
        <f>IFERROR(__xludf.DUMMYFUNCTION("""COMPUTED_VALUE"""),0.0)</f>
        <v>0</v>
      </c>
      <c r="I2322" s="90" t="str">
        <f>IFERROR(__xludf.DUMMYFUNCTION("""COMPUTED_VALUE"""),"EMP0042 HULESHWAR KUMAR SAHU")</f>
        <v>EMP0042 HULESHWAR KUMAR SAHU</v>
      </c>
      <c r="J2322" s="91"/>
    </row>
    <row r="2323">
      <c r="B2323" s="76" t="str">
        <f>IFERROR(__xludf.DUMMYFUNCTION("""COMPUTED_VALUE"""),"Upload file, cross check and inform                               ")</f>
        <v>Upload file, cross check and inform                               </v>
      </c>
      <c r="C2323" s="82">
        <f>IFERROR(__xludf.DUMMYFUNCTION("""COMPUTED_VALUE"""),5289.0)</f>
        <v>5289</v>
      </c>
      <c r="D2323" s="76" t="str">
        <f>IFERROR(__xludf.DUMMYFUNCTION("""COMPUTED_VALUE"""),"Marksheet (D.PHARMA)")</f>
        <v>Marksheet (D.PHARMA)</v>
      </c>
      <c r="E2323" s="84">
        <f>IFERROR(__xludf.DUMMYFUNCTION("""COMPUTED_VALUE"""),46199.427777777775)</f>
        <v>46199.42778</v>
      </c>
      <c r="F2323" s="86">
        <f>IFERROR(__xludf.DUMMYFUNCTION("""COMPUTED_VALUE"""),46197.58779378472)</f>
        <v>46197.58779</v>
      </c>
      <c r="G2323" s="86" t="str">
        <f>IFERROR(__xludf.DUMMYFUNCTION("""COMPUTED_VALUE"""),"Done")</f>
        <v>Done</v>
      </c>
      <c r="H2323" s="88">
        <f>IFERROR(__xludf.DUMMYFUNCTION("""COMPUTED_VALUE"""),0.0)</f>
        <v>0</v>
      </c>
      <c r="I2323" s="90" t="str">
        <f>IFERROR(__xludf.DUMMYFUNCTION("""COMPUTED_VALUE"""),"EMP0042 HULESHWAR KUMAR SAHU")</f>
        <v>EMP0042 HULESHWAR KUMAR SAHU</v>
      </c>
      <c r="J2323" s="91"/>
    </row>
    <row r="2324">
      <c r="B2324" s="76" t="str">
        <f>IFERROR(__xludf.DUMMYFUNCTION("""COMPUTED_VALUE"""),"Upload file, cross check and inform                               ")</f>
        <v>Upload file, cross check and inform                               </v>
      </c>
      <c r="C2324" s="82">
        <f>IFERROR(__xludf.DUMMYFUNCTION("""COMPUTED_VALUE"""),5290.0)</f>
        <v>5290</v>
      </c>
      <c r="D2324" s="76" t="str">
        <f>IFERROR(__xludf.DUMMYFUNCTION("""COMPUTED_VALUE"""),"gradaecard4-btech")</f>
        <v>gradaecard4-btech</v>
      </c>
      <c r="E2324" s="84">
        <f>IFERROR(__xludf.DUMMYFUNCTION("""COMPUTED_VALUE"""),46199.44236111111)</f>
        <v>46199.44236</v>
      </c>
      <c r="F2324" s="86">
        <f>IFERROR(__xludf.DUMMYFUNCTION("""COMPUTED_VALUE"""),46197.80344268518)</f>
        <v>46197.80344</v>
      </c>
      <c r="G2324" s="86" t="str">
        <f>IFERROR(__xludf.DUMMYFUNCTION("""COMPUTED_VALUE"""),"Done")</f>
        <v>Done</v>
      </c>
      <c r="H2324" s="88">
        <f>IFERROR(__xludf.DUMMYFUNCTION("""COMPUTED_VALUE"""),0.0)</f>
        <v>0</v>
      </c>
      <c r="I2324" s="90" t="str">
        <f>IFERROR(__xludf.DUMMYFUNCTION("""COMPUTED_VALUE"""),"EMP0042 HULESHWAR KUMAR SAHU")</f>
        <v>EMP0042 HULESHWAR KUMAR SAHU</v>
      </c>
      <c r="J2324" s="91"/>
    </row>
    <row r="2325">
      <c r="B2325" s="76" t="str">
        <f>IFERROR(__xludf.DUMMYFUNCTION("""COMPUTED_VALUE"""),"Upload file, cross check and inform                               ")</f>
        <v>Upload file, cross check and inform                               </v>
      </c>
      <c r="C2325" s="82">
        <f>IFERROR(__xludf.DUMMYFUNCTION("""COMPUTED_VALUE"""),5291.0)</f>
        <v>5291</v>
      </c>
      <c r="D2325" s="76" t="str">
        <f>IFERROR(__xludf.DUMMYFUNCTION("""COMPUTED_VALUE"""),"Student wise form report")</f>
        <v>Student wise form report</v>
      </c>
      <c r="E2325" s="84">
        <f>IFERROR(__xludf.DUMMYFUNCTION("""COMPUTED_VALUE"""),46199.45416666666)</f>
        <v>46199.45417</v>
      </c>
      <c r="F2325" s="86">
        <f>IFERROR(__xludf.DUMMYFUNCTION("""COMPUTED_VALUE"""),46199.45408665509)</f>
        <v>46199.45409</v>
      </c>
      <c r="G2325" s="86" t="str">
        <f>IFERROR(__xludf.DUMMYFUNCTION("""COMPUTED_VALUE"""),"Done")</f>
        <v>Done</v>
      </c>
      <c r="H2325" s="88">
        <f>IFERROR(__xludf.DUMMYFUNCTION("""COMPUTED_VALUE"""),0.0)</f>
        <v>0</v>
      </c>
      <c r="I2325" s="90" t="str">
        <f>IFERROR(__xludf.DUMMYFUNCTION("""COMPUTED_VALUE"""),"EMP0237 Swarnendu Chakraborty")</f>
        <v>EMP0237 Swarnendu Chakraborty</v>
      </c>
      <c r="J2325" s="91"/>
    </row>
    <row r="2326">
      <c r="B2326" s="76" t="str">
        <f>IFERROR(__xludf.DUMMYFUNCTION("""COMPUTED_VALUE"""),"Upload file, cross check and inform                               ")</f>
        <v>Upload file, cross check and inform                               </v>
      </c>
      <c r="C2326" s="82">
        <f>IFERROR(__xludf.DUMMYFUNCTION("""COMPUTED_VALUE"""),5292.0)</f>
        <v>5292</v>
      </c>
      <c r="D2326" s="76" t="str">
        <f>IFERROR(__xludf.DUMMYFUNCTION("""COMPUTED_VALUE"""),"SESSION WISE RESULT SUMMARY ")</f>
        <v>SESSION WISE RESULT SUMMARY </v>
      </c>
      <c r="E2326" s="84">
        <f>IFERROR(__xludf.DUMMYFUNCTION("""COMPUTED_VALUE"""),46199.48263888889)</f>
        <v>46199.48264</v>
      </c>
      <c r="F2326" s="86">
        <f>IFERROR(__xludf.DUMMYFUNCTION("""COMPUTED_VALUE"""),46199.453930138894)</f>
        <v>46199.45393</v>
      </c>
      <c r="G2326" s="86" t="str">
        <f>IFERROR(__xludf.DUMMYFUNCTION("""COMPUTED_VALUE"""),"Done")</f>
        <v>Done</v>
      </c>
      <c r="H2326" s="88">
        <f>IFERROR(__xludf.DUMMYFUNCTION("""COMPUTED_VALUE"""),0.0)</f>
        <v>0</v>
      </c>
      <c r="I2326" s="90" t="str">
        <f>IFERROR(__xludf.DUMMYFUNCTION("""COMPUTED_VALUE"""),"EMP0237 Swarnendu Chakraborty")</f>
        <v>EMP0237 Swarnendu Chakraborty</v>
      </c>
      <c r="J2326" s="91"/>
    </row>
    <row r="2327">
      <c r="B2327" s="76" t="str">
        <f>IFERROR(__xludf.DUMMYFUNCTION("""COMPUTED_VALUE"""),"Upload file, cross check and inform                               ")</f>
        <v>Upload file, cross check and inform                               </v>
      </c>
      <c r="C2327" s="82">
        <f>IFERROR(__xludf.DUMMYFUNCTION("""COMPUTED_VALUE"""),5293.0)</f>
        <v>5293</v>
      </c>
      <c r="D2327" s="76" t="str">
        <f>IFERROR(__xludf.DUMMYFUNCTION("""COMPUTED_VALUE"""),"Analytics Deshbord report")</f>
        <v>Analytics Deshbord report</v>
      </c>
      <c r="E2327" s="84">
        <f>IFERROR(__xludf.DUMMYFUNCTION("""COMPUTED_VALUE"""),46199.59722222222)</f>
        <v>46199.59722</v>
      </c>
      <c r="F2327" s="86">
        <f>IFERROR(__xludf.DUMMYFUNCTION("""COMPUTED_VALUE"""),46199.45429936343)</f>
        <v>46199.4543</v>
      </c>
      <c r="G2327" s="86" t="str">
        <f>IFERROR(__xludf.DUMMYFUNCTION("""COMPUTED_VALUE"""),"Done")</f>
        <v>Done</v>
      </c>
      <c r="H2327" s="88">
        <f>IFERROR(__xludf.DUMMYFUNCTION("""COMPUTED_VALUE"""),0.0)</f>
        <v>0</v>
      </c>
      <c r="I2327" s="90" t="str">
        <f>IFERROR(__xludf.DUMMYFUNCTION("""COMPUTED_VALUE"""),"EMP0237 Swarnendu Chakraborty")</f>
        <v>EMP0237 Swarnendu Chakraborty</v>
      </c>
      <c r="J2327" s="91"/>
    </row>
    <row r="2328">
      <c r="B2328" s="76" t="str">
        <f>IFERROR(__xludf.DUMMYFUNCTION("""COMPUTED_VALUE"""),"Upload file, cross check and inform                               ")</f>
        <v>Upload file, cross check and inform                               </v>
      </c>
      <c r="C2328" s="82">
        <f>IFERROR(__xludf.DUMMYFUNCTION("""COMPUTED_VALUE"""),5294.0)</f>
        <v>5294</v>
      </c>
      <c r="D2328" s="76" t="str">
        <f>IFERROR(__xludf.DUMMYFUNCTION("""COMPUTED_VALUE"""),"TR MBA 4th sem( With division )")</f>
        <v>TR MBA 4th sem( With division )</v>
      </c>
      <c r="E2328" s="84">
        <f>IFERROR(__xludf.DUMMYFUNCTION("""COMPUTED_VALUE"""),46199.79513888889)</f>
        <v>46199.79514</v>
      </c>
      <c r="F2328" s="86">
        <f>IFERROR(__xludf.DUMMYFUNCTION("""COMPUTED_VALUE"""),46198.703975069446)</f>
        <v>46198.70398</v>
      </c>
      <c r="G2328" s="86" t="str">
        <f>IFERROR(__xludf.DUMMYFUNCTION("""COMPUTED_VALUE"""),"Done")</f>
        <v>Done</v>
      </c>
      <c r="H2328" s="88">
        <f>IFERROR(__xludf.DUMMYFUNCTION("""COMPUTED_VALUE"""),0.0)</f>
        <v>0</v>
      </c>
      <c r="I2328" s="90" t="str">
        <f>IFERROR(__xludf.DUMMYFUNCTION("""COMPUTED_VALUE"""),"EMP0042 HULESHWAR KUMAR SAHU")</f>
        <v>EMP0042 HULESHWAR KUMAR SAHU</v>
      </c>
      <c r="J2328" s="91"/>
    </row>
    <row r="2329">
      <c r="B2329" s="76" t="str">
        <f>IFERROR(__xludf.DUMMYFUNCTION("""COMPUTED_VALUE"""),"Upload file, cross check and inform                               ")</f>
        <v>Upload file, cross check and inform                               </v>
      </c>
      <c r="C2329" s="82">
        <f>IFERROR(__xludf.DUMMYFUNCTION("""COMPUTED_VALUE"""),5295.0)</f>
        <v>5295</v>
      </c>
      <c r="D2329" s="76" t="str">
        <f>IFERROR(__xludf.DUMMYFUNCTION("""COMPUTED_VALUE"""),"NAD DATA")</f>
        <v>NAD DATA</v>
      </c>
      <c r="E2329" s="84">
        <f>IFERROR(__xludf.DUMMYFUNCTION("""COMPUTED_VALUE"""),46199.82152777778)</f>
        <v>46199.82153</v>
      </c>
      <c r="F2329" s="86">
        <f>IFERROR(__xludf.DUMMYFUNCTION("""COMPUTED_VALUE"""),46199.61761650463)</f>
        <v>46199.61762</v>
      </c>
      <c r="G2329" s="86" t="str">
        <f>IFERROR(__xludf.DUMMYFUNCTION("""COMPUTED_VALUE"""),"Done")</f>
        <v>Done</v>
      </c>
      <c r="H2329" s="88">
        <f>IFERROR(__xludf.DUMMYFUNCTION("""COMPUTED_VALUE"""),0.0)</f>
        <v>0</v>
      </c>
      <c r="I2329" s="90" t="str">
        <f>IFERROR(__xludf.DUMMYFUNCTION("""COMPUTED_VALUE"""),"EMP0237 Swarnendu Chakraborty")</f>
        <v>EMP0237 Swarnendu Chakraborty</v>
      </c>
      <c r="J2329" s="91"/>
    </row>
    <row r="2330">
      <c r="B2330" s="76" t="str">
        <f>IFERROR(__xludf.DUMMYFUNCTION("""COMPUTED_VALUE"""),"Upload file, cross check and inform                               ")</f>
        <v>Upload file, cross check and inform                               </v>
      </c>
      <c r="C2330" s="82">
        <f>IFERROR(__xludf.DUMMYFUNCTION("""COMPUTED_VALUE"""),5296.0)</f>
        <v>5296</v>
      </c>
      <c r="D2330" s="76" t="str">
        <f>IFERROR(__xludf.DUMMYFUNCTION("""COMPUTED_VALUE"""),"ATTESTATION SHEET ")</f>
        <v>ATTESTATION SHEET </v>
      </c>
      <c r="E2330" s="84">
        <f>IFERROR(__xludf.DUMMYFUNCTION("""COMPUTED_VALUE"""),46200.41805555555)</f>
        <v>46200.41806</v>
      </c>
      <c r="F2330" s="86">
        <f>IFERROR(__xludf.DUMMYFUNCTION("""COMPUTED_VALUE"""),46199.46787864583)</f>
        <v>46199.46788</v>
      </c>
      <c r="G2330" s="86" t="str">
        <f>IFERROR(__xludf.DUMMYFUNCTION("""COMPUTED_VALUE"""),"Done")</f>
        <v>Done</v>
      </c>
      <c r="H2330" s="88">
        <f>IFERROR(__xludf.DUMMYFUNCTION("""COMPUTED_VALUE"""),0.0)</f>
        <v>0</v>
      </c>
      <c r="I2330" s="90" t="str">
        <f>IFERROR(__xludf.DUMMYFUNCTION("""COMPUTED_VALUE"""),"EMP5009 Rup Kumar Mandal")</f>
        <v>EMP5009 Rup Kumar Mandal</v>
      </c>
      <c r="J2330" s="91"/>
    </row>
    <row r="2331">
      <c r="B2331" s="76" t="str">
        <f>IFERROR(__xludf.DUMMYFUNCTION("""COMPUTED_VALUE"""),"Upload file, cross check and inform                               ")</f>
        <v>Upload file, cross check and inform                               </v>
      </c>
      <c r="C2331" s="82">
        <f>IFERROR(__xludf.DUMMYFUNCTION("""COMPUTED_VALUE"""),5297.0)</f>
        <v>5297</v>
      </c>
      <c r="D2331" s="76" t="str">
        <f>IFERROR(__xludf.DUMMYFUNCTION("""COMPUTED_VALUE"""),"NAD data ")</f>
        <v>NAD data </v>
      </c>
      <c r="E2331" s="84">
        <f>IFERROR(__xludf.DUMMYFUNCTION("""COMPUTED_VALUE"""),46200.66111111111)</f>
        <v>46200.66111</v>
      </c>
      <c r="F2331" s="86">
        <f>IFERROR(__xludf.DUMMYFUNCTION("""COMPUTED_VALUE"""),46199.4678828125)</f>
        <v>46199.46788</v>
      </c>
      <c r="G2331" s="86" t="str">
        <f>IFERROR(__xludf.DUMMYFUNCTION("""COMPUTED_VALUE"""),"Done")</f>
        <v>Done</v>
      </c>
      <c r="H2331" s="88">
        <f>IFERROR(__xludf.DUMMYFUNCTION("""COMPUTED_VALUE"""),0.0)</f>
        <v>0</v>
      </c>
      <c r="I2331" s="90" t="str">
        <f>IFERROR(__xludf.DUMMYFUNCTION("""COMPUTED_VALUE"""),"EMP5009 Rup Kumar Mandal")</f>
        <v>EMP5009 Rup Kumar Mandal</v>
      </c>
      <c r="J2331" s="91"/>
    </row>
    <row r="2332">
      <c r="B2332" s="76" t="str">
        <f>IFERROR(__xludf.DUMMYFUNCTION("""COMPUTED_VALUE"""),"Upload file, cross check and inform                               ")</f>
        <v>Upload file, cross check and inform                               </v>
      </c>
      <c r="C2332" s="82">
        <f>IFERROR(__xludf.DUMMYFUNCTION("""COMPUTED_VALUE"""),5298.0)</f>
        <v>5298</v>
      </c>
      <c r="D2332" s="76" t="str">
        <f>IFERROR(__xludf.DUMMYFUNCTION("""COMPUTED_VALUE"""),"Attendance Sheet PG &amp; PHD")</f>
        <v>Attendance Sheet PG &amp; PHD</v>
      </c>
      <c r="E2332" s="84">
        <f>IFERROR(__xludf.DUMMYFUNCTION("""COMPUTED_VALUE"""),46200.70277777778)</f>
        <v>46200.70278</v>
      </c>
      <c r="F2332" s="86">
        <f>IFERROR(__xludf.DUMMYFUNCTION("""COMPUTED_VALUE"""),46200.4458821875)</f>
        <v>46200.44588</v>
      </c>
      <c r="G2332" s="86" t="str">
        <f>IFERROR(__xludf.DUMMYFUNCTION("""COMPUTED_VALUE"""),"Done")</f>
        <v>Done</v>
      </c>
      <c r="H2332" s="88">
        <f>IFERROR(__xludf.DUMMYFUNCTION("""COMPUTED_VALUE"""),0.0)</f>
        <v>0</v>
      </c>
      <c r="I2332" s="90" t="str">
        <f>IFERROR(__xludf.DUMMYFUNCTION("""COMPUTED_VALUE"""),"EMP0021 Tamanna Dewangan")</f>
        <v>EMP0021 Tamanna Dewangan</v>
      </c>
      <c r="J2332" s="91"/>
    </row>
    <row r="2333">
      <c r="B2333" s="76" t="str">
        <f>IFERROR(__xludf.DUMMYFUNCTION("""COMPUTED_VALUE"""),"Upload file, cross check and inform                               ")</f>
        <v>Upload file, cross check and inform                               </v>
      </c>
      <c r="C2333" s="82">
        <f>IFERROR(__xludf.DUMMYFUNCTION("""COMPUTED_VALUE"""),5299.0)</f>
        <v>5299</v>
      </c>
      <c r="D2333" s="76" t="str">
        <f>IFERROR(__xludf.DUMMYFUNCTION("""COMPUTED_VALUE"""),"Summary For PG/PHD")</f>
        <v>Summary For PG/PHD</v>
      </c>
      <c r="E2333" s="84">
        <f>IFERROR(__xludf.DUMMYFUNCTION("""COMPUTED_VALUE"""),46200.70416666666)</f>
        <v>46200.70417</v>
      </c>
      <c r="F2333" s="86">
        <f>IFERROR(__xludf.DUMMYFUNCTION("""COMPUTED_VALUE"""),46200.44591270833)</f>
        <v>46200.44591</v>
      </c>
      <c r="G2333" s="86" t="str">
        <f>IFERROR(__xludf.DUMMYFUNCTION("""COMPUTED_VALUE"""),"Done")</f>
        <v>Done</v>
      </c>
      <c r="H2333" s="88">
        <f>IFERROR(__xludf.DUMMYFUNCTION("""COMPUTED_VALUE"""),0.0)</f>
        <v>0</v>
      </c>
      <c r="I2333" s="90" t="str">
        <f>IFERROR(__xludf.DUMMYFUNCTION("""COMPUTED_VALUE"""),"EMP0021 Tamanna Dewangan")</f>
        <v>EMP0021 Tamanna Dewangan</v>
      </c>
      <c r="J2333" s="91"/>
    </row>
    <row r="2334">
      <c r="B2334" s="76" t="str">
        <f>IFERROR(__xludf.DUMMYFUNCTION("""COMPUTED_VALUE"""),"Upload file, cross check and inform                               ")</f>
        <v>Upload file, cross check and inform                               </v>
      </c>
      <c r="C2334" s="82">
        <f>IFERROR(__xludf.DUMMYFUNCTION("""COMPUTED_VALUE"""),5300.0)</f>
        <v>5300</v>
      </c>
      <c r="D2334" s="76" t="str">
        <f>IFERROR(__xludf.DUMMYFUNCTION("""COMPUTED_VALUE"""),"Cover Page")</f>
        <v>Cover Page</v>
      </c>
      <c r="E2334" s="84">
        <f>IFERROR(__xludf.DUMMYFUNCTION("""COMPUTED_VALUE"""),46200.705555555556)</f>
        <v>46200.70556</v>
      </c>
      <c r="F2334" s="86">
        <f>IFERROR(__xludf.DUMMYFUNCTION("""COMPUTED_VALUE"""),46200.44592774306)</f>
        <v>46200.44593</v>
      </c>
      <c r="G2334" s="86" t="str">
        <f>IFERROR(__xludf.DUMMYFUNCTION("""COMPUTED_VALUE"""),"Done")</f>
        <v>Done</v>
      </c>
      <c r="H2334" s="88">
        <f>IFERROR(__xludf.DUMMYFUNCTION("""COMPUTED_VALUE"""),0.0)</f>
        <v>0</v>
      </c>
      <c r="I2334" s="90" t="str">
        <f>IFERROR(__xludf.DUMMYFUNCTION("""COMPUTED_VALUE"""),"EMP0021 Tamanna Dewangan")</f>
        <v>EMP0021 Tamanna Dewangan</v>
      </c>
      <c r="J2334" s="91"/>
    </row>
    <row r="2335">
      <c r="B2335" s="76" t="str">
        <f>IFERROR(__xludf.DUMMYFUNCTION("""COMPUTED_VALUE"""),"Upload file, cross check and inform                               ")</f>
        <v>Upload file, cross check and inform                               </v>
      </c>
      <c r="C2335" s="82">
        <f>IFERROR(__xludf.DUMMYFUNCTION("""COMPUTED_VALUE"""),5301.0)</f>
        <v>5301</v>
      </c>
      <c r="D2335" s="76" t="str">
        <f>IFERROR(__xludf.DUMMYFUNCTION("""COMPUTED_VALUE"""),"Analysis report")</f>
        <v>Analysis report</v>
      </c>
      <c r="E2335" s="84">
        <f>IFERROR(__xludf.DUMMYFUNCTION("""COMPUTED_VALUE"""),46200.711805555555)</f>
        <v>46200.71181</v>
      </c>
      <c r="F2335" s="86">
        <f>IFERROR(__xludf.DUMMYFUNCTION("""COMPUTED_VALUE"""),46200.445983935184)</f>
        <v>46200.44598</v>
      </c>
      <c r="G2335" s="86" t="str">
        <f>IFERROR(__xludf.DUMMYFUNCTION("""COMPUTED_VALUE"""),"Done")</f>
        <v>Done</v>
      </c>
      <c r="H2335" s="88">
        <f>IFERROR(__xludf.DUMMYFUNCTION("""COMPUTED_VALUE"""),0.0)</f>
        <v>0</v>
      </c>
      <c r="I2335" s="90" t="str">
        <f>IFERROR(__xludf.DUMMYFUNCTION("""COMPUTED_VALUE"""),"EMP0021 Tamanna Dewangan")</f>
        <v>EMP0021 Tamanna Dewangan</v>
      </c>
      <c r="J2335" s="91"/>
    </row>
    <row r="2336">
      <c r="B2336" s="76" t="str">
        <f>IFERROR(__xludf.DUMMYFUNCTION("""COMPUTED_VALUE"""),"Upload file, cross check and inform                               ")</f>
        <v>Upload file, cross check and inform                               </v>
      </c>
      <c r="C2336" s="82">
        <f>IFERROR(__xludf.DUMMYFUNCTION("""COMPUTED_VALUE"""),5302.0)</f>
        <v>5302</v>
      </c>
      <c r="D2336" s="76" t="str">
        <f>IFERROR(__xludf.DUMMYFUNCTION("""COMPUTED_VALUE"""),"Analytics report")</f>
        <v>Analytics report</v>
      </c>
      <c r="E2336" s="84">
        <f>IFERROR(__xludf.DUMMYFUNCTION("""COMPUTED_VALUE"""),46200.7125)</f>
        <v>46200.7125</v>
      </c>
      <c r="F2336" s="86">
        <f>IFERROR(__xludf.DUMMYFUNCTION("""COMPUTED_VALUE"""),46200.44600545139)</f>
        <v>46200.44601</v>
      </c>
      <c r="G2336" s="86" t="str">
        <f>IFERROR(__xludf.DUMMYFUNCTION("""COMPUTED_VALUE"""),"Done")</f>
        <v>Done</v>
      </c>
      <c r="H2336" s="88">
        <f>IFERROR(__xludf.DUMMYFUNCTION("""COMPUTED_VALUE"""),0.0)</f>
        <v>0</v>
      </c>
      <c r="I2336" s="90" t="str">
        <f>IFERROR(__xludf.DUMMYFUNCTION("""COMPUTED_VALUE"""),"EMP0021 Tamanna Dewangan")</f>
        <v>EMP0021 Tamanna Dewangan</v>
      </c>
      <c r="J2336" s="91"/>
    </row>
    <row r="2337">
      <c r="B2337" s="76" t="str">
        <f>IFERROR(__xludf.DUMMYFUNCTION("""COMPUTED_VALUE"""),"Upload file, cross check and inform                               ")</f>
        <v>Upload file, cross check and inform                               </v>
      </c>
      <c r="C2337" s="82">
        <f>IFERROR(__xludf.DUMMYFUNCTION("""COMPUTED_VALUE"""),5303.0)</f>
        <v>5303</v>
      </c>
      <c r="D2337" s="76" t="str">
        <f>IFERROR(__xludf.DUMMYFUNCTION("""COMPUTED_VALUE"""),"otal Student and all matrix count mismatch Eg:999 College")</f>
        <v>otal Student and all matrix count mismatch Eg:999 College</v>
      </c>
      <c r="E2337" s="84">
        <f>IFERROR(__xludf.DUMMYFUNCTION("""COMPUTED_VALUE"""),46200.71319444444)</f>
        <v>46200.71319</v>
      </c>
      <c r="F2337" s="86">
        <f>IFERROR(__xludf.DUMMYFUNCTION("""COMPUTED_VALUE"""),46200.44779233796)</f>
        <v>46200.44779</v>
      </c>
      <c r="G2337" s="86" t="str">
        <f>IFERROR(__xludf.DUMMYFUNCTION("""COMPUTED_VALUE"""),"Done")</f>
        <v>Done</v>
      </c>
      <c r="H2337" s="88">
        <f>IFERROR(__xludf.DUMMYFUNCTION("""COMPUTED_VALUE"""),0.0)</f>
        <v>0</v>
      </c>
      <c r="I2337" s="90" t="str">
        <f>IFERROR(__xludf.DUMMYFUNCTION("""COMPUTED_VALUE"""),"EMP0021 Tamanna Dewangan")</f>
        <v>EMP0021 Tamanna Dewangan</v>
      </c>
      <c r="J2337" s="91"/>
    </row>
    <row r="2338">
      <c r="B2338" s="76" t="str">
        <f>IFERROR(__xludf.DUMMYFUNCTION("""COMPUTED_VALUE"""),"Upload file, cross check and inform                               ")</f>
        <v>Upload file, cross check and inform                               </v>
      </c>
      <c r="C2338" s="82">
        <f>IFERROR(__xludf.DUMMYFUNCTION("""COMPUTED_VALUE"""),5304.0)</f>
        <v>5304</v>
      </c>
      <c r="D2338" s="76" t="str">
        <f>IFERROR(__xludf.DUMMYFUNCTION("""COMPUTED_VALUE"""),"otal Student and all matrix count mismatch Eg:999 College")</f>
        <v>otal Student and all matrix count mismatch Eg:999 College</v>
      </c>
      <c r="E2338" s="84">
        <f>IFERROR(__xludf.DUMMYFUNCTION("""COMPUTED_VALUE"""),46200.714583333334)</f>
        <v>46200.71458</v>
      </c>
      <c r="F2338" s="86">
        <f>IFERROR(__xludf.DUMMYFUNCTION("""COMPUTED_VALUE"""),46200.44780967593)</f>
        <v>46200.44781</v>
      </c>
      <c r="G2338" s="86" t="str">
        <f>IFERROR(__xludf.DUMMYFUNCTION("""COMPUTED_VALUE"""),"Done")</f>
        <v>Done</v>
      </c>
      <c r="H2338" s="88">
        <f>IFERROR(__xludf.DUMMYFUNCTION("""COMPUTED_VALUE"""),0.0)</f>
        <v>0</v>
      </c>
      <c r="I2338" s="90" t="str">
        <f>IFERROR(__xludf.DUMMYFUNCTION("""COMPUTED_VALUE"""),"EMP0021 Tamanna Dewangan")</f>
        <v>EMP0021 Tamanna Dewangan</v>
      </c>
      <c r="J2338" s="91"/>
    </row>
    <row r="2339">
      <c r="B2339" s="76" t="str">
        <f>IFERROR(__xludf.DUMMYFUNCTION("""COMPUTED_VALUE"""),"Upload file, cross check and inform                               ")</f>
        <v>Upload file, cross check and inform                               </v>
      </c>
      <c r="C2339" s="82">
        <f>IFERROR(__xludf.DUMMYFUNCTION("""COMPUTED_VALUE"""),5305.0)</f>
        <v>5305</v>
      </c>
      <c r="D2339" s="76" t="str">
        <f>IFERROR(__xludf.DUMMYFUNCTION("""COMPUTED_VALUE"""),"fee details")</f>
        <v>fee details</v>
      </c>
      <c r="E2339" s="84">
        <f>IFERROR(__xludf.DUMMYFUNCTION("""COMPUTED_VALUE"""),46200.71597222222)</f>
        <v>46200.71597</v>
      </c>
      <c r="F2339" s="86">
        <f>IFERROR(__xludf.DUMMYFUNCTION("""COMPUTED_VALUE"""),46200.44786663194)</f>
        <v>46200.44787</v>
      </c>
      <c r="G2339" s="86" t="str">
        <f>IFERROR(__xludf.DUMMYFUNCTION("""COMPUTED_VALUE"""),"Done")</f>
        <v>Done</v>
      </c>
      <c r="H2339" s="88">
        <f>IFERROR(__xludf.DUMMYFUNCTION("""COMPUTED_VALUE"""),0.0)</f>
        <v>0</v>
      </c>
      <c r="I2339" s="90" t="str">
        <f>IFERROR(__xludf.DUMMYFUNCTION("""COMPUTED_VALUE"""),"EMP0021 Tamanna Dewangan")</f>
        <v>EMP0021 Tamanna Dewangan</v>
      </c>
      <c r="J2339" s="91"/>
    </row>
    <row r="2340">
      <c r="B2340" s="76" t="str">
        <f>IFERROR(__xludf.DUMMYFUNCTION("""COMPUTED_VALUE"""),"Upload file, cross check and inform                               ")</f>
        <v>Upload file, cross check and inform                               </v>
      </c>
      <c r="C2340" s="82">
        <f>IFERROR(__xludf.DUMMYFUNCTION("""COMPUTED_VALUE"""),5306.0)</f>
        <v>5306</v>
      </c>
      <c r="D2340" s="76" t="str">
        <f>IFERROR(__xludf.DUMMYFUNCTION("""COMPUTED_VALUE"""),"DIGI LOKER Data new")</f>
        <v>DIGI LOKER Data new</v>
      </c>
      <c r="E2340" s="84">
        <f>IFERROR(__xludf.DUMMYFUNCTION("""COMPUTED_VALUE"""),46200.76666666666)</f>
        <v>46200.76667</v>
      </c>
      <c r="F2340" s="86">
        <f>IFERROR(__xludf.DUMMYFUNCTION("""COMPUTED_VALUE"""),46200.56258996527)</f>
        <v>46200.56259</v>
      </c>
      <c r="G2340" s="86" t="str">
        <f>IFERROR(__xludf.DUMMYFUNCTION("""COMPUTED_VALUE"""),"Done")</f>
        <v>Done</v>
      </c>
      <c r="H2340" s="88">
        <f>IFERROR(__xludf.DUMMYFUNCTION("""COMPUTED_VALUE"""),0.0)</f>
        <v>0</v>
      </c>
      <c r="I2340" s="90" t="str">
        <f>IFERROR(__xludf.DUMMYFUNCTION("""COMPUTED_VALUE"""),"EMP5009 Rup Kumar Mandal")</f>
        <v>EMP5009 Rup Kumar Mandal</v>
      </c>
      <c r="J2340" s="91"/>
    </row>
    <row r="2341">
      <c r="B2341" s="76" t="str">
        <f>IFERROR(__xludf.DUMMYFUNCTION("""COMPUTED_VALUE"""),"Upload file, cross check and inform                               ")</f>
        <v>Upload file, cross check and inform                               </v>
      </c>
      <c r="C2341" s="82">
        <f>IFERROR(__xludf.DUMMYFUNCTION("""COMPUTED_VALUE"""),5307.0)</f>
        <v>5307</v>
      </c>
      <c r="D2341" s="76" t="str">
        <f>IFERROR(__xludf.DUMMYFUNCTION("""COMPUTED_VALUE"""),"TR BCA ")</f>
        <v>TR BCA </v>
      </c>
      <c r="E2341" s="84">
        <f>IFERROR(__xludf.DUMMYFUNCTION("""COMPUTED_VALUE"""),46202.63888888889)</f>
        <v>46202.63889</v>
      </c>
      <c r="F2341" s="86">
        <f>IFERROR(__xludf.DUMMYFUNCTION("""COMPUTED_VALUE"""),46202.45741528935)</f>
        <v>46202.45742</v>
      </c>
      <c r="G2341" s="86" t="str">
        <f>IFERROR(__xludf.DUMMYFUNCTION("""COMPUTED_VALUE"""),"Done")</f>
        <v>Done</v>
      </c>
      <c r="H2341" s="88">
        <f>IFERROR(__xludf.DUMMYFUNCTION("""COMPUTED_VALUE"""),0.0)</f>
        <v>0</v>
      </c>
      <c r="I2341" s="90" t="str">
        <f>IFERROR(__xludf.DUMMYFUNCTION("""COMPUTED_VALUE"""),"EMP0237 Swarnendu Chakraborty")</f>
        <v>EMP0237 Swarnendu Chakraborty</v>
      </c>
      <c r="J2341" s="91"/>
    </row>
    <row r="2342">
      <c r="B2342" s="76" t="str">
        <f>IFERROR(__xludf.DUMMYFUNCTION("""COMPUTED_VALUE"""),"Upload file, cross check and inform                               ")</f>
        <v>Upload file, cross check and inform                               </v>
      </c>
      <c r="C2342" s="82">
        <f>IFERROR(__xludf.DUMMYFUNCTION("""COMPUTED_VALUE"""),5308.0)</f>
        <v>5308</v>
      </c>
      <c r="D2342" s="76" t="str">
        <f>IFERROR(__xludf.DUMMYFUNCTION("""COMPUTED_VALUE"""),"MULTIPLE REPORT ")</f>
        <v>MULTIPLE REPORT </v>
      </c>
      <c r="E2342" s="84">
        <f>IFERROR(__xludf.DUMMYFUNCTION("""COMPUTED_VALUE"""),46202.65763888889)</f>
        <v>46202.65764</v>
      </c>
      <c r="F2342" s="86">
        <f>IFERROR(__xludf.DUMMYFUNCTION("""COMPUTED_VALUE"""),46202.45745350694)</f>
        <v>46202.45745</v>
      </c>
      <c r="G2342" s="86" t="str">
        <f>IFERROR(__xludf.DUMMYFUNCTION("""COMPUTED_VALUE"""),"Done")</f>
        <v>Done</v>
      </c>
      <c r="H2342" s="88">
        <f>IFERROR(__xludf.DUMMYFUNCTION("""COMPUTED_VALUE"""),0.0)</f>
        <v>0</v>
      </c>
      <c r="I2342" s="90" t="str">
        <f>IFERROR(__xludf.DUMMYFUNCTION("""COMPUTED_VALUE"""),"EMP0042 HULESHWAR KUMAR SAHU")</f>
        <v>EMP0042 HULESHWAR KUMAR SAHU</v>
      </c>
      <c r="J2342" s="91"/>
    </row>
    <row r="2343">
      <c r="B2343" s="76" t="str">
        <f>IFERROR(__xludf.DUMMYFUNCTION("""COMPUTED_VALUE"""),"Upload file, cross check and inform                               ")</f>
        <v>Upload file, cross check and inform                               </v>
      </c>
      <c r="C2343" s="82">
        <f>IFERROR(__xludf.DUMMYFUNCTION("""COMPUTED_VALUE"""),5309.0)</f>
        <v>5309</v>
      </c>
      <c r="D2343" s="76" t="str">
        <f>IFERROR(__xludf.DUMMYFUNCTION("""COMPUTED_VALUE"""),"MULTIPLE REPORT")</f>
        <v>MULTIPLE REPORT</v>
      </c>
      <c r="E2343" s="84">
        <f>IFERROR(__xludf.DUMMYFUNCTION("""COMPUTED_VALUE"""),46202.78402777778)</f>
        <v>46202.78403</v>
      </c>
      <c r="F2343" s="86">
        <f>IFERROR(__xludf.DUMMYFUNCTION("""COMPUTED_VALUE"""),46202.45747850694)</f>
        <v>46202.45748</v>
      </c>
      <c r="G2343" s="86" t="str">
        <f>IFERROR(__xludf.DUMMYFUNCTION("""COMPUTED_VALUE"""),"Done")</f>
        <v>Done</v>
      </c>
      <c r="H2343" s="88">
        <f>IFERROR(__xludf.DUMMYFUNCTION("""COMPUTED_VALUE"""),0.0)</f>
        <v>0</v>
      </c>
      <c r="I2343" s="90" t="str">
        <f>IFERROR(__xludf.DUMMYFUNCTION("""COMPUTED_VALUE"""),"EMP0042 HULESHWAR KUMAR SAHU")</f>
        <v>EMP0042 HULESHWAR KUMAR SAHU</v>
      </c>
      <c r="J2343" s="91"/>
    </row>
    <row r="2344">
      <c r="B2344" s="76" t="str">
        <f>IFERROR(__xludf.DUMMYFUNCTION("""COMPUTED_VALUE"""),"Upload file, cross check and inform                               ")</f>
        <v>Upload file, cross check and inform                               </v>
      </c>
      <c r="C2344" s="82">
        <f>IFERROR(__xludf.DUMMYFUNCTION("""COMPUTED_VALUE"""),5310.0)</f>
        <v>5310</v>
      </c>
      <c r="D2344" s="76" t="str">
        <f>IFERROR(__xludf.DUMMYFUNCTION("""COMPUTED_VALUE"""),"TR/Result hosting -new cbcs tr ")</f>
        <v>TR/Result hosting -new cbcs tr </v>
      </c>
      <c r="E2344" s="84">
        <f>IFERROR(__xludf.DUMMYFUNCTION("""COMPUTED_VALUE"""),46202.8)</f>
        <v>46202.8</v>
      </c>
      <c r="F2344" s="86">
        <f>IFERROR(__xludf.DUMMYFUNCTION("""COMPUTED_VALUE"""),46202.45750063658)</f>
        <v>46202.4575</v>
      </c>
      <c r="G2344" s="86" t="str">
        <f>IFERROR(__xludf.DUMMYFUNCTION("""COMPUTED_VALUE"""),"Done")</f>
        <v>Done</v>
      </c>
      <c r="H2344" s="88">
        <f>IFERROR(__xludf.DUMMYFUNCTION("""COMPUTED_VALUE"""),0.0)</f>
        <v>0</v>
      </c>
      <c r="I2344" s="90" t="str">
        <f>IFERROR(__xludf.DUMMYFUNCTION("""COMPUTED_VALUE"""),"EMP0237 Swarnendu Chakraborty")</f>
        <v>EMP0237 Swarnendu Chakraborty</v>
      </c>
      <c r="J2344" s="91"/>
    </row>
    <row r="2345">
      <c r="B2345" s="76" t="str">
        <f>IFERROR(__xludf.DUMMYFUNCTION("""COMPUTED_VALUE"""),"Upload file, cross check and inform                               ")</f>
        <v>Upload file, cross check and inform                               </v>
      </c>
      <c r="C2345" s="82">
        <f>IFERROR(__xludf.DUMMYFUNCTION("""COMPUTED_VALUE"""),5311.0)</f>
        <v>5311</v>
      </c>
      <c r="D2345" s="76" t="str">
        <f>IFERROR(__xludf.DUMMYFUNCTION("""COMPUTED_VALUE"""),"nad")</f>
        <v>nad</v>
      </c>
      <c r="E2345" s="84">
        <f>IFERROR(__xludf.DUMMYFUNCTION("""COMPUTED_VALUE"""),46203.66111111111)</f>
        <v>46203.66111</v>
      </c>
      <c r="F2345" s="86">
        <f>IFERROR(__xludf.DUMMYFUNCTION("""COMPUTED_VALUE"""),46202.65909233796)</f>
        <v>46202.65909</v>
      </c>
      <c r="G2345" s="86" t="str">
        <f>IFERROR(__xludf.DUMMYFUNCTION("""COMPUTED_VALUE"""),"Done")</f>
        <v>Done</v>
      </c>
      <c r="H2345" s="88">
        <f>IFERROR(__xludf.DUMMYFUNCTION("""COMPUTED_VALUE"""),0.0)</f>
        <v>0</v>
      </c>
      <c r="I2345" s="90" t="str">
        <f>IFERROR(__xludf.DUMMYFUNCTION("""COMPUTED_VALUE"""),"EMP5009 Rup Kumar Mandal")</f>
        <v>EMP5009 Rup Kumar Mandal</v>
      </c>
      <c r="J2345" s="91"/>
    </row>
    <row r="2346">
      <c r="B2346" s="76" t="str">
        <f>IFERROR(__xludf.DUMMYFUNCTION("""COMPUTED_VALUE"""),"Upload file, cross check and inform                               ")</f>
        <v>Upload file, cross check and inform                               </v>
      </c>
      <c r="C2346" s="82">
        <f>IFERROR(__xludf.DUMMYFUNCTION("""COMPUTED_VALUE"""),5312.0)</f>
        <v>5312</v>
      </c>
      <c r="D2346" s="76" t="str">
        <f>IFERROR(__xludf.DUMMYFUNCTION("""COMPUTED_VALUE"""),"tr result new")</f>
        <v>tr result new</v>
      </c>
      <c r="E2346" s="84">
        <f>IFERROR(__xludf.DUMMYFUNCTION("""COMPUTED_VALUE"""),46203.80694444444)</f>
        <v>46203.80694</v>
      </c>
      <c r="F2346" s="86">
        <f>IFERROR(__xludf.DUMMYFUNCTION("""COMPUTED_VALUE"""),46202.65912304398)</f>
        <v>46202.65912</v>
      </c>
      <c r="G2346" s="86" t="str">
        <f>IFERROR(__xludf.DUMMYFUNCTION("""COMPUTED_VALUE"""),"Done")</f>
        <v>Done</v>
      </c>
      <c r="H2346" s="88">
        <f>IFERROR(__xludf.DUMMYFUNCTION("""COMPUTED_VALUE"""),0.0)</f>
        <v>0</v>
      </c>
      <c r="I2346" s="90" t="str">
        <f>IFERROR(__xludf.DUMMYFUNCTION("""COMPUTED_VALUE"""),"EMP0042 HULESHWAR KUMAR SAHU")</f>
        <v>EMP0042 HULESHWAR KUMAR SAHU</v>
      </c>
      <c r="J2346" s="91"/>
    </row>
    <row r="2347">
      <c r="B2347" s="76" t="str">
        <f>IFERROR(__xludf.DUMMYFUNCTION("""COMPUTED_VALUE"""),"Upload file, cross check and inform                               ")</f>
        <v>Upload file, cross check and inform                               </v>
      </c>
      <c r="C2347" s="82">
        <f>IFERROR(__xludf.DUMMYFUNCTION("""COMPUTED_VALUE"""),5313.0)</f>
        <v>5313</v>
      </c>
      <c r="D2347" s="76" t="str">
        <f>IFERROR(__xludf.DUMMYFUNCTION("""COMPUTED_VALUE"""),"Exam Programme")</f>
        <v>Exam Programme</v>
      </c>
      <c r="E2347" s="84">
        <f>IFERROR(__xludf.DUMMYFUNCTION("""COMPUTED_VALUE"""),46204.600694444445)</f>
        <v>46204.60069</v>
      </c>
      <c r="F2347" s="86">
        <f>IFERROR(__xludf.DUMMYFUNCTION("""COMPUTED_VALUE"""),46202.68973670139)</f>
        <v>46202.68974</v>
      </c>
      <c r="G2347" s="86" t="str">
        <f>IFERROR(__xludf.DUMMYFUNCTION("""COMPUTED_VALUE"""),"Done")</f>
        <v>Done</v>
      </c>
      <c r="H2347" s="88">
        <f>IFERROR(__xludf.DUMMYFUNCTION("""COMPUTED_VALUE"""),0.0)</f>
        <v>0</v>
      </c>
      <c r="I2347" s="90" t="str">
        <f>IFERROR(__xludf.DUMMYFUNCTION("""COMPUTED_VALUE"""),"EMP0042 HULESHWAR KUMAR SAHU")</f>
        <v>EMP0042 HULESHWAR KUMAR SAHU</v>
      </c>
      <c r="J2347" s="91"/>
    </row>
    <row r="2348">
      <c r="B2348" s="76" t="str">
        <f>IFERROR(__xludf.DUMMYFUNCTION("""COMPUTED_VALUE"""),"Upload file, cross check and inform                               ")</f>
        <v>Upload file, cross check and inform                               </v>
      </c>
      <c r="C2348" s="82">
        <f>IFERROR(__xludf.DUMMYFUNCTION("""COMPUTED_VALUE"""),5314.0)</f>
        <v>5314</v>
      </c>
      <c r="D2348" s="76" t="str">
        <f>IFERROR(__xludf.DUMMYFUNCTION("""COMPUTED_VALUE"""),"student data")</f>
        <v>student data</v>
      </c>
      <c r="E2348" s="84">
        <f>IFERROR(__xludf.DUMMYFUNCTION("""COMPUTED_VALUE"""),46204.808333333334)</f>
        <v>46204.80833</v>
      </c>
      <c r="F2348" s="86">
        <f>IFERROR(__xludf.DUMMYFUNCTION("""COMPUTED_VALUE"""),46204.47642604166)</f>
        <v>46204.47643</v>
      </c>
      <c r="G2348" s="86" t="str">
        <f>IFERROR(__xludf.DUMMYFUNCTION("""COMPUTED_VALUE"""),"Done")</f>
        <v>Done</v>
      </c>
      <c r="H2348" s="88">
        <f>IFERROR(__xludf.DUMMYFUNCTION("""COMPUTED_VALUE"""),0.0)</f>
        <v>0</v>
      </c>
      <c r="I2348" s="90" t="str">
        <f>IFERROR(__xludf.DUMMYFUNCTION("""COMPUTED_VALUE"""),"EMP0042 HULESHWAR KUMAR SAHU")</f>
        <v>EMP0042 HULESHWAR KUMAR SAHU</v>
      </c>
      <c r="J2348" s="91"/>
    </row>
    <row r="2349">
      <c r="B2349" s="76" t="str">
        <f>IFERROR(__xludf.DUMMYFUNCTION("""COMPUTED_VALUE"""),"Upload file, cross check and inform                               ")</f>
        <v>Upload file, cross check and inform                               </v>
      </c>
      <c r="C2349" s="82">
        <f>IFERROR(__xludf.DUMMYFUNCTION("""COMPUTED_VALUE"""),5315.0)</f>
        <v>5315</v>
      </c>
      <c r="D2349" s="76" t="str">
        <f>IFERROR(__xludf.DUMMYFUNCTION("""COMPUTED_VALUE"""),"Result Datils ")</f>
        <v>Result Datils </v>
      </c>
      <c r="E2349" s="84">
        <f>IFERROR(__xludf.DUMMYFUNCTION("""COMPUTED_VALUE"""),46204.82638888889)</f>
        <v>46204.82639</v>
      </c>
      <c r="F2349" s="86">
        <f>IFERROR(__xludf.DUMMYFUNCTION("""COMPUTED_VALUE"""),46204.45453945601)</f>
        <v>46204.45454</v>
      </c>
      <c r="G2349" s="86" t="str">
        <f>IFERROR(__xludf.DUMMYFUNCTION("""COMPUTED_VALUE"""),"Done")</f>
        <v>Done</v>
      </c>
      <c r="H2349" s="88">
        <f>IFERROR(__xludf.DUMMYFUNCTION("""COMPUTED_VALUE"""),0.0)</f>
        <v>0</v>
      </c>
      <c r="I2349" s="90" t="str">
        <f>IFERROR(__xludf.DUMMYFUNCTION("""COMPUTED_VALUE"""),"EMP0237 Swarnendu Chakraborty")</f>
        <v>EMP0237 Swarnendu Chakraborty</v>
      </c>
      <c r="J2349" s="91"/>
    </row>
    <row r="2350">
      <c r="B2350" s="76" t="str">
        <f>IFERROR(__xludf.DUMMYFUNCTION("""COMPUTED_VALUE"""),"Upload file, cross check and inform                               ")</f>
        <v>Upload file, cross check and inform                               </v>
      </c>
      <c r="C2350" s="82">
        <f>IFERROR(__xludf.DUMMYFUNCTION("""COMPUTED_VALUE"""),5316.0)</f>
        <v>5316</v>
      </c>
      <c r="D2350" s="76" t="str">
        <f>IFERROR(__xludf.DUMMYFUNCTION("""COMPUTED_VALUE"""),"mark entery  report")</f>
        <v>mark entery  report</v>
      </c>
      <c r="E2350" s="84">
        <f>IFERROR(__xludf.DUMMYFUNCTION("""COMPUTED_VALUE"""),46205.52847222222)</f>
        <v>46205.52847</v>
      </c>
      <c r="F2350" s="86">
        <f>IFERROR(__xludf.DUMMYFUNCTION("""COMPUTED_VALUE"""),46204.64016902778)</f>
        <v>46204.64017</v>
      </c>
      <c r="G2350" s="86" t="str">
        <f>IFERROR(__xludf.DUMMYFUNCTION("""COMPUTED_VALUE"""),"Done")</f>
        <v>Done</v>
      </c>
      <c r="H2350" s="88">
        <f>IFERROR(__xludf.DUMMYFUNCTION("""COMPUTED_VALUE"""),0.0)</f>
        <v>0</v>
      </c>
      <c r="I2350" s="90" t="str">
        <f>IFERROR(__xludf.DUMMYFUNCTION("""COMPUTED_VALUE"""),"EMP0042 HULESHWAR KUMAR SAHU")</f>
        <v>EMP0042 HULESHWAR KUMAR SAHU</v>
      </c>
      <c r="J2350" s="91"/>
    </row>
    <row r="2351">
      <c r="B2351" s="76" t="str">
        <f>IFERROR(__xludf.DUMMYFUNCTION("""COMPUTED_VALUE"""),"Upload file, cross check and inform                               ")</f>
        <v>Upload file, cross check and inform                               </v>
      </c>
      <c r="C2351" s="82">
        <f>IFERROR(__xludf.DUMMYFUNCTION("""COMPUTED_VALUE"""),5317.0)</f>
        <v>5317</v>
      </c>
      <c r="D2351" s="76" t="str">
        <f>IFERROR(__xludf.DUMMYFUNCTION("""COMPUTED_VALUE"""),"TR PARAMEDICAL NEW LOGIC")</f>
        <v>TR PARAMEDICAL NEW LOGIC</v>
      </c>
      <c r="E2351" s="84">
        <f>IFERROR(__xludf.DUMMYFUNCTION("""COMPUTED_VALUE"""),46205.569444444445)</f>
        <v>46205.56944</v>
      </c>
      <c r="F2351" s="86">
        <f>IFERROR(__xludf.DUMMYFUNCTION("""COMPUTED_VALUE"""),46204.640243437505)</f>
        <v>46204.64024</v>
      </c>
      <c r="G2351" s="86" t="str">
        <f>IFERROR(__xludf.DUMMYFUNCTION("""COMPUTED_VALUE"""),"Done")</f>
        <v>Done</v>
      </c>
      <c r="H2351" s="88">
        <f>IFERROR(__xludf.DUMMYFUNCTION("""COMPUTED_VALUE"""),0.0)</f>
        <v>0</v>
      </c>
      <c r="I2351" s="90" t="str">
        <f>IFERROR(__xludf.DUMMYFUNCTION("""COMPUTED_VALUE"""),"EMP0042 HULESHWAR KUMAR SAHU")</f>
        <v>EMP0042 HULESHWAR KUMAR SAHU</v>
      </c>
      <c r="J2351" s="91"/>
    </row>
    <row r="2352">
      <c r="B2352" s="76" t="str">
        <f>IFERROR(__xludf.DUMMYFUNCTION("""COMPUTED_VALUE"""),"Upload file, cross check and inform                               ")</f>
        <v>Upload file, cross check and inform                               </v>
      </c>
      <c r="C2352" s="82">
        <f>IFERROR(__xludf.DUMMYFUNCTION("""COMPUTED_VALUE"""),5318.0)</f>
        <v>5318</v>
      </c>
      <c r="D2352" s="76" t="str">
        <f>IFERROR(__xludf.DUMMYFUNCTION("""COMPUTED_VALUE"""),"Multiple Report (Transcript)")</f>
        <v>Multiple Report (Transcript)</v>
      </c>
      <c r="E2352" s="84">
        <f>IFERROR(__xludf.DUMMYFUNCTION("""COMPUTED_VALUE"""),46205.586805555555)</f>
        <v>46205.58681</v>
      </c>
      <c r="F2352" s="86">
        <f>IFERROR(__xludf.DUMMYFUNCTION("""COMPUTED_VALUE"""),46203.7833377662)</f>
        <v>46203.78334</v>
      </c>
      <c r="G2352" s="86" t="str">
        <f>IFERROR(__xludf.DUMMYFUNCTION("""COMPUTED_VALUE"""),"Done")</f>
        <v>Done</v>
      </c>
      <c r="H2352" s="88">
        <f>IFERROR(__xludf.DUMMYFUNCTION("""COMPUTED_VALUE"""),0.0)</f>
        <v>0</v>
      </c>
      <c r="I2352" s="90" t="str">
        <f>IFERROR(__xludf.DUMMYFUNCTION("""COMPUTED_VALUE"""),"EMP0237 Swarnendu Chakraborty")</f>
        <v>EMP0237 Swarnendu Chakraborty</v>
      </c>
      <c r="J2352" s="91"/>
    </row>
    <row r="2353">
      <c r="B2353" s="76" t="str">
        <f>IFERROR(__xludf.DUMMYFUNCTION("""COMPUTED_VALUE"""),"Upload file, cross check and inform                               ")</f>
        <v>Upload file, cross check and inform                               </v>
      </c>
      <c r="C2353" s="82">
        <f>IFERROR(__xludf.DUMMYFUNCTION("""COMPUTED_VALUE"""),5319.0)</f>
        <v>5319</v>
      </c>
      <c r="D2353" s="76" t="str">
        <f>IFERROR(__xludf.DUMMYFUNCTION("""COMPUTED_VALUE"""),"2577")</f>
        <v>2577</v>
      </c>
      <c r="E2353" s="84">
        <f>IFERROR(__xludf.DUMMYFUNCTION("""COMPUTED_VALUE"""),46205.75555555556)</f>
        <v>46205.75556</v>
      </c>
      <c r="F2353" s="86">
        <f>IFERROR(__xludf.DUMMYFUNCTION("""COMPUTED_VALUE"""),46204.68990548611)</f>
        <v>46204.68991</v>
      </c>
      <c r="G2353" s="86" t="str">
        <f>IFERROR(__xludf.DUMMYFUNCTION("""COMPUTED_VALUE"""),"Done")</f>
        <v>Done</v>
      </c>
      <c r="H2353" s="88">
        <f>IFERROR(__xludf.DUMMYFUNCTION("""COMPUTED_VALUE"""),0.0)</f>
        <v>0</v>
      </c>
      <c r="I2353" s="90" t="str">
        <f>IFERROR(__xludf.DUMMYFUNCTION("""COMPUTED_VALUE"""),"EMP5009 Rup Kumar Mandal")</f>
        <v>EMP5009 Rup Kumar Mandal</v>
      </c>
      <c r="J2353" s="91"/>
    </row>
    <row r="2354">
      <c r="B2354" s="76" t="str">
        <f>IFERROR(__xludf.DUMMYFUNCTION("""COMPUTED_VALUE"""),"Upload file, cross check and inform                               ")</f>
        <v>Upload file, cross check and inform                               </v>
      </c>
      <c r="C2354" s="82">
        <f>IFERROR(__xludf.DUMMYFUNCTION("""COMPUTED_VALUE"""),5320.0)</f>
        <v>5320</v>
      </c>
      <c r="D2354" s="76" t="str">
        <f>IFERROR(__xludf.DUMMYFUNCTION("""COMPUTED_VALUE"""),"Analysis")</f>
        <v>Analysis</v>
      </c>
      <c r="E2354" s="84">
        <f>IFERROR(__xludf.DUMMYFUNCTION("""COMPUTED_VALUE"""),46206.51388888889)</f>
        <v>46206.51389</v>
      </c>
      <c r="F2354" s="86">
        <f>IFERROR(__xludf.DUMMYFUNCTION("""COMPUTED_VALUE"""),46206.48157050926)</f>
        <v>46206.48157</v>
      </c>
      <c r="G2354" s="86" t="str">
        <f>IFERROR(__xludf.DUMMYFUNCTION("""COMPUTED_VALUE"""),"Done")</f>
        <v>Done</v>
      </c>
      <c r="H2354" s="88">
        <f>IFERROR(__xludf.DUMMYFUNCTION("""COMPUTED_VALUE"""),0.0)</f>
        <v>0</v>
      </c>
      <c r="I2354" s="90" t="str">
        <f>IFERROR(__xludf.DUMMYFUNCTION("""COMPUTED_VALUE"""),"EMP0021 Tamanna Dewangan")</f>
        <v>EMP0021 Tamanna Dewangan</v>
      </c>
      <c r="J2354" s="91"/>
    </row>
    <row r="2355">
      <c r="B2355" s="76" t="str">
        <f>IFERROR(__xludf.DUMMYFUNCTION("""COMPUTED_VALUE"""),"Upload file, cross check and inform                               ")</f>
        <v>Upload file, cross check and inform                               </v>
      </c>
      <c r="C2355" s="82">
        <f>IFERROR(__xludf.DUMMYFUNCTION("""COMPUTED_VALUE"""),5321.0)</f>
        <v>5321</v>
      </c>
      <c r="D2355" s="76" t="str">
        <f>IFERROR(__xludf.DUMMYFUNCTION("""COMPUTED_VALUE"""),"Analysis")</f>
        <v>Analysis</v>
      </c>
      <c r="E2355" s="84">
        <f>IFERROR(__xludf.DUMMYFUNCTION("""COMPUTED_VALUE"""),46206.51527777778)</f>
        <v>46206.51528</v>
      </c>
      <c r="F2355" s="86">
        <f>IFERROR(__xludf.DUMMYFUNCTION("""COMPUTED_VALUE"""),46206.48157483796)</f>
        <v>46206.48157</v>
      </c>
      <c r="G2355" s="86" t="str">
        <f>IFERROR(__xludf.DUMMYFUNCTION("""COMPUTED_VALUE"""),"Done")</f>
        <v>Done</v>
      </c>
      <c r="H2355" s="88">
        <f>IFERROR(__xludf.DUMMYFUNCTION("""COMPUTED_VALUE"""),0.0)</f>
        <v>0</v>
      </c>
      <c r="I2355" s="90" t="str">
        <f>IFERROR(__xludf.DUMMYFUNCTION("""COMPUTED_VALUE"""),"EMP0021 Tamanna Dewangan")</f>
        <v>EMP0021 Tamanna Dewangan</v>
      </c>
      <c r="J2355" s="91"/>
    </row>
    <row r="2356">
      <c r="B2356" s="76" t="str">
        <f>IFERROR(__xludf.DUMMYFUNCTION("""COMPUTED_VALUE"""),"Upload file, cross check and inform                               ")</f>
        <v>Upload file, cross check and inform                               </v>
      </c>
      <c r="C2356" s="82">
        <f>IFERROR(__xludf.DUMMYFUNCTION("""COMPUTED_VALUE"""),5322.0)</f>
        <v>5322</v>
      </c>
      <c r="D2356" s="76" t="str">
        <f>IFERROR(__xludf.DUMMYFUNCTION("""COMPUTED_VALUE"""),"Analysis")</f>
        <v>Analysis</v>
      </c>
      <c r="E2356" s="84">
        <f>IFERROR(__xludf.DUMMYFUNCTION("""COMPUTED_VALUE"""),46206.51597222222)</f>
        <v>46206.51597</v>
      </c>
      <c r="F2356" s="86">
        <f>IFERROR(__xludf.DUMMYFUNCTION("""COMPUTED_VALUE"""),46206.48157483796)</f>
        <v>46206.48157</v>
      </c>
      <c r="G2356" s="86" t="str">
        <f>IFERROR(__xludf.DUMMYFUNCTION("""COMPUTED_VALUE"""),"Done")</f>
        <v>Done</v>
      </c>
      <c r="H2356" s="88">
        <f>IFERROR(__xludf.DUMMYFUNCTION("""COMPUTED_VALUE"""),0.0)</f>
        <v>0</v>
      </c>
      <c r="I2356" s="90" t="str">
        <f>IFERROR(__xludf.DUMMYFUNCTION("""COMPUTED_VALUE"""),"EMP0021 Tamanna Dewangan")</f>
        <v>EMP0021 Tamanna Dewangan</v>
      </c>
      <c r="J2356" s="91"/>
    </row>
    <row r="2357">
      <c r="B2357" s="76" t="str">
        <f>IFERROR(__xludf.DUMMYFUNCTION("""COMPUTED_VALUE"""),"Upload file, cross check and inform                               ")</f>
        <v>Upload file, cross check and inform                               </v>
      </c>
      <c r="C2357" s="82">
        <f>IFERROR(__xludf.DUMMYFUNCTION("""COMPUTED_VALUE"""),5323.0)</f>
        <v>5323</v>
      </c>
      <c r="D2357" s="76" t="str">
        <f>IFERROR(__xludf.DUMMYFUNCTION("""COMPUTED_VALUE"""),"TR AGRICULTURE 1st To 8th sem supply")</f>
        <v>TR AGRICULTURE 1st To 8th sem supply</v>
      </c>
      <c r="E2357" s="84">
        <f>IFERROR(__xludf.DUMMYFUNCTION("""COMPUTED_VALUE"""),46206.51944444445)</f>
        <v>46206.51944</v>
      </c>
      <c r="F2357" s="86">
        <f>IFERROR(__xludf.DUMMYFUNCTION("""COMPUTED_VALUE"""),46204.71828957176)</f>
        <v>46204.71829</v>
      </c>
      <c r="G2357" s="86" t="str">
        <f>IFERROR(__xludf.DUMMYFUNCTION("""COMPUTED_VALUE"""),"Done")</f>
        <v>Done</v>
      </c>
      <c r="H2357" s="88">
        <f>IFERROR(__xludf.DUMMYFUNCTION("""COMPUTED_VALUE"""),0.0)</f>
        <v>0</v>
      </c>
      <c r="I2357" s="90" t="str">
        <f>IFERROR(__xludf.DUMMYFUNCTION("""COMPUTED_VALUE"""),"EMP0042 HULESHWAR KUMAR SAHU")</f>
        <v>EMP0042 HULESHWAR KUMAR SAHU</v>
      </c>
      <c r="J2357" s="91"/>
    </row>
    <row r="2358">
      <c r="B2358" s="76" t="str">
        <f>IFERROR(__xludf.DUMMYFUNCTION("""COMPUTED_VALUE"""),"Upload file, cross check and inform                               ")</f>
        <v>Upload file, cross check and inform                               </v>
      </c>
      <c r="C2358" s="82">
        <f>IFERROR(__xludf.DUMMYFUNCTION("""COMPUTED_VALUE"""),5324.0)</f>
        <v>5324</v>
      </c>
      <c r="D2358" s="76" t="str">
        <f>IFERROR(__xludf.DUMMYFUNCTION("""COMPUTED_VALUE"""),"OLD DMC REPORT")</f>
        <v>OLD DMC REPORT</v>
      </c>
      <c r="E2358" s="84">
        <f>IFERROR(__xludf.DUMMYFUNCTION("""COMPUTED_VALUE"""),46206.57638888889)</f>
        <v>46206.57639</v>
      </c>
      <c r="F2358" s="86">
        <f>IFERROR(__xludf.DUMMYFUNCTION("""COMPUTED_VALUE"""),46206.48148864583)</f>
        <v>46206.48149</v>
      </c>
      <c r="G2358" s="86" t="str">
        <f>IFERROR(__xludf.DUMMYFUNCTION("""COMPUTED_VALUE"""),"Done")</f>
        <v>Done</v>
      </c>
      <c r="H2358" s="88">
        <f>IFERROR(__xludf.DUMMYFUNCTION("""COMPUTED_VALUE"""),0.0)</f>
        <v>0</v>
      </c>
      <c r="I2358" s="90" t="str">
        <f>IFERROR(__xludf.DUMMYFUNCTION("""COMPUTED_VALUE"""),"EMP0237 Swarnendu Chakraborty")</f>
        <v>EMP0237 Swarnendu Chakraborty</v>
      </c>
      <c r="J2358" s="91"/>
    </row>
    <row r="2359">
      <c r="B2359" s="76" t="str">
        <f>IFERROR(__xludf.DUMMYFUNCTION("""COMPUTED_VALUE"""),"Upload file, cross check and inform                               ")</f>
        <v>Upload file, cross check and inform                               </v>
      </c>
      <c r="C2359" s="82">
        <f>IFERROR(__xludf.DUMMYFUNCTION("""COMPUTED_VALUE"""),5325.0)</f>
        <v>5325</v>
      </c>
      <c r="D2359" s="76" t="str">
        <f>IFERROR(__xludf.DUMMYFUNCTION("""COMPUTED_VALUE"""),"REVEL")</f>
        <v>REVEL</v>
      </c>
      <c r="E2359" s="84">
        <f>IFERROR(__xludf.DUMMYFUNCTION("""COMPUTED_VALUE"""),46207.65416666667)</f>
        <v>46207.65417</v>
      </c>
      <c r="F2359" s="86">
        <f>IFERROR(__xludf.DUMMYFUNCTION("""COMPUTED_VALUE"""),46206.68733686342)</f>
        <v>46206.68734</v>
      </c>
      <c r="G2359" s="86" t="str">
        <f>IFERROR(__xludf.DUMMYFUNCTION("""COMPUTED_VALUE"""),"Done")</f>
        <v>Done</v>
      </c>
      <c r="H2359" s="88">
        <f>IFERROR(__xludf.DUMMYFUNCTION("""COMPUTED_VALUE"""),0.0)</f>
        <v>0</v>
      </c>
      <c r="I2359" s="90" t="str">
        <f>IFERROR(__xludf.DUMMYFUNCTION("""COMPUTED_VALUE"""),"EMP0042 HULESHWAR KUMAR SAHU")</f>
        <v>EMP0042 HULESHWAR KUMAR SAHU</v>
      </c>
      <c r="J2359" s="91"/>
    </row>
    <row r="2360">
      <c r="B2360" s="76" t="str">
        <f>IFERROR(__xludf.DUMMYFUNCTION("""COMPUTED_VALUE"""),"Upload file, cross check and inform                               ")</f>
        <v>Upload file, cross check and inform                               </v>
      </c>
      <c r="C2360" s="82">
        <f>IFERROR(__xludf.DUMMYFUNCTION("""COMPUTED_VALUE"""),5326.0)</f>
        <v>5326</v>
      </c>
      <c r="D2360" s="76" t="str">
        <f>IFERROR(__xludf.DUMMYFUNCTION("""COMPUTED_VALUE"""),"Attendance Sheet Re Appear HCEK-203 - Happy College of Education, Railway Station, Kosli (Rewari) Annual ( Annual) UG (B.ED(ADDI))-BACHELOR OF EDUCATION(additional)_SE22")</f>
        <v>Attendance Sheet Re Appear HCEK-203 - Happy College of Education, Railway Station, Kosli (Rewari) Annual ( Annual) UG (B.ED(ADDI))-BACHELOR OF EDUCATION(additional)_SE22</v>
      </c>
      <c r="E2360" s="84">
        <f>IFERROR(__xludf.DUMMYFUNCTION("""COMPUTED_VALUE"""),46207.788194444445)</f>
        <v>46207.78819</v>
      </c>
      <c r="F2360" s="86">
        <f>IFERROR(__xludf.DUMMYFUNCTION("""COMPUTED_VALUE"""),46206.68749049769)</f>
        <v>46206.68749</v>
      </c>
      <c r="G2360" s="86" t="str">
        <f>IFERROR(__xludf.DUMMYFUNCTION("""COMPUTED_VALUE"""),"Done")</f>
        <v>Done</v>
      </c>
      <c r="H2360" s="88">
        <f>IFERROR(__xludf.DUMMYFUNCTION("""COMPUTED_VALUE"""),0.0)</f>
        <v>0</v>
      </c>
      <c r="I2360" s="90" t="str">
        <f>IFERROR(__xludf.DUMMYFUNCTION("""COMPUTED_VALUE"""),"EMP0042 HULESHWAR KUMAR SAHU")</f>
        <v>EMP0042 HULESHWAR KUMAR SAHU</v>
      </c>
      <c r="J2360" s="91"/>
    </row>
    <row r="2361">
      <c r="B2361" s="76" t="str">
        <f>IFERROR(__xludf.DUMMYFUNCTION("""COMPUTED_VALUE"""),"Upload file, cross check and inform                               ")</f>
        <v>Upload file, cross check and inform                               </v>
      </c>
      <c r="C2361" s="82">
        <f>IFERROR(__xludf.DUMMYFUNCTION("""COMPUTED_VALUE"""),5327.0)</f>
        <v>5327</v>
      </c>
      <c r="D2361" s="76" t="str">
        <f>IFERROR(__xludf.DUMMYFUNCTION("""COMPUTED_VALUE"""),"Theory Attendance Sheet SCEM-188 - Saraswati College of Education, Majra Kalan, Mohindergarh Annual ( Annual) UG BACHELOR OF EDUCATION(additional) ( B.ED(ADDI))_SE22")</f>
        <v>Theory Attendance Sheet SCEM-188 - Saraswati College of Education, Majra Kalan, Mohindergarh Annual ( Annual) UG BACHELOR OF EDUCATION(additional) ( B.ED(ADDI))_SE22</v>
      </c>
      <c r="E2361" s="84">
        <f>IFERROR(__xludf.DUMMYFUNCTION("""COMPUTED_VALUE"""),46207.79027777778)</f>
        <v>46207.79028</v>
      </c>
      <c r="F2361" s="86">
        <f>IFERROR(__xludf.DUMMYFUNCTION("""COMPUTED_VALUE"""),46206.69408607639)</f>
        <v>46206.69409</v>
      </c>
      <c r="G2361" s="86" t="str">
        <f>IFERROR(__xludf.DUMMYFUNCTION("""COMPUTED_VALUE"""),"Done")</f>
        <v>Done</v>
      </c>
      <c r="H2361" s="88">
        <f>IFERROR(__xludf.DUMMYFUNCTION("""COMPUTED_VALUE"""),0.0)</f>
        <v>0</v>
      </c>
      <c r="I2361" s="90" t="str">
        <f>IFERROR(__xludf.DUMMYFUNCTION("""COMPUTED_VALUE"""),"EMP0021 Tamanna Dewangan")</f>
        <v>EMP0021 Tamanna Dewangan</v>
      </c>
      <c r="J2361" s="91"/>
    </row>
    <row r="2362">
      <c r="B2362" s="76" t="str">
        <f>IFERROR(__xludf.DUMMYFUNCTION("""COMPUTED_VALUE"""),"Upload file, cross check and inform                               ")</f>
        <v>Upload file, cross check and inform                               </v>
      </c>
      <c r="C2362" s="82">
        <f>IFERROR(__xludf.DUMMYFUNCTION("""COMPUTED_VALUE"""),5328.0)</f>
        <v>5328</v>
      </c>
      <c r="D2362" s="76" t="str">
        <f>IFERROR(__xludf.DUMMYFUNCTION("""COMPUTED_VALUE"""),"CBCS AND CGP 8th SEM (FINAL TR COMBINED) Eighth Semester ( Sem - 8) UG BACHELOR OF HOTEL MANAGEMENT &amp; CATERING TECHNOLOGY (B.H.M.C.T) ( B.H.M.C.T)_SE22")</f>
        <v>CBCS AND CGP 8th SEM (FINAL TR COMBINED) Eighth Semester ( Sem - 8) UG BACHELOR OF HOTEL MANAGEMENT &amp; CATERING TECHNOLOGY (B.H.M.C.T) ( B.H.M.C.T)_SE22</v>
      </c>
      <c r="E2362" s="84">
        <f>IFERROR(__xludf.DUMMYFUNCTION("""COMPUTED_VALUE"""),46207.81041666667)</f>
        <v>46207.81042</v>
      </c>
      <c r="F2362" s="86">
        <f>IFERROR(__xludf.DUMMYFUNCTION("""COMPUTED_VALUE"""),46207.55274978009)</f>
        <v>46207.55275</v>
      </c>
      <c r="G2362" s="86" t="str">
        <f>IFERROR(__xludf.DUMMYFUNCTION("""COMPUTED_VALUE"""),"Done")</f>
        <v>Done</v>
      </c>
      <c r="H2362" s="88">
        <f>IFERROR(__xludf.DUMMYFUNCTION("""COMPUTED_VALUE"""),0.0)</f>
        <v>0</v>
      </c>
      <c r="I2362" s="90" t="str">
        <f>IFERROR(__xludf.DUMMYFUNCTION("""COMPUTED_VALUE"""),"EMP0042 HULESHWAR KUMAR SAHU")</f>
        <v>EMP0042 HULESHWAR KUMAR SAHU</v>
      </c>
      <c r="J2362" s="91"/>
    </row>
    <row r="2363">
      <c r="B2363" s="76" t="str">
        <f>IFERROR(__xludf.DUMMYFUNCTION("""COMPUTED_VALUE"""),"Upload file, cross check and inform                               ")</f>
        <v>Upload file, cross check and inform                               </v>
      </c>
      <c r="C2363" s="82">
        <f>IFERROR(__xludf.DUMMYFUNCTION("""COMPUTED_VALUE"""),5329.0)</f>
        <v>5329</v>
      </c>
      <c r="D2363" s="76" t="str">
        <f>IFERROR(__xludf.DUMMYFUNCTION("""COMPUTED_VALUE"""),"TR NEW AGRICULTURE AND ALL")</f>
        <v>TR NEW AGRICULTURE AND ALL</v>
      </c>
      <c r="E2363" s="84">
        <f>IFERROR(__xludf.DUMMYFUNCTION("""COMPUTED_VALUE"""),46209.45347222222)</f>
        <v>46209.45347</v>
      </c>
      <c r="F2363" s="86">
        <f>IFERROR(__xludf.DUMMYFUNCTION("""COMPUTED_VALUE"""),46206.68156037037)</f>
        <v>46206.68156</v>
      </c>
      <c r="G2363" s="86" t="str">
        <f>IFERROR(__xludf.DUMMYFUNCTION("""COMPUTED_VALUE"""),"Done")</f>
        <v>Done</v>
      </c>
      <c r="H2363" s="88">
        <f>IFERROR(__xludf.DUMMYFUNCTION("""COMPUTED_VALUE"""),0.0)</f>
        <v>0</v>
      </c>
      <c r="I2363" s="90" t="str">
        <f>IFERROR(__xludf.DUMMYFUNCTION("""COMPUTED_VALUE"""),"EMP0042 HULESHWAR KUMAR SAHU")</f>
        <v>EMP0042 HULESHWAR KUMAR SAHU</v>
      </c>
      <c r="J2363" s="91"/>
    </row>
    <row r="2364">
      <c r="B2364" s="76" t="str">
        <f>IFERROR(__xludf.DUMMYFUNCTION("""COMPUTED_VALUE"""),"Upload file, cross check and inform                               ")</f>
        <v>Upload file, cross check and inform                               </v>
      </c>
      <c r="C2364" s="82">
        <f>IFERROR(__xludf.DUMMYFUNCTION("""COMPUTED_VALUE"""),5330.0)</f>
        <v>5330</v>
      </c>
      <c r="D2364" s="76" t="str">
        <f>IFERROR(__xludf.DUMMYFUNCTION("""COMPUTED_VALUE"""),"B.ED ADDITIONAL ANNUAL ATTENDENCE SHEET  RESOLVED ")</f>
        <v>B.ED ADDITIONAL ANNUAL ATTENDENCE SHEET  RESOLVED </v>
      </c>
      <c r="E2364" s="84">
        <f>IFERROR(__xludf.DUMMYFUNCTION("""COMPUTED_VALUE"""),46209.60277777778)</f>
        <v>46209.60278</v>
      </c>
      <c r="F2364" s="86">
        <f>IFERROR(__xludf.DUMMYFUNCTION("""COMPUTED_VALUE"""),46206.74930560185)</f>
        <v>46206.74931</v>
      </c>
      <c r="G2364" s="86" t="str">
        <f>IFERROR(__xludf.DUMMYFUNCTION("""COMPUTED_VALUE"""),"Done")</f>
        <v>Done</v>
      </c>
      <c r="H2364" s="88">
        <f>IFERROR(__xludf.DUMMYFUNCTION("""COMPUTED_VALUE"""),0.0)</f>
        <v>0</v>
      </c>
      <c r="I2364" s="90" t="str">
        <f>IFERROR(__xludf.DUMMYFUNCTION("""COMPUTED_VALUE"""),"EMP5009 Rup Kumar Mandal")</f>
        <v>EMP5009 Rup Kumar Mandal</v>
      </c>
      <c r="J2364" s="91"/>
    </row>
    <row r="2365">
      <c r="B2365" s="76" t="str">
        <f>IFERROR(__xludf.DUMMYFUNCTION("""COMPUTED_VALUE"""),"Upload file, cross check and inform                               ")</f>
        <v>Upload file, cross check and inform                               </v>
      </c>
      <c r="C2365" s="82">
        <f>IFERROR(__xludf.DUMMYFUNCTION("""COMPUTED_VALUE"""),5331.0)</f>
        <v>5331</v>
      </c>
      <c r="D2365" s="76" t="str">
        <f>IFERROR(__xludf.DUMMYFUNCTION("""COMPUTED_VALUE"""),"Correction")</f>
        <v>Correction</v>
      </c>
      <c r="E2365" s="84">
        <f>IFERROR(__xludf.DUMMYFUNCTION("""COMPUTED_VALUE"""),46209.65833333333)</f>
        <v>46209.65833</v>
      </c>
      <c r="F2365" s="86">
        <f>IFERROR(__xludf.DUMMYFUNCTION("""COMPUTED_VALUE"""),46207.40405662036)</f>
        <v>46207.40406</v>
      </c>
      <c r="G2365" s="86" t="str">
        <f>IFERROR(__xludf.DUMMYFUNCTION("""COMPUTED_VALUE"""),"Done")</f>
        <v>Done</v>
      </c>
      <c r="H2365" s="88">
        <f>IFERROR(__xludf.DUMMYFUNCTION("""COMPUTED_VALUE"""),0.0)</f>
        <v>0</v>
      </c>
      <c r="I2365" s="90" t="str">
        <f>IFERROR(__xludf.DUMMYFUNCTION("""COMPUTED_VALUE"""),"EMP5009 Rup Kumar Mandal")</f>
        <v>EMP5009 Rup Kumar Mandal</v>
      </c>
      <c r="J2365" s="91"/>
    </row>
    <row r="2366">
      <c r="B2366" s="76" t="str">
        <f>IFERROR(__xludf.DUMMYFUNCTION("""COMPUTED_VALUE"""),"Upload file, cross check and inform                               ")</f>
        <v>Upload file, cross check and inform                               </v>
      </c>
      <c r="C2366" s="82">
        <f>IFERROR(__xludf.DUMMYFUNCTION("""COMPUTED_VALUE"""),5332.0)</f>
        <v>5332</v>
      </c>
      <c r="D2366" s="76" t="str">
        <f>IFERROR(__xludf.DUMMYFUNCTION("""COMPUTED_VALUE"""),"Same students double entry correction in TR")</f>
        <v>Same students double entry correction in TR</v>
      </c>
      <c r="E2366" s="84">
        <f>IFERROR(__xludf.DUMMYFUNCTION("""COMPUTED_VALUE"""),46214.63888888889)</f>
        <v>46214.63889</v>
      </c>
      <c r="F2366" s="86">
        <f>IFERROR(__xludf.DUMMYFUNCTION("""COMPUTED_VALUE"""),46209.72901177083)</f>
        <v>46209.72901</v>
      </c>
      <c r="G2366" s="86" t="str">
        <f>IFERROR(__xludf.DUMMYFUNCTION("""COMPUTED_VALUE"""),"Done")</f>
        <v>Done</v>
      </c>
      <c r="H2366" s="88">
        <f>IFERROR(__xludf.DUMMYFUNCTION("""COMPUTED_VALUE"""),0.0)</f>
        <v>0</v>
      </c>
      <c r="I2366" s="90" t="str">
        <f>IFERROR(__xludf.DUMMYFUNCTION("""COMPUTED_VALUE"""),"EMP5009 Rup Kumar Mandal")</f>
        <v>EMP5009 Rup Kumar Mandal</v>
      </c>
      <c r="J2366" s="91"/>
    </row>
    <row r="2367">
      <c r="B2367" s="76" t="str">
        <f>IFERROR(__xludf.DUMMYFUNCTION("""COMPUTED_VALUE"""),"Upload file, cross check and inform                               ")</f>
        <v>Upload file, cross check and inform                               </v>
      </c>
      <c r="C2367" s="82">
        <f>IFERROR(__xludf.DUMMYFUNCTION("""COMPUTED_VALUE"""),5333.0)</f>
        <v>5333</v>
      </c>
      <c r="D2367" s="76" t="str">
        <f>IFERROR(__xludf.DUMMYFUNCTION("""COMPUTED_VALUE"""),"plaease update the fee report")</f>
        <v>plaease update the fee report</v>
      </c>
      <c r="E2367" s="84">
        <f>IFERROR(__xludf.DUMMYFUNCTION("""COMPUTED_VALUE"""),46210.67638888889)</f>
        <v>46210.67639</v>
      </c>
      <c r="F2367" s="86">
        <f>IFERROR(__xludf.DUMMYFUNCTION("""COMPUTED_VALUE"""),46209.72904416666)</f>
        <v>46209.72904</v>
      </c>
      <c r="G2367" s="86" t="str">
        <f>IFERROR(__xludf.DUMMYFUNCTION("""COMPUTED_VALUE"""),"Done")</f>
        <v>Done</v>
      </c>
      <c r="H2367" s="88">
        <f>IFERROR(__xludf.DUMMYFUNCTION("""COMPUTED_VALUE"""),0.0)</f>
        <v>0</v>
      </c>
      <c r="I2367" s="90" t="str">
        <f>IFERROR(__xludf.DUMMYFUNCTION("""COMPUTED_VALUE"""),"EMP5009 Rup Kumar Mandal")</f>
        <v>EMP5009 Rup Kumar Mandal</v>
      </c>
      <c r="J2367" s="91"/>
    </row>
    <row r="2368">
      <c r="B2368" s="76" t="str">
        <f>IFERROR(__xludf.DUMMYFUNCTION("""COMPUTED_VALUE"""),"Upload file, cross check and inform                               ")</f>
        <v>Upload file, cross check and inform                               </v>
      </c>
      <c r="C2368" s="82">
        <f>IFERROR(__xludf.DUMMYFUNCTION("""COMPUTED_VALUE"""),5334.0)</f>
        <v>5334</v>
      </c>
      <c r="D2368" s="76" t="str">
        <f>IFERROR(__xludf.DUMMYFUNCTION("""COMPUTED_VALUE"""),"Admit Card")</f>
        <v>Admit Card</v>
      </c>
      <c r="E2368" s="84">
        <f>IFERROR(__xludf.DUMMYFUNCTION("""COMPUTED_VALUE"""),46210.76458333334)</f>
        <v>46210.76458</v>
      </c>
      <c r="F2368" s="86">
        <f>IFERROR(__xludf.DUMMYFUNCTION("""COMPUTED_VALUE"""),46209.6353822338)</f>
        <v>46209.63538</v>
      </c>
      <c r="G2368" s="86" t="str">
        <f>IFERROR(__xludf.DUMMYFUNCTION("""COMPUTED_VALUE"""),"Done")</f>
        <v>Done</v>
      </c>
      <c r="H2368" s="88">
        <f>IFERROR(__xludf.DUMMYFUNCTION("""COMPUTED_VALUE"""),0.0)</f>
        <v>0</v>
      </c>
      <c r="I2368" s="90" t="str">
        <f>IFERROR(__xludf.DUMMYFUNCTION("""COMPUTED_VALUE"""),"EMP0042 HULESHWAR KUMAR SAHU")</f>
        <v>EMP0042 HULESHWAR KUMAR SAHU</v>
      </c>
      <c r="J2368" s="91"/>
    </row>
    <row r="2369">
      <c r="B2369" s="76" t="str">
        <f>IFERROR(__xludf.DUMMYFUNCTION("""COMPUTED_VALUE"""),"Upload file, cross check and inform                               ")</f>
        <v>Upload file, cross check and inform                               </v>
      </c>
      <c r="C2369" s="82">
        <f>IFERROR(__xludf.DUMMYFUNCTION("""COMPUTED_VALUE"""),5335.0)</f>
        <v>5335</v>
      </c>
      <c r="D2369" s="76" t="str">
        <f>IFERROR(__xludf.DUMMYFUNCTION("""COMPUTED_VALUE"""),"TR PARAMEDICAL NEW LOGIC")</f>
        <v>TR PARAMEDICAL NEW LOGIC</v>
      </c>
      <c r="E2369" s="84">
        <f>IFERROR(__xludf.DUMMYFUNCTION("""COMPUTED_VALUE"""),46210.805555555555)</f>
        <v>46210.80556</v>
      </c>
      <c r="F2369" s="86">
        <f>IFERROR(__xludf.DUMMYFUNCTION("""COMPUTED_VALUE"""),46209.635428182875)</f>
        <v>46209.63543</v>
      </c>
      <c r="G2369" s="86" t="str">
        <f>IFERROR(__xludf.DUMMYFUNCTION("""COMPUTED_VALUE"""),"Done")</f>
        <v>Done</v>
      </c>
      <c r="H2369" s="88">
        <f>IFERROR(__xludf.DUMMYFUNCTION("""COMPUTED_VALUE"""),0.0)</f>
        <v>0</v>
      </c>
      <c r="I2369" s="90" t="str">
        <f>IFERROR(__xludf.DUMMYFUNCTION("""COMPUTED_VALUE"""),"EMP0042 HULESHWAR KUMAR SAHU")</f>
        <v>EMP0042 HULESHWAR KUMAR SAHU</v>
      </c>
      <c r="J2369" s="91"/>
    </row>
    <row r="2370">
      <c r="B2370" s="76" t="str">
        <f>IFERROR(__xludf.DUMMYFUNCTION("""COMPUTED_VALUE"""),"Upload file, cross check and inform                               ")</f>
        <v>Upload file, cross check and inform                               </v>
      </c>
      <c r="C2370" s="82">
        <f>IFERROR(__xludf.DUMMYFUNCTION("""COMPUTED_VALUE"""),5336.0)</f>
        <v>5336</v>
      </c>
      <c r="D2370" s="76" t="str">
        <f>IFERROR(__xludf.DUMMYFUNCTION("""COMPUTED_VALUE"""),"Date Wise filter")</f>
        <v>Date Wise filter</v>
      </c>
      <c r="E2370" s="84">
        <f>IFERROR(__xludf.DUMMYFUNCTION("""COMPUTED_VALUE"""),46211.42916666667)</f>
        <v>46211.42917</v>
      </c>
      <c r="F2370" s="86">
        <f>IFERROR(__xludf.DUMMYFUNCTION("""COMPUTED_VALUE"""),46210.50347041667)</f>
        <v>46210.50347</v>
      </c>
      <c r="G2370" s="86" t="str">
        <f>IFERROR(__xludf.DUMMYFUNCTION("""COMPUTED_VALUE"""),"Done")</f>
        <v>Done</v>
      </c>
      <c r="H2370" s="88">
        <f>IFERROR(__xludf.DUMMYFUNCTION("""COMPUTED_VALUE"""),0.0)</f>
        <v>0</v>
      </c>
      <c r="I2370" s="90" t="str">
        <f>IFERROR(__xludf.DUMMYFUNCTION("""COMPUTED_VALUE"""),"EMP5009 Rup Kumar Mandal")</f>
        <v>EMP5009 Rup Kumar Mandal</v>
      </c>
      <c r="J2370" s="91"/>
    </row>
    <row r="2371">
      <c r="B2371" s="76" t="str">
        <f>IFERROR(__xludf.DUMMYFUNCTION("""COMPUTED_VALUE"""),"Upload file, cross check and inform                               ")</f>
        <v>Upload file, cross check and inform                               </v>
      </c>
      <c r="C2371" s="82">
        <f>IFERROR(__xludf.DUMMYFUNCTION("""COMPUTED_VALUE"""),5337.0)</f>
        <v>5337</v>
      </c>
      <c r="D2371" s="76" t="str">
        <f>IFERROR(__xludf.DUMMYFUNCTION("""COMPUTED_VALUE"""),"ALL PROVISIONAL FILES")</f>
        <v>ALL PROVISIONAL FILES</v>
      </c>
      <c r="E2371" s="84">
        <f>IFERROR(__xludf.DUMMYFUNCTION("""COMPUTED_VALUE"""),46211.46805555555)</f>
        <v>46211.46806</v>
      </c>
      <c r="F2371" s="86">
        <f>IFERROR(__xludf.DUMMYFUNCTION("""COMPUTED_VALUE"""),46209.72888872685)</f>
        <v>46209.72889</v>
      </c>
      <c r="G2371" s="86" t="str">
        <f>IFERROR(__xludf.DUMMYFUNCTION("""COMPUTED_VALUE"""),"Done")</f>
        <v>Done</v>
      </c>
      <c r="H2371" s="88">
        <f>IFERROR(__xludf.DUMMYFUNCTION("""COMPUTED_VALUE"""),0.0)</f>
        <v>0</v>
      </c>
      <c r="I2371" s="90" t="str">
        <f>IFERROR(__xludf.DUMMYFUNCTION("""COMPUTED_VALUE"""),"EMP0042 HULESHWAR KUMAR SAHU")</f>
        <v>EMP0042 HULESHWAR KUMAR SAHU</v>
      </c>
      <c r="J2371" s="91"/>
    </row>
    <row r="2372">
      <c r="B2372" s="76" t="str">
        <f>IFERROR(__xludf.DUMMYFUNCTION("""COMPUTED_VALUE"""),"Upload file, cross check and inform                               ")</f>
        <v>Upload file, cross check and inform                               </v>
      </c>
      <c r="C2372" s="82">
        <f>IFERROR(__xludf.DUMMYFUNCTION("""COMPUTED_VALUE"""),5338.0)</f>
        <v>5338</v>
      </c>
      <c r="D2372" s="76" t="str">
        <f>IFERROR(__xludf.DUMMYFUNCTION("""COMPUTED_VALUE"""),"Drop Down Selection")</f>
        <v>Drop Down Selection</v>
      </c>
      <c r="E2372" s="84">
        <f>IFERROR(__xludf.DUMMYFUNCTION("""COMPUTED_VALUE"""),46211.61041666666)</f>
        <v>46211.61042</v>
      </c>
      <c r="F2372" s="86">
        <f>IFERROR(__xludf.DUMMYFUNCTION("""COMPUTED_VALUE"""),46211.44665684028)</f>
        <v>46211.44666</v>
      </c>
      <c r="G2372" s="86" t="str">
        <f>IFERROR(__xludf.DUMMYFUNCTION("""COMPUTED_VALUE"""),"Done")</f>
        <v>Done</v>
      </c>
      <c r="H2372" s="88">
        <f>IFERROR(__xludf.DUMMYFUNCTION("""COMPUTED_VALUE"""),0.0)</f>
        <v>0</v>
      </c>
      <c r="I2372" s="90" t="str">
        <f>IFERROR(__xludf.DUMMYFUNCTION("""COMPUTED_VALUE"""),"EMP0237 Swarnendu Chakraborty")</f>
        <v>EMP0237 Swarnendu Chakraborty</v>
      </c>
      <c r="J2372" s="91"/>
    </row>
    <row r="2373">
      <c r="B2373" s="76" t="str">
        <f>IFERROR(__xludf.DUMMYFUNCTION("""COMPUTED_VALUE"""),"Upload file, cross check and inform                               ")</f>
        <v>Upload file, cross check and inform                               </v>
      </c>
      <c r="C2373" s="82">
        <f>IFERROR(__xludf.DUMMYFUNCTION("""COMPUTED_VALUE"""),5339.0)</f>
        <v>5339</v>
      </c>
      <c r="D2373" s="76" t="str">
        <f>IFERROR(__xludf.DUMMYFUNCTION("""COMPUTED_VALUE"""),"	Packet_Slip_Date_Wise")</f>
        <v>	Packet_Slip_Date_Wise</v>
      </c>
      <c r="E2373" s="84">
        <f>IFERROR(__xludf.DUMMYFUNCTION("""COMPUTED_VALUE"""),46211.603472222225)</f>
        <v>46211.60347</v>
      </c>
      <c r="F2373" s="86">
        <f>IFERROR(__xludf.DUMMYFUNCTION("""COMPUTED_VALUE"""),46209.72892296297)</f>
        <v>46209.72892</v>
      </c>
      <c r="G2373" s="86" t="str">
        <f>IFERROR(__xludf.DUMMYFUNCTION("""COMPUTED_VALUE"""),"Done")</f>
        <v>Done</v>
      </c>
      <c r="H2373" s="88">
        <f>IFERROR(__xludf.DUMMYFUNCTION("""COMPUTED_VALUE"""),0.0)</f>
        <v>0</v>
      </c>
      <c r="I2373" s="90" t="str">
        <f>IFERROR(__xludf.DUMMYFUNCTION("""COMPUTED_VALUE"""),"EMP0042 HULESHWAR KUMAR SAHU")</f>
        <v>EMP0042 HULESHWAR KUMAR SAHU</v>
      </c>
      <c r="J2373" s="91"/>
    </row>
    <row r="2374">
      <c r="B2374" s="76" t="str">
        <f>IFERROR(__xludf.DUMMYFUNCTION("""COMPUTED_VALUE"""),"Upload file, cross check and inform                               ")</f>
        <v>Upload file, cross check and inform                               </v>
      </c>
      <c r="C2374" s="82">
        <f>IFERROR(__xludf.DUMMYFUNCTION("""COMPUTED_VALUE"""),5340.0)</f>
        <v>5340</v>
      </c>
      <c r="D2374" s="76" t="str">
        <f>IFERROR(__xludf.DUMMYFUNCTION("""COMPUTED_VALUE"""),"TR-REPORT")</f>
        <v>TR-REPORT</v>
      </c>
      <c r="E2374" s="84">
        <f>IFERROR(__xludf.DUMMYFUNCTION("""COMPUTED_VALUE"""),46212.43125)</f>
        <v>46212.43125</v>
      </c>
      <c r="F2374" s="86">
        <f>IFERROR(__xludf.DUMMYFUNCTION("""COMPUTED_VALUE"""),46211.46249366898)</f>
        <v>46211.46249</v>
      </c>
      <c r="G2374" s="86" t="str">
        <f>IFERROR(__xludf.DUMMYFUNCTION("""COMPUTED_VALUE"""),"Done")</f>
        <v>Done</v>
      </c>
      <c r="H2374" s="88">
        <f>IFERROR(__xludf.DUMMYFUNCTION("""COMPUTED_VALUE"""),0.0)</f>
        <v>0</v>
      </c>
      <c r="I2374" s="90" t="str">
        <f>IFERROR(__xludf.DUMMYFUNCTION("""COMPUTED_VALUE"""),"EMP0042 HULESHWAR KUMAR SAHU")</f>
        <v>EMP0042 HULESHWAR KUMAR SAHU</v>
      </c>
      <c r="J2374" s="91"/>
    </row>
    <row r="2375">
      <c r="B2375" s="76" t="str">
        <f>IFERROR(__xludf.DUMMYFUNCTION("""COMPUTED_VALUE"""),"Upload file, cross check and inform                               ")</f>
        <v>Upload file, cross check and inform                               </v>
      </c>
      <c r="C2375" s="82">
        <f>IFERROR(__xludf.DUMMYFUNCTION("""COMPUTED_VALUE"""),5341.0)</f>
        <v>5341</v>
      </c>
      <c r="D2375" s="76" t="str">
        <f>IFERROR(__xludf.DUMMYFUNCTION("""COMPUTED_VALUE"""),"Attendance Report")</f>
        <v>Attendance Report</v>
      </c>
      <c r="E2375" s="84">
        <f>IFERROR(__xludf.DUMMYFUNCTION("""COMPUTED_VALUE"""),46212.80138888889)</f>
        <v>46212.80139</v>
      </c>
      <c r="F2375" s="86">
        <f>IFERROR(__xludf.DUMMYFUNCTION("""COMPUTED_VALUE"""),46213.44923611111)</f>
        <v>46213.44924</v>
      </c>
      <c r="G2375" s="86" t="str">
        <f>IFERROR(__xludf.DUMMYFUNCTION("""COMPUTED_VALUE"""),"Done")</f>
        <v>Done</v>
      </c>
      <c r="H2375" s="88">
        <f>IFERROR(__xludf.DUMMYFUNCTION("""COMPUTED_VALUE"""),0.6478472222224809)</f>
        <v>0.6478472222</v>
      </c>
      <c r="I2375" s="90" t="str">
        <f>IFERROR(__xludf.DUMMYFUNCTION("""COMPUTED_VALUE"""),"EMP0237 Swarnendu Chakraborty")</f>
        <v>EMP0237 Swarnendu Chakraborty</v>
      </c>
      <c r="J2375" s="91"/>
    </row>
    <row r="2376">
      <c r="B2376" s="76" t="str">
        <f>IFERROR(__xludf.DUMMYFUNCTION("""COMPUTED_VALUE"""),"Upload file, cross check and inform                               ")</f>
        <v>Upload file, cross check and inform                               </v>
      </c>
      <c r="C2376" s="82">
        <f>IFERROR(__xludf.DUMMYFUNCTION("""COMPUTED_VALUE"""),5342.0)</f>
        <v>5342</v>
      </c>
      <c r="D2376" s="76" t="str">
        <f>IFERROR(__xludf.DUMMYFUNCTION("""COMPUTED_VALUE"""),"Merit List")</f>
        <v>Merit List</v>
      </c>
      <c r="E2376" s="84">
        <f>IFERROR(__xludf.DUMMYFUNCTION("""COMPUTED_VALUE"""),46213.47916666667)</f>
        <v>46213.47917</v>
      </c>
      <c r="F2376" s="86"/>
      <c r="G2376" s="86"/>
      <c r="H2376" s="88">
        <f>IFERROR(__xludf.DUMMYFUNCTION("""COMPUTED_VALUE"""),0.0)</f>
        <v>0</v>
      </c>
      <c r="I2376" s="90" t="str">
        <f>IFERROR(__xludf.DUMMYFUNCTION("""COMPUTED_VALUE"""),"EMP0042 HULESHWAR KUMAR SAHU")</f>
        <v>EMP0042 HULESHWAR KUMAR SAHU</v>
      </c>
      <c r="J2376" s="91"/>
    </row>
    <row r="2377">
      <c r="B2377" s="76" t="str">
        <f>IFERROR(__xludf.DUMMYFUNCTION("""COMPUTED_VALUE"""),"Upload file, cross check and inform                               ")</f>
        <v>Upload file, cross check and inform                               </v>
      </c>
      <c r="C2377" s="82">
        <f>IFERROR(__xludf.DUMMYFUNCTION("""COMPUTED_VALUE"""),5343.0)</f>
        <v>5343</v>
      </c>
      <c r="D2377" s="76" t="str">
        <f>IFERROR(__xludf.DUMMYFUNCTION("""COMPUTED_VALUE"""),"Multiple Report Bcom MS")</f>
        <v>Multiple Report Bcom MS</v>
      </c>
      <c r="E2377" s="84">
        <f>IFERROR(__xludf.DUMMYFUNCTION("""COMPUTED_VALUE"""),46213.47708333333)</f>
        <v>46213.47708</v>
      </c>
      <c r="F2377" s="86">
        <f>IFERROR(__xludf.DUMMYFUNCTION("""COMPUTED_VALUE"""),46212.74445042824)</f>
        <v>46212.74445</v>
      </c>
      <c r="G2377" s="86" t="str">
        <f>IFERROR(__xludf.DUMMYFUNCTION("""COMPUTED_VALUE"""),"Done")</f>
        <v>Done</v>
      </c>
      <c r="H2377" s="88">
        <f>IFERROR(__xludf.DUMMYFUNCTION("""COMPUTED_VALUE"""),0.0)</f>
        <v>0</v>
      </c>
      <c r="I2377" s="90" t="str">
        <f>IFERROR(__xludf.DUMMYFUNCTION("""COMPUTED_VALUE"""),"EMP0042 HULESHWAR KUMAR SAHU")</f>
        <v>EMP0042 HULESHWAR KUMAR SAHU</v>
      </c>
      <c r="J2377" s="91"/>
    </row>
    <row r="2378">
      <c r="B2378" s="76" t="str">
        <f>IFERROR(__xludf.DUMMYFUNCTION("""COMPUTED_VALUE"""),"Upload file, cross check and inform                               ")</f>
        <v>Upload file, cross check and inform                               </v>
      </c>
      <c r="C2378" s="82">
        <f>IFERROR(__xludf.DUMMYFUNCTION("""COMPUTED_VALUE"""),5344.0)</f>
        <v>5344</v>
      </c>
      <c r="D2378" s="76" t="str">
        <f>IFERROR(__xludf.DUMMYFUNCTION("""COMPUTED_VALUE"""),"GAU Attendancesheet")</f>
        <v>GAU Attendancesheet</v>
      </c>
      <c r="E2378" s="84">
        <f>IFERROR(__xludf.DUMMYFUNCTION("""COMPUTED_VALUE"""),46213.62847222222)</f>
        <v>46213.62847</v>
      </c>
      <c r="F2378" s="86">
        <f>IFERROR(__xludf.DUMMYFUNCTION("""COMPUTED_VALUE"""),46213.56623842593)</f>
        <v>46213.56624</v>
      </c>
      <c r="G2378" s="86" t="str">
        <f>IFERROR(__xludf.DUMMYFUNCTION("""COMPUTED_VALUE"""),"Done")</f>
        <v>Done</v>
      </c>
      <c r="H2378" s="88">
        <f>IFERROR(__xludf.DUMMYFUNCTION("""COMPUTED_VALUE"""),0.0)</f>
        <v>0</v>
      </c>
      <c r="I2378" s="90" t="str">
        <f>IFERROR(__xludf.DUMMYFUNCTION("""COMPUTED_VALUE"""),"EMP0021 Tamanna Dewangan")</f>
        <v>EMP0021 Tamanna Dewangan</v>
      </c>
      <c r="J2378" s="91"/>
    </row>
    <row r="2379">
      <c r="B2379" s="76" t="str">
        <f>IFERROR(__xludf.DUMMYFUNCTION("""COMPUTED_VALUE"""),"Upload file, cross check and inform                               ")</f>
        <v>Upload file, cross check and inform                               </v>
      </c>
      <c r="C2379" s="82">
        <f>IFERROR(__xludf.DUMMYFUNCTION("""COMPUTED_VALUE"""),5345.0)</f>
        <v>5345</v>
      </c>
      <c r="D2379" s="76" t="str">
        <f>IFERROR(__xludf.DUMMYFUNCTION("""COMPUTED_VALUE"""),"UG Attendance Sheet")</f>
        <v>UG Attendance Sheet</v>
      </c>
      <c r="E2379" s="84">
        <f>IFERROR(__xludf.DUMMYFUNCTION("""COMPUTED_VALUE"""),46213.6375)</f>
        <v>46213.6375</v>
      </c>
      <c r="F2379" s="86">
        <f>IFERROR(__xludf.DUMMYFUNCTION("""COMPUTED_VALUE"""),46213.56626157407)</f>
        <v>46213.56626</v>
      </c>
      <c r="G2379" s="86" t="str">
        <f>IFERROR(__xludf.DUMMYFUNCTION("""COMPUTED_VALUE"""),"Done")</f>
        <v>Done</v>
      </c>
      <c r="H2379" s="88">
        <f>IFERROR(__xludf.DUMMYFUNCTION("""COMPUTED_VALUE"""),0.0)</f>
        <v>0</v>
      </c>
      <c r="I2379" s="90" t="str">
        <f>IFERROR(__xludf.DUMMYFUNCTION("""COMPUTED_VALUE"""),"EMP0021 Tamanna Dewangan")</f>
        <v>EMP0021 Tamanna Dewangan</v>
      </c>
      <c r="J2379" s="91"/>
    </row>
    <row r="2380">
      <c r="B2380" s="76" t="str">
        <f>IFERROR(__xludf.DUMMYFUNCTION("""COMPUTED_VALUE"""),"Upload file, cross check and inform                               ")</f>
        <v>Upload file, cross check and inform                               </v>
      </c>
      <c r="C2380" s="82">
        <f>IFERROR(__xludf.DUMMYFUNCTION("""COMPUTED_VALUE"""),5346.0)</f>
        <v>5346</v>
      </c>
      <c r="D2380" s="76" t="str">
        <f>IFERROR(__xludf.DUMMYFUNCTION("""COMPUTED_VALUE"""),"Summary For UG")</f>
        <v>Summary For UG</v>
      </c>
      <c r="E2380" s="84">
        <f>IFERROR(__xludf.DUMMYFUNCTION("""COMPUTED_VALUE"""),46213.63958333334)</f>
        <v>46213.63958</v>
      </c>
      <c r="F2380" s="86">
        <f>IFERROR(__xludf.DUMMYFUNCTION("""COMPUTED_VALUE"""),46213.56627314815)</f>
        <v>46213.56627</v>
      </c>
      <c r="G2380" s="86" t="str">
        <f>IFERROR(__xludf.DUMMYFUNCTION("""COMPUTED_VALUE"""),"Done")</f>
        <v>Done</v>
      </c>
      <c r="H2380" s="88">
        <f>IFERROR(__xludf.DUMMYFUNCTION("""COMPUTED_VALUE"""),0.0)</f>
        <v>0</v>
      </c>
      <c r="I2380" s="90" t="str">
        <f>IFERROR(__xludf.DUMMYFUNCTION("""COMPUTED_VALUE"""),"EMP0021 Tamanna Dewangan")</f>
        <v>EMP0021 Tamanna Dewangan</v>
      </c>
      <c r="J2380" s="91"/>
    </row>
    <row r="2381">
      <c r="B2381" s="76" t="str">
        <f>IFERROR(__xludf.DUMMYFUNCTION("""COMPUTED_VALUE"""),"Upload file, cross check and inform                               ")</f>
        <v>Upload file, cross check and inform                               </v>
      </c>
      <c r="C2381" s="82">
        <f>IFERROR(__xludf.DUMMYFUNCTION("""COMPUTED_VALUE"""),5347.0)</f>
        <v>5347</v>
      </c>
      <c r="D2381" s="76" t="str">
        <f>IFERROR(__xludf.DUMMYFUNCTION("""COMPUTED_VALUE"""),"Cover Page")</f>
        <v>Cover Page</v>
      </c>
      <c r="E2381" s="84">
        <f>IFERROR(__xludf.DUMMYFUNCTION("""COMPUTED_VALUE"""),46213.64097222222)</f>
        <v>46213.64097</v>
      </c>
      <c r="F2381" s="86">
        <f>IFERROR(__xludf.DUMMYFUNCTION("""COMPUTED_VALUE"""),46213.567025462966)</f>
        <v>46213.56703</v>
      </c>
      <c r="G2381" s="86" t="str">
        <f>IFERROR(__xludf.DUMMYFUNCTION("""COMPUTED_VALUE"""),"Done")</f>
        <v>Done</v>
      </c>
      <c r="H2381" s="88">
        <f>IFERROR(__xludf.DUMMYFUNCTION("""COMPUTED_VALUE"""),0.0)</f>
        <v>0</v>
      </c>
      <c r="I2381" s="90" t="str">
        <f>IFERROR(__xludf.DUMMYFUNCTION("""COMPUTED_VALUE"""),"EMP0021 Tamanna Dewangan")</f>
        <v>EMP0021 Tamanna Dewangan</v>
      </c>
      <c r="J2381" s="91"/>
    </row>
    <row r="2382">
      <c r="B2382" s="76" t="str">
        <f>IFERROR(__xludf.DUMMYFUNCTION("""COMPUTED_VALUE"""),"Upload file, cross check and inform                               ")</f>
        <v>Upload file, cross check and inform                               </v>
      </c>
      <c r="C2382" s="82">
        <f>IFERROR(__xludf.DUMMYFUNCTION("""COMPUTED_VALUE"""),5348.0)</f>
        <v>5348</v>
      </c>
      <c r="D2382" s="76" t="str">
        <f>IFERROR(__xludf.DUMMYFUNCTION("""COMPUTED_VALUE"""),"inside Analysis report the fee detail is not working")</f>
        <v>inside Analysis report the fee detail is not working</v>
      </c>
      <c r="E2382" s="84">
        <f>IFERROR(__xludf.DUMMYFUNCTION("""COMPUTED_VALUE"""),46213.75)</f>
        <v>46213.75</v>
      </c>
      <c r="F2382" s="86">
        <f>IFERROR(__xludf.DUMMYFUNCTION("""COMPUTED_VALUE"""),46212.78592055556)</f>
        <v>46212.78592</v>
      </c>
      <c r="G2382" s="86" t="str">
        <f>IFERROR(__xludf.DUMMYFUNCTION("""COMPUTED_VALUE"""),"Done")</f>
        <v>Done</v>
      </c>
      <c r="H2382" s="88">
        <f>IFERROR(__xludf.DUMMYFUNCTION("""COMPUTED_VALUE"""),0.0)</f>
        <v>0</v>
      </c>
      <c r="I2382" s="90" t="str">
        <f>IFERROR(__xludf.DUMMYFUNCTION("""COMPUTED_VALUE"""),"EMP0042 HULESHWAR KUMAR SAHU")</f>
        <v>EMP0042 HULESHWAR KUMAR SAHU</v>
      </c>
      <c r="J2382" s="91"/>
    </row>
    <row r="2383">
      <c r="B2383" s="76" t="str">
        <f>IFERROR(__xludf.DUMMYFUNCTION("""COMPUTED_VALUE"""),"Upload file, cross check and inform                               ")</f>
        <v>Upload file, cross check and inform                               </v>
      </c>
      <c r="C2383" s="82">
        <f>IFERROR(__xludf.DUMMYFUNCTION("""COMPUTED_VALUE"""),5349.0)</f>
        <v>5349</v>
      </c>
      <c r="D2383" s="76" t="str">
        <f>IFERROR(__xludf.DUMMYFUNCTION("""COMPUTED_VALUE"""),"Challenge revaluation me RV show ho rha")</f>
        <v>Challenge revaluation me RV show ho rha</v>
      </c>
      <c r="E2383" s="84">
        <f>IFERROR(__xludf.DUMMYFUNCTION("""COMPUTED_VALUE"""),46213.75347222222)</f>
        <v>46213.75347</v>
      </c>
      <c r="F2383" s="86">
        <f>IFERROR(__xludf.DUMMYFUNCTION("""COMPUTED_VALUE"""),46212.574551875)</f>
        <v>46212.57455</v>
      </c>
      <c r="G2383" s="86" t="str">
        <f>IFERROR(__xludf.DUMMYFUNCTION("""COMPUTED_VALUE"""),"Done")</f>
        <v>Done</v>
      </c>
      <c r="H2383" s="88">
        <f>IFERROR(__xludf.DUMMYFUNCTION("""COMPUTED_VALUE"""),0.0)</f>
        <v>0</v>
      </c>
      <c r="I2383" s="90" t="str">
        <f>IFERROR(__xludf.DUMMYFUNCTION("""COMPUTED_VALUE"""),"EMP5009 Rup Kumar Mandal")</f>
        <v>EMP5009 Rup Kumar Mandal</v>
      </c>
      <c r="J2383" s="91"/>
    </row>
    <row r="2384">
      <c r="B2384" s="76" t="str">
        <f>IFERROR(__xludf.DUMMYFUNCTION("""COMPUTED_VALUE"""),"Upload file, cross check and inform                               ")</f>
        <v>Upload file, cross check and inform                               </v>
      </c>
      <c r="C2384" s="82">
        <f>IFERROR(__xludf.DUMMYFUNCTION("""COMPUTED_VALUE"""),5350.0)</f>
        <v>5350</v>
      </c>
      <c r="D2384" s="76" t="str">
        <f>IFERROR(__xludf.DUMMYFUNCTION("""COMPUTED_VALUE"""),"Transcript")</f>
        <v>Transcript</v>
      </c>
      <c r="E2384" s="84">
        <f>IFERROR(__xludf.DUMMYFUNCTION("""COMPUTED_VALUE"""),46213.76388888889)</f>
        <v>46213.76389</v>
      </c>
      <c r="F2384" s="86">
        <f>IFERROR(__xludf.DUMMYFUNCTION("""COMPUTED_VALUE"""),46212.785790671296)</f>
        <v>46212.78579</v>
      </c>
      <c r="G2384" s="86" t="str">
        <f>IFERROR(__xludf.DUMMYFUNCTION("""COMPUTED_VALUE"""),"Done")</f>
        <v>Done</v>
      </c>
      <c r="H2384" s="88">
        <f>IFERROR(__xludf.DUMMYFUNCTION("""COMPUTED_VALUE"""),0.0)</f>
        <v>0</v>
      </c>
      <c r="I2384" s="90" t="str">
        <f>IFERROR(__xludf.DUMMYFUNCTION("""COMPUTED_VALUE"""),"EMP0042 HULESHWAR KUMAR SAHU")</f>
        <v>EMP0042 HULESHWAR KUMAR SAHU</v>
      </c>
      <c r="J2384" s="91"/>
    </row>
    <row r="2385">
      <c r="B2385" s="76" t="str">
        <f>IFERROR(__xludf.DUMMYFUNCTION("""COMPUTED_VALUE"""),"Upload file, cross check and inform                               ")</f>
        <v>Upload file, cross check and inform                               </v>
      </c>
      <c r="C2385" s="82">
        <f>IFERROR(__xludf.DUMMYFUNCTION("""COMPUTED_VALUE"""),5351.0)</f>
        <v>5351</v>
      </c>
      <c r="D2385" s="76" t="str">
        <f>IFERROR(__xludf.DUMMYFUNCTION("""COMPUTED_VALUE"""),"ATTANDANCE SHEET")</f>
        <v>ATTANDANCE SHEET</v>
      </c>
      <c r="E2385" s="84">
        <f>IFERROR(__xludf.DUMMYFUNCTION("""COMPUTED_VALUE"""),46216.44305555556)</f>
        <v>46216.44306</v>
      </c>
      <c r="F2385" s="86">
        <f>IFERROR(__xludf.DUMMYFUNCTION("""COMPUTED_VALUE"""),46213.64330206018)</f>
        <v>46213.6433</v>
      </c>
      <c r="G2385" s="86" t="str">
        <f>IFERROR(__xludf.DUMMYFUNCTION("""COMPUTED_VALUE"""),"Done")</f>
        <v>Done</v>
      </c>
      <c r="H2385" s="88">
        <f>IFERROR(__xludf.DUMMYFUNCTION("""COMPUTED_VALUE"""),0.0)</f>
        <v>0</v>
      </c>
      <c r="I2385" s="90" t="str">
        <f>IFERROR(__xludf.DUMMYFUNCTION("""COMPUTED_VALUE"""),"EMP0042 HULESHWAR KUMAR SAHU")</f>
        <v>EMP0042 HULESHWAR KUMAR SAHU</v>
      </c>
      <c r="J2385" s="91"/>
    </row>
    <row r="2386">
      <c r="B2386" s="76" t="str">
        <f>IFERROR(__xludf.DUMMYFUNCTION("""COMPUTED_VALUE"""),"Upload file, cross check and inform                               ")</f>
        <v>Upload file, cross check and inform                               </v>
      </c>
      <c r="C2386" s="82">
        <f>IFERROR(__xludf.DUMMYFUNCTION("""COMPUTED_VALUE"""),5352.0)</f>
        <v>5352</v>
      </c>
      <c r="D2386" s="76" t="str">
        <f>IFERROR(__xludf.DUMMYFUNCTION("""COMPUTED_VALUE"""),"Grade Card NEP (PG)")</f>
        <v>Grade Card NEP (PG)</v>
      </c>
      <c r="E2386" s="84">
        <f>IFERROR(__xludf.DUMMYFUNCTION("""COMPUTED_VALUE"""),46216.495833333334)</f>
        <v>46216.49583</v>
      </c>
      <c r="F2386" s="86">
        <f>IFERROR(__xludf.DUMMYFUNCTION("""COMPUTED_VALUE"""),46214.45830096065)</f>
        <v>46214.4583</v>
      </c>
      <c r="G2386" s="86" t="str">
        <f>IFERROR(__xludf.DUMMYFUNCTION("""COMPUTED_VALUE"""),"Done")</f>
        <v>Done</v>
      </c>
      <c r="H2386" s="88">
        <f>IFERROR(__xludf.DUMMYFUNCTION("""COMPUTED_VALUE"""),0.0)</f>
        <v>0</v>
      </c>
      <c r="I2386" s="90" t="str">
        <f>IFERROR(__xludf.DUMMYFUNCTION("""COMPUTED_VALUE"""),"EMP5009 Rup Kumar Mandal")</f>
        <v>EMP5009 Rup Kumar Mandal</v>
      </c>
      <c r="J2386" s="91"/>
    </row>
    <row r="2387">
      <c r="B2387" s="76" t="str">
        <f>IFERROR(__xludf.DUMMYFUNCTION("""COMPUTED_VALUE"""),"Upload file, cross check and inform                               ")</f>
        <v>Upload file, cross check and inform                               </v>
      </c>
      <c r="C2387" s="82">
        <f>IFERROR(__xludf.DUMMYFUNCTION("""COMPUTED_VALUE"""),5353.0)</f>
        <v>5353</v>
      </c>
      <c r="D2387" s="76" t="str">
        <f>IFERROR(__xludf.DUMMYFUNCTION("""COMPUTED_VALUE"""),"TR Format (Grading / Non-Grading)")</f>
        <v>TR Format (Grading / Non-Grading)</v>
      </c>
      <c r="E2387" s="84">
        <f>IFERROR(__xludf.DUMMYFUNCTION("""COMPUTED_VALUE"""),46216.56805555556)</f>
        <v>46216.56806</v>
      </c>
      <c r="F2387" s="86">
        <f>IFERROR(__xludf.DUMMYFUNCTION("""COMPUTED_VALUE"""),46214.45832803241)</f>
        <v>46214.45833</v>
      </c>
      <c r="G2387" s="86" t="str">
        <f>IFERROR(__xludf.DUMMYFUNCTION("""COMPUTED_VALUE"""),"Done")</f>
        <v>Done</v>
      </c>
      <c r="H2387" s="88">
        <f>IFERROR(__xludf.DUMMYFUNCTION("""COMPUTED_VALUE"""),0.0)</f>
        <v>0</v>
      </c>
      <c r="I2387" s="90" t="str">
        <f>IFERROR(__xludf.DUMMYFUNCTION("""COMPUTED_VALUE"""),"EMP5009 Rup Kumar Mandal")</f>
        <v>EMP5009 Rup Kumar Mandal</v>
      </c>
      <c r="J2387" s="91"/>
    </row>
    <row r="2388">
      <c r="B2388" s="76" t="str">
        <f>IFERROR(__xludf.DUMMYFUNCTION("""COMPUTED_VALUE"""),"Upload file, cross check and inform                               ")</f>
        <v>Upload file, cross check and inform                               </v>
      </c>
      <c r="C2388" s="82">
        <f>IFERROR(__xludf.DUMMYFUNCTION("""COMPUTED_VALUE"""),5354.0)</f>
        <v>5354</v>
      </c>
      <c r="D2388" s="76" t="str">
        <f>IFERROR(__xludf.DUMMYFUNCTION("""COMPUTED_VALUE"""),"Please update in scheme report for subject type, credits")</f>
        <v>Please update in scheme report for subject type, credits</v>
      </c>
      <c r="E2388" s="84">
        <f>IFERROR(__xludf.DUMMYFUNCTION("""COMPUTED_VALUE"""),46216.8125)</f>
        <v>46216.8125</v>
      </c>
      <c r="F2388" s="86">
        <f>IFERROR(__xludf.DUMMYFUNCTION("""COMPUTED_VALUE"""),46214.72318061343)</f>
        <v>46214.72318</v>
      </c>
      <c r="G2388" s="86" t="str">
        <f>IFERROR(__xludf.DUMMYFUNCTION("""COMPUTED_VALUE"""),"Done")</f>
        <v>Done</v>
      </c>
      <c r="H2388" s="88">
        <f>IFERROR(__xludf.DUMMYFUNCTION("""COMPUTED_VALUE"""),0.0)</f>
        <v>0</v>
      </c>
      <c r="I2388" s="90" t="str">
        <f>IFERROR(__xludf.DUMMYFUNCTION("""COMPUTED_VALUE"""),"EMP0042 HULESHWAR KUMAR SAHU")</f>
        <v>EMP0042 HULESHWAR KUMAR SAHU</v>
      </c>
      <c r="J2388" s="91"/>
    </row>
    <row r="2389">
      <c r="B2389" s="76" t="str">
        <f>IFERROR(__xludf.DUMMYFUNCTION("""COMPUTED_VALUE"""),"Upload file, cross check and inform                               ")</f>
        <v>Upload file, cross check and inform                               </v>
      </c>
      <c r="C2389" s="82">
        <f>IFERROR(__xludf.DUMMYFUNCTION("""COMPUTED_VALUE"""),5355.0)</f>
        <v>5355</v>
      </c>
      <c r="D2389" s="76" t="str">
        <f>IFERROR(__xludf.DUMMYFUNCTION("""COMPUTED_VALUE"""),"TR LLB NEW")</f>
        <v>TR LLB NEW</v>
      </c>
      <c r="E2389" s="84">
        <f>IFERROR(__xludf.DUMMYFUNCTION("""COMPUTED_VALUE"""),46216.830555555556)</f>
        <v>46216.83056</v>
      </c>
      <c r="F2389" s="86">
        <f>IFERROR(__xludf.DUMMYFUNCTION("""COMPUTED_VALUE"""),46216.501763217595)</f>
        <v>46216.50176</v>
      </c>
      <c r="G2389" s="86" t="str">
        <f>IFERROR(__xludf.DUMMYFUNCTION("""COMPUTED_VALUE"""),"Done")</f>
        <v>Done</v>
      </c>
      <c r="H2389" s="88">
        <f>IFERROR(__xludf.DUMMYFUNCTION("""COMPUTED_VALUE"""),0.0)</f>
        <v>0</v>
      </c>
      <c r="I2389" s="90" t="str">
        <f>IFERROR(__xludf.DUMMYFUNCTION("""COMPUTED_VALUE"""),"EMP0042 HULESHWAR KUMAR SAHU")</f>
        <v>EMP0042 HULESHWAR KUMAR SAHU</v>
      </c>
      <c r="J2389" s="91"/>
    </row>
    <row r="2390">
      <c r="B2390" s="76" t="str">
        <f>IFERROR(__xludf.DUMMYFUNCTION("""COMPUTED_VALUE"""),"Upload file, cross check and inform                               ")</f>
        <v>Upload file, cross check and inform                               </v>
      </c>
      <c r="C2390" s="82">
        <f>IFERROR(__xludf.DUMMYFUNCTION("""COMPUTED_VALUE"""),5356.0)</f>
        <v>5356</v>
      </c>
      <c r="D2390" s="76" t="str">
        <f>IFERROR(__xludf.DUMMYFUNCTION("""COMPUTED_VALUE"""),"Multiple Report ")</f>
        <v>Multiple Report </v>
      </c>
      <c r="E2390" s="84">
        <f>IFERROR(__xludf.DUMMYFUNCTION("""COMPUTED_VALUE"""),46217.57708333334)</f>
        <v>46217.57708</v>
      </c>
      <c r="F2390" s="86">
        <f>IFERROR(__xludf.DUMMYFUNCTION("""COMPUTED_VALUE"""),46216.50178162037)</f>
        <v>46216.50178</v>
      </c>
      <c r="G2390" s="86" t="str">
        <f>IFERROR(__xludf.DUMMYFUNCTION("""COMPUTED_VALUE"""),"Done")</f>
        <v>Done</v>
      </c>
      <c r="H2390" s="88">
        <f>IFERROR(__xludf.DUMMYFUNCTION("""COMPUTED_VALUE"""),0.0)</f>
        <v>0</v>
      </c>
      <c r="I2390" s="90" t="str">
        <f>IFERROR(__xludf.DUMMYFUNCTION("""COMPUTED_VALUE"""),"EMP0042 HULESHWAR KUMAR SAHU")</f>
        <v>EMP0042 HULESHWAR KUMAR SAHU</v>
      </c>
      <c r="J2390" s="91"/>
    </row>
    <row r="2391">
      <c r="B2391" s="76" t="str">
        <f>IFERROR(__xludf.DUMMYFUNCTION("""COMPUTED_VALUE"""),"Upload file, cross check and inform                               ")</f>
        <v>Upload file, cross check and inform                               </v>
      </c>
      <c r="C2391" s="82">
        <f>IFERROR(__xludf.DUMMYFUNCTION("""COMPUTED_VALUE"""),5357.0)</f>
        <v>5357</v>
      </c>
      <c r="D2391" s="76" t="str">
        <f>IFERROR(__xludf.DUMMYFUNCTION("""COMPUTED_VALUE"""),"TR")</f>
        <v>TR</v>
      </c>
      <c r="E2391" s="84">
        <f>IFERROR(__xludf.DUMMYFUNCTION("""COMPUTED_VALUE"""),46217.80347222222)</f>
        <v>46217.80347</v>
      </c>
      <c r="F2391" s="86">
        <f>IFERROR(__xludf.DUMMYFUNCTION("""COMPUTED_VALUE"""),46216.55284729166)</f>
        <v>46216.55285</v>
      </c>
      <c r="G2391" s="86" t="str">
        <f>IFERROR(__xludf.DUMMYFUNCTION("""COMPUTED_VALUE"""),"Done")</f>
        <v>Done</v>
      </c>
      <c r="H2391" s="88">
        <f>IFERROR(__xludf.DUMMYFUNCTION("""COMPUTED_VALUE"""),0.0)</f>
        <v>0</v>
      </c>
      <c r="I2391" s="90" t="str">
        <f>IFERROR(__xludf.DUMMYFUNCTION("""COMPUTED_VALUE"""),"EMP0042 HULESHWAR KUMAR SAHU")</f>
        <v>EMP0042 HULESHWAR KUMAR SAHU</v>
      </c>
      <c r="J2391" s="91"/>
    </row>
    <row r="2392">
      <c r="B2392" s="76" t="str">
        <f>IFERROR(__xludf.DUMMYFUNCTION("""COMPUTED_VALUE"""),"Upload file, cross check and inform                               ")</f>
        <v>Upload file, cross check and inform                               </v>
      </c>
      <c r="C2392" s="82">
        <f>IFERROR(__xludf.DUMMYFUNCTION("""COMPUTED_VALUE"""),5358.0)</f>
        <v>5358</v>
      </c>
      <c r="D2392" s="76" t="str">
        <f>IFERROR(__xludf.DUMMYFUNCTION("""COMPUTED_VALUE"""),"PRE EXAM REPORT")</f>
        <v>PRE EXAM REPORT</v>
      </c>
      <c r="E2392" s="84">
        <f>IFERROR(__xludf.DUMMYFUNCTION("""COMPUTED_VALUE"""),46218.44236111111)</f>
        <v>46218.44236</v>
      </c>
      <c r="F2392" s="86">
        <f>IFERROR(__xludf.DUMMYFUNCTION("""COMPUTED_VALUE"""),46217.81776349537)</f>
        <v>46217.81776</v>
      </c>
      <c r="G2392" s="86" t="str">
        <f>IFERROR(__xludf.DUMMYFUNCTION("""COMPUTED_VALUE"""),"Done")</f>
        <v>Done</v>
      </c>
      <c r="H2392" s="88">
        <f>IFERROR(__xludf.DUMMYFUNCTION("""COMPUTED_VALUE"""),0.0)</f>
        <v>0</v>
      </c>
      <c r="I2392" s="90" t="str">
        <f>IFERROR(__xludf.DUMMYFUNCTION("""COMPUTED_VALUE"""),"EMP0237 Swarnendu Chakraborty")</f>
        <v>EMP0237 Swarnendu Chakraborty</v>
      </c>
      <c r="J2392" s="91"/>
    </row>
    <row r="2393">
      <c r="B2393" s="76" t="str">
        <f>IFERROR(__xludf.DUMMYFUNCTION("""COMPUTED_VALUE"""),"Upload file, cross check and inform                               ")</f>
        <v>Upload file, cross check and inform                               </v>
      </c>
      <c r="C2393" s="82">
        <f>IFERROR(__xludf.DUMMYFUNCTION("""COMPUTED_VALUE"""),5359.0)</f>
        <v>5359</v>
      </c>
      <c r="D2393" s="76" t="str">
        <f>IFERROR(__xludf.DUMMYFUNCTION("""COMPUTED_VALUE"""),"TRANSCRIPT")</f>
        <v>TRANSCRIPT</v>
      </c>
      <c r="E2393" s="84">
        <f>IFERROR(__xludf.DUMMYFUNCTION("""COMPUTED_VALUE"""),46218.49861111111)</f>
        <v>46218.49861</v>
      </c>
      <c r="F2393" s="86">
        <f>IFERROR(__xludf.DUMMYFUNCTION("""COMPUTED_VALUE"""),46218.48215376158)</f>
        <v>46218.48215</v>
      </c>
      <c r="G2393" s="86" t="str">
        <f>IFERROR(__xludf.DUMMYFUNCTION("""COMPUTED_VALUE"""),"Done")</f>
        <v>Done</v>
      </c>
      <c r="H2393" s="88">
        <f>IFERROR(__xludf.DUMMYFUNCTION("""COMPUTED_VALUE"""),0.0)</f>
        <v>0</v>
      </c>
      <c r="I2393" s="90" t="str">
        <f>IFERROR(__xludf.DUMMYFUNCTION("""COMPUTED_VALUE"""),"EMP0042 HULESHWAR KUMAR SAHU")</f>
        <v>EMP0042 HULESHWAR KUMAR SAHU</v>
      </c>
      <c r="J2393" s="91"/>
    </row>
    <row r="2394">
      <c r="B2394" s="76" t="str">
        <f>IFERROR(__xludf.DUMMYFUNCTION("""COMPUTED_VALUE"""),"Upload file, cross check and inform                               ")</f>
        <v>Upload file, cross check and inform                               </v>
      </c>
      <c r="C2394" s="82">
        <f>IFERROR(__xludf.DUMMYFUNCTION("""COMPUTED_VALUE"""),5360.0)</f>
        <v>5360</v>
      </c>
      <c r="D2394" s="76" t="str">
        <f>IFERROR(__xludf.DUMMYFUNCTION("""COMPUTED_VALUE"""),"TR REPORT ")</f>
        <v>TR REPORT </v>
      </c>
      <c r="E2394" s="84">
        <f>IFERROR(__xludf.DUMMYFUNCTION("""COMPUTED_VALUE"""),46218.60763888889)</f>
        <v>46218.60764</v>
      </c>
      <c r="F2394" s="86">
        <f>IFERROR(__xludf.DUMMYFUNCTION("""COMPUTED_VALUE"""),46218.48218774306)</f>
        <v>46218.48219</v>
      </c>
      <c r="G2394" s="86" t="str">
        <f>IFERROR(__xludf.DUMMYFUNCTION("""COMPUTED_VALUE"""),"Done")</f>
        <v>Done</v>
      </c>
      <c r="H2394" s="88">
        <f>IFERROR(__xludf.DUMMYFUNCTION("""COMPUTED_VALUE"""),0.0)</f>
        <v>0</v>
      </c>
      <c r="I2394" s="90" t="str">
        <f>IFERROR(__xludf.DUMMYFUNCTION("""COMPUTED_VALUE"""),"EMP0237 Swarnendu Chakraborty")</f>
        <v>EMP0237 Swarnendu Chakraborty</v>
      </c>
      <c r="J2394" s="91"/>
    </row>
    <row r="2395">
      <c r="B2395" s="76" t="str">
        <f>IFERROR(__xludf.DUMMYFUNCTION("""COMPUTED_VALUE"""),"Upload file, cross check and inform                               ")</f>
        <v>Upload file, cross check and inform                               </v>
      </c>
      <c r="C2395" s="82">
        <f>IFERROR(__xludf.DUMMYFUNCTION("""COMPUTED_VALUE"""),5361.0)</f>
        <v>5361</v>
      </c>
      <c r="D2395" s="76" t="str">
        <f>IFERROR(__xludf.DUMMYFUNCTION("""COMPUTED_VALUE"""),"Grade Card")</f>
        <v>Grade Card</v>
      </c>
      <c r="E2395" s="84">
        <f>IFERROR(__xludf.DUMMYFUNCTION("""COMPUTED_VALUE"""),46220.41875)</f>
        <v>46220.41875</v>
      </c>
      <c r="F2395" s="86">
        <f>IFERROR(__xludf.DUMMYFUNCTION("""COMPUTED_VALUE"""),46218.47928847223)</f>
        <v>46218.47929</v>
      </c>
      <c r="G2395" s="86" t="str">
        <f>IFERROR(__xludf.DUMMYFUNCTION("""COMPUTED_VALUE"""),"Done")</f>
        <v>Done</v>
      </c>
      <c r="H2395" s="88">
        <f>IFERROR(__xludf.DUMMYFUNCTION("""COMPUTED_VALUE"""),0.0)</f>
        <v>0</v>
      </c>
      <c r="I2395" s="90" t="str">
        <f>IFERROR(__xludf.DUMMYFUNCTION("""COMPUTED_VALUE"""),"EMP5009 Rup Kumar Mandal")</f>
        <v>EMP5009 Rup Kumar Mandal</v>
      </c>
      <c r="J2395" s="91"/>
    </row>
    <row r="2396">
      <c r="B2396" s="76" t="str">
        <f>IFERROR(__xludf.DUMMYFUNCTION("""COMPUTED_VALUE"""),"Upload file, cross check and inform                               ")</f>
        <v>Upload file, cross check and inform                               </v>
      </c>
      <c r="C2396" s="82">
        <f>IFERROR(__xludf.DUMMYFUNCTION("""COMPUTED_VALUE"""),5362.0)</f>
        <v>5362</v>
      </c>
      <c r="D2396" s="76" t="str">
        <f>IFERROR(__xludf.DUMMYFUNCTION("""COMPUTED_VALUE"""),"3443")</f>
        <v>3443</v>
      </c>
      <c r="E2396" s="84">
        <f>IFERROR(__xludf.DUMMYFUNCTION("""COMPUTED_VALUE"""),46220.424305555556)</f>
        <v>46220.42431</v>
      </c>
      <c r="F2396" s="86">
        <f>IFERROR(__xludf.DUMMYFUNCTION("""COMPUTED_VALUE"""),46218.47927668982)</f>
        <v>46218.47928</v>
      </c>
      <c r="G2396" s="86" t="str">
        <f>IFERROR(__xludf.DUMMYFUNCTION("""COMPUTED_VALUE"""),"Done")</f>
        <v>Done</v>
      </c>
      <c r="H2396" s="88">
        <f>IFERROR(__xludf.DUMMYFUNCTION("""COMPUTED_VALUE"""),0.0)</f>
        <v>0</v>
      </c>
      <c r="I2396" s="90" t="str">
        <f>IFERROR(__xludf.DUMMYFUNCTION("""COMPUTED_VALUE"""),"EMP5009 Rup Kumar Mandal")</f>
        <v>EMP5009 Rup Kumar Mandal</v>
      </c>
      <c r="J2396" s="91"/>
    </row>
    <row r="2397">
      <c r="B2397" s="76" t="str">
        <f>IFERROR(__xludf.DUMMYFUNCTION("""COMPUTED_VALUE"""),"Upload file, cross check and inform                               ")</f>
        <v>Upload file, cross check and inform                               </v>
      </c>
      <c r="C2397" s="82">
        <f>IFERROR(__xludf.DUMMYFUNCTION("""COMPUTED_VALUE"""),5363.0)</f>
        <v>5363</v>
      </c>
      <c r="D2397" s="76" t="str">
        <f>IFERROR(__xludf.DUMMYFUNCTION("""COMPUTED_VALUE"""),"3386")</f>
        <v>3386</v>
      </c>
      <c r="E2397" s="84">
        <f>IFERROR(__xludf.DUMMYFUNCTION("""COMPUTED_VALUE"""),46220.42638888889)</f>
        <v>46220.42639</v>
      </c>
      <c r="F2397" s="86">
        <f>IFERROR(__xludf.DUMMYFUNCTION("""COMPUTED_VALUE"""),46218.47931722223)</f>
        <v>46218.47932</v>
      </c>
      <c r="G2397" s="86" t="str">
        <f>IFERROR(__xludf.DUMMYFUNCTION("""COMPUTED_VALUE"""),"Done")</f>
        <v>Done</v>
      </c>
      <c r="H2397" s="88">
        <f>IFERROR(__xludf.DUMMYFUNCTION("""COMPUTED_VALUE"""),0.0)</f>
        <v>0</v>
      </c>
      <c r="I2397" s="90" t="str">
        <f>IFERROR(__xludf.DUMMYFUNCTION("""COMPUTED_VALUE"""),"EMP5009 Rup Kumar Mandal")</f>
        <v>EMP5009 Rup Kumar Mandal</v>
      </c>
      <c r="J2397" s="91"/>
    </row>
    <row r="2398">
      <c r="B2398" s="76" t="str">
        <f>IFERROR(__xludf.DUMMYFUNCTION("""COMPUTED_VALUE"""),"Upload file, cross check and inform                               ")</f>
        <v>Upload file, cross check and inform                               </v>
      </c>
      <c r="C2398" s="82">
        <f>IFERROR(__xludf.DUMMYFUNCTION("""COMPUTED_VALUE"""),5364.0)</f>
        <v>5364</v>
      </c>
      <c r="D2398" s="76" t="str">
        <f>IFERROR(__xludf.DUMMYFUNCTION("""COMPUTED_VALUE"""),"3285")</f>
        <v>3285</v>
      </c>
      <c r="E2398" s="84">
        <f>IFERROR(__xludf.DUMMYFUNCTION("""COMPUTED_VALUE"""),46220.42916666667)</f>
        <v>46220.42917</v>
      </c>
      <c r="F2398" s="86">
        <f>IFERROR(__xludf.DUMMYFUNCTION("""COMPUTED_VALUE"""),46218.47930310185)</f>
        <v>46218.4793</v>
      </c>
      <c r="G2398" s="86" t="str">
        <f>IFERROR(__xludf.DUMMYFUNCTION("""COMPUTED_VALUE"""),"Done")</f>
        <v>Done</v>
      </c>
      <c r="H2398" s="88">
        <f>IFERROR(__xludf.DUMMYFUNCTION("""COMPUTED_VALUE"""),0.0)</f>
        <v>0</v>
      </c>
      <c r="I2398" s="90" t="str">
        <f>IFERROR(__xludf.DUMMYFUNCTION("""COMPUTED_VALUE"""),"EMP5009 Rup Kumar Mandal")</f>
        <v>EMP5009 Rup Kumar Mandal</v>
      </c>
      <c r="J2398" s="91"/>
    </row>
    <row r="2399">
      <c r="B2399" s="76" t="str">
        <f>IFERROR(__xludf.DUMMYFUNCTION("""COMPUTED_VALUE"""),"Upload file, cross check and inform                               ")</f>
        <v>Upload file, cross check and inform                               </v>
      </c>
      <c r="C2399" s="82">
        <f>IFERROR(__xludf.DUMMYFUNCTION("""COMPUTED_VALUE"""),5365.0)</f>
        <v>5365</v>
      </c>
      <c r="D2399" s="76" t="str">
        <f>IFERROR(__xludf.DUMMYFUNCTION("""COMPUTED_VALUE"""),"3285")</f>
        <v>3285</v>
      </c>
      <c r="E2399" s="84">
        <f>IFERROR(__xludf.DUMMYFUNCTION("""COMPUTED_VALUE"""),46220.430555555555)</f>
        <v>46220.43056</v>
      </c>
      <c r="F2399" s="86">
        <f>IFERROR(__xludf.DUMMYFUNCTION("""COMPUTED_VALUE"""),46218.4793334375)</f>
        <v>46218.47933</v>
      </c>
      <c r="G2399" s="86" t="str">
        <f>IFERROR(__xludf.DUMMYFUNCTION("""COMPUTED_VALUE"""),"Done")</f>
        <v>Done</v>
      </c>
      <c r="H2399" s="88">
        <f>IFERROR(__xludf.DUMMYFUNCTION("""COMPUTED_VALUE"""),0.0)</f>
        <v>0</v>
      </c>
      <c r="I2399" s="90" t="str">
        <f>IFERROR(__xludf.DUMMYFUNCTION("""COMPUTED_VALUE"""),"EMP5009 Rup Kumar Mandal")</f>
        <v>EMP5009 Rup Kumar Mandal</v>
      </c>
      <c r="J2399" s="91"/>
    </row>
    <row r="2400">
      <c r="B2400" s="76" t="str">
        <f>IFERROR(__xludf.DUMMYFUNCTION("""COMPUTED_VALUE"""),"Upload file, cross check and inform                               ")</f>
        <v>Upload file, cross check and inform                               </v>
      </c>
      <c r="C2400" s="82">
        <f>IFERROR(__xludf.DUMMYFUNCTION("""COMPUTED_VALUE"""),5366.0)</f>
        <v>5366</v>
      </c>
      <c r="D2400" s="76" t="str">
        <f>IFERROR(__xludf.DUMMYFUNCTION("""COMPUTED_VALUE"""),"2577")</f>
        <v>2577</v>
      </c>
      <c r="E2400" s="84">
        <f>IFERROR(__xludf.DUMMYFUNCTION("""COMPUTED_VALUE"""),46220.43194444444)</f>
        <v>46220.43194</v>
      </c>
      <c r="F2400" s="86">
        <f>IFERROR(__xludf.DUMMYFUNCTION("""COMPUTED_VALUE"""),46218.47934311343)</f>
        <v>46218.47934</v>
      </c>
      <c r="G2400" s="86" t="str">
        <f>IFERROR(__xludf.DUMMYFUNCTION("""COMPUTED_VALUE"""),"Done")</f>
        <v>Done</v>
      </c>
      <c r="H2400" s="88">
        <f>IFERROR(__xludf.DUMMYFUNCTION("""COMPUTED_VALUE"""),0.0)</f>
        <v>0</v>
      </c>
      <c r="I2400" s="90" t="str">
        <f>IFERROR(__xludf.DUMMYFUNCTION("""COMPUTED_VALUE"""),"EMP5009 Rup Kumar Mandal")</f>
        <v>EMP5009 Rup Kumar Mandal</v>
      </c>
      <c r="J2400" s="91"/>
    </row>
    <row r="2401">
      <c r="B2401" s="76" t="str">
        <f>IFERROR(__xludf.DUMMYFUNCTION("""COMPUTED_VALUE"""),"Upload file, cross check and inform                               ")</f>
        <v>Upload file, cross check and inform                               </v>
      </c>
      <c r="C2401" s="82">
        <f>IFERROR(__xludf.DUMMYFUNCTION("""COMPUTED_VALUE"""),5367.0)</f>
        <v>5367</v>
      </c>
      <c r="D2401" s="76" t="str">
        <f>IFERROR(__xludf.DUMMYFUNCTION("""COMPUTED_VALUE"""),"2781")</f>
        <v>2781</v>
      </c>
      <c r="E2401" s="84">
        <f>IFERROR(__xludf.DUMMYFUNCTION("""COMPUTED_VALUE"""),46220.43472222222)</f>
        <v>46220.43472</v>
      </c>
      <c r="F2401" s="86">
        <f>IFERROR(__xludf.DUMMYFUNCTION("""COMPUTED_VALUE"""),46218.479372511574)</f>
        <v>46218.47937</v>
      </c>
      <c r="G2401" s="86" t="str">
        <f>IFERROR(__xludf.DUMMYFUNCTION("""COMPUTED_VALUE"""),"Done")</f>
        <v>Done</v>
      </c>
      <c r="H2401" s="88">
        <f>IFERROR(__xludf.DUMMYFUNCTION("""COMPUTED_VALUE"""),0.0)</f>
        <v>0</v>
      </c>
      <c r="I2401" s="90" t="str">
        <f>IFERROR(__xludf.DUMMYFUNCTION("""COMPUTED_VALUE"""),"EMP5009 Rup Kumar Mandal")</f>
        <v>EMP5009 Rup Kumar Mandal</v>
      </c>
      <c r="J2401" s="91"/>
    </row>
    <row r="2402">
      <c r="B2402" s="76" t="str">
        <f>IFERROR(__xludf.DUMMYFUNCTION("""COMPUTED_VALUE"""),"Upload file, cross check and inform                               ")</f>
        <v>Upload file, cross check and inform                               </v>
      </c>
      <c r="C2402" s="82">
        <f>IFERROR(__xludf.DUMMYFUNCTION("""COMPUTED_VALUE"""),5368.0)</f>
        <v>5368</v>
      </c>
      <c r="D2402" s="76" t="str">
        <f>IFERROR(__xludf.DUMMYFUNCTION("""COMPUTED_VALUE"""),"3361")</f>
        <v>3361</v>
      </c>
      <c r="E2402" s="84">
        <f>IFERROR(__xludf.DUMMYFUNCTION("""COMPUTED_VALUE"""),46220.43611111111)</f>
        <v>46220.43611</v>
      </c>
      <c r="F2402" s="86">
        <f>IFERROR(__xludf.DUMMYFUNCTION("""COMPUTED_VALUE"""),46218.479362199076)</f>
        <v>46218.47936</v>
      </c>
      <c r="G2402" s="86" t="str">
        <f>IFERROR(__xludf.DUMMYFUNCTION("""COMPUTED_VALUE"""),"Done")</f>
        <v>Done</v>
      </c>
      <c r="H2402" s="88">
        <f>IFERROR(__xludf.DUMMYFUNCTION("""COMPUTED_VALUE"""),0.0)</f>
        <v>0</v>
      </c>
      <c r="I2402" s="90" t="str">
        <f>IFERROR(__xludf.DUMMYFUNCTION("""COMPUTED_VALUE"""),"EMP5009 Rup Kumar Mandal")</f>
        <v>EMP5009 Rup Kumar Mandal</v>
      </c>
      <c r="J2402" s="91"/>
    </row>
    <row r="2403">
      <c r="B2403" s="76" t="str">
        <f>IFERROR(__xludf.DUMMYFUNCTION("""COMPUTED_VALUE"""),"Upload file, cross check and inform                               ")</f>
        <v>Upload file, cross check and inform                               </v>
      </c>
      <c r="C2403" s="82">
        <f>IFERROR(__xludf.DUMMYFUNCTION("""COMPUTED_VALUE"""),5369.0)</f>
        <v>5369</v>
      </c>
      <c r="D2403" s="76" t="str">
        <f>IFERROR(__xludf.DUMMYFUNCTION("""COMPUTED_VALUE"""),"33,083,375")</f>
        <v>33,083,375</v>
      </c>
      <c r="E2403" s="84">
        <f>IFERROR(__xludf.DUMMYFUNCTION("""COMPUTED_VALUE"""),46220.43819444445)</f>
        <v>46220.43819</v>
      </c>
      <c r="F2403" s="86">
        <f>IFERROR(__xludf.DUMMYFUNCTION("""COMPUTED_VALUE"""),46218.479370960646)</f>
        <v>46218.47937</v>
      </c>
      <c r="G2403" s="86" t="str">
        <f>IFERROR(__xludf.DUMMYFUNCTION("""COMPUTED_VALUE"""),"Done")</f>
        <v>Done</v>
      </c>
      <c r="H2403" s="88">
        <f>IFERROR(__xludf.DUMMYFUNCTION("""COMPUTED_VALUE"""),0.0)</f>
        <v>0</v>
      </c>
      <c r="I2403" s="90" t="str">
        <f>IFERROR(__xludf.DUMMYFUNCTION("""COMPUTED_VALUE"""),"EMP5009 Rup Kumar Mandal")</f>
        <v>EMP5009 Rup Kumar Mandal</v>
      </c>
      <c r="J2403" s="91"/>
    </row>
    <row r="2404">
      <c r="B2404" s="76" t="str">
        <f>IFERROR(__xludf.DUMMYFUNCTION("""COMPUTED_VALUE"""),"Upload file, cross check and inform                               ")</f>
        <v>Upload file, cross check and inform                               </v>
      </c>
      <c r="C2404" s="82">
        <f>IFERROR(__xludf.DUMMYFUNCTION("""COMPUTED_VALUE"""),5370.0)</f>
        <v>5370</v>
      </c>
      <c r="D2404" s="76" t="str">
        <f>IFERROR(__xludf.DUMMYFUNCTION("""COMPUTED_VALUE"""),"2782")</f>
        <v>2782</v>
      </c>
      <c r="E2404" s="84">
        <f>IFERROR(__xludf.DUMMYFUNCTION("""COMPUTED_VALUE"""),46220.43958333333)</f>
        <v>46220.43958</v>
      </c>
      <c r="F2404" s="86">
        <f>IFERROR(__xludf.DUMMYFUNCTION("""COMPUTED_VALUE"""),46218.47937798611)</f>
        <v>46218.47938</v>
      </c>
      <c r="G2404" s="86" t="str">
        <f>IFERROR(__xludf.DUMMYFUNCTION("""COMPUTED_VALUE"""),"Done")</f>
        <v>Done</v>
      </c>
      <c r="H2404" s="88">
        <f>IFERROR(__xludf.DUMMYFUNCTION("""COMPUTED_VALUE"""),0.0)</f>
        <v>0</v>
      </c>
      <c r="I2404" s="90" t="str">
        <f>IFERROR(__xludf.DUMMYFUNCTION("""COMPUTED_VALUE"""),"EMP5009 Rup Kumar Mandal")</f>
        <v>EMP5009 Rup Kumar Mandal</v>
      </c>
      <c r="J2404" s="91"/>
    </row>
    <row r="2405">
      <c r="B2405" s="76" t="str">
        <f>IFERROR(__xludf.DUMMYFUNCTION("""COMPUTED_VALUE"""),"Upload file, cross check and inform                               ")</f>
        <v>Upload file, cross check and inform                               </v>
      </c>
      <c r="C2405" s="82">
        <f>IFERROR(__xludf.DUMMYFUNCTION("""COMPUTED_VALUE"""),5371.0)</f>
        <v>5371</v>
      </c>
      <c r="D2405" s="76" t="str">
        <f>IFERROR(__xludf.DUMMYFUNCTION("""COMPUTED_VALUE"""),"MAR ENTRY")</f>
        <v>MAR ENTRY</v>
      </c>
      <c r="E2405" s="84">
        <f>IFERROR(__xludf.DUMMYFUNCTION("""COMPUTED_VALUE"""),46220.48263888889)</f>
        <v>46220.48264</v>
      </c>
      <c r="F2405" s="86">
        <f>IFERROR(__xludf.DUMMYFUNCTION("""COMPUTED_VALUE"""),46218.47950168981)</f>
        <v>46218.4795</v>
      </c>
      <c r="G2405" s="86" t="str">
        <f>IFERROR(__xludf.DUMMYFUNCTION("""COMPUTED_VALUE"""),"Done")</f>
        <v>Done</v>
      </c>
      <c r="H2405" s="88">
        <f>IFERROR(__xludf.DUMMYFUNCTION("""COMPUTED_VALUE"""),0.0)</f>
        <v>0</v>
      </c>
      <c r="I2405" s="90" t="str">
        <f>IFERROR(__xludf.DUMMYFUNCTION("""COMPUTED_VALUE"""),"EMP5009 Rup Kumar Mandal")</f>
        <v>EMP5009 Rup Kumar Mandal</v>
      </c>
      <c r="J2405" s="91"/>
    </row>
    <row r="2406">
      <c r="B2406" s="76" t="str">
        <f>IFERROR(__xludf.DUMMYFUNCTION("""COMPUTED_VALUE"""),"Upload file, cross check and inform                               ")</f>
        <v>Upload file, cross check and inform                               </v>
      </c>
      <c r="C2406" s="82">
        <f>IFERROR(__xludf.DUMMYFUNCTION("""COMPUTED_VALUE"""),5372.0)</f>
        <v>5372</v>
      </c>
      <c r="D2406" s="76" t="str">
        <f>IFERROR(__xludf.DUMMYFUNCTION("""COMPUTED_VALUE"""),"TR/HOSTING-UG NEP TR ")</f>
        <v>TR/HOSTING-UG NEP TR </v>
      </c>
      <c r="E2406" s="84">
        <f>IFERROR(__xludf.DUMMYFUNCTION("""COMPUTED_VALUE"""),46220.652083333334)</f>
        <v>46220.65208</v>
      </c>
      <c r="F2406" s="86">
        <f>IFERROR(__xludf.DUMMYFUNCTION("""COMPUTED_VALUE"""),46218.80127127315)</f>
        <v>46218.80127</v>
      </c>
      <c r="G2406" s="86" t="str">
        <f>IFERROR(__xludf.DUMMYFUNCTION("""COMPUTED_VALUE"""),"Done")</f>
        <v>Done</v>
      </c>
      <c r="H2406" s="88">
        <f>IFERROR(__xludf.DUMMYFUNCTION("""COMPUTED_VALUE"""),0.0)</f>
        <v>0</v>
      </c>
      <c r="I2406" s="90" t="str">
        <f>IFERROR(__xludf.DUMMYFUNCTION("""COMPUTED_VALUE"""),"EMP0042 HULESHWAR KUMAR SAHU")</f>
        <v>EMP0042 HULESHWAR KUMAR SAHU</v>
      </c>
      <c r="J2406" s="91"/>
    </row>
    <row r="2407">
      <c r="B2407" s="76" t="str">
        <f>IFERROR(__xludf.DUMMYFUNCTION("""COMPUTED_VALUE"""),"Upload file, cross check and inform                               ")</f>
        <v>Upload file, cross check and inform                               </v>
      </c>
      <c r="C2407" s="82">
        <f>IFERROR(__xludf.DUMMYFUNCTION("""COMPUTED_VALUE"""),5373.0)</f>
        <v>5373</v>
      </c>
      <c r="D2407" s="76" t="str">
        <f>IFERROR(__xludf.DUMMYFUNCTION("""COMPUTED_VALUE"""),"TRANSCRIPT ")</f>
        <v>TRANSCRIPT </v>
      </c>
      <c r="E2407" s="84">
        <f>IFERROR(__xludf.DUMMYFUNCTION("""COMPUTED_VALUE"""),46220.81527777778)</f>
        <v>46220.81528</v>
      </c>
      <c r="F2407" s="86">
        <f>IFERROR(__xludf.DUMMYFUNCTION("""COMPUTED_VALUE"""),46218.85145519676)</f>
        <v>46218.85146</v>
      </c>
      <c r="G2407" s="86" t="str">
        <f>IFERROR(__xludf.DUMMYFUNCTION("""COMPUTED_VALUE"""),"Done")</f>
        <v>Done</v>
      </c>
      <c r="H2407" s="88">
        <f>IFERROR(__xludf.DUMMYFUNCTION("""COMPUTED_VALUE"""),0.0)</f>
        <v>0</v>
      </c>
      <c r="I2407" s="90" t="str">
        <f>IFERROR(__xludf.DUMMYFUNCTION("""COMPUTED_VALUE"""),"EMP0021 Tamanna Dewangan")</f>
        <v>EMP0021 Tamanna Dewangan</v>
      </c>
      <c r="J2407" s="91"/>
    </row>
    <row r="2408">
      <c r="B2408" s="76" t="str">
        <f>IFERROR(__xludf.DUMMYFUNCTION("""COMPUTED_VALUE"""),"Upload file, cross check and inform                               ")</f>
        <v>Upload file, cross check and inform                               </v>
      </c>
      <c r="C2408" s="82">
        <f>IFERROR(__xludf.DUMMYFUNCTION("""COMPUTED_VALUE"""),5374.0)</f>
        <v>5374</v>
      </c>
      <c r="D2408" s="76" t="str">
        <f>IFERROR(__xludf.DUMMYFUNCTION("""COMPUTED_VALUE"""),"TR HOSTING -UG NEP TR ")</f>
        <v>TR HOSTING -UG NEP TR </v>
      </c>
      <c r="E2408" s="84">
        <f>IFERROR(__xludf.DUMMYFUNCTION("""COMPUTED_VALUE"""),46220.83263888889)</f>
        <v>46220.83264</v>
      </c>
      <c r="F2408" s="86">
        <f>IFERROR(__xludf.DUMMYFUNCTION("""COMPUTED_VALUE"""),46218.801458738424)</f>
        <v>46218.80146</v>
      </c>
      <c r="G2408" s="86" t="str">
        <f>IFERROR(__xludf.DUMMYFUNCTION("""COMPUTED_VALUE"""),"Done")</f>
        <v>Done</v>
      </c>
      <c r="H2408" s="88">
        <f>IFERROR(__xludf.DUMMYFUNCTION("""COMPUTED_VALUE"""),0.0)</f>
        <v>0</v>
      </c>
      <c r="I2408" s="90" t="str">
        <f>IFERROR(__xludf.DUMMYFUNCTION("""COMPUTED_VALUE"""),"EMP0237 Swarnendu Chakraborty")</f>
        <v>EMP0237 Swarnendu Chakraborty</v>
      </c>
      <c r="J2408" s="91"/>
    </row>
    <row r="2409">
      <c r="B2409" s="76" t="str">
        <f>IFERROR(__xludf.DUMMYFUNCTION("""COMPUTED_VALUE"""),"Upload file, cross check and inform                               ")</f>
        <v>Upload file, cross check and inform                               </v>
      </c>
      <c r="C2409" s="82">
        <f>IFERROR(__xludf.DUMMYFUNCTION("""COMPUTED_VALUE"""),5375.0)</f>
        <v>5375</v>
      </c>
      <c r="D2409" s="76" t="str">
        <f>IFERROR(__xludf.DUMMYFUNCTION("""COMPUTED_VALUE"""),"Migration certificate 241741105043_SE22")</f>
        <v>Migration certificate 241741105043_SE22</v>
      </c>
      <c r="E2409" s="84">
        <f>IFERROR(__xludf.DUMMYFUNCTION("""COMPUTED_VALUE"""),46221.45972222222)</f>
        <v>46221.45972</v>
      </c>
      <c r="F2409" s="86">
        <f>IFERROR(__xludf.DUMMYFUNCTION("""COMPUTED_VALUE"""),46218.82596893518)</f>
        <v>46218.82597</v>
      </c>
      <c r="G2409" s="86" t="str">
        <f>IFERROR(__xludf.DUMMYFUNCTION("""COMPUTED_VALUE"""),"Done")</f>
        <v>Done</v>
      </c>
      <c r="H2409" s="88">
        <f>IFERROR(__xludf.DUMMYFUNCTION("""COMPUTED_VALUE"""),0.0)</f>
        <v>0</v>
      </c>
      <c r="I2409" s="90" t="str">
        <f>IFERROR(__xludf.DUMMYFUNCTION("""COMPUTED_VALUE"""),"EMP0042 HULESHWAR KUMAR SAHU")</f>
        <v>EMP0042 HULESHWAR KUMAR SAHU</v>
      </c>
      <c r="J2409" s="91"/>
    </row>
    <row r="2410">
      <c r="B2410" s="76" t="str">
        <f>IFERROR(__xludf.DUMMYFUNCTION("""COMPUTED_VALUE"""),"Upload file, cross check and inform                               ")</f>
        <v>Upload file, cross check and inform                               </v>
      </c>
      <c r="C2410" s="82">
        <f>IFERROR(__xludf.DUMMYFUNCTION("""COMPUTED_VALUE"""),5376.0)</f>
        <v>5376</v>
      </c>
      <c r="D2410" s="76" t="str">
        <f>IFERROR(__xludf.DUMMYFUNCTION("""COMPUTED_VALUE"""),"TR report")</f>
        <v>TR report</v>
      </c>
      <c r="E2410" s="84">
        <f>IFERROR(__xludf.DUMMYFUNCTION("""COMPUTED_VALUE"""),46221.47708333333)</f>
        <v>46221.47708</v>
      </c>
      <c r="F2410" s="86">
        <f>IFERROR(__xludf.DUMMYFUNCTION("""COMPUTED_VALUE"""),46220.66693008102)</f>
        <v>46220.66693</v>
      </c>
      <c r="G2410" s="86" t="str">
        <f>IFERROR(__xludf.DUMMYFUNCTION("""COMPUTED_VALUE"""),"Done")</f>
        <v>Done</v>
      </c>
      <c r="H2410" s="88">
        <f>IFERROR(__xludf.DUMMYFUNCTION("""COMPUTED_VALUE"""),0.0)</f>
        <v>0</v>
      </c>
      <c r="I2410" s="90" t="str">
        <f>IFERROR(__xludf.DUMMYFUNCTION("""COMPUTED_VALUE"""),"EMP0237 Swarnendu Chakraborty")</f>
        <v>EMP0237 Swarnendu Chakraborty</v>
      </c>
      <c r="J2410" s="91"/>
    </row>
    <row r="2411">
      <c r="B2411" s="76" t="str">
        <f>IFERROR(__xludf.DUMMYFUNCTION("""COMPUTED_VALUE"""),"Upload file, cross check and inform                               ")</f>
        <v>Upload file, cross check and inform                               </v>
      </c>
      <c r="C2411" s="82">
        <f>IFERROR(__xludf.DUMMYFUNCTION("""COMPUTED_VALUE"""),5377.0)</f>
        <v>5377</v>
      </c>
      <c r="D2411" s="76" t="str">
        <f>IFERROR(__xludf.DUMMYFUNCTION("""COMPUTED_VALUE"""),"TR Report")</f>
        <v>TR Report</v>
      </c>
      <c r="E2411" s="84">
        <f>IFERROR(__xludf.DUMMYFUNCTION("""COMPUTED_VALUE"""),46221.572222222225)</f>
        <v>46221.57222</v>
      </c>
      <c r="F2411" s="86">
        <f>IFERROR(__xludf.DUMMYFUNCTION("""COMPUTED_VALUE"""),46220.66694894675)</f>
        <v>46220.66695</v>
      </c>
      <c r="G2411" s="86" t="str">
        <f>IFERROR(__xludf.DUMMYFUNCTION("""COMPUTED_VALUE"""),"Done")</f>
        <v>Done</v>
      </c>
      <c r="H2411" s="88">
        <f>IFERROR(__xludf.DUMMYFUNCTION("""COMPUTED_VALUE"""),0.0)</f>
        <v>0</v>
      </c>
      <c r="I2411" s="90" t="str">
        <f>IFERROR(__xludf.DUMMYFUNCTION("""COMPUTED_VALUE"""),"EMP0237 Swarnendu Chakraborty")</f>
        <v>EMP0237 Swarnendu Chakraborty</v>
      </c>
      <c r="J2411" s="91"/>
    </row>
    <row r="2412">
      <c r="B2412" s="76" t="str">
        <f>IFERROR(__xludf.DUMMYFUNCTION("""COMPUTED_VALUE"""),"Upload file, cross check and inform                               ")</f>
        <v>Upload file, cross check and inform                               </v>
      </c>
      <c r="C2412" s="82">
        <f>IFERROR(__xludf.DUMMYFUNCTION("""COMPUTED_VALUE"""),5378.0)</f>
        <v>5378</v>
      </c>
      <c r="D2412" s="76" t="str">
        <f>IFERROR(__xludf.DUMMYFUNCTION("""COMPUTED_VALUE"""),"TR")</f>
        <v>TR</v>
      </c>
      <c r="E2412" s="84">
        <f>IFERROR(__xludf.DUMMYFUNCTION("""COMPUTED_VALUE"""),46221.575)</f>
        <v>46221.575</v>
      </c>
      <c r="F2412" s="86">
        <f>IFERROR(__xludf.DUMMYFUNCTION("""COMPUTED_VALUE"""),46218.8267470949)</f>
        <v>46218.82675</v>
      </c>
      <c r="G2412" s="86" t="str">
        <f>IFERROR(__xludf.DUMMYFUNCTION("""COMPUTED_VALUE"""),"Done")</f>
        <v>Done</v>
      </c>
      <c r="H2412" s="88">
        <f>IFERROR(__xludf.DUMMYFUNCTION("""COMPUTED_VALUE"""),0.0)</f>
        <v>0</v>
      </c>
      <c r="I2412" s="90" t="str">
        <f>IFERROR(__xludf.DUMMYFUNCTION("""COMPUTED_VALUE"""),"EMP0042 HULESHWAR KUMAR SAHU")</f>
        <v>EMP0042 HULESHWAR KUMAR SAHU</v>
      </c>
      <c r="J2412" s="91"/>
    </row>
    <row r="2413">
      <c r="B2413" s="76" t="str">
        <f>IFERROR(__xludf.DUMMYFUNCTION("""COMPUTED_VALUE"""),"Upload file, cross check and inform                               ")</f>
        <v>Upload file, cross check and inform                               </v>
      </c>
      <c r="C2413" s="82">
        <f>IFERROR(__xludf.DUMMYFUNCTION("""COMPUTED_VALUE"""),5379.0)</f>
        <v>5379</v>
      </c>
      <c r="D2413" s="76" t="str">
        <f>IFERROR(__xludf.DUMMYFUNCTION("""COMPUTED_VALUE"""),"gradecard4_btech")</f>
        <v>gradecard4_btech</v>
      </c>
      <c r="E2413" s="84">
        <f>IFERROR(__xludf.DUMMYFUNCTION("""COMPUTED_VALUE"""),46220.80069444445)</f>
        <v>46220.80069</v>
      </c>
      <c r="F2413" s="86">
        <f>IFERROR(__xludf.DUMMYFUNCTION("""COMPUTED_VALUE"""),46219.590793055555)</f>
        <v>46219.59079</v>
      </c>
      <c r="G2413" s="86" t="str">
        <f>IFERROR(__xludf.DUMMYFUNCTION("""COMPUTED_VALUE"""),"Done")</f>
        <v>Done</v>
      </c>
      <c r="H2413" s="88">
        <f>IFERROR(__xludf.DUMMYFUNCTION("""COMPUTED_VALUE"""),0.0)</f>
        <v>0</v>
      </c>
      <c r="I2413" s="90" t="str">
        <f>IFERROR(__xludf.DUMMYFUNCTION("""COMPUTED_VALUE"""),"EMP0042 HULESHWAR KUMAR SAHU")</f>
        <v>EMP0042 HULESHWAR KUMAR SAHU</v>
      </c>
      <c r="J2413" s="91"/>
    </row>
    <row r="2414">
      <c r="B2414" s="76" t="str">
        <f>IFERROR(__xludf.DUMMYFUNCTION("""COMPUTED_VALUE"""),"Upload file, cross check and inform                               ")</f>
        <v>Upload file, cross check and inform                               </v>
      </c>
      <c r="C2414" s="82">
        <f>IFERROR(__xludf.DUMMYFUNCTION("""COMPUTED_VALUE"""),5380.0)</f>
        <v>5380</v>
      </c>
      <c r="D2414" s="76" t="str">
        <f>IFERROR(__xludf.DUMMYFUNCTION("""COMPUTED_VALUE"""),"Marksheet Paramedical")</f>
        <v>Marksheet Paramedical</v>
      </c>
      <c r="E2414" s="84">
        <f>IFERROR(__xludf.DUMMYFUNCTION("""COMPUTED_VALUE"""),46221.45763888889)</f>
        <v>46221.45764</v>
      </c>
      <c r="F2414" s="86">
        <f>IFERROR(__xludf.DUMMYFUNCTION("""COMPUTED_VALUE"""),46219.59082226852)</f>
        <v>46219.59082</v>
      </c>
      <c r="G2414" s="86" t="str">
        <f>IFERROR(__xludf.DUMMYFUNCTION("""COMPUTED_VALUE"""),"Done")</f>
        <v>Done</v>
      </c>
      <c r="H2414" s="88">
        <f>IFERROR(__xludf.DUMMYFUNCTION("""COMPUTED_VALUE"""),0.0)</f>
        <v>0</v>
      </c>
      <c r="I2414" s="90" t="str">
        <f>IFERROR(__xludf.DUMMYFUNCTION("""COMPUTED_VALUE"""),"EMP0042 HULESHWAR KUMAR SAHU")</f>
        <v>EMP0042 HULESHWAR KUMAR SAHU</v>
      </c>
      <c r="J2414" s="91"/>
    </row>
    <row r="2415">
      <c r="B2415" s="76" t="str">
        <f>IFERROR(__xludf.DUMMYFUNCTION("""COMPUTED_VALUE"""),"Upload file, cross check and inform                               ")</f>
        <v>Upload file, cross check and inform                               </v>
      </c>
      <c r="C2415" s="82">
        <f>IFERROR(__xludf.DUMMYFUNCTION("""COMPUTED_VALUE"""),5381.0)</f>
        <v>5381</v>
      </c>
      <c r="D2415" s="76" t="str">
        <f>IFERROR(__xludf.DUMMYFUNCTION("""COMPUTED_VALUE"""),"TR correction")</f>
        <v>TR correction</v>
      </c>
      <c r="E2415" s="84">
        <f>IFERROR(__xludf.DUMMYFUNCTION("""COMPUTED_VALUE"""),46221.521527777775)</f>
        <v>46221.52153</v>
      </c>
      <c r="F2415" s="86">
        <f>IFERROR(__xludf.DUMMYFUNCTION("""COMPUTED_VALUE"""),46220.60781403935)</f>
        <v>46220.60781</v>
      </c>
      <c r="G2415" s="86" t="str">
        <f>IFERROR(__xludf.DUMMYFUNCTION("""COMPUTED_VALUE"""),"Done")</f>
        <v>Done</v>
      </c>
      <c r="H2415" s="88">
        <f>IFERROR(__xludf.DUMMYFUNCTION("""COMPUTED_VALUE"""),0.0)</f>
        <v>0</v>
      </c>
      <c r="I2415" s="90" t="str">
        <f>IFERROR(__xludf.DUMMYFUNCTION("""COMPUTED_VALUE"""),"EMP0042 HULESHWAR KUMAR SAHU")</f>
        <v>EMP0042 HULESHWAR KUMAR SAHU</v>
      </c>
      <c r="J2415" s="91"/>
    </row>
    <row r="2416">
      <c r="B2416" s="76" t="str">
        <f>IFERROR(__xludf.DUMMYFUNCTION("""COMPUTED_VALUE"""),"Upload file, cross check and inform                               ")</f>
        <v>Upload file, cross check and inform                               </v>
      </c>
      <c r="C2416" s="82">
        <f>IFERROR(__xludf.DUMMYFUNCTION("""COMPUTED_VALUE"""),5382.0)</f>
        <v>5382</v>
      </c>
      <c r="D2416" s="76" t="str">
        <f>IFERROR(__xludf.DUMMYFUNCTION("""COMPUTED_VALUE"""),"Upshastri Controller  signature change")</f>
        <v>Upshastri Controller  signature change</v>
      </c>
      <c r="E2416" s="84">
        <f>IFERROR(__xludf.DUMMYFUNCTION("""COMPUTED_VALUE"""),46221.53263888889)</f>
        <v>46221.53264</v>
      </c>
      <c r="F2416" s="86">
        <f>IFERROR(__xludf.DUMMYFUNCTION("""COMPUTED_VALUE"""),46220.60786354167)</f>
        <v>46220.60786</v>
      </c>
      <c r="G2416" s="86" t="str">
        <f>IFERROR(__xludf.DUMMYFUNCTION("""COMPUTED_VALUE"""),"Done")</f>
        <v>Done</v>
      </c>
      <c r="H2416" s="88">
        <f>IFERROR(__xludf.DUMMYFUNCTION("""COMPUTED_VALUE"""),0.0)</f>
        <v>0</v>
      </c>
      <c r="I2416" s="90" t="str">
        <f>IFERROR(__xludf.DUMMYFUNCTION("""COMPUTED_VALUE"""),"EMP0021 Tamanna Dewangan")</f>
        <v>EMP0021 Tamanna Dewangan</v>
      </c>
      <c r="J2416" s="91"/>
    </row>
    <row r="2417">
      <c r="B2417" s="76" t="str">
        <f>IFERROR(__xludf.DUMMYFUNCTION("""COMPUTED_VALUE"""),"Upload file, cross check and inform                               ")</f>
        <v>Upload file, cross check and inform                               </v>
      </c>
      <c r="C2417" s="82">
        <f>IFERROR(__xludf.DUMMYFUNCTION("""COMPUTED_VALUE"""),5383.0)</f>
        <v>5383</v>
      </c>
      <c r="D2417" s="76" t="str">
        <f>IFERROR(__xludf.DUMMYFUNCTION("""COMPUTED_VALUE"""),"Shastri Semester marksheet Correction")</f>
        <v>Shastri Semester marksheet Correction</v>
      </c>
      <c r="E2417" s="84">
        <f>IFERROR(__xludf.DUMMYFUNCTION("""COMPUTED_VALUE"""),46221.53333333333)</f>
        <v>46221.53333</v>
      </c>
      <c r="F2417" s="86">
        <f>IFERROR(__xludf.DUMMYFUNCTION("""COMPUTED_VALUE"""),46220.60795041666)</f>
        <v>46220.60795</v>
      </c>
      <c r="G2417" s="86" t="str">
        <f>IFERROR(__xludf.DUMMYFUNCTION("""COMPUTED_VALUE"""),"Done")</f>
        <v>Done</v>
      </c>
      <c r="H2417" s="88">
        <f>IFERROR(__xludf.DUMMYFUNCTION("""COMPUTED_VALUE"""),0.0)</f>
        <v>0</v>
      </c>
      <c r="I2417" s="90" t="str">
        <f>IFERROR(__xludf.DUMMYFUNCTION("""COMPUTED_VALUE"""),"EMP0042 HULESHWAR KUMAR SAHU")</f>
        <v>EMP0042 HULESHWAR KUMAR SAHU</v>
      </c>
      <c r="J2417" s="91"/>
    </row>
    <row r="2418">
      <c r="B2418" s="76" t="str">
        <f>IFERROR(__xludf.DUMMYFUNCTION("""COMPUTED_VALUE"""),"Upload file, cross check and inform                               ")</f>
        <v>Upload file, cross check and inform                               </v>
      </c>
      <c r="C2418" s="82">
        <f>IFERROR(__xludf.DUMMYFUNCTION("""COMPUTED_VALUE"""),5384.0)</f>
        <v>5384</v>
      </c>
      <c r="D2418" s="76" t="str">
        <f>IFERROR(__xludf.DUMMYFUNCTION("""COMPUTED_VALUE"""),"Grade Carde B.Tech")</f>
        <v>Grade Carde B.Tech</v>
      </c>
      <c r="E2418" s="84">
        <f>IFERROR(__xludf.DUMMYFUNCTION("""COMPUTED_VALUE"""),46221.57152777778)</f>
        <v>46221.57153</v>
      </c>
      <c r="F2418" s="86">
        <f>IFERROR(__xludf.DUMMYFUNCTION("""COMPUTED_VALUE"""),46220.60808655093)</f>
        <v>46220.60809</v>
      </c>
      <c r="G2418" s="86" t="str">
        <f>IFERROR(__xludf.DUMMYFUNCTION("""COMPUTED_VALUE"""),"Done")</f>
        <v>Done</v>
      </c>
      <c r="H2418" s="88">
        <f>IFERROR(__xludf.DUMMYFUNCTION("""COMPUTED_VALUE"""),0.0)</f>
        <v>0</v>
      </c>
      <c r="I2418" s="90" t="str">
        <f>IFERROR(__xludf.DUMMYFUNCTION("""COMPUTED_VALUE"""),"EMP0042 HULESHWAR KUMAR SAHU")</f>
        <v>EMP0042 HULESHWAR KUMAR SAHU</v>
      </c>
      <c r="J2418" s="91"/>
    </row>
    <row r="2419">
      <c r="B2419" s="76" t="str">
        <f>IFERROR(__xludf.DUMMYFUNCTION("""COMPUTED_VALUE"""),"Upload file, cross check and inform                               ")</f>
        <v>Upload file, cross check and inform                               </v>
      </c>
      <c r="C2419" s="82">
        <f>IFERROR(__xludf.DUMMYFUNCTION("""COMPUTED_VALUE"""),5385.0)</f>
        <v>5385</v>
      </c>
      <c r="D2419" s="76" t="str">
        <f>IFERROR(__xludf.DUMMYFUNCTION("""COMPUTED_VALUE"""),"GRADE_CARD")</f>
        <v>GRADE_CARD</v>
      </c>
      <c r="E2419" s="84">
        <f>IFERROR(__xludf.DUMMYFUNCTION("""COMPUTED_VALUE"""),46221.58819444444)</f>
        <v>46221.58819</v>
      </c>
      <c r="F2419" s="86">
        <f>IFERROR(__xludf.DUMMYFUNCTION("""COMPUTED_VALUE"""),46221.434843159725)</f>
        <v>46221.43484</v>
      </c>
      <c r="G2419" s="86" t="str">
        <f>IFERROR(__xludf.DUMMYFUNCTION("""COMPUTED_VALUE"""),"Done")</f>
        <v>Done</v>
      </c>
      <c r="H2419" s="88">
        <f>IFERROR(__xludf.DUMMYFUNCTION("""COMPUTED_VALUE"""),0.0)</f>
        <v>0</v>
      </c>
      <c r="I2419" s="90" t="str">
        <f>IFERROR(__xludf.DUMMYFUNCTION("""COMPUTED_VALUE"""),"EMP5009 Rup Kumar Mandal")</f>
        <v>EMP5009 Rup Kumar Mandal</v>
      </c>
      <c r="J2419" s="91"/>
    </row>
    <row r="2420">
      <c r="B2420" s="76" t="str">
        <f>IFERROR(__xludf.DUMMYFUNCTION("""COMPUTED_VALUE"""),"Upload file, cross check and inform                               ")</f>
        <v>Upload file, cross check and inform                               </v>
      </c>
      <c r="C2420" s="82">
        <f>IFERROR(__xludf.DUMMYFUNCTION("""COMPUTED_VALUE"""),5386.0)</f>
        <v>5386</v>
      </c>
      <c r="D2420" s="76" t="str">
        <f>IFERROR(__xludf.DUMMYFUNCTION("""COMPUTED_VALUE"""),"TRS_REPORT")</f>
        <v>TRS_REPORT</v>
      </c>
      <c r="E2420" s="84">
        <f>IFERROR(__xludf.DUMMYFUNCTION("""COMPUTED_VALUE"""),46221.59236111111)</f>
        <v>46221.59236</v>
      </c>
      <c r="F2420" s="86">
        <f>IFERROR(__xludf.DUMMYFUNCTION("""COMPUTED_VALUE"""),46221.43484954861)</f>
        <v>46221.43485</v>
      </c>
      <c r="G2420" s="86" t="str">
        <f>IFERROR(__xludf.DUMMYFUNCTION("""COMPUTED_VALUE"""),"Done")</f>
        <v>Done</v>
      </c>
      <c r="H2420" s="88">
        <f>IFERROR(__xludf.DUMMYFUNCTION("""COMPUTED_VALUE"""),0.0)</f>
        <v>0</v>
      </c>
      <c r="I2420" s="90" t="str">
        <f>IFERROR(__xludf.DUMMYFUNCTION("""COMPUTED_VALUE"""),"EMP5009 Rup Kumar Mandal")</f>
        <v>EMP5009 Rup Kumar Mandal</v>
      </c>
      <c r="J2420" s="91"/>
    </row>
    <row r="2421">
      <c r="B2421" s="76" t="str">
        <f>IFERROR(__xludf.DUMMYFUNCTION("""COMPUTED_VALUE"""),"Upload file, cross check and inform                               ")</f>
        <v>Upload file, cross check and inform                               </v>
      </c>
      <c r="C2421" s="82">
        <f>IFERROR(__xludf.DUMMYFUNCTION("""COMPUTED_VALUE"""),5387.0)</f>
        <v>5387</v>
      </c>
      <c r="D2421" s="76" t="str">
        <f>IFERROR(__xludf.DUMMYFUNCTION("""COMPUTED_VALUE"""),"	Grade Card (OTHERS)")</f>
        <v>	Grade Card (OTHERS)</v>
      </c>
      <c r="E2421" s="84">
        <f>IFERROR(__xludf.DUMMYFUNCTION("""COMPUTED_VALUE"""),46221.82083333333)</f>
        <v>46221.82083</v>
      </c>
      <c r="F2421" s="86">
        <f>IFERROR(__xludf.DUMMYFUNCTION("""COMPUTED_VALUE"""),46220.60822671296)</f>
        <v>46220.60823</v>
      </c>
      <c r="G2421" s="86" t="str">
        <f>IFERROR(__xludf.DUMMYFUNCTION("""COMPUTED_VALUE"""),"Done")</f>
        <v>Done</v>
      </c>
      <c r="H2421" s="88">
        <f>IFERROR(__xludf.DUMMYFUNCTION("""COMPUTED_VALUE"""),0.0)</f>
        <v>0</v>
      </c>
      <c r="I2421" s="90" t="str">
        <f>IFERROR(__xludf.DUMMYFUNCTION("""COMPUTED_VALUE"""),"EMP0021 Tamanna Dewangan")</f>
        <v>EMP0021 Tamanna Dewangan</v>
      </c>
      <c r="J2421" s="91"/>
    </row>
    <row r="2422">
      <c r="B2422" s="76" t="str">
        <f>IFERROR(__xludf.DUMMYFUNCTION("""COMPUTED_VALUE"""),"Upload file, cross check and inform                               ")</f>
        <v>Upload file, cross check and inform                               </v>
      </c>
      <c r="C2422" s="82">
        <f>IFERROR(__xludf.DUMMYFUNCTION("""COMPUTED_VALUE"""),5388.0)</f>
        <v>5388</v>
      </c>
      <c r="D2422" s="76" t="str">
        <f>IFERROR(__xludf.DUMMYFUNCTION("""COMPUTED_VALUE"""),"	Provisional Certificate")</f>
        <v>	Provisional Certificate</v>
      </c>
      <c r="E2422" s="84">
        <f>IFERROR(__xludf.DUMMYFUNCTION("""COMPUTED_VALUE"""),46223.48611111111)</f>
        <v>46223.48611</v>
      </c>
      <c r="F2422" s="86">
        <f>IFERROR(__xludf.DUMMYFUNCTION("""COMPUTED_VALUE"""),46221.527819490744)</f>
        <v>46221.52782</v>
      </c>
      <c r="G2422" s="86" t="str">
        <f>IFERROR(__xludf.DUMMYFUNCTION("""COMPUTED_VALUE"""),"Done")</f>
        <v>Done</v>
      </c>
      <c r="H2422" s="88">
        <f>IFERROR(__xludf.DUMMYFUNCTION("""COMPUTED_VALUE"""),0.0)</f>
        <v>0</v>
      </c>
      <c r="I2422" s="90" t="str">
        <f>IFERROR(__xludf.DUMMYFUNCTION("""COMPUTED_VALUE"""),"EMP0042 HULESHWAR KUMAR SAHU")</f>
        <v>EMP0042 HULESHWAR KUMAR SAHU</v>
      </c>
      <c r="J2422" s="91"/>
    </row>
    <row r="2423">
      <c r="B2423" s="76" t="str">
        <f>IFERROR(__xludf.DUMMYFUNCTION("""COMPUTED_VALUE"""),"Upload file, cross check and inform                               ")</f>
        <v>Upload file, cross check and inform                               </v>
      </c>
      <c r="C2423" s="82">
        <f>IFERROR(__xludf.DUMMYFUNCTION("""COMPUTED_VALUE"""),5389.0)</f>
        <v>5389</v>
      </c>
      <c r="D2423" s="76" t="str">
        <f>IFERROR(__xludf.DUMMYFUNCTION("""COMPUTED_VALUE"""),"TR Format (Grading / Non-Grading) ")</f>
        <v>TR Format (Grading / Non-Grading) </v>
      </c>
      <c r="E2423" s="84">
        <f>IFERROR(__xludf.DUMMYFUNCTION("""COMPUTED_VALUE"""),46223.65902777778)</f>
        <v>46223.65903</v>
      </c>
      <c r="F2423" s="86">
        <f>IFERROR(__xludf.DUMMYFUNCTION("""COMPUTED_VALUE"""),46221.434750173605)</f>
        <v>46221.43475</v>
      </c>
      <c r="G2423" s="86" t="str">
        <f>IFERROR(__xludf.DUMMYFUNCTION("""COMPUTED_VALUE"""),"Done")</f>
        <v>Done</v>
      </c>
      <c r="H2423" s="88">
        <f>IFERROR(__xludf.DUMMYFUNCTION("""COMPUTED_VALUE"""),0.0)</f>
        <v>0</v>
      </c>
      <c r="I2423" s="90" t="str">
        <f>IFERROR(__xludf.DUMMYFUNCTION("""COMPUTED_VALUE"""),"EMP5009 Rup Kumar Mandal")</f>
        <v>EMP5009 Rup Kumar Mandal</v>
      </c>
      <c r="J2423" s="91"/>
    </row>
    <row r="2424">
      <c r="B2424" s="76" t="str">
        <f>IFERROR(__xludf.DUMMYFUNCTION("""COMPUTED_VALUE"""),"Upload file, cross check and inform                               ")</f>
        <v>Upload file, cross check and inform                               </v>
      </c>
      <c r="C2424" s="82">
        <f>IFERROR(__xludf.DUMMYFUNCTION("""COMPUTED_VALUE"""),5390.0)</f>
        <v>5390</v>
      </c>
      <c r="D2424" s="76" t="str">
        <f>IFERROR(__xludf.DUMMYFUNCTION("""COMPUTED_VALUE"""),"TR Format (Grading / Non-Grading) ")</f>
        <v>TR Format (Grading / Non-Grading) </v>
      </c>
      <c r="E2424" s="84">
        <f>IFERROR(__xludf.DUMMYFUNCTION("""COMPUTED_VALUE"""),46223.660416666666)</f>
        <v>46223.66042</v>
      </c>
      <c r="F2424" s="86">
        <f>IFERROR(__xludf.DUMMYFUNCTION("""COMPUTED_VALUE"""),46221.43475233796)</f>
        <v>46221.43475</v>
      </c>
      <c r="G2424" s="86" t="str">
        <f>IFERROR(__xludf.DUMMYFUNCTION("""COMPUTED_VALUE"""),"Done")</f>
        <v>Done</v>
      </c>
      <c r="H2424" s="88">
        <f>IFERROR(__xludf.DUMMYFUNCTION("""COMPUTED_VALUE"""),0.0)</f>
        <v>0</v>
      </c>
      <c r="I2424" s="90" t="str">
        <f>IFERROR(__xludf.DUMMYFUNCTION("""COMPUTED_VALUE"""),"EMP0021 Tamanna Dewangan")</f>
        <v>EMP0021 Tamanna Dewangan</v>
      </c>
      <c r="J2424" s="91"/>
    </row>
    <row r="2425">
      <c r="B2425" s="76" t="str">
        <f>IFERROR(__xludf.DUMMYFUNCTION("""COMPUTED_VALUE"""),"Upload file, cross check and inform                               ")</f>
        <v>Upload file, cross check and inform                               </v>
      </c>
      <c r="C2425" s="82">
        <f>IFERROR(__xludf.DUMMYFUNCTION("""COMPUTED_VALUE"""),5391.0)</f>
        <v>5391</v>
      </c>
      <c r="D2425" s="76" t="str">
        <f>IFERROR(__xludf.DUMMYFUNCTION("""COMPUTED_VALUE"""),"PG-SECTION Continuous Assesment Marks Report ")</f>
        <v>PG-SECTION Continuous Assesment Marks Report </v>
      </c>
      <c r="E2425" s="84">
        <f>IFERROR(__xludf.DUMMYFUNCTION("""COMPUTED_VALUE"""),46223.66458333333)</f>
        <v>46223.66458</v>
      </c>
      <c r="F2425" s="86">
        <f>IFERROR(__xludf.DUMMYFUNCTION("""COMPUTED_VALUE"""),46221.43476285879)</f>
        <v>46221.43476</v>
      </c>
      <c r="G2425" s="86" t="str">
        <f>IFERROR(__xludf.DUMMYFUNCTION("""COMPUTED_VALUE"""),"Done")</f>
        <v>Done</v>
      </c>
      <c r="H2425" s="88">
        <f>IFERROR(__xludf.DUMMYFUNCTION("""COMPUTED_VALUE"""),0.0)</f>
        <v>0</v>
      </c>
      <c r="I2425" s="90" t="str">
        <f>IFERROR(__xludf.DUMMYFUNCTION("""COMPUTED_VALUE"""),"EMP5009 Rup Kumar Mandal")</f>
        <v>EMP5009 Rup Kumar Mandal</v>
      </c>
      <c r="J2425" s="91"/>
    </row>
    <row r="2426">
      <c r="B2426" s="76" t="str">
        <f>IFERROR(__xludf.DUMMYFUNCTION("""COMPUTED_VALUE"""),"Upload file, cross check and inform                               ")</f>
        <v>Upload file, cross check and inform                               </v>
      </c>
      <c r="C2426" s="82">
        <f>IFERROR(__xludf.DUMMYFUNCTION("""COMPUTED_VALUE"""),5392.0)</f>
        <v>5392</v>
      </c>
      <c r="D2426" s="76" t="str">
        <f>IFERROR(__xludf.DUMMYFUNCTION("""COMPUTED_VALUE"""),"PG-SECTION Marks Entry Mis-Match Report")</f>
        <v>PG-SECTION Marks Entry Mis-Match Report</v>
      </c>
      <c r="E2426" s="84">
        <f>IFERROR(__xludf.DUMMYFUNCTION("""COMPUTED_VALUE"""),46223.66736111111)</f>
        <v>46223.66736</v>
      </c>
      <c r="F2426" s="86">
        <f>IFERROR(__xludf.DUMMYFUNCTION("""COMPUTED_VALUE"""),46221.43476285879)</f>
        <v>46221.43476</v>
      </c>
      <c r="G2426" s="86" t="str">
        <f>IFERROR(__xludf.DUMMYFUNCTION("""COMPUTED_VALUE"""),"Done")</f>
        <v>Done</v>
      </c>
      <c r="H2426" s="88">
        <f>IFERROR(__xludf.DUMMYFUNCTION("""COMPUTED_VALUE"""),0.0)</f>
        <v>0</v>
      </c>
      <c r="I2426" s="90" t="str">
        <f>IFERROR(__xludf.DUMMYFUNCTION("""COMPUTED_VALUE"""),"EMP5009 Rup Kumar Mandal")</f>
        <v>EMP5009 Rup Kumar Mandal</v>
      </c>
      <c r="J2426" s="91"/>
    </row>
    <row r="2427">
      <c r="B2427" s="76" t="str">
        <f>IFERROR(__xludf.DUMMYFUNCTION("""COMPUTED_VALUE"""),"Upload file, cross check and inform                               ")</f>
        <v>Upload file, cross check and inform                               </v>
      </c>
      <c r="C2427" s="82">
        <f>IFERROR(__xludf.DUMMYFUNCTION("""COMPUTED_VALUE"""),5393.0)</f>
        <v>5393</v>
      </c>
      <c r="D2427" s="76" t="str">
        <f>IFERROR(__xludf.DUMMYFUNCTION("""COMPUTED_VALUE"""),"Admit Card")</f>
        <v>Admit Card</v>
      </c>
      <c r="E2427" s="84">
        <f>IFERROR(__xludf.DUMMYFUNCTION("""COMPUTED_VALUE"""),46223.77222222222)</f>
        <v>46223.77222</v>
      </c>
      <c r="F2427" s="86">
        <f>IFERROR(__xludf.DUMMYFUNCTION("""COMPUTED_VALUE"""),46223.49132725695)</f>
        <v>46223.49133</v>
      </c>
      <c r="G2427" s="86" t="str">
        <f>IFERROR(__xludf.DUMMYFUNCTION("""COMPUTED_VALUE"""),"Done")</f>
        <v>Done</v>
      </c>
      <c r="H2427" s="88">
        <f>IFERROR(__xludf.DUMMYFUNCTION("""COMPUTED_VALUE"""),0.0)</f>
        <v>0</v>
      </c>
      <c r="I2427" s="90" t="str">
        <f>IFERROR(__xludf.DUMMYFUNCTION("""COMPUTED_VALUE"""),"EMP0237 Swarnendu Chakraborty")</f>
        <v>EMP0237 Swarnendu Chakraborty</v>
      </c>
      <c r="J2427" s="91"/>
    </row>
    <row r="2428">
      <c r="B2428" s="76" t="str">
        <f>IFERROR(__xludf.DUMMYFUNCTION("""COMPUTED_VALUE"""),"Upload file, cross check and inform                               ")</f>
        <v>Upload file, cross check and inform                               </v>
      </c>
      <c r="C2428" s="82">
        <f>IFERROR(__xludf.DUMMYFUNCTION("""COMPUTED_VALUE"""),5394.0)</f>
        <v>5394</v>
      </c>
      <c r="D2428" s="76" t="str">
        <f>IFERROR(__xludf.DUMMYFUNCTION("""COMPUTED_VALUE"""),"All marksheet scanner course name change as per discussion.")</f>
        <v>All marksheet scanner course name change as per discussion.</v>
      </c>
      <c r="E2428" s="84">
        <f>IFERROR(__xludf.DUMMYFUNCTION("""COMPUTED_VALUE"""),46224.53263888889)</f>
        <v>46224.53264</v>
      </c>
      <c r="F2428" s="86">
        <f>IFERROR(__xludf.DUMMYFUNCTION("""COMPUTED_VALUE"""),46224.454527141206)</f>
        <v>46224.45453</v>
      </c>
      <c r="G2428" s="86" t="str">
        <f>IFERROR(__xludf.DUMMYFUNCTION("""COMPUTED_VALUE"""),"Done")</f>
        <v>Done</v>
      </c>
      <c r="H2428" s="88">
        <f>IFERROR(__xludf.DUMMYFUNCTION("""COMPUTED_VALUE"""),0.0)</f>
        <v>0</v>
      </c>
      <c r="I2428" s="90" t="str">
        <f>IFERROR(__xludf.DUMMYFUNCTION("""COMPUTED_VALUE"""),"EMP0042 HULESHWAR KUMAR SAHU")</f>
        <v>EMP0042 HULESHWAR KUMAR SAHU</v>
      </c>
      <c r="J2428" s="91"/>
    </row>
    <row r="2429">
      <c r="B2429" s="76" t="str">
        <f>IFERROR(__xludf.DUMMYFUNCTION("""COMPUTED_VALUE"""),"Upload file, cross check and inform                               ")</f>
        <v>Upload file, cross check and inform                               </v>
      </c>
      <c r="C2429" s="82">
        <f>IFERROR(__xludf.DUMMYFUNCTION("""COMPUTED_VALUE"""),5395.0)</f>
        <v>5395</v>
      </c>
      <c r="D2429" s="76" t="str">
        <f>IFERROR(__xludf.DUMMYFUNCTION("""COMPUTED_VALUE"""),"TR Report")</f>
        <v>TR Report</v>
      </c>
      <c r="E2429" s="84">
        <f>IFERROR(__xludf.DUMMYFUNCTION("""COMPUTED_VALUE"""),46224.679861111115)</f>
        <v>46224.67986</v>
      </c>
      <c r="F2429" s="86">
        <f>IFERROR(__xludf.DUMMYFUNCTION("""COMPUTED_VALUE"""),46224.46914878473)</f>
        <v>46224.46915</v>
      </c>
      <c r="G2429" s="86" t="str">
        <f>IFERROR(__xludf.DUMMYFUNCTION("""COMPUTED_VALUE"""),"Done")</f>
        <v>Done</v>
      </c>
      <c r="H2429" s="88">
        <f>IFERROR(__xludf.DUMMYFUNCTION("""COMPUTED_VALUE"""),0.0)</f>
        <v>0</v>
      </c>
      <c r="I2429" s="90" t="str">
        <f>IFERROR(__xludf.DUMMYFUNCTION("""COMPUTED_VALUE"""),"EMP0237 Swarnendu Chakraborty")</f>
        <v>EMP0237 Swarnendu Chakraborty</v>
      </c>
      <c r="J2429" s="91"/>
    </row>
    <row r="2430">
      <c r="B2430" s="76" t="str">
        <f>IFERROR(__xludf.DUMMYFUNCTION("""COMPUTED_VALUE"""),"Upload file, cross check and inform                               ")</f>
        <v>Upload file, cross check and inform                               </v>
      </c>
      <c r="C2430" s="82">
        <f>IFERROR(__xludf.DUMMYFUNCTION("""COMPUTED_VALUE"""),5396.0)</f>
        <v>5396</v>
      </c>
      <c r="D2430" s="76" t="str">
        <f>IFERROR(__xludf.DUMMYFUNCTION("""COMPUTED_VALUE"""),"TR pdf to excel convert all course all semester")</f>
        <v>TR pdf to excel convert all course all semester</v>
      </c>
      <c r="E2430" s="84">
        <f>IFERROR(__xludf.DUMMYFUNCTION("""COMPUTED_VALUE"""),46224.6625)</f>
        <v>46224.6625</v>
      </c>
      <c r="F2430" s="86">
        <f>IFERROR(__xludf.DUMMYFUNCTION("""COMPUTED_VALUE"""),46223.50140984954)</f>
        <v>46223.50141</v>
      </c>
      <c r="G2430" s="86" t="str">
        <f>IFERROR(__xludf.DUMMYFUNCTION("""COMPUTED_VALUE"""),"Done")</f>
        <v>Done</v>
      </c>
      <c r="H2430" s="88">
        <f>IFERROR(__xludf.DUMMYFUNCTION("""COMPUTED_VALUE"""),0.0)</f>
        <v>0</v>
      </c>
      <c r="I2430" s="90" t="str">
        <f>IFERROR(__xludf.DUMMYFUNCTION("""COMPUTED_VALUE"""),"EMP0042 HULESHWAR KUMAR SAHU")</f>
        <v>EMP0042 HULESHWAR KUMAR SAHU</v>
      </c>
      <c r="J2430" s="91"/>
    </row>
    <row r="2431">
      <c r="B2431" s="76" t="str">
        <f>IFERROR(__xludf.DUMMYFUNCTION("""COMPUTED_VALUE"""),"Upload file, cross check and inform                               ")</f>
        <v>Upload file, cross check and inform                               </v>
      </c>
      <c r="C2431" s="82">
        <f>IFERROR(__xludf.DUMMYFUNCTION("""COMPUTED_VALUE"""),5397.0)</f>
        <v>5397</v>
      </c>
      <c r="D2431" s="76" t="str">
        <f>IFERROR(__xludf.DUMMYFUNCTION("""COMPUTED_VALUE"""),"gradecard4sem_ug_deploma")</f>
        <v>gradecard4sem_ug_deploma</v>
      </c>
      <c r="E2431" s="84">
        <f>IFERROR(__xludf.DUMMYFUNCTION("""COMPUTED_VALUE"""),46224.79166666667)</f>
        <v>46224.79167</v>
      </c>
      <c r="F2431" s="86">
        <f>IFERROR(__xludf.DUMMYFUNCTION("""COMPUTED_VALUE"""),46223.501155370366)</f>
        <v>46223.50116</v>
      </c>
      <c r="G2431" s="86" t="str">
        <f>IFERROR(__xludf.DUMMYFUNCTION("""COMPUTED_VALUE"""),"Done")</f>
        <v>Done</v>
      </c>
      <c r="H2431" s="88">
        <f>IFERROR(__xludf.DUMMYFUNCTION("""COMPUTED_VALUE"""),0.0)</f>
        <v>0</v>
      </c>
      <c r="I2431" s="90" t="str">
        <f>IFERROR(__xludf.DUMMYFUNCTION("""COMPUTED_VALUE"""),"EMP5009 Rup Kumar Mandal")</f>
        <v>EMP5009 Rup Kumar Mandal</v>
      </c>
      <c r="J2431" s="91"/>
    </row>
    <row r="2432">
      <c r="B2432" s="76" t="str">
        <f>IFERROR(__xludf.DUMMYFUNCTION("""COMPUTED_VALUE"""),"Upload file, cross check and inform                               ")</f>
        <v>Upload file, cross check and inform                               </v>
      </c>
      <c r="C2432" s="82">
        <f>IFERROR(__xludf.DUMMYFUNCTION("""COMPUTED_VALUE"""),5398.0)</f>
        <v>5398</v>
      </c>
      <c r="D2432" s="76" t="str">
        <f>IFERROR(__xludf.DUMMYFUNCTION("""COMPUTED_VALUE"""),"MAR")</f>
        <v>MAR</v>
      </c>
      <c r="E2432" s="84">
        <f>IFERROR(__xludf.DUMMYFUNCTION("""COMPUTED_VALUE"""),46225.461805555555)</f>
        <v>46225.46181</v>
      </c>
      <c r="F2432" s="86">
        <f>IFERROR(__xludf.DUMMYFUNCTION("""COMPUTED_VALUE"""),46224.74681174768)</f>
        <v>46224.74681</v>
      </c>
      <c r="G2432" s="86" t="str">
        <f>IFERROR(__xludf.DUMMYFUNCTION("""COMPUTED_VALUE"""),"Done")</f>
        <v>Done</v>
      </c>
      <c r="H2432" s="88">
        <f>IFERROR(__xludf.DUMMYFUNCTION("""COMPUTED_VALUE"""),0.0)</f>
        <v>0</v>
      </c>
      <c r="I2432" s="90" t="str">
        <f>IFERROR(__xludf.DUMMYFUNCTION("""COMPUTED_VALUE"""),"EMP5009 Rup Kumar Mandal")</f>
        <v>EMP5009 Rup Kumar Mandal</v>
      </c>
      <c r="J2432" s="91"/>
    </row>
    <row r="2433">
      <c r="B2433" s="76" t="str">
        <f>IFERROR(__xludf.DUMMYFUNCTION("""COMPUTED_VALUE"""),"Upload file, cross check and inform                               ")</f>
        <v>Upload file, cross check and inform                               </v>
      </c>
      <c r="C2433" s="82">
        <f>IFERROR(__xludf.DUMMYFUNCTION("""COMPUTED_VALUE"""),5399.0)</f>
        <v>5399</v>
      </c>
      <c r="D2433" s="76" t="str">
        <f>IFERROR(__xludf.DUMMYFUNCTION("""COMPUTED_VALUE"""),"TR Correction for pre process")</f>
        <v>TR Correction for pre process</v>
      </c>
      <c r="E2433" s="84">
        <f>IFERROR(__xludf.DUMMYFUNCTION("""COMPUTED_VALUE"""),46226.50555555556)</f>
        <v>46226.50556</v>
      </c>
      <c r="F2433" s="86">
        <f>IFERROR(__xludf.DUMMYFUNCTION("""COMPUTED_VALUE"""),46224.81697508101)</f>
        <v>46224.81698</v>
      </c>
      <c r="G2433" s="86" t="str">
        <f>IFERROR(__xludf.DUMMYFUNCTION("""COMPUTED_VALUE"""),"Done")</f>
        <v>Done</v>
      </c>
      <c r="H2433" s="88">
        <f>IFERROR(__xludf.DUMMYFUNCTION("""COMPUTED_VALUE"""),0.0)</f>
        <v>0</v>
      </c>
      <c r="I2433" s="90" t="str">
        <f>IFERROR(__xludf.DUMMYFUNCTION("""COMPUTED_VALUE"""),"EMP0042 HULESHWAR KUMAR SAHU")</f>
        <v>EMP0042 HULESHWAR KUMAR SAHU</v>
      </c>
      <c r="J2433" s="91"/>
    </row>
    <row r="2434">
      <c r="B2434" s="76" t="str">
        <f>IFERROR(__xludf.DUMMYFUNCTION("""COMPUTED_VALUE"""),"Upload file, cross check and inform                               ")</f>
        <v>Upload file, cross check and inform                               </v>
      </c>
      <c r="C2434" s="82">
        <f>IFERROR(__xludf.DUMMYFUNCTION("""COMPUTED_VALUE"""),5400.0)</f>
        <v>5400</v>
      </c>
      <c r="D2434" s="76" t="str">
        <f>IFERROR(__xludf.DUMMYFUNCTION("""COMPUTED_VALUE"""),"Annual marks correction for regular student")</f>
        <v>Annual marks correction for regular student</v>
      </c>
      <c r="E2434" s="84">
        <f>IFERROR(__xludf.DUMMYFUNCTION("""COMPUTED_VALUE"""),46226.506944444445)</f>
        <v>46226.50694</v>
      </c>
      <c r="F2434" s="86">
        <f>IFERROR(__xludf.DUMMYFUNCTION("""COMPUTED_VALUE"""),46224.8169981713)</f>
        <v>46224.817</v>
      </c>
      <c r="G2434" s="86" t="str">
        <f>IFERROR(__xludf.DUMMYFUNCTION("""COMPUTED_VALUE"""),"Done")</f>
        <v>Done</v>
      </c>
      <c r="H2434" s="88">
        <f>IFERROR(__xludf.DUMMYFUNCTION("""COMPUTED_VALUE"""),0.0)</f>
        <v>0</v>
      </c>
      <c r="I2434" s="90" t="str">
        <f>IFERROR(__xludf.DUMMYFUNCTION("""COMPUTED_VALUE"""),"EMP0042 HULESHWAR KUMAR SAHU")</f>
        <v>EMP0042 HULESHWAR KUMAR SAHU</v>
      </c>
      <c r="J2434" s="91"/>
    </row>
    <row r="2435">
      <c r="B2435" s="76" t="str">
        <f>IFERROR(__xludf.DUMMYFUNCTION("""COMPUTED_VALUE"""),"Upload file, cross check and inform                               ")</f>
        <v>Upload file, cross check and inform                               </v>
      </c>
      <c r="C2435" s="82">
        <f>IFERROR(__xludf.DUMMYFUNCTION("""COMPUTED_VALUE"""),5401.0)</f>
        <v>5401</v>
      </c>
      <c r="D2435" s="76" t="str">
        <f>IFERROR(__xludf.DUMMYFUNCTION("""COMPUTED_VALUE"""),"TR report ")</f>
        <v>TR report </v>
      </c>
      <c r="E2435" s="84">
        <f>IFERROR(__xludf.DUMMYFUNCTION("""COMPUTED_VALUE"""),46226.745833333334)</f>
        <v>46226.74583</v>
      </c>
      <c r="F2435" s="86">
        <f>IFERROR(__xludf.DUMMYFUNCTION("""COMPUTED_VALUE"""),46226.44691630787)</f>
        <v>46226.44692</v>
      </c>
      <c r="G2435" s="86" t="str">
        <f>IFERROR(__xludf.DUMMYFUNCTION("""COMPUTED_VALUE"""),"Done")</f>
        <v>Done</v>
      </c>
      <c r="H2435" s="88">
        <f>IFERROR(__xludf.DUMMYFUNCTION("""COMPUTED_VALUE"""),0.0)</f>
        <v>0</v>
      </c>
      <c r="I2435" s="90" t="str">
        <f>IFERROR(__xludf.DUMMYFUNCTION("""COMPUTED_VALUE"""),"EMP0021 Tamanna Dewangan")</f>
        <v>EMP0021 Tamanna Dewangan</v>
      </c>
      <c r="J2435" s="91"/>
    </row>
    <row r="2436">
      <c r="B2436" s="76" t="str">
        <f>IFERROR(__xludf.DUMMYFUNCTION("""COMPUTED_VALUE"""),"Upload file, cross check and inform                               ")</f>
        <v>Upload file, cross check and inform                               </v>
      </c>
      <c r="C2436" s="82">
        <f>IFERROR(__xludf.DUMMYFUNCTION("""COMPUTED_VALUE"""),5402.0)</f>
        <v>5402</v>
      </c>
      <c r="D2436" s="76" t="str">
        <f>IFERROR(__xludf.DUMMYFUNCTION("""COMPUTED_VALUE"""),"TR report")</f>
        <v>TR report</v>
      </c>
      <c r="E2436" s="84">
        <f>IFERROR(__xludf.DUMMYFUNCTION("""COMPUTED_VALUE"""),46226.74861111111)</f>
        <v>46226.74861</v>
      </c>
      <c r="F2436" s="86">
        <f>IFERROR(__xludf.DUMMYFUNCTION("""COMPUTED_VALUE"""),46226.72876090277)</f>
        <v>46226.72876</v>
      </c>
      <c r="G2436" s="86" t="str">
        <f>IFERROR(__xludf.DUMMYFUNCTION("""COMPUTED_VALUE"""),"Done")</f>
        <v>Done</v>
      </c>
      <c r="H2436" s="88">
        <f>IFERROR(__xludf.DUMMYFUNCTION("""COMPUTED_VALUE"""),0.0)</f>
        <v>0</v>
      </c>
      <c r="I2436" s="90" t="str">
        <f>IFERROR(__xludf.DUMMYFUNCTION("""COMPUTED_VALUE"""),"EMP0237 Swarnendu Chakraborty")</f>
        <v>EMP0237 Swarnendu Chakraborty</v>
      </c>
      <c r="J2436" s="91"/>
    </row>
    <row r="2437">
      <c r="B2437" s="76" t="str">
        <f>IFERROR(__xludf.DUMMYFUNCTION("""COMPUTED_VALUE"""),"Upload file, cross check and inform                               ")</f>
        <v>Upload file, cross check and inform                               </v>
      </c>
      <c r="C2437" s="82">
        <f>IFERROR(__xludf.DUMMYFUNCTION("""COMPUTED_VALUE"""),5403.0)</f>
        <v>5403</v>
      </c>
      <c r="D2437" s="76" t="str">
        <f>IFERROR(__xludf.DUMMYFUNCTION("""COMPUTED_VALUE"""),"Pre report")</f>
        <v>Pre report</v>
      </c>
      <c r="E2437" s="84">
        <f>IFERROR(__xludf.DUMMYFUNCTION("""COMPUTED_VALUE"""),46226.78194444445)</f>
        <v>46226.78194</v>
      </c>
      <c r="F2437" s="86">
        <f>IFERROR(__xludf.DUMMYFUNCTION("""COMPUTED_VALUE"""),46226.44704546296)</f>
        <v>46226.44705</v>
      </c>
      <c r="G2437" s="86" t="str">
        <f>IFERROR(__xludf.DUMMYFUNCTION("""COMPUTED_VALUE"""),"Done")</f>
        <v>Done</v>
      </c>
      <c r="H2437" s="88">
        <f>IFERROR(__xludf.DUMMYFUNCTION("""COMPUTED_VALUE"""),0.0)</f>
        <v>0</v>
      </c>
      <c r="I2437" s="90" t="str">
        <f>IFERROR(__xludf.DUMMYFUNCTION("""COMPUTED_VALUE"""),"EMP5009 Rup Kumar Mandal")</f>
        <v>EMP5009 Rup Kumar Mandal</v>
      </c>
      <c r="J2437" s="91"/>
    </row>
    <row r="2438">
      <c r="B2438" s="76" t="str">
        <f>IFERROR(__xludf.DUMMYFUNCTION("""COMPUTED_VALUE"""),"Upload file, cross check and inform                               ")</f>
        <v>Upload file, cross check and inform                               </v>
      </c>
      <c r="C2438" s="82">
        <f>IFERROR(__xludf.DUMMYFUNCTION("""COMPUTED_VALUE"""),5404.0)</f>
        <v>5404</v>
      </c>
      <c r="D2438" s="76" t="str">
        <f>IFERROR(__xludf.DUMMYFUNCTION("""COMPUTED_VALUE"""),"TR NEW AGRICULTURE AND ALL")</f>
        <v>TR NEW AGRICULTURE AND ALL</v>
      </c>
      <c r="E2438" s="84">
        <f>IFERROR(__xludf.DUMMYFUNCTION("""COMPUTED_VALUE"""),46227.52569444444)</f>
        <v>46227.52569</v>
      </c>
      <c r="F2438" s="86">
        <f>IFERROR(__xludf.DUMMYFUNCTION("""COMPUTED_VALUE"""),46226.72894710649)</f>
        <v>46226.72895</v>
      </c>
      <c r="G2438" s="86" t="str">
        <f>IFERROR(__xludf.DUMMYFUNCTION("""COMPUTED_VALUE"""),"Done")</f>
        <v>Done</v>
      </c>
      <c r="H2438" s="88">
        <f>IFERROR(__xludf.DUMMYFUNCTION("""COMPUTED_VALUE"""),0.0)</f>
        <v>0</v>
      </c>
      <c r="I2438" s="90" t="str">
        <f>IFERROR(__xludf.DUMMYFUNCTION("""COMPUTED_VALUE"""),"EMP0042 HULESHWAR KUMAR SAHU")</f>
        <v>EMP0042 HULESHWAR KUMAR SAHU</v>
      </c>
      <c r="J2438" s="91"/>
    </row>
    <row r="2439">
      <c r="B2439" s="76" t="str">
        <f>IFERROR(__xludf.DUMMYFUNCTION("""COMPUTED_VALUE"""),"Upload file, cross check and inform                               ")</f>
        <v>Upload file, cross check and inform                               </v>
      </c>
      <c r="C2439" s="82">
        <f>IFERROR(__xludf.DUMMYFUNCTION("""COMPUTED_VALUE"""),5405.0)</f>
        <v>5405</v>
      </c>
      <c r="D2439" s="76" t="str">
        <f>IFERROR(__xludf.DUMMYFUNCTION("""COMPUTED_VALUE"""),"marksheet")</f>
        <v>marksheet</v>
      </c>
      <c r="E2439" s="84">
        <f>IFERROR(__xludf.DUMMYFUNCTION("""COMPUTED_VALUE"""),46227.788888888885)</f>
        <v>46227.78889</v>
      </c>
      <c r="F2439" s="86">
        <f>IFERROR(__xludf.DUMMYFUNCTION("""COMPUTED_VALUE"""),46227.486757708335)</f>
        <v>46227.48676</v>
      </c>
      <c r="G2439" s="86" t="str">
        <f>IFERROR(__xludf.DUMMYFUNCTION("""COMPUTED_VALUE"""),"Done")</f>
        <v>Done</v>
      </c>
      <c r="H2439" s="88">
        <f>IFERROR(__xludf.DUMMYFUNCTION("""COMPUTED_VALUE"""),0.0)</f>
        <v>0</v>
      </c>
      <c r="I2439" s="90" t="str">
        <f>IFERROR(__xludf.DUMMYFUNCTION("""COMPUTED_VALUE"""),"EMP0237 Swarnendu Chakraborty")</f>
        <v>EMP0237 Swarnendu Chakraborty</v>
      </c>
      <c r="J2439" s="91"/>
    </row>
    <row r="2440">
      <c r="B2440" s="76" t="str">
        <f>IFERROR(__xludf.DUMMYFUNCTION("""COMPUTED_VALUE"""),"Upload file, cross check and inform                               ")</f>
        <v>Upload file, cross check and inform                               </v>
      </c>
      <c r="C2440" s="82">
        <f>IFERROR(__xludf.DUMMYFUNCTION("""COMPUTED_VALUE"""),5406.0)</f>
        <v>5406</v>
      </c>
      <c r="D2440" s="76" t="str">
        <f>IFERROR(__xludf.DUMMYFUNCTION("""COMPUTED_VALUE"""),"SHASTRI 5TH SEM ADMIT CARD NOT SO SEMESTER")</f>
        <v>SHASTRI 5TH SEM ADMIT CARD NOT SO SEMESTER</v>
      </c>
      <c r="E2440" s="84">
        <f>IFERROR(__xludf.DUMMYFUNCTION("""COMPUTED_VALUE"""),46227.79722222222)</f>
        <v>46227.79722</v>
      </c>
      <c r="F2440" s="86">
        <f>IFERROR(__xludf.DUMMYFUNCTION("""COMPUTED_VALUE"""),46226.72920594907)</f>
        <v>46226.72921</v>
      </c>
      <c r="G2440" s="86" t="str">
        <f>IFERROR(__xludf.DUMMYFUNCTION("""COMPUTED_VALUE"""),"Done")</f>
        <v>Done</v>
      </c>
      <c r="H2440" s="88">
        <f>IFERROR(__xludf.DUMMYFUNCTION("""COMPUTED_VALUE"""),0.0)</f>
        <v>0</v>
      </c>
      <c r="I2440" s="90" t="str">
        <f>IFERROR(__xludf.DUMMYFUNCTION("""COMPUTED_VALUE"""),"EMP0021 Tamanna Dewangan")</f>
        <v>EMP0021 Tamanna Dewangan</v>
      </c>
      <c r="J2440" s="91"/>
    </row>
    <row r="2441">
      <c r="B2441" s="76" t="str">
        <f>IFERROR(__xludf.DUMMYFUNCTION("""COMPUTED_VALUE"""),"Upload file, cross check and inform                               ")</f>
        <v>Upload file, cross check and inform                               </v>
      </c>
      <c r="C2441" s="82">
        <f>IFERROR(__xludf.DUMMYFUNCTION("""COMPUTED_VALUE"""),5407.0)</f>
        <v>5407</v>
      </c>
      <c r="D2441" s="76" t="str">
        <f>IFERROR(__xludf.DUMMYFUNCTION("""COMPUTED_VALUE"""),"TR")</f>
        <v>TR</v>
      </c>
      <c r="E2441" s="84">
        <f>IFERROR(__xludf.DUMMYFUNCTION("""COMPUTED_VALUE"""),46228.41666666667)</f>
        <v>46228.41667</v>
      </c>
      <c r="F2441" s="86">
        <f>IFERROR(__xludf.DUMMYFUNCTION("""COMPUTED_VALUE"""),46227.44436857638)</f>
        <v>46227.44437</v>
      </c>
      <c r="G2441" s="86" t="str">
        <f>IFERROR(__xludf.DUMMYFUNCTION("""COMPUTED_VALUE"""),"Done")</f>
        <v>Done</v>
      </c>
      <c r="H2441" s="88">
        <f>IFERROR(__xludf.DUMMYFUNCTION("""COMPUTED_VALUE"""),0.0)</f>
        <v>0</v>
      </c>
      <c r="I2441" s="90" t="str">
        <f>IFERROR(__xludf.DUMMYFUNCTION("""COMPUTED_VALUE"""),"EMP0042 HULESHWAR KUMAR SAHU")</f>
        <v>EMP0042 HULESHWAR KUMAR SAHU</v>
      </c>
      <c r="J2441" s="91"/>
    </row>
    <row r="2442">
      <c r="B2442" s="76" t="str">
        <f>IFERROR(__xludf.DUMMYFUNCTION("""COMPUTED_VALUE"""),"Upload file, cross check and inform                               ")</f>
        <v>Upload file, cross check and inform                               </v>
      </c>
      <c r="C2442" s="82">
        <f>IFERROR(__xludf.DUMMYFUNCTION("""COMPUTED_VALUE"""),5408.0)</f>
        <v>5408</v>
      </c>
      <c r="D2442" s="76" t="str">
        <f>IFERROR(__xludf.DUMMYFUNCTION("""COMPUTED_VALUE"""),"DMC ")</f>
        <v>DMC </v>
      </c>
      <c r="E2442" s="84">
        <f>IFERROR(__xludf.DUMMYFUNCTION("""COMPUTED_VALUE"""),46228.476388888885)</f>
        <v>46228.47639</v>
      </c>
      <c r="F2442" s="86">
        <f>IFERROR(__xludf.DUMMYFUNCTION("""COMPUTED_VALUE"""),46227.662885694444)</f>
        <v>46227.66289</v>
      </c>
      <c r="G2442" s="86" t="str">
        <f>IFERROR(__xludf.DUMMYFUNCTION("""COMPUTED_VALUE"""),"Done")</f>
        <v>Done</v>
      </c>
      <c r="H2442" s="88">
        <f>IFERROR(__xludf.DUMMYFUNCTION("""COMPUTED_VALUE"""),0.0)</f>
        <v>0</v>
      </c>
      <c r="I2442" s="90" t="str">
        <f>IFERROR(__xludf.DUMMYFUNCTION("""COMPUTED_VALUE"""),"EMP0237 Swarnendu Chakraborty")</f>
        <v>EMP0237 Swarnendu Chakraborty</v>
      </c>
      <c r="J2442" s="91"/>
    </row>
    <row r="2443">
      <c r="B2443" s="76" t="str">
        <f>IFERROR(__xludf.DUMMYFUNCTION("""COMPUTED_VALUE"""),"Upload file, cross check and inform                               ")</f>
        <v>Upload file, cross check and inform                               </v>
      </c>
      <c r="C2443" s="82">
        <f>IFERROR(__xludf.DUMMYFUNCTION("""COMPUTED_VALUE"""),5409.0)</f>
        <v>5409</v>
      </c>
      <c r="D2443" s="76" t="str">
        <f>IFERROR(__xludf.DUMMYFUNCTION("""COMPUTED_VALUE"""),"SPGPA UPDATED IN DMC")</f>
        <v>SPGPA UPDATED IN DMC</v>
      </c>
      <c r="E2443" s="84">
        <f>IFERROR(__xludf.DUMMYFUNCTION("""COMPUTED_VALUE"""),46228.47777777778)</f>
        <v>46228.47778</v>
      </c>
      <c r="F2443" s="86">
        <f>IFERROR(__xludf.DUMMYFUNCTION("""COMPUTED_VALUE"""),46226.72952550926)</f>
        <v>46226.72953</v>
      </c>
      <c r="G2443" s="86" t="str">
        <f>IFERROR(__xludf.DUMMYFUNCTION("""COMPUTED_VALUE"""),"Done")</f>
        <v>Done</v>
      </c>
      <c r="H2443" s="88">
        <f>IFERROR(__xludf.DUMMYFUNCTION("""COMPUTED_VALUE"""),0.0)</f>
        <v>0</v>
      </c>
      <c r="I2443" s="90" t="str">
        <f>IFERROR(__xludf.DUMMYFUNCTION("""COMPUTED_VALUE"""),"EMP5009 Rup Kumar Mandal")</f>
        <v>EMP5009 Rup Kumar Mandal</v>
      </c>
      <c r="J2443" s="91"/>
    </row>
    <row r="2444">
      <c r="B2444" s="76" t="str">
        <f>IFERROR(__xludf.DUMMYFUNCTION("""COMPUTED_VALUE"""),"Upload file, cross check and inform                               ")</f>
        <v>Upload file, cross check and inform                               </v>
      </c>
      <c r="C2444" s="82">
        <f>IFERROR(__xludf.DUMMYFUNCTION("""COMPUTED_VALUE"""),5410.0)</f>
        <v>5410</v>
      </c>
      <c r="D2444" s="76" t="str">
        <f>IFERROR(__xludf.DUMMYFUNCTION("""COMPUTED_VALUE"""),"MULTIPLE REPORT")</f>
        <v>MULTIPLE REPORT</v>
      </c>
      <c r="E2444" s="84">
        <f>IFERROR(__xludf.DUMMYFUNCTION("""COMPUTED_VALUE"""),46228.59861111111)</f>
        <v>46228.59861</v>
      </c>
      <c r="F2444" s="86">
        <f>IFERROR(__xludf.DUMMYFUNCTION("""COMPUTED_VALUE"""),46228.43348788194)</f>
        <v>46228.43349</v>
      </c>
      <c r="G2444" s="86" t="str">
        <f>IFERROR(__xludf.DUMMYFUNCTION("""COMPUTED_VALUE"""),"Done")</f>
        <v>Done</v>
      </c>
      <c r="H2444" s="88">
        <f>IFERROR(__xludf.DUMMYFUNCTION("""COMPUTED_VALUE"""),0.0)</f>
        <v>0</v>
      </c>
      <c r="I2444" s="90" t="str">
        <f>IFERROR(__xludf.DUMMYFUNCTION("""COMPUTED_VALUE"""),"EMP0021 Tamanna Dewangan")</f>
        <v>EMP0021 Tamanna Dewangan</v>
      </c>
      <c r="J2444" s="91"/>
    </row>
    <row r="2445">
      <c r="B2445" s="76" t="str">
        <f>IFERROR(__xludf.DUMMYFUNCTION("""COMPUTED_VALUE"""),"Upload file, cross check and inform                               ")</f>
        <v>Upload file, cross check and inform                               </v>
      </c>
      <c r="C2445" s="82">
        <f>IFERROR(__xludf.DUMMYFUNCTION("""COMPUTED_VALUE"""),5411.0)</f>
        <v>5411</v>
      </c>
      <c r="D2445" s="76" t="str">
        <f>IFERROR(__xludf.DUMMYFUNCTION("""COMPUTED_VALUE"""),"	CBCS and CGP (TR COMBINED) Fourth Semester ( Sem - 4) PG MASTER OF SCIENCE (PSYCHOLOGY) ( M.Sc (PSYCHOLOGY)) SCHEME A ( SY01)_SE03")</f>
        <v>	CBCS and CGP (TR COMBINED) Fourth Semester ( Sem - 4) PG MASTER OF SCIENCE (PSYCHOLOGY) ( M.Sc (PSYCHOLOGY)) SCHEME A ( SY01)_SE03</v>
      </c>
      <c r="E2445" s="84">
        <f>IFERROR(__xludf.DUMMYFUNCTION("""COMPUTED_VALUE"""),46228.569444444445)</f>
        <v>46228.56944</v>
      </c>
      <c r="F2445" s="86">
        <f>IFERROR(__xludf.DUMMYFUNCTION("""COMPUTED_VALUE"""),46227.712069444446)</f>
        <v>46227.71207</v>
      </c>
      <c r="G2445" s="86" t="str">
        <f>IFERROR(__xludf.DUMMYFUNCTION("""COMPUTED_VALUE"""),"Done")</f>
        <v>Done</v>
      </c>
      <c r="H2445" s="88">
        <f>IFERROR(__xludf.DUMMYFUNCTION("""COMPUTED_VALUE"""),0.0)</f>
        <v>0</v>
      </c>
      <c r="I2445" s="90" t="str">
        <f>IFERROR(__xludf.DUMMYFUNCTION("""COMPUTED_VALUE"""),"EMP0237 Swarnendu Chakraborty")</f>
        <v>EMP0237 Swarnendu Chakraborty</v>
      </c>
      <c r="J2445" s="91"/>
    </row>
    <row r="2446">
      <c r="B2446" s="76" t="str">
        <f>IFERROR(__xludf.DUMMYFUNCTION("""COMPUTED_VALUE"""),"Upload file, cross check and inform                               ")</f>
        <v>Upload file, cross check and inform                               </v>
      </c>
      <c r="C2446" s="82">
        <f>IFERROR(__xludf.DUMMYFUNCTION("""COMPUTED_VALUE"""),5412.0)</f>
        <v>5412</v>
      </c>
      <c r="D2446" s="76" t="str">
        <f>IFERROR(__xludf.DUMMYFUNCTION("""COMPUTED_VALUE"""),"pass/fail report")</f>
        <v>pass/fail report</v>
      </c>
      <c r="E2446" s="84">
        <f>IFERROR(__xludf.DUMMYFUNCTION("""COMPUTED_VALUE"""),46228.59097222222)</f>
        <v>46228.59097</v>
      </c>
      <c r="F2446" s="86">
        <f>IFERROR(__xludf.DUMMYFUNCTION("""COMPUTED_VALUE"""),46227.49353517361)</f>
        <v>46227.49354</v>
      </c>
      <c r="G2446" s="86" t="str">
        <f>IFERROR(__xludf.DUMMYFUNCTION("""COMPUTED_VALUE"""),"Done")</f>
        <v>Done</v>
      </c>
      <c r="H2446" s="88">
        <f>IFERROR(__xludf.DUMMYFUNCTION("""COMPUTED_VALUE"""),0.0)</f>
        <v>0</v>
      </c>
      <c r="I2446" s="90" t="str">
        <f>IFERROR(__xludf.DUMMYFUNCTION("""COMPUTED_VALUE"""),"EMP5009 Rup Kumar Mandal")</f>
        <v>EMP5009 Rup Kumar Mandal</v>
      </c>
      <c r="J2446" s="91"/>
    </row>
    <row r="2447">
      <c r="B2447" s="76" t="str">
        <f>IFERROR(__xludf.DUMMYFUNCTION("""COMPUTED_VALUE"""),"Upload file, cross check and inform                               ")</f>
        <v>Upload file, cross check and inform                               </v>
      </c>
      <c r="C2447" s="82">
        <f>IFERROR(__xludf.DUMMYFUNCTION("""COMPUTED_VALUE"""),5413.0)</f>
        <v>5413</v>
      </c>
      <c r="D2447" s="76" t="str">
        <f>IFERROR(__xludf.DUMMYFUNCTION("""COMPUTED_VALUE"""),"Mark entry report")</f>
        <v>Mark entry report</v>
      </c>
      <c r="E2447" s="84">
        <f>IFERROR(__xludf.DUMMYFUNCTION("""COMPUTED_VALUE"""),46228.61388888889)</f>
        <v>46228.61389</v>
      </c>
      <c r="F2447" s="86">
        <f>IFERROR(__xludf.DUMMYFUNCTION("""COMPUTED_VALUE"""),46228.43204055556)</f>
        <v>46228.43204</v>
      </c>
      <c r="G2447" s="86" t="str">
        <f>IFERROR(__xludf.DUMMYFUNCTION("""COMPUTED_VALUE"""),"Done")</f>
        <v>Done</v>
      </c>
      <c r="H2447" s="88">
        <f>IFERROR(__xludf.DUMMYFUNCTION("""COMPUTED_VALUE"""),0.0)</f>
        <v>0</v>
      </c>
      <c r="I2447" s="90" t="str">
        <f>IFERROR(__xludf.DUMMYFUNCTION("""COMPUTED_VALUE"""),"EMP0237 Swarnendu Chakraborty")</f>
        <v>EMP0237 Swarnendu Chakraborty</v>
      </c>
      <c r="J2447" s="91"/>
    </row>
    <row r="2448">
      <c r="B2448" s="76" t="str">
        <f>IFERROR(__xludf.DUMMYFUNCTION("""COMPUTED_VALUE"""),"Upload file, cross check and inform                               ")</f>
        <v>Upload file, cross check and inform                               </v>
      </c>
      <c r="C2448" s="82">
        <f>IFERROR(__xludf.DUMMYFUNCTION("""COMPUTED_VALUE"""),5414.0)</f>
        <v>5414</v>
      </c>
      <c r="D2448" s="76" t="str">
        <f>IFERROR(__xludf.DUMMYFUNCTION("""COMPUTED_VALUE"""),"TR GAZZATE IN GRADE TABLE UPDATE")</f>
        <v>TR GAZZATE IN GRADE TABLE UPDATE</v>
      </c>
      <c r="E2448" s="84">
        <f>IFERROR(__xludf.DUMMYFUNCTION("""COMPUTED_VALUE"""),46228.82708333334)</f>
        <v>46228.82708</v>
      </c>
      <c r="F2448" s="86">
        <f>IFERROR(__xludf.DUMMYFUNCTION("""COMPUTED_VALUE"""),46227.66259854167)</f>
        <v>46227.6626</v>
      </c>
      <c r="G2448" s="86" t="str">
        <f>IFERROR(__xludf.DUMMYFUNCTION("""COMPUTED_VALUE"""),"Done")</f>
        <v>Done</v>
      </c>
      <c r="H2448" s="88">
        <f>IFERROR(__xludf.DUMMYFUNCTION("""COMPUTED_VALUE"""),0.0)</f>
        <v>0</v>
      </c>
      <c r="I2448" s="90" t="str">
        <f>IFERROR(__xludf.DUMMYFUNCTION("""COMPUTED_VALUE"""),"EMP0237 Swarnendu Chakraborty")</f>
        <v>EMP0237 Swarnendu Chakraborty</v>
      </c>
      <c r="J2448" s="91"/>
    </row>
    <row r="2449">
      <c r="B2449" s="76" t="str">
        <f>IFERROR(__xludf.DUMMYFUNCTION("""COMPUTED_VALUE"""),"Upload file, cross check and inform                               ")</f>
        <v>Upload file, cross check and inform                               </v>
      </c>
      <c r="C2449" s="82">
        <f>IFERROR(__xludf.DUMMYFUNCTION("""COMPUTED_VALUE"""),5415.0)</f>
        <v>5415</v>
      </c>
      <c r="D2449" s="76" t="str">
        <f>IFERROR(__xludf.DUMMYFUNCTION("""COMPUTED_VALUE"""),"Marks Sheet Heading name correction for LLB")</f>
        <v>Marks Sheet Heading name correction for LLB</v>
      </c>
      <c r="E2449" s="84">
        <f>IFERROR(__xludf.DUMMYFUNCTION("""COMPUTED_VALUE"""),46230.59930555556)</f>
        <v>46230.59931</v>
      </c>
      <c r="F2449" s="86">
        <f>IFERROR(__xludf.DUMMYFUNCTION("""COMPUTED_VALUE"""),46227.71197266204)</f>
        <v>46227.71197</v>
      </c>
      <c r="G2449" s="86" t="str">
        <f>IFERROR(__xludf.DUMMYFUNCTION("""COMPUTED_VALUE"""),"Done")</f>
        <v>Done</v>
      </c>
      <c r="H2449" s="88">
        <f>IFERROR(__xludf.DUMMYFUNCTION("""COMPUTED_VALUE"""),0.0)</f>
        <v>0</v>
      </c>
      <c r="I2449" s="90" t="str">
        <f>IFERROR(__xludf.DUMMYFUNCTION("""COMPUTED_VALUE"""),"EMP0021 Tamanna Dewangan")</f>
        <v>EMP0021 Tamanna Dewangan</v>
      </c>
      <c r="J2449" s="91"/>
    </row>
    <row r="2450">
      <c r="B2450" s="76" t="str">
        <f>IFERROR(__xludf.DUMMYFUNCTION("""COMPUTED_VALUE"""),"Upload file, cross check and inform                               ")</f>
        <v>Upload file, cross check and inform                               </v>
      </c>
      <c r="C2450" s="82">
        <f>IFERROR(__xludf.DUMMYFUNCTION("""COMPUTED_VALUE"""),5416.0)</f>
        <v>5416</v>
      </c>
      <c r="D2450" s="76" t="str">
        <f>IFERROR(__xludf.DUMMYFUNCTION("""COMPUTED_VALUE"""),"TR report")</f>
        <v>TR report</v>
      </c>
      <c r="E2450" s="84">
        <f>IFERROR(__xludf.DUMMYFUNCTION("""COMPUTED_VALUE"""),46230.59861111111)</f>
        <v>46230.59861</v>
      </c>
      <c r="F2450" s="86">
        <f>IFERROR(__xludf.DUMMYFUNCTION("""COMPUTED_VALUE"""),46228.36165859954)</f>
        <v>46228.36166</v>
      </c>
      <c r="G2450" s="86" t="str">
        <f>IFERROR(__xludf.DUMMYFUNCTION("""COMPUTED_VALUE"""),"Done")</f>
        <v>Done</v>
      </c>
      <c r="H2450" s="88">
        <f>IFERROR(__xludf.DUMMYFUNCTION("""COMPUTED_VALUE"""),0.0)</f>
        <v>0</v>
      </c>
      <c r="I2450" s="90" t="str">
        <f>IFERROR(__xludf.DUMMYFUNCTION("""COMPUTED_VALUE"""),"EMP0237 Swarnendu Chakraborty")</f>
        <v>EMP0237 Swarnendu Chakraborty</v>
      </c>
      <c r="J2450" s="91"/>
    </row>
    <row r="2451">
      <c r="B2451" s="76" t="str">
        <f>IFERROR(__xludf.DUMMYFUNCTION("""COMPUTED_VALUE"""),"Upload file, cross check and inform                               ")</f>
        <v>Upload file, cross check and inform                               </v>
      </c>
      <c r="C2451" s="82">
        <f>IFERROR(__xludf.DUMMYFUNCTION("""COMPUTED_VALUE"""),5417.0)</f>
        <v>5417</v>
      </c>
      <c r="D2451" s="76" t="str">
        <f>IFERROR(__xludf.DUMMYFUNCTION("""COMPUTED_VALUE"""),"TR Format (Grading / Non-Grading)")</f>
        <v>TR Format (Grading / Non-Grading)</v>
      </c>
      <c r="E2451" s="84">
        <f>IFERROR(__xludf.DUMMYFUNCTION("""COMPUTED_VALUE"""),46230.61111111111)</f>
        <v>46230.61111</v>
      </c>
      <c r="F2451" s="86">
        <f>IFERROR(__xludf.DUMMYFUNCTION("""COMPUTED_VALUE"""),46228.36167384259)</f>
        <v>46228.36167</v>
      </c>
      <c r="G2451" s="86" t="str">
        <f>IFERROR(__xludf.DUMMYFUNCTION("""COMPUTED_VALUE"""),"Done")</f>
        <v>Done</v>
      </c>
      <c r="H2451" s="88">
        <f>IFERROR(__xludf.DUMMYFUNCTION("""COMPUTED_VALUE"""),0.0)</f>
        <v>0</v>
      </c>
      <c r="I2451" s="90" t="str">
        <f>IFERROR(__xludf.DUMMYFUNCTION("""COMPUTED_VALUE"""),"EMP5009 Rup Kumar Mandal")</f>
        <v>EMP5009 Rup Kumar Mandal</v>
      </c>
      <c r="J2451" s="91"/>
    </row>
    <row r="2452">
      <c r="B2452" s="76" t="str">
        <f>IFERROR(__xludf.DUMMYFUNCTION("""COMPUTED_VALUE"""),"Upload file, cross check and inform                               ")</f>
        <v>Upload file, cross check and inform                               </v>
      </c>
      <c r="C2452" s="82">
        <f>IFERROR(__xludf.DUMMYFUNCTION("""COMPUTED_VALUE"""),5418.0)</f>
        <v>5418</v>
      </c>
      <c r="D2452" s="76" t="str">
        <f>IFERROR(__xludf.DUMMYFUNCTION("""COMPUTED_VALUE"""),"Grade Card NEP (PG)")</f>
        <v>Grade Card NEP (PG)</v>
      </c>
      <c r="E2452" s="84">
        <f>IFERROR(__xludf.DUMMYFUNCTION("""COMPUTED_VALUE"""),46230.6125)</f>
        <v>46230.6125</v>
      </c>
      <c r="F2452" s="86">
        <f>IFERROR(__xludf.DUMMYFUNCTION("""COMPUTED_VALUE"""),46228.36169548611)</f>
        <v>46228.3617</v>
      </c>
      <c r="G2452" s="86" t="str">
        <f>IFERROR(__xludf.DUMMYFUNCTION("""COMPUTED_VALUE"""),"Done")</f>
        <v>Done</v>
      </c>
      <c r="H2452" s="88">
        <f>IFERROR(__xludf.DUMMYFUNCTION("""COMPUTED_VALUE"""),0.0)</f>
        <v>0</v>
      </c>
      <c r="I2452" s="90" t="str">
        <f>IFERROR(__xludf.DUMMYFUNCTION("""COMPUTED_VALUE"""),"EMP5009 Rup Kumar Mandal")</f>
        <v>EMP5009 Rup Kumar Mandal</v>
      </c>
      <c r="J2452" s="91"/>
    </row>
    <row r="2453">
      <c r="B2453" s="76" t="str">
        <f>IFERROR(__xludf.DUMMYFUNCTION("""COMPUTED_VALUE"""),"Upload file, cross check and inform                               ")</f>
        <v>Upload file, cross check and inform                               </v>
      </c>
      <c r="C2453" s="82">
        <f>IFERROR(__xludf.DUMMYFUNCTION("""COMPUTED_VALUE"""),5419.0)</f>
        <v>5419</v>
      </c>
      <c r="D2453" s="76" t="str">
        <f>IFERROR(__xludf.DUMMYFUNCTION("""COMPUTED_VALUE"""),"Marksheet Paramedical")</f>
        <v>Marksheet Paramedical</v>
      </c>
      <c r="E2453" s="84">
        <f>IFERROR(__xludf.DUMMYFUNCTION("""COMPUTED_VALUE"""),46230.754166666666)</f>
        <v>46230.75417</v>
      </c>
      <c r="F2453" s="86">
        <f>IFERROR(__xludf.DUMMYFUNCTION("""COMPUTED_VALUE"""),46228.61716541666)</f>
        <v>46228.61717</v>
      </c>
      <c r="G2453" s="86" t="str">
        <f>IFERROR(__xludf.DUMMYFUNCTION("""COMPUTED_VALUE"""),"Done")</f>
        <v>Done</v>
      </c>
      <c r="H2453" s="88">
        <f>IFERROR(__xludf.DUMMYFUNCTION("""COMPUTED_VALUE"""),0.0)</f>
        <v>0</v>
      </c>
      <c r="I2453" s="90" t="str">
        <f>IFERROR(__xludf.DUMMYFUNCTION("""COMPUTED_VALUE"""),"EMP0021 Tamanna Dewangan")</f>
        <v>EMP0021 Tamanna Dewangan</v>
      </c>
      <c r="J2453" s="91"/>
    </row>
    <row r="2454">
      <c r="B2454" s="76" t="str">
        <f>IFERROR(__xludf.DUMMYFUNCTION("""COMPUTED_VALUE"""),"Upload file, cross check and inform                               ")</f>
        <v>Upload file, cross check and inform                               </v>
      </c>
      <c r="C2454" s="82">
        <f>IFERROR(__xludf.DUMMYFUNCTION("""COMPUTED_VALUE"""),5420.0)</f>
        <v>5420</v>
      </c>
      <c r="D2454" s="76" t="str">
        <f>IFERROR(__xludf.DUMMYFUNCTION("""COMPUTED_VALUE"""),"PROVISIONAL CERTIFICATE")</f>
        <v>PROVISIONAL CERTIFICATE</v>
      </c>
      <c r="E2454" s="84">
        <f>IFERROR(__xludf.DUMMYFUNCTION("""COMPUTED_VALUE"""),46230.76111111111)</f>
        <v>46230.76111</v>
      </c>
      <c r="F2454" s="86">
        <f>IFERROR(__xludf.DUMMYFUNCTION("""COMPUTED_VALUE"""),46228.617181967595)</f>
        <v>46228.61718</v>
      </c>
      <c r="G2454" s="86" t="str">
        <f>IFERROR(__xludf.DUMMYFUNCTION("""COMPUTED_VALUE"""),"Done")</f>
        <v>Done</v>
      </c>
      <c r="H2454" s="88">
        <f>IFERROR(__xludf.DUMMYFUNCTION("""COMPUTED_VALUE"""),0.0)</f>
        <v>0</v>
      </c>
      <c r="I2454" s="90" t="str">
        <f>IFERROR(__xludf.DUMMYFUNCTION("""COMPUTED_VALUE"""),"EMP0042 HULESHWAR KUMAR SAHU")</f>
        <v>EMP0042 HULESHWAR KUMAR SAHU</v>
      </c>
      <c r="J2454" s="91"/>
    </row>
    <row r="2455">
      <c r="B2455" s="76" t="str">
        <f>IFERROR(__xludf.DUMMYFUNCTION("""COMPUTED_VALUE"""),"Upload file, cross check and inform                               ")</f>
        <v>Upload file, cross check and inform                               </v>
      </c>
      <c r="C2455" s="82">
        <f>IFERROR(__xludf.DUMMYFUNCTION("""COMPUTED_VALUE"""),5421.0)</f>
        <v>5421</v>
      </c>
      <c r="D2455" s="76" t="str">
        <f>IFERROR(__xludf.DUMMYFUNCTION("""COMPUTED_VALUE"""),"Question Paper Packet slip Date Wise")</f>
        <v>Question Paper Packet slip Date Wise</v>
      </c>
      <c r="E2455" s="84">
        <f>IFERROR(__xludf.DUMMYFUNCTION("""COMPUTED_VALUE"""),46230.7625)</f>
        <v>46230.7625</v>
      </c>
      <c r="F2455" s="86">
        <f>IFERROR(__xludf.DUMMYFUNCTION("""COMPUTED_VALUE"""),46228.617201898145)</f>
        <v>46228.6172</v>
      </c>
      <c r="G2455" s="86" t="str">
        <f>IFERROR(__xludf.DUMMYFUNCTION("""COMPUTED_VALUE"""),"Done")</f>
        <v>Done</v>
      </c>
      <c r="H2455" s="88">
        <f>IFERROR(__xludf.DUMMYFUNCTION("""COMPUTED_VALUE"""),0.0)</f>
        <v>0</v>
      </c>
      <c r="I2455" s="90" t="str">
        <f>IFERROR(__xludf.DUMMYFUNCTION("""COMPUTED_VALUE"""),"EMP0042 HULESHWAR KUMAR SAHU")</f>
        <v>EMP0042 HULESHWAR KUMAR SAHU</v>
      </c>
      <c r="J2455" s="91"/>
    </row>
    <row r="2456">
      <c r="B2456" s="76" t="str">
        <f>IFERROR(__xludf.DUMMYFUNCTION("""COMPUTED_VALUE"""),"Upload file, cross check and inform                               ")</f>
        <v>Upload file, cross check and inform                               </v>
      </c>
      <c r="C2456" s="82">
        <f>IFERROR(__xludf.DUMMYFUNCTION("""COMPUTED_VALUE"""),5422.0)</f>
        <v>5422</v>
      </c>
      <c r="D2456" s="76" t="str">
        <f>IFERROR(__xludf.DUMMYFUNCTION("""COMPUTED_VALUE"""),"Marks sheet")</f>
        <v>Marks sheet</v>
      </c>
      <c r="E2456" s="84">
        <f>IFERROR(__xludf.DUMMYFUNCTION("""COMPUTED_VALUE"""),46231.513194444444)</f>
        <v>46231.51319</v>
      </c>
      <c r="F2456" s="86">
        <f>IFERROR(__xludf.DUMMYFUNCTION("""COMPUTED_VALUE"""),46228.66758155093)</f>
        <v>46228.66758</v>
      </c>
      <c r="G2456" s="86" t="str">
        <f>IFERROR(__xludf.DUMMYFUNCTION("""COMPUTED_VALUE"""),"Done")</f>
        <v>Done</v>
      </c>
      <c r="H2456" s="88">
        <f>IFERROR(__xludf.DUMMYFUNCTION("""COMPUTED_VALUE"""),0.0)</f>
        <v>0</v>
      </c>
      <c r="I2456" s="90" t="str">
        <f>IFERROR(__xludf.DUMMYFUNCTION("""COMPUTED_VALUE"""),"EMP0042 HULESHWAR KUMAR SAHU")</f>
        <v>EMP0042 HULESHWAR KUMAR SAHU</v>
      </c>
      <c r="J2456" s="91"/>
    </row>
    <row r="2457">
      <c r="B2457" s="76" t="str">
        <f>IFERROR(__xludf.DUMMYFUNCTION("""COMPUTED_VALUE"""),"Upload file, cross check and inform                               ")</f>
        <v>Upload file, cross check and inform                               </v>
      </c>
      <c r="C2457" s="82">
        <f>IFERROR(__xludf.DUMMYFUNCTION("""COMPUTED_VALUE"""),5423.0)</f>
        <v>5423</v>
      </c>
      <c r="D2457" s="76" t="str">
        <f>IFERROR(__xludf.DUMMYFUNCTION("""COMPUTED_VALUE"""),"Packet_Slip_Date_Wise")</f>
        <v>Packet_Slip_Date_Wise</v>
      </c>
      <c r="E2457" s="84">
        <f>IFERROR(__xludf.DUMMYFUNCTION("""COMPUTED_VALUE"""),46231.745833333334)</f>
        <v>46231.74583</v>
      </c>
      <c r="F2457" s="86">
        <f>IFERROR(__xludf.DUMMYFUNCTION("""COMPUTED_VALUE"""),46230.698483796295)</f>
        <v>46230.69848</v>
      </c>
      <c r="G2457" s="86" t="str">
        <f>IFERROR(__xludf.DUMMYFUNCTION("""COMPUTED_VALUE"""),"Done")</f>
        <v>Done</v>
      </c>
      <c r="H2457" s="88">
        <f>IFERROR(__xludf.DUMMYFUNCTION("""COMPUTED_VALUE"""),0.0)</f>
        <v>0</v>
      </c>
      <c r="I2457" s="90" t="str">
        <f>IFERROR(__xludf.DUMMYFUNCTION("""COMPUTED_VALUE"""),"EMP0042 HULESHWAR KUMAR SAHU")</f>
        <v>EMP0042 HULESHWAR KUMAR SAHU</v>
      </c>
      <c r="J2457" s="91"/>
    </row>
    <row r="2458">
      <c r="B2458" s="76" t="str">
        <f>IFERROR(__xludf.DUMMYFUNCTION("""COMPUTED_VALUE"""),"Upload file, cross check and inform                               ")</f>
        <v>Upload file, cross check and inform                               </v>
      </c>
      <c r="C2458" s="82">
        <f>IFERROR(__xludf.DUMMYFUNCTION("""COMPUTED_VALUE"""),5424.0)</f>
        <v>5424</v>
      </c>
      <c r="D2458" s="76" t="str">
        <f>IFERROR(__xludf.DUMMYFUNCTION("""COMPUTED_VALUE"""),"TR ")</f>
        <v>TR </v>
      </c>
      <c r="E2458" s="84">
        <f>IFERROR(__xludf.DUMMYFUNCTION("""COMPUTED_VALUE"""),46231.82708333334)</f>
        <v>46231.82708</v>
      </c>
      <c r="F2458" s="86">
        <f>IFERROR(__xludf.DUMMYFUNCTION("""COMPUTED_VALUE"""),46230.69933138889)</f>
        <v>46230.69933</v>
      </c>
      <c r="G2458" s="86" t="str">
        <f>IFERROR(__xludf.DUMMYFUNCTION("""COMPUTED_VALUE"""),"Done")</f>
        <v>Done</v>
      </c>
      <c r="H2458" s="88">
        <f>IFERROR(__xludf.DUMMYFUNCTION("""COMPUTED_VALUE"""),0.0)</f>
        <v>0</v>
      </c>
      <c r="I2458" s="90" t="str">
        <f>IFERROR(__xludf.DUMMYFUNCTION("""COMPUTED_VALUE"""),"EMP0042 HULESHWAR KUMAR SAHU")</f>
        <v>EMP0042 HULESHWAR KUMAR SAHU</v>
      </c>
      <c r="J2458" s="91"/>
    </row>
    <row r="2459">
      <c r="B2459" s="76" t="str">
        <f>IFERROR(__xludf.DUMMYFUNCTION("""COMPUTED_VALUE"""),"Upload file, cross check and inform                               ")</f>
        <v>Upload file, cross check and inform                               </v>
      </c>
      <c r="C2459" s="82">
        <f>IFERROR(__xludf.DUMMYFUNCTION("""COMPUTED_VALUE"""),5425.0)</f>
        <v>5425</v>
      </c>
      <c r="D2459" s="76" t="str">
        <f>IFERROR(__xludf.DUMMYFUNCTION("""COMPUTED_VALUE"""),"TR ADMIN")</f>
        <v>TR ADMIN</v>
      </c>
      <c r="E2459" s="84">
        <f>IFERROR(__xludf.DUMMYFUNCTION("""COMPUTED_VALUE"""),46232.580555555556)</f>
        <v>46232.58056</v>
      </c>
      <c r="F2459" s="86">
        <f>IFERROR(__xludf.DUMMYFUNCTION("""COMPUTED_VALUE"""),46230.76333052084)</f>
        <v>46230.76333</v>
      </c>
      <c r="G2459" s="86" t="str">
        <f>IFERROR(__xludf.DUMMYFUNCTION("""COMPUTED_VALUE"""),"Done")</f>
        <v>Done</v>
      </c>
      <c r="H2459" s="88">
        <f>IFERROR(__xludf.DUMMYFUNCTION("""COMPUTED_VALUE"""),0.0)</f>
        <v>0</v>
      </c>
      <c r="I2459" s="90" t="str">
        <f>IFERROR(__xludf.DUMMYFUNCTION("""COMPUTED_VALUE"""),"EMP0042 HULESHWAR KUMAR SAHU")</f>
        <v>EMP0042 HULESHWAR KUMAR SAHU</v>
      </c>
      <c r="J2459" s="91"/>
    </row>
    <row r="2460">
      <c r="B2460" s="76" t="str">
        <f>IFERROR(__xludf.DUMMYFUNCTION("""COMPUTED_VALUE"""),"Upload file, cross check and inform                               ")</f>
        <v>Upload file, cross check and inform                               </v>
      </c>
      <c r="C2460" s="82">
        <f>IFERROR(__xludf.DUMMYFUNCTION("""COMPUTED_VALUE"""),5426.0)</f>
        <v>5426</v>
      </c>
      <c r="D2460" s="76" t="str">
        <f>IFERROR(__xludf.DUMMYFUNCTION("""COMPUTED_VALUE"""),"CONSOLIDATED MARKS MEMORANDUM BCA")</f>
        <v>CONSOLIDATED MARKS MEMORANDUM BCA</v>
      </c>
      <c r="E2460" s="84">
        <f>IFERROR(__xludf.DUMMYFUNCTION("""COMPUTED_VALUE"""),46232.61944444444)</f>
        <v>46232.61944</v>
      </c>
      <c r="F2460" s="86">
        <f>IFERROR(__xludf.DUMMYFUNCTION("""COMPUTED_VALUE"""),46231.80681304398)</f>
        <v>46231.80681</v>
      </c>
      <c r="G2460" s="86" t="str">
        <f>IFERROR(__xludf.DUMMYFUNCTION("""COMPUTED_VALUE"""),"Done")</f>
        <v>Done</v>
      </c>
      <c r="H2460" s="88">
        <f>IFERROR(__xludf.DUMMYFUNCTION("""COMPUTED_VALUE"""),0.0)</f>
        <v>0</v>
      </c>
      <c r="I2460" s="90" t="str">
        <f>IFERROR(__xludf.DUMMYFUNCTION("""COMPUTED_VALUE"""),"EMP0042 HULESHWAR KUMAR SAHU")</f>
        <v>EMP0042 HULESHWAR KUMAR SAHU</v>
      </c>
      <c r="J2460" s="91"/>
    </row>
    <row r="2461">
      <c r="B2461" s="76" t="str">
        <f>IFERROR(__xludf.DUMMYFUNCTION("""COMPUTED_VALUE"""),"Upload file, cross check and inform                               ")</f>
        <v>Upload file, cross check and inform                               </v>
      </c>
      <c r="C2461" s="82">
        <f>IFERROR(__xludf.DUMMYFUNCTION("""COMPUTED_VALUE"""),5427.0)</f>
        <v>5427</v>
      </c>
      <c r="D2461" s="76" t="str">
        <f>IFERROR(__xludf.DUMMYFUNCTION("""COMPUTED_VALUE"""),"Admit Card")</f>
        <v>Admit Card</v>
      </c>
      <c r="E2461" s="84">
        <f>IFERROR(__xludf.DUMMYFUNCTION("""COMPUTED_VALUE"""),46232.620833333334)</f>
        <v>46232.62083</v>
      </c>
      <c r="F2461" s="86">
        <f>IFERROR(__xludf.DUMMYFUNCTION("""COMPUTED_VALUE"""),46231.810984525466)</f>
        <v>46231.81098</v>
      </c>
      <c r="G2461" s="86" t="str">
        <f>IFERROR(__xludf.DUMMYFUNCTION("""COMPUTED_VALUE"""),"Done")</f>
        <v>Done</v>
      </c>
      <c r="H2461" s="88">
        <f>IFERROR(__xludf.DUMMYFUNCTION("""COMPUTED_VALUE"""),0.0)</f>
        <v>0</v>
      </c>
      <c r="I2461" s="90" t="str">
        <f>IFERROR(__xludf.DUMMYFUNCTION("""COMPUTED_VALUE"""),"EMP0042 HULESHWAR KUMAR SAHU")</f>
        <v>EMP0042 HULESHWAR KUMAR SAHU</v>
      </c>
      <c r="J2461" s="91"/>
    </row>
    <row r="2462">
      <c r="B2462" s="76" t="str">
        <f>IFERROR(__xludf.DUMMYFUNCTION("""COMPUTED_VALUE"""),"Upload file, cross check and inform                               ")</f>
        <v>Upload file, cross check and inform                               </v>
      </c>
      <c r="C2462" s="82">
        <f>IFERROR(__xludf.DUMMYFUNCTION("""COMPUTED_VALUE"""),5428.0)</f>
        <v>5428</v>
      </c>
      <c r="D2462" s="76" t="str">
        <f>IFERROR(__xludf.DUMMYFUNCTION("""COMPUTED_VALUE"""),"MARKSHEET PARAMEDICAL")</f>
        <v>MARKSHEET PARAMEDICAL</v>
      </c>
      <c r="E2462" s="84">
        <f>IFERROR(__xludf.DUMMYFUNCTION("""COMPUTED_VALUE"""),46232.62152777778)</f>
        <v>46232.62153</v>
      </c>
      <c r="F2462" s="86">
        <f>IFERROR(__xludf.DUMMYFUNCTION("""COMPUTED_VALUE"""),46231.61378270833)</f>
        <v>46231.61378</v>
      </c>
      <c r="G2462" s="86" t="str">
        <f>IFERROR(__xludf.DUMMYFUNCTION("""COMPUTED_VALUE"""),"Done")</f>
        <v>Done</v>
      </c>
      <c r="H2462" s="88">
        <f>IFERROR(__xludf.DUMMYFUNCTION("""COMPUTED_VALUE"""),0.0)</f>
        <v>0</v>
      </c>
      <c r="I2462" s="90" t="str">
        <f>IFERROR(__xludf.DUMMYFUNCTION("""COMPUTED_VALUE"""),"EMP0042 HULESHWAR KUMAR SAHU")</f>
        <v>EMP0042 HULESHWAR KUMAR SAHU</v>
      </c>
      <c r="J2462" s="91"/>
    </row>
    <row r="2463">
      <c r="B2463" s="76" t="str">
        <f>IFERROR(__xludf.DUMMYFUNCTION("""COMPUTED_VALUE"""),"Upload file, cross check and inform                               ")</f>
        <v>Upload file, cross check and inform                               </v>
      </c>
      <c r="C2463" s="82">
        <f>IFERROR(__xludf.DUMMYFUNCTION("""COMPUTED_VALUE"""),5429.0)</f>
        <v>5429</v>
      </c>
      <c r="D2463" s="76" t="str">
        <f>IFERROR(__xludf.DUMMYFUNCTION("""COMPUTED_VALUE"""),"Question Paper Packet slip Date Wise")</f>
        <v>Question Paper Packet slip Date Wise</v>
      </c>
      <c r="E2463" s="84">
        <f>IFERROR(__xludf.DUMMYFUNCTION("""COMPUTED_VALUE"""),46232.71805555555)</f>
        <v>46232.71806</v>
      </c>
      <c r="F2463" s="86">
        <f>IFERROR(__xludf.DUMMYFUNCTION("""COMPUTED_VALUE"""),46231.61386662037)</f>
        <v>46231.61387</v>
      </c>
      <c r="G2463" s="86" t="str">
        <f>IFERROR(__xludf.DUMMYFUNCTION("""COMPUTED_VALUE"""),"Done")</f>
        <v>Done</v>
      </c>
      <c r="H2463" s="88">
        <f>IFERROR(__xludf.DUMMYFUNCTION("""COMPUTED_VALUE"""),0.0)</f>
        <v>0</v>
      </c>
      <c r="I2463" s="90" t="str">
        <f>IFERROR(__xludf.DUMMYFUNCTION("""COMPUTED_VALUE"""),"EMP0042 HULESHWAR KUMAR SAHU")</f>
        <v>EMP0042 HULESHWAR KUMAR SAHU</v>
      </c>
      <c r="J2463" s="91"/>
    </row>
    <row r="2464">
      <c r="B2464" s="76" t="str">
        <f>IFERROR(__xludf.DUMMYFUNCTION("""COMPUTED_VALUE"""),"Upload file, cross check and inform                               ")</f>
        <v>Upload file, cross check and inform                               </v>
      </c>
      <c r="C2464" s="82">
        <f>IFERROR(__xludf.DUMMYFUNCTION("""COMPUTED_VALUE"""),5430.0)</f>
        <v>5430</v>
      </c>
      <c r="D2464" s="76" t="str">
        <f>IFERROR(__xludf.DUMMYFUNCTION("""COMPUTED_VALUE"""),"Ayurveda TR")</f>
        <v>Ayurveda TR</v>
      </c>
      <c r="E2464" s="84">
        <f>IFERROR(__xludf.DUMMYFUNCTION("""COMPUTED_VALUE"""),46232.759722222225)</f>
        <v>46232.75972</v>
      </c>
      <c r="F2464" s="86">
        <f>IFERROR(__xludf.DUMMYFUNCTION("""COMPUTED_VALUE"""),46232.75489962963)</f>
        <v>46232.7549</v>
      </c>
      <c r="G2464" s="86" t="str">
        <f>IFERROR(__xludf.DUMMYFUNCTION("""COMPUTED_VALUE"""),"Done")</f>
        <v>Done</v>
      </c>
      <c r="H2464" s="88">
        <f>IFERROR(__xludf.DUMMYFUNCTION("""COMPUTED_VALUE"""),0.0)</f>
        <v>0</v>
      </c>
      <c r="I2464" s="90" t="str">
        <f>IFERROR(__xludf.DUMMYFUNCTION("""COMPUTED_VALUE"""),"EMP0042 HULESHWAR KUMAR SAHU")</f>
        <v>EMP0042 HULESHWAR KUMAR SAHU</v>
      </c>
      <c r="J2464" s="91"/>
    </row>
    <row r="2465">
      <c r="B2465" s="76" t="str">
        <f>IFERROR(__xludf.DUMMYFUNCTION("""COMPUTED_VALUE"""),"Upload file, cross check and inform                               ")</f>
        <v>Upload file, cross check and inform                               </v>
      </c>
      <c r="C2465" s="82">
        <f>IFERROR(__xludf.DUMMYFUNCTION("""COMPUTED_VALUE"""),5431.0)</f>
        <v>5431</v>
      </c>
      <c r="D2465" s="76" t="str">
        <f>IFERROR(__xludf.DUMMYFUNCTION("""COMPUTED_VALUE"""),"AYURVEDA MARKSHEET")</f>
        <v>AYURVEDA MARKSHEET</v>
      </c>
      <c r="E2465" s="84">
        <f>IFERROR(__xludf.DUMMYFUNCTION("""COMPUTED_VALUE"""),46233.51875)</f>
        <v>46233.51875</v>
      </c>
      <c r="F2465" s="86">
        <f>IFERROR(__xludf.DUMMYFUNCTION("""COMPUTED_VALUE"""),46233.49896813658)</f>
        <v>46233.49897</v>
      </c>
      <c r="G2465" s="86" t="str">
        <f>IFERROR(__xludf.DUMMYFUNCTION("""COMPUTED_VALUE"""),"Done")</f>
        <v>Done</v>
      </c>
      <c r="H2465" s="88">
        <f>IFERROR(__xludf.DUMMYFUNCTION("""COMPUTED_VALUE"""),0.0)</f>
        <v>0</v>
      </c>
      <c r="I2465" s="90" t="str">
        <f>IFERROR(__xludf.DUMMYFUNCTION("""COMPUTED_VALUE"""),"EMP0042 HULESHWAR KUMAR SAHU")</f>
        <v>EMP0042 HULESHWAR KUMAR SAHU</v>
      </c>
      <c r="J2465" s="91"/>
    </row>
    <row r="2466">
      <c r="B2466" s="76" t="str">
        <f>IFERROR(__xludf.DUMMYFUNCTION("""COMPUTED_VALUE"""),"Upload file, cross check and inform                               ")</f>
        <v>Upload file, cross check and inform                               </v>
      </c>
      <c r="C2466" s="82">
        <f>IFERROR(__xludf.DUMMYFUNCTION("""COMPUTED_VALUE"""),5432.0)</f>
        <v>5432</v>
      </c>
      <c r="D2466" s="76" t="str">
        <f>IFERROR(__xludf.DUMMYFUNCTION("""COMPUTED_VALUE"""),"Marksheet correction ")</f>
        <v>Marksheet correction </v>
      </c>
      <c r="E2466" s="84">
        <f>IFERROR(__xludf.DUMMYFUNCTION("""COMPUTED_VALUE"""),46232.80694444444)</f>
        <v>46232.80694</v>
      </c>
      <c r="F2466" s="86">
        <f>IFERROR(__xludf.DUMMYFUNCTION("""COMPUTED_VALUE"""),46231.61351289352)</f>
        <v>46231.61351</v>
      </c>
      <c r="G2466" s="86" t="str">
        <f>IFERROR(__xludf.DUMMYFUNCTION("""COMPUTED_VALUE"""),"Done")</f>
        <v>Done</v>
      </c>
      <c r="H2466" s="88">
        <f>IFERROR(__xludf.DUMMYFUNCTION("""COMPUTED_VALUE"""),0.0)</f>
        <v>0</v>
      </c>
      <c r="I2466" s="90" t="str">
        <f>IFERROR(__xludf.DUMMYFUNCTION("""COMPUTED_VALUE"""),"EMP0042 HULESHWAR KUMAR SAHU")</f>
        <v>EMP0042 HULESHWAR KUMAR SAHU</v>
      </c>
      <c r="J2466" s="91"/>
    </row>
    <row r="2467">
      <c r="B2467" s="76" t="str">
        <f>IFERROR(__xludf.DUMMYFUNCTION("""COMPUTED_VALUE"""),"Upload file, cross check and inform                               ")</f>
        <v>Upload file, cross check and inform                               </v>
      </c>
      <c r="C2467" s="82">
        <f>IFERROR(__xludf.DUMMYFUNCTION("""COMPUTED_VALUE"""),5433.0)</f>
        <v>5433</v>
      </c>
      <c r="D2467" s="76" t="str">
        <f>IFERROR(__xludf.DUMMYFUNCTION("""COMPUTED_VALUE"""),"DMC\COURSE TYPE IN ALL ADD")</f>
        <v>DMC\COURSE TYPE IN ALL ADD</v>
      </c>
      <c r="E2467" s="84">
        <f>IFERROR(__xludf.DUMMYFUNCTION("""COMPUTED_VALUE"""),46233.73541666666)</f>
        <v>46233.73542</v>
      </c>
      <c r="F2467" s="86">
        <f>IFERROR(__xludf.DUMMYFUNCTION("""COMPUTED_VALUE"""),46233.43470987269)</f>
        <v>46233.43471</v>
      </c>
      <c r="G2467" s="86" t="str">
        <f>IFERROR(__xludf.DUMMYFUNCTION("""COMPUTED_VALUE"""),"Done")</f>
        <v>Done</v>
      </c>
      <c r="H2467" s="88">
        <f>IFERROR(__xludf.DUMMYFUNCTION("""COMPUTED_VALUE"""),0.0)</f>
        <v>0</v>
      </c>
      <c r="I2467" s="90" t="str">
        <f>IFERROR(__xludf.DUMMYFUNCTION("""COMPUTED_VALUE"""),"EMP5009 Rup Kumar Mandal")</f>
        <v>EMP5009 Rup Kumar Mandal</v>
      </c>
      <c r="J2467" s="91"/>
    </row>
    <row r="2468">
      <c r="B2468" s="76" t="str">
        <f>IFERROR(__xludf.DUMMYFUNCTION("""COMPUTED_VALUE"""),"Upload file, cross check and inform                               ")</f>
        <v>Upload file, cross check and inform                               </v>
      </c>
      <c r="C2468" s="82">
        <f>IFERROR(__xludf.DUMMYFUNCTION("""COMPUTED_VALUE"""),5434.0)</f>
        <v>5434</v>
      </c>
      <c r="D2468" s="76" t="str">
        <f>IFERROR(__xludf.DUMMYFUNCTION("""COMPUTED_VALUE"""),"GRADE CARD IT ONWARDS 2023")</f>
        <v>GRADE CARD IT ONWARDS 2023</v>
      </c>
      <c r="E2468" s="84">
        <f>IFERROR(__xludf.DUMMYFUNCTION("""COMPUTED_VALUE"""),46233.74097222222)</f>
        <v>46233.74097</v>
      </c>
      <c r="F2468" s="86">
        <f>IFERROR(__xludf.DUMMYFUNCTION("""COMPUTED_VALUE"""),46233.45255251157)</f>
        <v>46233.45255</v>
      </c>
      <c r="G2468" s="86" t="str">
        <f>IFERROR(__xludf.DUMMYFUNCTION("""COMPUTED_VALUE"""),"Done")</f>
        <v>Done</v>
      </c>
      <c r="H2468" s="88">
        <f>IFERROR(__xludf.DUMMYFUNCTION("""COMPUTED_VALUE"""),0.0)</f>
        <v>0</v>
      </c>
      <c r="I2468" s="90" t="str">
        <f>IFERROR(__xludf.DUMMYFUNCTION("""COMPUTED_VALUE"""),"EMP0042 HULESHWAR KUMAR SAHU")</f>
        <v>EMP0042 HULESHWAR KUMAR SAHU</v>
      </c>
      <c r="J2468" s="91"/>
    </row>
    <row r="2469">
      <c r="B2469" s="76" t="str">
        <f>IFERROR(__xludf.DUMMYFUNCTION("""COMPUTED_VALUE"""),"Upload file, cross check and inform                               ")</f>
        <v>Upload file, cross check and inform                               </v>
      </c>
      <c r="C2469" s="82">
        <f>IFERROR(__xludf.DUMMYFUNCTION("""COMPUTED_VALUE"""),5435.0)</f>
        <v>5435</v>
      </c>
      <c r="D2469" s="76" t="str">
        <f>IFERROR(__xludf.DUMMYFUNCTION("""COMPUTED_VALUE"""),"TR report")</f>
        <v>TR report</v>
      </c>
      <c r="E2469" s="84">
        <f>IFERROR(__xludf.DUMMYFUNCTION("""COMPUTED_VALUE"""),46233.825)</f>
        <v>46233.825</v>
      </c>
      <c r="F2469" s="86">
        <f>IFERROR(__xludf.DUMMYFUNCTION("""COMPUTED_VALUE"""),46233.43482699074)</f>
        <v>46233.43483</v>
      </c>
      <c r="G2469" s="86" t="str">
        <f>IFERROR(__xludf.DUMMYFUNCTION("""COMPUTED_VALUE"""),"Done")</f>
        <v>Done</v>
      </c>
      <c r="H2469" s="88">
        <f>IFERROR(__xludf.DUMMYFUNCTION("""COMPUTED_VALUE"""),0.0)</f>
        <v>0</v>
      </c>
      <c r="I2469" s="90" t="str">
        <f>IFERROR(__xludf.DUMMYFUNCTION("""COMPUTED_VALUE"""),"EMP5009 Rup Kumar Mandal")</f>
        <v>EMP5009 Rup Kumar Mandal</v>
      </c>
      <c r="J2469" s="91"/>
    </row>
    <row r="2470">
      <c r="B2470" s="76" t="str">
        <f>IFERROR(__xludf.DUMMYFUNCTION("""COMPUTED_VALUE"""),"Upload file, cross check and inform                               ")</f>
        <v>Upload file, cross check and inform                               </v>
      </c>
      <c r="C2470" s="82">
        <f>IFERROR(__xludf.DUMMYFUNCTION("""COMPUTED_VALUE"""),5436.0)</f>
        <v>5436</v>
      </c>
      <c r="D2470" s="76" t="str">
        <f>IFERROR(__xludf.DUMMYFUNCTION("""COMPUTED_VALUE"""),"Marks Sheet")</f>
        <v>Marks Sheet</v>
      </c>
      <c r="E2470" s="84">
        <f>IFERROR(__xludf.DUMMYFUNCTION("""COMPUTED_VALUE"""),46233.83125)</f>
        <v>46233.83125</v>
      </c>
      <c r="F2470" s="86">
        <f>IFERROR(__xludf.DUMMYFUNCTION("""COMPUTED_VALUE"""),46233.45272241898)</f>
        <v>46233.45272</v>
      </c>
      <c r="G2470" s="86" t="str">
        <f>IFERROR(__xludf.DUMMYFUNCTION("""COMPUTED_VALUE"""),"Done")</f>
        <v>Done</v>
      </c>
      <c r="H2470" s="88">
        <f>IFERROR(__xludf.DUMMYFUNCTION("""COMPUTED_VALUE"""),0.0)</f>
        <v>0</v>
      </c>
      <c r="I2470" s="90" t="str">
        <f>IFERROR(__xludf.DUMMYFUNCTION("""COMPUTED_VALUE"""),"EMP0042 HULESHWAR KUMAR SAHU")</f>
        <v>EMP0042 HULESHWAR KUMAR SAHU</v>
      </c>
      <c r="J2470" s="91"/>
    </row>
    <row r="2471">
      <c r="B2471" s="76" t="str">
        <f>IFERROR(__xludf.DUMMYFUNCTION("""COMPUTED_VALUE"""),"Upload file, cross check and inform                               ")</f>
        <v>Upload file, cross check and inform                               </v>
      </c>
      <c r="C2471" s="82">
        <f>IFERROR(__xludf.DUMMYFUNCTION("""COMPUTED_VALUE"""),5437.0)</f>
        <v>5437</v>
      </c>
      <c r="D2471" s="76" t="str">
        <f>IFERROR(__xludf.DUMMYFUNCTION("""COMPUTED_VALUE"""),"Marks Sheet")</f>
        <v>Marks Sheet</v>
      </c>
      <c r="E2471" s="84">
        <f>IFERROR(__xludf.DUMMYFUNCTION("""COMPUTED_VALUE"""),46233.83263888889)</f>
        <v>46233.83264</v>
      </c>
      <c r="F2471" s="86">
        <f>IFERROR(__xludf.DUMMYFUNCTION("""COMPUTED_VALUE"""),46232.894200821764)</f>
        <v>46232.8942</v>
      </c>
      <c r="G2471" s="86" t="str">
        <f>IFERROR(__xludf.DUMMYFUNCTION("""COMPUTED_VALUE"""),"Done")</f>
        <v>Done</v>
      </c>
      <c r="H2471" s="88">
        <f>IFERROR(__xludf.DUMMYFUNCTION("""COMPUTED_VALUE"""),0.0)</f>
        <v>0</v>
      </c>
      <c r="I2471" s="90" t="str">
        <f>IFERROR(__xludf.DUMMYFUNCTION("""COMPUTED_VALUE"""),"EMP0042 HULESHWAR KUMAR SAHU")</f>
        <v>EMP0042 HULESHWAR KUMAR SAHU</v>
      </c>
      <c r="J2471" s="91"/>
    </row>
    <row r="2472">
      <c r="B2472" s="76" t="str">
        <f>IFERROR(__xludf.DUMMYFUNCTION("""COMPUTED_VALUE"""),"Upload file, cross check and inform                               ")</f>
        <v>Upload file, cross check and inform                               </v>
      </c>
      <c r="C2472" s="82">
        <f>IFERROR(__xludf.DUMMYFUNCTION("""COMPUTED_VALUE"""),5438.0)</f>
        <v>5438</v>
      </c>
      <c r="D2472" s="76" t="str">
        <f>IFERROR(__xludf.DUMMYFUNCTION("""COMPUTED_VALUE"""),"MArks Sheet")</f>
        <v>MArks Sheet</v>
      </c>
      <c r="E2472" s="84">
        <f>IFERROR(__xludf.DUMMYFUNCTION("""COMPUTED_VALUE"""),46234.41666666667)</f>
        <v>46234.41667</v>
      </c>
      <c r="F2472" s="86">
        <f>IFERROR(__xludf.DUMMYFUNCTION("""COMPUTED_VALUE"""),46232.89418490741)</f>
        <v>46232.89418</v>
      </c>
      <c r="G2472" s="86" t="str">
        <f>IFERROR(__xludf.DUMMYFUNCTION("""COMPUTED_VALUE"""),"Done")</f>
        <v>Done</v>
      </c>
      <c r="H2472" s="88">
        <f>IFERROR(__xludf.DUMMYFUNCTION("""COMPUTED_VALUE"""),0.0)</f>
        <v>0</v>
      </c>
      <c r="I2472" s="90" t="str">
        <f>IFERROR(__xludf.DUMMYFUNCTION("""COMPUTED_VALUE"""),"EMP0042 HULESHWAR KUMAR SAHU")</f>
        <v>EMP0042 HULESHWAR KUMAR SAHU</v>
      </c>
      <c r="J2472" s="91"/>
    </row>
    <row r="2473">
      <c r="B2473" s="76" t="str">
        <f>IFERROR(__xludf.DUMMYFUNCTION("""COMPUTED_VALUE"""),"Upload file, cross check and inform                               ")</f>
        <v>Upload file, cross check and inform                               </v>
      </c>
      <c r="C2473" s="82">
        <f>IFERROR(__xludf.DUMMYFUNCTION("""COMPUTED_VALUE"""),5439.0)</f>
        <v>5439</v>
      </c>
      <c r="D2473" s="76" t="str">
        <f>IFERROR(__xludf.DUMMYFUNCTION("""COMPUTED_VALUE"""),"BCA, BMS, LAW MCA, MBA, BBA TRANSCRIPT REPORT")</f>
        <v>BCA, BMS, LAW MCA, MBA, BBA TRANSCRIPT REPORT</v>
      </c>
      <c r="E2473" s="84">
        <f>IFERROR(__xludf.DUMMYFUNCTION("""COMPUTED_VALUE"""),46234.42013888889)</f>
        <v>46234.42014</v>
      </c>
      <c r="F2473" s="86">
        <f>IFERROR(__xludf.DUMMYFUNCTION("""COMPUTED_VALUE"""),46232.89417119213)</f>
        <v>46232.89417</v>
      </c>
      <c r="G2473" s="86" t="str">
        <f>IFERROR(__xludf.DUMMYFUNCTION("""COMPUTED_VALUE"""),"Done")</f>
        <v>Done</v>
      </c>
      <c r="H2473" s="88">
        <f>IFERROR(__xludf.DUMMYFUNCTION("""COMPUTED_VALUE"""),0.0)</f>
        <v>0</v>
      </c>
      <c r="I2473" s="90" t="str">
        <f>IFERROR(__xludf.DUMMYFUNCTION("""COMPUTED_VALUE"""),"EMP0042 HULESHWAR KUMAR SAHU")</f>
        <v>EMP0042 HULESHWAR KUMAR SAHU</v>
      </c>
      <c r="J2473" s="91"/>
    </row>
    <row r="2474">
      <c r="B2474" s="76" t="str">
        <f>IFERROR(__xludf.DUMMYFUNCTION("""COMPUTED_VALUE"""),"Upload file, cross check and inform                               ")</f>
        <v>Upload file, cross check and inform                               </v>
      </c>
      <c r="C2474" s="82">
        <f>IFERROR(__xludf.DUMMYFUNCTION("""COMPUTED_VALUE"""),5440.0)</f>
        <v>5440</v>
      </c>
      <c r="D2474" s="76" t="str">
        <f>IFERROR(__xludf.DUMMYFUNCTION("""COMPUTED_VALUE"""),"TR ")</f>
        <v>TR </v>
      </c>
      <c r="E2474" s="84">
        <f>IFERROR(__xludf.DUMMYFUNCTION("""COMPUTED_VALUE"""),46235.44583333333)</f>
        <v>46235.44583</v>
      </c>
      <c r="F2474" s="86">
        <f>IFERROR(__xludf.DUMMYFUNCTION("""COMPUTED_VALUE"""),46234.784398194446)</f>
        <v>46234.7844</v>
      </c>
      <c r="G2474" s="86" t="str">
        <f>IFERROR(__xludf.DUMMYFUNCTION("""COMPUTED_VALUE"""),"Done")</f>
        <v>Done</v>
      </c>
      <c r="H2474" s="88">
        <f>IFERROR(__xludf.DUMMYFUNCTION("""COMPUTED_VALUE"""),0.0)</f>
        <v>0</v>
      </c>
      <c r="I2474" s="90" t="str">
        <f>IFERROR(__xludf.DUMMYFUNCTION("""COMPUTED_VALUE"""),"EMP0042 HULESHWAR KUMAR SAHU")</f>
        <v>EMP0042 HULESHWAR KUMAR SAHU</v>
      </c>
      <c r="J2474" s="91"/>
    </row>
    <row r="2475">
      <c r="B2475" s="76" t="str">
        <f>IFERROR(__xludf.DUMMYFUNCTION("""COMPUTED_VALUE"""),"Upload file, cross check and inform                               ")</f>
        <v>Upload file, cross check and inform                               </v>
      </c>
      <c r="C2475" s="82">
        <f>IFERROR(__xludf.DUMMYFUNCTION("""COMPUTED_VALUE"""),5441.0)</f>
        <v>5441</v>
      </c>
      <c r="D2475" s="76" t="str">
        <f>IFERROR(__xludf.DUMMYFUNCTION("""COMPUTED_VALUE"""),"MARKSHEET PGDCA (SEMESTER)")</f>
        <v>MARKSHEET PGDCA (SEMESTER)</v>
      </c>
      <c r="E2475" s="84">
        <f>IFERROR(__xludf.DUMMYFUNCTION("""COMPUTED_VALUE"""),46235.50625)</f>
        <v>46235.50625</v>
      </c>
      <c r="F2475" s="86">
        <f>IFERROR(__xludf.DUMMYFUNCTION("""COMPUTED_VALUE"""),46234.79740208333)</f>
        <v>46234.7974</v>
      </c>
      <c r="G2475" s="86" t="str">
        <f>IFERROR(__xludf.DUMMYFUNCTION("""COMPUTED_VALUE"""),"Done")</f>
        <v>Done</v>
      </c>
      <c r="H2475" s="88">
        <f>IFERROR(__xludf.DUMMYFUNCTION("""COMPUTED_VALUE"""),0.0)</f>
        <v>0</v>
      </c>
      <c r="I2475" s="90" t="str">
        <f>IFERROR(__xludf.DUMMYFUNCTION("""COMPUTED_VALUE"""),"EMP5009 Rup Kumar Mandal")</f>
        <v>EMP5009 Rup Kumar Mandal</v>
      </c>
      <c r="J2475" s="91"/>
    </row>
    <row r="2476">
      <c r="B2476" s="76" t="str">
        <f>IFERROR(__xludf.DUMMYFUNCTION("""COMPUTED_VALUE"""),"Upload file, cross check and inform                               ")</f>
        <v>Upload file, cross check and inform                               </v>
      </c>
      <c r="C2476" s="82">
        <f>IFERROR(__xludf.DUMMYFUNCTION("""COMPUTED_VALUE"""),5442.0)</f>
        <v>5442</v>
      </c>
      <c r="D2476" s="76" t="str">
        <f>IFERROR(__xludf.DUMMYFUNCTION("""COMPUTED_VALUE"""),"Grade Card (OTHERS)")</f>
        <v>Grade Card (OTHERS)</v>
      </c>
      <c r="E2476" s="84">
        <f>IFERROR(__xludf.DUMMYFUNCTION("""COMPUTED_VALUE"""),46235.822222222225)</f>
        <v>46235.82222</v>
      </c>
      <c r="F2476" s="86">
        <f>IFERROR(__xludf.DUMMYFUNCTION("""COMPUTED_VALUE"""),46234.79135597222)</f>
        <v>46234.79136</v>
      </c>
      <c r="G2476" s="86" t="str">
        <f>IFERROR(__xludf.DUMMYFUNCTION("""COMPUTED_VALUE"""),"Done")</f>
        <v>Done</v>
      </c>
      <c r="H2476" s="88">
        <f>IFERROR(__xludf.DUMMYFUNCTION("""COMPUTED_VALUE"""),0.0)</f>
        <v>0</v>
      </c>
      <c r="I2476" s="90" t="str">
        <f>IFERROR(__xludf.DUMMYFUNCTION("""COMPUTED_VALUE"""),"EMP0042 HULESHWAR KUMAR SAHU")</f>
        <v>EMP0042 HULESHWAR KUMAR SAHU</v>
      </c>
      <c r="J2476" s="91"/>
    </row>
    <row r="2477">
      <c r="B2477" s="76" t="str">
        <f>IFERROR(__xludf.DUMMYFUNCTION("""COMPUTED_VALUE"""),"Upload file, cross check and inform                               ")</f>
        <v>Upload file, cross check and inform                               </v>
      </c>
      <c r="C2477" s="82">
        <f>IFERROR(__xludf.DUMMYFUNCTION("""COMPUTED_VALUE"""),5443.0)</f>
        <v>5443</v>
      </c>
      <c r="D2477" s="76" t="str">
        <f>IFERROR(__xludf.DUMMYFUNCTION("""COMPUTED_VALUE"""),"Provisional Ceritificate")</f>
        <v>Provisional Ceritificate</v>
      </c>
      <c r="E2477" s="84">
        <f>IFERROR(__xludf.DUMMYFUNCTION("""COMPUTED_VALUE"""),46235.82291666667)</f>
        <v>46235.82292</v>
      </c>
      <c r="F2477" s="86">
        <f>IFERROR(__xludf.DUMMYFUNCTION("""COMPUTED_VALUE"""),46234.791817662044)</f>
        <v>46234.79182</v>
      </c>
      <c r="G2477" s="86" t="str">
        <f>IFERROR(__xludf.DUMMYFUNCTION("""COMPUTED_VALUE"""),"Done")</f>
        <v>Done</v>
      </c>
      <c r="H2477" s="88">
        <f>IFERROR(__xludf.DUMMYFUNCTION("""COMPUTED_VALUE"""),0.0)</f>
        <v>0</v>
      </c>
      <c r="I2477" s="90" t="str">
        <f>IFERROR(__xludf.DUMMYFUNCTION("""COMPUTED_VALUE"""),"EMP0042 HULESHWAR KUMAR SAHU")</f>
        <v>EMP0042 HULESHWAR KUMAR SAHU</v>
      </c>
      <c r="J2477" s="91"/>
    </row>
    <row r="2478">
      <c r="B2478" s="76" t="str">
        <f>IFERROR(__xludf.DUMMYFUNCTION("""COMPUTED_VALUE"""),"Upload file, cross check and inform                               ")</f>
        <v>Upload file, cross check and inform                               </v>
      </c>
      <c r="C2478" s="82">
        <f>IFERROR(__xludf.DUMMYFUNCTION("""COMPUTED_VALUE"""),5444.0)</f>
        <v>5444</v>
      </c>
      <c r="D2478" s="76" t="str">
        <f>IFERROR(__xludf.DUMMYFUNCTION("""COMPUTED_VALUE"""),"Document Report")</f>
        <v>Document Report</v>
      </c>
      <c r="E2478" s="84">
        <f>IFERROR(__xludf.DUMMYFUNCTION("""COMPUTED_VALUE"""),46237.540972222225)</f>
        <v>46237.54097</v>
      </c>
      <c r="F2478" s="86">
        <f>IFERROR(__xludf.DUMMYFUNCTION("""COMPUTED_VALUE"""),46237.3983891088)</f>
        <v>46237.39839</v>
      </c>
      <c r="G2478" s="86" t="str">
        <f>IFERROR(__xludf.DUMMYFUNCTION("""COMPUTED_VALUE"""),"Done")</f>
        <v>Done</v>
      </c>
      <c r="H2478" s="88">
        <f>IFERROR(__xludf.DUMMYFUNCTION("""COMPUTED_VALUE"""),0.0)</f>
        <v>0</v>
      </c>
      <c r="I2478" s="90" t="str">
        <f>IFERROR(__xludf.DUMMYFUNCTION("""COMPUTED_VALUE"""),"EMP5009 Rup Kumar Mandal")</f>
        <v>EMP5009 Rup Kumar Mandal</v>
      </c>
      <c r="J2478" s="91"/>
    </row>
    <row r="2479">
      <c r="B2479" s="76" t="str">
        <f>IFERROR(__xludf.DUMMYFUNCTION("""COMPUTED_VALUE"""),"Upload file, cross check and inform                               ")</f>
        <v>Upload file, cross check and inform                               </v>
      </c>
      <c r="C2479" s="82">
        <f>IFERROR(__xludf.DUMMYFUNCTION("""COMPUTED_VALUE"""),5445.0)</f>
        <v>5445</v>
      </c>
      <c r="D2479" s="76" t="str">
        <f>IFERROR(__xludf.DUMMYFUNCTION("""COMPUTED_VALUE"""),"TR for Diploma Course DIPLOMA First Year ( 1st ) Diploma in Pharmacy Regular REGULAR EXAMFORM_SE16")</f>
        <v>TR for Diploma Course DIPLOMA First Year ( 1st ) Diploma in Pharmacy Regular REGULAR EXAMFORM_SE16</v>
      </c>
      <c r="E2479" s="84">
        <f>IFERROR(__xludf.DUMMYFUNCTION("""COMPUTED_VALUE"""),46237.575694444444)</f>
        <v>46237.57569</v>
      </c>
      <c r="F2479" s="86">
        <f>IFERROR(__xludf.DUMMYFUNCTION("""COMPUTED_VALUE"""),46236.39117064815)</f>
        <v>46236.39117</v>
      </c>
      <c r="G2479" s="86" t="str">
        <f>IFERROR(__xludf.DUMMYFUNCTION("""COMPUTED_VALUE"""),"Done")</f>
        <v>Done</v>
      </c>
      <c r="H2479" s="88">
        <f>IFERROR(__xludf.DUMMYFUNCTION("""COMPUTED_VALUE"""),0.0)</f>
        <v>0</v>
      </c>
      <c r="I2479" s="90" t="str">
        <f>IFERROR(__xludf.DUMMYFUNCTION("""COMPUTED_VALUE"""),"EMP0042 HULESHWAR KUMAR SAHU")</f>
        <v>EMP0042 HULESHWAR KUMAR SAHU</v>
      </c>
      <c r="J2479" s="91"/>
    </row>
    <row r="2480">
      <c r="B2480" s="76" t="str">
        <f>IFERROR(__xludf.DUMMYFUNCTION("""COMPUTED_VALUE"""),"Upload file, cross check and inform                               ")</f>
        <v>Upload file, cross check and inform                               </v>
      </c>
      <c r="C2480" s="82">
        <f>IFERROR(__xludf.DUMMYFUNCTION("""COMPUTED_VALUE"""),5446.0)</f>
        <v>5446</v>
      </c>
      <c r="D2480" s="76" t="str">
        <f>IFERROR(__xludf.DUMMYFUNCTION("""COMPUTED_VALUE"""),"TR Promoted BALLB BBALLB")</f>
        <v>TR Promoted BALLB BBALLB</v>
      </c>
      <c r="E2480" s="84">
        <f>IFERROR(__xludf.DUMMYFUNCTION("""COMPUTED_VALUE"""),46238.450694444444)</f>
        <v>46238.45069</v>
      </c>
      <c r="F2480" s="86">
        <f>IFERROR(__xludf.DUMMYFUNCTION("""COMPUTED_VALUE"""),46236.39119634259)</f>
        <v>46236.3912</v>
      </c>
      <c r="G2480" s="86" t="str">
        <f>IFERROR(__xludf.DUMMYFUNCTION("""COMPUTED_VALUE"""),"Done")</f>
        <v>Done</v>
      </c>
      <c r="H2480" s="88">
        <f>IFERROR(__xludf.DUMMYFUNCTION("""COMPUTED_VALUE"""),0.0)</f>
        <v>0</v>
      </c>
      <c r="I2480" s="90" t="str">
        <f>IFERROR(__xludf.DUMMYFUNCTION("""COMPUTED_VALUE"""),"EMP5009 Rup Kumar Mandal")</f>
        <v>EMP5009 Rup Kumar Mandal</v>
      </c>
      <c r="J2480" s="91"/>
    </row>
    <row r="2481">
      <c r="B2481" s="76" t="str">
        <f>IFERROR(__xludf.DUMMYFUNCTION("""COMPUTED_VALUE"""),"Upload file, cross check and inform                               ")</f>
        <v>Upload file, cross check and inform                               </v>
      </c>
      <c r="C2481" s="82">
        <f>IFERROR(__xludf.DUMMYFUNCTION("""COMPUTED_VALUE"""),5447.0)</f>
        <v>5447</v>
      </c>
      <c r="D2481" s="76" t="str">
        <f>IFERROR(__xludf.DUMMYFUNCTION("""COMPUTED_VALUE"""),"TR")</f>
        <v>TR</v>
      </c>
      <c r="E2481" s="84">
        <f>IFERROR(__xludf.DUMMYFUNCTION("""COMPUTED_VALUE"""),46239.759722222225)</f>
        <v>46239.75972</v>
      </c>
      <c r="F2481" s="86">
        <f>IFERROR(__xludf.DUMMYFUNCTION("""COMPUTED_VALUE"""),46238.585462731484)</f>
        <v>46238.58546</v>
      </c>
      <c r="G2481" s="86" t="str">
        <f>IFERROR(__xludf.DUMMYFUNCTION("""COMPUTED_VALUE"""),"Done")</f>
        <v>Done</v>
      </c>
      <c r="H2481" s="88">
        <f>IFERROR(__xludf.DUMMYFUNCTION("""COMPUTED_VALUE"""),0.0)</f>
        <v>0</v>
      </c>
      <c r="I2481" s="90" t="str">
        <f>IFERROR(__xludf.DUMMYFUNCTION("""COMPUTED_VALUE"""),"EMP0042 HULESHWAR KUMAR SAHU")</f>
        <v>EMP0042 HULESHWAR KUMAR SAHU</v>
      </c>
      <c r="J2481" s="91"/>
    </row>
    <row r="2482">
      <c r="B2482" s="76" t="str">
        <f>IFERROR(__xludf.DUMMYFUNCTION("""COMPUTED_VALUE"""),"Upload file, cross check and inform                               ")</f>
        <v>Upload file, cross check and inform                               </v>
      </c>
      <c r="C2482" s="82">
        <f>IFERROR(__xludf.DUMMYFUNCTION("""COMPUTED_VALUE"""),5448.0)</f>
        <v>5448</v>
      </c>
      <c r="D2482" s="76" t="str">
        <f>IFERROR(__xludf.DUMMYFUNCTION("""COMPUTED_VALUE"""),"TR")</f>
        <v>TR</v>
      </c>
      <c r="E2482" s="84">
        <f>IFERROR(__xludf.DUMMYFUNCTION("""COMPUTED_VALUE"""),46240.74097222222)</f>
        <v>46240.74097</v>
      </c>
      <c r="F2482" s="86">
        <f>IFERROR(__xludf.DUMMYFUNCTION("""COMPUTED_VALUE"""),46239.80287675926)</f>
        <v>46239.80288</v>
      </c>
      <c r="G2482" s="86" t="str">
        <f>IFERROR(__xludf.DUMMYFUNCTION("""COMPUTED_VALUE"""),"Done")</f>
        <v>Done</v>
      </c>
      <c r="H2482" s="88">
        <f>IFERROR(__xludf.DUMMYFUNCTION("""COMPUTED_VALUE"""),0.0)</f>
        <v>0</v>
      </c>
      <c r="I2482" s="90" t="str">
        <f>IFERROR(__xludf.DUMMYFUNCTION("""COMPUTED_VALUE"""),"EMP0042 HULESHWAR KUMAR SAHU")</f>
        <v>EMP0042 HULESHWAR KUMAR SAHU</v>
      </c>
      <c r="J2482" s="91"/>
    </row>
    <row r="2483">
      <c r="B2483" s="76" t="str">
        <f>IFERROR(__xludf.DUMMYFUNCTION("""COMPUTED_VALUE"""),"Upload file, cross check and inform                               ")</f>
        <v>Upload file, cross check and inform                               </v>
      </c>
      <c r="C2483" s="82">
        <f>IFERROR(__xludf.DUMMYFUNCTION("""COMPUTED_VALUE"""),5449.0)</f>
        <v>5449</v>
      </c>
      <c r="D2483" s="76" t="str">
        <f>IFERROR(__xludf.DUMMYFUNCTION("""COMPUTED_VALUE"""),"TR")</f>
        <v>TR</v>
      </c>
      <c r="E2483" s="84">
        <f>IFERROR(__xludf.DUMMYFUNCTION("""COMPUTED_VALUE"""),46240.819444444445)</f>
        <v>46240.81944</v>
      </c>
      <c r="F2483" s="86">
        <f>IFERROR(__xludf.DUMMYFUNCTION("""COMPUTED_VALUE"""),46239.80291003473)</f>
        <v>46239.80291</v>
      </c>
      <c r="G2483" s="86" t="str">
        <f>IFERROR(__xludf.DUMMYFUNCTION("""COMPUTED_VALUE"""),"Done")</f>
        <v>Done</v>
      </c>
      <c r="H2483" s="88">
        <f>IFERROR(__xludf.DUMMYFUNCTION("""COMPUTED_VALUE"""),0.0)</f>
        <v>0</v>
      </c>
      <c r="I2483" s="90" t="str">
        <f>IFERROR(__xludf.DUMMYFUNCTION("""COMPUTED_VALUE"""),"EMP0042 HULESHWAR KUMAR SAHU")</f>
        <v>EMP0042 HULESHWAR KUMAR SAHU</v>
      </c>
      <c r="J2483" s="91"/>
    </row>
    <row r="2484">
      <c r="B2484" s="76" t="str">
        <f>IFERROR(__xludf.DUMMYFUNCTION("""COMPUTED_VALUE"""),"Upload file, cross check and inform                               ")</f>
        <v>Upload file, cross check and inform                               </v>
      </c>
      <c r="C2484" s="82">
        <f>IFERROR(__xludf.DUMMYFUNCTION("""COMPUTED_VALUE"""),5450.0)</f>
        <v>5450</v>
      </c>
      <c r="D2484" s="76" t="str">
        <f>IFERROR(__xludf.DUMMYFUNCTION("""COMPUTED_VALUE"""),"MARKS HEET ")</f>
        <v>MARKS HEET </v>
      </c>
      <c r="E2484" s="84">
        <f>IFERROR(__xludf.DUMMYFUNCTION("""COMPUTED_VALUE"""),46240.82152777778)</f>
        <v>46240.82153</v>
      </c>
      <c r="F2484" s="86">
        <f>IFERROR(__xludf.DUMMYFUNCTION("""COMPUTED_VALUE"""),46239.803152974535)</f>
        <v>46239.80315</v>
      </c>
      <c r="G2484" s="86" t="str">
        <f>IFERROR(__xludf.DUMMYFUNCTION("""COMPUTED_VALUE"""),"Done")</f>
        <v>Done</v>
      </c>
      <c r="H2484" s="88">
        <f>IFERROR(__xludf.DUMMYFUNCTION("""COMPUTED_VALUE"""),0.0)</f>
        <v>0</v>
      </c>
      <c r="I2484" s="90" t="str">
        <f>IFERROR(__xludf.DUMMYFUNCTION("""COMPUTED_VALUE"""),"EMP0042 HULESHWAR KUMAR SAHU")</f>
        <v>EMP0042 HULESHWAR KUMAR SAHU</v>
      </c>
      <c r="J2484" s="91"/>
    </row>
    <row r="2485">
      <c r="B2485" s="76" t="str">
        <f>IFERROR(__xludf.DUMMYFUNCTION("""COMPUTED_VALUE"""),"Upload file, cross check and inform                               ")</f>
        <v>Upload file, cross check and inform                               </v>
      </c>
      <c r="C2485" s="82">
        <f>IFERROR(__xludf.DUMMYFUNCTION("""COMPUTED_VALUE"""),5451.0)</f>
        <v>5451</v>
      </c>
      <c r="D2485" s="76" t="str">
        <f>IFERROR(__xludf.DUMMYFUNCTION("""COMPUTED_VALUE"""),"MARKSHEET")</f>
        <v>MARKSHEET</v>
      </c>
      <c r="E2485" s="84">
        <f>IFERROR(__xludf.DUMMYFUNCTION("""COMPUTED_VALUE"""),46240.82638888889)</f>
        <v>46240.82639</v>
      </c>
      <c r="F2485" s="86"/>
      <c r="G2485" s="86"/>
      <c r="H2485" s="88">
        <f>IFERROR(__xludf.DUMMYFUNCTION("""COMPUTED_VALUE"""),0.0)</f>
        <v>0</v>
      </c>
      <c r="I2485" s="90" t="str">
        <f>IFERROR(__xludf.DUMMYFUNCTION("""COMPUTED_VALUE"""),"EMP0042 HULESHWAR KUMAR SAHU")</f>
        <v>EMP0042 HULESHWAR KUMAR SAHU</v>
      </c>
      <c r="J2485" s="91"/>
    </row>
    <row r="2486">
      <c r="B2486" s="76" t="str">
        <f>IFERROR(__xludf.DUMMYFUNCTION("""COMPUTED_VALUE"""),"Upload file, cross check and inform                               ")</f>
        <v>Upload file, cross check and inform                               </v>
      </c>
      <c r="C2486" s="82">
        <f>IFERROR(__xludf.DUMMYFUNCTION("""COMPUTED_VALUE"""),5452.0)</f>
        <v>5452</v>
      </c>
      <c r="D2486" s="76" t="str">
        <f>IFERROR(__xludf.DUMMYFUNCTION("""COMPUTED_VALUE"""),"Marks Sheet")</f>
        <v>Marks Sheet</v>
      </c>
      <c r="E2486" s="84">
        <f>IFERROR(__xludf.DUMMYFUNCTION("""COMPUTED_VALUE"""),46241.575694444444)</f>
        <v>46241.57569</v>
      </c>
      <c r="F2486" s="86"/>
      <c r="G2486" s="86"/>
      <c r="H2486" s="88">
        <f>IFERROR(__xludf.DUMMYFUNCTION("""COMPUTED_VALUE"""),0.0)</f>
        <v>0</v>
      </c>
      <c r="I2486" s="90" t="str">
        <f>IFERROR(__xludf.DUMMYFUNCTION("""COMPUTED_VALUE"""),"EMP0042 HULESHWAR KUMAR SAHU")</f>
        <v>EMP0042 HULESHWAR KUMAR SAHU</v>
      </c>
      <c r="J2486" s="91"/>
    </row>
    <row r="2487">
      <c r="B2487" s="76" t="str">
        <f>IFERROR(__xludf.DUMMYFUNCTION("""COMPUTED_VALUE"""),"Upload file, cross check and inform                               ")</f>
        <v>Upload file, cross check and inform                               </v>
      </c>
      <c r="C2487" s="82">
        <f>IFERROR(__xludf.DUMMYFUNCTION("""COMPUTED_VALUE"""),5453.0)</f>
        <v>5453</v>
      </c>
      <c r="D2487" s="76" t="str">
        <f>IFERROR(__xludf.DUMMYFUNCTION("""COMPUTED_VALUE"""),"TR ")</f>
        <v>TR </v>
      </c>
      <c r="E2487" s="84">
        <f>IFERROR(__xludf.DUMMYFUNCTION("""COMPUTED_VALUE"""),46241.74444444444)</f>
        <v>46241.74444</v>
      </c>
      <c r="F2487" s="86"/>
      <c r="G2487" s="86"/>
      <c r="H2487" s="88">
        <f>IFERROR(__xludf.DUMMYFUNCTION("""COMPUTED_VALUE"""),0.0)</f>
        <v>0</v>
      </c>
      <c r="I2487" s="90" t="str">
        <f>IFERROR(__xludf.DUMMYFUNCTION("""COMPUTED_VALUE"""),"EMP0237 Swarnendu Chakraborty")</f>
        <v>EMP0237 Swarnendu Chakraborty</v>
      </c>
      <c r="J2487" s="91"/>
    </row>
    <row r="2488">
      <c r="B2488" s="76" t="str">
        <f>IFERROR(__xludf.DUMMYFUNCTION("""COMPUTED_VALUE"""),"Upload file, cross check and inform                               ")</f>
        <v>Upload file, cross check and inform                               </v>
      </c>
      <c r="C2488" s="82">
        <f>IFERROR(__xludf.DUMMYFUNCTION("""COMPUTED_VALUE"""),5454.0)</f>
        <v>5454</v>
      </c>
      <c r="D2488" s="76" t="str">
        <f>IFERROR(__xludf.DUMMYFUNCTION("""COMPUTED_VALUE"""),"TR")</f>
        <v>TR</v>
      </c>
      <c r="E2488" s="84">
        <f>IFERROR(__xludf.DUMMYFUNCTION("""COMPUTED_VALUE"""),46241.74652777778)</f>
        <v>46241.74653</v>
      </c>
      <c r="F2488" s="86"/>
      <c r="G2488" s="86"/>
      <c r="H2488" s="88">
        <f>IFERROR(__xludf.DUMMYFUNCTION("""COMPUTED_VALUE"""),0.0)</f>
        <v>0</v>
      </c>
      <c r="I2488" s="90" t="str">
        <f>IFERROR(__xludf.DUMMYFUNCTION("""COMPUTED_VALUE"""),"EMP0237 Swarnendu Chakraborty")</f>
        <v>EMP0237 Swarnendu Chakraborty</v>
      </c>
      <c r="J2488" s="91"/>
    </row>
    <row r="2489">
      <c r="B2489" s="76" t="str">
        <f>IFERROR(__xludf.DUMMYFUNCTION("""COMPUTED_VALUE"""),"Upload file, cross check and inform                               ")</f>
        <v>Upload file, cross check and inform                               </v>
      </c>
      <c r="C2489" s="82">
        <f>IFERROR(__xludf.DUMMYFUNCTION("""COMPUTED_VALUE"""),5455.0)</f>
        <v>5455</v>
      </c>
      <c r="D2489" s="76" t="str">
        <f>IFERROR(__xludf.DUMMYFUNCTION("""COMPUTED_VALUE"""),"TR REPORT ")</f>
        <v>TR REPORT </v>
      </c>
      <c r="E2489" s="84">
        <f>IFERROR(__xludf.DUMMYFUNCTION("""COMPUTED_VALUE"""),46242.44791666667)</f>
        <v>46242.44792</v>
      </c>
      <c r="F2489" s="86"/>
      <c r="G2489" s="86"/>
      <c r="H2489" s="88">
        <f>IFERROR(__xludf.DUMMYFUNCTION("""COMPUTED_VALUE"""),0.0)</f>
        <v>0</v>
      </c>
      <c r="I2489" s="90"/>
      <c r="J2489" s="91"/>
    </row>
    <row r="2490">
      <c r="B2490" s="76" t="str">
        <f>IFERROR(__xludf.DUMMYFUNCTION("""COMPUTED_VALUE"""),"Upload file, cross check and inform                               ")</f>
        <v>Upload file, cross check and inform                               </v>
      </c>
      <c r="C2490" s="82">
        <f>IFERROR(__xludf.DUMMYFUNCTION("""COMPUTED_VALUE"""),5456.0)</f>
        <v>5456</v>
      </c>
      <c r="D2490" s="76" t="str">
        <f>IFERROR(__xludf.DUMMYFUNCTION("""COMPUTED_VALUE"""),"TR ")</f>
        <v>TR </v>
      </c>
      <c r="E2490" s="84">
        <f>IFERROR(__xludf.DUMMYFUNCTION("""COMPUTED_VALUE"""),46242.48055555555)</f>
        <v>46242.48056</v>
      </c>
      <c r="F2490" s="86"/>
      <c r="G2490" s="86"/>
      <c r="H2490" s="88">
        <f>IFERROR(__xludf.DUMMYFUNCTION("""COMPUTED_VALUE"""),0.0)</f>
        <v>0</v>
      </c>
      <c r="I2490" s="90"/>
      <c r="J2490" s="91"/>
    </row>
    <row r="2491">
      <c r="B2491" s="76" t="str">
        <f>IFERROR(__xludf.DUMMYFUNCTION("""COMPUTED_VALUE"""),"Upload file, cross check and inform                               ")</f>
        <v>Upload file, cross check and inform                               </v>
      </c>
      <c r="C2491" s="82">
        <f>IFERROR(__xludf.DUMMYFUNCTION("""COMPUTED_VALUE"""),5457.0)</f>
        <v>5457</v>
      </c>
      <c r="D2491" s="76" t="str">
        <f>IFERROR(__xludf.DUMMYFUNCTION("""COMPUTED_VALUE"""),"PROVIOSNAL CERTIFICATE")</f>
        <v>PROVIOSNAL CERTIFICATE</v>
      </c>
      <c r="E2491" s="84">
        <f>IFERROR(__xludf.DUMMYFUNCTION("""COMPUTED_VALUE"""),46242.53333333333)</f>
        <v>46242.53333</v>
      </c>
      <c r="F2491" s="86"/>
      <c r="G2491" s="86"/>
      <c r="H2491" s="88">
        <f>IFERROR(__xludf.DUMMYFUNCTION("""COMPUTED_VALUE"""),0.0)</f>
        <v>0</v>
      </c>
      <c r="I2491" s="90"/>
      <c r="J2491" s="91"/>
    </row>
    <row r="2492">
      <c r="C2492" s="82"/>
      <c r="E2492" s="84"/>
      <c r="F2492" s="86"/>
      <c r="G2492" s="86"/>
      <c r="H2492" s="88"/>
      <c r="I2492" s="90"/>
      <c r="J2492" s="91"/>
    </row>
    <row r="2493">
      <c r="C2493" s="82"/>
      <c r="E2493" s="84"/>
      <c r="F2493" s="86"/>
      <c r="G2493" s="86"/>
      <c r="H2493" s="88"/>
      <c r="I2493" s="90"/>
      <c r="J2493" s="91"/>
    </row>
    <row r="2494">
      <c r="C2494" s="82"/>
      <c r="E2494" s="84"/>
      <c r="F2494" s="86"/>
      <c r="G2494" s="86"/>
      <c r="H2494" s="88"/>
      <c r="I2494" s="90"/>
      <c r="J2494" s="91"/>
    </row>
    <row r="2495">
      <c r="C2495" s="82"/>
      <c r="E2495" s="84"/>
      <c r="F2495" s="86"/>
      <c r="G2495" s="86"/>
      <c r="H2495" s="88"/>
      <c r="I2495" s="90"/>
      <c r="J2495" s="91"/>
    </row>
    <row r="2496">
      <c r="C2496" s="82"/>
      <c r="E2496" s="84"/>
      <c r="F2496" s="86"/>
      <c r="G2496" s="86"/>
      <c r="H2496" s="88"/>
      <c r="I2496" s="90"/>
      <c r="J2496" s="91"/>
    </row>
    <row r="2497">
      <c r="C2497" s="82"/>
      <c r="E2497" s="84"/>
      <c r="F2497" s="86"/>
      <c r="G2497" s="86"/>
      <c r="H2497" s="88"/>
      <c r="I2497" s="90"/>
      <c r="J2497" s="91"/>
    </row>
    <row r="2498">
      <c r="C2498" s="82"/>
      <c r="E2498" s="84"/>
      <c r="F2498" s="86"/>
      <c r="G2498" s="86"/>
      <c r="H2498" s="88"/>
      <c r="I2498" s="90"/>
      <c r="J2498" s="91"/>
    </row>
    <row r="2499">
      <c r="C2499" s="82"/>
      <c r="E2499" s="84"/>
      <c r="F2499" s="86"/>
      <c r="G2499" s="86"/>
      <c r="H2499" s="88"/>
      <c r="I2499" s="90"/>
      <c r="J2499" s="91"/>
    </row>
    <row r="2500">
      <c r="C2500" s="82"/>
      <c r="E2500" s="84"/>
      <c r="F2500" s="86"/>
      <c r="G2500" s="86"/>
      <c r="H2500" s="88"/>
      <c r="I2500" s="90"/>
      <c r="J2500" s="91"/>
    </row>
    <row r="2501">
      <c r="C2501" s="82"/>
      <c r="E2501" s="84"/>
      <c r="F2501" s="86"/>
      <c r="G2501" s="86"/>
      <c r="H2501" s="88"/>
      <c r="I2501" s="90"/>
      <c r="J2501" s="91"/>
    </row>
    <row r="2502">
      <c r="C2502" s="82"/>
      <c r="E2502" s="84"/>
      <c r="F2502" s="86"/>
      <c r="G2502" s="86"/>
      <c r="H2502" s="88"/>
      <c r="I2502" s="90"/>
      <c r="J2502" s="91"/>
    </row>
    <row r="2503">
      <c r="C2503" s="82"/>
      <c r="E2503" s="84"/>
      <c r="F2503" s="86"/>
      <c r="G2503" s="86"/>
      <c r="H2503" s="88"/>
      <c r="I2503" s="90"/>
      <c r="J2503" s="91"/>
    </row>
    <row r="2504">
      <c r="C2504" s="82"/>
      <c r="E2504" s="84"/>
      <c r="F2504" s="86"/>
      <c r="G2504" s="86"/>
      <c r="H2504" s="88"/>
      <c r="I2504" s="90"/>
      <c r="J2504" s="91"/>
    </row>
    <row r="2505">
      <c r="C2505" s="82"/>
      <c r="E2505" s="84"/>
      <c r="F2505" s="86"/>
      <c r="G2505" s="86"/>
      <c r="H2505" s="88"/>
      <c r="I2505" s="90"/>
      <c r="J2505" s="91"/>
    </row>
    <row r="2506">
      <c r="C2506" s="82"/>
      <c r="E2506" s="84"/>
      <c r="F2506" s="86"/>
      <c r="G2506" s="86"/>
      <c r="H2506" s="88"/>
      <c r="I2506" s="90"/>
      <c r="J2506" s="91"/>
    </row>
    <row r="2507">
      <c r="C2507" s="82"/>
      <c r="E2507" s="84"/>
      <c r="F2507" s="86"/>
      <c r="G2507" s="86"/>
      <c r="H2507" s="88"/>
      <c r="I2507" s="90"/>
      <c r="J2507" s="91"/>
    </row>
    <row r="2508">
      <c r="C2508" s="82"/>
      <c r="E2508" s="84"/>
      <c r="F2508" s="86"/>
      <c r="G2508" s="86"/>
      <c r="H2508" s="88"/>
      <c r="I2508" s="90"/>
      <c r="J2508" s="91"/>
    </row>
    <row r="2509">
      <c r="C2509" s="82"/>
      <c r="E2509" s="84"/>
      <c r="F2509" s="86"/>
      <c r="G2509" s="86"/>
      <c r="H2509" s="88"/>
      <c r="I2509" s="90"/>
      <c r="J2509" s="91"/>
    </row>
    <row r="2510">
      <c r="C2510" s="82"/>
      <c r="E2510" s="84"/>
      <c r="F2510" s="86"/>
      <c r="G2510" s="86"/>
      <c r="H2510" s="88"/>
      <c r="I2510" s="90"/>
      <c r="J2510" s="91"/>
    </row>
    <row r="2511">
      <c r="C2511" s="82"/>
      <c r="E2511" s="84"/>
      <c r="F2511" s="86"/>
      <c r="G2511" s="86"/>
      <c r="H2511" s="88"/>
      <c r="I2511" s="90"/>
      <c r="J2511" s="91"/>
    </row>
    <row r="2512">
      <c r="C2512" s="82"/>
      <c r="E2512" s="84"/>
      <c r="F2512" s="86"/>
      <c r="G2512" s="86"/>
      <c r="H2512" s="88"/>
      <c r="I2512" s="90"/>
      <c r="J2512" s="91"/>
    </row>
    <row r="2513">
      <c r="C2513" s="82"/>
      <c r="E2513" s="84"/>
      <c r="F2513" s="86"/>
      <c r="G2513" s="86"/>
      <c r="H2513" s="88"/>
      <c r="I2513" s="90"/>
      <c r="J2513" s="91"/>
    </row>
    <row r="2514">
      <c r="C2514" s="82"/>
      <c r="E2514" s="84"/>
      <c r="F2514" s="86"/>
      <c r="G2514" s="86"/>
      <c r="H2514" s="88"/>
      <c r="I2514" s="90"/>
      <c r="J2514" s="91"/>
    </row>
    <row r="2515">
      <c r="C2515" s="82"/>
      <c r="E2515" s="84"/>
      <c r="F2515" s="86"/>
      <c r="G2515" s="86"/>
      <c r="H2515" s="88"/>
      <c r="I2515" s="90"/>
      <c r="J2515" s="91"/>
    </row>
    <row r="2516">
      <c r="C2516" s="82"/>
      <c r="E2516" s="84"/>
      <c r="F2516" s="86"/>
      <c r="G2516" s="86"/>
      <c r="H2516" s="88"/>
      <c r="I2516" s="90"/>
      <c r="J2516" s="91"/>
    </row>
    <row r="2517">
      <c r="C2517" s="82"/>
      <c r="E2517" s="84"/>
      <c r="F2517" s="86"/>
      <c r="G2517" s="86"/>
      <c r="H2517" s="88"/>
      <c r="I2517" s="90"/>
      <c r="J2517" s="91"/>
    </row>
    <row r="2518">
      <c r="C2518" s="82"/>
      <c r="E2518" s="84"/>
      <c r="F2518" s="86"/>
      <c r="G2518" s="86"/>
      <c r="H2518" s="88"/>
      <c r="I2518" s="90"/>
      <c r="J2518" s="91"/>
    </row>
    <row r="2519">
      <c r="C2519" s="82"/>
      <c r="E2519" s="84"/>
      <c r="F2519" s="86"/>
      <c r="G2519" s="86"/>
      <c r="H2519" s="88"/>
      <c r="I2519" s="90"/>
      <c r="J2519" s="91"/>
    </row>
    <row r="2520">
      <c r="C2520" s="82"/>
      <c r="E2520" s="84"/>
      <c r="F2520" s="86"/>
      <c r="G2520" s="86"/>
      <c r="H2520" s="88"/>
      <c r="I2520" s="90"/>
      <c r="J2520" s="91"/>
    </row>
    <row r="2521">
      <c r="C2521" s="82"/>
      <c r="E2521" s="84"/>
      <c r="F2521" s="86"/>
      <c r="G2521" s="86"/>
      <c r="H2521" s="88"/>
      <c r="I2521" s="90"/>
      <c r="J2521" s="91"/>
    </row>
    <row r="2522">
      <c r="C2522" s="82"/>
      <c r="E2522" s="84"/>
      <c r="F2522" s="86"/>
      <c r="G2522" s="86"/>
      <c r="H2522" s="88"/>
      <c r="I2522" s="90"/>
      <c r="J2522" s="91"/>
    </row>
    <row r="2523">
      <c r="C2523" s="82"/>
      <c r="E2523" s="84"/>
      <c r="F2523" s="86"/>
      <c r="G2523" s="86"/>
      <c r="H2523" s="88"/>
      <c r="I2523" s="90"/>
      <c r="J2523" s="91"/>
    </row>
    <row r="2524">
      <c r="C2524" s="82"/>
      <c r="E2524" s="84"/>
      <c r="F2524" s="86"/>
      <c r="G2524" s="86"/>
      <c r="H2524" s="88"/>
      <c r="I2524" s="90"/>
      <c r="J2524" s="91"/>
    </row>
    <row r="2525">
      <c r="C2525" s="82"/>
      <c r="E2525" s="84"/>
      <c r="F2525" s="86"/>
      <c r="G2525" s="86"/>
      <c r="H2525" s="88"/>
      <c r="I2525" s="90"/>
      <c r="J2525" s="91"/>
    </row>
    <row r="2526">
      <c r="C2526" s="82"/>
      <c r="E2526" s="84"/>
      <c r="F2526" s="86"/>
      <c r="G2526" s="86"/>
      <c r="H2526" s="88"/>
      <c r="I2526" s="90"/>
      <c r="J2526" s="91"/>
    </row>
    <row r="2527">
      <c r="C2527" s="82"/>
      <c r="E2527" s="84"/>
      <c r="F2527" s="86"/>
      <c r="G2527" s="86"/>
      <c r="H2527" s="88"/>
      <c r="I2527" s="90"/>
      <c r="J2527" s="91"/>
    </row>
    <row r="2528">
      <c r="C2528" s="82"/>
      <c r="E2528" s="84"/>
      <c r="F2528" s="86"/>
      <c r="G2528" s="86"/>
      <c r="H2528" s="88"/>
      <c r="I2528" s="90"/>
      <c r="J2528" s="91"/>
    </row>
    <row r="2529">
      <c r="C2529" s="82"/>
      <c r="E2529" s="84"/>
      <c r="F2529" s="86"/>
      <c r="G2529" s="86"/>
      <c r="H2529" s="88"/>
      <c r="I2529" s="90"/>
      <c r="J2529" s="91"/>
    </row>
    <row r="2530">
      <c r="C2530" s="82"/>
      <c r="E2530" s="84"/>
      <c r="F2530" s="86"/>
      <c r="G2530" s="86"/>
      <c r="H2530" s="88"/>
      <c r="I2530" s="90"/>
      <c r="J2530" s="91"/>
    </row>
    <row r="2531">
      <c r="C2531" s="82"/>
      <c r="E2531" s="84"/>
      <c r="F2531" s="86"/>
      <c r="G2531" s="86"/>
      <c r="H2531" s="88"/>
      <c r="I2531" s="90"/>
      <c r="J2531" s="91"/>
    </row>
    <row r="2532">
      <c r="C2532" s="82"/>
      <c r="E2532" s="84"/>
      <c r="F2532" s="86"/>
      <c r="G2532" s="86"/>
      <c r="H2532" s="88"/>
      <c r="I2532" s="90"/>
      <c r="J2532" s="91"/>
    </row>
    <row r="2533">
      <c r="C2533" s="82"/>
      <c r="E2533" s="84"/>
      <c r="F2533" s="86"/>
      <c r="G2533" s="86"/>
      <c r="H2533" s="88"/>
      <c r="I2533" s="90"/>
      <c r="J2533" s="91"/>
    </row>
    <row r="2534">
      <c r="C2534" s="82"/>
      <c r="E2534" s="84"/>
      <c r="F2534" s="86"/>
      <c r="G2534" s="86"/>
      <c r="H2534" s="88"/>
      <c r="I2534" s="90"/>
      <c r="J2534" s="91"/>
    </row>
    <row r="2535">
      <c r="C2535" s="82"/>
      <c r="E2535" s="84"/>
      <c r="F2535" s="86"/>
      <c r="G2535" s="86"/>
      <c r="H2535" s="88"/>
      <c r="I2535" s="90"/>
      <c r="J2535" s="91"/>
    </row>
    <row r="2536">
      <c r="C2536" s="82"/>
      <c r="E2536" s="84"/>
      <c r="F2536" s="86"/>
      <c r="G2536" s="86"/>
      <c r="H2536" s="88"/>
      <c r="I2536" s="90"/>
      <c r="J2536" s="91"/>
    </row>
    <row r="2537">
      <c r="C2537" s="82"/>
      <c r="E2537" s="84"/>
      <c r="F2537" s="86"/>
      <c r="G2537" s="86"/>
      <c r="H2537" s="88"/>
      <c r="I2537" s="90"/>
      <c r="J2537" s="91"/>
    </row>
    <row r="2538">
      <c r="C2538" s="82"/>
      <c r="E2538" s="84"/>
      <c r="F2538" s="86"/>
      <c r="G2538" s="86"/>
      <c r="H2538" s="88"/>
      <c r="I2538" s="90"/>
      <c r="J2538" s="91"/>
    </row>
    <row r="2539">
      <c r="C2539" s="82"/>
      <c r="E2539" s="84"/>
      <c r="F2539" s="86"/>
      <c r="G2539" s="86"/>
      <c r="H2539" s="88"/>
      <c r="I2539" s="90"/>
      <c r="J2539" s="91"/>
    </row>
    <row r="2540">
      <c r="C2540" s="82"/>
      <c r="E2540" s="84"/>
      <c r="F2540" s="86"/>
      <c r="G2540" s="86"/>
      <c r="H2540" s="88"/>
      <c r="I2540" s="90"/>
      <c r="J2540" s="91"/>
    </row>
    <row r="2541">
      <c r="C2541" s="82"/>
      <c r="E2541" s="84"/>
      <c r="F2541" s="86"/>
      <c r="G2541" s="86"/>
      <c r="H2541" s="88"/>
      <c r="I2541" s="90"/>
      <c r="J2541" s="91"/>
    </row>
    <row r="2542">
      <c r="C2542" s="82"/>
      <c r="E2542" s="84"/>
      <c r="F2542" s="86"/>
      <c r="G2542" s="86"/>
      <c r="H2542" s="88"/>
      <c r="I2542" s="90"/>
      <c r="J2542" s="91"/>
    </row>
    <row r="2543">
      <c r="C2543" s="82"/>
      <c r="E2543" s="84"/>
      <c r="F2543" s="86"/>
      <c r="G2543" s="86"/>
      <c r="H2543" s="88"/>
      <c r="I2543" s="90"/>
      <c r="J2543" s="91"/>
    </row>
    <row r="2544">
      <c r="C2544" s="82"/>
      <c r="E2544" s="84"/>
      <c r="F2544" s="86"/>
      <c r="G2544" s="86"/>
      <c r="H2544" s="88"/>
      <c r="I2544" s="90"/>
      <c r="J2544" s="91"/>
    </row>
    <row r="2545">
      <c r="C2545" s="82"/>
      <c r="E2545" s="84"/>
      <c r="F2545" s="86"/>
      <c r="G2545" s="86"/>
      <c r="H2545" s="88"/>
      <c r="I2545" s="90"/>
      <c r="J2545" s="91"/>
    </row>
    <row r="2546">
      <c r="C2546" s="82"/>
      <c r="E2546" s="84"/>
      <c r="F2546" s="86"/>
      <c r="G2546" s="86"/>
      <c r="H2546" s="88"/>
      <c r="I2546" s="90"/>
      <c r="J2546" s="91"/>
    </row>
    <row r="2547">
      <c r="C2547" s="82"/>
      <c r="E2547" s="84"/>
      <c r="F2547" s="86"/>
      <c r="G2547" s="86"/>
      <c r="H2547" s="88"/>
      <c r="I2547" s="90"/>
      <c r="J2547" s="91"/>
    </row>
    <row r="2548">
      <c r="C2548" s="82"/>
      <c r="E2548" s="84"/>
      <c r="F2548" s="86"/>
      <c r="G2548" s="86"/>
      <c r="H2548" s="88"/>
      <c r="I2548" s="90"/>
      <c r="J2548" s="91"/>
    </row>
    <row r="2549">
      <c r="C2549" s="82"/>
      <c r="E2549" s="84"/>
      <c r="F2549" s="86"/>
      <c r="G2549" s="86"/>
      <c r="H2549" s="88"/>
      <c r="I2549" s="90"/>
      <c r="J2549" s="91"/>
    </row>
    <row r="2550">
      <c r="C2550" s="82"/>
      <c r="E2550" s="84"/>
      <c r="F2550" s="86"/>
      <c r="G2550" s="86"/>
      <c r="H2550" s="88"/>
      <c r="I2550" s="90"/>
      <c r="J2550" s="91"/>
    </row>
    <row r="2551">
      <c r="C2551" s="82"/>
      <c r="E2551" s="84"/>
      <c r="F2551" s="86"/>
      <c r="G2551" s="86"/>
      <c r="H2551" s="88"/>
      <c r="I2551" s="90"/>
      <c r="J2551" s="91"/>
    </row>
    <row r="2552">
      <c r="C2552" s="82"/>
      <c r="E2552" s="84"/>
      <c r="F2552" s="86"/>
      <c r="G2552" s="86"/>
      <c r="H2552" s="88"/>
      <c r="I2552" s="90"/>
      <c r="J2552" s="91"/>
    </row>
    <row r="2553">
      <c r="C2553" s="82"/>
      <c r="E2553" s="84"/>
      <c r="F2553" s="86"/>
      <c r="G2553" s="86"/>
      <c r="H2553" s="88"/>
      <c r="I2553" s="90"/>
      <c r="J2553" s="91"/>
    </row>
    <row r="2554">
      <c r="C2554" s="82"/>
      <c r="E2554" s="84"/>
      <c r="F2554" s="86"/>
      <c r="G2554" s="86"/>
      <c r="H2554" s="88"/>
      <c r="I2554" s="90"/>
      <c r="J2554" s="91"/>
    </row>
    <row r="2555">
      <c r="C2555" s="82"/>
      <c r="E2555" s="84"/>
      <c r="F2555" s="86"/>
      <c r="G2555" s="86"/>
      <c r="H2555" s="88"/>
      <c r="I2555" s="90"/>
      <c r="J2555" s="91"/>
    </row>
    <row r="2556">
      <c r="C2556" s="82"/>
      <c r="E2556" s="84"/>
      <c r="F2556" s="86"/>
      <c r="G2556" s="86"/>
      <c r="H2556" s="88"/>
      <c r="I2556" s="90"/>
      <c r="J2556" s="91"/>
    </row>
    <row r="2557">
      <c r="C2557" s="82"/>
      <c r="E2557" s="84"/>
      <c r="F2557" s="86"/>
      <c r="G2557" s="86"/>
      <c r="H2557" s="88"/>
      <c r="I2557" s="90"/>
      <c r="J2557" s="91"/>
    </row>
    <row r="2558">
      <c r="C2558" s="82"/>
      <c r="E2558" s="84"/>
      <c r="F2558" s="86"/>
      <c r="G2558" s="86"/>
      <c r="H2558" s="88"/>
      <c r="I2558" s="90"/>
      <c r="J2558" s="91"/>
    </row>
    <row r="2559">
      <c r="C2559" s="82"/>
      <c r="E2559" s="84"/>
      <c r="F2559" s="86"/>
      <c r="G2559" s="86"/>
      <c r="H2559" s="88"/>
      <c r="I2559" s="90"/>
      <c r="J2559" s="91"/>
    </row>
    <row r="2560">
      <c r="C2560" s="82"/>
      <c r="E2560" s="84"/>
      <c r="F2560" s="86"/>
      <c r="G2560" s="86"/>
      <c r="H2560" s="88"/>
      <c r="I2560" s="90"/>
      <c r="J2560" s="91"/>
    </row>
    <row r="2561">
      <c r="C2561" s="82"/>
      <c r="E2561" s="84"/>
      <c r="F2561" s="86"/>
      <c r="G2561" s="86"/>
      <c r="H2561" s="88"/>
      <c r="I2561" s="90"/>
      <c r="J2561" s="91"/>
    </row>
    <row r="2562">
      <c r="C2562" s="82"/>
      <c r="E2562" s="84"/>
      <c r="F2562" s="86"/>
      <c r="G2562" s="86"/>
      <c r="H2562" s="88"/>
      <c r="I2562" s="90"/>
      <c r="J2562" s="91"/>
    </row>
    <row r="2563">
      <c r="C2563" s="82"/>
      <c r="E2563" s="84"/>
      <c r="F2563" s="86"/>
      <c r="G2563" s="86"/>
      <c r="H2563" s="88"/>
      <c r="I2563" s="90"/>
      <c r="J2563" s="91"/>
    </row>
    <row r="2564">
      <c r="C2564" s="82"/>
      <c r="E2564" s="84"/>
      <c r="F2564" s="86"/>
      <c r="G2564" s="86"/>
      <c r="H2564" s="88"/>
      <c r="I2564" s="90"/>
      <c r="J2564" s="91"/>
    </row>
    <row r="2565">
      <c r="C2565" s="82"/>
      <c r="E2565" s="84"/>
      <c r="F2565" s="86"/>
      <c r="G2565" s="86"/>
      <c r="H2565" s="88"/>
      <c r="I2565" s="90"/>
      <c r="J2565" s="91"/>
    </row>
    <row r="2566">
      <c r="C2566" s="82"/>
      <c r="E2566" s="84"/>
      <c r="F2566" s="86"/>
      <c r="G2566" s="86"/>
      <c r="H2566" s="88"/>
      <c r="I2566" s="90"/>
      <c r="J2566" s="91"/>
    </row>
    <row r="2567">
      <c r="C2567" s="82"/>
      <c r="E2567" s="84"/>
      <c r="F2567" s="86"/>
      <c r="G2567" s="86"/>
      <c r="H2567" s="88"/>
      <c r="I2567" s="90"/>
      <c r="J2567" s="91"/>
    </row>
    <row r="2568">
      <c r="C2568" s="82"/>
      <c r="E2568" s="84"/>
      <c r="F2568" s="86"/>
      <c r="G2568" s="86"/>
      <c r="H2568" s="88"/>
      <c r="I2568" s="90"/>
      <c r="J2568" s="91"/>
    </row>
    <row r="2569">
      <c r="C2569" s="82"/>
      <c r="E2569" s="84"/>
      <c r="F2569" s="86"/>
      <c r="G2569" s="86"/>
      <c r="H2569" s="88"/>
      <c r="I2569" s="90"/>
      <c r="J2569" s="91"/>
    </row>
    <row r="2570">
      <c r="C2570" s="82"/>
      <c r="E2570" s="84"/>
      <c r="F2570" s="86"/>
      <c r="G2570" s="86"/>
      <c r="H2570" s="88"/>
      <c r="I2570" s="90"/>
      <c r="J2570" s="91"/>
    </row>
    <row r="2571">
      <c r="C2571" s="82"/>
      <c r="E2571" s="84"/>
      <c r="F2571" s="86"/>
      <c r="G2571" s="86"/>
      <c r="H2571" s="88"/>
      <c r="I2571" s="90"/>
      <c r="J2571" s="91"/>
    </row>
    <row r="2572">
      <c r="C2572" s="82"/>
      <c r="E2572" s="84"/>
      <c r="F2572" s="86"/>
      <c r="G2572" s="86"/>
      <c r="H2572" s="88"/>
      <c r="I2572" s="90"/>
      <c r="J2572" s="91"/>
    </row>
    <row r="2573">
      <c r="C2573" s="82"/>
      <c r="E2573" s="84"/>
      <c r="F2573" s="86"/>
      <c r="G2573" s="86"/>
      <c r="H2573" s="88"/>
      <c r="I2573" s="90"/>
      <c r="J2573" s="91"/>
    </row>
    <row r="2574">
      <c r="C2574" s="82"/>
      <c r="E2574" s="84"/>
      <c r="F2574" s="86"/>
      <c r="G2574" s="86"/>
      <c r="H2574" s="88"/>
      <c r="I2574" s="90"/>
      <c r="J2574" s="91"/>
    </row>
    <row r="2575">
      <c r="C2575" s="82"/>
      <c r="E2575" s="84"/>
      <c r="F2575" s="86"/>
      <c r="G2575" s="86"/>
      <c r="H2575" s="88"/>
      <c r="I2575" s="90"/>
      <c r="J2575" s="91"/>
    </row>
    <row r="2576">
      <c r="C2576" s="82"/>
      <c r="E2576" s="84"/>
      <c r="F2576" s="86"/>
      <c r="G2576" s="86"/>
      <c r="H2576" s="88"/>
      <c r="I2576" s="90"/>
      <c r="J2576" s="91"/>
    </row>
    <row r="2577">
      <c r="C2577" s="82"/>
      <c r="E2577" s="84"/>
      <c r="F2577" s="86"/>
      <c r="G2577" s="86"/>
      <c r="H2577" s="88"/>
      <c r="I2577" s="90"/>
      <c r="J2577" s="91"/>
    </row>
    <row r="2578">
      <c r="C2578" s="82"/>
      <c r="E2578" s="84"/>
      <c r="F2578" s="86"/>
      <c r="G2578" s="86"/>
      <c r="H2578" s="88"/>
      <c r="I2578" s="90"/>
      <c r="J2578" s="91"/>
    </row>
    <row r="2579">
      <c r="C2579" s="82"/>
      <c r="E2579" s="84"/>
      <c r="F2579" s="86"/>
      <c r="G2579" s="86"/>
      <c r="H2579" s="88"/>
      <c r="I2579" s="90"/>
      <c r="J2579" s="91"/>
    </row>
    <row r="2580">
      <c r="C2580" s="82"/>
      <c r="E2580" s="84"/>
      <c r="F2580" s="86"/>
      <c r="G2580" s="86"/>
      <c r="H2580" s="88"/>
      <c r="I2580" s="90"/>
      <c r="J2580" s="91"/>
    </row>
    <row r="2581">
      <c r="C2581" s="82"/>
      <c r="E2581" s="84"/>
      <c r="F2581" s="86"/>
      <c r="G2581" s="86"/>
      <c r="H2581" s="88"/>
      <c r="I2581" s="90"/>
      <c r="J2581" s="91"/>
    </row>
    <row r="2582">
      <c r="C2582" s="82"/>
      <c r="E2582" s="84"/>
      <c r="F2582" s="86"/>
      <c r="G2582" s="86"/>
      <c r="H2582" s="88"/>
      <c r="I2582" s="90"/>
      <c r="J2582" s="91"/>
    </row>
    <row r="2583">
      <c r="C2583" s="82"/>
      <c r="E2583" s="84"/>
      <c r="F2583" s="86"/>
      <c r="G2583" s="86"/>
      <c r="H2583" s="88"/>
      <c r="I2583" s="90"/>
      <c r="J2583" s="91"/>
    </row>
    <row r="2584">
      <c r="C2584" s="82"/>
      <c r="E2584" s="84"/>
      <c r="F2584" s="86"/>
      <c r="G2584" s="86"/>
      <c r="H2584" s="88"/>
      <c r="I2584" s="90"/>
      <c r="J2584" s="91"/>
    </row>
    <row r="2585">
      <c r="C2585" s="82"/>
      <c r="E2585" s="84"/>
      <c r="F2585" s="86"/>
      <c r="G2585" s="86"/>
      <c r="H2585" s="88"/>
      <c r="I2585" s="90"/>
      <c r="J2585" s="91"/>
    </row>
    <row r="2586">
      <c r="C2586" s="82"/>
      <c r="E2586" s="84"/>
      <c r="F2586" s="86"/>
      <c r="G2586" s="86"/>
      <c r="H2586" s="88"/>
      <c r="I2586" s="90"/>
      <c r="J2586" s="91"/>
    </row>
    <row r="2587">
      <c r="C2587" s="82"/>
      <c r="E2587" s="84"/>
      <c r="F2587" s="86"/>
      <c r="G2587" s="86"/>
      <c r="H2587" s="88"/>
      <c r="I2587" s="90"/>
      <c r="J2587" s="91"/>
    </row>
    <row r="2588">
      <c r="C2588" s="82"/>
      <c r="E2588" s="84"/>
      <c r="F2588" s="86"/>
      <c r="G2588" s="86"/>
      <c r="H2588" s="88"/>
      <c r="I2588" s="90"/>
      <c r="J2588" s="91"/>
    </row>
    <row r="2589">
      <c r="C2589" s="82"/>
      <c r="E2589" s="84"/>
      <c r="F2589" s="86"/>
      <c r="G2589" s="86"/>
      <c r="H2589" s="88"/>
      <c r="I2589" s="90"/>
      <c r="J2589" s="91"/>
    </row>
    <row r="2590">
      <c r="C2590" s="82"/>
      <c r="E2590" s="84"/>
      <c r="F2590" s="86"/>
      <c r="G2590" s="86"/>
      <c r="H2590" s="88"/>
      <c r="I2590" s="90"/>
      <c r="J2590" s="91"/>
    </row>
    <row r="2591">
      <c r="C2591" s="82"/>
      <c r="E2591" s="84"/>
      <c r="F2591" s="86"/>
      <c r="G2591" s="86"/>
      <c r="H2591" s="88"/>
      <c r="I2591" s="90"/>
      <c r="J2591" s="91"/>
    </row>
    <row r="2592">
      <c r="C2592" s="82"/>
      <c r="E2592" s="84"/>
      <c r="F2592" s="86"/>
      <c r="G2592" s="86"/>
      <c r="H2592" s="88"/>
      <c r="I2592" s="90"/>
      <c r="J2592" s="91"/>
    </row>
    <row r="2593">
      <c r="C2593" s="82"/>
      <c r="E2593" s="84"/>
      <c r="F2593" s="86"/>
      <c r="G2593" s="86"/>
      <c r="H2593" s="88"/>
      <c r="I2593" s="90"/>
      <c r="J2593" s="91"/>
    </row>
    <row r="2594">
      <c r="C2594" s="82"/>
      <c r="E2594" s="84"/>
      <c r="F2594" s="86"/>
      <c r="G2594" s="86"/>
      <c r="H2594" s="88"/>
      <c r="I2594" s="90"/>
      <c r="J2594" s="91"/>
    </row>
    <row r="2595">
      <c r="C2595" s="82"/>
      <c r="E2595" s="84"/>
      <c r="F2595" s="86"/>
      <c r="G2595" s="86"/>
      <c r="H2595" s="88"/>
      <c r="I2595" s="90"/>
      <c r="J2595" s="91"/>
    </row>
    <row r="2596">
      <c r="C2596" s="82"/>
      <c r="E2596" s="84"/>
      <c r="F2596" s="86"/>
      <c r="G2596" s="86"/>
      <c r="H2596" s="88"/>
      <c r="I2596" s="90"/>
      <c r="J2596" s="91"/>
    </row>
    <row r="2597">
      <c r="C2597" s="82"/>
      <c r="E2597" s="84"/>
      <c r="F2597" s="86"/>
      <c r="G2597" s="86"/>
      <c r="H2597" s="88"/>
      <c r="I2597" s="90"/>
      <c r="J2597" s="91"/>
    </row>
    <row r="2598">
      <c r="C2598" s="82"/>
      <c r="E2598" s="84"/>
      <c r="F2598" s="86"/>
      <c r="G2598" s="86"/>
      <c r="H2598" s="88"/>
      <c r="I2598" s="90"/>
      <c r="J2598" s="91"/>
    </row>
    <row r="2599">
      <c r="C2599" s="82"/>
      <c r="E2599" s="84"/>
      <c r="F2599" s="86"/>
      <c r="G2599" s="86"/>
      <c r="H2599" s="88"/>
      <c r="I2599" s="90"/>
      <c r="J2599" s="91"/>
    </row>
    <row r="2600">
      <c r="C2600" s="82"/>
      <c r="E2600" s="84"/>
      <c r="F2600" s="86"/>
      <c r="G2600" s="86"/>
      <c r="H2600" s="88"/>
      <c r="I2600" s="90"/>
      <c r="J2600" s="91"/>
    </row>
    <row r="2601">
      <c r="C2601" s="82"/>
      <c r="E2601" s="84"/>
      <c r="F2601" s="86"/>
      <c r="G2601" s="86"/>
      <c r="H2601" s="88"/>
      <c r="I2601" s="90"/>
      <c r="J2601" s="91"/>
    </row>
    <row r="2602">
      <c r="C2602" s="82"/>
      <c r="E2602" s="84"/>
      <c r="F2602" s="86"/>
      <c r="G2602" s="86"/>
      <c r="H2602" s="88"/>
      <c r="I2602" s="90"/>
      <c r="J2602" s="91"/>
    </row>
    <row r="2603">
      <c r="C2603" s="82"/>
      <c r="E2603" s="84"/>
      <c r="F2603" s="86"/>
      <c r="G2603" s="86"/>
      <c r="H2603" s="88"/>
      <c r="I2603" s="90"/>
      <c r="J2603" s="91"/>
    </row>
    <row r="2604">
      <c r="C2604" s="82"/>
      <c r="E2604" s="84"/>
      <c r="F2604" s="86"/>
      <c r="G2604" s="86"/>
      <c r="H2604" s="88"/>
      <c r="I2604" s="90"/>
      <c r="J2604" s="91"/>
    </row>
    <row r="2605">
      <c r="C2605" s="82"/>
      <c r="E2605" s="84"/>
      <c r="F2605" s="86"/>
      <c r="G2605" s="86"/>
      <c r="H2605" s="88"/>
      <c r="I2605" s="90"/>
      <c r="J2605" s="91"/>
    </row>
    <row r="2606">
      <c r="C2606" s="82"/>
      <c r="E2606" s="84"/>
      <c r="F2606" s="86"/>
      <c r="G2606" s="86"/>
      <c r="H2606" s="88"/>
      <c r="I2606" s="90"/>
      <c r="J2606" s="91"/>
    </row>
    <row r="2607">
      <c r="C2607" s="82"/>
      <c r="E2607" s="84"/>
      <c r="F2607" s="86"/>
      <c r="G2607" s="86"/>
      <c r="H2607" s="88"/>
      <c r="I2607" s="90"/>
      <c r="J2607" s="91"/>
    </row>
    <row r="2608">
      <c r="C2608" s="82"/>
      <c r="E2608" s="84"/>
      <c r="F2608" s="86"/>
      <c r="G2608" s="86"/>
      <c r="H2608" s="88"/>
      <c r="I2608" s="90"/>
      <c r="J2608" s="91"/>
    </row>
    <row r="2609">
      <c r="C2609" s="82"/>
      <c r="E2609" s="84"/>
      <c r="F2609" s="86"/>
      <c r="G2609" s="86"/>
      <c r="H2609" s="88"/>
      <c r="I2609" s="90"/>
      <c r="J2609" s="91"/>
    </row>
    <row r="2610">
      <c r="C2610" s="82"/>
      <c r="E2610" s="84"/>
      <c r="F2610" s="86"/>
      <c r="G2610" s="86"/>
      <c r="H2610" s="88"/>
      <c r="I2610" s="90"/>
      <c r="J2610" s="91"/>
    </row>
    <row r="2611">
      <c r="C2611" s="82"/>
      <c r="E2611" s="84"/>
      <c r="F2611" s="86"/>
      <c r="G2611" s="86"/>
      <c r="H2611" s="88"/>
      <c r="I2611" s="90"/>
      <c r="J2611" s="91"/>
    </row>
    <row r="2612">
      <c r="C2612" s="82"/>
      <c r="E2612" s="84"/>
      <c r="F2612" s="86"/>
      <c r="G2612" s="86"/>
      <c r="H2612" s="88"/>
      <c r="I2612" s="90"/>
      <c r="J2612" s="91"/>
    </row>
    <row r="2613">
      <c r="C2613" s="82"/>
      <c r="E2613" s="84"/>
      <c r="F2613" s="86"/>
      <c r="G2613" s="86"/>
      <c r="H2613" s="88"/>
      <c r="I2613" s="90"/>
      <c r="J2613" s="91"/>
    </row>
    <row r="2614">
      <c r="C2614" s="82"/>
      <c r="E2614" s="84"/>
      <c r="F2614" s="86"/>
      <c r="G2614" s="86"/>
      <c r="H2614" s="88"/>
      <c r="I2614" s="90"/>
      <c r="J2614" s="91"/>
    </row>
    <row r="2615">
      <c r="C2615" s="82"/>
      <c r="E2615" s="84"/>
      <c r="F2615" s="86"/>
      <c r="G2615" s="86"/>
      <c r="H2615" s="88"/>
      <c r="I2615" s="90"/>
      <c r="J2615" s="91"/>
    </row>
    <row r="2616">
      <c r="C2616" s="82"/>
      <c r="E2616" s="84"/>
      <c r="F2616" s="86"/>
      <c r="G2616" s="86"/>
      <c r="H2616" s="88"/>
      <c r="I2616" s="90"/>
      <c r="J2616" s="91"/>
    </row>
    <row r="2617">
      <c r="C2617" s="82"/>
      <c r="E2617" s="84"/>
      <c r="F2617" s="86"/>
      <c r="G2617" s="86"/>
      <c r="H2617" s="88"/>
      <c r="I2617" s="90"/>
      <c r="J2617" s="91"/>
    </row>
    <row r="2618">
      <c r="C2618" s="82"/>
      <c r="E2618" s="84"/>
      <c r="F2618" s="86"/>
      <c r="G2618" s="86"/>
      <c r="H2618" s="88"/>
      <c r="I2618" s="90"/>
      <c r="J2618" s="91"/>
    </row>
    <row r="2619">
      <c r="C2619" s="82"/>
      <c r="E2619" s="84"/>
      <c r="F2619" s="86"/>
      <c r="G2619" s="86"/>
      <c r="H2619" s="88"/>
      <c r="I2619" s="90"/>
      <c r="J2619" s="91"/>
    </row>
    <row r="2620">
      <c r="C2620" s="82"/>
      <c r="E2620" s="84"/>
      <c r="F2620" s="86"/>
      <c r="G2620" s="86"/>
      <c r="H2620" s="88"/>
      <c r="I2620" s="90"/>
      <c r="J2620" s="91"/>
    </row>
    <row r="2621">
      <c r="C2621" s="82"/>
      <c r="E2621" s="84"/>
      <c r="F2621" s="86"/>
      <c r="G2621" s="86"/>
      <c r="H2621" s="88"/>
      <c r="I2621" s="90"/>
      <c r="J2621" s="91"/>
    </row>
    <row r="2622">
      <c r="C2622" s="82"/>
      <c r="E2622" s="84"/>
      <c r="F2622" s="86"/>
      <c r="G2622" s="86"/>
      <c r="H2622" s="88"/>
      <c r="I2622" s="90"/>
      <c r="J2622" s="91"/>
    </row>
    <row r="2623">
      <c r="C2623" s="82"/>
      <c r="E2623" s="84"/>
      <c r="F2623" s="86"/>
      <c r="G2623" s="86"/>
      <c r="H2623" s="88"/>
      <c r="I2623" s="90"/>
      <c r="J2623" s="91"/>
    </row>
    <row r="2624">
      <c r="C2624" s="82"/>
      <c r="E2624" s="84"/>
      <c r="F2624" s="86"/>
      <c r="G2624" s="86"/>
      <c r="H2624" s="88"/>
      <c r="I2624" s="90"/>
      <c r="J2624" s="91"/>
    </row>
    <row r="2625">
      <c r="C2625" s="82"/>
      <c r="E2625" s="84"/>
      <c r="F2625" s="86"/>
      <c r="G2625" s="86"/>
      <c r="H2625" s="88"/>
      <c r="I2625" s="90"/>
      <c r="J2625" s="91"/>
    </row>
    <row r="2626">
      <c r="C2626" s="82"/>
      <c r="E2626" s="84"/>
      <c r="F2626" s="86"/>
      <c r="G2626" s="86"/>
      <c r="H2626" s="88"/>
      <c r="I2626" s="90"/>
      <c r="J2626" s="91"/>
    </row>
    <row r="2627">
      <c r="C2627" s="82"/>
      <c r="E2627" s="84"/>
      <c r="F2627" s="86"/>
      <c r="G2627" s="86"/>
      <c r="H2627" s="88"/>
      <c r="I2627" s="90"/>
      <c r="J2627" s="91"/>
    </row>
    <row r="2628">
      <c r="C2628" s="82"/>
      <c r="E2628" s="84"/>
      <c r="F2628" s="86"/>
      <c r="G2628" s="86"/>
      <c r="H2628" s="88"/>
      <c r="I2628" s="90"/>
      <c r="J2628" s="91"/>
    </row>
    <row r="2629">
      <c r="C2629" s="82"/>
      <c r="E2629" s="84"/>
      <c r="F2629" s="86"/>
      <c r="G2629" s="86"/>
      <c r="H2629" s="88"/>
      <c r="I2629" s="90"/>
      <c r="J2629" s="91"/>
    </row>
    <row r="2630">
      <c r="C2630" s="82"/>
      <c r="E2630" s="84"/>
      <c r="F2630" s="86"/>
      <c r="G2630" s="86"/>
      <c r="H2630" s="88"/>
      <c r="I2630" s="90"/>
      <c r="J2630" s="91"/>
    </row>
    <row r="2631">
      <c r="C2631" s="82"/>
      <c r="E2631" s="84"/>
      <c r="F2631" s="86"/>
      <c r="G2631" s="86"/>
      <c r="H2631" s="88"/>
      <c r="I2631" s="90"/>
      <c r="J2631" s="91"/>
    </row>
    <row r="2632">
      <c r="C2632" s="82"/>
      <c r="E2632" s="84"/>
      <c r="F2632" s="86"/>
      <c r="G2632" s="86"/>
      <c r="H2632" s="88"/>
      <c r="I2632" s="90"/>
      <c r="J2632" s="91"/>
    </row>
    <row r="2633">
      <c r="C2633" s="82"/>
      <c r="E2633" s="84"/>
      <c r="F2633" s="86"/>
      <c r="G2633" s="86"/>
      <c r="H2633" s="88"/>
      <c r="I2633" s="90"/>
      <c r="J2633" s="91"/>
    </row>
    <row r="2634">
      <c r="C2634" s="82"/>
      <c r="E2634" s="84"/>
      <c r="F2634" s="86"/>
      <c r="G2634" s="86"/>
      <c r="H2634" s="88"/>
      <c r="I2634" s="90"/>
      <c r="J2634" s="91"/>
    </row>
    <row r="2635">
      <c r="C2635" s="82"/>
      <c r="E2635" s="84"/>
      <c r="F2635" s="86"/>
      <c r="G2635" s="86"/>
      <c r="H2635" s="88"/>
      <c r="I2635" s="90"/>
      <c r="J2635" s="91"/>
    </row>
    <row r="2636">
      <c r="C2636" s="82"/>
      <c r="E2636" s="84"/>
      <c r="F2636" s="86"/>
      <c r="G2636" s="86"/>
      <c r="H2636" s="88"/>
      <c r="I2636" s="90"/>
      <c r="J2636" s="91"/>
    </row>
    <row r="2637">
      <c r="C2637" s="82"/>
      <c r="E2637" s="84"/>
      <c r="F2637" s="86"/>
      <c r="G2637" s="86"/>
      <c r="H2637" s="88"/>
      <c r="I2637" s="90"/>
      <c r="J2637" s="91"/>
    </row>
    <row r="2638">
      <c r="C2638" s="82"/>
      <c r="E2638" s="84"/>
      <c r="F2638" s="86"/>
      <c r="G2638" s="86"/>
      <c r="H2638" s="88"/>
      <c r="I2638" s="90"/>
      <c r="J2638" s="91"/>
    </row>
    <row r="2639">
      <c r="C2639" s="82"/>
      <c r="E2639" s="84"/>
      <c r="F2639" s="86"/>
      <c r="G2639" s="86"/>
      <c r="H2639" s="88"/>
      <c r="I2639" s="90"/>
      <c r="J2639" s="91"/>
    </row>
    <row r="2640">
      <c r="C2640" s="82"/>
      <c r="E2640" s="84"/>
      <c r="F2640" s="86"/>
      <c r="G2640" s="86"/>
      <c r="H2640" s="88"/>
      <c r="I2640" s="90"/>
      <c r="J2640" s="91"/>
    </row>
    <row r="2641">
      <c r="C2641" s="82"/>
      <c r="E2641" s="84"/>
      <c r="F2641" s="86"/>
      <c r="G2641" s="86"/>
      <c r="H2641" s="88"/>
      <c r="I2641" s="90"/>
      <c r="J2641" s="91"/>
    </row>
    <row r="2642">
      <c r="C2642" s="82"/>
      <c r="E2642" s="84"/>
      <c r="F2642" s="86"/>
      <c r="G2642" s="86"/>
      <c r="H2642" s="88"/>
      <c r="I2642" s="90"/>
      <c r="J2642" s="91"/>
    </row>
    <row r="2643">
      <c r="C2643" s="82"/>
      <c r="E2643" s="84"/>
      <c r="F2643" s="86"/>
      <c r="G2643" s="86"/>
      <c r="H2643" s="88"/>
      <c r="I2643" s="90"/>
      <c r="J2643" s="91"/>
    </row>
    <row r="2644">
      <c r="C2644" s="82"/>
      <c r="E2644" s="84"/>
      <c r="F2644" s="86"/>
      <c r="G2644" s="86"/>
      <c r="H2644" s="88"/>
      <c r="I2644" s="90"/>
      <c r="J2644" s="91"/>
    </row>
    <row r="2645">
      <c r="C2645" s="82"/>
      <c r="E2645" s="84"/>
      <c r="F2645" s="86"/>
      <c r="G2645" s="86"/>
      <c r="H2645" s="88"/>
      <c r="I2645" s="90"/>
      <c r="J2645" s="91"/>
    </row>
    <row r="2646">
      <c r="C2646" s="82"/>
      <c r="E2646" s="84"/>
      <c r="F2646" s="86"/>
      <c r="G2646" s="86"/>
      <c r="H2646" s="88"/>
      <c r="I2646" s="90"/>
      <c r="J2646" s="91"/>
    </row>
    <row r="2647">
      <c r="C2647" s="82"/>
      <c r="E2647" s="84"/>
      <c r="F2647" s="86"/>
      <c r="G2647" s="86"/>
      <c r="H2647" s="88"/>
      <c r="I2647" s="90"/>
      <c r="J2647" s="91"/>
    </row>
    <row r="2648">
      <c r="C2648" s="82"/>
      <c r="E2648" s="84"/>
      <c r="F2648" s="86"/>
      <c r="G2648" s="86"/>
      <c r="H2648" s="88"/>
      <c r="I2648" s="90"/>
      <c r="J2648" s="91"/>
    </row>
    <row r="2649">
      <c r="C2649" s="82"/>
      <c r="E2649" s="84"/>
      <c r="F2649" s="86"/>
      <c r="G2649" s="86"/>
      <c r="H2649" s="88"/>
      <c r="I2649" s="90"/>
      <c r="J2649" s="91"/>
    </row>
    <row r="2650">
      <c r="C2650" s="82"/>
      <c r="E2650" s="84"/>
      <c r="F2650" s="86"/>
      <c r="G2650" s="86"/>
      <c r="H2650" s="88"/>
      <c r="I2650" s="90"/>
      <c r="J2650" s="91"/>
    </row>
    <row r="2651">
      <c r="C2651" s="82"/>
      <c r="E2651" s="84"/>
      <c r="F2651" s="86"/>
      <c r="G2651" s="86"/>
      <c r="H2651" s="88"/>
      <c r="I2651" s="90"/>
      <c r="J2651" s="91"/>
    </row>
    <row r="2652">
      <c r="C2652" s="82"/>
      <c r="E2652" s="84"/>
      <c r="F2652" s="86"/>
      <c r="G2652" s="86"/>
      <c r="H2652" s="88"/>
      <c r="I2652" s="90"/>
      <c r="J2652" s="91"/>
    </row>
    <row r="2653">
      <c r="C2653" s="82"/>
      <c r="E2653" s="84"/>
      <c r="F2653" s="86"/>
      <c r="G2653" s="86"/>
      <c r="H2653" s="88"/>
      <c r="I2653" s="90"/>
      <c r="J2653" s="91"/>
    </row>
    <row r="2654">
      <c r="C2654" s="82"/>
      <c r="E2654" s="84"/>
      <c r="F2654" s="86"/>
      <c r="G2654" s="86"/>
      <c r="H2654" s="88"/>
      <c r="I2654" s="90"/>
      <c r="J2654" s="91"/>
    </row>
    <row r="2655">
      <c r="C2655" s="82"/>
      <c r="E2655" s="84"/>
      <c r="F2655" s="86"/>
      <c r="G2655" s="86"/>
      <c r="H2655" s="88"/>
      <c r="I2655" s="90"/>
      <c r="J2655" s="91"/>
    </row>
    <row r="2656">
      <c r="C2656" s="82"/>
      <c r="E2656" s="84"/>
      <c r="F2656" s="86"/>
      <c r="G2656" s="86"/>
      <c r="H2656" s="88"/>
      <c r="I2656" s="90"/>
      <c r="J2656" s="91"/>
    </row>
    <row r="2657">
      <c r="C2657" s="82"/>
      <c r="E2657" s="84"/>
      <c r="F2657" s="86"/>
      <c r="G2657" s="86"/>
      <c r="H2657" s="88"/>
      <c r="I2657" s="90"/>
      <c r="J2657" s="91"/>
    </row>
    <row r="2658">
      <c r="C2658" s="82"/>
      <c r="E2658" s="84"/>
      <c r="F2658" s="86"/>
      <c r="G2658" s="86"/>
      <c r="H2658" s="88"/>
      <c r="I2658" s="90"/>
      <c r="J2658" s="91"/>
    </row>
    <row r="2659">
      <c r="C2659" s="82"/>
      <c r="E2659" s="84"/>
      <c r="F2659" s="86"/>
      <c r="G2659" s="86"/>
      <c r="H2659" s="88"/>
      <c r="I2659" s="90"/>
      <c r="J2659" s="91"/>
    </row>
    <row r="2660">
      <c r="C2660" s="82"/>
      <c r="E2660" s="84"/>
      <c r="F2660" s="86"/>
      <c r="G2660" s="86"/>
      <c r="H2660" s="88"/>
      <c r="I2660" s="90"/>
      <c r="J2660" s="91"/>
    </row>
    <row r="2661">
      <c r="C2661" s="82"/>
      <c r="E2661" s="84"/>
      <c r="F2661" s="86"/>
      <c r="G2661" s="86"/>
      <c r="H2661" s="88"/>
      <c r="I2661" s="90"/>
      <c r="J2661" s="91"/>
    </row>
    <row r="2662">
      <c r="C2662" s="82"/>
      <c r="E2662" s="84"/>
      <c r="F2662" s="86"/>
      <c r="G2662" s="86"/>
      <c r="H2662" s="88"/>
      <c r="I2662" s="90"/>
      <c r="J2662" s="91"/>
    </row>
    <row r="2663">
      <c r="C2663" s="82"/>
      <c r="E2663" s="84"/>
      <c r="F2663" s="86"/>
      <c r="G2663" s="86"/>
      <c r="H2663" s="88"/>
      <c r="I2663" s="90"/>
      <c r="J2663" s="91"/>
    </row>
    <row r="2664">
      <c r="C2664" s="82"/>
      <c r="E2664" s="84"/>
      <c r="F2664" s="86"/>
      <c r="G2664" s="86"/>
      <c r="H2664" s="88"/>
      <c r="I2664" s="90"/>
      <c r="J2664" s="91"/>
    </row>
    <row r="2665">
      <c r="C2665" s="82"/>
      <c r="E2665" s="84"/>
      <c r="F2665" s="86"/>
      <c r="G2665" s="86"/>
      <c r="H2665" s="88"/>
      <c r="I2665" s="90"/>
      <c r="J2665" s="91"/>
    </row>
    <row r="2666">
      <c r="C2666" s="82"/>
      <c r="E2666" s="84"/>
      <c r="F2666" s="86"/>
      <c r="G2666" s="86"/>
      <c r="H2666" s="88"/>
      <c r="I2666" s="90"/>
      <c r="J2666" s="91"/>
    </row>
    <row r="2667">
      <c r="C2667" s="82"/>
      <c r="E2667" s="84"/>
      <c r="F2667" s="86"/>
      <c r="G2667" s="86"/>
      <c r="H2667" s="88"/>
      <c r="I2667" s="90"/>
      <c r="J2667" s="91"/>
    </row>
    <row r="2668">
      <c r="C2668" s="82"/>
      <c r="E2668" s="84"/>
      <c r="F2668" s="86"/>
      <c r="G2668" s="86"/>
      <c r="H2668" s="88"/>
      <c r="I2668" s="90"/>
      <c r="J2668" s="91"/>
    </row>
    <row r="2669">
      <c r="C2669" s="82"/>
      <c r="E2669" s="84"/>
      <c r="F2669" s="86"/>
      <c r="G2669" s="86"/>
      <c r="H2669" s="88"/>
      <c r="I2669" s="90"/>
      <c r="J2669" s="91"/>
    </row>
    <row r="2670">
      <c r="C2670" s="82"/>
      <c r="E2670" s="84"/>
      <c r="F2670" s="86"/>
      <c r="G2670" s="86"/>
      <c r="H2670" s="88"/>
      <c r="I2670" s="90"/>
      <c r="J2670" s="91"/>
    </row>
    <row r="2671">
      <c r="C2671" s="82"/>
      <c r="E2671" s="84"/>
      <c r="F2671" s="86"/>
      <c r="G2671" s="86"/>
      <c r="H2671" s="88"/>
      <c r="I2671" s="90"/>
      <c r="J2671" s="91"/>
    </row>
    <row r="2672">
      <c r="C2672" s="82"/>
      <c r="E2672" s="84"/>
      <c r="F2672" s="86"/>
      <c r="G2672" s="86"/>
      <c r="H2672" s="88"/>
      <c r="I2672" s="90"/>
      <c r="J2672" s="91"/>
    </row>
    <row r="2673">
      <c r="C2673" s="82"/>
      <c r="E2673" s="84"/>
      <c r="F2673" s="86"/>
      <c r="G2673" s="86"/>
      <c r="H2673" s="88"/>
      <c r="I2673" s="90"/>
      <c r="J2673" s="91"/>
    </row>
    <row r="2674">
      <c r="C2674" s="82"/>
      <c r="E2674" s="84"/>
      <c r="F2674" s="86"/>
      <c r="G2674" s="86"/>
      <c r="H2674" s="88"/>
      <c r="I2674" s="90"/>
      <c r="J2674" s="91"/>
    </row>
    <row r="2675">
      <c r="C2675" s="82"/>
      <c r="E2675" s="84"/>
      <c r="F2675" s="86"/>
      <c r="G2675" s="86"/>
      <c r="H2675" s="88"/>
      <c r="I2675" s="90"/>
      <c r="J2675" s="91"/>
    </row>
    <row r="2676">
      <c r="C2676" s="82"/>
      <c r="E2676" s="84"/>
      <c r="F2676" s="86"/>
      <c r="G2676" s="86"/>
      <c r="H2676" s="88"/>
      <c r="I2676" s="90"/>
      <c r="J2676" s="91"/>
    </row>
    <row r="2677">
      <c r="C2677" s="82"/>
      <c r="E2677" s="84"/>
      <c r="F2677" s="86"/>
      <c r="G2677" s="86"/>
      <c r="H2677" s="88"/>
      <c r="I2677" s="90"/>
      <c r="J2677" s="91"/>
    </row>
    <row r="2678">
      <c r="C2678" s="82"/>
      <c r="E2678" s="84"/>
      <c r="F2678" s="86"/>
      <c r="G2678" s="86"/>
      <c r="H2678" s="88"/>
      <c r="I2678" s="90"/>
      <c r="J2678" s="91"/>
    </row>
    <row r="2679">
      <c r="C2679" s="82"/>
      <c r="E2679" s="84"/>
      <c r="F2679" s="86"/>
      <c r="G2679" s="86"/>
      <c r="H2679" s="88"/>
      <c r="I2679" s="90"/>
      <c r="J2679" s="91"/>
    </row>
    <row r="2680">
      <c r="C2680" s="82"/>
      <c r="E2680" s="84"/>
      <c r="F2680" s="86"/>
      <c r="G2680" s="86"/>
      <c r="H2680" s="88"/>
      <c r="I2680" s="90"/>
      <c r="J2680" s="91"/>
    </row>
    <row r="2681">
      <c r="C2681" s="82"/>
      <c r="E2681" s="84"/>
      <c r="F2681" s="86"/>
      <c r="G2681" s="86"/>
      <c r="H2681" s="88"/>
      <c r="I2681" s="90"/>
      <c r="J2681" s="91"/>
    </row>
    <row r="2682">
      <c r="C2682" s="82"/>
      <c r="E2682" s="84"/>
      <c r="F2682" s="86"/>
      <c r="G2682" s="86"/>
      <c r="H2682" s="88"/>
      <c r="I2682" s="90"/>
      <c r="J2682" s="91"/>
    </row>
    <row r="2683">
      <c r="C2683" s="82"/>
      <c r="E2683" s="84"/>
      <c r="F2683" s="86"/>
      <c r="G2683" s="86"/>
      <c r="H2683" s="88"/>
      <c r="I2683" s="90"/>
      <c r="J2683" s="91"/>
    </row>
    <row r="2684">
      <c r="C2684" s="82"/>
      <c r="E2684" s="84"/>
      <c r="F2684" s="86"/>
      <c r="G2684" s="86"/>
      <c r="H2684" s="88"/>
      <c r="I2684" s="90"/>
      <c r="J2684" s="91"/>
    </row>
    <row r="2685">
      <c r="C2685" s="82"/>
      <c r="E2685" s="84"/>
      <c r="F2685" s="86"/>
      <c r="G2685" s="86"/>
      <c r="H2685" s="88"/>
      <c r="I2685" s="90"/>
      <c r="J2685" s="91"/>
    </row>
    <row r="2686">
      <c r="C2686" s="82"/>
      <c r="E2686" s="84"/>
      <c r="F2686" s="86"/>
      <c r="G2686" s="86"/>
      <c r="H2686" s="88"/>
      <c r="I2686" s="90"/>
      <c r="J2686" s="91"/>
    </row>
    <row r="2687">
      <c r="C2687" s="82"/>
      <c r="E2687" s="84"/>
      <c r="F2687" s="86"/>
      <c r="G2687" s="86"/>
      <c r="H2687" s="88"/>
      <c r="I2687" s="90"/>
      <c r="J2687" s="91"/>
    </row>
    <row r="2688">
      <c r="C2688" s="82"/>
      <c r="E2688" s="84"/>
      <c r="F2688" s="86"/>
      <c r="G2688" s="86"/>
      <c r="H2688" s="88"/>
      <c r="I2688" s="90"/>
      <c r="J2688" s="91"/>
    </row>
    <row r="2689">
      <c r="C2689" s="82"/>
      <c r="E2689" s="84"/>
      <c r="F2689" s="86"/>
      <c r="G2689" s="86"/>
      <c r="H2689" s="88"/>
      <c r="I2689" s="90"/>
      <c r="J2689" s="91"/>
    </row>
    <row r="2690">
      <c r="C2690" s="82"/>
      <c r="E2690" s="84"/>
      <c r="F2690" s="86"/>
      <c r="G2690" s="86"/>
      <c r="H2690" s="88"/>
      <c r="I2690" s="90"/>
      <c r="J2690" s="91"/>
    </row>
    <row r="2691">
      <c r="C2691" s="82"/>
      <c r="E2691" s="84"/>
      <c r="F2691" s="86"/>
      <c r="G2691" s="86"/>
      <c r="H2691" s="88"/>
      <c r="I2691" s="90"/>
      <c r="J2691" s="91"/>
    </row>
    <row r="2692">
      <c r="C2692" s="82"/>
      <c r="E2692" s="84"/>
      <c r="F2692" s="86"/>
      <c r="G2692" s="86"/>
      <c r="H2692" s="88"/>
      <c r="I2692" s="90"/>
      <c r="J2692" s="91"/>
    </row>
    <row r="2693">
      <c r="C2693" s="82"/>
      <c r="E2693" s="84"/>
      <c r="F2693" s="86"/>
      <c r="G2693" s="86"/>
      <c r="H2693" s="88"/>
      <c r="I2693" s="90"/>
      <c r="J2693" s="91"/>
    </row>
    <row r="2694">
      <c r="C2694" s="82"/>
      <c r="E2694" s="84"/>
      <c r="F2694" s="86"/>
      <c r="G2694" s="86"/>
      <c r="H2694" s="88"/>
      <c r="I2694" s="90"/>
      <c r="J2694" s="91"/>
    </row>
    <row r="2695">
      <c r="C2695" s="82"/>
      <c r="E2695" s="84"/>
      <c r="F2695" s="86"/>
      <c r="G2695" s="86"/>
      <c r="H2695" s="88"/>
      <c r="I2695" s="90"/>
      <c r="J2695" s="91"/>
    </row>
    <row r="2696">
      <c r="C2696" s="82"/>
      <c r="E2696" s="84"/>
      <c r="F2696" s="86"/>
      <c r="G2696" s="86"/>
      <c r="H2696" s="88"/>
      <c r="I2696" s="90"/>
      <c r="J2696" s="91"/>
    </row>
    <row r="2697">
      <c r="C2697" s="82"/>
      <c r="E2697" s="84"/>
      <c r="F2697" s="86"/>
      <c r="G2697" s="86"/>
      <c r="H2697" s="88"/>
      <c r="I2697" s="90"/>
      <c r="J2697" s="91"/>
    </row>
    <row r="2698">
      <c r="C2698" s="82"/>
      <c r="E2698" s="84"/>
      <c r="F2698" s="86"/>
      <c r="G2698" s="86"/>
      <c r="H2698" s="88"/>
      <c r="I2698" s="90"/>
      <c r="J2698" s="91"/>
    </row>
    <row r="2699">
      <c r="C2699" s="82"/>
      <c r="E2699" s="84"/>
      <c r="F2699" s="86"/>
      <c r="G2699" s="86"/>
      <c r="H2699" s="88"/>
      <c r="I2699" s="90"/>
      <c r="J2699" s="91"/>
    </row>
    <row r="2700">
      <c r="C2700" s="82"/>
      <c r="E2700" s="84"/>
      <c r="F2700" s="86"/>
      <c r="G2700" s="86"/>
      <c r="H2700" s="88"/>
      <c r="I2700" s="90"/>
      <c r="J2700" s="91"/>
    </row>
    <row r="2701">
      <c r="C2701" s="82"/>
      <c r="E2701" s="84"/>
      <c r="F2701" s="86"/>
      <c r="G2701" s="86"/>
      <c r="H2701" s="88"/>
      <c r="I2701" s="90"/>
      <c r="J2701" s="91"/>
    </row>
    <row r="2702">
      <c r="C2702" s="82"/>
      <c r="E2702" s="84"/>
      <c r="F2702" s="86"/>
      <c r="G2702" s="86"/>
      <c r="H2702" s="88"/>
      <c r="I2702" s="90"/>
      <c r="J2702" s="91"/>
    </row>
    <row r="2703">
      <c r="C2703" s="82"/>
      <c r="E2703" s="84"/>
      <c r="F2703" s="86"/>
      <c r="G2703" s="86"/>
      <c r="H2703" s="88"/>
      <c r="I2703" s="90"/>
      <c r="J2703" s="91"/>
    </row>
    <row r="2704">
      <c r="C2704" s="82"/>
      <c r="E2704" s="84"/>
      <c r="F2704" s="86"/>
      <c r="G2704" s="86"/>
      <c r="H2704" s="88"/>
      <c r="I2704" s="90"/>
      <c r="J2704" s="91"/>
    </row>
    <row r="2705">
      <c r="C2705" s="82"/>
      <c r="E2705" s="84"/>
      <c r="F2705" s="86"/>
      <c r="G2705" s="86"/>
      <c r="H2705" s="88"/>
      <c r="I2705" s="90"/>
      <c r="J2705" s="91"/>
    </row>
    <row r="2706">
      <c r="C2706" s="82"/>
      <c r="E2706" s="84"/>
      <c r="F2706" s="86"/>
      <c r="G2706" s="86"/>
      <c r="H2706" s="88"/>
      <c r="I2706" s="90"/>
      <c r="J2706" s="91"/>
    </row>
    <row r="2707">
      <c r="C2707" s="82"/>
      <c r="E2707" s="84"/>
      <c r="F2707" s="86"/>
      <c r="G2707" s="86"/>
      <c r="H2707" s="88"/>
      <c r="I2707" s="90"/>
      <c r="J2707" s="91"/>
    </row>
    <row r="2708">
      <c r="C2708" s="82"/>
      <c r="E2708" s="84"/>
      <c r="F2708" s="86"/>
      <c r="G2708" s="86"/>
      <c r="H2708" s="88"/>
      <c r="I2708" s="90"/>
      <c r="J2708" s="91"/>
    </row>
    <row r="2709">
      <c r="C2709" s="82"/>
      <c r="E2709" s="84"/>
      <c r="F2709" s="86"/>
      <c r="G2709" s="86"/>
      <c r="H2709" s="88"/>
      <c r="I2709" s="90"/>
      <c r="J2709" s="91"/>
    </row>
    <row r="2710">
      <c r="C2710" s="82"/>
      <c r="E2710" s="84"/>
      <c r="F2710" s="86"/>
      <c r="G2710" s="86"/>
      <c r="H2710" s="88"/>
      <c r="I2710" s="90"/>
      <c r="J2710" s="91"/>
    </row>
    <row r="2711">
      <c r="C2711" s="82"/>
      <c r="E2711" s="84"/>
      <c r="F2711" s="86"/>
      <c r="G2711" s="86"/>
      <c r="H2711" s="88"/>
      <c r="I2711" s="90"/>
      <c r="J2711" s="91"/>
    </row>
    <row r="2712">
      <c r="C2712" s="82"/>
      <c r="E2712" s="84"/>
      <c r="F2712" s="86"/>
      <c r="G2712" s="86"/>
      <c r="H2712" s="88"/>
      <c r="I2712" s="90"/>
      <c r="J2712" s="91"/>
    </row>
    <row r="2713">
      <c r="C2713" s="82"/>
      <c r="E2713" s="84"/>
      <c r="F2713" s="86"/>
      <c r="G2713" s="86"/>
      <c r="H2713" s="88"/>
      <c r="I2713" s="90"/>
      <c r="J2713" s="91"/>
    </row>
    <row r="2714">
      <c r="C2714" s="82"/>
      <c r="E2714" s="84"/>
      <c r="F2714" s="86"/>
      <c r="G2714" s="86"/>
      <c r="H2714" s="88"/>
      <c r="I2714" s="90"/>
      <c r="J2714" s="91"/>
    </row>
    <row r="2715">
      <c r="C2715" s="82"/>
      <c r="E2715" s="84"/>
      <c r="F2715" s="86"/>
      <c r="G2715" s="86"/>
      <c r="H2715" s="88"/>
      <c r="I2715" s="90"/>
      <c r="J2715" s="91"/>
    </row>
    <row r="2716">
      <c r="C2716" s="82"/>
      <c r="E2716" s="84"/>
      <c r="F2716" s="86"/>
      <c r="G2716" s="86"/>
      <c r="H2716" s="88"/>
      <c r="I2716" s="90"/>
      <c r="J2716" s="91"/>
    </row>
    <row r="2717">
      <c r="C2717" s="82"/>
      <c r="E2717" s="84"/>
      <c r="F2717" s="86"/>
      <c r="G2717" s="86"/>
      <c r="H2717" s="88"/>
      <c r="I2717" s="90"/>
      <c r="J2717" s="91"/>
    </row>
    <row r="2718">
      <c r="C2718" s="82"/>
      <c r="E2718" s="84"/>
      <c r="F2718" s="86"/>
      <c r="G2718" s="86"/>
      <c r="H2718" s="88"/>
      <c r="I2718" s="90"/>
      <c r="J2718" s="91"/>
    </row>
    <row r="2719">
      <c r="C2719" s="82"/>
      <c r="E2719" s="84"/>
      <c r="F2719" s="86"/>
      <c r="G2719" s="86"/>
      <c r="H2719" s="88"/>
      <c r="I2719" s="90"/>
      <c r="J2719" s="91"/>
    </row>
    <row r="2720">
      <c r="C2720" s="82"/>
      <c r="E2720" s="84"/>
      <c r="F2720" s="86"/>
      <c r="G2720" s="86"/>
      <c r="H2720" s="88"/>
      <c r="I2720" s="90"/>
      <c r="J2720" s="91"/>
    </row>
    <row r="2721">
      <c r="C2721" s="82"/>
      <c r="E2721" s="84"/>
      <c r="F2721" s="86"/>
      <c r="G2721" s="86"/>
      <c r="H2721" s="88"/>
      <c r="I2721" s="90"/>
      <c r="J2721" s="91"/>
    </row>
    <row r="2722">
      <c r="C2722" s="82"/>
      <c r="E2722" s="84"/>
      <c r="F2722" s="86"/>
      <c r="G2722" s="86"/>
      <c r="H2722" s="88"/>
      <c r="I2722" s="90"/>
      <c r="J2722" s="91"/>
    </row>
    <row r="2723">
      <c r="C2723" s="82"/>
      <c r="E2723" s="84"/>
      <c r="F2723" s="86"/>
      <c r="G2723" s="86"/>
      <c r="H2723" s="88"/>
      <c r="I2723" s="90"/>
      <c r="J2723" s="91"/>
    </row>
    <row r="2724">
      <c r="C2724" s="82"/>
      <c r="E2724" s="84"/>
      <c r="F2724" s="86"/>
      <c r="G2724" s="86"/>
      <c r="H2724" s="88"/>
      <c r="I2724" s="90"/>
      <c r="J2724" s="91"/>
    </row>
    <row r="2725">
      <c r="C2725" s="82"/>
      <c r="E2725" s="84"/>
      <c r="F2725" s="86"/>
      <c r="G2725" s="86"/>
      <c r="H2725" s="88"/>
      <c r="I2725" s="90"/>
      <c r="J2725" s="91"/>
    </row>
    <row r="2726">
      <c r="C2726" s="82"/>
      <c r="E2726" s="84"/>
      <c r="F2726" s="86"/>
      <c r="G2726" s="86"/>
      <c r="H2726" s="88"/>
      <c r="I2726" s="90"/>
      <c r="J2726" s="91"/>
    </row>
    <row r="2727">
      <c r="C2727" s="82"/>
      <c r="E2727" s="84"/>
      <c r="F2727" s="86"/>
      <c r="G2727" s="86"/>
      <c r="H2727" s="88"/>
      <c r="I2727" s="90"/>
      <c r="J2727" s="91"/>
    </row>
    <row r="2728">
      <c r="C2728" s="82"/>
      <c r="E2728" s="84"/>
      <c r="F2728" s="86"/>
      <c r="G2728" s="86"/>
      <c r="H2728" s="88"/>
      <c r="I2728" s="90"/>
      <c r="J2728" s="91"/>
    </row>
    <row r="2729">
      <c r="C2729" s="82"/>
      <c r="E2729" s="84"/>
      <c r="F2729" s="86"/>
      <c r="G2729" s="86"/>
      <c r="H2729" s="88"/>
      <c r="I2729" s="90"/>
      <c r="J2729" s="91"/>
    </row>
    <row r="2730">
      <c r="C2730" s="82"/>
      <c r="E2730" s="84"/>
      <c r="F2730" s="86"/>
      <c r="G2730" s="86"/>
      <c r="H2730" s="88"/>
      <c r="I2730" s="90"/>
      <c r="J2730" s="91"/>
    </row>
    <row r="2731">
      <c r="C2731" s="82"/>
      <c r="E2731" s="84"/>
      <c r="F2731" s="86"/>
      <c r="G2731" s="86"/>
      <c r="H2731" s="88"/>
      <c r="I2731" s="90"/>
      <c r="J2731" s="91"/>
    </row>
    <row r="2732">
      <c r="C2732" s="82"/>
      <c r="E2732" s="84"/>
      <c r="F2732" s="86"/>
      <c r="G2732" s="86"/>
      <c r="H2732" s="88"/>
      <c r="I2732" s="90"/>
      <c r="J2732" s="91"/>
    </row>
    <row r="2733">
      <c r="C2733" s="82"/>
      <c r="E2733" s="84"/>
      <c r="F2733" s="86"/>
      <c r="G2733" s="86"/>
      <c r="H2733" s="88"/>
      <c r="I2733" s="90"/>
      <c r="J2733" s="91"/>
    </row>
    <row r="2734">
      <c r="C2734" s="82"/>
      <c r="E2734" s="84"/>
      <c r="F2734" s="86"/>
      <c r="G2734" s="86"/>
      <c r="H2734" s="88"/>
      <c r="I2734" s="90"/>
      <c r="J2734" s="91"/>
    </row>
    <row r="2735">
      <c r="C2735" s="82"/>
      <c r="E2735" s="84"/>
      <c r="F2735" s="86"/>
      <c r="G2735" s="86"/>
      <c r="H2735" s="88"/>
      <c r="I2735" s="90"/>
      <c r="J2735" s="91"/>
    </row>
    <row r="2736">
      <c r="C2736" s="82"/>
      <c r="E2736" s="84"/>
      <c r="F2736" s="86"/>
      <c r="G2736" s="86"/>
      <c r="H2736" s="88"/>
      <c r="I2736" s="90"/>
      <c r="J2736" s="91"/>
    </row>
    <row r="2737">
      <c r="C2737" s="82"/>
      <c r="E2737" s="84"/>
      <c r="F2737" s="86"/>
      <c r="G2737" s="86"/>
      <c r="H2737" s="88"/>
      <c r="I2737" s="90"/>
      <c r="J2737" s="91"/>
    </row>
    <row r="2738">
      <c r="C2738" s="82"/>
      <c r="E2738" s="84"/>
      <c r="F2738" s="86"/>
      <c r="G2738" s="86"/>
      <c r="H2738" s="88"/>
      <c r="I2738" s="90"/>
      <c r="J2738" s="91"/>
    </row>
    <row r="2739">
      <c r="C2739" s="82"/>
      <c r="E2739" s="84"/>
      <c r="F2739" s="86"/>
      <c r="G2739" s="86"/>
      <c r="H2739" s="88"/>
      <c r="I2739" s="90"/>
      <c r="J2739" s="91"/>
    </row>
    <row r="2740">
      <c r="C2740" s="82"/>
      <c r="E2740" s="84"/>
      <c r="F2740" s="86"/>
      <c r="G2740" s="86"/>
      <c r="H2740" s="88"/>
      <c r="I2740" s="90"/>
      <c r="J2740" s="91"/>
    </row>
    <row r="2741">
      <c r="C2741" s="82"/>
      <c r="E2741" s="84"/>
      <c r="F2741" s="86"/>
      <c r="G2741" s="86"/>
      <c r="H2741" s="88"/>
      <c r="I2741" s="90"/>
      <c r="J2741" s="91"/>
    </row>
    <row r="2742">
      <c r="C2742" s="82"/>
      <c r="E2742" s="84"/>
      <c r="F2742" s="86"/>
      <c r="G2742" s="86"/>
      <c r="H2742" s="88"/>
      <c r="I2742" s="90"/>
      <c r="J2742" s="91"/>
    </row>
    <row r="2743">
      <c r="C2743" s="82"/>
      <c r="E2743" s="84"/>
      <c r="F2743" s="86"/>
      <c r="G2743" s="86"/>
      <c r="H2743" s="88"/>
      <c r="I2743" s="90"/>
      <c r="J2743" s="91"/>
    </row>
    <row r="2744">
      <c r="C2744" s="82"/>
      <c r="E2744" s="84"/>
      <c r="F2744" s="86"/>
      <c r="G2744" s="86"/>
      <c r="H2744" s="88"/>
      <c r="I2744" s="90"/>
      <c r="J2744" s="91"/>
    </row>
    <row r="2745">
      <c r="C2745" s="82"/>
      <c r="E2745" s="84"/>
      <c r="F2745" s="86"/>
      <c r="G2745" s="86"/>
      <c r="H2745" s="88"/>
      <c r="I2745" s="90"/>
      <c r="J2745" s="91"/>
    </row>
    <row r="2746">
      <c r="C2746" s="82"/>
      <c r="E2746" s="84"/>
      <c r="F2746" s="86"/>
      <c r="G2746" s="86"/>
      <c r="H2746" s="88"/>
      <c r="I2746" s="90"/>
      <c r="J2746" s="91"/>
    </row>
    <row r="2747">
      <c r="C2747" s="82"/>
      <c r="E2747" s="84"/>
      <c r="F2747" s="86"/>
      <c r="G2747" s="86"/>
      <c r="H2747" s="88"/>
      <c r="I2747" s="90"/>
      <c r="J2747" s="91"/>
    </row>
    <row r="2748">
      <c r="C2748" s="82"/>
      <c r="E2748" s="84"/>
      <c r="F2748" s="86"/>
      <c r="G2748" s="86"/>
      <c r="H2748" s="88"/>
      <c r="I2748" s="90"/>
      <c r="J2748" s="91"/>
    </row>
    <row r="2749">
      <c r="C2749" s="82"/>
      <c r="E2749" s="84"/>
      <c r="F2749" s="86"/>
      <c r="G2749" s="86"/>
      <c r="H2749" s="88"/>
      <c r="I2749" s="90"/>
      <c r="J2749" s="91"/>
    </row>
    <row r="2750">
      <c r="C2750" s="82"/>
      <c r="E2750" s="84"/>
      <c r="F2750" s="86"/>
      <c r="G2750" s="86"/>
      <c r="H2750" s="88"/>
      <c r="I2750" s="90"/>
      <c r="J2750" s="91"/>
    </row>
    <row r="2751">
      <c r="C2751" s="82"/>
      <c r="E2751" s="84"/>
      <c r="F2751" s="86"/>
      <c r="G2751" s="86"/>
      <c r="H2751" s="88"/>
      <c r="I2751" s="90"/>
      <c r="J2751" s="91"/>
    </row>
    <row r="2752">
      <c r="C2752" s="82"/>
      <c r="E2752" s="84"/>
      <c r="F2752" s="86"/>
      <c r="G2752" s="86"/>
      <c r="H2752" s="88"/>
      <c r="I2752" s="90"/>
      <c r="J2752" s="91"/>
    </row>
    <row r="2753">
      <c r="C2753" s="82"/>
      <c r="E2753" s="84"/>
      <c r="F2753" s="86"/>
      <c r="G2753" s="86"/>
      <c r="H2753" s="88"/>
      <c r="I2753" s="90"/>
      <c r="J2753" s="91"/>
    </row>
    <row r="2754">
      <c r="C2754" s="82"/>
      <c r="E2754" s="84"/>
      <c r="F2754" s="86"/>
      <c r="G2754" s="86"/>
      <c r="H2754" s="88"/>
      <c r="I2754" s="90"/>
      <c r="J2754" s="91"/>
    </row>
    <row r="2755">
      <c r="C2755" s="82"/>
      <c r="E2755" s="84"/>
      <c r="F2755" s="86"/>
      <c r="G2755" s="86"/>
      <c r="H2755" s="88"/>
      <c r="I2755" s="90"/>
      <c r="J2755" s="91"/>
    </row>
    <row r="2756">
      <c r="C2756" s="82"/>
      <c r="E2756" s="84"/>
      <c r="F2756" s="86"/>
      <c r="G2756" s="86"/>
      <c r="H2756" s="88"/>
      <c r="I2756" s="90"/>
      <c r="J2756" s="91"/>
    </row>
    <row r="2757">
      <c r="C2757" s="82"/>
      <c r="E2757" s="84"/>
      <c r="F2757" s="86"/>
      <c r="G2757" s="86"/>
      <c r="H2757" s="88"/>
      <c r="I2757" s="90"/>
      <c r="J2757" s="91"/>
    </row>
    <row r="2758">
      <c r="C2758" s="82"/>
      <c r="E2758" s="84"/>
      <c r="F2758" s="86"/>
      <c r="G2758" s="86"/>
      <c r="H2758" s="88"/>
      <c r="I2758" s="90"/>
      <c r="J2758" s="91"/>
    </row>
    <row r="2759">
      <c r="C2759" s="82"/>
      <c r="E2759" s="84"/>
      <c r="F2759" s="86"/>
      <c r="G2759" s="86"/>
      <c r="H2759" s="88"/>
      <c r="I2759" s="90"/>
      <c r="J2759" s="91"/>
    </row>
    <row r="2760">
      <c r="C2760" s="82"/>
      <c r="E2760" s="84"/>
      <c r="F2760" s="86"/>
      <c r="G2760" s="86"/>
      <c r="H2760" s="88"/>
      <c r="I2760" s="90"/>
      <c r="J2760" s="91"/>
    </row>
    <row r="2761">
      <c r="C2761" s="82"/>
      <c r="E2761" s="84"/>
      <c r="F2761" s="86"/>
      <c r="G2761" s="86"/>
      <c r="H2761" s="88"/>
      <c r="I2761" s="90"/>
      <c r="J2761" s="91"/>
    </row>
    <row r="2762">
      <c r="C2762" s="82"/>
      <c r="E2762" s="84"/>
      <c r="F2762" s="86"/>
      <c r="G2762" s="86"/>
      <c r="H2762" s="88"/>
      <c r="I2762" s="90"/>
      <c r="J2762" s="91"/>
    </row>
    <row r="2763">
      <c r="C2763" s="82"/>
      <c r="E2763" s="84"/>
      <c r="F2763" s="86"/>
      <c r="G2763" s="86"/>
      <c r="H2763" s="88"/>
      <c r="I2763" s="90"/>
      <c r="J2763" s="91"/>
    </row>
    <row r="2764">
      <c r="C2764" s="82"/>
      <c r="E2764" s="84"/>
      <c r="F2764" s="86"/>
      <c r="G2764" s="86"/>
      <c r="H2764" s="88"/>
      <c r="I2764" s="90"/>
      <c r="J2764" s="91"/>
    </row>
    <row r="2765">
      <c r="C2765" s="82"/>
      <c r="E2765" s="84"/>
      <c r="F2765" s="86"/>
      <c r="G2765" s="86"/>
      <c r="H2765" s="88"/>
      <c r="I2765" s="90"/>
      <c r="J2765" s="91"/>
    </row>
    <row r="2766">
      <c r="C2766" s="82"/>
      <c r="E2766" s="84"/>
      <c r="F2766" s="86"/>
      <c r="G2766" s="86"/>
      <c r="H2766" s="88"/>
      <c r="I2766" s="90"/>
      <c r="J2766" s="91"/>
    </row>
    <row r="2767">
      <c r="C2767" s="82"/>
      <c r="E2767" s="84"/>
      <c r="F2767" s="86"/>
      <c r="G2767" s="86"/>
      <c r="H2767" s="88"/>
      <c r="I2767" s="90"/>
      <c r="J2767" s="91"/>
    </row>
    <row r="2768">
      <c r="C2768" s="82"/>
      <c r="E2768" s="84"/>
      <c r="F2768" s="86"/>
      <c r="G2768" s="86"/>
      <c r="H2768" s="88"/>
      <c r="I2768" s="90"/>
      <c r="J2768" s="91"/>
    </row>
    <row r="2769">
      <c r="C2769" s="82"/>
      <c r="E2769" s="84"/>
      <c r="F2769" s="86"/>
      <c r="G2769" s="86"/>
      <c r="H2769" s="88"/>
      <c r="I2769" s="90"/>
      <c r="J2769" s="91"/>
    </row>
    <row r="2770">
      <c r="C2770" s="82"/>
      <c r="E2770" s="84"/>
      <c r="F2770" s="86"/>
      <c r="G2770" s="86"/>
      <c r="H2770" s="88"/>
      <c r="I2770" s="90"/>
      <c r="J2770" s="91"/>
    </row>
    <row r="2771">
      <c r="C2771" s="82"/>
      <c r="E2771" s="84"/>
      <c r="F2771" s="86"/>
      <c r="G2771" s="86"/>
      <c r="H2771" s="88"/>
      <c r="I2771" s="90"/>
      <c r="J2771" s="91"/>
    </row>
    <row r="2772">
      <c r="C2772" s="82"/>
      <c r="E2772" s="84"/>
      <c r="F2772" s="86"/>
      <c r="G2772" s="86"/>
      <c r="H2772" s="88"/>
      <c r="I2772" s="90"/>
      <c r="J2772" s="91"/>
    </row>
    <row r="2773">
      <c r="C2773" s="82"/>
      <c r="E2773" s="84"/>
      <c r="F2773" s="86"/>
      <c r="G2773" s="86"/>
      <c r="H2773" s="88"/>
      <c r="I2773" s="90"/>
      <c r="J2773" s="91"/>
    </row>
    <row r="2774">
      <c r="C2774" s="82"/>
      <c r="E2774" s="84"/>
      <c r="F2774" s="86"/>
      <c r="G2774" s="86"/>
      <c r="H2774" s="88"/>
      <c r="I2774" s="90"/>
      <c r="J2774" s="91"/>
    </row>
    <row r="2775">
      <c r="C2775" s="82"/>
      <c r="E2775" s="84"/>
      <c r="F2775" s="86"/>
      <c r="G2775" s="86"/>
      <c r="H2775" s="88"/>
      <c r="I2775" s="90"/>
      <c r="J2775" s="91"/>
    </row>
    <row r="2776">
      <c r="C2776" s="82"/>
      <c r="E2776" s="84"/>
      <c r="F2776" s="86"/>
      <c r="G2776" s="86"/>
      <c r="H2776" s="88"/>
      <c r="I2776" s="90"/>
      <c r="J2776" s="91"/>
    </row>
    <row r="2777">
      <c r="C2777" s="82"/>
      <c r="E2777" s="84"/>
      <c r="F2777" s="86"/>
      <c r="G2777" s="86"/>
      <c r="H2777" s="88"/>
      <c r="I2777" s="90"/>
      <c r="J2777" s="91"/>
    </row>
    <row r="2778">
      <c r="C2778" s="82"/>
      <c r="E2778" s="84"/>
      <c r="F2778" s="86"/>
      <c r="G2778" s="86"/>
      <c r="H2778" s="88"/>
      <c r="I2778" s="90"/>
      <c r="J2778" s="91"/>
    </row>
    <row r="2779">
      <c r="C2779" s="82"/>
      <c r="E2779" s="84"/>
      <c r="F2779" s="86"/>
      <c r="G2779" s="86"/>
      <c r="H2779" s="88"/>
      <c r="I2779" s="90"/>
      <c r="J2779" s="91"/>
    </row>
    <row r="2780">
      <c r="C2780" s="82"/>
      <c r="E2780" s="84"/>
      <c r="F2780" s="86"/>
      <c r="G2780" s="86"/>
      <c r="H2780" s="88"/>
      <c r="I2780" s="90"/>
      <c r="J2780" s="91"/>
    </row>
    <row r="2781">
      <c r="C2781" s="82"/>
      <c r="E2781" s="84"/>
      <c r="F2781" s="86"/>
      <c r="G2781" s="86"/>
      <c r="H2781" s="88"/>
      <c r="I2781" s="90"/>
      <c r="J2781" s="91"/>
    </row>
    <row r="2782">
      <c r="C2782" s="82"/>
      <c r="E2782" s="84"/>
      <c r="F2782" s="86"/>
      <c r="G2782" s="86"/>
      <c r="H2782" s="88"/>
      <c r="I2782" s="90"/>
      <c r="J2782" s="91"/>
    </row>
    <row r="2783">
      <c r="C2783" s="82"/>
      <c r="E2783" s="84"/>
      <c r="F2783" s="86"/>
      <c r="G2783" s="86"/>
      <c r="H2783" s="88"/>
      <c r="I2783" s="90"/>
      <c r="J2783" s="91"/>
    </row>
    <row r="2784">
      <c r="C2784" s="82"/>
      <c r="E2784" s="84"/>
      <c r="F2784" s="86"/>
      <c r="G2784" s="86"/>
      <c r="H2784" s="88"/>
      <c r="I2784" s="90"/>
      <c r="J2784" s="91"/>
    </row>
    <row r="2785">
      <c r="C2785" s="82"/>
      <c r="E2785" s="84"/>
      <c r="F2785" s="86"/>
      <c r="G2785" s="86"/>
      <c r="H2785" s="88"/>
      <c r="I2785" s="90"/>
      <c r="J2785" s="91"/>
    </row>
    <row r="2786">
      <c r="C2786" s="82"/>
      <c r="E2786" s="84"/>
      <c r="F2786" s="86"/>
      <c r="G2786" s="86"/>
      <c r="H2786" s="88"/>
      <c r="I2786" s="90"/>
      <c r="J2786" s="91"/>
    </row>
    <row r="2787">
      <c r="C2787" s="82"/>
      <c r="E2787" s="84"/>
      <c r="F2787" s="86"/>
      <c r="G2787" s="86"/>
      <c r="H2787" s="88"/>
      <c r="I2787" s="90"/>
      <c r="J2787" s="91"/>
    </row>
    <row r="2788">
      <c r="C2788" s="82"/>
      <c r="E2788" s="84"/>
      <c r="F2788" s="86"/>
      <c r="G2788" s="86"/>
      <c r="H2788" s="88"/>
      <c r="I2788" s="90"/>
      <c r="J2788" s="91"/>
    </row>
    <row r="2789">
      <c r="C2789" s="82"/>
      <c r="E2789" s="84"/>
      <c r="F2789" s="86"/>
      <c r="G2789" s="86"/>
      <c r="H2789" s="88"/>
      <c r="I2789" s="90"/>
      <c r="J2789" s="91"/>
    </row>
    <row r="2790">
      <c r="C2790" s="82"/>
      <c r="E2790" s="84"/>
      <c r="F2790" s="86"/>
      <c r="G2790" s="86"/>
      <c r="H2790" s="88"/>
      <c r="I2790" s="90"/>
      <c r="J2790" s="91"/>
    </row>
    <row r="2791">
      <c r="C2791" s="82"/>
      <c r="E2791" s="84"/>
      <c r="F2791" s="86"/>
      <c r="G2791" s="86"/>
      <c r="H2791" s="88"/>
      <c r="I2791" s="90"/>
      <c r="J2791" s="91"/>
    </row>
    <row r="2792">
      <c r="C2792" s="82"/>
      <c r="E2792" s="84"/>
      <c r="F2792" s="86"/>
      <c r="G2792" s="86"/>
      <c r="H2792" s="88"/>
      <c r="I2792" s="90"/>
      <c r="J2792" s="91"/>
    </row>
    <row r="2793">
      <c r="C2793" s="82"/>
      <c r="E2793" s="84"/>
      <c r="F2793" s="86"/>
      <c r="G2793" s="86"/>
      <c r="H2793" s="88"/>
      <c r="I2793" s="90"/>
      <c r="J2793" s="91"/>
    </row>
    <row r="2794">
      <c r="C2794" s="82"/>
      <c r="E2794" s="84"/>
      <c r="F2794" s="86"/>
      <c r="G2794" s="86"/>
      <c r="H2794" s="88"/>
      <c r="I2794" s="90"/>
      <c r="J2794" s="91"/>
    </row>
    <row r="2795">
      <c r="C2795" s="82"/>
      <c r="E2795" s="84"/>
      <c r="F2795" s="86"/>
      <c r="G2795" s="86"/>
      <c r="H2795" s="88"/>
      <c r="I2795" s="90"/>
      <c r="J2795" s="91"/>
    </row>
    <row r="2796">
      <c r="C2796" s="82"/>
      <c r="E2796" s="84"/>
      <c r="F2796" s="86"/>
      <c r="G2796" s="86"/>
      <c r="H2796" s="88"/>
      <c r="I2796" s="90"/>
      <c r="J2796" s="91"/>
    </row>
    <row r="2797">
      <c r="C2797" s="82"/>
      <c r="E2797" s="84"/>
      <c r="F2797" s="86"/>
      <c r="G2797" s="86"/>
      <c r="H2797" s="88"/>
      <c r="I2797" s="90"/>
      <c r="J2797" s="91"/>
    </row>
    <row r="2798">
      <c r="C2798" s="82"/>
      <c r="E2798" s="84"/>
      <c r="F2798" s="86"/>
      <c r="G2798" s="86"/>
      <c r="H2798" s="88"/>
      <c r="I2798" s="90"/>
      <c r="J2798" s="91"/>
    </row>
    <row r="2799">
      <c r="C2799" s="82"/>
      <c r="E2799" s="84"/>
      <c r="F2799" s="86"/>
      <c r="G2799" s="86"/>
      <c r="H2799" s="88"/>
      <c r="I2799" s="90"/>
      <c r="J2799" s="91"/>
    </row>
    <row r="2800">
      <c r="C2800" s="82"/>
      <c r="E2800" s="84"/>
      <c r="F2800" s="86"/>
      <c r="G2800" s="86"/>
      <c r="H2800" s="88"/>
      <c r="I2800" s="90"/>
      <c r="J2800" s="91"/>
    </row>
    <row r="2801">
      <c r="C2801" s="82"/>
      <c r="E2801" s="84"/>
      <c r="F2801" s="86"/>
      <c r="G2801" s="86"/>
      <c r="H2801" s="88"/>
      <c r="I2801" s="90"/>
      <c r="J2801" s="91"/>
    </row>
    <row r="2802">
      <c r="C2802" s="82"/>
      <c r="E2802" s="84"/>
      <c r="F2802" s="86"/>
      <c r="G2802" s="86"/>
      <c r="H2802" s="88"/>
      <c r="I2802" s="90"/>
      <c r="J2802" s="91"/>
    </row>
    <row r="2803">
      <c r="C2803" s="82"/>
      <c r="E2803" s="84"/>
      <c r="F2803" s="86"/>
      <c r="G2803" s="86"/>
      <c r="H2803" s="88"/>
      <c r="I2803" s="90"/>
      <c r="J2803" s="91"/>
    </row>
    <row r="2804">
      <c r="C2804" s="82"/>
      <c r="E2804" s="84"/>
      <c r="F2804" s="86"/>
      <c r="G2804" s="86"/>
      <c r="H2804" s="88"/>
      <c r="I2804" s="90"/>
      <c r="J2804" s="91"/>
    </row>
    <row r="2805">
      <c r="C2805" s="82"/>
      <c r="E2805" s="84"/>
      <c r="F2805" s="86"/>
      <c r="G2805" s="86"/>
      <c r="H2805" s="88"/>
      <c r="I2805" s="90"/>
      <c r="J2805" s="91"/>
    </row>
    <row r="2806">
      <c r="C2806" s="82"/>
      <c r="E2806" s="84"/>
      <c r="F2806" s="86"/>
      <c r="G2806" s="86"/>
      <c r="H2806" s="88"/>
      <c r="I2806" s="90"/>
      <c r="J2806" s="91"/>
    </row>
    <row r="2807">
      <c r="C2807" s="82"/>
      <c r="E2807" s="84"/>
      <c r="F2807" s="86"/>
      <c r="G2807" s="86"/>
      <c r="H2807" s="88"/>
      <c r="I2807" s="90"/>
      <c r="J2807" s="91"/>
    </row>
    <row r="2808">
      <c r="C2808" s="82"/>
      <c r="E2808" s="84"/>
      <c r="F2808" s="86"/>
      <c r="G2808" s="86"/>
      <c r="H2808" s="88"/>
      <c r="I2808" s="90"/>
      <c r="J2808" s="91"/>
    </row>
    <row r="2809">
      <c r="C2809" s="82"/>
      <c r="E2809" s="84"/>
      <c r="F2809" s="86"/>
      <c r="G2809" s="86"/>
      <c r="H2809" s="88"/>
      <c r="I2809" s="90"/>
      <c r="J2809" s="91"/>
    </row>
    <row r="2810">
      <c r="C2810" s="82"/>
      <c r="E2810" s="84"/>
      <c r="F2810" s="86"/>
      <c r="G2810" s="86"/>
      <c r="H2810" s="88"/>
      <c r="I2810" s="90"/>
      <c r="J2810" s="91"/>
    </row>
    <row r="2811">
      <c r="C2811" s="82"/>
      <c r="E2811" s="84"/>
      <c r="F2811" s="86"/>
      <c r="G2811" s="86"/>
      <c r="H2811" s="88"/>
      <c r="I2811" s="90"/>
      <c r="J2811" s="91"/>
    </row>
    <row r="2812">
      <c r="C2812" s="82"/>
      <c r="E2812" s="84"/>
      <c r="F2812" s="86"/>
      <c r="G2812" s="86"/>
      <c r="H2812" s="88"/>
      <c r="I2812" s="90"/>
      <c r="J2812" s="91"/>
    </row>
    <row r="2813">
      <c r="C2813" s="82"/>
      <c r="E2813" s="84"/>
      <c r="F2813" s="86"/>
      <c r="G2813" s="86"/>
      <c r="H2813" s="88"/>
      <c r="I2813" s="90"/>
      <c r="J2813" s="91"/>
    </row>
    <row r="2814">
      <c r="C2814" s="82"/>
      <c r="E2814" s="84"/>
      <c r="F2814" s="86"/>
      <c r="G2814" s="86"/>
      <c r="H2814" s="88"/>
      <c r="I2814" s="90"/>
      <c r="J2814" s="91"/>
    </row>
    <row r="2815">
      <c r="C2815" s="82"/>
      <c r="E2815" s="84"/>
      <c r="F2815" s="86"/>
      <c r="G2815" s="86"/>
      <c r="H2815" s="88"/>
      <c r="I2815" s="90"/>
      <c r="J2815" s="91"/>
    </row>
    <row r="2816">
      <c r="C2816" s="82"/>
      <c r="E2816" s="84"/>
      <c r="F2816" s="86"/>
      <c r="G2816" s="86"/>
      <c r="H2816" s="88"/>
      <c r="I2816" s="90"/>
      <c r="J2816" s="91"/>
    </row>
    <row r="2817">
      <c r="C2817" s="82"/>
      <c r="E2817" s="84"/>
      <c r="F2817" s="86"/>
      <c r="G2817" s="86"/>
      <c r="H2817" s="88"/>
      <c r="I2817" s="90"/>
      <c r="J2817" s="91"/>
    </row>
    <row r="2818">
      <c r="C2818" s="82"/>
      <c r="E2818" s="84"/>
      <c r="F2818" s="86"/>
      <c r="G2818" s="86"/>
      <c r="H2818" s="88"/>
      <c r="I2818" s="90"/>
      <c r="J2818" s="91"/>
    </row>
    <row r="2819">
      <c r="C2819" s="82"/>
      <c r="E2819" s="84"/>
      <c r="F2819" s="86"/>
      <c r="G2819" s="86"/>
      <c r="H2819" s="88"/>
      <c r="I2819" s="90"/>
      <c r="J2819" s="91"/>
    </row>
    <row r="2820">
      <c r="C2820" s="82"/>
      <c r="E2820" s="84"/>
      <c r="F2820" s="86"/>
      <c r="G2820" s="86"/>
      <c r="H2820" s="88"/>
      <c r="I2820" s="90"/>
      <c r="J2820" s="91"/>
    </row>
    <row r="2821">
      <c r="C2821" s="82"/>
      <c r="E2821" s="84"/>
      <c r="F2821" s="86"/>
      <c r="G2821" s="86"/>
      <c r="H2821" s="88"/>
      <c r="I2821" s="90"/>
      <c r="J2821" s="91"/>
    </row>
    <row r="2822">
      <c r="C2822" s="82"/>
      <c r="E2822" s="84"/>
      <c r="F2822" s="86"/>
      <c r="G2822" s="86"/>
      <c r="H2822" s="88"/>
      <c r="I2822" s="90"/>
      <c r="J2822" s="91"/>
    </row>
    <row r="2823">
      <c r="C2823" s="82"/>
      <c r="E2823" s="84"/>
      <c r="F2823" s="86"/>
      <c r="G2823" s="86"/>
      <c r="H2823" s="88"/>
      <c r="I2823" s="90"/>
      <c r="J2823" s="91"/>
    </row>
    <row r="2824">
      <c r="C2824" s="82"/>
      <c r="E2824" s="84"/>
      <c r="F2824" s="86"/>
      <c r="G2824" s="86"/>
      <c r="H2824" s="88"/>
      <c r="I2824" s="90"/>
      <c r="J2824" s="91"/>
    </row>
    <row r="2825">
      <c r="C2825" s="82"/>
      <c r="E2825" s="84"/>
      <c r="F2825" s="86"/>
      <c r="G2825" s="86"/>
      <c r="H2825" s="88"/>
      <c r="I2825" s="90"/>
      <c r="J2825" s="91"/>
    </row>
    <row r="2826">
      <c r="C2826" s="82"/>
      <c r="E2826" s="84"/>
      <c r="F2826" s="86"/>
      <c r="G2826" s="86"/>
      <c r="H2826" s="88"/>
      <c r="I2826" s="90"/>
      <c r="J2826" s="91"/>
    </row>
    <row r="2827">
      <c r="C2827" s="82"/>
      <c r="E2827" s="84"/>
      <c r="F2827" s="86"/>
      <c r="G2827" s="86"/>
      <c r="H2827" s="88"/>
      <c r="I2827" s="90"/>
      <c r="J2827" s="91"/>
    </row>
    <row r="2828">
      <c r="C2828" s="82"/>
      <c r="E2828" s="84"/>
      <c r="F2828" s="86"/>
      <c r="G2828" s="86"/>
      <c r="H2828" s="88"/>
      <c r="I2828" s="90"/>
      <c r="J2828" s="91"/>
    </row>
    <row r="2829">
      <c r="C2829" s="82"/>
      <c r="E2829" s="84"/>
      <c r="F2829" s="86"/>
      <c r="G2829" s="86"/>
      <c r="H2829" s="88"/>
      <c r="I2829" s="90"/>
      <c r="J2829" s="91"/>
    </row>
    <row r="2830">
      <c r="C2830" s="82"/>
      <c r="E2830" s="84"/>
      <c r="F2830" s="86"/>
      <c r="G2830" s="86"/>
      <c r="H2830" s="88"/>
      <c r="I2830" s="90"/>
      <c r="J2830" s="91"/>
    </row>
    <row r="2831">
      <c r="C2831" s="82"/>
      <c r="E2831" s="84"/>
      <c r="F2831" s="86"/>
      <c r="G2831" s="86"/>
      <c r="H2831" s="88"/>
      <c r="I2831" s="90"/>
      <c r="J2831" s="91"/>
    </row>
    <row r="2832">
      <c r="C2832" s="82"/>
      <c r="E2832" s="84"/>
      <c r="F2832" s="86"/>
      <c r="G2832" s="86"/>
      <c r="H2832" s="88"/>
      <c r="I2832" s="90"/>
      <c r="J2832" s="91"/>
    </row>
    <row r="2833">
      <c r="C2833" s="82"/>
      <c r="E2833" s="84"/>
      <c r="F2833" s="86"/>
      <c r="G2833" s="86"/>
      <c r="H2833" s="88"/>
      <c r="I2833" s="90"/>
      <c r="J2833" s="91"/>
    </row>
    <row r="2834">
      <c r="C2834" s="82"/>
      <c r="E2834" s="84"/>
      <c r="F2834" s="86"/>
      <c r="G2834" s="86"/>
      <c r="H2834" s="88"/>
      <c r="I2834" s="90"/>
      <c r="J2834" s="91"/>
    </row>
    <row r="2835">
      <c r="C2835" s="82"/>
      <c r="E2835" s="84"/>
      <c r="F2835" s="86"/>
      <c r="G2835" s="86"/>
      <c r="H2835" s="88"/>
      <c r="I2835" s="90"/>
      <c r="J2835" s="91"/>
    </row>
    <row r="2836">
      <c r="C2836" s="82"/>
      <c r="E2836" s="84"/>
      <c r="F2836" s="86"/>
      <c r="G2836" s="86"/>
      <c r="H2836" s="88"/>
      <c r="I2836" s="90"/>
      <c r="J2836" s="91"/>
    </row>
    <row r="2837">
      <c r="C2837" s="82"/>
      <c r="E2837" s="84"/>
      <c r="F2837" s="86"/>
      <c r="G2837" s="86"/>
      <c r="H2837" s="88"/>
      <c r="I2837" s="90"/>
      <c r="J2837" s="91"/>
    </row>
    <row r="2838">
      <c r="C2838" s="82"/>
      <c r="E2838" s="84"/>
      <c r="F2838" s="86"/>
      <c r="G2838" s="86"/>
      <c r="H2838" s="88"/>
      <c r="I2838" s="90"/>
      <c r="J2838" s="91"/>
    </row>
    <row r="2839">
      <c r="C2839" s="82"/>
      <c r="E2839" s="84"/>
      <c r="F2839" s="86"/>
      <c r="G2839" s="86"/>
      <c r="H2839" s="88"/>
      <c r="I2839" s="90"/>
      <c r="J2839" s="91"/>
    </row>
    <row r="2840">
      <c r="C2840" s="82"/>
      <c r="E2840" s="84"/>
      <c r="F2840" s="86"/>
      <c r="G2840" s="86"/>
      <c r="H2840" s="88"/>
      <c r="I2840" s="90"/>
      <c r="J2840" s="91"/>
    </row>
    <row r="2841">
      <c r="C2841" s="82"/>
      <c r="E2841" s="84"/>
      <c r="F2841" s="86"/>
      <c r="G2841" s="86"/>
      <c r="H2841" s="88"/>
      <c r="I2841" s="90"/>
      <c r="J2841" s="91"/>
    </row>
    <row r="2842">
      <c r="C2842" s="82"/>
      <c r="E2842" s="84"/>
      <c r="F2842" s="86"/>
      <c r="G2842" s="86"/>
      <c r="H2842" s="88"/>
      <c r="I2842" s="90"/>
      <c r="J2842" s="91"/>
    </row>
    <row r="2843">
      <c r="C2843" s="82"/>
      <c r="E2843" s="84"/>
      <c r="F2843" s="86"/>
      <c r="G2843" s="86"/>
      <c r="H2843" s="88"/>
      <c r="I2843" s="90"/>
      <c r="J2843" s="91"/>
    </row>
    <row r="2844">
      <c r="C2844" s="82"/>
      <c r="E2844" s="84"/>
      <c r="F2844" s="86"/>
      <c r="G2844" s="86"/>
      <c r="H2844" s="88"/>
      <c r="I2844" s="90"/>
      <c r="J2844" s="91"/>
    </row>
    <row r="2845">
      <c r="C2845" s="82"/>
      <c r="E2845" s="84"/>
      <c r="F2845" s="86"/>
      <c r="G2845" s="86"/>
      <c r="H2845" s="88"/>
      <c r="I2845" s="90"/>
      <c r="J2845" s="91"/>
    </row>
    <row r="2846">
      <c r="C2846" s="82"/>
      <c r="E2846" s="84"/>
      <c r="F2846" s="86"/>
      <c r="G2846" s="86"/>
      <c r="H2846" s="88"/>
      <c r="I2846" s="90"/>
      <c r="J2846" s="91"/>
    </row>
    <row r="2847">
      <c r="C2847" s="82"/>
      <c r="E2847" s="84"/>
      <c r="F2847" s="86"/>
      <c r="G2847" s="86"/>
      <c r="H2847" s="88"/>
      <c r="I2847" s="90"/>
      <c r="J2847" s="91"/>
    </row>
    <row r="2848">
      <c r="C2848" s="82"/>
      <c r="E2848" s="84"/>
      <c r="F2848" s="86"/>
      <c r="G2848" s="86"/>
      <c r="H2848" s="88"/>
      <c r="I2848" s="90"/>
      <c r="J2848" s="91"/>
    </row>
    <row r="2849">
      <c r="C2849" s="82"/>
      <c r="E2849" s="84"/>
      <c r="F2849" s="86"/>
      <c r="G2849" s="86"/>
      <c r="H2849" s="88"/>
      <c r="I2849" s="90"/>
      <c r="J2849" s="91"/>
    </row>
    <row r="2850">
      <c r="C2850" s="82"/>
      <c r="E2850" s="84"/>
      <c r="F2850" s="86"/>
      <c r="G2850" s="86"/>
      <c r="H2850" s="88"/>
      <c r="I2850" s="90"/>
      <c r="J2850" s="91"/>
    </row>
    <row r="2851">
      <c r="C2851" s="82"/>
      <c r="E2851" s="84"/>
      <c r="F2851" s="86"/>
      <c r="G2851" s="86"/>
      <c r="H2851" s="88"/>
      <c r="I2851" s="90"/>
      <c r="J2851" s="91"/>
    </row>
    <row r="2852">
      <c r="C2852" s="82"/>
      <c r="E2852" s="84"/>
      <c r="F2852" s="86"/>
      <c r="G2852" s="86"/>
      <c r="H2852" s="88"/>
      <c r="I2852" s="90"/>
      <c r="J2852" s="91"/>
    </row>
    <row r="2853">
      <c r="C2853" s="82"/>
      <c r="E2853" s="84"/>
      <c r="F2853" s="86"/>
      <c r="G2853" s="86"/>
      <c r="H2853" s="88"/>
      <c r="I2853" s="90"/>
      <c r="J2853" s="91"/>
    </row>
    <row r="2854">
      <c r="C2854" s="82"/>
      <c r="E2854" s="84"/>
      <c r="F2854" s="86"/>
      <c r="G2854" s="86"/>
      <c r="H2854" s="88"/>
      <c r="I2854" s="90"/>
      <c r="J2854" s="91"/>
    </row>
    <row r="2855">
      <c r="C2855" s="82"/>
      <c r="E2855" s="84"/>
      <c r="F2855" s="86"/>
      <c r="G2855" s="86"/>
      <c r="H2855" s="88"/>
      <c r="I2855" s="90"/>
      <c r="J2855" s="91"/>
    </row>
    <row r="2856">
      <c r="C2856" s="82"/>
      <c r="E2856" s="84"/>
      <c r="F2856" s="86"/>
      <c r="G2856" s="86"/>
      <c r="H2856" s="88"/>
      <c r="I2856" s="90"/>
      <c r="J2856" s="91"/>
    </row>
    <row r="2857">
      <c r="C2857" s="82"/>
      <c r="E2857" s="84"/>
      <c r="F2857" s="86"/>
      <c r="G2857" s="86"/>
      <c r="H2857" s="88"/>
      <c r="I2857" s="90"/>
      <c r="J2857" s="91"/>
    </row>
    <row r="2858">
      <c r="C2858" s="82"/>
      <c r="E2858" s="84"/>
      <c r="F2858" s="86"/>
      <c r="G2858" s="86"/>
      <c r="H2858" s="88"/>
      <c r="I2858" s="90"/>
      <c r="J2858" s="91"/>
    </row>
    <row r="2859">
      <c r="C2859" s="82"/>
      <c r="E2859" s="84"/>
      <c r="F2859" s="86"/>
      <c r="G2859" s="86"/>
      <c r="H2859" s="88"/>
      <c r="I2859" s="90"/>
      <c r="J2859" s="91"/>
    </row>
    <row r="2860">
      <c r="C2860" s="82"/>
      <c r="E2860" s="84"/>
      <c r="F2860" s="86"/>
      <c r="G2860" s="86"/>
      <c r="H2860" s="88"/>
      <c r="I2860" s="90"/>
      <c r="J2860" s="91"/>
    </row>
    <row r="2861">
      <c r="C2861" s="82"/>
      <c r="E2861" s="84"/>
      <c r="F2861" s="86"/>
      <c r="G2861" s="86"/>
      <c r="H2861" s="88"/>
      <c r="I2861" s="90"/>
      <c r="J2861" s="91"/>
    </row>
    <row r="2862">
      <c r="C2862" s="82"/>
      <c r="E2862" s="84"/>
      <c r="F2862" s="86"/>
      <c r="G2862" s="86"/>
      <c r="H2862" s="88"/>
      <c r="I2862" s="90"/>
      <c r="J2862" s="91"/>
    </row>
    <row r="2863">
      <c r="C2863" s="82"/>
      <c r="E2863" s="84"/>
      <c r="F2863" s="86"/>
      <c r="G2863" s="86"/>
      <c r="H2863" s="88"/>
      <c r="I2863" s="90"/>
      <c r="J2863" s="91"/>
    </row>
    <row r="2864">
      <c r="C2864" s="82"/>
      <c r="E2864" s="84"/>
      <c r="F2864" s="86"/>
      <c r="G2864" s="86"/>
      <c r="H2864" s="88"/>
      <c r="I2864" s="90"/>
      <c r="J2864" s="91"/>
    </row>
    <row r="2865">
      <c r="C2865" s="82"/>
      <c r="E2865" s="84"/>
      <c r="F2865" s="86"/>
      <c r="G2865" s="86"/>
      <c r="H2865" s="88"/>
      <c r="I2865" s="90"/>
      <c r="J2865" s="91"/>
    </row>
    <row r="2866">
      <c r="C2866" s="82"/>
      <c r="E2866" s="84"/>
      <c r="F2866" s="86"/>
      <c r="G2866" s="86"/>
      <c r="H2866" s="88"/>
      <c r="I2866" s="90"/>
      <c r="J2866" s="91"/>
    </row>
    <row r="2867">
      <c r="C2867" s="82"/>
      <c r="E2867" s="84"/>
      <c r="F2867" s="86"/>
      <c r="G2867" s="86"/>
      <c r="H2867" s="88"/>
      <c r="I2867" s="90"/>
      <c r="J2867" s="91"/>
    </row>
    <row r="2868">
      <c r="C2868" s="82"/>
      <c r="E2868" s="84"/>
      <c r="F2868" s="86"/>
      <c r="G2868" s="86"/>
      <c r="H2868" s="88"/>
      <c r="I2868" s="90"/>
      <c r="J2868" s="91"/>
    </row>
    <row r="2869">
      <c r="C2869" s="82"/>
      <c r="E2869" s="84"/>
      <c r="F2869" s="86"/>
      <c r="G2869" s="86"/>
      <c r="H2869" s="88"/>
      <c r="I2869" s="90"/>
      <c r="J2869" s="91"/>
    </row>
    <row r="2870">
      <c r="C2870" s="82"/>
      <c r="E2870" s="84"/>
      <c r="F2870" s="86"/>
      <c r="G2870" s="86"/>
      <c r="H2870" s="88"/>
      <c r="I2870" s="90"/>
      <c r="J2870" s="91"/>
    </row>
    <row r="2871">
      <c r="C2871" s="82"/>
      <c r="E2871" s="84"/>
      <c r="F2871" s="86"/>
      <c r="G2871" s="86"/>
      <c r="H2871" s="88"/>
      <c r="I2871" s="90"/>
      <c r="J2871" s="91"/>
    </row>
    <row r="2872">
      <c r="C2872" s="82"/>
      <c r="E2872" s="84"/>
      <c r="F2872" s="86"/>
      <c r="G2872" s="86"/>
      <c r="H2872" s="88"/>
      <c r="I2872" s="90"/>
      <c r="J2872" s="91"/>
    </row>
    <row r="2873">
      <c r="C2873" s="82"/>
      <c r="E2873" s="84"/>
      <c r="F2873" s="86"/>
      <c r="G2873" s="86"/>
      <c r="H2873" s="88"/>
      <c r="I2873" s="90"/>
      <c r="J2873" s="91"/>
    </row>
    <row r="2874">
      <c r="C2874" s="82"/>
      <c r="E2874" s="84"/>
      <c r="F2874" s="86"/>
      <c r="G2874" s="86"/>
      <c r="H2874" s="88"/>
      <c r="I2874" s="90"/>
      <c r="J2874" s="91"/>
    </row>
    <row r="2875">
      <c r="C2875" s="82"/>
      <c r="E2875" s="84"/>
      <c r="F2875" s="86"/>
      <c r="G2875" s="86"/>
      <c r="H2875" s="88"/>
      <c r="I2875" s="90"/>
      <c r="J2875" s="91"/>
    </row>
    <row r="2876">
      <c r="C2876" s="82"/>
      <c r="E2876" s="84"/>
      <c r="F2876" s="86"/>
      <c r="G2876" s="86"/>
      <c r="H2876" s="88"/>
      <c r="I2876" s="90"/>
      <c r="J2876" s="91"/>
    </row>
    <row r="2877">
      <c r="C2877" s="82"/>
      <c r="E2877" s="84"/>
      <c r="F2877" s="86"/>
      <c r="G2877" s="86"/>
      <c r="H2877" s="88"/>
      <c r="I2877" s="90"/>
      <c r="J2877" s="91"/>
    </row>
    <row r="2878">
      <c r="C2878" s="82"/>
      <c r="E2878" s="84"/>
      <c r="F2878" s="86"/>
      <c r="G2878" s="86"/>
      <c r="H2878" s="88"/>
      <c r="I2878" s="90"/>
      <c r="J2878" s="91"/>
    </row>
    <row r="2879">
      <c r="C2879" s="82"/>
      <c r="E2879" s="84"/>
      <c r="F2879" s="86"/>
      <c r="G2879" s="86"/>
      <c r="H2879" s="88"/>
      <c r="I2879" s="90"/>
      <c r="J2879" s="91"/>
    </row>
    <row r="2880">
      <c r="C2880" s="82"/>
      <c r="E2880" s="84"/>
      <c r="F2880" s="86"/>
      <c r="G2880" s="86"/>
      <c r="H2880" s="88"/>
      <c r="I2880" s="90"/>
      <c r="J2880" s="91"/>
    </row>
    <row r="2881">
      <c r="C2881" s="82"/>
      <c r="E2881" s="84"/>
      <c r="F2881" s="86"/>
      <c r="G2881" s="86"/>
      <c r="H2881" s="88"/>
      <c r="I2881" s="90"/>
      <c r="J2881" s="91"/>
    </row>
    <row r="2882">
      <c r="C2882" s="82"/>
      <c r="E2882" s="84"/>
      <c r="F2882" s="86"/>
      <c r="G2882" s="86"/>
      <c r="H2882" s="88"/>
      <c r="I2882" s="90"/>
      <c r="J2882" s="91"/>
    </row>
    <row r="2883">
      <c r="C2883" s="82"/>
      <c r="E2883" s="84"/>
      <c r="F2883" s="86"/>
      <c r="G2883" s="86"/>
      <c r="H2883" s="88"/>
      <c r="I2883" s="90"/>
      <c r="J2883" s="91"/>
    </row>
    <row r="2884">
      <c r="C2884" s="82"/>
      <c r="E2884" s="84"/>
      <c r="F2884" s="86"/>
      <c r="G2884" s="86"/>
      <c r="H2884" s="88"/>
      <c r="I2884" s="90"/>
      <c r="J2884" s="91"/>
    </row>
    <row r="2885">
      <c r="C2885" s="82"/>
      <c r="E2885" s="84"/>
      <c r="F2885" s="86"/>
      <c r="G2885" s="86"/>
      <c r="H2885" s="88"/>
      <c r="I2885" s="90"/>
      <c r="J2885" s="91"/>
    </row>
    <row r="2886">
      <c r="C2886" s="82"/>
      <c r="E2886" s="84"/>
      <c r="F2886" s="86"/>
      <c r="G2886" s="86"/>
      <c r="H2886" s="88"/>
      <c r="I2886" s="90"/>
      <c r="J2886" s="91"/>
    </row>
    <row r="2887">
      <c r="C2887" s="82"/>
      <c r="E2887" s="84"/>
      <c r="F2887" s="86"/>
      <c r="G2887" s="86"/>
      <c r="H2887" s="88"/>
      <c r="I2887" s="90"/>
      <c r="J2887" s="91"/>
    </row>
    <row r="2888">
      <c r="C2888" s="82"/>
      <c r="E2888" s="84"/>
      <c r="F2888" s="86"/>
      <c r="G2888" s="86"/>
      <c r="H2888" s="88"/>
      <c r="I2888" s="90"/>
      <c r="J2888" s="91"/>
    </row>
    <row r="2889">
      <c r="C2889" s="82"/>
      <c r="E2889" s="84"/>
      <c r="F2889" s="86"/>
      <c r="G2889" s="86"/>
      <c r="H2889" s="88"/>
      <c r="I2889" s="90"/>
      <c r="J2889" s="91"/>
    </row>
    <row r="2890">
      <c r="C2890" s="82"/>
      <c r="E2890" s="84"/>
      <c r="F2890" s="86"/>
      <c r="G2890" s="86"/>
      <c r="H2890" s="88"/>
      <c r="I2890" s="90"/>
      <c r="J2890" s="91"/>
    </row>
    <row r="2891">
      <c r="C2891" s="82"/>
      <c r="E2891" s="84"/>
      <c r="F2891" s="86"/>
      <c r="G2891" s="86"/>
      <c r="H2891" s="88"/>
      <c r="I2891" s="90"/>
      <c r="J2891" s="91"/>
    </row>
    <row r="2892">
      <c r="C2892" s="82"/>
      <c r="E2892" s="84"/>
      <c r="F2892" s="86"/>
      <c r="G2892" s="86"/>
      <c r="H2892" s="88"/>
      <c r="I2892" s="90"/>
      <c r="J2892" s="91"/>
    </row>
    <row r="2893">
      <c r="C2893" s="82"/>
      <c r="E2893" s="84"/>
      <c r="F2893" s="86"/>
      <c r="G2893" s="86"/>
      <c r="H2893" s="88"/>
      <c r="I2893" s="90"/>
      <c r="J2893" s="91"/>
    </row>
    <row r="2894">
      <c r="C2894" s="82"/>
      <c r="E2894" s="84"/>
      <c r="F2894" s="86"/>
      <c r="G2894" s="86"/>
      <c r="H2894" s="88"/>
      <c r="I2894" s="90"/>
      <c r="J2894" s="91"/>
    </row>
    <row r="2895">
      <c r="C2895" s="82"/>
      <c r="E2895" s="84"/>
      <c r="F2895" s="86"/>
      <c r="G2895" s="86"/>
      <c r="H2895" s="88"/>
      <c r="I2895" s="90"/>
      <c r="J2895" s="91"/>
    </row>
    <row r="2896">
      <c r="C2896" s="82"/>
      <c r="E2896" s="84"/>
      <c r="F2896" s="86"/>
      <c r="G2896" s="86"/>
      <c r="H2896" s="88"/>
      <c r="I2896" s="90"/>
      <c r="J2896" s="91"/>
    </row>
    <row r="2897">
      <c r="C2897" s="82"/>
      <c r="E2897" s="84"/>
      <c r="F2897" s="86"/>
      <c r="G2897" s="86"/>
      <c r="H2897" s="88"/>
      <c r="I2897" s="90"/>
      <c r="J2897" s="91"/>
    </row>
    <row r="2898">
      <c r="C2898" s="82"/>
      <c r="E2898" s="84"/>
      <c r="F2898" s="86"/>
      <c r="G2898" s="86"/>
      <c r="H2898" s="88"/>
      <c r="I2898" s="90"/>
      <c r="J2898" s="91"/>
    </row>
    <row r="2899">
      <c r="C2899" s="82"/>
      <c r="E2899" s="84"/>
      <c r="F2899" s="86"/>
      <c r="G2899" s="86"/>
      <c r="H2899" s="88"/>
      <c r="I2899" s="90"/>
      <c r="J2899" s="91"/>
    </row>
    <row r="2900">
      <c r="C2900" s="82"/>
      <c r="E2900" s="84"/>
      <c r="F2900" s="86"/>
      <c r="G2900" s="86"/>
      <c r="H2900" s="88"/>
      <c r="I2900" s="90"/>
      <c r="J2900" s="91"/>
    </row>
    <row r="2901">
      <c r="C2901" s="82"/>
      <c r="E2901" s="84"/>
      <c r="F2901" s="86"/>
      <c r="G2901" s="86"/>
      <c r="H2901" s="88"/>
      <c r="I2901" s="90"/>
      <c r="J2901" s="91"/>
    </row>
    <row r="2902">
      <c r="C2902" s="82"/>
      <c r="E2902" s="84"/>
      <c r="F2902" s="86"/>
      <c r="G2902" s="86"/>
      <c r="H2902" s="88"/>
      <c r="I2902" s="90"/>
      <c r="J2902" s="91"/>
    </row>
    <row r="2903">
      <c r="C2903" s="82"/>
      <c r="E2903" s="84"/>
      <c r="F2903" s="86"/>
      <c r="G2903" s="86"/>
      <c r="H2903" s="88"/>
      <c r="I2903" s="90"/>
      <c r="J2903" s="91"/>
    </row>
    <row r="2904">
      <c r="C2904" s="82"/>
      <c r="E2904" s="84"/>
      <c r="F2904" s="86"/>
      <c r="G2904" s="86"/>
      <c r="H2904" s="88"/>
      <c r="I2904" s="90"/>
      <c r="J2904" s="91"/>
    </row>
    <row r="2905">
      <c r="C2905" s="82"/>
      <c r="E2905" s="84"/>
      <c r="F2905" s="86"/>
      <c r="G2905" s="86"/>
      <c r="H2905" s="88"/>
      <c r="I2905" s="90"/>
      <c r="J2905" s="91"/>
    </row>
    <row r="2906">
      <c r="C2906" s="82"/>
      <c r="E2906" s="84"/>
      <c r="F2906" s="86"/>
      <c r="G2906" s="86"/>
      <c r="H2906" s="88"/>
      <c r="I2906" s="90"/>
      <c r="J2906" s="91"/>
    </row>
    <row r="2907">
      <c r="C2907" s="82"/>
      <c r="E2907" s="84"/>
      <c r="F2907" s="86"/>
      <c r="G2907" s="86"/>
      <c r="H2907" s="88"/>
      <c r="I2907" s="90"/>
      <c r="J2907" s="91"/>
    </row>
    <row r="2908">
      <c r="C2908" s="82"/>
      <c r="E2908" s="84"/>
      <c r="F2908" s="86"/>
      <c r="G2908" s="86"/>
      <c r="H2908" s="88"/>
      <c r="I2908" s="90"/>
      <c r="J2908" s="91"/>
    </row>
    <row r="2909">
      <c r="C2909" s="82"/>
      <c r="E2909" s="84"/>
      <c r="F2909" s="86"/>
      <c r="G2909" s="86"/>
      <c r="H2909" s="88"/>
      <c r="I2909" s="90"/>
      <c r="J2909" s="91"/>
    </row>
    <row r="2910">
      <c r="C2910" s="82"/>
      <c r="E2910" s="84"/>
      <c r="F2910" s="86"/>
      <c r="G2910" s="86"/>
      <c r="H2910" s="88"/>
      <c r="I2910" s="90"/>
      <c r="J2910" s="91"/>
    </row>
    <row r="2911">
      <c r="C2911" s="82"/>
      <c r="E2911" s="84"/>
      <c r="F2911" s="86"/>
      <c r="G2911" s="86"/>
      <c r="H2911" s="88"/>
      <c r="I2911" s="90"/>
      <c r="J2911" s="91"/>
    </row>
    <row r="2912">
      <c r="C2912" s="82"/>
      <c r="E2912" s="84"/>
      <c r="F2912" s="86"/>
      <c r="G2912" s="86"/>
      <c r="H2912" s="88"/>
      <c r="I2912" s="90"/>
      <c r="J2912" s="91"/>
    </row>
    <row r="2913">
      <c r="C2913" s="82"/>
      <c r="E2913" s="84"/>
      <c r="F2913" s="86"/>
      <c r="G2913" s="86"/>
      <c r="H2913" s="88"/>
      <c r="I2913" s="90"/>
      <c r="J2913" s="91"/>
    </row>
    <row r="2914">
      <c r="C2914" s="82"/>
      <c r="E2914" s="84"/>
      <c r="F2914" s="86"/>
      <c r="G2914" s="86"/>
      <c r="H2914" s="88"/>
      <c r="I2914" s="90"/>
      <c r="J2914" s="91"/>
    </row>
    <row r="2915">
      <c r="C2915" s="82"/>
      <c r="E2915" s="84"/>
      <c r="F2915" s="86"/>
      <c r="G2915" s="86"/>
      <c r="H2915" s="88"/>
      <c r="I2915" s="90"/>
      <c r="J2915" s="91"/>
    </row>
    <row r="2916">
      <c r="C2916" s="82"/>
      <c r="E2916" s="84"/>
      <c r="F2916" s="86"/>
      <c r="G2916" s="86"/>
      <c r="H2916" s="88"/>
      <c r="I2916" s="90"/>
      <c r="J2916" s="91"/>
    </row>
    <row r="2917">
      <c r="C2917" s="82"/>
      <c r="E2917" s="84"/>
      <c r="F2917" s="86"/>
      <c r="G2917" s="86"/>
      <c r="H2917" s="88"/>
      <c r="I2917" s="90"/>
      <c r="J2917" s="91"/>
    </row>
    <row r="2918">
      <c r="C2918" s="82"/>
      <c r="E2918" s="84"/>
      <c r="F2918" s="86"/>
      <c r="G2918" s="86"/>
      <c r="H2918" s="88"/>
      <c r="I2918" s="90"/>
      <c r="J2918" s="91"/>
    </row>
    <row r="2919">
      <c r="C2919" s="82"/>
      <c r="E2919" s="84"/>
      <c r="F2919" s="86"/>
      <c r="G2919" s="86"/>
      <c r="H2919" s="88"/>
      <c r="I2919" s="90"/>
      <c r="J2919" s="91"/>
    </row>
    <row r="2920">
      <c r="C2920" s="82"/>
      <c r="E2920" s="84"/>
      <c r="F2920" s="86"/>
      <c r="G2920" s="86"/>
      <c r="H2920" s="88"/>
      <c r="I2920" s="90"/>
      <c r="J2920" s="91"/>
    </row>
    <row r="2921">
      <c r="C2921" s="82"/>
      <c r="E2921" s="84"/>
      <c r="F2921" s="86"/>
      <c r="G2921" s="86"/>
      <c r="H2921" s="88"/>
      <c r="I2921" s="90"/>
      <c r="J2921" s="91"/>
    </row>
    <row r="2922">
      <c r="C2922" s="82"/>
      <c r="E2922" s="84"/>
      <c r="F2922" s="86"/>
      <c r="G2922" s="86"/>
      <c r="H2922" s="88"/>
      <c r="I2922" s="90"/>
      <c r="J2922" s="91"/>
    </row>
    <row r="2923">
      <c r="C2923" s="82"/>
      <c r="E2923" s="84"/>
      <c r="F2923" s="86"/>
      <c r="G2923" s="86"/>
      <c r="H2923" s="88"/>
      <c r="I2923" s="90"/>
      <c r="J2923" s="91"/>
    </row>
    <row r="2924">
      <c r="C2924" s="82"/>
      <c r="E2924" s="84"/>
      <c r="F2924" s="86"/>
      <c r="G2924" s="86"/>
      <c r="H2924" s="88"/>
      <c r="I2924" s="90"/>
      <c r="J2924" s="91"/>
    </row>
    <row r="2925">
      <c r="C2925" s="82"/>
      <c r="E2925" s="84"/>
      <c r="F2925" s="86"/>
      <c r="G2925" s="86"/>
      <c r="H2925" s="88"/>
      <c r="I2925" s="90"/>
      <c r="J2925" s="91"/>
    </row>
    <row r="2926">
      <c r="C2926" s="82"/>
      <c r="E2926" s="84"/>
      <c r="F2926" s="86"/>
      <c r="G2926" s="86"/>
      <c r="H2926" s="88"/>
      <c r="I2926" s="90"/>
      <c r="J2926" s="91"/>
    </row>
    <row r="2927">
      <c r="C2927" s="82"/>
      <c r="E2927" s="84"/>
      <c r="F2927" s="86"/>
      <c r="G2927" s="86"/>
      <c r="H2927" s="88"/>
      <c r="I2927" s="90"/>
      <c r="J2927" s="91"/>
    </row>
    <row r="2928">
      <c r="C2928" s="82"/>
      <c r="E2928" s="84"/>
      <c r="F2928" s="86"/>
      <c r="G2928" s="86"/>
      <c r="H2928" s="88"/>
      <c r="I2928" s="90"/>
      <c r="J2928" s="91"/>
    </row>
    <row r="2929">
      <c r="C2929" s="82"/>
      <c r="E2929" s="84"/>
      <c r="F2929" s="86"/>
      <c r="G2929" s="86"/>
      <c r="H2929" s="88"/>
      <c r="I2929" s="90"/>
      <c r="J2929" s="91"/>
    </row>
    <row r="2930">
      <c r="C2930" s="82"/>
      <c r="E2930" s="84"/>
      <c r="F2930" s="86"/>
      <c r="G2930" s="86"/>
      <c r="H2930" s="88"/>
      <c r="I2930" s="90"/>
      <c r="J2930" s="91"/>
    </row>
    <row r="2931">
      <c r="C2931" s="82"/>
      <c r="E2931" s="84"/>
      <c r="F2931" s="86"/>
      <c r="G2931" s="86"/>
      <c r="H2931" s="88"/>
      <c r="I2931" s="90"/>
      <c r="J2931" s="91"/>
    </row>
    <row r="2932">
      <c r="C2932" s="82"/>
      <c r="E2932" s="84"/>
      <c r="F2932" s="86"/>
      <c r="G2932" s="86"/>
      <c r="H2932" s="88"/>
      <c r="I2932" s="90"/>
      <c r="J2932" s="91"/>
    </row>
    <row r="2933">
      <c r="C2933" s="82"/>
      <c r="E2933" s="84"/>
      <c r="F2933" s="86"/>
      <c r="G2933" s="86"/>
      <c r="H2933" s="88"/>
      <c r="I2933" s="90"/>
      <c r="J2933" s="91"/>
    </row>
    <row r="2934">
      <c r="C2934" s="82"/>
      <c r="E2934" s="84"/>
      <c r="F2934" s="86"/>
      <c r="G2934" s="86"/>
      <c r="H2934" s="88"/>
      <c r="I2934" s="90"/>
      <c r="J2934" s="91"/>
    </row>
    <row r="2935">
      <c r="C2935" s="82"/>
      <c r="E2935" s="84"/>
      <c r="F2935" s="86"/>
      <c r="G2935" s="86"/>
      <c r="H2935" s="88"/>
      <c r="I2935" s="90"/>
      <c r="J2935" s="91"/>
    </row>
    <row r="2936">
      <c r="C2936" s="82"/>
      <c r="E2936" s="84"/>
      <c r="F2936" s="86"/>
      <c r="G2936" s="86"/>
      <c r="H2936" s="88"/>
      <c r="I2936" s="90"/>
      <c r="J2936" s="91"/>
    </row>
    <row r="2937">
      <c r="C2937" s="82"/>
      <c r="E2937" s="84"/>
      <c r="F2937" s="86"/>
      <c r="G2937" s="86"/>
      <c r="H2937" s="88"/>
      <c r="I2937" s="90"/>
      <c r="J2937" s="91"/>
    </row>
    <row r="2938">
      <c r="C2938" s="82"/>
      <c r="E2938" s="84"/>
      <c r="F2938" s="86"/>
      <c r="G2938" s="86"/>
      <c r="H2938" s="88"/>
      <c r="I2938" s="90"/>
      <c r="J2938" s="91"/>
    </row>
    <row r="2939">
      <c r="C2939" s="82"/>
      <c r="E2939" s="84"/>
      <c r="F2939" s="86"/>
      <c r="G2939" s="86"/>
      <c r="H2939" s="88"/>
      <c r="I2939" s="90"/>
      <c r="J2939" s="91"/>
    </row>
    <row r="2940">
      <c r="C2940" s="82"/>
      <c r="E2940" s="84"/>
      <c r="F2940" s="86"/>
      <c r="G2940" s="86"/>
      <c r="H2940" s="88"/>
      <c r="I2940" s="90"/>
      <c r="J2940" s="91"/>
    </row>
    <row r="2941">
      <c r="C2941" s="82"/>
      <c r="E2941" s="84"/>
      <c r="F2941" s="86"/>
      <c r="G2941" s="86"/>
      <c r="H2941" s="88"/>
      <c r="I2941" s="90"/>
      <c r="J2941" s="91"/>
    </row>
    <row r="2942">
      <c r="C2942" s="82"/>
      <c r="E2942" s="84"/>
      <c r="F2942" s="86"/>
      <c r="G2942" s="86"/>
      <c r="H2942" s="88"/>
      <c r="I2942" s="90"/>
      <c r="J2942" s="91"/>
    </row>
    <row r="2943">
      <c r="C2943" s="82"/>
      <c r="E2943" s="84"/>
      <c r="F2943" s="86"/>
      <c r="G2943" s="86"/>
      <c r="H2943" s="88"/>
      <c r="I2943" s="90"/>
      <c r="J2943" s="91"/>
    </row>
    <row r="2944">
      <c r="C2944" s="82"/>
      <c r="E2944" s="84"/>
      <c r="F2944" s="86"/>
      <c r="G2944" s="86"/>
      <c r="H2944" s="88"/>
      <c r="I2944" s="90"/>
      <c r="J2944" s="91"/>
    </row>
    <row r="2945">
      <c r="C2945" s="82"/>
      <c r="E2945" s="84"/>
      <c r="F2945" s="86"/>
      <c r="G2945" s="86"/>
      <c r="H2945" s="88"/>
      <c r="I2945" s="90"/>
      <c r="J2945" s="91"/>
    </row>
    <row r="2946">
      <c r="C2946" s="82"/>
      <c r="E2946" s="84"/>
      <c r="F2946" s="86"/>
      <c r="G2946" s="86"/>
      <c r="H2946" s="88"/>
      <c r="I2946" s="90"/>
      <c r="J2946" s="91"/>
    </row>
    <row r="2947">
      <c r="C2947" s="82"/>
      <c r="E2947" s="84"/>
      <c r="F2947" s="86"/>
      <c r="G2947" s="86"/>
      <c r="H2947" s="88"/>
      <c r="I2947" s="90"/>
      <c r="J2947" s="91"/>
    </row>
    <row r="2948">
      <c r="C2948" s="82"/>
      <c r="E2948" s="84"/>
      <c r="F2948" s="86"/>
      <c r="G2948" s="86"/>
      <c r="H2948" s="88"/>
      <c r="I2948" s="90"/>
      <c r="J2948" s="91"/>
    </row>
    <row r="2949">
      <c r="C2949" s="82"/>
      <c r="E2949" s="84"/>
      <c r="F2949" s="86"/>
      <c r="G2949" s="86"/>
      <c r="H2949" s="88"/>
      <c r="I2949" s="90"/>
      <c r="J2949" s="91"/>
    </row>
    <row r="2950">
      <c r="C2950" s="82"/>
      <c r="E2950" s="84"/>
      <c r="F2950" s="86"/>
      <c r="G2950" s="86"/>
      <c r="H2950" s="88"/>
      <c r="I2950" s="90"/>
      <c r="J2950" s="91"/>
    </row>
    <row r="2951">
      <c r="C2951" s="82"/>
      <c r="E2951" s="84"/>
      <c r="F2951" s="86"/>
      <c r="G2951" s="86"/>
      <c r="H2951" s="88"/>
      <c r="I2951" s="90"/>
      <c r="J2951" s="91"/>
    </row>
    <row r="2952">
      <c r="C2952" s="82"/>
      <c r="E2952" s="84"/>
      <c r="F2952" s="86"/>
      <c r="G2952" s="86"/>
      <c r="H2952" s="88"/>
      <c r="I2952" s="90"/>
      <c r="J2952" s="91"/>
    </row>
    <row r="2953">
      <c r="C2953" s="82"/>
      <c r="E2953" s="84"/>
      <c r="F2953" s="86"/>
      <c r="G2953" s="86"/>
      <c r="H2953" s="88"/>
      <c r="I2953" s="90"/>
      <c r="J2953" s="91"/>
    </row>
    <row r="2954">
      <c r="C2954" s="82"/>
      <c r="E2954" s="84"/>
      <c r="F2954" s="86"/>
      <c r="G2954" s="86"/>
      <c r="H2954" s="88"/>
      <c r="I2954" s="90"/>
      <c r="J2954" s="91"/>
    </row>
    <row r="2955">
      <c r="C2955" s="82"/>
      <c r="E2955" s="84"/>
      <c r="F2955" s="86"/>
      <c r="G2955" s="86"/>
      <c r="H2955" s="88"/>
      <c r="I2955" s="90"/>
      <c r="J2955" s="91"/>
    </row>
    <row r="2956">
      <c r="C2956" s="82"/>
      <c r="E2956" s="84"/>
      <c r="F2956" s="86"/>
      <c r="G2956" s="86"/>
      <c r="H2956" s="88"/>
      <c r="I2956" s="90"/>
      <c r="J2956" s="91"/>
    </row>
    <row r="2957">
      <c r="C2957" s="82"/>
      <c r="E2957" s="84"/>
      <c r="F2957" s="86"/>
      <c r="G2957" s="86"/>
      <c r="H2957" s="88"/>
      <c r="I2957" s="90"/>
      <c r="J2957" s="91"/>
    </row>
    <row r="2958">
      <c r="C2958" s="82"/>
      <c r="E2958" s="84"/>
      <c r="F2958" s="86"/>
      <c r="G2958" s="86"/>
      <c r="H2958" s="88"/>
      <c r="I2958" s="90"/>
      <c r="J2958" s="91"/>
    </row>
    <row r="2959">
      <c r="C2959" s="82"/>
      <c r="E2959" s="84"/>
      <c r="F2959" s="86"/>
      <c r="G2959" s="86"/>
      <c r="H2959" s="88"/>
      <c r="I2959" s="90"/>
      <c r="J2959" s="91"/>
    </row>
    <row r="2960">
      <c r="C2960" s="82"/>
      <c r="E2960" s="84"/>
      <c r="F2960" s="86"/>
      <c r="G2960" s="86"/>
      <c r="H2960" s="88"/>
      <c r="I2960" s="90"/>
      <c r="J2960" s="91"/>
    </row>
    <row r="2961">
      <c r="C2961" s="82"/>
      <c r="E2961" s="84"/>
      <c r="F2961" s="86"/>
      <c r="G2961" s="86"/>
      <c r="H2961" s="88"/>
      <c r="I2961" s="90"/>
      <c r="J2961" s="91"/>
    </row>
    <row r="2962">
      <c r="C2962" s="82"/>
      <c r="E2962" s="84"/>
      <c r="F2962" s="86"/>
      <c r="G2962" s="86"/>
      <c r="H2962" s="88"/>
      <c r="I2962" s="90"/>
      <c r="J2962" s="91"/>
    </row>
    <row r="2963">
      <c r="C2963" s="82"/>
      <c r="E2963" s="84"/>
      <c r="F2963" s="86"/>
      <c r="G2963" s="86"/>
      <c r="H2963" s="88"/>
      <c r="I2963" s="90"/>
      <c r="J2963" s="91"/>
    </row>
    <row r="2964">
      <c r="C2964" s="82"/>
      <c r="E2964" s="84"/>
      <c r="F2964" s="86"/>
      <c r="G2964" s="86"/>
      <c r="H2964" s="88"/>
      <c r="I2964" s="90"/>
      <c r="J2964" s="91"/>
    </row>
    <row r="2965">
      <c r="C2965" s="82"/>
      <c r="E2965" s="84"/>
      <c r="F2965" s="86"/>
      <c r="G2965" s="86"/>
      <c r="H2965" s="88"/>
      <c r="I2965" s="90"/>
      <c r="J2965" s="91"/>
    </row>
    <row r="2966">
      <c r="C2966" s="82"/>
      <c r="E2966" s="84"/>
      <c r="F2966" s="86"/>
      <c r="G2966" s="86"/>
      <c r="H2966" s="88"/>
      <c r="I2966" s="90"/>
      <c r="J2966" s="91"/>
    </row>
    <row r="2967">
      <c r="C2967" s="82"/>
      <c r="E2967" s="84"/>
      <c r="F2967" s="86"/>
      <c r="G2967" s="86"/>
      <c r="H2967" s="88"/>
      <c r="I2967" s="90"/>
      <c r="J2967" s="91"/>
    </row>
    <row r="2968">
      <c r="C2968" s="82"/>
      <c r="E2968" s="84"/>
      <c r="F2968" s="86"/>
      <c r="G2968" s="86"/>
      <c r="H2968" s="88"/>
      <c r="I2968" s="90"/>
      <c r="J2968" s="91"/>
    </row>
    <row r="2969">
      <c r="C2969" s="82"/>
      <c r="E2969" s="84"/>
      <c r="F2969" s="86"/>
      <c r="G2969" s="86"/>
      <c r="H2969" s="88"/>
      <c r="I2969" s="90"/>
      <c r="J2969" s="91"/>
    </row>
    <row r="2970">
      <c r="C2970" s="82"/>
      <c r="E2970" s="84"/>
      <c r="F2970" s="86"/>
      <c r="G2970" s="86"/>
      <c r="H2970" s="88"/>
      <c r="I2970" s="90"/>
      <c r="J2970" s="91"/>
    </row>
    <row r="2971">
      <c r="C2971" s="82"/>
      <c r="E2971" s="84"/>
      <c r="F2971" s="86"/>
      <c r="G2971" s="86"/>
      <c r="H2971" s="88"/>
      <c r="I2971" s="90"/>
      <c r="J2971" s="91"/>
    </row>
    <row r="2972">
      <c r="C2972" s="82"/>
      <c r="E2972" s="84"/>
      <c r="F2972" s="86"/>
      <c r="G2972" s="86"/>
      <c r="H2972" s="88"/>
      <c r="I2972" s="90"/>
      <c r="J2972" s="91"/>
    </row>
    <row r="2973">
      <c r="C2973" s="82"/>
      <c r="E2973" s="84"/>
      <c r="F2973" s="86"/>
      <c r="G2973" s="86"/>
      <c r="H2973" s="88"/>
      <c r="I2973" s="90"/>
      <c r="J2973" s="91"/>
    </row>
    <row r="2974">
      <c r="C2974" s="82"/>
      <c r="E2974" s="84"/>
      <c r="F2974" s="86"/>
      <c r="G2974" s="86"/>
      <c r="H2974" s="88"/>
      <c r="I2974" s="90"/>
      <c r="J2974" s="91"/>
    </row>
    <row r="2975">
      <c r="C2975" s="82"/>
      <c r="E2975" s="84"/>
      <c r="F2975" s="86"/>
      <c r="G2975" s="86"/>
      <c r="H2975" s="88"/>
      <c r="I2975" s="90"/>
      <c r="J2975" s="91"/>
    </row>
    <row r="2976">
      <c r="C2976" s="82"/>
      <c r="E2976" s="84"/>
      <c r="F2976" s="86"/>
      <c r="G2976" s="86"/>
      <c r="H2976" s="88"/>
      <c r="I2976" s="90"/>
      <c r="J2976" s="91"/>
    </row>
    <row r="2977">
      <c r="C2977" s="82"/>
      <c r="E2977" s="84"/>
      <c r="F2977" s="86"/>
      <c r="G2977" s="86"/>
      <c r="H2977" s="88"/>
      <c r="I2977" s="90"/>
      <c r="J2977" s="91"/>
    </row>
    <row r="2978">
      <c r="C2978" s="82"/>
      <c r="E2978" s="84"/>
      <c r="F2978" s="86"/>
      <c r="G2978" s="86"/>
      <c r="H2978" s="88"/>
      <c r="I2978" s="90"/>
      <c r="J2978" s="91"/>
    </row>
    <row r="2979">
      <c r="C2979" s="82"/>
      <c r="E2979" s="84"/>
      <c r="F2979" s="86"/>
      <c r="G2979" s="86"/>
      <c r="H2979" s="88"/>
      <c r="I2979" s="90"/>
      <c r="J2979" s="91"/>
    </row>
    <row r="2980">
      <c r="C2980" s="82"/>
      <c r="E2980" s="84"/>
      <c r="F2980" s="86"/>
      <c r="G2980" s="86"/>
      <c r="H2980" s="88"/>
      <c r="I2980" s="90"/>
      <c r="J2980" s="91"/>
    </row>
    <row r="2981">
      <c r="C2981" s="82"/>
      <c r="E2981" s="84"/>
      <c r="F2981" s="86"/>
      <c r="G2981" s="86"/>
      <c r="H2981" s="88"/>
      <c r="I2981" s="90"/>
      <c r="J2981" s="91"/>
    </row>
    <row r="2982">
      <c r="C2982" s="82"/>
      <c r="E2982" s="84"/>
      <c r="F2982" s="86"/>
      <c r="G2982" s="86"/>
      <c r="H2982" s="88"/>
      <c r="I2982" s="90"/>
      <c r="J2982" s="91"/>
    </row>
    <row r="2983">
      <c r="C2983" s="82"/>
      <c r="E2983" s="84"/>
      <c r="F2983" s="86"/>
      <c r="G2983" s="86"/>
      <c r="H2983" s="88"/>
      <c r="I2983" s="90"/>
      <c r="J2983" s="91"/>
    </row>
    <row r="2984">
      <c r="C2984" s="82"/>
      <c r="E2984" s="84"/>
      <c r="F2984" s="86"/>
      <c r="G2984" s="86"/>
      <c r="H2984" s="88"/>
      <c r="I2984" s="90"/>
      <c r="J2984" s="91"/>
    </row>
    <row r="2985">
      <c r="C2985" s="82"/>
      <c r="E2985" s="84"/>
      <c r="F2985" s="86"/>
      <c r="G2985" s="86"/>
      <c r="H2985" s="88"/>
      <c r="I2985" s="90"/>
      <c r="J2985" s="91"/>
    </row>
    <row r="2986">
      <c r="C2986" s="82"/>
      <c r="E2986" s="84"/>
      <c r="F2986" s="86"/>
      <c r="G2986" s="86"/>
      <c r="H2986" s="88"/>
      <c r="I2986" s="90"/>
      <c r="J2986" s="91"/>
    </row>
    <row r="2987">
      <c r="C2987" s="82"/>
      <c r="E2987" s="84"/>
      <c r="F2987" s="86"/>
      <c r="G2987" s="86"/>
      <c r="H2987" s="88"/>
      <c r="I2987" s="90"/>
      <c r="J2987" s="91"/>
    </row>
    <row r="2988">
      <c r="C2988" s="82"/>
      <c r="E2988" s="84"/>
      <c r="F2988" s="86"/>
      <c r="G2988" s="86"/>
      <c r="H2988" s="88"/>
      <c r="I2988" s="90"/>
      <c r="J2988" s="91"/>
    </row>
    <row r="2989">
      <c r="C2989" s="82"/>
      <c r="E2989" s="84"/>
      <c r="F2989" s="86"/>
      <c r="G2989" s="86"/>
      <c r="H2989" s="88"/>
      <c r="I2989" s="90"/>
      <c r="J2989" s="91"/>
    </row>
    <row r="2990">
      <c r="C2990" s="82"/>
      <c r="E2990" s="84"/>
      <c r="F2990" s="86"/>
      <c r="G2990" s="86"/>
      <c r="H2990" s="88"/>
      <c r="I2990" s="90"/>
      <c r="J2990" s="91"/>
    </row>
    <row r="2991">
      <c r="C2991" s="82"/>
      <c r="E2991" s="84"/>
      <c r="F2991" s="86"/>
      <c r="G2991" s="86"/>
      <c r="H2991" s="88"/>
      <c r="I2991" s="90"/>
      <c r="J2991" s="91"/>
    </row>
    <row r="2992">
      <c r="C2992" s="82"/>
      <c r="E2992" s="84"/>
      <c r="F2992" s="86"/>
      <c r="G2992" s="86"/>
      <c r="H2992" s="88"/>
      <c r="I2992" s="90"/>
      <c r="J2992" s="91"/>
    </row>
    <row r="2993">
      <c r="C2993" s="82"/>
      <c r="E2993" s="84"/>
      <c r="F2993" s="86"/>
      <c r="G2993" s="86"/>
      <c r="H2993" s="88"/>
      <c r="I2993" s="90"/>
      <c r="J2993" s="91"/>
    </row>
    <row r="2994">
      <c r="C2994" s="82"/>
      <c r="E2994" s="84"/>
      <c r="F2994" s="86"/>
      <c r="G2994" s="86"/>
      <c r="H2994" s="88"/>
      <c r="I2994" s="90"/>
      <c r="J2994" s="91"/>
    </row>
    <row r="2995">
      <c r="C2995" s="82"/>
      <c r="E2995" s="84"/>
      <c r="F2995" s="86"/>
      <c r="G2995" s="86"/>
      <c r="H2995" s="88"/>
      <c r="I2995" s="90"/>
      <c r="J2995" s="91"/>
    </row>
    <row r="2996">
      <c r="C2996" s="82"/>
      <c r="E2996" s="84"/>
      <c r="F2996" s="86"/>
      <c r="G2996" s="86"/>
      <c r="H2996" s="88"/>
      <c r="I2996" s="90"/>
      <c r="J2996" s="91"/>
    </row>
    <row r="2997">
      <c r="C2997" s="82"/>
      <c r="E2997" s="84"/>
      <c r="F2997" s="86"/>
      <c r="G2997" s="86"/>
      <c r="H2997" s="88"/>
      <c r="I2997" s="90"/>
      <c r="J2997" s="91"/>
    </row>
    <row r="2998">
      <c r="C2998" s="82"/>
      <c r="E2998" s="84"/>
      <c r="F2998" s="86"/>
      <c r="G2998" s="86"/>
      <c r="H2998" s="88"/>
      <c r="I2998" s="90"/>
      <c r="J2998" s="91"/>
    </row>
    <row r="2999">
      <c r="C2999" s="82"/>
      <c r="E2999" s="84"/>
      <c r="F2999" s="86"/>
      <c r="G2999" s="86"/>
      <c r="H2999" s="88"/>
      <c r="I2999" s="90"/>
      <c r="J2999" s="91"/>
    </row>
    <row r="3000">
      <c r="C3000" s="82"/>
      <c r="E3000" s="84"/>
      <c r="F3000" s="86"/>
      <c r="G3000" s="86"/>
      <c r="H3000" s="88"/>
      <c r="I3000" s="90"/>
      <c r="J3000" s="91"/>
    </row>
    <row r="3001">
      <c r="C3001" s="82"/>
      <c r="E3001" s="84"/>
      <c r="F3001" s="86"/>
      <c r="G3001" s="86"/>
      <c r="H3001" s="88"/>
      <c r="I3001" s="90"/>
      <c r="J3001" s="91"/>
    </row>
    <row r="3002">
      <c r="C3002" s="82"/>
      <c r="E3002" s="84"/>
      <c r="F3002" s="86"/>
      <c r="G3002" s="86"/>
      <c r="H3002" s="88"/>
      <c r="I3002" s="90"/>
      <c r="J3002" s="91"/>
    </row>
    <row r="3003">
      <c r="C3003" s="82"/>
      <c r="E3003" s="84"/>
      <c r="F3003" s="86"/>
      <c r="G3003" s="86"/>
      <c r="H3003" s="88"/>
      <c r="I3003" s="90"/>
      <c r="J3003" s="91"/>
    </row>
    <row r="3004">
      <c r="C3004" s="82"/>
      <c r="E3004" s="84"/>
      <c r="F3004" s="86"/>
      <c r="G3004" s="86"/>
      <c r="H3004" s="88"/>
      <c r="I3004" s="90"/>
      <c r="J3004" s="91"/>
    </row>
    <row r="3005">
      <c r="C3005" s="82"/>
      <c r="E3005" s="84"/>
      <c r="F3005" s="86"/>
      <c r="G3005" s="86"/>
      <c r="H3005" s="88"/>
      <c r="I3005" s="90"/>
      <c r="J3005" s="91"/>
    </row>
    <row r="3006">
      <c r="C3006" s="82"/>
      <c r="E3006" s="84"/>
      <c r="F3006" s="86"/>
      <c r="G3006" s="86"/>
      <c r="H3006" s="88"/>
      <c r="I3006" s="90"/>
      <c r="J3006" s="91"/>
    </row>
    <row r="3007">
      <c r="C3007" s="82"/>
      <c r="E3007" s="84"/>
      <c r="F3007" s="86"/>
      <c r="G3007" s="86"/>
      <c r="H3007" s="88"/>
      <c r="I3007" s="90"/>
      <c r="J3007" s="91"/>
    </row>
    <row r="3008">
      <c r="C3008" s="82"/>
      <c r="E3008" s="84"/>
      <c r="F3008" s="86"/>
      <c r="G3008" s="86"/>
      <c r="H3008" s="88"/>
      <c r="I3008" s="90"/>
      <c r="J3008" s="91"/>
    </row>
    <row r="3009">
      <c r="C3009" s="82"/>
      <c r="E3009" s="84"/>
      <c r="F3009" s="86"/>
      <c r="G3009" s="86"/>
      <c r="H3009" s="88"/>
      <c r="I3009" s="90"/>
      <c r="J3009" s="91"/>
    </row>
    <row r="3010">
      <c r="C3010" s="82"/>
      <c r="E3010" s="84"/>
      <c r="F3010" s="86"/>
      <c r="G3010" s="86"/>
      <c r="H3010" s="88"/>
      <c r="I3010" s="90"/>
      <c r="J3010" s="91"/>
    </row>
    <row r="3011">
      <c r="C3011" s="82"/>
      <c r="E3011" s="84"/>
      <c r="F3011" s="86"/>
      <c r="G3011" s="86"/>
      <c r="H3011" s="88"/>
      <c r="I3011" s="90"/>
      <c r="J3011" s="91"/>
    </row>
    <row r="3012">
      <c r="C3012" s="82"/>
      <c r="E3012" s="84"/>
      <c r="F3012" s="86"/>
      <c r="G3012" s="86"/>
      <c r="H3012" s="88"/>
      <c r="I3012" s="90"/>
      <c r="J3012" s="91"/>
    </row>
    <row r="3013">
      <c r="C3013" s="82"/>
      <c r="E3013" s="84"/>
      <c r="F3013" s="86"/>
      <c r="G3013" s="86"/>
      <c r="H3013" s="88"/>
      <c r="I3013" s="90"/>
      <c r="J3013" s="91"/>
    </row>
    <row r="3014">
      <c r="C3014" s="82"/>
      <c r="E3014" s="84"/>
      <c r="F3014" s="86"/>
      <c r="G3014" s="86"/>
      <c r="H3014" s="88"/>
      <c r="I3014" s="90"/>
      <c r="J3014" s="91"/>
    </row>
    <row r="3015">
      <c r="C3015" s="82"/>
      <c r="E3015" s="84"/>
      <c r="F3015" s="86"/>
      <c r="G3015" s="86"/>
      <c r="H3015" s="88"/>
      <c r="I3015" s="90"/>
      <c r="J3015" s="91"/>
    </row>
    <row r="3016">
      <c r="C3016" s="82"/>
      <c r="E3016" s="84"/>
      <c r="F3016" s="86"/>
      <c r="G3016" s="86"/>
      <c r="H3016" s="88"/>
      <c r="I3016" s="90"/>
      <c r="J3016" s="91"/>
    </row>
    <row r="3017">
      <c r="C3017" s="82"/>
      <c r="E3017" s="84"/>
      <c r="F3017" s="86"/>
      <c r="G3017" s="86"/>
      <c r="H3017" s="88"/>
      <c r="I3017" s="90"/>
      <c r="J3017" s="91"/>
    </row>
    <row r="3018">
      <c r="C3018" s="82"/>
      <c r="E3018" s="84"/>
      <c r="F3018" s="86"/>
      <c r="G3018" s="86"/>
      <c r="H3018" s="88"/>
      <c r="I3018" s="90"/>
      <c r="J3018" s="91"/>
    </row>
    <row r="3019">
      <c r="C3019" s="82"/>
      <c r="E3019" s="84"/>
      <c r="F3019" s="86"/>
      <c r="G3019" s="86"/>
      <c r="H3019" s="88"/>
      <c r="I3019" s="90"/>
      <c r="J3019" s="91"/>
    </row>
    <row r="3020">
      <c r="C3020" s="82"/>
      <c r="E3020" s="84"/>
      <c r="F3020" s="86"/>
      <c r="G3020" s="86"/>
      <c r="H3020" s="88"/>
      <c r="I3020" s="90"/>
      <c r="J3020" s="91"/>
    </row>
    <row r="3021">
      <c r="C3021" s="82"/>
      <c r="E3021" s="84"/>
      <c r="F3021" s="86"/>
      <c r="G3021" s="86"/>
      <c r="H3021" s="88"/>
      <c r="I3021" s="90"/>
      <c r="J3021" s="91"/>
    </row>
    <row r="3022">
      <c r="C3022" s="82"/>
      <c r="E3022" s="84"/>
      <c r="F3022" s="86"/>
      <c r="G3022" s="86"/>
      <c r="H3022" s="88"/>
      <c r="I3022" s="90"/>
      <c r="J3022" s="91"/>
    </row>
    <row r="3023">
      <c r="C3023" s="82"/>
      <c r="E3023" s="84"/>
      <c r="F3023" s="86"/>
      <c r="G3023" s="86"/>
      <c r="H3023" s="88"/>
      <c r="I3023" s="90"/>
      <c r="J3023" s="91"/>
    </row>
    <row r="3024">
      <c r="C3024" s="82"/>
      <c r="E3024" s="84"/>
      <c r="F3024" s="86"/>
      <c r="G3024" s="86"/>
      <c r="H3024" s="88"/>
      <c r="I3024" s="90"/>
      <c r="J3024" s="91"/>
    </row>
    <row r="3025">
      <c r="C3025" s="82"/>
      <c r="E3025" s="84"/>
      <c r="F3025" s="86"/>
      <c r="G3025" s="86"/>
      <c r="H3025" s="88"/>
      <c r="I3025" s="90"/>
      <c r="J3025" s="91"/>
    </row>
    <row r="3026">
      <c r="C3026" s="82"/>
      <c r="E3026" s="84"/>
      <c r="F3026" s="86"/>
      <c r="G3026" s="86"/>
      <c r="H3026" s="88"/>
      <c r="I3026" s="90"/>
      <c r="J3026" s="91"/>
    </row>
    <row r="3027">
      <c r="C3027" s="82"/>
      <c r="E3027" s="84"/>
      <c r="F3027" s="86"/>
      <c r="G3027" s="86"/>
      <c r="H3027" s="88"/>
      <c r="I3027" s="90"/>
      <c r="J3027" s="91"/>
    </row>
    <row r="3028">
      <c r="C3028" s="82"/>
      <c r="E3028" s="84"/>
      <c r="F3028" s="86"/>
      <c r="G3028" s="86"/>
      <c r="H3028" s="88"/>
      <c r="I3028" s="90"/>
      <c r="J3028" s="91"/>
    </row>
    <row r="3029">
      <c r="C3029" s="82"/>
      <c r="E3029" s="84"/>
      <c r="F3029" s="86"/>
      <c r="G3029" s="86"/>
      <c r="H3029" s="88"/>
      <c r="I3029" s="90"/>
      <c r="J3029" s="91"/>
    </row>
    <row r="3030">
      <c r="C3030" s="82"/>
      <c r="E3030" s="84"/>
      <c r="F3030" s="86"/>
      <c r="G3030" s="86"/>
      <c r="H3030" s="88"/>
      <c r="I3030" s="90"/>
      <c r="J3030" s="91"/>
    </row>
    <row r="3031">
      <c r="C3031" s="82"/>
      <c r="E3031" s="84"/>
      <c r="F3031" s="86"/>
      <c r="G3031" s="86"/>
      <c r="H3031" s="88"/>
      <c r="I3031" s="90"/>
      <c r="J3031" s="91"/>
    </row>
    <row r="3032">
      <c r="C3032" s="82"/>
      <c r="E3032" s="84"/>
      <c r="F3032" s="86"/>
      <c r="G3032" s="86"/>
      <c r="H3032" s="88"/>
      <c r="I3032" s="90"/>
      <c r="J3032" s="91"/>
    </row>
    <row r="3033">
      <c r="C3033" s="82"/>
      <c r="E3033" s="84"/>
      <c r="F3033" s="86"/>
      <c r="G3033" s="86"/>
      <c r="H3033" s="88"/>
      <c r="I3033" s="90"/>
      <c r="J3033" s="91"/>
    </row>
    <row r="3034">
      <c r="C3034" s="82"/>
      <c r="E3034" s="84"/>
      <c r="F3034" s="86"/>
      <c r="G3034" s="86"/>
      <c r="H3034" s="88"/>
      <c r="I3034" s="90"/>
      <c r="J3034" s="91"/>
    </row>
    <row r="3035">
      <c r="C3035" s="82"/>
      <c r="E3035" s="84"/>
      <c r="F3035" s="86"/>
      <c r="G3035" s="86"/>
      <c r="H3035" s="88"/>
      <c r="I3035" s="90"/>
      <c r="J3035" s="91"/>
    </row>
    <row r="3036">
      <c r="C3036" s="82"/>
      <c r="E3036" s="84"/>
      <c r="F3036" s="86"/>
      <c r="G3036" s="86"/>
      <c r="H3036" s="88"/>
      <c r="I3036" s="90"/>
      <c r="J3036" s="91"/>
    </row>
    <row r="3037">
      <c r="C3037" s="82"/>
      <c r="E3037" s="84"/>
      <c r="F3037" s="86"/>
      <c r="G3037" s="86"/>
      <c r="H3037" s="88"/>
      <c r="I3037" s="90"/>
      <c r="J3037" s="91"/>
    </row>
    <row r="3038">
      <c r="C3038" s="82"/>
      <c r="E3038" s="84"/>
      <c r="F3038" s="86"/>
      <c r="G3038" s="86"/>
      <c r="H3038" s="88"/>
      <c r="I3038" s="90"/>
      <c r="J3038" s="91"/>
    </row>
    <row r="3039">
      <c r="C3039" s="82"/>
      <c r="E3039" s="84"/>
      <c r="F3039" s="86"/>
      <c r="G3039" s="86"/>
      <c r="H3039" s="88"/>
      <c r="I3039" s="90"/>
      <c r="J3039" s="91"/>
    </row>
    <row r="3040">
      <c r="C3040" s="82"/>
      <c r="E3040" s="84"/>
      <c r="F3040" s="86"/>
      <c r="G3040" s="86"/>
      <c r="H3040" s="88"/>
      <c r="I3040" s="90"/>
      <c r="J3040" s="91"/>
    </row>
    <row r="3041">
      <c r="C3041" s="82"/>
      <c r="E3041" s="84"/>
      <c r="F3041" s="86"/>
      <c r="G3041" s="86"/>
      <c r="H3041" s="88"/>
      <c r="I3041" s="90"/>
      <c r="J3041" s="91"/>
    </row>
    <row r="3042">
      <c r="C3042" s="82"/>
      <c r="E3042" s="84"/>
      <c r="F3042" s="86"/>
      <c r="G3042" s="86"/>
      <c r="H3042" s="88"/>
      <c r="I3042" s="90"/>
      <c r="J3042" s="91"/>
    </row>
    <row r="3043">
      <c r="C3043" s="82"/>
      <c r="E3043" s="84"/>
      <c r="F3043" s="86"/>
      <c r="G3043" s="86"/>
      <c r="H3043" s="88"/>
      <c r="I3043" s="90"/>
      <c r="J3043" s="91"/>
    </row>
    <row r="3044">
      <c r="C3044" s="82"/>
      <c r="E3044" s="84"/>
      <c r="F3044" s="86"/>
      <c r="G3044" s="86"/>
      <c r="H3044" s="88"/>
      <c r="I3044" s="90"/>
      <c r="J3044" s="91"/>
    </row>
    <row r="3045">
      <c r="C3045" s="82"/>
      <c r="E3045" s="84"/>
      <c r="F3045" s="86"/>
      <c r="G3045" s="86"/>
      <c r="H3045" s="88"/>
      <c r="I3045" s="90"/>
      <c r="J3045" s="91"/>
    </row>
    <row r="3046">
      <c r="C3046" s="82"/>
      <c r="E3046" s="84"/>
      <c r="F3046" s="86"/>
      <c r="G3046" s="86"/>
      <c r="H3046" s="88"/>
      <c r="I3046" s="90"/>
      <c r="J3046" s="91"/>
    </row>
    <row r="3047">
      <c r="C3047" s="82"/>
      <c r="E3047" s="84"/>
      <c r="F3047" s="86"/>
      <c r="G3047" s="86"/>
      <c r="H3047" s="88"/>
      <c r="I3047" s="90"/>
      <c r="J3047" s="91"/>
    </row>
    <row r="3048">
      <c r="C3048" s="82"/>
      <c r="E3048" s="84"/>
      <c r="F3048" s="86"/>
      <c r="G3048" s="86"/>
      <c r="H3048" s="88"/>
      <c r="I3048" s="90"/>
      <c r="J3048" s="91"/>
    </row>
    <row r="3049">
      <c r="C3049" s="82"/>
      <c r="E3049" s="84"/>
      <c r="F3049" s="86"/>
      <c r="G3049" s="86"/>
      <c r="H3049" s="88"/>
      <c r="I3049" s="90"/>
      <c r="J3049" s="91"/>
    </row>
    <row r="3050">
      <c r="C3050" s="82"/>
      <c r="E3050" s="84"/>
      <c r="F3050" s="86"/>
      <c r="G3050" s="86"/>
      <c r="H3050" s="88"/>
      <c r="I3050" s="90"/>
      <c r="J3050" s="91"/>
    </row>
    <row r="3051">
      <c r="C3051" s="82"/>
      <c r="E3051" s="84"/>
      <c r="F3051" s="86"/>
      <c r="G3051" s="86"/>
      <c r="H3051" s="88"/>
      <c r="I3051" s="90"/>
      <c r="J3051" s="91"/>
    </row>
    <row r="3052">
      <c r="C3052" s="82"/>
      <c r="E3052" s="84"/>
      <c r="F3052" s="86"/>
      <c r="G3052" s="86"/>
      <c r="H3052" s="88"/>
      <c r="I3052" s="90"/>
      <c r="J3052" s="91"/>
    </row>
    <row r="3053">
      <c r="C3053" s="82"/>
      <c r="E3053" s="84"/>
      <c r="F3053" s="86"/>
      <c r="G3053" s="86"/>
      <c r="H3053" s="88"/>
      <c r="I3053" s="90"/>
      <c r="J3053" s="91"/>
    </row>
    <row r="3054">
      <c r="C3054" s="82"/>
      <c r="E3054" s="84"/>
      <c r="F3054" s="86"/>
      <c r="G3054" s="86"/>
      <c r="H3054" s="88"/>
      <c r="I3054" s="90"/>
      <c r="J3054" s="91"/>
    </row>
    <row r="3055">
      <c r="C3055" s="82"/>
      <c r="E3055" s="84"/>
      <c r="F3055" s="86"/>
      <c r="G3055" s="86"/>
      <c r="H3055" s="88"/>
      <c r="I3055" s="90"/>
      <c r="J3055" s="91"/>
    </row>
    <row r="3056">
      <c r="C3056" s="82"/>
      <c r="E3056" s="84"/>
      <c r="F3056" s="86"/>
      <c r="G3056" s="86"/>
      <c r="H3056" s="88"/>
      <c r="I3056" s="90"/>
      <c r="J3056" s="91"/>
    </row>
    <row r="3057">
      <c r="C3057" s="82"/>
      <c r="E3057" s="84"/>
      <c r="F3057" s="86"/>
      <c r="G3057" s="86"/>
      <c r="H3057" s="88"/>
      <c r="I3057" s="90"/>
      <c r="J3057" s="91"/>
    </row>
    <row r="3058">
      <c r="C3058" s="82"/>
      <c r="E3058" s="84"/>
      <c r="F3058" s="86"/>
      <c r="G3058" s="86"/>
      <c r="H3058" s="88"/>
      <c r="I3058" s="90"/>
      <c r="J3058" s="91"/>
    </row>
    <row r="3059">
      <c r="C3059" s="82"/>
      <c r="E3059" s="84"/>
      <c r="F3059" s="86"/>
      <c r="G3059" s="86"/>
      <c r="H3059" s="88"/>
      <c r="I3059" s="90"/>
      <c r="J3059" s="91"/>
    </row>
    <row r="3060">
      <c r="C3060" s="82"/>
      <c r="E3060" s="84"/>
      <c r="F3060" s="86"/>
      <c r="G3060" s="86"/>
      <c r="H3060" s="88"/>
      <c r="I3060" s="90"/>
      <c r="J3060" s="91"/>
    </row>
    <row r="3061">
      <c r="C3061" s="82"/>
      <c r="E3061" s="84"/>
      <c r="F3061" s="86"/>
      <c r="G3061" s="86"/>
      <c r="H3061" s="88"/>
      <c r="I3061" s="90"/>
      <c r="J3061" s="91"/>
    </row>
    <row r="3062">
      <c r="C3062" s="82"/>
      <c r="E3062" s="84"/>
      <c r="F3062" s="86"/>
      <c r="G3062" s="86"/>
      <c r="H3062" s="88"/>
      <c r="I3062" s="90"/>
      <c r="J3062" s="91"/>
    </row>
    <row r="3063">
      <c r="C3063" s="82"/>
      <c r="E3063" s="84"/>
      <c r="F3063" s="86"/>
      <c r="G3063" s="86"/>
      <c r="H3063" s="88"/>
      <c r="I3063" s="90"/>
      <c r="J3063" s="91"/>
    </row>
    <row r="3064">
      <c r="C3064" s="82"/>
      <c r="E3064" s="84"/>
      <c r="F3064" s="86"/>
      <c r="G3064" s="86"/>
      <c r="H3064" s="88"/>
      <c r="I3064" s="90"/>
      <c r="J3064" s="91"/>
    </row>
    <row r="3065">
      <c r="C3065" s="82"/>
      <c r="E3065" s="84"/>
      <c r="F3065" s="86"/>
      <c r="G3065" s="86"/>
      <c r="H3065" s="88"/>
      <c r="I3065" s="90"/>
      <c r="J3065" s="91"/>
    </row>
    <row r="3066">
      <c r="C3066" s="82"/>
      <c r="E3066" s="84"/>
      <c r="F3066" s="86"/>
      <c r="G3066" s="86"/>
      <c r="H3066" s="88"/>
      <c r="I3066" s="90"/>
      <c r="J3066" s="91"/>
    </row>
    <row r="3067">
      <c r="C3067" s="82"/>
      <c r="E3067" s="84"/>
      <c r="F3067" s="86"/>
      <c r="G3067" s="86"/>
      <c r="H3067" s="88"/>
      <c r="I3067" s="90"/>
      <c r="J3067" s="91"/>
    </row>
    <row r="3068">
      <c r="C3068" s="82"/>
      <c r="E3068" s="84"/>
      <c r="F3068" s="86"/>
      <c r="G3068" s="86"/>
      <c r="H3068" s="88"/>
      <c r="I3068" s="90"/>
      <c r="J3068" s="91"/>
    </row>
    <row r="3069">
      <c r="C3069" s="82"/>
      <c r="E3069" s="84"/>
      <c r="F3069" s="86"/>
      <c r="G3069" s="86"/>
      <c r="H3069" s="88"/>
      <c r="I3069" s="90"/>
      <c r="J3069" s="91"/>
    </row>
    <row r="3070">
      <c r="C3070" s="82"/>
      <c r="E3070" s="84"/>
      <c r="F3070" s="86"/>
      <c r="G3070" s="86"/>
      <c r="H3070" s="88"/>
      <c r="I3070" s="90"/>
      <c r="J3070" s="91"/>
    </row>
    <row r="3071">
      <c r="C3071" s="82"/>
      <c r="E3071" s="84"/>
      <c r="F3071" s="86"/>
      <c r="G3071" s="86"/>
      <c r="H3071" s="88"/>
      <c r="I3071" s="90"/>
      <c r="J3071" s="91"/>
    </row>
    <row r="3072">
      <c r="C3072" s="82"/>
      <c r="E3072" s="84"/>
      <c r="F3072" s="86"/>
      <c r="G3072" s="86"/>
      <c r="H3072" s="88"/>
      <c r="I3072" s="90"/>
      <c r="J3072" s="91"/>
    </row>
    <row r="3073">
      <c r="C3073" s="82"/>
      <c r="E3073" s="84"/>
      <c r="F3073" s="86"/>
      <c r="G3073" s="86"/>
      <c r="H3073" s="88"/>
      <c r="I3073" s="90"/>
      <c r="J3073" s="91"/>
    </row>
    <row r="3074">
      <c r="C3074" s="82"/>
      <c r="E3074" s="84"/>
      <c r="F3074" s="86"/>
      <c r="G3074" s="86"/>
      <c r="H3074" s="88"/>
      <c r="I3074" s="90"/>
      <c r="J3074" s="91"/>
    </row>
    <row r="3075">
      <c r="C3075" s="82"/>
      <c r="E3075" s="84"/>
      <c r="F3075" s="86"/>
      <c r="G3075" s="86"/>
      <c r="H3075" s="88"/>
      <c r="I3075" s="90"/>
      <c r="J3075" s="91"/>
    </row>
    <row r="3076">
      <c r="C3076" s="82"/>
      <c r="E3076" s="84"/>
      <c r="F3076" s="86"/>
      <c r="G3076" s="86"/>
      <c r="H3076" s="88"/>
      <c r="I3076" s="90"/>
      <c r="J3076" s="91"/>
    </row>
    <row r="3077">
      <c r="C3077" s="82"/>
      <c r="E3077" s="84"/>
      <c r="F3077" s="86"/>
      <c r="G3077" s="86"/>
      <c r="H3077" s="88"/>
      <c r="I3077" s="90"/>
      <c r="J3077" s="91"/>
    </row>
    <row r="3078">
      <c r="C3078" s="82"/>
      <c r="E3078" s="84"/>
      <c r="F3078" s="86"/>
      <c r="G3078" s="86"/>
      <c r="H3078" s="88"/>
      <c r="I3078" s="90"/>
      <c r="J3078" s="91"/>
    </row>
    <row r="3079">
      <c r="C3079" s="82"/>
      <c r="E3079" s="84"/>
      <c r="F3079" s="86"/>
      <c r="G3079" s="86"/>
      <c r="H3079" s="88"/>
      <c r="I3079" s="90"/>
      <c r="J3079" s="91"/>
    </row>
    <row r="3080">
      <c r="C3080" s="82"/>
      <c r="E3080" s="84"/>
      <c r="F3080" s="86"/>
      <c r="G3080" s="86"/>
      <c r="H3080" s="88"/>
      <c r="I3080" s="90"/>
      <c r="J3080" s="91"/>
    </row>
    <row r="3081">
      <c r="C3081" s="82"/>
      <c r="E3081" s="84"/>
      <c r="F3081" s="86"/>
      <c r="G3081" s="86"/>
      <c r="H3081" s="88"/>
      <c r="I3081" s="90"/>
      <c r="J3081" s="91"/>
    </row>
    <row r="3082">
      <c r="C3082" s="82"/>
      <c r="E3082" s="84"/>
      <c r="F3082" s="86"/>
      <c r="G3082" s="86"/>
      <c r="H3082" s="88"/>
      <c r="I3082" s="90"/>
      <c r="J3082" s="91"/>
    </row>
    <row r="3083">
      <c r="C3083" s="82"/>
      <c r="E3083" s="84"/>
      <c r="F3083" s="86"/>
      <c r="G3083" s="86"/>
      <c r="H3083" s="88"/>
      <c r="I3083" s="90"/>
      <c r="J3083" s="91"/>
    </row>
    <row r="3084">
      <c r="C3084" s="82"/>
      <c r="E3084" s="84"/>
      <c r="F3084" s="86"/>
      <c r="G3084" s="86"/>
      <c r="H3084" s="88"/>
      <c r="I3084" s="90"/>
      <c r="J3084" s="91"/>
    </row>
    <row r="3085">
      <c r="C3085" s="82"/>
      <c r="E3085" s="84"/>
      <c r="F3085" s="86"/>
      <c r="G3085" s="86"/>
      <c r="H3085" s="88"/>
      <c r="I3085" s="90"/>
      <c r="J3085" s="91"/>
    </row>
    <row r="3086">
      <c r="C3086" s="82"/>
      <c r="E3086" s="84"/>
      <c r="F3086" s="86"/>
      <c r="G3086" s="86"/>
      <c r="H3086" s="88"/>
      <c r="I3086" s="90"/>
      <c r="J3086" s="91"/>
    </row>
    <row r="3087">
      <c r="C3087" s="82"/>
      <c r="E3087" s="84"/>
      <c r="F3087" s="86"/>
      <c r="G3087" s="86"/>
      <c r="H3087" s="88"/>
      <c r="I3087" s="90"/>
      <c r="J3087" s="91"/>
    </row>
    <row r="3088">
      <c r="C3088" s="82"/>
      <c r="E3088" s="84"/>
      <c r="F3088" s="86"/>
      <c r="G3088" s="86"/>
      <c r="H3088" s="88"/>
      <c r="I3088" s="90"/>
      <c r="J3088" s="91"/>
    </row>
    <row r="3089">
      <c r="C3089" s="82"/>
      <c r="E3089" s="84"/>
      <c r="F3089" s="86"/>
      <c r="G3089" s="86"/>
      <c r="H3089" s="88"/>
      <c r="I3089" s="90"/>
      <c r="J3089" s="91"/>
    </row>
    <row r="3090">
      <c r="C3090" s="82"/>
      <c r="E3090" s="84"/>
      <c r="F3090" s="86"/>
      <c r="G3090" s="86"/>
      <c r="H3090" s="88"/>
      <c r="I3090" s="90"/>
      <c r="J3090" s="91"/>
    </row>
    <row r="3091">
      <c r="C3091" s="82"/>
      <c r="E3091" s="84"/>
      <c r="F3091" s="86"/>
      <c r="G3091" s="86"/>
      <c r="H3091" s="88"/>
      <c r="I3091" s="90"/>
      <c r="J3091" s="91"/>
    </row>
    <row r="3092">
      <c r="C3092" s="82"/>
      <c r="E3092" s="84"/>
      <c r="F3092" s="86"/>
      <c r="G3092" s="86"/>
      <c r="H3092" s="88"/>
      <c r="I3092" s="90"/>
      <c r="J3092" s="91"/>
    </row>
    <row r="3093">
      <c r="C3093" s="82"/>
      <c r="E3093" s="84"/>
      <c r="F3093" s="86"/>
      <c r="G3093" s="86"/>
      <c r="H3093" s="88"/>
      <c r="I3093" s="90"/>
      <c r="J3093" s="91"/>
    </row>
    <row r="3094">
      <c r="C3094" s="82"/>
      <c r="E3094" s="84"/>
      <c r="F3094" s="86"/>
      <c r="G3094" s="86"/>
      <c r="H3094" s="88"/>
      <c r="I3094" s="90"/>
      <c r="J3094" s="91"/>
    </row>
    <row r="3095">
      <c r="C3095" s="82"/>
      <c r="E3095" s="84"/>
      <c r="F3095" s="86"/>
      <c r="G3095" s="86"/>
      <c r="H3095" s="88"/>
      <c r="I3095" s="90"/>
      <c r="J3095" s="91"/>
    </row>
    <row r="3096">
      <c r="C3096" s="82"/>
      <c r="E3096" s="84"/>
      <c r="F3096" s="86"/>
      <c r="G3096" s="86"/>
      <c r="H3096" s="88"/>
      <c r="I3096" s="90"/>
      <c r="J3096" s="91"/>
    </row>
    <row r="3097">
      <c r="C3097" s="82"/>
      <c r="E3097" s="84"/>
      <c r="F3097" s="86"/>
      <c r="G3097" s="86"/>
      <c r="H3097" s="88"/>
      <c r="I3097" s="90"/>
      <c r="J3097" s="91"/>
    </row>
    <row r="3098">
      <c r="C3098" s="82"/>
      <c r="E3098" s="84"/>
      <c r="F3098" s="86"/>
      <c r="G3098" s="86"/>
      <c r="H3098" s="88"/>
      <c r="I3098" s="90"/>
      <c r="J3098" s="91"/>
    </row>
    <row r="3099">
      <c r="C3099" s="82"/>
      <c r="E3099" s="84"/>
      <c r="F3099" s="86"/>
      <c r="G3099" s="86"/>
      <c r="H3099" s="88"/>
      <c r="I3099" s="90"/>
      <c r="J3099" s="91"/>
    </row>
    <row r="3100">
      <c r="C3100" s="82"/>
      <c r="E3100" s="84"/>
      <c r="F3100" s="86"/>
      <c r="G3100" s="86"/>
      <c r="H3100" s="88"/>
      <c r="I3100" s="90"/>
      <c r="J3100" s="91"/>
    </row>
    <row r="3101">
      <c r="C3101" s="82"/>
      <c r="E3101" s="84"/>
      <c r="F3101" s="86"/>
      <c r="G3101" s="86"/>
      <c r="H3101" s="88"/>
      <c r="I3101" s="90"/>
      <c r="J3101" s="91"/>
    </row>
    <row r="3102">
      <c r="C3102" s="82"/>
      <c r="E3102" s="84"/>
      <c r="F3102" s="86"/>
      <c r="G3102" s="86"/>
      <c r="H3102" s="88"/>
      <c r="I3102" s="90"/>
      <c r="J3102" s="91"/>
    </row>
    <row r="3103">
      <c r="C3103" s="82"/>
      <c r="E3103" s="84"/>
      <c r="F3103" s="86"/>
      <c r="G3103" s="86"/>
      <c r="H3103" s="88"/>
      <c r="I3103" s="90"/>
      <c r="J3103" s="91"/>
    </row>
    <row r="3104">
      <c r="C3104" s="82"/>
      <c r="E3104" s="84"/>
      <c r="F3104" s="86"/>
      <c r="G3104" s="86"/>
      <c r="H3104" s="88"/>
      <c r="I3104" s="90"/>
      <c r="J3104" s="91"/>
    </row>
    <row r="3105">
      <c r="C3105" s="82"/>
      <c r="E3105" s="84"/>
      <c r="F3105" s="86"/>
      <c r="G3105" s="86"/>
      <c r="H3105" s="88"/>
      <c r="I3105" s="90"/>
      <c r="J3105" s="91"/>
    </row>
    <row r="3106">
      <c r="C3106" s="82"/>
      <c r="E3106" s="84"/>
      <c r="F3106" s="86"/>
      <c r="G3106" s="86"/>
      <c r="H3106" s="88"/>
      <c r="I3106" s="90"/>
      <c r="J3106" s="91"/>
    </row>
    <row r="3107">
      <c r="C3107" s="82"/>
      <c r="E3107" s="84"/>
      <c r="F3107" s="86"/>
      <c r="G3107" s="86"/>
      <c r="H3107" s="88"/>
      <c r="I3107" s="90"/>
      <c r="J3107" s="91"/>
    </row>
    <row r="3108">
      <c r="C3108" s="82"/>
      <c r="E3108" s="84"/>
      <c r="F3108" s="86"/>
      <c r="G3108" s="86"/>
      <c r="H3108" s="88"/>
      <c r="I3108" s="90"/>
      <c r="J3108" s="91"/>
    </row>
    <row r="3109">
      <c r="C3109" s="82"/>
      <c r="E3109" s="84"/>
      <c r="F3109" s="86"/>
      <c r="G3109" s="86"/>
      <c r="H3109" s="88"/>
      <c r="I3109" s="90"/>
      <c r="J3109" s="91"/>
    </row>
    <row r="3110">
      <c r="C3110" s="82"/>
      <c r="E3110" s="84"/>
      <c r="F3110" s="86"/>
      <c r="G3110" s="86"/>
      <c r="H3110" s="88"/>
      <c r="I3110" s="90"/>
      <c r="J3110" s="91"/>
    </row>
    <row r="3111">
      <c r="C3111" s="82"/>
      <c r="E3111" s="84"/>
      <c r="F3111" s="86"/>
      <c r="G3111" s="86"/>
      <c r="H3111" s="88"/>
      <c r="I3111" s="90"/>
      <c r="J3111" s="91"/>
    </row>
    <row r="3112">
      <c r="C3112" s="82"/>
      <c r="E3112" s="84"/>
      <c r="F3112" s="86"/>
      <c r="G3112" s="86"/>
      <c r="H3112" s="88"/>
      <c r="I3112" s="90"/>
      <c r="J3112" s="91"/>
    </row>
    <row r="3113">
      <c r="C3113" s="82"/>
      <c r="E3113" s="84"/>
      <c r="F3113" s="86"/>
      <c r="G3113" s="86"/>
      <c r="H3113" s="88"/>
      <c r="I3113" s="90"/>
      <c r="J3113" s="91"/>
    </row>
    <row r="3114">
      <c r="C3114" s="82"/>
      <c r="E3114" s="84"/>
      <c r="F3114" s="86"/>
      <c r="G3114" s="86"/>
      <c r="H3114" s="88"/>
      <c r="I3114" s="90"/>
      <c r="J3114" s="91"/>
    </row>
    <row r="3115">
      <c r="C3115" s="82"/>
      <c r="E3115" s="84"/>
      <c r="F3115" s="86"/>
      <c r="G3115" s="86"/>
      <c r="H3115" s="88"/>
      <c r="I3115" s="90"/>
      <c r="J3115" s="91"/>
    </row>
    <row r="3116">
      <c r="C3116" s="82"/>
      <c r="E3116" s="84"/>
      <c r="F3116" s="86"/>
      <c r="G3116" s="86"/>
      <c r="H3116" s="88"/>
      <c r="I3116" s="90"/>
      <c r="J3116" s="91"/>
    </row>
    <row r="3117">
      <c r="C3117" s="82"/>
      <c r="E3117" s="84"/>
      <c r="F3117" s="86"/>
      <c r="G3117" s="86"/>
      <c r="H3117" s="88"/>
      <c r="I3117" s="90"/>
      <c r="J3117" s="91"/>
    </row>
    <row r="3118">
      <c r="C3118" s="82"/>
      <c r="E3118" s="84"/>
      <c r="F3118" s="86"/>
      <c r="G3118" s="86"/>
      <c r="H3118" s="88"/>
      <c r="I3118" s="90"/>
      <c r="J3118" s="91"/>
    </row>
    <row r="3119">
      <c r="C3119" s="82"/>
      <c r="E3119" s="84"/>
      <c r="F3119" s="86"/>
      <c r="G3119" s="86"/>
      <c r="H3119" s="88"/>
      <c r="I3119" s="90"/>
      <c r="J3119" s="91"/>
    </row>
    <row r="3120">
      <c r="C3120" s="82"/>
      <c r="E3120" s="84"/>
      <c r="F3120" s="86"/>
      <c r="G3120" s="86"/>
      <c r="H3120" s="88"/>
      <c r="I3120" s="90"/>
      <c r="J3120" s="91"/>
    </row>
    <row r="3121">
      <c r="C3121" s="82"/>
      <c r="E3121" s="84"/>
      <c r="F3121" s="86"/>
      <c r="G3121" s="86"/>
      <c r="H3121" s="88"/>
      <c r="I3121" s="90"/>
      <c r="J3121" s="91"/>
    </row>
    <row r="3122">
      <c r="C3122" s="82"/>
      <c r="E3122" s="84"/>
      <c r="F3122" s="86"/>
      <c r="G3122" s="86"/>
      <c r="H3122" s="88"/>
      <c r="I3122" s="90"/>
      <c r="J3122" s="91"/>
    </row>
    <row r="3123">
      <c r="C3123" s="82"/>
      <c r="E3123" s="84"/>
      <c r="F3123" s="86"/>
      <c r="G3123" s="86"/>
      <c r="H3123" s="88"/>
      <c r="I3123" s="90"/>
      <c r="J3123" s="91"/>
    </row>
    <row r="3124">
      <c r="C3124" s="82"/>
      <c r="E3124" s="84"/>
      <c r="F3124" s="86"/>
      <c r="G3124" s="86"/>
      <c r="H3124" s="88"/>
      <c r="I3124" s="90"/>
      <c r="J3124" s="91"/>
    </row>
    <row r="3125">
      <c r="C3125" s="82"/>
      <c r="E3125" s="84"/>
      <c r="F3125" s="86"/>
      <c r="G3125" s="86"/>
      <c r="H3125" s="88"/>
      <c r="I3125" s="90"/>
      <c r="J3125" s="91"/>
    </row>
    <row r="3126">
      <c r="C3126" s="82"/>
      <c r="E3126" s="84"/>
      <c r="F3126" s="86"/>
      <c r="G3126" s="86"/>
      <c r="H3126" s="88"/>
      <c r="I3126" s="90"/>
      <c r="J3126" s="91"/>
    </row>
    <row r="3127">
      <c r="C3127" s="82"/>
      <c r="E3127" s="84"/>
      <c r="F3127" s="86"/>
      <c r="G3127" s="86"/>
      <c r="H3127" s="88"/>
      <c r="I3127" s="90"/>
      <c r="J3127" s="91"/>
    </row>
    <row r="3128">
      <c r="C3128" s="82"/>
      <c r="E3128" s="84"/>
      <c r="F3128" s="86"/>
      <c r="G3128" s="86"/>
      <c r="H3128" s="88"/>
      <c r="I3128" s="90"/>
      <c r="J3128" s="91"/>
    </row>
    <row r="3129">
      <c r="C3129" s="82"/>
      <c r="E3129" s="84"/>
      <c r="F3129" s="86"/>
      <c r="G3129" s="86"/>
      <c r="H3129" s="88"/>
      <c r="I3129" s="90"/>
      <c r="J3129" s="91"/>
    </row>
    <row r="3130">
      <c r="C3130" s="82"/>
      <c r="E3130" s="84"/>
      <c r="F3130" s="86"/>
      <c r="G3130" s="86"/>
      <c r="H3130" s="88"/>
      <c r="I3130" s="90"/>
      <c r="J3130" s="91"/>
    </row>
    <row r="3131">
      <c r="C3131" s="82"/>
      <c r="E3131" s="84"/>
      <c r="F3131" s="86"/>
      <c r="G3131" s="86"/>
      <c r="H3131" s="88"/>
      <c r="I3131" s="90"/>
      <c r="J3131" s="91"/>
    </row>
    <row r="3132">
      <c r="C3132" s="82"/>
      <c r="E3132" s="84"/>
      <c r="F3132" s="86"/>
      <c r="G3132" s="86"/>
      <c r="H3132" s="88"/>
      <c r="I3132" s="90"/>
      <c r="J3132" s="91"/>
    </row>
    <row r="3133">
      <c r="C3133" s="82"/>
      <c r="E3133" s="84"/>
      <c r="F3133" s="86"/>
      <c r="G3133" s="86"/>
      <c r="H3133" s="88"/>
      <c r="I3133" s="90"/>
      <c r="J3133" s="91"/>
    </row>
    <row r="3134">
      <c r="C3134" s="82"/>
      <c r="E3134" s="84"/>
      <c r="F3134" s="86"/>
      <c r="G3134" s="86"/>
      <c r="H3134" s="88"/>
      <c r="I3134" s="90"/>
      <c r="J3134" s="91"/>
    </row>
    <row r="3135">
      <c r="C3135" s="82"/>
      <c r="E3135" s="84"/>
      <c r="F3135" s="86"/>
      <c r="G3135" s="86"/>
      <c r="H3135" s="88"/>
      <c r="I3135" s="90"/>
      <c r="J3135" s="91"/>
    </row>
    <row r="3136">
      <c r="C3136" s="82"/>
      <c r="E3136" s="84"/>
      <c r="F3136" s="86"/>
      <c r="G3136" s="86"/>
      <c r="H3136" s="88"/>
      <c r="I3136" s="90"/>
      <c r="J3136" s="91"/>
    </row>
    <row r="3137">
      <c r="C3137" s="82"/>
      <c r="E3137" s="84"/>
      <c r="F3137" s="86"/>
      <c r="G3137" s="86"/>
      <c r="H3137" s="88"/>
      <c r="I3137" s="90"/>
      <c r="J3137" s="91"/>
    </row>
    <row r="3138">
      <c r="C3138" s="82"/>
      <c r="E3138" s="84"/>
      <c r="F3138" s="86"/>
      <c r="G3138" s="86"/>
      <c r="H3138" s="88"/>
      <c r="I3138" s="90"/>
      <c r="J3138" s="91"/>
    </row>
    <row r="3139">
      <c r="C3139" s="82"/>
      <c r="E3139" s="84"/>
      <c r="F3139" s="86"/>
      <c r="G3139" s="86"/>
      <c r="H3139" s="88"/>
      <c r="I3139" s="90"/>
      <c r="J3139" s="91"/>
    </row>
    <row r="3140">
      <c r="C3140" s="82"/>
      <c r="E3140" s="84"/>
      <c r="F3140" s="86"/>
      <c r="G3140" s="86"/>
      <c r="H3140" s="88"/>
      <c r="I3140" s="90"/>
      <c r="J3140" s="91"/>
    </row>
    <row r="3141">
      <c r="C3141" s="82"/>
      <c r="E3141" s="84"/>
      <c r="F3141" s="86"/>
      <c r="G3141" s="86"/>
      <c r="H3141" s="88"/>
      <c r="I3141" s="90"/>
      <c r="J3141" s="91"/>
    </row>
    <row r="3142">
      <c r="C3142" s="82"/>
      <c r="E3142" s="84"/>
      <c r="F3142" s="86"/>
      <c r="G3142" s="86"/>
      <c r="H3142" s="88"/>
      <c r="I3142" s="90"/>
      <c r="J3142" s="91"/>
    </row>
    <row r="3143">
      <c r="C3143" s="82"/>
      <c r="E3143" s="84"/>
      <c r="F3143" s="86"/>
      <c r="G3143" s="86"/>
      <c r="H3143" s="88"/>
      <c r="I3143" s="90"/>
      <c r="J3143" s="91"/>
    </row>
    <row r="3144">
      <c r="C3144" s="82"/>
      <c r="E3144" s="84"/>
      <c r="F3144" s="86"/>
      <c r="G3144" s="86"/>
      <c r="H3144" s="88"/>
      <c r="I3144" s="90"/>
      <c r="J3144" s="91"/>
    </row>
    <row r="3145">
      <c r="C3145" s="82"/>
      <c r="E3145" s="84"/>
      <c r="F3145" s="86"/>
      <c r="G3145" s="86"/>
      <c r="H3145" s="88"/>
      <c r="I3145" s="90"/>
      <c r="J3145" s="91"/>
    </row>
    <row r="3146">
      <c r="C3146" s="82"/>
      <c r="E3146" s="84"/>
      <c r="F3146" s="86"/>
      <c r="G3146" s="86"/>
      <c r="H3146" s="88"/>
      <c r="I3146" s="90"/>
      <c r="J3146" s="91"/>
    </row>
    <row r="3147">
      <c r="C3147" s="82"/>
      <c r="E3147" s="84"/>
      <c r="F3147" s="86"/>
      <c r="G3147" s="86"/>
      <c r="H3147" s="88"/>
      <c r="I3147" s="90"/>
      <c r="J3147" s="91"/>
    </row>
    <row r="3148">
      <c r="C3148" s="82"/>
      <c r="E3148" s="84"/>
      <c r="F3148" s="86"/>
      <c r="G3148" s="86"/>
      <c r="H3148" s="88"/>
      <c r="I3148" s="90"/>
      <c r="J3148" s="91"/>
    </row>
    <row r="3149">
      <c r="C3149" s="82"/>
      <c r="E3149" s="84"/>
      <c r="F3149" s="86"/>
      <c r="G3149" s="86"/>
      <c r="H3149" s="88"/>
      <c r="I3149" s="90"/>
      <c r="J3149" s="91"/>
    </row>
    <row r="3150">
      <c r="C3150" s="82"/>
      <c r="E3150" s="84"/>
      <c r="F3150" s="86"/>
      <c r="G3150" s="86"/>
      <c r="H3150" s="88"/>
      <c r="I3150" s="90"/>
      <c r="J3150" s="91"/>
    </row>
    <row r="3151">
      <c r="C3151" s="82"/>
      <c r="E3151" s="84"/>
      <c r="F3151" s="86"/>
      <c r="G3151" s="86"/>
      <c r="H3151" s="88"/>
      <c r="I3151" s="90"/>
      <c r="J3151" s="91"/>
    </row>
    <row r="3152">
      <c r="C3152" s="82"/>
      <c r="E3152" s="84"/>
      <c r="F3152" s="86"/>
      <c r="G3152" s="86"/>
      <c r="H3152" s="88"/>
      <c r="I3152" s="90"/>
      <c r="J3152" s="91"/>
    </row>
    <row r="3153">
      <c r="C3153" s="82"/>
      <c r="E3153" s="84"/>
      <c r="F3153" s="86"/>
      <c r="G3153" s="86"/>
      <c r="H3153" s="88"/>
      <c r="I3153" s="90"/>
      <c r="J3153" s="91"/>
    </row>
    <row r="3154">
      <c r="C3154" s="82"/>
      <c r="E3154" s="84"/>
      <c r="F3154" s="86"/>
      <c r="G3154" s="86"/>
      <c r="H3154" s="88"/>
      <c r="I3154" s="90"/>
      <c r="J3154" s="91"/>
    </row>
    <row r="3155">
      <c r="C3155" s="82"/>
      <c r="E3155" s="84"/>
      <c r="F3155" s="86"/>
      <c r="G3155" s="86"/>
      <c r="H3155" s="88"/>
      <c r="I3155" s="90"/>
      <c r="J3155" s="91"/>
    </row>
    <row r="3156">
      <c r="C3156" s="82"/>
      <c r="E3156" s="84"/>
      <c r="F3156" s="86"/>
      <c r="G3156" s="86"/>
      <c r="H3156" s="88"/>
      <c r="I3156" s="90"/>
      <c r="J3156" s="91"/>
    </row>
    <row r="3157">
      <c r="C3157" s="82"/>
      <c r="E3157" s="84"/>
      <c r="F3157" s="86"/>
      <c r="G3157" s="86"/>
      <c r="H3157" s="88"/>
      <c r="I3157" s="90"/>
      <c r="J3157" s="91"/>
    </row>
    <row r="3158">
      <c r="C3158" s="82"/>
      <c r="E3158" s="84"/>
      <c r="F3158" s="86"/>
      <c r="G3158" s="86"/>
      <c r="H3158" s="88"/>
      <c r="I3158" s="90"/>
      <c r="J3158" s="91"/>
    </row>
    <row r="3159">
      <c r="C3159" s="82"/>
      <c r="E3159" s="84"/>
      <c r="F3159" s="86"/>
      <c r="G3159" s="86"/>
      <c r="H3159" s="88"/>
      <c r="I3159" s="90"/>
      <c r="J3159" s="91"/>
    </row>
    <row r="3160">
      <c r="C3160" s="82"/>
      <c r="E3160" s="84"/>
      <c r="F3160" s="86"/>
      <c r="G3160" s="86"/>
      <c r="H3160" s="88"/>
      <c r="I3160" s="90"/>
      <c r="J3160" s="91"/>
    </row>
    <row r="3161">
      <c r="C3161" s="82"/>
      <c r="E3161" s="84"/>
      <c r="F3161" s="86"/>
      <c r="G3161" s="86"/>
      <c r="H3161" s="88"/>
      <c r="I3161" s="90"/>
      <c r="J3161" s="91"/>
    </row>
    <row r="3162">
      <c r="C3162" s="82"/>
      <c r="E3162" s="84"/>
      <c r="F3162" s="86"/>
      <c r="G3162" s="86"/>
      <c r="H3162" s="88"/>
      <c r="I3162" s="90"/>
      <c r="J3162" s="91"/>
    </row>
    <row r="3163">
      <c r="C3163" s="82"/>
      <c r="E3163" s="84"/>
      <c r="F3163" s="86"/>
      <c r="G3163" s="86"/>
      <c r="H3163" s="88"/>
      <c r="I3163" s="90"/>
      <c r="J3163" s="91"/>
    </row>
    <row r="3164">
      <c r="C3164" s="82"/>
      <c r="E3164" s="84"/>
      <c r="F3164" s="86"/>
      <c r="G3164" s="86"/>
      <c r="H3164" s="88"/>
      <c r="I3164" s="90"/>
      <c r="J3164" s="91"/>
    </row>
    <row r="3165">
      <c r="C3165" s="82"/>
      <c r="E3165" s="84"/>
      <c r="F3165" s="86"/>
      <c r="G3165" s="86"/>
      <c r="H3165" s="88"/>
      <c r="I3165" s="90"/>
      <c r="J3165" s="91"/>
    </row>
    <row r="3166">
      <c r="C3166" s="82"/>
      <c r="E3166" s="84"/>
      <c r="F3166" s="86"/>
      <c r="G3166" s="86"/>
      <c r="H3166" s="88"/>
      <c r="I3166" s="90"/>
      <c r="J3166" s="91"/>
    </row>
    <row r="3167">
      <c r="C3167" s="82"/>
      <c r="E3167" s="84"/>
      <c r="F3167" s="86"/>
      <c r="G3167" s="86"/>
      <c r="H3167" s="88"/>
      <c r="I3167" s="90"/>
      <c r="J3167" s="91"/>
    </row>
    <row r="3168">
      <c r="C3168" s="82"/>
      <c r="E3168" s="84"/>
      <c r="F3168" s="86"/>
      <c r="G3168" s="86"/>
      <c r="H3168" s="88"/>
      <c r="I3168" s="90"/>
      <c r="J3168" s="91"/>
    </row>
    <row r="3169">
      <c r="C3169" s="82"/>
      <c r="E3169" s="84"/>
      <c r="F3169" s="86"/>
      <c r="G3169" s="86"/>
      <c r="H3169" s="88"/>
      <c r="I3169" s="90"/>
      <c r="J3169" s="91"/>
    </row>
    <row r="3170">
      <c r="C3170" s="82"/>
      <c r="E3170" s="84"/>
      <c r="F3170" s="86"/>
      <c r="G3170" s="86"/>
      <c r="H3170" s="88"/>
      <c r="I3170" s="90"/>
      <c r="J3170" s="91"/>
    </row>
    <row r="3171">
      <c r="C3171" s="82"/>
      <c r="E3171" s="84"/>
      <c r="F3171" s="86"/>
      <c r="G3171" s="86"/>
      <c r="H3171" s="88"/>
      <c r="I3171" s="90"/>
      <c r="J3171" s="91"/>
    </row>
    <row r="3172">
      <c r="C3172" s="82"/>
      <c r="E3172" s="84"/>
      <c r="F3172" s="86"/>
      <c r="G3172" s="86"/>
      <c r="H3172" s="88"/>
      <c r="I3172" s="90"/>
      <c r="J3172" s="91"/>
    </row>
    <row r="3173">
      <c r="C3173" s="82"/>
      <c r="E3173" s="84"/>
      <c r="F3173" s="86"/>
      <c r="G3173" s="86"/>
      <c r="H3173" s="88"/>
      <c r="I3173" s="90"/>
      <c r="J3173" s="91"/>
    </row>
    <row r="3174">
      <c r="C3174" s="82"/>
      <c r="E3174" s="84"/>
      <c r="F3174" s="86"/>
      <c r="G3174" s="86"/>
      <c r="H3174" s="88"/>
      <c r="I3174" s="90"/>
      <c r="J3174" s="91"/>
    </row>
    <row r="3175">
      <c r="C3175" s="82"/>
      <c r="E3175" s="84"/>
      <c r="F3175" s="86"/>
      <c r="G3175" s="86"/>
      <c r="H3175" s="88"/>
      <c r="I3175" s="90"/>
      <c r="J3175" s="91"/>
    </row>
    <row r="3176">
      <c r="C3176" s="82"/>
      <c r="E3176" s="84"/>
      <c r="F3176" s="86"/>
      <c r="G3176" s="86"/>
      <c r="H3176" s="88"/>
      <c r="I3176" s="90"/>
      <c r="J3176" s="91"/>
    </row>
    <row r="3177">
      <c r="C3177" s="82"/>
      <c r="E3177" s="84"/>
      <c r="F3177" s="86"/>
      <c r="G3177" s="86"/>
      <c r="H3177" s="88"/>
      <c r="I3177" s="90"/>
      <c r="J3177" s="91"/>
    </row>
    <row r="3178">
      <c r="C3178" s="82"/>
      <c r="E3178" s="84"/>
      <c r="F3178" s="86"/>
      <c r="G3178" s="86"/>
      <c r="H3178" s="88"/>
      <c r="I3178" s="90"/>
      <c r="J3178" s="91"/>
    </row>
    <row r="3179">
      <c r="C3179" s="82"/>
      <c r="E3179" s="84"/>
      <c r="F3179" s="86"/>
      <c r="G3179" s="86"/>
      <c r="H3179" s="88"/>
      <c r="I3179" s="90"/>
      <c r="J3179" s="91"/>
    </row>
    <row r="3180">
      <c r="C3180" s="82"/>
      <c r="E3180" s="84"/>
      <c r="F3180" s="86"/>
      <c r="G3180" s="86"/>
      <c r="H3180" s="88"/>
      <c r="I3180" s="90"/>
      <c r="J3180" s="91"/>
    </row>
    <row r="3181">
      <c r="C3181" s="82"/>
      <c r="E3181" s="84"/>
      <c r="F3181" s="86"/>
      <c r="G3181" s="86"/>
      <c r="H3181" s="88"/>
      <c r="I3181" s="90"/>
      <c r="J3181" s="91"/>
    </row>
    <row r="3182">
      <c r="C3182" s="82"/>
      <c r="E3182" s="84"/>
      <c r="F3182" s="86"/>
      <c r="G3182" s="86"/>
      <c r="H3182" s="88"/>
      <c r="I3182" s="90"/>
      <c r="J3182" s="91"/>
    </row>
    <row r="3183">
      <c r="C3183" s="82"/>
      <c r="E3183" s="84"/>
      <c r="F3183" s="86"/>
      <c r="G3183" s="86"/>
      <c r="H3183" s="88"/>
      <c r="I3183" s="90"/>
      <c r="J3183" s="91"/>
    </row>
    <row r="3184">
      <c r="C3184" s="82"/>
      <c r="E3184" s="84"/>
      <c r="F3184" s="86"/>
      <c r="G3184" s="86"/>
      <c r="H3184" s="88"/>
      <c r="I3184" s="90"/>
      <c r="J3184" s="91"/>
    </row>
    <row r="3185">
      <c r="C3185" s="82"/>
      <c r="E3185" s="84"/>
      <c r="F3185" s="86"/>
      <c r="G3185" s="86"/>
      <c r="H3185" s="88"/>
      <c r="I3185" s="90"/>
      <c r="J3185" s="91"/>
    </row>
    <row r="3186">
      <c r="C3186" s="82"/>
      <c r="E3186" s="84"/>
      <c r="F3186" s="86"/>
      <c r="G3186" s="86"/>
      <c r="H3186" s="88"/>
      <c r="I3186" s="90"/>
      <c r="J3186" s="91"/>
    </row>
    <row r="3187">
      <c r="C3187" s="82"/>
      <c r="E3187" s="84"/>
      <c r="F3187" s="86"/>
      <c r="G3187" s="86"/>
      <c r="H3187" s="88"/>
      <c r="I3187" s="90"/>
      <c r="J3187" s="91"/>
    </row>
    <row r="3188">
      <c r="C3188" s="82"/>
      <c r="E3188" s="84"/>
      <c r="F3188" s="86"/>
      <c r="G3188" s="86"/>
      <c r="H3188" s="88"/>
      <c r="I3188" s="90"/>
      <c r="J3188" s="91"/>
    </row>
    <row r="3189">
      <c r="C3189" s="82"/>
      <c r="E3189" s="84"/>
      <c r="F3189" s="86"/>
      <c r="G3189" s="86"/>
      <c r="H3189" s="88"/>
      <c r="I3189" s="90"/>
      <c r="J3189" s="91"/>
    </row>
    <row r="3190">
      <c r="C3190" s="82"/>
      <c r="E3190" s="84"/>
      <c r="F3190" s="86"/>
      <c r="G3190" s="86"/>
      <c r="H3190" s="88"/>
      <c r="I3190" s="90"/>
      <c r="J3190" s="91"/>
    </row>
    <row r="3191">
      <c r="C3191" s="82"/>
      <c r="E3191" s="84"/>
      <c r="F3191" s="86"/>
      <c r="G3191" s="86"/>
      <c r="H3191" s="88"/>
      <c r="I3191" s="90"/>
      <c r="J3191" s="91"/>
    </row>
    <row r="3192">
      <c r="C3192" s="82"/>
      <c r="E3192" s="84"/>
      <c r="F3192" s="86"/>
      <c r="G3192" s="86"/>
      <c r="H3192" s="88"/>
      <c r="I3192" s="90"/>
      <c r="J3192" s="91"/>
    </row>
    <row r="3193">
      <c r="C3193" s="82"/>
      <c r="E3193" s="84"/>
      <c r="F3193" s="86"/>
      <c r="G3193" s="86"/>
      <c r="H3193" s="88"/>
      <c r="I3193" s="90"/>
      <c r="J3193" s="91"/>
    </row>
    <row r="3194">
      <c r="C3194" s="82"/>
      <c r="E3194" s="84"/>
      <c r="F3194" s="86"/>
      <c r="G3194" s="86"/>
      <c r="H3194" s="88"/>
      <c r="I3194" s="90"/>
      <c r="J3194" s="91"/>
    </row>
    <row r="3195">
      <c r="C3195" s="82"/>
      <c r="E3195" s="84"/>
      <c r="F3195" s="86"/>
      <c r="G3195" s="86"/>
      <c r="H3195" s="88"/>
      <c r="I3195" s="90"/>
      <c r="J3195" s="91"/>
    </row>
    <row r="3196">
      <c r="C3196" s="82"/>
      <c r="E3196" s="84"/>
      <c r="F3196" s="86"/>
      <c r="G3196" s="86"/>
      <c r="H3196" s="88"/>
      <c r="I3196" s="90"/>
      <c r="J3196" s="91"/>
    </row>
    <row r="3197">
      <c r="C3197" s="82"/>
      <c r="E3197" s="84"/>
      <c r="F3197" s="86"/>
      <c r="G3197" s="86"/>
      <c r="H3197" s="88"/>
      <c r="I3197" s="90"/>
      <c r="J3197" s="91"/>
    </row>
    <row r="3198">
      <c r="C3198" s="82"/>
      <c r="E3198" s="84"/>
      <c r="F3198" s="86"/>
      <c r="G3198" s="86"/>
      <c r="H3198" s="88"/>
      <c r="I3198" s="90"/>
      <c r="J3198" s="91"/>
    </row>
    <row r="3199">
      <c r="C3199" s="82"/>
      <c r="E3199" s="84"/>
      <c r="F3199" s="86"/>
      <c r="G3199" s="86"/>
      <c r="H3199" s="88"/>
      <c r="I3199" s="90"/>
      <c r="J3199" s="91"/>
    </row>
    <row r="3200">
      <c r="C3200" s="82"/>
      <c r="E3200" s="84"/>
      <c r="F3200" s="86"/>
      <c r="G3200" s="86"/>
      <c r="H3200" s="88"/>
      <c r="I3200" s="90"/>
      <c r="J3200" s="91"/>
    </row>
    <row r="3201">
      <c r="C3201" s="82"/>
      <c r="E3201" s="84"/>
      <c r="F3201" s="86"/>
      <c r="G3201" s="86"/>
      <c r="H3201" s="88"/>
      <c r="I3201" s="90"/>
      <c r="J3201" s="91"/>
    </row>
    <row r="3202">
      <c r="C3202" s="82"/>
      <c r="E3202" s="84"/>
      <c r="F3202" s="86"/>
      <c r="G3202" s="86"/>
      <c r="H3202" s="88"/>
      <c r="I3202" s="90"/>
      <c r="J3202" s="91"/>
    </row>
    <row r="3203">
      <c r="C3203" s="82"/>
      <c r="E3203" s="84"/>
      <c r="F3203" s="86"/>
      <c r="G3203" s="86"/>
      <c r="H3203" s="88"/>
      <c r="I3203" s="90"/>
      <c r="J3203" s="91"/>
    </row>
    <row r="3204">
      <c r="C3204" s="82"/>
      <c r="E3204" s="84"/>
      <c r="F3204" s="86"/>
      <c r="G3204" s="86"/>
      <c r="H3204" s="88"/>
      <c r="I3204" s="90"/>
      <c r="J3204" s="91"/>
    </row>
    <row r="3205">
      <c r="C3205" s="82"/>
      <c r="E3205" s="84"/>
      <c r="F3205" s="86"/>
      <c r="G3205" s="86"/>
      <c r="H3205" s="88"/>
      <c r="I3205" s="90"/>
      <c r="J3205" s="91"/>
    </row>
    <row r="3206">
      <c r="C3206" s="82"/>
      <c r="E3206" s="84"/>
      <c r="F3206" s="86"/>
      <c r="G3206" s="86"/>
      <c r="H3206" s="88"/>
      <c r="I3206" s="90"/>
      <c r="J3206" s="91"/>
    </row>
    <row r="3207">
      <c r="C3207" s="82"/>
      <c r="E3207" s="84"/>
      <c r="F3207" s="86"/>
      <c r="G3207" s="86"/>
      <c r="H3207" s="88"/>
      <c r="I3207" s="90"/>
      <c r="J3207" s="91"/>
    </row>
    <row r="3208">
      <c r="C3208" s="82"/>
      <c r="E3208" s="84"/>
      <c r="F3208" s="86"/>
      <c r="G3208" s="86"/>
      <c r="H3208" s="88"/>
      <c r="I3208" s="90"/>
      <c r="J3208" s="91"/>
    </row>
    <row r="3209">
      <c r="C3209" s="82"/>
      <c r="E3209" s="84"/>
      <c r="F3209" s="86"/>
      <c r="G3209" s="86"/>
      <c r="H3209" s="88"/>
      <c r="I3209" s="90"/>
      <c r="J3209" s="91"/>
    </row>
    <row r="3210">
      <c r="C3210" s="82"/>
      <c r="E3210" s="84"/>
      <c r="F3210" s="86"/>
      <c r="G3210" s="86"/>
      <c r="H3210" s="88"/>
      <c r="I3210" s="90"/>
      <c r="J3210" s="91"/>
    </row>
    <row r="3211">
      <c r="C3211" s="82"/>
      <c r="E3211" s="84"/>
      <c r="F3211" s="86"/>
      <c r="G3211" s="86"/>
      <c r="H3211" s="88"/>
      <c r="I3211" s="90"/>
      <c r="J3211" s="91"/>
    </row>
    <row r="3212">
      <c r="C3212" s="82"/>
      <c r="E3212" s="84"/>
      <c r="F3212" s="86"/>
      <c r="G3212" s="86"/>
      <c r="H3212" s="88"/>
      <c r="I3212" s="90"/>
      <c r="J3212" s="91"/>
    </row>
    <row r="3213">
      <c r="C3213" s="82"/>
      <c r="E3213" s="84"/>
      <c r="F3213" s="86"/>
      <c r="G3213" s="86"/>
      <c r="H3213" s="88"/>
      <c r="I3213" s="90"/>
      <c r="J3213" s="91"/>
    </row>
    <row r="3214">
      <c r="C3214" s="82"/>
      <c r="E3214" s="84"/>
      <c r="F3214" s="86"/>
      <c r="G3214" s="86"/>
      <c r="H3214" s="88"/>
      <c r="I3214" s="90"/>
      <c r="J3214" s="91"/>
    </row>
    <row r="3215">
      <c r="C3215" s="82"/>
      <c r="E3215" s="84"/>
      <c r="F3215" s="86"/>
      <c r="G3215" s="86"/>
      <c r="H3215" s="88"/>
      <c r="I3215" s="90"/>
      <c r="J3215" s="91"/>
    </row>
    <row r="3216">
      <c r="C3216" s="82"/>
      <c r="E3216" s="84"/>
      <c r="F3216" s="86"/>
      <c r="G3216" s="86"/>
      <c r="H3216" s="88"/>
      <c r="I3216" s="90"/>
      <c r="J3216" s="91"/>
    </row>
    <row r="3217">
      <c r="C3217" s="82"/>
      <c r="E3217" s="84"/>
      <c r="F3217" s="86"/>
      <c r="G3217" s="86"/>
      <c r="H3217" s="88"/>
      <c r="I3217" s="90"/>
      <c r="J3217" s="91"/>
    </row>
    <row r="3218">
      <c r="C3218" s="82"/>
      <c r="E3218" s="84"/>
      <c r="F3218" s="86"/>
      <c r="G3218" s="86"/>
      <c r="H3218" s="88"/>
      <c r="I3218" s="90"/>
      <c r="J3218" s="91"/>
    </row>
    <row r="3219">
      <c r="C3219" s="82"/>
      <c r="E3219" s="84"/>
      <c r="F3219" s="86"/>
      <c r="G3219" s="86"/>
      <c r="H3219" s="88"/>
      <c r="I3219" s="90"/>
      <c r="J3219" s="91"/>
    </row>
    <row r="3220">
      <c r="C3220" s="82"/>
      <c r="E3220" s="84"/>
      <c r="F3220" s="86"/>
      <c r="G3220" s="86"/>
      <c r="H3220" s="88"/>
      <c r="I3220" s="90"/>
      <c r="J3220" s="91"/>
    </row>
    <row r="3221">
      <c r="C3221" s="82"/>
      <c r="E3221" s="84"/>
      <c r="F3221" s="86"/>
      <c r="G3221" s="86"/>
      <c r="H3221" s="88"/>
      <c r="I3221" s="90"/>
      <c r="J3221" s="91"/>
    </row>
    <row r="3222">
      <c r="C3222" s="82"/>
      <c r="E3222" s="84"/>
      <c r="F3222" s="86"/>
      <c r="G3222" s="86"/>
      <c r="H3222" s="88"/>
      <c r="I3222" s="90"/>
      <c r="J3222" s="91"/>
    </row>
    <row r="3223">
      <c r="C3223" s="82"/>
      <c r="E3223" s="84"/>
      <c r="F3223" s="86"/>
      <c r="G3223" s="86"/>
      <c r="H3223" s="88"/>
      <c r="I3223" s="90"/>
      <c r="J3223" s="91"/>
    </row>
    <row r="3224">
      <c r="C3224" s="82"/>
      <c r="E3224" s="84"/>
      <c r="F3224" s="86"/>
      <c r="G3224" s="86"/>
      <c r="H3224" s="88"/>
      <c r="I3224" s="90"/>
      <c r="J3224" s="91"/>
    </row>
    <row r="3225">
      <c r="C3225" s="82"/>
      <c r="E3225" s="84"/>
      <c r="F3225" s="86"/>
      <c r="G3225" s="86"/>
      <c r="H3225" s="88"/>
      <c r="I3225" s="90"/>
      <c r="J3225" s="91"/>
    </row>
    <row r="3226">
      <c r="C3226" s="82"/>
      <c r="E3226" s="84"/>
      <c r="F3226" s="86"/>
      <c r="G3226" s="86"/>
      <c r="H3226" s="88"/>
      <c r="I3226" s="90"/>
      <c r="J3226" s="91"/>
    </row>
    <row r="3227">
      <c r="C3227" s="82"/>
      <c r="E3227" s="84"/>
      <c r="F3227" s="86"/>
      <c r="G3227" s="86"/>
      <c r="H3227" s="88"/>
      <c r="I3227" s="90"/>
      <c r="J3227" s="91"/>
    </row>
    <row r="3228">
      <c r="C3228" s="82"/>
      <c r="E3228" s="84"/>
      <c r="F3228" s="86"/>
      <c r="G3228" s="86"/>
      <c r="H3228" s="88"/>
      <c r="I3228" s="90"/>
      <c r="J3228" s="91"/>
    </row>
    <row r="3229">
      <c r="C3229" s="82"/>
      <c r="E3229" s="84"/>
      <c r="F3229" s="86"/>
      <c r="G3229" s="86"/>
      <c r="H3229" s="88"/>
      <c r="I3229" s="90"/>
      <c r="J3229" s="91"/>
    </row>
    <row r="3230">
      <c r="C3230" s="82"/>
      <c r="E3230" s="84"/>
      <c r="F3230" s="86"/>
      <c r="G3230" s="86"/>
      <c r="H3230" s="88"/>
      <c r="I3230" s="90"/>
      <c r="J3230" s="91"/>
    </row>
    <row r="3231">
      <c r="C3231" s="82"/>
      <c r="E3231" s="84"/>
      <c r="F3231" s="86"/>
      <c r="G3231" s="86"/>
      <c r="H3231" s="88"/>
      <c r="I3231" s="90"/>
      <c r="J3231" s="91"/>
    </row>
    <row r="3232">
      <c r="C3232" s="82"/>
      <c r="E3232" s="84"/>
      <c r="F3232" s="86"/>
      <c r="G3232" s="86"/>
      <c r="H3232" s="88"/>
      <c r="I3232" s="90"/>
      <c r="J3232" s="91"/>
    </row>
    <row r="3233">
      <c r="C3233" s="82"/>
      <c r="E3233" s="84"/>
      <c r="F3233" s="86"/>
      <c r="G3233" s="86"/>
      <c r="H3233" s="88"/>
      <c r="I3233" s="90"/>
      <c r="J3233" s="91"/>
    </row>
    <row r="3234">
      <c r="C3234" s="82"/>
      <c r="E3234" s="84"/>
      <c r="F3234" s="86"/>
      <c r="G3234" s="86"/>
      <c r="H3234" s="88"/>
      <c r="I3234" s="90"/>
      <c r="J3234" s="91"/>
    </row>
    <row r="3235">
      <c r="C3235" s="82"/>
      <c r="E3235" s="84"/>
      <c r="F3235" s="86"/>
      <c r="G3235" s="86"/>
      <c r="H3235" s="88"/>
      <c r="I3235" s="90"/>
      <c r="J3235" s="91"/>
    </row>
    <row r="3236">
      <c r="C3236" s="82"/>
      <c r="E3236" s="84"/>
      <c r="F3236" s="86"/>
      <c r="G3236" s="86"/>
      <c r="H3236" s="88"/>
      <c r="I3236" s="90"/>
      <c r="J3236" s="91"/>
    </row>
    <row r="3237">
      <c r="C3237" s="82"/>
      <c r="E3237" s="84"/>
      <c r="F3237" s="86"/>
      <c r="G3237" s="86"/>
      <c r="H3237" s="88"/>
      <c r="I3237" s="90"/>
      <c r="J3237" s="91"/>
    </row>
    <row r="3238">
      <c r="C3238" s="82"/>
      <c r="E3238" s="84"/>
      <c r="F3238" s="86"/>
      <c r="G3238" s="86"/>
      <c r="H3238" s="88"/>
      <c r="I3238" s="90"/>
      <c r="J3238" s="91"/>
    </row>
    <row r="3239">
      <c r="C3239" s="82"/>
      <c r="E3239" s="84"/>
      <c r="F3239" s="86"/>
      <c r="G3239" s="86"/>
      <c r="H3239" s="88"/>
      <c r="I3239" s="90"/>
      <c r="J3239" s="91"/>
    </row>
    <row r="3240">
      <c r="C3240" s="82"/>
      <c r="E3240" s="84"/>
      <c r="F3240" s="86"/>
      <c r="G3240" s="86"/>
      <c r="H3240" s="88"/>
      <c r="I3240" s="90"/>
      <c r="J3240" s="91"/>
    </row>
    <row r="3241">
      <c r="C3241" s="82"/>
      <c r="E3241" s="84"/>
      <c r="F3241" s="86"/>
      <c r="G3241" s="86"/>
      <c r="H3241" s="88"/>
      <c r="I3241" s="90"/>
      <c r="J3241" s="91"/>
    </row>
    <row r="3242">
      <c r="C3242" s="82"/>
      <c r="E3242" s="84"/>
      <c r="F3242" s="86"/>
      <c r="G3242" s="86"/>
      <c r="H3242" s="88"/>
      <c r="I3242" s="90"/>
      <c r="J3242" s="91"/>
    </row>
    <row r="3243">
      <c r="C3243" s="82"/>
      <c r="E3243" s="84"/>
      <c r="F3243" s="86"/>
      <c r="G3243" s="86"/>
      <c r="H3243" s="88"/>
      <c r="I3243" s="90"/>
      <c r="J3243" s="91"/>
    </row>
    <row r="3244">
      <c r="C3244" s="82"/>
      <c r="E3244" s="84"/>
      <c r="F3244" s="86"/>
      <c r="G3244" s="86"/>
      <c r="H3244" s="88"/>
      <c r="I3244" s="90"/>
      <c r="J3244" s="91"/>
    </row>
    <row r="3245">
      <c r="C3245" s="82"/>
      <c r="E3245" s="84"/>
      <c r="F3245" s="86"/>
      <c r="G3245" s="86"/>
      <c r="H3245" s="88"/>
      <c r="I3245" s="90"/>
      <c r="J3245" s="91"/>
    </row>
    <row r="3246">
      <c r="C3246" s="82"/>
      <c r="E3246" s="84"/>
      <c r="F3246" s="86"/>
      <c r="G3246" s="86"/>
      <c r="H3246" s="88"/>
      <c r="I3246" s="90"/>
      <c r="J3246" s="91"/>
    </row>
    <row r="3247">
      <c r="C3247" s="82"/>
      <c r="E3247" s="84"/>
      <c r="F3247" s="86"/>
      <c r="G3247" s="86"/>
      <c r="H3247" s="88"/>
      <c r="I3247" s="90"/>
      <c r="J3247" s="91"/>
    </row>
    <row r="3248">
      <c r="C3248" s="82"/>
      <c r="E3248" s="84"/>
      <c r="F3248" s="86"/>
      <c r="G3248" s="86"/>
      <c r="H3248" s="88"/>
      <c r="I3248" s="90"/>
      <c r="J3248" s="91"/>
    </row>
    <row r="3249">
      <c r="C3249" s="82"/>
      <c r="E3249" s="84"/>
      <c r="F3249" s="86"/>
      <c r="G3249" s="86"/>
      <c r="H3249" s="88"/>
      <c r="I3249" s="90"/>
      <c r="J3249" s="91"/>
    </row>
    <row r="3250">
      <c r="C3250" s="82"/>
      <c r="E3250" s="84"/>
      <c r="F3250" s="86"/>
      <c r="G3250" s="86"/>
      <c r="H3250" s="88"/>
      <c r="I3250" s="90"/>
      <c r="J3250" s="91"/>
    </row>
    <row r="3251">
      <c r="C3251" s="82"/>
      <c r="E3251" s="84"/>
      <c r="F3251" s="86"/>
      <c r="G3251" s="86"/>
      <c r="H3251" s="88"/>
      <c r="I3251" s="90"/>
      <c r="J3251" s="91"/>
    </row>
    <row r="3252">
      <c r="C3252" s="82"/>
      <c r="E3252" s="84"/>
      <c r="F3252" s="86"/>
      <c r="G3252" s="86"/>
      <c r="H3252" s="88"/>
      <c r="I3252" s="90"/>
      <c r="J3252" s="91"/>
    </row>
    <row r="3253">
      <c r="C3253" s="82"/>
      <c r="E3253" s="84"/>
      <c r="F3253" s="86"/>
      <c r="G3253" s="86"/>
      <c r="H3253" s="88"/>
      <c r="I3253" s="90"/>
      <c r="J3253" s="91"/>
    </row>
    <row r="3254">
      <c r="C3254" s="82"/>
      <c r="E3254" s="84"/>
      <c r="F3254" s="86"/>
      <c r="G3254" s="86"/>
      <c r="H3254" s="88"/>
      <c r="I3254" s="90"/>
      <c r="J3254" s="91"/>
    </row>
    <row r="3255">
      <c r="C3255" s="82"/>
      <c r="E3255" s="84"/>
      <c r="F3255" s="86"/>
      <c r="G3255" s="86"/>
      <c r="H3255" s="88"/>
      <c r="I3255" s="90"/>
      <c r="J3255" s="91"/>
    </row>
    <row r="3256">
      <c r="C3256" s="82"/>
      <c r="E3256" s="84"/>
      <c r="F3256" s="86"/>
      <c r="G3256" s="86"/>
      <c r="H3256" s="88"/>
      <c r="I3256" s="90"/>
      <c r="J3256" s="91"/>
    </row>
    <row r="3257">
      <c r="C3257" s="82"/>
      <c r="E3257" s="84"/>
      <c r="F3257" s="86"/>
      <c r="G3257" s="86"/>
      <c r="H3257" s="88"/>
      <c r="I3257" s="90"/>
      <c r="J3257" s="91"/>
    </row>
    <row r="3258">
      <c r="C3258" s="82"/>
      <c r="E3258" s="84"/>
      <c r="F3258" s="86"/>
      <c r="G3258" s="86"/>
      <c r="H3258" s="88"/>
      <c r="I3258" s="90"/>
      <c r="J3258" s="91"/>
    </row>
    <row r="3259">
      <c r="C3259" s="82"/>
      <c r="E3259" s="84"/>
      <c r="F3259" s="86"/>
      <c r="G3259" s="86"/>
      <c r="H3259" s="88"/>
      <c r="I3259" s="90"/>
      <c r="J3259" s="91"/>
    </row>
    <row r="3260">
      <c r="C3260" s="82"/>
      <c r="E3260" s="84"/>
      <c r="F3260" s="86"/>
      <c r="G3260" s="86"/>
      <c r="H3260" s="88"/>
      <c r="I3260" s="90"/>
      <c r="J3260" s="91"/>
    </row>
    <row r="3261">
      <c r="C3261" s="82"/>
      <c r="E3261" s="84"/>
      <c r="F3261" s="86"/>
      <c r="G3261" s="86"/>
      <c r="H3261" s="88"/>
      <c r="I3261" s="90"/>
      <c r="J3261" s="91"/>
    </row>
    <row r="3262">
      <c r="C3262" s="82"/>
      <c r="E3262" s="84"/>
      <c r="F3262" s="86"/>
      <c r="G3262" s="86"/>
      <c r="H3262" s="88"/>
      <c r="I3262" s="90"/>
      <c r="J3262" s="91"/>
    </row>
    <row r="3263">
      <c r="C3263" s="82"/>
      <c r="E3263" s="84"/>
      <c r="F3263" s="86"/>
      <c r="G3263" s="86"/>
      <c r="H3263" s="88"/>
      <c r="I3263" s="90"/>
      <c r="J3263" s="91"/>
    </row>
    <row r="3264">
      <c r="C3264" s="82"/>
      <c r="E3264" s="84"/>
      <c r="F3264" s="86"/>
      <c r="G3264" s="86"/>
      <c r="H3264" s="88"/>
      <c r="I3264" s="90"/>
      <c r="J3264" s="91"/>
    </row>
    <row r="3265">
      <c r="C3265" s="82"/>
      <c r="E3265" s="84"/>
      <c r="F3265" s="86"/>
      <c r="G3265" s="86"/>
      <c r="H3265" s="88"/>
      <c r="I3265" s="90"/>
      <c r="J3265" s="91"/>
    </row>
    <row r="3266">
      <c r="C3266" s="82"/>
      <c r="E3266" s="84"/>
      <c r="F3266" s="86"/>
      <c r="G3266" s="86"/>
      <c r="H3266" s="88"/>
      <c r="I3266" s="90"/>
      <c r="J3266" s="91"/>
    </row>
    <row r="3267">
      <c r="C3267" s="82"/>
      <c r="E3267" s="84"/>
      <c r="F3267" s="86"/>
      <c r="G3267" s="86"/>
      <c r="H3267" s="88"/>
      <c r="I3267" s="90"/>
      <c r="J3267" s="91"/>
    </row>
    <row r="3268">
      <c r="C3268" s="82"/>
      <c r="E3268" s="84"/>
      <c r="F3268" s="86"/>
      <c r="G3268" s="86"/>
      <c r="H3268" s="88"/>
      <c r="I3268" s="90"/>
      <c r="J3268" s="91"/>
    </row>
    <row r="3269">
      <c r="C3269" s="82"/>
      <c r="E3269" s="84"/>
      <c r="F3269" s="86"/>
      <c r="G3269" s="86"/>
      <c r="H3269" s="88"/>
      <c r="I3269" s="90"/>
      <c r="J3269" s="91"/>
    </row>
    <row r="3270">
      <c r="C3270" s="82"/>
      <c r="E3270" s="84"/>
      <c r="F3270" s="86"/>
      <c r="G3270" s="86"/>
      <c r="H3270" s="88"/>
      <c r="I3270" s="90"/>
      <c r="J3270" s="91"/>
    </row>
    <row r="3271">
      <c r="C3271" s="82"/>
      <c r="E3271" s="84"/>
      <c r="F3271" s="86"/>
      <c r="G3271" s="86"/>
      <c r="H3271" s="88"/>
      <c r="I3271" s="90"/>
      <c r="J3271" s="91"/>
    </row>
    <row r="3272">
      <c r="C3272" s="82"/>
      <c r="E3272" s="84"/>
      <c r="F3272" s="86"/>
      <c r="G3272" s="86"/>
      <c r="H3272" s="88"/>
      <c r="I3272" s="90"/>
      <c r="J3272" s="91"/>
    </row>
    <row r="3273">
      <c r="C3273" s="82"/>
      <c r="E3273" s="84"/>
      <c r="F3273" s="86"/>
      <c r="G3273" s="86"/>
      <c r="H3273" s="88"/>
      <c r="I3273" s="90"/>
      <c r="J3273" s="91"/>
    </row>
    <row r="3274">
      <c r="C3274" s="82"/>
      <c r="E3274" s="84"/>
      <c r="F3274" s="86"/>
      <c r="G3274" s="86"/>
      <c r="H3274" s="88"/>
      <c r="I3274" s="90"/>
      <c r="J3274" s="91"/>
    </row>
    <row r="3275">
      <c r="C3275" s="82"/>
      <c r="E3275" s="84"/>
      <c r="F3275" s="86"/>
      <c r="G3275" s="86"/>
      <c r="H3275" s="88"/>
      <c r="I3275" s="90"/>
      <c r="J3275" s="91"/>
    </row>
    <row r="3276">
      <c r="C3276" s="82"/>
      <c r="E3276" s="84"/>
      <c r="F3276" s="86"/>
      <c r="G3276" s="86"/>
      <c r="H3276" s="88"/>
      <c r="I3276" s="90"/>
      <c r="J3276" s="91"/>
    </row>
    <row r="3277">
      <c r="C3277" s="82"/>
      <c r="E3277" s="84"/>
      <c r="F3277" s="86"/>
      <c r="G3277" s="86"/>
      <c r="H3277" s="88"/>
      <c r="I3277" s="90"/>
      <c r="J3277" s="91"/>
    </row>
    <row r="3278">
      <c r="C3278" s="82"/>
      <c r="E3278" s="84"/>
      <c r="F3278" s="86"/>
      <c r="G3278" s="86"/>
      <c r="H3278" s="88"/>
      <c r="I3278" s="90"/>
      <c r="J3278" s="91"/>
    </row>
    <row r="3279">
      <c r="C3279" s="82"/>
      <c r="E3279" s="84"/>
      <c r="F3279" s="86"/>
      <c r="G3279" s="86"/>
      <c r="H3279" s="88"/>
      <c r="I3279" s="90"/>
      <c r="J3279" s="91"/>
    </row>
    <row r="3280">
      <c r="C3280" s="82"/>
      <c r="E3280" s="84"/>
      <c r="F3280" s="86"/>
      <c r="G3280" s="86"/>
      <c r="H3280" s="88"/>
      <c r="I3280" s="90"/>
      <c r="J3280" s="91"/>
    </row>
    <row r="3281">
      <c r="C3281" s="82"/>
      <c r="E3281" s="84"/>
      <c r="F3281" s="86"/>
      <c r="G3281" s="86"/>
      <c r="H3281" s="88"/>
      <c r="I3281" s="90"/>
      <c r="J3281" s="91"/>
    </row>
    <row r="3282">
      <c r="C3282" s="82"/>
      <c r="E3282" s="84"/>
      <c r="F3282" s="86"/>
      <c r="G3282" s="86"/>
      <c r="H3282" s="88"/>
      <c r="I3282" s="90"/>
      <c r="J3282" s="91"/>
    </row>
    <row r="3283">
      <c r="C3283" s="82"/>
      <c r="E3283" s="84"/>
      <c r="F3283" s="86"/>
      <c r="G3283" s="86"/>
      <c r="H3283" s="88"/>
      <c r="I3283" s="90"/>
      <c r="J3283" s="91"/>
    </row>
    <row r="3284">
      <c r="C3284" s="82"/>
      <c r="E3284" s="84"/>
      <c r="F3284" s="86"/>
      <c r="G3284" s="86"/>
      <c r="H3284" s="88"/>
      <c r="I3284" s="90"/>
      <c r="J3284" s="91"/>
    </row>
    <row r="3285">
      <c r="C3285" s="82"/>
      <c r="E3285" s="84"/>
      <c r="F3285" s="86"/>
      <c r="G3285" s="86"/>
      <c r="H3285" s="88"/>
      <c r="I3285" s="90"/>
      <c r="J3285" s="91"/>
    </row>
    <row r="3286">
      <c r="C3286" s="82"/>
      <c r="E3286" s="84"/>
      <c r="F3286" s="86"/>
      <c r="G3286" s="86"/>
      <c r="H3286" s="88"/>
      <c r="I3286" s="90"/>
      <c r="J3286" s="91"/>
    </row>
    <row r="3287">
      <c r="C3287" s="82"/>
      <c r="E3287" s="84"/>
      <c r="F3287" s="86"/>
      <c r="G3287" s="86"/>
      <c r="H3287" s="88"/>
      <c r="I3287" s="90"/>
      <c r="J3287" s="91"/>
    </row>
    <row r="3288">
      <c r="C3288" s="82"/>
      <c r="E3288" s="84"/>
      <c r="F3288" s="86"/>
      <c r="G3288" s="86"/>
      <c r="H3288" s="88"/>
      <c r="I3288" s="90"/>
      <c r="J3288" s="91"/>
    </row>
    <row r="3289">
      <c r="C3289" s="82"/>
      <c r="E3289" s="84"/>
      <c r="F3289" s="86"/>
      <c r="G3289" s="86"/>
      <c r="H3289" s="88"/>
      <c r="I3289" s="90"/>
      <c r="J3289" s="91"/>
    </row>
    <row r="3290">
      <c r="C3290" s="82"/>
      <c r="E3290" s="84"/>
      <c r="F3290" s="86"/>
      <c r="G3290" s="86"/>
      <c r="H3290" s="88"/>
      <c r="I3290" s="90"/>
      <c r="J3290" s="91"/>
    </row>
    <row r="3291">
      <c r="C3291" s="82"/>
      <c r="E3291" s="84"/>
      <c r="F3291" s="86"/>
      <c r="G3291" s="86"/>
      <c r="H3291" s="88"/>
      <c r="I3291" s="90"/>
      <c r="J3291" s="91"/>
    </row>
    <row r="3292">
      <c r="C3292" s="82"/>
      <c r="E3292" s="84"/>
      <c r="F3292" s="86"/>
      <c r="G3292" s="86"/>
      <c r="H3292" s="88"/>
      <c r="I3292" s="90"/>
      <c r="J3292" s="91"/>
    </row>
    <row r="3293">
      <c r="C3293" s="82"/>
      <c r="E3293" s="84"/>
      <c r="F3293" s="86"/>
      <c r="G3293" s="86"/>
      <c r="H3293" s="88"/>
      <c r="I3293" s="90"/>
      <c r="J3293" s="91"/>
    </row>
    <row r="3294">
      <c r="C3294" s="82"/>
      <c r="E3294" s="84"/>
      <c r="F3294" s="86"/>
      <c r="G3294" s="86"/>
      <c r="H3294" s="88"/>
      <c r="I3294" s="90"/>
      <c r="J3294" s="91"/>
    </row>
    <row r="3295">
      <c r="C3295" s="82"/>
      <c r="E3295" s="84"/>
      <c r="F3295" s="86"/>
      <c r="G3295" s="86"/>
      <c r="H3295" s="88"/>
      <c r="I3295" s="90"/>
      <c r="J3295" s="91"/>
    </row>
    <row r="3296">
      <c r="C3296" s="82"/>
      <c r="E3296" s="84"/>
      <c r="F3296" s="86"/>
      <c r="G3296" s="86"/>
      <c r="H3296" s="88"/>
      <c r="I3296" s="90"/>
      <c r="J3296" s="91"/>
    </row>
    <row r="3297">
      <c r="C3297" s="82"/>
      <c r="E3297" s="84"/>
      <c r="F3297" s="86"/>
      <c r="G3297" s="86"/>
      <c r="H3297" s="88"/>
      <c r="I3297" s="90"/>
      <c r="J3297" s="91"/>
    </row>
    <row r="3298">
      <c r="C3298" s="82"/>
      <c r="E3298" s="84"/>
      <c r="F3298" s="86"/>
      <c r="G3298" s="86"/>
      <c r="H3298" s="88"/>
      <c r="I3298" s="90"/>
      <c r="J3298" s="91"/>
    </row>
    <row r="3299">
      <c r="C3299" s="82"/>
      <c r="E3299" s="84"/>
      <c r="F3299" s="86"/>
      <c r="G3299" s="86"/>
      <c r="H3299" s="88"/>
      <c r="I3299" s="90"/>
      <c r="J3299" s="91"/>
    </row>
    <row r="3300">
      <c r="C3300" s="82"/>
      <c r="E3300" s="84"/>
      <c r="F3300" s="86"/>
      <c r="G3300" s="86"/>
      <c r="H3300" s="88"/>
      <c r="I3300" s="90"/>
      <c r="J3300" s="91"/>
    </row>
    <row r="3301">
      <c r="C3301" s="82"/>
      <c r="E3301" s="84"/>
      <c r="F3301" s="86"/>
      <c r="G3301" s="86"/>
      <c r="H3301" s="88"/>
      <c r="I3301" s="90"/>
      <c r="J3301" s="91"/>
    </row>
    <row r="3302">
      <c r="C3302" s="82"/>
      <c r="E3302" s="84"/>
      <c r="F3302" s="86"/>
      <c r="G3302" s="86"/>
      <c r="H3302" s="88"/>
      <c r="I3302" s="90"/>
      <c r="J3302" s="91"/>
    </row>
    <row r="3303">
      <c r="C3303" s="82"/>
      <c r="E3303" s="84"/>
      <c r="F3303" s="86"/>
      <c r="G3303" s="86"/>
      <c r="H3303" s="88"/>
      <c r="I3303" s="90"/>
      <c r="J3303" s="91"/>
    </row>
    <row r="3304">
      <c r="C3304" s="82"/>
      <c r="E3304" s="84"/>
      <c r="F3304" s="86"/>
      <c r="G3304" s="86"/>
      <c r="H3304" s="88"/>
      <c r="I3304" s="90"/>
      <c r="J3304" s="91"/>
    </row>
    <row r="3305">
      <c r="C3305" s="82"/>
      <c r="E3305" s="84"/>
      <c r="F3305" s="86"/>
      <c r="G3305" s="86"/>
      <c r="H3305" s="88"/>
      <c r="I3305" s="90"/>
      <c r="J3305" s="91"/>
    </row>
    <row r="3306">
      <c r="C3306" s="82"/>
      <c r="E3306" s="84"/>
      <c r="F3306" s="86"/>
      <c r="G3306" s="86"/>
      <c r="H3306" s="88"/>
      <c r="I3306" s="90"/>
      <c r="J3306" s="91"/>
    </row>
    <row r="3307">
      <c r="C3307" s="82"/>
      <c r="E3307" s="84"/>
      <c r="F3307" s="86"/>
      <c r="G3307" s="86"/>
      <c r="H3307" s="88"/>
      <c r="I3307" s="90"/>
      <c r="J3307" s="91"/>
    </row>
    <row r="3308">
      <c r="C3308" s="82"/>
      <c r="E3308" s="84"/>
      <c r="F3308" s="86"/>
      <c r="G3308" s="86"/>
      <c r="H3308" s="88"/>
      <c r="I3308" s="90"/>
      <c r="J3308" s="91"/>
    </row>
    <row r="3309">
      <c r="C3309" s="82"/>
      <c r="E3309" s="84"/>
      <c r="F3309" s="86"/>
      <c r="G3309" s="86"/>
      <c r="H3309" s="88"/>
      <c r="I3309" s="90"/>
      <c r="J3309" s="91"/>
    </row>
    <row r="3310">
      <c r="C3310" s="82"/>
      <c r="E3310" s="84"/>
      <c r="F3310" s="86"/>
      <c r="G3310" s="86"/>
      <c r="H3310" s="88"/>
      <c r="I3310" s="90"/>
      <c r="J3310" s="91"/>
    </row>
    <row r="3311">
      <c r="C3311" s="82"/>
      <c r="E3311" s="84"/>
      <c r="F3311" s="86"/>
      <c r="G3311" s="86"/>
      <c r="H3311" s="88"/>
      <c r="I3311" s="90"/>
      <c r="J3311" s="91"/>
    </row>
    <row r="3312">
      <c r="C3312" s="82"/>
      <c r="E3312" s="84"/>
      <c r="F3312" s="86"/>
      <c r="G3312" s="86"/>
      <c r="H3312" s="88"/>
      <c r="I3312" s="90"/>
      <c r="J3312" s="91"/>
    </row>
    <row r="3313">
      <c r="C3313" s="82"/>
      <c r="E3313" s="84"/>
      <c r="F3313" s="86"/>
      <c r="G3313" s="86"/>
      <c r="H3313" s="88"/>
      <c r="I3313" s="90"/>
      <c r="J3313" s="91"/>
    </row>
    <row r="3314">
      <c r="C3314" s="82"/>
      <c r="E3314" s="84"/>
      <c r="F3314" s="86"/>
      <c r="G3314" s="86"/>
      <c r="H3314" s="88"/>
      <c r="I3314" s="90"/>
      <c r="J3314" s="91"/>
    </row>
    <row r="3315">
      <c r="C3315" s="82"/>
      <c r="E3315" s="84"/>
      <c r="F3315" s="86"/>
      <c r="G3315" s="86"/>
      <c r="H3315" s="88"/>
      <c r="I3315" s="90"/>
      <c r="J3315" s="91"/>
    </row>
    <row r="3316">
      <c r="C3316" s="82"/>
      <c r="E3316" s="84"/>
      <c r="F3316" s="86"/>
      <c r="G3316" s="86"/>
      <c r="H3316" s="88"/>
      <c r="I3316" s="90"/>
      <c r="J3316" s="91"/>
    </row>
    <row r="3317">
      <c r="C3317" s="82"/>
      <c r="E3317" s="84"/>
      <c r="F3317" s="86"/>
      <c r="G3317" s="86"/>
      <c r="H3317" s="88"/>
      <c r="I3317" s="90"/>
      <c r="J3317" s="91"/>
    </row>
    <row r="3318">
      <c r="C3318" s="82"/>
      <c r="E3318" s="84"/>
      <c r="F3318" s="86"/>
      <c r="G3318" s="86"/>
      <c r="H3318" s="88"/>
      <c r="I3318" s="90"/>
      <c r="J3318" s="91"/>
    </row>
    <row r="3319">
      <c r="C3319" s="82"/>
      <c r="E3319" s="84"/>
      <c r="F3319" s="86"/>
      <c r="G3319" s="86"/>
      <c r="H3319" s="88"/>
      <c r="I3319" s="90"/>
      <c r="J3319" s="91"/>
    </row>
    <row r="3320">
      <c r="C3320" s="82"/>
      <c r="E3320" s="84"/>
      <c r="F3320" s="86"/>
      <c r="G3320" s="86"/>
      <c r="H3320" s="88"/>
      <c r="I3320" s="90"/>
      <c r="J3320" s="91"/>
    </row>
    <row r="3321">
      <c r="C3321" s="82"/>
      <c r="E3321" s="84"/>
      <c r="F3321" s="86"/>
      <c r="G3321" s="86"/>
      <c r="H3321" s="88"/>
      <c r="I3321" s="90"/>
      <c r="J3321" s="91"/>
    </row>
    <row r="3322">
      <c r="C3322" s="82"/>
      <c r="E3322" s="84"/>
      <c r="F3322" s="86"/>
      <c r="G3322" s="86"/>
      <c r="H3322" s="88"/>
      <c r="I3322" s="90"/>
      <c r="J3322" s="91"/>
    </row>
    <row r="3323">
      <c r="C3323" s="82"/>
      <c r="E3323" s="84"/>
      <c r="F3323" s="86"/>
      <c r="G3323" s="86"/>
      <c r="H3323" s="88"/>
      <c r="I3323" s="90"/>
      <c r="J3323" s="91"/>
    </row>
    <row r="3324">
      <c r="C3324" s="82"/>
      <c r="E3324" s="84"/>
      <c r="F3324" s="86"/>
      <c r="G3324" s="86"/>
      <c r="H3324" s="88"/>
      <c r="I3324" s="90"/>
      <c r="J3324" s="91"/>
    </row>
    <row r="3325">
      <c r="C3325" s="82"/>
      <c r="E3325" s="84"/>
      <c r="F3325" s="86"/>
      <c r="G3325" s="86"/>
      <c r="H3325" s="88"/>
      <c r="I3325" s="90"/>
      <c r="J3325" s="91"/>
    </row>
    <row r="3326">
      <c r="C3326" s="82"/>
      <c r="E3326" s="84"/>
      <c r="F3326" s="86"/>
      <c r="G3326" s="86"/>
      <c r="H3326" s="88"/>
      <c r="I3326" s="90"/>
      <c r="J3326" s="91"/>
    </row>
    <row r="3327">
      <c r="C3327" s="82"/>
      <c r="E3327" s="84"/>
      <c r="F3327" s="86"/>
      <c r="G3327" s="86"/>
      <c r="H3327" s="88"/>
      <c r="I3327" s="90"/>
      <c r="J3327" s="91"/>
    </row>
    <row r="3328">
      <c r="C3328" s="82"/>
      <c r="E3328" s="84"/>
      <c r="F3328" s="86"/>
      <c r="G3328" s="86"/>
      <c r="H3328" s="88"/>
      <c r="I3328" s="90"/>
      <c r="J3328" s="91"/>
    </row>
    <row r="3329">
      <c r="C3329" s="82"/>
      <c r="E3329" s="84"/>
      <c r="F3329" s="86"/>
      <c r="G3329" s="86"/>
      <c r="H3329" s="88"/>
      <c r="I3329" s="90"/>
      <c r="J3329" s="91"/>
    </row>
    <row r="3330">
      <c r="C3330" s="82"/>
      <c r="E3330" s="84"/>
      <c r="F3330" s="86"/>
      <c r="G3330" s="86"/>
      <c r="H3330" s="88"/>
      <c r="I3330" s="90"/>
      <c r="J3330" s="91"/>
    </row>
    <row r="3331">
      <c r="C3331" s="82"/>
      <c r="E3331" s="84"/>
      <c r="F3331" s="86"/>
      <c r="G3331" s="86"/>
      <c r="H3331" s="88"/>
      <c r="I3331" s="90"/>
      <c r="J3331" s="91"/>
    </row>
    <row r="3332">
      <c r="C3332" s="82"/>
      <c r="E3332" s="84"/>
      <c r="F3332" s="86"/>
      <c r="G3332" s="86"/>
      <c r="H3332" s="88"/>
      <c r="I3332" s="90"/>
      <c r="J3332" s="91"/>
    </row>
    <row r="3333">
      <c r="C3333" s="82"/>
      <c r="E3333" s="84"/>
      <c r="F3333" s="86"/>
      <c r="G3333" s="86"/>
      <c r="H3333" s="88"/>
      <c r="I3333" s="90"/>
      <c r="J3333" s="91"/>
    </row>
    <row r="3334">
      <c r="C3334" s="82"/>
      <c r="E3334" s="84"/>
      <c r="F3334" s="86"/>
      <c r="G3334" s="86"/>
      <c r="H3334" s="88"/>
      <c r="I3334" s="90"/>
      <c r="J3334" s="91"/>
    </row>
    <row r="3335">
      <c r="C3335" s="82"/>
      <c r="E3335" s="84"/>
      <c r="F3335" s="86"/>
      <c r="G3335" s="86"/>
      <c r="H3335" s="88"/>
      <c r="I3335" s="90"/>
      <c r="J3335" s="91"/>
    </row>
    <row r="3336">
      <c r="C3336" s="82"/>
      <c r="E3336" s="84"/>
      <c r="F3336" s="86"/>
      <c r="G3336" s="86"/>
      <c r="H3336" s="88"/>
      <c r="I3336" s="90"/>
      <c r="J3336" s="91"/>
    </row>
    <row r="3337">
      <c r="C3337" s="82"/>
      <c r="E3337" s="84"/>
      <c r="F3337" s="86"/>
      <c r="G3337" s="86"/>
      <c r="H3337" s="88"/>
      <c r="I3337" s="90"/>
      <c r="J3337" s="91"/>
    </row>
    <row r="3338">
      <c r="C3338" s="82"/>
      <c r="E3338" s="84"/>
      <c r="F3338" s="86"/>
      <c r="G3338" s="86"/>
      <c r="H3338" s="88"/>
      <c r="I3338" s="90"/>
      <c r="J3338" s="91"/>
    </row>
    <row r="3339">
      <c r="C3339" s="82"/>
      <c r="E3339" s="84"/>
      <c r="F3339" s="86"/>
      <c r="G3339" s="86"/>
      <c r="H3339" s="88"/>
      <c r="I3339" s="90"/>
      <c r="J3339" s="91"/>
    </row>
    <row r="3340">
      <c r="C3340" s="82"/>
      <c r="E3340" s="84"/>
      <c r="F3340" s="86"/>
      <c r="G3340" s="86"/>
      <c r="H3340" s="88"/>
      <c r="I3340" s="90"/>
      <c r="J3340" s="91"/>
    </row>
    <row r="3341">
      <c r="C3341" s="82"/>
      <c r="E3341" s="84"/>
      <c r="F3341" s="86"/>
      <c r="G3341" s="86"/>
      <c r="H3341" s="88"/>
      <c r="I3341" s="90"/>
      <c r="J3341" s="91"/>
    </row>
    <row r="3342">
      <c r="C3342" s="82"/>
      <c r="E3342" s="84"/>
      <c r="F3342" s="86"/>
      <c r="G3342" s="86"/>
      <c r="H3342" s="88"/>
      <c r="I3342" s="90"/>
      <c r="J3342" s="91"/>
    </row>
    <row r="3343">
      <c r="C3343" s="82"/>
      <c r="E3343" s="84"/>
      <c r="F3343" s="86"/>
      <c r="G3343" s="86"/>
      <c r="H3343" s="88"/>
      <c r="I3343" s="90"/>
      <c r="J3343" s="91"/>
    </row>
    <row r="3344">
      <c r="C3344" s="82"/>
      <c r="E3344" s="84"/>
      <c r="F3344" s="86"/>
      <c r="G3344" s="86"/>
      <c r="H3344" s="88"/>
      <c r="I3344" s="90"/>
      <c r="J3344" s="91"/>
    </row>
    <row r="3345">
      <c r="C3345" s="82"/>
      <c r="E3345" s="84"/>
      <c r="F3345" s="86"/>
      <c r="G3345" s="86"/>
      <c r="H3345" s="88"/>
      <c r="I3345" s="90"/>
      <c r="J3345" s="91"/>
    </row>
    <row r="3346">
      <c r="C3346" s="82"/>
      <c r="E3346" s="84"/>
      <c r="F3346" s="86"/>
      <c r="G3346" s="86"/>
      <c r="H3346" s="88"/>
      <c r="I3346" s="90"/>
      <c r="J3346" s="91"/>
    </row>
    <row r="3347">
      <c r="C3347" s="82"/>
      <c r="E3347" s="84"/>
      <c r="F3347" s="86"/>
      <c r="G3347" s="86"/>
      <c r="H3347" s="88"/>
      <c r="I3347" s="90"/>
      <c r="J3347" s="91"/>
    </row>
    <row r="3348">
      <c r="C3348" s="82"/>
      <c r="E3348" s="84"/>
      <c r="F3348" s="86"/>
      <c r="G3348" s="86"/>
      <c r="H3348" s="88"/>
      <c r="I3348" s="90"/>
      <c r="J3348" s="91"/>
    </row>
    <row r="3349">
      <c r="C3349" s="82"/>
      <c r="E3349" s="84"/>
      <c r="F3349" s="86"/>
      <c r="G3349" s="86"/>
      <c r="H3349" s="88"/>
      <c r="I3349" s="90"/>
      <c r="J3349" s="91"/>
    </row>
    <row r="3350">
      <c r="C3350" s="82"/>
      <c r="E3350" s="84"/>
      <c r="F3350" s="86"/>
      <c r="G3350" s="86"/>
      <c r="H3350" s="88"/>
      <c r="I3350" s="90"/>
      <c r="J3350" s="91"/>
    </row>
    <row r="3351">
      <c r="C3351" s="82"/>
      <c r="E3351" s="84"/>
      <c r="F3351" s="86"/>
      <c r="G3351" s="86"/>
      <c r="H3351" s="88"/>
      <c r="I3351" s="90"/>
      <c r="J3351" s="91"/>
    </row>
    <row r="3352">
      <c r="C3352" s="82"/>
      <c r="E3352" s="84"/>
      <c r="F3352" s="86"/>
      <c r="G3352" s="86"/>
      <c r="H3352" s="88"/>
      <c r="I3352" s="90"/>
      <c r="J3352" s="91"/>
    </row>
    <row r="3353">
      <c r="C3353" s="82"/>
      <c r="E3353" s="84"/>
      <c r="F3353" s="86"/>
      <c r="G3353" s="86"/>
      <c r="H3353" s="88"/>
      <c r="I3353" s="90"/>
      <c r="J3353" s="91"/>
    </row>
    <row r="3354">
      <c r="C3354" s="82"/>
      <c r="E3354" s="84"/>
      <c r="F3354" s="86"/>
      <c r="G3354" s="86"/>
      <c r="H3354" s="88"/>
      <c r="I3354" s="90"/>
      <c r="J3354" s="91"/>
    </row>
    <row r="3355">
      <c r="C3355" s="82"/>
      <c r="E3355" s="84"/>
      <c r="F3355" s="86"/>
      <c r="G3355" s="86"/>
      <c r="H3355" s="88"/>
      <c r="I3355" s="90"/>
      <c r="J3355" s="91"/>
    </row>
    <row r="3356">
      <c r="C3356" s="82"/>
      <c r="E3356" s="84"/>
      <c r="F3356" s="86"/>
      <c r="G3356" s="86"/>
      <c r="H3356" s="88"/>
      <c r="I3356" s="90"/>
      <c r="J3356" s="91"/>
    </row>
    <row r="3357">
      <c r="C3357" s="82"/>
      <c r="E3357" s="84"/>
      <c r="F3357" s="86"/>
      <c r="G3357" s="86"/>
      <c r="H3357" s="88"/>
      <c r="I3357" s="90"/>
      <c r="J3357" s="91"/>
    </row>
    <row r="3358">
      <c r="C3358" s="82"/>
      <c r="E3358" s="84"/>
      <c r="F3358" s="86"/>
      <c r="G3358" s="86"/>
      <c r="H3358" s="88"/>
      <c r="I3358" s="90"/>
      <c r="J3358" s="91"/>
    </row>
    <row r="3359">
      <c r="C3359" s="82"/>
      <c r="E3359" s="84"/>
      <c r="F3359" s="86"/>
      <c r="G3359" s="86"/>
      <c r="H3359" s="88"/>
      <c r="I3359" s="90"/>
      <c r="J3359" s="91"/>
    </row>
    <row r="3360">
      <c r="C3360" s="82"/>
      <c r="E3360" s="84"/>
      <c r="F3360" s="86"/>
      <c r="G3360" s="86"/>
      <c r="H3360" s="88"/>
      <c r="I3360" s="90"/>
      <c r="J3360" s="91"/>
    </row>
    <row r="3361">
      <c r="C3361" s="82"/>
      <c r="E3361" s="84"/>
      <c r="F3361" s="86"/>
      <c r="G3361" s="86"/>
      <c r="H3361" s="88"/>
      <c r="I3361" s="90"/>
      <c r="J3361" s="91"/>
    </row>
    <row r="3362">
      <c r="C3362" s="82"/>
      <c r="E3362" s="84"/>
      <c r="F3362" s="86"/>
      <c r="G3362" s="86"/>
      <c r="H3362" s="88"/>
      <c r="I3362" s="90"/>
      <c r="J3362" s="91"/>
    </row>
    <row r="3363">
      <c r="C3363" s="82"/>
      <c r="E3363" s="84"/>
      <c r="F3363" s="86"/>
      <c r="G3363" s="86"/>
      <c r="H3363" s="88"/>
      <c r="I3363" s="90"/>
      <c r="J3363" s="91"/>
    </row>
    <row r="3364">
      <c r="C3364" s="82"/>
      <c r="E3364" s="84"/>
      <c r="F3364" s="86"/>
      <c r="G3364" s="86"/>
      <c r="H3364" s="88"/>
      <c r="I3364" s="90"/>
      <c r="J3364" s="91"/>
    </row>
    <row r="3365">
      <c r="C3365" s="82"/>
      <c r="E3365" s="84"/>
      <c r="F3365" s="86"/>
      <c r="G3365" s="86"/>
      <c r="H3365" s="88"/>
      <c r="I3365" s="90"/>
      <c r="J3365" s="91"/>
    </row>
    <row r="3366">
      <c r="C3366" s="82"/>
      <c r="E3366" s="84"/>
      <c r="F3366" s="86"/>
      <c r="G3366" s="86"/>
      <c r="H3366" s="88"/>
      <c r="I3366" s="90"/>
      <c r="J3366" s="91"/>
    </row>
    <row r="3367">
      <c r="C3367" s="82"/>
      <c r="E3367" s="84"/>
      <c r="F3367" s="86"/>
      <c r="G3367" s="86"/>
      <c r="H3367" s="88"/>
      <c r="I3367" s="90"/>
      <c r="J3367" s="91"/>
    </row>
    <row r="3368">
      <c r="C3368" s="82"/>
      <c r="E3368" s="84"/>
      <c r="F3368" s="86"/>
      <c r="G3368" s="86"/>
      <c r="H3368" s="88"/>
      <c r="I3368" s="90"/>
      <c r="J3368" s="91"/>
    </row>
    <row r="3369">
      <c r="C3369" s="82"/>
      <c r="E3369" s="84"/>
      <c r="F3369" s="86"/>
      <c r="G3369" s="86"/>
      <c r="H3369" s="88"/>
      <c r="I3369" s="90"/>
      <c r="J3369" s="91"/>
    </row>
    <row r="3370">
      <c r="C3370" s="82"/>
      <c r="E3370" s="84"/>
      <c r="F3370" s="86"/>
      <c r="G3370" s="86"/>
      <c r="H3370" s="88"/>
      <c r="I3370" s="90"/>
      <c r="J3370" s="91"/>
    </row>
    <row r="3371">
      <c r="C3371" s="82"/>
      <c r="E3371" s="84"/>
      <c r="F3371" s="86"/>
      <c r="G3371" s="86"/>
      <c r="H3371" s="88"/>
      <c r="I3371" s="90"/>
      <c r="J3371" s="91"/>
    </row>
    <row r="3372">
      <c r="C3372" s="82"/>
      <c r="E3372" s="84"/>
      <c r="F3372" s="86"/>
      <c r="G3372" s="86"/>
      <c r="H3372" s="88"/>
      <c r="I3372" s="90"/>
      <c r="J3372" s="91"/>
    </row>
    <row r="3373">
      <c r="C3373" s="82"/>
      <c r="E3373" s="84"/>
      <c r="F3373" s="86"/>
      <c r="G3373" s="86"/>
      <c r="H3373" s="88"/>
      <c r="I3373" s="90"/>
      <c r="J3373" s="91"/>
    </row>
    <row r="3374">
      <c r="C3374" s="82"/>
      <c r="E3374" s="84"/>
      <c r="F3374" s="86"/>
      <c r="G3374" s="86"/>
      <c r="H3374" s="88"/>
      <c r="I3374" s="90"/>
      <c r="J3374" s="91"/>
    </row>
    <row r="3375">
      <c r="C3375" s="82"/>
      <c r="E3375" s="84"/>
      <c r="F3375" s="86"/>
      <c r="G3375" s="86"/>
      <c r="H3375" s="88"/>
      <c r="I3375" s="90"/>
      <c r="J3375" s="91"/>
    </row>
    <row r="3376">
      <c r="C3376" s="82"/>
      <c r="E3376" s="84"/>
      <c r="F3376" s="86"/>
      <c r="G3376" s="86"/>
      <c r="H3376" s="88"/>
      <c r="I3376" s="90"/>
      <c r="J3376" s="91"/>
    </row>
    <row r="3377">
      <c r="C3377" s="82"/>
      <c r="E3377" s="84"/>
      <c r="F3377" s="86"/>
      <c r="G3377" s="86"/>
      <c r="H3377" s="88"/>
      <c r="I3377" s="90"/>
      <c r="J3377" s="91"/>
    </row>
    <row r="3378">
      <c r="C3378" s="82"/>
      <c r="E3378" s="84"/>
      <c r="F3378" s="86"/>
      <c r="G3378" s="86"/>
      <c r="H3378" s="88"/>
      <c r="I3378" s="90"/>
      <c r="J3378" s="91"/>
    </row>
    <row r="3379">
      <c r="C3379" s="82"/>
      <c r="E3379" s="84"/>
      <c r="F3379" s="86"/>
      <c r="G3379" s="86"/>
      <c r="H3379" s="88"/>
      <c r="I3379" s="90"/>
      <c r="J3379" s="91"/>
    </row>
    <row r="3380">
      <c r="C3380" s="82"/>
      <c r="E3380" s="84"/>
      <c r="F3380" s="86"/>
      <c r="G3380" s="86"/>
      <c r="H3380" s="88"/>
      <c r="I3380" s="90"/>
      <c r="J3380" s="91"/>
    </row>
    <row r="3381">
      <c r="C3381" s="82"/>
      <c r="E3381" s="84"/>
      <c r="F3381" s="86"/>
      <c r="G3381" s="86"/>
      <c r="H3381" s="88"/>
      <c r="I3381" s="90"/>
      <c r="J3381" s="91"/>
    </row>
    <row r="3382">
      <c r="C3382" s="82"/>
      <c r="E3382" s="84"/>
      <c r="F3382" s="86"/>
      <c r="G3382" s="86"/>
      <c r="H3382" s="88"/>
      <c r="I3382" s="90"/>
      <c r="J3382" s="91"/>
    </row>
    <row r="3383">
      <c r="C3383" s="82"/>
      <c r="E3383" s="84"/>
      <c r="F3383" s="86"/>
      <c r="G3383" s="86"/>
      <c r="H3383" s="88"/>
      <c r="I3383" s="90"/>
      <c r="J3383" s="91"/>
    </row>
    <row r="3384">
      <c r="C3384" s="82"/>
      <c r="E3384" s="84"/>
      <c r="F3384" s="86"/>
      <c r="G3384" s="86"/>
      <c r="H3384" s="88"/>
      <c r="I3384" s="90"/>
      <c r="J3384" s="91"/>
    </row>
    <row r="3385">
      <c r="C3385" s="82"/>
      <c r="E3385" s="84"/>
      <c r="F3385" s="86"/>
      <c r="G3385" s="86"/>
      <c r="H3385" s="88"/>
      <c r="I3385" s="90"/>
      <c r="J3385" s="91"/>
    </row>
    <row r="3386">
      <c r="C3386" s="82"/>
      <c r="E3386" s="84"/>
      <c r="F3386" s="86"/>
      <c r="G3386" s="86"/>
      <c r="H3386" s="88"/>
      <c r="I3386" s="90"/>
      <c r="J3386" s="91"/>
    </row>
    <row r="3387">
      <c r="C3387" s="82"/>
      <c r="E3387" s="84"/>
      <c r="F3387" s="86"/>
      <c r="G3387" s="86"/>
      <c r="H3387" s="88"/>
      <c r="I3387" s="90"/>
      <c r="J3387" s="91"/>
    </row>
    <row r="3388">
      <c r="C3388" s="82"/>
      <c r="E3388" s="84"/>
      <c r="F3388" s="86"/>
      <c r="G3388" s="86"/>
      <c r="H3388" s="88"/>
      <c r="I3388" s="90"/>
      <c r="J3388" s="91"/>
    </row>
    <row r="3389">
      <c r="C3389" s="82"/>
      <c r="E3389" s="84"/>
      <c r="F3389" s="86"/>
      <c r="G3389" s="86"/>
      <c r="H3389" s="88"/>
      <c r="I3389" s="90"/>
      <c r="J3389" s="91"/>
    </row>
    <row r="3390">
      <c r="C3390" s="82"/>
      <c r="E3390" s="84"/>
      <c r="F3390" s="86"/>
      <c r="G3390" s="86"/>
      <c r="H3390" s="88"/>
      <c r="I3390" s="90"/>
      <c r="J3390" s="91"/>
    </row>
    <row r="3391">
      <c r="C3391" s="82"/>
      <c r="E3391" s="84"/>
      <c r="F3391" s="86"/>
      <c r="G3391" s="86"/>
      <c r="H3391" s="88"/>
      <c r="I3391" s="90"/>
      <c r="J3391" s="91"/>
    </row>
    <row r="3392">
      <c r="C3392" s="82"/>
      <c r="E3392" s="84"/>
      <c r="F3392" s="86"/>
      <c r="G3392" s="86"/>
      <c r="H3392" s="88"/>
      <c r="I3392" s="90"/>
      <c r="J3392" s="91"/>
    </row>
    <row r="3393">
      <c r="C3393" s="82"/>
      <c r="E3393" s="84"/>
      <c r="F3393" s="86"/>
      <c r="G3393" s="86"/>
      <c r="H3393" s="88"/>
      <c r="I3393" s="90"/>
      <c r="J3393" s="91"/>
    </row>
    <row r="3394">
      <c r="C3394" s="82"/>
      <c r="E3394" s="84"/>
      <c r="F3394" s="86"/>
      <c r="G3394" s="86"/>
      <c r="H3394" s="88"/>
      <c r="I3394" s="90"/>
      <c r="J3394" s="91"/>
    </row>
    <row r="3395">
      <c r="C3395" s="82"/>
      <c r="E3395" s="84"/>
      <c r="F3395" s="86"/>
      <c r="G3395" s="86"/>
      <c r="H3395" s="88"/>
      <c r="I3395" s="90"/>
      <c r="J3395" s="91"/>
    </row>
    <row r="3396">
      <c r="C3396" s="82"/>
      <c r="E3396" s="84"/>
      <c r="F3396" s="86"/>
      <c r="G3396" s="86"/>
      <c r="H3396" s="88"/>
      <c r="I3396" s="90"/>
      <c r="J3396" s="91"/>
    </row>
    <row r="3397">
      <c r="C3397" s="82"/>
      <c r="E3397" s="84"/>
      <c r="F3397" s="86"/>
      <c r="G3397" s="86"/>
      <c r="H3397" s="88"/>
      <c r="I3397" s="90"/>
      <c r="J3397" s="91"/>
    </row>
    <row r="3398">
      <c r="C3398" s="82"/>
      <c r="E3398" s="84"/>
      <c r="F3398" s="86"/>
      <c r="G3398" s="86"/>
      <c r="H3398" s="88"/>
      <c r="I3398" s="90"/>
      <c r="J3398" s="91"/>
    </row>
    <row r="3399">
      <c r="C3399" s="82"/>
      <c r="E3399" s="84"/>
      <c r="F3399" s="86"/>
      <c r="G3399" s="86"/>
      <c r="H3399" s="88"/>
      <c r="I3399" s="90"/>
      <c r="J3399" s="91"/>
    </row>
    <row r="3400">
      <c r="C3400" s="82"/>
      <c r="E3400" s="84"/>
      <c r="F3400" s="86"/>
      <c r="G3400" s="86"/>
      <c r="H3400" s="88"/>
      <c r="I3400" s="90"/>
      <c r="J3400" s="91"/>
    </row>
    <row r="3401">
      <c r="C3401" s="82"/>
      <c r="E3401" s="84"/>
      <c r="F3401" s="86"/>
      <c r="G3401" s="86"/>
      <c r="H3401" s="88"/>
      <c r="I3401" s="90"/>
      <c r="J3401" s="91"/>
    </row>
    <row r="3402">
      <c r="C3402" s="82"/>
      <c r="E3402" s="84"/>
      <c r="F3402" s="86"/>
      <c r="G3402" s="86"/>
      <c r="H3402" s="88"/>
      <c r="I3402" s="90"/>
      <c r="J3402" s="91"/>
    </row>
    <row r="3403">
      <c r="C3403" s="82"/>
      <c r="E3403" s="84"/>
      <c r="F3403" s="86"/>
      <c r="G3403" s="86"/>
      <c r="H3403" s="88"/>
      <c r="I3403" s="90"/>
      <c r="J3403" s="91"/>
    </row>
    <row r="3404">
      <c r="C3404" s="82"/>
      <c r="E3404" s="84"/>
      <c r="F3404" s="86"/>
      <c r="G3404" s="86"/>
      <c r="H3404" s="88"/>
      <c r="I3404" s="90"/>
      <c r="J3404" s="91"/>
    </row>
    <row r="3405">
      <c r="C3405" s="82"/>
      <c r="E3405" s="84"/>
      <c r="F3405" s="86"/>
      <c r="G3405" s="86"/>
      <c r="H3405" s="88"/>
      <c r="I3405" s="90"/>
      <c r="J3405" s="91"/>
    </row>
    <row r="3406">
      <c r="C3406" s="82"/>
      <c r="E3406" s="84"/>
      <c r="F3406" s="86"/>
      <c r="G3406" s="86"/>
      <c r="H3406" s="88"/>
      <c r="I3406" s="90"/>
      <c r="J3406" s="91"/>
    </row>
    <row r="3407">
      <c r="C3407" s="82"/>
      <c r="E3407" s="84"/>
      <c r="F3407" s="86"/>
      <c r="G3407" s="86"/>
      <c r="H3407" s="88"/>
      <c r="I3407" s="90"/>
      <c r="J3407" s="91"/>
    </row>
    <row r="3408">
      <c r="C3408" s="82"/>
      <c r="E3408" s="84"/>
      <c r="F3408" s="86"/>
      <c r="G3408" s="86"/>
      <c r="H3408" s="88"/>
      <c r="I3408" s="90"/>
      <c r="J3408" s="91"/>
    </row>
    <row r="3409">
      <c r="C3409" s="82"/>
      <c r="E3409" s="84"/>
      <c r="F3409" s="86"/>
      <c r="G3409" s="86"/>
      <c r="H3409" s="88"/>
      <c r="I3409" s="90"/>
      <c r="J3409" s="91"/>
    </row>
    <row r="3410">
      <c r="C3410" s="82"/>
      <c r="E3410" s="84"/>
      <c r="F3410" s="86"/>
      <c r="G3410" s="86"/>
      <c r="H3410" s="88"/>
      <c r="I3410" s="90"/>
      <c r="J3410" s="91"/>
    </row>
    <row r="3411">
      <c r="C3411" s="82"/>
      <c r="E3411" s="84"/>
      <c r="F3411" s="86"/>
      <c r="G3411" s="86"/>
      <c r="H3411" s="88"/>
      <c r="I3411" s="90"/>
      <c r="J3411" s="91"/>
    </row>
    <row r="3412">
      <c r="C3412" s="82"/>
      <c r="E3412" s="84"/>
      <c r="F3412" s="86"/>
      <c r="G3412" s="86"/>
      <c r="H3412" s="88"/>
      <c r="I3412" s="90"/>
      <c r="J3412" s="91"/>
    </row>
    <row r="3413">
      <c r="C3413" s="82"/>
      <c r="E3413" s="84"/>
      <c r="F3413" s="86"/>
      <c r="G3413" s="86"/>
      <c r="H3413" s="88"/>
      <c r="I3413" s="90"/>
      <c r="J3413" s="91"/>
    </row>
    <row r="3414">
      <c r="C3414" s="82"/>
      <c r="E3414" s="84"/>
      <c r="F3414" s="86"/>
      <c r="G3414" s="86"/>
      <c r="H3414" s="88"/>
      <c r="I3414" s="90"/>
      <c r="J3414" s="91"/>
    </row>
    <row r="3415">
      <c r="C3415" s="82"/>
      <c r="E3415" s="84"/>
      <c r="F3415" s="86"/>
      <c r="G3415" s="86"/>
      <c r="H3415" s="88"/>
      <c r="I3415" s="90"/>
      <c r="J3415" s="91"/>
    </row>
    <row r="3416">
      <c r="C3416" s="82"/>
      <c r="E3416" s="84"/>
      <c r="F3416" s="86"/>
      <c r="G3416" s="86"/>
      <c r="H3416" s="88"/>
      <c r="I3416" s="90"/>
      <c r="J3416" s="91"/>
    </row>
    <row r="3417">
      <c r="C3417" s="82"/>
      <c r="E3417" s="84"/>
      <c r="F3417" s="86"/>
      <c r="G3417" s="86"/>
      <c r="H3417" s="88"/>
      <c r="I3417" s="90"/>
      <c r="J3417" s="91"/>
    </row>
    <row r="3418">
      <c r="C3418" s="82"/>
      <c r="E3418" s="84"/>
      <c r="F3418" s="86"/>
      <c r="G3418" s="86"/>
      <c r="H3418" s="88"/>
      <c r="I3418" s="90"/>
      <c r="J3418" s="91"/>
    </row>
    <row r="3419">
      <c r="C3419" s="82"/>
      <c r="E3419" s="84"/>
      <c r="F3419" s="86"/>
      <c r="G3419" s="86"/>
      <c r="H3419" s="88"/>
      <c r="I3419" s="90"/>
      <c r="J3419" s="91"/>
    </row>
    <row r="3420">
      <c r="C3420" s="82"/>
      <c r="E3420" s="84"/>
      <c r="F3420" s="86"/>
      <c r="G3420" s="86"/>
      <c r="H3420" s="88"/>
      <c r="I3420" s="90"/>
      <c r="J3420" s="91"/>
    </row>
    <row r="3421">
      <c r="C3421" s="82"/>
      <c r="E3421" s="84"/>
      <c r="F3421" s="86"/>
      <c r="G3421" s="86"/>
      <c r="H3421" s="88"/>
      <c r="I3421" s="90"/>
      <c r="J3421" s="91"/>
    </row>
    <row r="3422">
      <c r="C3422" s="82"/>
      <c r="E3422" s="84"/>
      <c r="F3422" s="86"/>
      <c r="G3422" s="86"/>
      <c r="H3422" s="88"/>
      <c r="I3422" s="90"/>
      <c r="J3422" s="91"/>
    </row>
    <row r="3423">
      <c r="C3423" s="82"/>
      <c r="E3423" s="84"/>
      <c r="F3423" s="86"/>
      <c r="G3423" s="86"/>
      <c r="H3423" s="88"/>
      <c r="I3423" s="90"/>
      <c r="J3423" s="91"/>
    </row>
    <row r="3424">
      <c r="C3424" s="82"/>
      <c r="E3424" s="84"/>
      <c r="F3424" s="86"/>
      <c r="G3424" s="86"/>
      <c r="H3424" s="88"/>
      <c r="I3424" s="90"/>
      <c r="J3424" s="91"/>
    </row>
    <row r="3425">
      <c r="C3425" s="82"/>
      <c r="E3425" s="84"/>
      <c r="F3425" s="86"/>
      <c r="G3425" s="86"/>
      <c r="H3425" s="88"/>
      <c r="I3425" s="90"/>
      <c r="J3425" s="91"/>
    </row>
    <row r="3426">
      <c r="C3426" s="82"/>
      <c r="E3426" s="84"/>
      <c r="F3426" s="86"/>
      <c r="G3426" s="86"/>
      <c r="H3426" s="88"/>
      <c r="I3426" s="90"/>
      <c r="J3426" s="91"/>
    </row>
    <row r="3427">
      <c r="C3427" s="82"/>
      <c r="E3427" s="84"/>
      <c r="F3427" s="86"/>
      <c r="G3427" s="86"/>
      <c r="H3427" s="88"/>
      <c r="I3427" s="90"/>
      <c r="J3427" s="91"/>
    </row>
    <row r="3428">
      <c r="C3428" s="82"/>
      <c r="E3428" s="84"/>
      <c r="F3428" s="86"/>
      <c r="G3428" s="86"/>
      <c r="H3428" s="88"/>
      <c r="I3428" s="90"/>
      <c r="J3428" s="91"/>
    </row>
    <row r="3429">
      <c r="C3429" s="82"/>
      <c r="E3429" s="84"/>
      <c r="F3429" s="86"/>
      <c r="G3429" s="86"/>
      <c r="H3429" s="88"/>
      <c r="I3429" s="90"/>
      <c r="J3429" s="91"/>
    </row>
    <row r="3430">
      <c r="C3430" s="82"/>
      <c r="E3430" s="84"/>
      <c r="F3430" s="86"/>
      <c r="G3430" s="86"/>
      <c r="H3430" s="88"/>
      <c r="I3430" s="90"/>
      <c r="J3430" s="91"/>
    </row>
    <row r="3431">
      <c r="C3431" s="82"/>
      <c r="E3431" s="84"/>
      <c r="F3431" s="86"/>
      <c r="G3431" s="86"/>
      <c r="H3431" s="88"/>
      <c r="I3431" s="90"/>
      <c r="J3431" s="91"/>
    </row>
    <row r="3432">
      <c r="C3432" s="82"/>
      <c r="E3432" s="84"/>
      <c r="F3432" s="86"/>
      <c r="G3432" s="86"/>
      <c r="H3432" s="88"/>
      <c r="I3432" s="90"/>
      <c r="J3432" s="91"/>
    </row>
    <row r="3433">
      <c r="C3433" s="82"/>
      <c r="E3433" s="84"/>
      <c r="F3433" s="86"/>
      <c r="G3433" s="86"/>
      <c r="H3433" s="88"/>
      <c r="I3433" s="90"/>
      <c r="J3433" s="91"/>
    </row>
    <row r="3434">
      <c r="C3434" s="82"/>
      <c r="E3434" s="84"/>
      <c r="F3434" s="86"/>
      <c r="G3434" s="86"/>
      <c r="H3434" s="88"/>
      <c r="I3434" s="90"/>
      <c r="J3434" s="91"/>
    </row>
    <row r="3435">
      <c r="C3435" s="82"/>
      <c r="E3435" s="84"/>
      <c r="F3435" s="86"/>
      <c r="G3435" s="86"/>
      <c r="H3435" s="88"/>
      <c r="I3435" s="90"/>
      <c r="J3435" s="91"/>
    </row>
    <row r="3436">
      <c r="C3436" s="82"/>
      <c r="E3436" s="84"/>
      <c r="F3436" s="86"/>
      <c r="G3436" s="86"/>
      <c r="H3436" s="88"/>
      <c r="I3436" s="90"/>
      <c r="J3436" s="91"/>
    </row>
    <row r="3437">
      <c r="C3437" s="82"/>
      <c r="E3437" s="84"/>
      <c r="F3437" s="86"/>
      <c r="G3437" s="86"/>
      <c r="H3437" s="88"/>
      <c r="I3437" s="90"/>
      <c r="J3437" s="91"/>
    </row>
    <row r="3438">
      <c r="C3438" s="82"/>
      <c r="E3438" s="84"/>
      <c r="F3438" s="86"/>
      <c r="G3438" s="86"/>
      <c r="H3438" s="88"/>
      <c r="I3438" s="90"/>
      <c r="J3438" s="91"/>
    </row>
    <row r="3439">
      <c r="C3439" s="82"/>
      <c r="E3439" s="84"/>
      <c r="F3439" s="86"/>
      <c r="G3439" s="86"/>
      <c r="H3439" s="88"/>
      <c r="I3439" s="90"/>
      <c r="J3439" s="91"/>
    </row>
    <row r="3440">
      <c r="C3440" s="82"/>
      <c r="E3440" s="84"/>
      <c r="F3440" s="86"/>
      <c r="G3440" s="86"/>
      <c r="H3440" s="88"/>
      <c r="I3440" s="90"/>
      <c r="J3440" s="91"/>
    </row>
    <row r="3441">
      <c r="C3441" s="82"/>
      <c r="E3441" s="84"/>
      <c r="F3441" s="86"/>
      <c r="G3441" s="86"/>
      <c r="H3441" s="88"/>
      <c r="I3441" s="90"/>
      <c r="J3441" s="91"/>
    </row>
    <row r="3442">
      <c r="C3442" s="82"/>
      <c r="E3442" s="84"/>
      <c r="F3442" s="86"/>
      <c r="G3442" s="86"/>
      <c r="H3442" s="88"/>
      <c r="I3442" s="90"/>
      <c r="J3442" s="91"/>
    </row>
    <row r="3443">
      <c r="C3443" s="82"/>
      <c r="E3443" s="84"/>
      <c r="F3443" s="86"/>
      <c r="G3443" s="86"/>
      <c r="H3443" s="88"/>
      <c r="I3443" s="90"/>
      <c r="J3443" s="91"/>
    </row>
    <row r="3444">
      <c r="C3444" s="82"/>
      <c r="E3444" s="84"/>
      <c r="F3444" s="86"/>
      <c r="G3444" s="86"/>
      <c r="H3444" s="88"/>
      <c r="I3444" s="90"/>
      <c r="J3444" s="91"/>
    </row>
    <row r="3445">
      <c r="C3445" s="82"/>
      <c r="E3445" s="84"/>
      <c r="F3445" s="86"/>
      <c r="G3445" s="86"/>
      <c r="H3445" s="88"/>
      <c r="I3445" s="90"/>
      <c r="J3445" s="91"/>
    </row>
    <row r="3446">
      <c r="C3446" s="82"/>
      <c r="E3446" s="84"/>
      <c r="F3446" s="86"/>
      <c r="G3446" s="86"/>
      <c r="H3446" s="88"/>
      <c r="I3446" s="90"/>
      <c r="J3446" s="91"/>
    </row>
    <row r="3447">
      <c r="C3447" s="82"/>
      <c r="E3447" s="84"/>
      <c r="F3447" s="86"/>
      <c r="G3447" s="86"/>
      <c r="H3447" s="88"/>
      <c r="I3447" s="90"/>
      <c r="J3447" s="91"/>
    </row>
    <row r="3448">
      <c r="C3448" s="82"/>
      <c r="E3448" s="84"/>
      <c r="F3448" s="86"/>
      <c r="G3448" s="86"/>
      <c r="H3448" s="88"/>
      <c r="I3448" s="90"/>
      <c r="J3448" s="91"/>
    </row>
    <row r="3449">
      <c r="C3449" s="82"/>
      <c r="E3449" s="84"/>
      <c r="F3449" s="86"/>
      <c r="G3449" s="86"/>
      <c r="H3449" s="88"/>
      <c r="I3449" s="90"/>
      <c r="J3449" s="91"/>
    </row>
    <row r="3450">
      <c r="C3450" s="82"/>
      <c r="E3450" s="84"/>
      <c r="F3450" s="86"/>
      <c r="G3450" s="86"/>
      <c r="H3450" s="88"/>
      <c r="I3450" s="90"/>
      <c r="J3450" s="91"/>
    </row>
    <row r="3451">
      <c r="C3451" s="82"/>
      <c r="E3451" s="84"/>
      <c r="F3451" s="86"/>
      <c r="G3451" s="86"/>
      <c r="H3451" s="88"/>
      <c r="I3451" s="90"/>
      <c r="J3451" s="91"/>
    </row>
    <row r="3452">
      <c r="C3452" s="82"/>
      <c r="E3452" s="84"/>
      <c r="F3452" s="86"/>
      <c r="G3452" s="86"/>
      <c r="H3452" s="88"/>
      <c r="I3452" s="90"/>
      <c r="J3452" s="91"/>
    </row>
    <row r="3453">
      <c r="C3453" s="82"/>
      <c r="E3453" s="84"/>
      <c r="F3453" s="86"/>
      <c r="G3453" s="86"/>
      <c r="H3453" s="88"/>
      <c r="I3453" s="90"/>
      <c r="J3453" s="91"/>
    </row>
    <row r="3454">
      <c r="C3454" s="82"/>
      <c r="E3454" s="84"/>
      <c r="F3454" s="86"/>
      <c r="G3454" s="86"/>
      <c r="H3454" s="88"/>
      <c r="I3454" s="90"/>
      <c r="J3454" s="91"/>
    </row>
    <row r="3455">
      <c r="C3455" s="82"/>
      <c r="E3455" s="84"/>
      <c r="F3455" s="86"/>
      <c r="G3455" s="86"/>
      <c r="H3455" s="88"/>
      <c r="I3455" s="90"/>
      <c r="J3455" s="91"/>
    </row>
    <row r="3456">
      <c r="C3456" s="82"/>
      <c r="E3456" s="84"/>
      <c r="F3456" s="86"/>
      <c r="G3456" s="86"/>
      <c r="H3456" s="88"/>
      <c r="I3456" s="90"/>
      <c r="J3456" s="91"/>
    </row>
    <row r="3457">
      <c r="C3457" s="82"/>
      <c r="E3457" s="84"/>
      <c r="F3457" s="86"/>
      <c r="G3457" s="86"/>
      <c r="H3457" s="88"/>
      <c r="I3457" s="90"/>
      <c r="J3457" s="91"/>
    </row>
    <row r="3458">
      <c r="C3458" s="82"/>
      <c r="E3458" s="84"/>
      <c r="F3458" s="86"/>
      <c r="G3458" s="86"/>
      <c r="H3458" s="88"/>
      <c r="I3458" s="90"/>
      <c r="J3458" s="91"/>
    </row>
    <row r="3459">
      <c r="C3459" s="82"/>
      <c r="E3459" s="84"/>
      <c r="F3459" s="86"/>
      <c r="G3459" s="86"/>
      <c r="H3459" s="88"/>
      <c r="I3459" s="90"/>
      <c r="J3459" s="91"/>
    </row>
    <row r="3460">
      <c r="C3460" s="82"/>
      <c r="E3460" s="84"/>
      <c r="F3460" s="86"/>
      <c r="G3460" s="86"/>
      <c r="H3460" s="88"/>
      <c r="I3460" s="90"/>
      <c r="J3460" s="91"/>
    </row>
    <row r="3461">
      <c r="C3461" s="82"/>
      <c r="E3461" s="84"/>
      <c r="F3461" s="86"/>
      <c r="G3461" s="86"/>
      <c r="H3461" s="88"/>
      <c r="I3461" s="90"/>
      <c r="J3461" s="91"/>
    </row>
    <row r="3462">
      <c r="C3462" s="82"/>
      <c r="E3462" s="84"/>
      <c r="F3462" s="86"/>
      <c r="G3462" s="86"/>
      <c r="H3462" s="88"/>
      <c r="I3462" s="90"/>
      <c r="J3462" s="91"/>
    </row>
    <row r="3463">
      <c r="C3463" s="82"/>
      <c r="E3463" s="84"/>
      <c r="F3463" s="86"/>
      <c r="G3463" s="86"/>
      <c r="H3463" s="88"/>
      <c r="I3463" s="90"/>
      <c r="J3463" s="91"/>
    </row>
    <row r="3464">
      <c r="C3464" s="82"/>
      <c r="E3464" s="84"/>
      <c r="F3464" s="86"/>
      <c r="G3464" s="86"/>
      <c r="H3464" s="88"/>
      <c r="I3464" s="90"/>
      <c r="J3464" s="91"/>
    </row>
    <row r="3465">
      <c r="C3465" s="82"/>
      <c r="E3465" s="84"/>
      <c r="F3465" s="86"/>
      <c r="G3465" s="86"/>
      <c r="H3465" s="88"/>
      <c r="I3465" s="90"/>
      <c r="J3465" s="91"/>
    </row>
    <row r="3466">
      <c r="C3466" s="82"/>
      <c r="E3466" s="84"/>
      <c r="F3466" s="86"/>
      <c r="G3466" s="86"/>
      <c r="H3466" s="88"/>
      <c r="I3466" s="90"/>
      <c r="J3466" s="91"/>
    </row>
    <row r="3467">
      <c r="C3467" s="82"/>
      <c r="E3467" s="84"/>
      <c r="F3467" s="86"/>
      <c r="G3467" s="86"/>
      <c r="H3467" s="88"/>
      <c r="I3467" s="90"/>
      <c r="J3467" s="91"/>
    </row>
    <row r="3468">
      <c r="C3468" s="82"/>
      <c r="E3468" s="84"/>
      <c r="F3468" s="86"/>
      <c r="G3468" s="86"/>
      <c r="H3468" s="88"/>
      <c r="I3468" s="90"/>
      <c r="J3468" s="91"/>
    </row>
    <row r="3469">
      <c r="C3469" s="82"/>
      <c r="E3469" s="84"/>
      <c r="F3469" s="86"/>
      <c r="G3469" s="86"/>
      <c r="H3469" s="88"/>
      <c r="I3469" s="90"/>
      <c r="J3469" s="91"/>
    </row>
    <row r="3470">
      <c r="C3470" s="82"/>
      <c r="E3470" s="84"/>
      <c r="F3470" s="86"/>
      <c r="G3470" s="86"/>
      <c r="H3470" s="88"/>
      <c r="I3470" s="90"/>
      <c r="J3470" s="91"/>
    </row>
    <row r="3471">
      <c r="C3471" s="82"/>
      <c r="E3471" s="84"/>
      <c r="F3471" s="86"/>
      <c r="G3471" s="86"/>
      <c r="H3471" s="88"/>
      <c r="I3471" s="90"/>
      <c r="J3471" s="91"/>
    </row>
    <row r="3472">
      <c r="C3472" s="82"/>
      <c r="E3472" s="84"/>
      <c r="F3472" s="86"/>
      <c r="G3472" s="86"/>
      <c r="H3472" s="88"/>
      <c r="I3472" s="90"/>
      <c r="J3472" s="91"/>
    </row>
    <row r="3473">
      <c r="C3473" s="82"/>
      <c r="E3473" s="84"/>
      <c r="F3473" s="86"/>
      <c r="G3473" s="86"/>
      <c r="H3473" s="88"/>
      <c r="I3473" s="90"/>
      <c r="J3473" s="91"/>
    </row>
    <row r="3474">
      <c r="C3474" s="82"/>
      <c r="E3474" s="84"/>
      <c r="F3474" s="86"/>
      <c r="G3474" s="86"/>
      <c r="H3474" s="88"/>
      <c r="I3474" s="90"/>
      <c r="J3474" s="91"/>
    </row>
    <row r="3475">
      <c r="C3475" s="82"/>
      <c r="E3475" s="84"/>
      <c r="F3475" s="86"/>
      <c r="G3475" s="86"/>
      <c r="H3475" s="88"/>
      <c r="I3475" s="90"/>
      <c r="J3475" s="91"/>
    </row>
    <row r="3476">
      <c r="C3476" s="82"/>
      <c r="E3476" s="84"/>
      <c r="F3476" s="86"/>
      <c r="G3476" s="86"/>
      <c r="H3476" s="88"/>
      <c r="I3476" s="90"/>
      <c r="J3476" s="91"/>
    </row>
    <row r="3477">
      <c r="C3477" s="82"/>
      <c r="E3477" s="84"/>
      <c r="F3477" s="86"/>
      <c r="G3477" s="86"/>
      <c r="H3477" s="88"/>
      <c r="I3477" s="90"/>
      <c r="J3477" s="91"/>
    </row>
    <row r="3478">
      <c r="C3478" s="82"/>
      <c r="E3478" s="84"/>
      <c r="F3478" s="86"/>
      <c r="G3478" s="86"/>
      <c r="H3478" s="88"/>
      <c r="I3478" s="90"/>
      <c r="J3478" s="91"/>
    </row>
    <row r="3479">
      <c r="C3479" s="82"/>
      <c r="E3479" s="84"/>
      <c r="F3479" s="86"/>
      <c r="G3479" s="86"/>
      <c r="H3479" s="88"/>
      <c r="I3479" s="90"/>
      <c r="J3479" s="91"/>
    </row>
    <row r="3480">
      <c r="C3480" s="82"/>
      <c r="E3480" s="84"/>
      <c r="F3480" s="86"/>
      <c r="G3480" s="86"/>
      <c r="H3480" s="88"/>
      <c r="I3480" s="90"/>
      <c r="J3480" s="91"/>
    </row>
    <row r="3481">
      <c r="C3481" s="82"/>
      <c r="E3481" s="84"/>
      <c r="F3481" s="86"/>
      <c r="G3481" s="86"/>
      <c r="H3481" s="88"/>
      <c r="I3481" s="90"/>
      <c r="J3481" s="91"/>
    </row>
    <row r="3482">
      <c r="C3482" s="82"/>
      <c r="E3482" s="84"/>
      <c r="F3482" s="86"/>
      <c r="G3482" s="86"/>
      <c r="H3482" s="88"/>
      <c r="I3482" s="90"/>
      <c r="J3482" s="91"/>
    </row>
    <row r="3483">
      <c r="C3483" s="82"/>
      <c r="E3483" s="84"/>
      <c r="F3483" s="86"/>
      <c r="G3483" s="86"/>
      <c r="H3483" s="88"/>
      <c r="I3483" s="90"/>
      <c r="J3483" s="91"/>
    </row>
    <row r="3484">
      <c r="C3484" s="82"/>
      <c r="E3484" s="84"/>
      <c r="F3484" s="86"/>
      <c r="G3484" s="86"/>
      <c r="H3484" s="88"/>
      <c r="I3484" s="90"/>
      <c r="J3484" s="91"/>
    </row>
    <row r="3485">
      <c r="C3485" s="82"/>
      <c r="E3485" s="84"/>
      <c r="F3485" s="86"/>
      <c r="G3485" s="86"/>
      <c r="H3485" s="88"/>
      <c r="I3485" s="90"/>
      <c r="J3485" s="91"/>
    </row>
    <row r="3486">
      <c r="C3486" s="82"/>
      <c r="E3486" s="84"/>
      <c r="F3486" s="86"/>
      <c r="G3486" s="86"/>
      <c r="H3486" s="88"/>
      <c r="I3486" s="90"/>
      <c r="J3486" s="91"/>
    </row>
    <row r="3487">
      <c r="C3487" s="82"/>
      <c r="E3487" s="84"/>
      <c r="F3487" s="86"/>
      <c r="G3487" s="86"/>
      <c r="H3487" s="88"/>
      <c r="I3487" s="90"/>
      <c r="J3487" s="91"/>
    </row>
    <row r="3488">
      <c r="C3488" s="82"/>
      <c r="E3488" s="84"/>
      <c r="F3488" s="86"/>
      <c r="G3488" s="86"/>
      <c r="H3488" s="88"/>
      <c r="I3488" s="90"/>
      <c r="J3488" s="91"/>
    </row>
    <row r="3489">
      <c r="C3489" s="82"/>
      <c r="E3489" s="84"/>
      <c r="F3489" s="86"/>
      <c r="G3489" s="86"/>
      <c r="H3489" s="88"/>
      <c r="I3489" s="90"/>
      <c r="J3489" s="91"/>
    </row>
    <row r="3490">
      <c r="C3490" s="82"/>
      <c r="E3490" s="84"/>
      <c r="F3490" s="86"/>
      <c r="G3490" s="86"/>
      <c r="H3490" s="88"/>
      <c r="I3490" s="90"/>
      <c r="J3490" s="91"/>
    </row>
    <row r="3491">
      <c r="C3491" s="82"/>
      <c r="E3491" s="84"/>
      <c r="F3491" s="86"/>
      <c r="G3491" s="86"/>
      <c r="H3491" s="88"/>
      <c r="I3491" s="90"/>
      <c r="J3491" s="91"/>
    </row>
    <row r="3492">
      <c r="C3492" s="82"/>
      <c r="E3492" s="84"/>
      <c r="F3492" s="86"/>
      <c r="G3492" s="86"/>
      <c r="H3492" s="88"/>
      <c r="I3492" s="90"/>
      <c r="J3492" s="91"/>
    </row>
    <row r="3493">
      <c r="C3493" s="82"/>
      <c r="E3493" s="84"/>
      <c r="F3493" s="86"/>
      <c r="G3493" s="86"/>
      <c r="H3493" s="88"/>
      <c r="I3493" s="90"/>
      <c r="J3493" s="91"/>
    </row>
    <row r="3494">
      <c r="C3494" s="82"/>
      <c r="E3494" s="84"/>
      <c r="F3494" s="86"/>
      <c r="G3494" s="86"/>
      <c r="H3494" s="88"/>
      <c r="I3494" s="90"/>
      <c r="J3494" s="91"/>
    </row>
    <row r="3495">
      <c r="C3495" s="82"/>
      <c r="E3495" s="84"/>
      <c r="F3495" s="86"/>
      <c r="G3495" s="86"/>
      <c r="H3495" s="88"/>
      <c r="I3495" s="90"/>
      <c r="J3495" s="91"/>
    </row>
    <row r="3496">
      <c r="C3496" s="82"/>
      <c r="E3496" s="84"/>
      <c r="F3496" s="86"/>
      <c r="G3496" s="86"/>
      <c r="H3496" s="88"/>
      <c r="I3496" s="90"/>
      <c r="J3496" s="91"/>
    </row>
    <row r="3497">
      <c r="C3497" s="82"/>
      <c r="E3497" s="84"/>
      <c r="F3497" s="86"/>
      <c r="G3497" s="86"/>
      <c r="H3497" s="88"/>
      <c r="I3497" s="90"/>
      <c r="J3497" s="91"/>
    </row>
    <row r="3498">
      <c r="C3498" s="82"/>
      <c r="E3498" s="84"/>
      <c r="F3498" s="86"/>
      <c r="G3498" s="86"/>
      <c r="H3498" s="88"/>
      <c r="I3498" s="90"/>
      <c r="J3498" s="91"/>
    </row>
    <row r="3499">
      <c r="C3499" s="82"/>
      <c r="E3499" s="84"/>
      <c r="F3499" s="86"/>
      <c r="G3499" s="86"/>
      <c r="H3499" s="88"/>
      <c r="I3499" s="90"/>
      <c r="J3499" s="91"/>
    </row>
    <row r="3500">
      <c r="C3500" s="82"/>
      <c r="E3500" s="84"/>
      <c r="F3500" s="86"/>
      <c r="G3500" s="86"/>
      <c r="H3500" s="88"/>
      <c r="I3500" s="90"/>
      <c r="J3500" s="91"/>
    </row>
    <row r="3501">
      <c r="C3501" s="82"/>
      <c r="E3501" s="84"/>
      <c r="F3501" s="86"/>
      <c r="G3501" s="86"/>
      <c r="H3501" s="88"/>
      <c r="I3501" s="90"/>
      <c r="J3501" s="91"/>
    </row>
    <row r="3502">
      <c r="C3502" s="82"/>
      <c r="E3502" s="84"/>
      <c r="F3502" s="86"/>
      <c r="G3502" s="86"/>
      <c r="H3502" s="88"/>
      <c r="I3502" s="90"/>
      <c r="J3502" s="91"/>
    </row>
    <row r="3503">
      <c r="C3503" s="82"/>
      <c r="E3503" s="84"/>
      <c r="F3503" s="86"/>
      <c r="G3503" s="86"/>
      <c r="H3503" s="88"/>
      <c r="I3503" s="90"/>
      <c r="J3503" s="91"/>
    </row>
    <row r="3504">
      <c r="C3504" s="82"/>
      <c r="E3504" s="84"/>
      <c r="F3504" s="86"/>
      <c r="G3504" s="86"/>
      <c r="H3504" s="88"/>
      <c r="I3504" s="90"/>
      <c r="J3504" s="91"/>
    </row>
    <row r="3505">
      <c r="C3505" s="82"/>
      <c r="E3505" s="84"/>
      <c r="F3505" s="86"/>
      <c r="G3505" s="86"/>
      <c r="H3505" s="88"/>
      <c r="I3505" s="90"/>
      <c r="J3505" s="91"/>
    </row>
    <row r="3506">
      <c r="C3506" s="82"/>
      <c r="E3506" s="84"/>
      <c r="F3506" s="86"/>
      <c r="G3506" s="86"/>
      <c r="H3506" s="88"/>
      <c r="I3506" s="90"/>
      <c r="J3506" s="91"/>
    </row>
    <row r="3507">
      <c r="C3507" s="82"/>
      <c r="E3507" s="84"/>
      <c r="F3507" s="86"/>
      <c r="G3507" s="86"/>
      <c r="H3507" s="88"/>
      <c r="I3507" s="90"/>
      <c r="J3507" s="91"/>
    </row>
    <row r="3508">
      <c r="C3508" s="82"/>
      <c r="E3508" s="84"/>
      <c r="F3508" s="86"/>
      <c r="G3508" s="86"/>
      <c r="H3508" s="88"/>
      <c r="I3508" s="90"/>
      <c r="J3508" s="91"/>
    </row>
    <row r="3509">
      <c r="C3509" s="82"/>
      <c r="E3509" s="84"/>
      <c r="F3509" s="86"/>
      <c r="G3509" s="86"/>
      <c r="H3509" s="88"/>
      <c r="I3509" s="90"/>
      <c r="J3509" s="91"/>
    </row>
    <row r="3510">
      <c r="C3510" s="82"/>
      <c r="E3510" s="84"/>
      <c r="F3510" s="86"/>
      <c r="G3510" s="86"/>
      <c r="H3510" s="88"/>
      <c r="I3510" s="90"/>
      <c r="J3510" s="91"/>
    </row>
    <row r="3511">
      <c r="C3511" s="82"/>
      <c r="E3511" s="84"/>
      <c r="F3511" s="86"/>
      <c r="G3511" s="86"/>
      <c r="H3511" s="88"/>
      <c r="I3511" s="90"/>
      <c r="J3511" s="91"/>
    </row>
    <row r="3512">
      <c r="C3512" s="82"/>
      <c r="E3512" s="84"/>
      <c r="F3512" s="86"/>
      <c r="G3512" s="86"/>
      <c r="H3512" s="88"/>
      <c r="I3512" s="90"/>
      <c r="J3512" s="91"/>
    </row>
    <row r="3513">
      <c r="C3513" s="82"/>
      <c r="E3513" s="84"/>
      <c r="F3513" s="86"/>
      <c r="G3513" s="86"/>
      <c r="H3513" s="88"/>
      <c r="I3513" s="90"/>
      <c r="J3513" s="91"/>
    </row>
    <row r="3514">
      <c r="C3514" s="82"/>
      <c r="E3514" s="84"/>
      <c r="F3514" s="86"/>
      <c r="G3514" s="86"/>
      <c r="H3514" s="88"/>
      <c r="I3514" s="90"/>
      <c r="J3514" s="91"/>
    </row>
    <row r="3515">
      <c r="C3515" s="82"/>
      <c r="E3515" s="84"/>
      <c r="F3515" s="86"/>
      <c r="G3515" s="86"/>
      <c r="H3515" s="88"/>
      <c r="I3515" s="90"/>
      <c r="J3515" s="91"/>
    </row>
    <row r="3516">
      <c r="C3516" s="82"/>
      <c r="E3516" s="84"/>
      <c r="F3516" s="86"/>
      <c r="G3516" s="86"/>
      <c r="H3516" s="88"/>
      <c r="I3516" s="90"/>
      <c r="J3516" s="91"/>
    </row>
    <row r="3517">
      <c r="C3517" s="82"/>
      <c r="E3517" s="84"/>
      <c r="F3517" s="86"/>
      <c r="G3517" s="86"/>
      <c r="H3517" s="88"/>
      <c r="I3517" s="90"/>
      <c r="J3517" s="91"/>
    </row>
    <row r="3518">
      <c r="C3518" s="82"/>
      <c r="E3518" s="84"/>
      <c r="F3518" s="86"/>
      <c r="G3518" s="86"/>
      <c r="H3518" s="88"/>
      <c r="I3518" s="90"/>
      <c r="J3518" s="91"/>
    </row>
    <row r="3519">
      <c r="C3519" s="82"/>
      <c r="E3519" s="84"/>
      <c r="F3519" s="86"/>
      <c r="G3519" s="86"/>
      <c r="H3519" s="88"/>
      <c r="I3519" s="90"/>
      <c r="J3519" s="91"/>
    </row>
    <row r="3520">
      <c r="C3520" s="82"/>
      <c r="E3520" s="84"/>
      <c r="F3520" s="86"/>
      <c r="G3520" s="86"/>
      <c r="H3520" s="88"/>
      <c r="I3520" s="90"/>
      <c r="J3520" s="91"/>
    </row>
    <row r="3521">
      <c r="C3521" s="82"/>
      <c r="E3521" s="84"/>
      <c r="F3521" s="86"/>
      <c r="G3521" s="86"/>
      <c r="H3521" s="88"/>
      <c r="I3521" s="90"/>
      <c r="J3521" s="91"/>
    </row>
    <row r="3522">
      <c r="C3522" s="82"/>
      <c r="E3522" s="84"/>
      <c r="F3522" s="86"/>
      <c r="G3522" s="86"/>
      <c r="H3522" s="88"/>
      <c r="I3522" s="90"/>
      <c r="J3522" s="91"/>
    </row>
    <row r="3523">
      <c r="C3523" s="82"/>
      <c r="E3523" s="84"/>
      <c r="F3523" s="86"/>
      <c r="G3523" s="86"/>
      <c r="H3523" s="88"/>
      <c r="I3523" s="90"/>
      <c r="J3523" s="91"/>
    </row>
    <row r="3524">
      <c r="C3524" s="82"/>
      <c r="E3524" s="84"/>
      <c r="F3524" s="86"/>
      <c r="G3524" s="86"/>
      <c r="H3524" s="88"/>
      <c r="I3524" s="90"/>
      <c r="J3524" s="91"/>
    </row>
    <row r="3525">
      <c r="C3525" s="82"/>
      <c r="E3525" s="84"/>
      <c r="F3525" s="86"/>
      <c r="G3525" s="86"/>
      <c r="H3525" s="88"/>
      <c r="I3525" s="90"/>
      <c r="J3525" s="91"/>
    </row>
    <row r="3526">
      <c r="C3526" s="82"/>
      <c r="E3526" s="84"/>
      <c r="F3526" s="86"/>
      <c r="G3526" s="86"/>
      <c r="H3526" s="88"/>
      <c r="I3526" s="90"/>
      <c r="J3526" s="91"/>
    </row>
    <row r="3527">
      <c r="C3527" s="82"/>
      <c r="E3527" s="84"/>
      <c r="F3527" s="86"/>
      <c r="G3527" s="86"/>
      <c r="H3527" s="88"/>
      <c r="I3527" s="90"/>
      <c r="J3527" s="91"/>
    </row>
    <row r="3528">
      <c r="C3528" s="82"/>
      <c r="E3528" s="84"/>
      <c r="F3528" s="86"/>
      <c r="G3528" s="86"/>
      <c r="H3528" s="88"/>
      <c r="I3528" s="90"/>
      <c r="J3528" s="91"/>
    </row>
    <row r="3529">
      <c r="C3529" s="82"/>
      <c r="E3529" s="84"/>
      <c r="F3529" s="86"/>
      <c r="G3529" s="86"/>
      <c r="H3529" s="88"/>
      <c r="I3529" s="90"/>
      <c r="J3529" s="91"/>
    </row>
    <row r="3530">
      <c r="C3530" s="82"/>
      <c r="E3530" s="84"/>
      <c r="F3530" s="86"/>
      <c r="G3530" s="86"/>
      <c r="H3530" s="88"/>
      <c r="I3530" s="90"/>
      <c r="J3530" s="91"/>
    </row>
    <row r="3531">
      <c r="C3531" s="82"/>
      <c r="E3531" s="84"/>
      <c r="F3531" s="86"/>
      <c r="G3531" s="86"/>
      <c r="H3531" s="88"/>
      <c r="I3531" s="90"/>
      <c r="J3531" s="91"/>
    </row>
    <row r="3532">
      <c r="C3532" s="82"/>
      <c r="E3532" s="84"/>
      <c r="F3532" s="86"/>
      <c r="G3532" s="86"/>
      <c r="H3532" s="88"/>
      <c r="I3532" s="90"/>
      <c r="J3532" s="91"/>
    </row>
    <row r="3533">
      <c r="C3533" s="82"/>
      <c r="E3533" s="84"/>
      <c r="F3533" s="86"/>
      <c r="G3533" s="86"/>
      <c r="H3533" s="88"/>
      <c r="I3533" s="90"/>
      <c r="J3533" s="91"/>
    </row>
    <row r="3534">
      <c r="C3534" s="82"/>
      <c r="E3534" s="84"/>
      <c r="F3534" s="86"/>
      <c r="G3534" s="86"/>
      <c r="H3534" s="88"/>
      <c r="I3534" s="90"/>
      <c r="J3534" s="91"/>
    </row>
    <row r="3535">
      <c r="C3535" s="82"/>
      <c r="E3535" s="84"/>
      <c r="F3535" s="86"/>
      <c r="G3535" s="86"/>
      <c r="H3535" s="88"/>
      <c r="I3535" s="90"/>
      <c r="J3535" s="91"/>
    </row>
    <row r="3536">
      <c r="C3536" s="82"/>
      <c r="E3536" s="84"/>
      <c r="F3536" s="86"/>
      <c r="G3536" s="86"/>
      <c r="H3536" s="88"/>
      <c r="I3536" s="90"/>
      <c r="J3536" s="91"/>
    </row>
    <row r="3537">
      <c r="C3537" s="82"/>
      <c r="E3537" s="84"/>
      <c r="F3537" s="86"/>
      <c r="G3537" s="86"/>
      <c r="H3537" s="88"/>
      <c r="I3537" s="90"/>
      <c r="J3537" s="91"/>
    </row>
    <row r="3538">
      <c r="C3538" s="82"/>
      <c r="E3538" s="84"/>
      <c r="F3538" s="86"/>
      <c r="G3538" s="86"/>
      <c r="H3538" s="88"/>
      <c r="I3538" s="90"/>
      <c r="J3538" s="91"/>
    </row>
    <row r="3539">
      <c r="C3539" s="82"/>
      <c r="E3539" s="84"/>
      <c r="F3539" s="86"/>
      <c r="G3539" s="86"/>
      <c r="H3539" s="88"/>
      <c r="I3539" s="90"/>
      <c r="J3539" s="91"/>
    </row>
    <row r="3540">
      <c r="C3540" s="82"/>
      <c r="E3540" s="84"/>
      <c r="F3540" s="86"/>
      <c r="G3540" s="86"/>
      <c r="H3540" s="88"/>
      <c r="I3540" s="90"/>
      <c r="J3540" s="91"/>
    </row>
    <row r="3541">
      <c r="C3541" s="82"/>
      <c r="E3541" s="84"/>
      <c r="F3541" s="86"/>
      <c r="G3541" s="86"/>
      <c r="H3541" s="88"/>
      <c r="I3541" s="90"/>
      <c r="J3541" s="91"/>
    </row>
    <row r="3542">
      <c r="C3542" s="82"/>
      <c r="E3542" s="84"/>
      <c r="F3542" s="86"/>
      <c r="G3542" s="86"/>
      <c r="H3542" s="88"/>
      <c r="I3542" s="90"/>
      <c r="J3542" s="91"/>
    </row>
    <row r="3543">
      <c r="C3543" s="82"/>
      <c r="E3543" s="84"/>
      <c r="F3543" s="86"/>
      <c r="G3543" s="86"/>
      <c r="H3543" s="88"/>
      <c r="I3543" s="90"/>
      <c r="J3543" s="91"/>
    </row>
    <row r="3544">
      <c r="C3544" s="82"/>
      <c r="E3544" s="84"/>
      <c r="F3544" s="86"/>
      <c r="G3544" s="86"/>
      <c r="H3544" s="88"/>
      <c r="I3544" s="90"/>
      <c r="J3544" s="91"/>
    </row>
    <row r="3545">
      <c r="C3545" s="82"/>
      <c r="E3545" s="84"/>
      <c r="F3545" s="86"/>
      <c r="G3545" s="86"/>
      <c r="H3545" s="88"/>
      <c r="I3545" s="90"/>
      <c r="J3545" s="91"/>
    </row>
    <row r="3546">
      <c r="C3546" s="82"/>
      <c r="E3546" s="84"/>
      <c r="F3546" s="86"/>
      <c r="G3546" s="86"/>
      <c r="H3546" s="88"/>
      <c r="I3546" s="90"/>
      <c r="J3546" s="91"/>
    </row>
    <row r="3547">
      <c r="C3547" s="82"/>
      <c r="E3547" s="84"/>
      <c r="F3547" s="86"/>
      <c r="G3547" s="86"/>
      <c r="H3547" s="88"/>
      <c r="I3547" s="90"/>
      <c r="J3547" s="91"/>
    </row>
    <row r="3548">
      <c r="C3548" s="82"/>
      <c r="E3548" s="84"/>
      <c r="F3548" s="86"/>
      <c r="G3548" s="86"/>
      <c r="H3548" s="88"/>
      <c r="I3548" s="90"/>
      <c r="J3548" s="91"/>
    </row>
    <row r="3549">
      <c r="C3549" s="82"/>
      <c r="E3549" s="84"/>
      <c r="F3549" s="86"/>
      <c r="G3549" s="86"/>
      <c r="H3549" s="88"/>
      <c r="I3549" s="90"/>
      <c r="J3549" s="91"/>
    </row>
    <row r="3550">
      <c r="C3550" s="82"/>
      <c r="E3550" s="84"/>
      <c r="F3550" s="86"/>
      <c r="G3550" s="86"/>
      <c r="H3550" s="88"/>
      <c r="I3550" s="90"/>
      <c r="J3550" s="91"/>
    </row>
    <row r="3551">
      <c r="C3551" s="82"/>
      <c r="E3551" s="84"/>
      <c r="F3551" s="86"/>
      <c r="G3551" s="86"/>
      <c r="H3551" s="88"/>
      <c r="I3551" s="90"/>
      <c r="J3551" s="91"/>
    </row>
    <row r="3552">
      <c r="C3552" s="82"/>
      <c r="E3552" s="84"/>
      <c r="F3552" s="86"/>
      <c r="G3552" s="86"/>
      <c r="H3552" s="88"/>
      <c r="I3552" s="90"/>
      <c r="J3552" s="91"/>
    </row>
    <row r="3553">
      <c r="C3553" s="82"/>
      <c r="E3553" s="84"/>
      <c r="F3553" s="86"/>
      <c r="G3553" s="86"/>
      <c r="H3553" s="88"/>
      <c r="I3553" s="90"/>
      <c r="J3553" s="91"/>
    </row>
    <row r="3554">
      <c r="C3554" s="82"/>
      <c r="E3554" s="84"/>
      <c r="F3554" s="86"/>
      <c r="G3554" s="86"/>
      <c r="H3554" s="88"/>
      <c r="I3554" s="90"/>
      <c r="J3554" s="91"/>
    </row>
    <row r="3555">
      <c r="C3555" s="82"/>
      <c r="E3555" s="84"/>
      <c r="F3555" s="86"/>
      <c r="G3555" s="86"/>
      <c r="H3555" s="88"/>
      <c r="I3555" s="90"/>
      <c r="J3555" s="91"/>
    </row>
    <row r="3556">
      <c r="C3556" s="82"/>
      <c r="E3556" s="84"/>
      <c r="F3556" s="86"/>
      <c r="G3556" s="86"/>
      <c r="H3556" s="88"/>
      <c r="I3556" s="90"/>
      <c r="J3556" s="91"/>
    </row>
    <row r="3557">
      <c r="C3557" s="82"/>
      <c r="E3557" s="84"/>
      <c r="F3557" s="86"/>
      <c r="G3557" s="86"/>
      <c r="H3557" s="88"/>
      <c r="I3557" s="90"/>
      <c r="J3557" s="91"/>
    </row>
    <row r="3558">
      <c r="C3558" s="82"/>
      <c r="E3558" s="84"/>
      <c r="F3558" s="86"/>
      <c r="G3558" s="86"/>
      <c r="H3558" s="88"/>
      <c r="I3558" s="90"/>
      <c r="J3558" s="91"/>
    </row>
    <row r="3559">
      <c r="C3559" s="82"/>
      <c r="E3559" s="84"/>
      <c r="F3559" s="86"/>
      <c r="G3559" s="86"/>
      <c r="H3559" s="88"/>
      <c r="I3559" s="90"/>
      <c r="J3559" s="91"/>
    </row>
    <row r="3560">
      <c r="C3560" s="82"/>
      <c r="E3560" s="84"/>
      <c r="F3560" s="86"/>
      <c r="G3560" s="86"/>
      <c r="H3560" s="88"/>
      <c r="I3560" s="90"/>
      <c r="J3560" s="91"/>
    </row>
    <row r="3561">
      <c r="C3561" s="82"/>
      <c r="E3561" s="84"/>
      <c r="F3561" s="86"/>
      <c r="G3561" s="86"/>
      <c r="H3561" s="88"/>
      <c r="I3561" s="90"/>
      <c r="J3561" s="91"/>
    </row>
    <row r="3562">
      <c r="C3562" s="82"/>
      <c r="E3562" s="84"/>
      <c r="F3562" s="86"/>
      <c r="G3562" s="86"/>
      <c r="H3562" s="88"/>
      <c r="I3562" s="90"/>
      <c r="J3562" s="91"/>
    </row>
    <row r="3563">
      <c r="C3563" s="82"/>
      <c r="E3563" s="84"/>
      <c r="F3563" s="86"/>
      <c r="G3563" s="86"/>
      <c r="H3563" s="88"/>
      <c r="I3563" s="90"/>
      <c r="J3563" s="91"/>
    </row>
    <row r="3564">
      <c r="C3564" s="82"/>
      <c r="E3564" s="84"/>
      <c r="F3564" s="86"/>
      <c r="G3564" s="86"/>
      <c r="H3564" s="88"/>
      <c r="I3564" s="90"/>
      <c r="J3564" s="91"/>
    </row>
    <row r="3565">
      <c r="C3565" s="82"/>
      <c r="E3565" s="84"/>
      <c r="F3565" s="86"/>
      <c r="G3565" s="86"/>
      <c r="H3565" s="88"/>
      <c r="I3565" s="90"/>
      <c r="J3565" s="91"/>
    </row>
    <row r="3566">
      <c r="C3566" s="82"/>
      <c r="E3566" s="84"/>
      <c r="F3566" s="86"/>
      <c r="G3566" s="86"/>
      <c r="H3566" s="88"/>
      <c r="I3566" s="90"/>
      <c r="J3566" s="91"/>
    </row>
    <row r="3567">
      <c r="C3567" s="82"/>
      <c r="E3567" s="84"/>
      <c r="F3567" s="86"/>
      <c r="G3567" s="86"/>
      <c r="H3567" s="88"/>
      <c r="I3567" s="90"/>
      <c r="J3567" s="91"/>
    </row>
    <row r="3568">
      <c r="C3568" s="82"/>
      <c r="E3568" s="84"/>
      <c r="F3568" s="86"/>
      <c r="G3568" s="86"/>
      <c r="H3568" s="88"/>
      <c r="I3568" s="90"/>
      <c r="J3568" s="91"/>
    </row>
    <row r="3569">
      <c r="C3569" s="82"/>
      <c r="E3569" s="84"/>
      <c r="F3569" s="86"/>
      <c r="G3569" s="86"/>
      <c r="H3569" s="88"/>
      <c r="I3569" s="90"/>
      <c r="J3569" s="91"/>
    </row>
    <row r="3570">
      <c r="C3570" s="82"/>
      <c r="E3570" s="84"/>
      <c r="F3570" s="86"/>
      <c r="G3570" s="86"/>
      <c r="H3570" s="88"/>
      <c r="I3570" s="90"/>
      <c r="J3570" s="91"/>
    </row>
    <row r="3571">
      <c r="C3571" s="82"/>
      <c r="E3571" s="84"/>
      <c r="F3571" s="86"/>
      <c r="G3571" s="86"/>
      <c r="H3571" s="88"/>
      <c r="I3571" s="90"/>
      <c r="J3571" s="91"/>
    </row>
    <row r="3572">
      <c r="C3572" s="82"/>
      <c r="E3572" s="84"/>
      <c r="F3572" s="86"/>
      <c r="G3572" s="86"/>
      <c r="H3572" s="88"/>
      <c r="I3572" s="90"/>
      <c r="J3572" s="91"/>
    </row>
    <row r="3573">
      <c r="C3573" s="82"/>
      <c r="E3573" s="84"/>
      <c r="F3573" s="86"/>
      <c r="G3573" s="86"/>
      <c r="H3573" s="88"/>
      <c r="I3573" s="90"/>
      <c r="J3573" s="91"/>
    </row>
    <row r="3574">
      <c r="C3574" s="82"/>
      <c r="E3574" s="84"/>
      <c r="F3574" s="86"/>
      <c r="G3574" s="86"/>
      <c r="H3574" s="88"/>
      <c r="I3574" s="90"/>
      <c r="J3574" s="91"/>
    </row>
    <row r="3575">
      <c r="C3575" s="82"/>
      <c r="E3575" s="84"/>
      <c r="F3575" s="86"/>
      <c r="G3575" s="86"/>
      <c r="H3575" s="88"/>
      <c r="I3575" s="90"/>
      <c r="J3575" s="91"/>
    </row>
    <row r="3576">
      <c r="C3576" s="82"/>
      <c r="E3576" s="84"/>
      <c r="F3576" s="86"/>
      <c r="G3576" s="86"/>
      <c r="H3576" s="88"/>
      <c r="I3576" s="90"/>
      <c r="J3576" s="91"/>
    </row>
    <row r="3577">
      <c r="C3577" s="82"/>
      <c r="E3577" s="84"/>
      <c r="F3577" s="86"/>
      <c r="G3577" s="86"/>
      <c r="H3577" s="88"/>
      <c r="I3577" s="90"/>
      <c r="J3577" s="91"/>
    </row>
    <row r="3578">
      <c r="C3578" s="82"/>
      <c r="E3578" s="84"/>
      <c r="F3578" s="86"/>
      <c r="G3578" s="86"/>
      <c r="H3578" s="88"/>
      <c r="I3578" s="90"/>
      <c r="J3578" s="91"/>
    </row>
    <row r="3579">
      <c r="C3579" s="82"/>
      <c r="E3579" s="84"/>
      <c r="F3579" s="86"/>
      <c r="G3579" s="86"/>
      <c r="H3579" s="88"/>
      <c r="I3579" s="90"/>
      <c r="J3579" s="91"/>
    </row>
    <row r="3580">
      <c r="C3580" s="82"/>
      <c r="E3580" s="84"/>
      <c r="F3580" s="86"/>
      <c r="G3580" s="86"/>
      <c r="H3580" s="88"/>
      <c r="I3580" s="90"/>
      <c r="J3580" s="91"/>
    </row>
    <row r="3581">
      <c r="C3581" s="82"/>
      <c r="E3581" s="84"/>
      <c r="F3581" s="86"/>
      <c r="G3581" s="86"/>
      <c r="H3581" s="88"/>
      <c r="I3581" s="90"/>
      <c r="J3581" s="91"/>
    </row>
    <row r="3582">
      <c r="C3582" s="82"/>
      <c r="E3582" s="84"/>
      <c r="F3582" s="86"/>
      <c r="G3582" s="86"/>
      <c r="H3582" s="88"/>
      <c r="I3582" s="90"/>
      <c r="J3582" s="91"/>
    </row>
    <row r="3583">
      <c r="C3583" s="82"/>
      <c r="E3583" s="84"/>
      <c r="F3583" s="86"/>
      <c r="G3583" s="86"/>
      <c r="H3583" s="88"/>
      <c r="I3583" s="90"/>
      <c r="J3583" s="91"/>
    </row>
    <row r="3584">
      <c r="C3584" s="82"/>
      <c r="E3584" s="84"/>
      <c r="F3584" s="86"/>
      <c r="G3584" s="86"/>
      <c r="H3584" s="88"/>
      <c r="I3584" s="90"/>
      <c r="J3584" s="91"/>
    </row>
    <row r="3585">
      <c r="C3585" s="82"/>
      <c r="E3585" s="84"/>
      <c r="F3585" s="86"/>
      <c r="G3585" s="86"/>
      <c r="H3585" s="88"/>
      <c r="I3585" s="90"/>
      <c r="J3585" s="91"/>
    </row>
    <row r="3586">
      <c r="C3586" s="82"/>
      <c r="E3586" s="84"/>
      <c r="F3586" s="86"/>
      <c r="G3586" s="86"/>
      <c r="H3586" s="88"/>
      <c r="I3586" s="90"/>
      <c r="J3586" s="91"/>
    </row>
    <row r="3587">
      <c r="C3587" s="82"/>
      <c r="E3587" s="84"/>
      <c r="F3587" s="86"/>
      <c r="G3587" s="86"/>
      <c r="H3587" s="88"/>
      <c r="I3587" s="90"/>
      <c r="J3587" s="91"/>
    </row>
    <row r="3588">
      <c r="C3588" s="82"/>
      <c r="E3588" s="84"/>
      <c r="F3588" s="86"/>
      <c r="G3588" s="86"/>
      <c r="H3588" s="88"/>
      <c r="I3588" s="90"/>
      <c r="J3588" s="91"/>
    </row>
    <row r="3589">
      <c r="C3589" s="82"/>
      <c r="E3589" s="84"/>
      <c r="F3589" s="86"/>
      <c r="G3589" s="86"/>
      <c r="H3589" s="88"/>
      <c r="I3589" s="90"/>
      <c r="J3589" s="91"/>
    </row>
    <row r="3590">
      <c r="C3590" s="82"/>
      <c r="E3590" s="84"/>
      <c r="F3590" s="86"/>
      <c r="G3590" s="86"/>
      <c r="H3590" s="88"/>
      <c r="I3590" s="90"/>
      <c r="J3590" s="91"/>
    </row>
    <row r="3591">
      <c r="C3591" s="82"/>
      <c r="E3591" s="84"/>
      <c r="F3591" s="86"/>
      <c r="G3591" s="86"/>
      <c r="H3591" s="88"/>
      <c r="I3591" s="90"/>
      <c r="J3591" s="91"/>
    </row>
    <row r="3592">
      <c r="C3592" s="82"/>
      <c r="E3592" s="84"/>
      <c r="F3592" s="86"/>
      <c r="G3592" s="86"/>
      <c r="H3592" s="88"/>
      <c r="I3592" s="90"/>
      <c r="J3592" s="91"/>
    </row>
    <row r="3593">
      <c r="C3593" s="82"/>
      <c r="E3593" s="84"/>
      <c r="F3593" s="86"/>
      <c r="G3593" s="86"/>
      <c r="H3593" s="88"/>
      <c r="I3593" s="90"/>
      <c r="J3593" s="91"/>
    </row>
    <row r="3594">
      <c r="C3594" s="82"/>
      <c r="E3594" s="84"/>
      <c r="F3594" s="86"/>
      <c r="G3594" s="86"/>
      <c r="H3594" s="88"/>
      <c r="I3594" s="90"/>
      <c r="J3594" s="91"/>
    </row>
    <row r="3595">
      <c r="C3595" s="82"/>
      <c r="E3595" s="84"/>
      <c r="F3595" s="86"/>
      <c r="G3595" s="86"/>
      <c r="H3595" s="88"/>
      <c r="I3595" s="90"/>
      <c r="J3595" s="91"/>
    </row>
    <row r="3596">
      <c r="C3596" s="82"/>
      <c r="E3596" s="84"/>
      <c r="F3596" s="86"/>
      <c r="G3596" s="86"/>
      <c r="H3596" s="88"/>
      <c r="I3596" s="90"/>
      <c r="J3596" s="91"/>
    </row>
    <row r="3597">
      <c r="C3597" s="82"/>
      <c r="E3597" s="84"/>
      <c r="F3597" s="86"/>
      <c r="G3597" s="86"/>
      <c r="H3597" s="88"/>
      <c r="I3597" s="90"/>
      <c r="J3597" s="91"/>
    </row>
    <row r="3598">
      <c r="C3598" s="82"/>
      <c r="E3598" s="84"/>
      <c r="F3598" s="86"/>
      <c r="G3598" s="86"/>
      <c r="H3598" s="88"/>
      <c r="I3598" s="90"/>
      <c r="J3598" s="91"/>
    </row>
    <row r="3599">
      <c r="C3599" s="82"/>
      <c r="E3599" s="84"/>
      <c r="F3599" s="86"/>
      <c r="G3599" s="86"/>
      <c r="H3599" s="88"/>
      <c r="I3599" s="90"/>
      <c r="J3599" s="91"/>
    </row>
    <row r="3600">
      <c r="C3600" s="82"/>
      <c r="E3600" s="84"/>
      <c r="F3600" s="86"/>
      <c r="G3600" s="86"/>
      <c r="H3600" s="88"/>
      <c r="I3600" s="90"/>
      <c r="J3600" s="91"/>
    </row>
    <row r="3601">
      <c r="C3601" s="82"/>
      <c r="E3601" s="84"/>
      <c r="F3601" s="86"/>
      <c r="G3601" s="86"/>
      <c r="H3601" s="88"/>
      <c r="I3601" s="90"/>
      <c r="J3601" s="91"/>
    </row>
    <row r="3602">
      <c r="C3602" s="82"/>
      <c r="E3602" s="84"/>
      <c r="F3602" s="86"/>
      <c r="G3602" s="86"/>
      <c r="H3602" s="88"/>
      <c r="I3602" s="90"/>
      <c r="J3602" s="91"/>
    </row>
    <row r="3603">
      <c r="C3603" s="82"/>
      <c r="E3603" s="84"/>
      <c r="F3603" s="86"/>
      <c r="G3603" s="86"/>
      <c r="H3603" s="88"/>
      <c r="I3603" s="90"/>
      <c r="J3603" s="91"/>
    </row>
    <row r="3604">
      <c r="C3604" s="82"/>
      <c r="E3604" s="84"/>
      <c r="F3604" s="86"/>
      <c r="G3604" s="86"/>
      <c r="H3604" s="88"/>
      <c r="I3604" s="90"/>
      <c r="J3604" s="91"/>
    </row>
    <row r="3605">
      <c r="C3605" s="82"/>
      <c r="E3605" s="84"/>
      <c r="F3605" s="86"/>
      <c r="G3605" s="86"/>
      <c r="H3605" s="88"/>
      <c r="I3605" s="90"/>
      <c r="J3605" s="91"/>
    </row>
    <row r="3606">
      <c r="C3606" s="82"/>
      <c r="E3606" s="84"/>
      <c r="F3606" s="86"/>
      <c r="G3606" s="86"/>
      <c r="H3606" s="88"/>
      <c r="I3606" s="90"/>
      <c r="J3606" s="91"/>
    </row>
    <row r="3607">
      <c r="C3607" s="82"/>
      <c r="E3607" s="84"/>
      <c r="F3607" s="86"/>
      <c r="G3607" s="86"/>
      <c r="H3607" s="88"/>
      <c r="I3607" s="90"/>
      <c r="J3607" s="91"/>
    </row>
    <row r="3608">
      <c r="C3608" s="82"/>
      <c r="E3608" s="84"/>
      <c r="F3608" s="86"/>
      <c r="G3608" s="86"/>
      <c r="H3608" s="88"/>
      <c r="I3608" s="90"/>
      <c r="J3608" s="91"/>
    </row>
    <row r="3609">
      <c r="C3609" s="82"/>
      <c r="E3609" s="84"/>
      <c r="F3609" s="86"/>
      <c r="G3609" s="86"/>
      <c r="H3609" s="88"/>
      <c r="I3609" s="90"/>
      <c r="J3609" s="91"/>
    </row>
    <row r="3610">
      <c r="C3610" s="82"/>
      <c r="E3610" s="84"/>
      <c r="F3610" s="86"/>
      <c r="G3610" s="86"/>
      <c r="H3610" s="88"/>
      <c r="I3610" s="90"/>
      <c r="J3610" s="91"/>
    </row>
    <row r="3611">
      <c r="C3611" s="82"/>
      <c r="E3611" s="84"/>
      <c r="F3611" s="86"/>
      <c r="G3611" s="86"/>
      <c r="H3611" s="88"/>
      <c r="I3611" s="90"/>
      <c r="J3611" s="91"/>
    </row>
    <row r="3612">
      <c r="C3612" s="82"/>
      <c r="E3612" s="84"/>
      <c r="F3612" s="86"/>
      <c r="G3612" s="86"/>
      <c r="H3612" s="88"/>
      <c r="I3612" s="90"/>
      <c r="J3612" s="91"/>
    </row>
    <row r="3613">
      <c r="C3613" s="82"/>
      <c r="E3613" s="84"/>
      <c r="F3613" s="86"/>
      <c r="G3613" s="86"/>
      <c r="H3613" s="88"/>
      <c r="I3613" s="90"/>
      <c r="J3613" s="91"/>
    </row>
    <row r="3614">
      <c r="C3614" s="82"/>
      <c r="E3614" s="84"/>
      <c r="F3614" s="86"/>
      <c r="G3614" s="86"/>
      <c r="H3614" s="88"/>
      <c r="I3614" s="90"/>
      <c r="J3614" s="91"/>
    </row>
    <row r="3615">
      <c r="C3615" s="82"/>
      <c r="E3615" s="84"/>
      <c r="F3615" s="86"/>
      <c r="G3615" s="86"/>
      <c r="H3615" s="88"/>
      <c r="I3615" s="90"/>
      <c r="J3615" s="91"/>
    </row>
    <row r="3616">
      <c r="C3616" s="82"/>
      <c r="E3616" s="84"/>
      <c r="F3616" s="86"/>
      <c r="G3616" s="86"/>
      <c r="H3616" s="88"/>
      <c r="I3616" s="90"/>
      <c r="J3616" s="91"/>
    </row>
    <row r="3617">
      <c r="C3617" s="82"/>
      <c r="E3617" s="84"/>
      <c r="F3617" s="86"/>
      <c r="G3617" s="86"/>
      <c r="H3617" s="88"/>
      <c r="I3617" s="90"/>
      <c r="J3617" s="91"/>
    </row>
    <row r="3618">
      <c r="C3618" s="82"/>
      <c r="E3618" s="84"/>
      <c r="F3618" s="86"/>
      <c r="G3618" s="86"/>
      <c r="H3618" s="88"/>
      <c r="I3618" s="90"/>
      <c r="J3618" s="91"/>
    </row>
    <row r="3619">
      <c r="C3619" s="82"/>
      <c r="E3619" s="84"/>
      <c r="F3619" s="86"/>
      <c r="G3619" s="86"/>
      <c r="H3619" s="88"/>
      <c r="I3619" s="90"/>
      <c r="J3619" s="91"/>
    </row>
    <row r="3620">
      <c r="C3620" s="82"/>
      <c r="E3620" s="84"/>
      <c r="F3620" s="86"/>
      <c r="G3620" s="86"/>
      <c r="H3620" s="88"/>
      <c r="I3620" s="90"/>
      <c r="J3620" s="91"/>
    </row>
    <row r="3621">
      <c r="C3621" s="82"/>
      <c r="E3621" s="84"/>
      <c r="F3621" s="86"/>
      <c r="G3621" s="86"/>
      <c r="H3621" s="88"/>
      <c r="I3621" s="90"/>
      <c r="J3621" s="91"/>
    </row>
    <row r="3622">
      <c r="C3622" s="82"/>
      <c r="E3622" s="84"/>
      <c r="F3622" s="86"/>
      <c r="G3622" s="86"/>
      <c r="H3622" s="88"/>
      <c r="I3622" s="90"/>
      <c r="J3622" s="91"/>
    </row>
    <row r="3623">
      <c r="C3623" s="82"/>
      <c r="E3623" s="84"/>
      <c r="F3623" s="86"/>
      <c r="G3623" s="86"/>
      <c r="H3623" s="88"/>
      <c r="I3623" s="90"/>
      <c r="J3623" s="91"/>
    </row>
    <row r="3624">
      <c r="C3624" s="82"/>
      <c r="E3624" s="84"/>
      <c r="F3624" s="86"/>
      <c r="G3624" s="86"/>
      <c r="H3624" s="88"/>
      <c r="I3624" s="90"/>
      <c r="J3624" s="91"/>
    </row>
    <row r="3625">
      <c r="C3625" s="82"/>
      <c r="E3625" s="84"/>
      <c r="F3625" s="86"/>
      <c r="G3625" s="86"/>
      <c r="H3625" s="88"/>
      <c r="I3625" s="90"/>
      <c r="J3625" s="91"/>
    </row>
    <row r="3626">
      <c r="C3626" s="82"/>
      <c r="E3626" s="84"/>
      <c r="F3626" s="86"/>
      <c r="G3626" s="86"/>
      <c r="H3626" s="88"/>
      <c r="I3626" s="90"/>
      <c r="J3626" s="91"/>
    </row>
    <row r="3627">
      <c r="C3627" s="82"/>
      <c r="E3627" s="84"/>
      <c r="F3627" s="86"/>
      <c r="G3627" s="86"/>
      <c r="H3627" s="88"/>
      <c r="I3627" s="90"/>
      <c r="J3627" s="91"/>
    </row>
    <row r="3628">
      <c r="C3628" s="82"/>
      <c r="E3628" s="84"/>
      <c r="F3628" s="86"/>
      <c r="G3628" s="86"/>
      <c r="H3628" s="88"/>
      <c r="I3628" s="90"/>
      <c r="J3628" s="91"/>
    </row>
    <row r="3629">
      <c r="C3629" s="82"/>
      <c r="E3629" s="84"/>
      <c r="F3629" s="86"/>
      <c r="G3629" s="86"/>
      <c r="H3629" s="88"/>
      <c r="I3629" s="90"/>
      <c r="J3629" s="91"/>
    </row>
    <row r="3630">
      <c r="C3630" s="82"/>
      <c r="E3630" s="84"/>
      <c r="F3630" s="86"/>
      <c r="G3630" s="86"/>
      <c r="H3630" s="88"/>
      <c r="I3630" s="90"/>
      <c r="J3630" s="91"/>
    </row>
    <row r="3631">
      <c r="C3631" s="82"/>
      <c r="E3631" s="84"/>
      <c r="F3631" s="86"/>
      <c r="G3631" s="86"/>
      <c r="H3631" s="88"/>
      <c r="I3631" s="90"/>
      <c r="J3631" s="91"/>
    </row>
    <row r="3632">
      <c r="C3632" s="82"/>
      <c r="E3632" s="84"/>
      <c r="F3632" s="86"/>
      <c r="G3632" s="86"/>
      <c r="H3632" s="88"/>
      <c r="I3632" s="90"/>
      <c r="J3632" s="91"/>
    </row>
    <row r="3633">
      <c r="C3633" s="82"/>
      <c r="E3633" s="84"/>
      <c r="F3633" s="86"/>
      <c r="G3633" s="86"/>
      <c r="H3633" s="88"/>
      <c r="I3633" s="90"/>
      <c r="J3633" s="91"/>
    </row>
    <row r="3634">
      <c r="C3634" s="82"/>
      <c r="E3634" s="84"/>
      <c r="F3634" s="86"/>
      <c r="G3634" s="86"/>
      <c r="H3634" s="88"/>
      <c r="I3634" s="90"/>
      <c r="J3634" s="91"/>
    </row>
    <row r="3635">
      <c r="C3635" s="82"/>
      <c r="E3635" s="84"/>
      <c r="F3635" s="86"/>
      <c r="G3635" s="86"/>
      <c r="H3635" s="88"/>
      <c r="I3635" s="90"/>
      <c r="J3635" s="91"/>
    </row>
    <row r="3636">
      <c r="C3636" s="82"/>
      <c r="E3636" s="84"/>
      <c r="F3636" s="86"/>
      <c r="G3636" s="86"/>
      <c r="H3636" s="88"/>
      <c r="I3636" s="90"/>
      <c r="J3636" s="91"/>
    </row>
    <row r="3637">
      <c r="C3637" s="82"/>
      <c r="E3637" s="84"/>
      <c r="F3637" s="86"/>
      <c r="G3637" s="86"/>
      <c r="H3637" s="88"/>
      <c r="I3637" s="90"/>
      <c r="J3637" s="91"/>
    </row>
    <row r="3638">
      <c r="C3638" s="82"/>
      <c r="E3638" s="84"/>
      <c r="F3638" s="86"/>
      <c r="G3638" s="86"/>
      <c r="H3638" s="88"/>
      <c r="I3638" s="90"/>
      <c r="J3638" s="91"/>
    </row>
    <row r="3639">
      <c r="C3639" s="82"/>
      <c r="E3639" s="84"/>
      <c r="F3639" s="86"/>
      <c r="G3639" s="86"/>
      <c r="H3639" s="88"/>
      <c r="I3639" s="90"/>
      <c r="J3639" s="91"/>
    </row>
    <row r="3640">
      <c r="C3640" s="82"/>
      <c r="E3640" s="84"/>
      <c r="F3640" s="86"/>
      <c r="G3640" s="86"/>
      <c r="H3640" s="88"/>
      <c r="I3640" s="90"/>
      <c r="J3640" s="91"/>
    </row>
    <row r="3641">
      <c r="C3641" s="82"/>
      <c r="E3641" s="84"/>
      <c r="F3641" s="86"/>
      <c r="G3641" s="86"/>
      <c r="H3641" s="88"/>
      <c r="I3641" s="90"/>
      <c r="J3641" s="91"/>
    </row>
    <row r="3642">
      <c r="C3642" s="82"/>
      <c r="E3642" s="84"/>
      <c r="F3642" s="86"/>
      <c r="G3642" s="86"/>
      <c r="H3642" s="88"/>
      <c r="I3642" s="90"/>
      <c r="J3642" s="91"/>
    </row>
    <row r="3643">
      <c r="C3643" s="82"/>
      <c r="E3643" s="84"/>
      <c r="F3643" s="86"/>
      <c r="G3643" s="86"/>
      <c r="H3643" s="88"/>
      <c r="I3643" s="90"/>
      <c r="J3643" s="91"/>
    </row>
    <row r="3644">
      <c r="C3644" s="82"/>
      <c r="E3644" s="84"/>
      <c r="F3644" s="86"/>
      <c r="G3644" s="86"/>
      <c r="H3644" s="88"/>
      <c r="I3644" s="90"/>
      <c r="J3644" s="91"/>
    </row>
    <row r="3645">
      <c r="C3645" s="82"/>
      <c r="E3645" s="84"/>
      <c r="F3645" s="86"/>
      <c r="G3645" s="86"/>
      <c r="H3645" s="88"/>
      <c r="I3645" s="90"/>
      <c r="J3645" s="91"/>
    </row>
    <row r="3646">
      <c r="C3646" s="82"/>
      <c r="E3646" s="84"/>
      <c r="F3646" s="86"/>
      <c r="G3646" s="86"/>
      <c r="H3646" s="88"/>
      <c r="I3646" s="90"/>
      <c r="J3646" s="91"/>
    </row>
    <row r="3647">
      <c r="C3647" s="82"/>
      <c r="E3647" s="84"/>
      <c r="F3647" s="86"/>
      <c r="G3647" s="86"/>
      <c r="H3647" s="88"/>
      <c r="I3647" s="90"/>
      <c r="J3647" s="91"/>
    </row>
    <row r="3648">
      <c r="C3648" s="82"/>
      <c r="E3648" s="84"/>
      <c r="F3648" s="86"/>
      <c r="G3648" s="86"/>
      <c r="H3648" s="88"/>
      <c r="I3648" s="90"/>
      <c r="J3648" s="91"/>
    </row>
    <row r="3649">
      <c r="C3649" s="82"/>
      <c r="E3649" s="84"/>
      <c r="F3649" s="86"/>
      <c r="G3649" s="86"/>
      <c r="H3649" s="88"/>
      <c r="I3649" s="90"/>
      <c r="J3649" s="91"/>
    </row>
    <row r="3650">
      <c r="C3650" s="82"/>
      <c r="E3650" s="84"/>
      <c r="F3650" s="86"/>
      <c r="G3650" s="86"/>
      <c r="H3650" s="88"/>
      <c r="I3650" s="90"/>
      <c r="J3650" s="91"/>
    </row>
    <row r="3651">
      <c r="C3651" s="82"/>
      <c r="E3651" s="84"/>
      <c r="F3651" s="86"/>
      <c r="G3651" s="86"/>
      <c r="H3651" s="88"/>
      <c r="I3651" s="90"/>
      <c r="J3651" s="91"/>
    </row>
    <row r="3652">
      <c r="C3652" s="82"/>
      <c r="E3652" s="84"/>
      <c r="F3652" s="86"/>
      <c r="G3652" s="86"/>
      <c r="H3652" s="88"/>
      <c r="I3652" s="90"/>
      <c r="J3652" s="91"/>
    </row>
    <row r="3653">
      <c r="C3653" s="82"/>
      <c r="E3653" s="84"/>
      <c r="F3653" s="86"/>
      <c r="G3653" s="86"/>
      <c r="H3653" s="88"/>
      <c r="I3653" s="90"/>
      <c r="J3653" s="91"/>
    </row>
    <row r="3654">
      <c r="C3654" s="82"/>
      <c r="E3654" s="84"/>
      <c r="F3654" s="86"/>
      <c r="G3654" s="86"/>
      <c r="H3654" s="88"/>
      <c r="I3654" s="90"/>
      <c r="J3654" s="91"/>
    </row>
    <row r="3655">
      <c r="C3655" s="82"/>
      <c r="E3655" s="84"/>
      <c r="F3655" s="86"/>
      <c r="G3655" s="86"/>
      <c r="H3655" s="88"/>
      <c r="I3655" s="90"/>
      <c r="J3655" s="91"/>
    </row>
    <row r="3656">
      <c r="C3656" s="82"/>
      <c r="E3656" s="84"/>
      <c r="F3656" s="86"/>
      <c r="G3656" s="86"/>
      <c r="H3656" s="88"/>
      <c r="I3656" s="90"/>
      <c r="J3656" s="91"/>
    </row>
    <row r="3657">
      <c r="C3657" s="82"/>
      <c r="E3657" s="84"/>
      <c r="F3657" s="86"/>
      <c r="G3657" s="86"/>
      <c r="H3657" s="88"/>
      <c r="I3657" s="90"/>
      <c r="J3657" s="91"/>
    </row>
    <row r="3658">
      <c r="C3658" s="82"/>
      <c r="E3658" s="84"/>
      <c r="F3658" s="86"/>
      <c r="G3658" s="86"/>
      <c r="H3658" s="88"/>
      <c r="I3658" s="90"/>
      <c r="J3658" s="91"/>
    </row>
    <row r="3659">
      <c r="C3659" s="82"/>
      <c r="E3659" s="84"/>
      <c r="F3659" s="86"/>
      <c r="G3659" s="86"/>
      <c r="H3659" s="88"/>
      <c r="I3659" s="90"/>
      <c r="J3659" s="91"/>
    </row>
    <row r="3660">
      <c r="C3660" s="82"/>
      <c r="E3660" s="84"/>
      <c r="F3660" s="86"/>
      <c r="G3660" s="86"/>
      <c r="H3660" s="88"/>
      <c r="I3660" s="90"/>
      <c r="J3660" s="91"/>
    </row>
    <row r="3661">
      <c r="C3661" s="82"/>
      <c r="E3661" s="84"/>
      <c r="F3661" s="86"/>
      <c r="G3661" s="86"/>
      <c r="H3661" s="88"/>
      <c r="I3661" s="90"/>
      <c r="J3661" s="91"/>
    </row>
    <row r="3662">
      <c r="C3662" s="82"/>
      <c r="E3662" s="84"/>
      <c r="F3662" s="86"/>
      <c r="G3662" s="86"/>
      <c r="H3662" s="88"/>
      <c r="I3662" s="90"/>
      <c r="J3662" s="91"/>
    </row>
    <row r="3663">
      <c r="C3663" s="82"/>
      <c r="E3663" s="84"/>
      <c r="F3663" s="86"/>
      <c r="G3663" s="86"/>
      <c r="H3663" s="88"/>
      <c r="I3663" s="90"/>
      <c r="J3663" s="91"/>
    </row>
    <row r="3664">
      <c r="C3664" s="82"/>
      <c r="E3664" s="84"/>
      <c r="F3664" s="86"/>
      <c r="G3664" s="86"/>
      <c r="H3664" s="88"/>
      <c r="I3664" s="90"/>
      <c r="J3664" s="91"/>
    </row>
    <row r="3665">
      <c r="C3665" s="82"/>
      <c r="E3665" s="84"/>
      <c r="F3665" s="86"/>
      <c r="G3665" s="86"/>
      <c r="H3665" s="88"/>
      <c r="I3665" s="90"/>
      <c r="J3665" s="91"/>
    </row>
    <row r="3666">
      <c r="C3666" s="82"/>
      <c r="E3666" s="84"/>
      <c r="F3666" s="86"/>
      <c r="G3666" s="86"/>
      <c r="H3666" s="88"/>
      <c r="I3666" s="90"/>
      <c r="J3666" s="91"/>
    </row>
    <row r="3667">
      <c r="C3667" s="82"/>
      <c r="E3667" s="84"/>
      <c r="F3667" s="86"/>
      <c r="G3667" s="86"/>
      <c r="H3667" s="88"/>
      <c r="I3667" s="90"/>
      <c r="J3667" s="91"/>
    </row>
    <row r="3668">
      <c r="C3668" s="82"/>
      <c r="E3668" s="84"/>
      <c r="F3668" s="86"/>
      <c r="G3668" s="86"/>
      <c r="H3668" s="88"/>
      <c r="I3668" s="90"/>
      <c r="J3668" s="91"/>
    </row>
    <row r="3669">
      <c r="C3669" s="82"/>
      <c r="E3669" s="84"/>
      <c r="F3669" s="86"/>
      <c r="G3669" s="86"/>
      <c r="H3669" s="88"/>
      <c r="I3669" s="90"/>
      <c r="J3669" s="91"/>
    </row>
    <row r="3670">
      <c r="C3670" s="82"/>
      <c r="E3670" s="84"/>
      <c r="F3670" s="86"/>
      <c r="G3670" s="86"/>
      <c r="H3670" s="88"/>
      <c r="I3670" s="90"/>
      <c r="J3670" s="91"/>
    </row>
    <row r="3671">
      <c r="C3671" s="82"/>
      <c r="E3671" s="84"/>
      <c r="F3671" s="86"/>
      <c r="G3671" s="86"/>
      <c r="H3671" s="88"/>
      <c r="I3671" s="90"/>
      <c r="J3671" s="91"/>
    </row>
    <row r="3672">
      <c r="C3672" s="82"/>
      <c r="E3672" s="84"/>
      <c r="F3672" s="86"/>
      <c r="G3672" s="86"/>
      <c r="H3672" s="88"/>
      <c r="I3672" s="90"/>
      <c r="J3672" s="91"/>
    </row>
    <row r="3673">
      <c r="C3673" s="82"/>
      <c r="E3673" s="84"/>
      <c r="F3673" s="86"/>
      <c r="G3673" s="86"/>
      <c r="H3673" s="88"/>
      <c r="I3673" s="90"/>
      <c r="J3673" s="91"/>
    </row>
    <row r="3674">
      <c r="C3674" s="82"/>
      <c r="E3674" s="84"/>
      <c r="F3674" s="86"/>
      <c r="G3674" s="86"/>
      <c r="H3674" s="88"/>
      <c r="I3674" s="90"/>
      <c r="J3674" s="91"/>
    </row>
    <row r="3675">
      <c r="C3675" s="82"/>
      <c r="E3675" s="84"/>
      <c r="F3675" s="86"/>
      <c r="G3675" s="86"/>
      <c r="H3675" s="88"/>
      <c r="I3675" s="90"/>
      <c r="J3675" s="91"/>
    </row>
    <row r="3676">
      <c r="C3676" s="82"/>
      <c r="E3676" s="84"/>
      <c r="F3676" s="86"/>
      <c r="G3676" s="86"/>
      <c r="H3676" s="88"/>
      <c r="I3676" s="90"/>
      <c r="J3676" s="91"/>
    </row>
    <row r="3677">
      <c r="C3677" s="82"/>
      <c r="E3677" s="84"/>
      <c r="F3677" s="86"/>
      <c r="G3677" s="86"/>
      <c r="H3677" s="88"/>
      <c r="I3677" s="90"/>
      <c r="J3677" s="91"/>
    </row>
    <row r="3678">
      <c r="C3678" s="82"/>
      <c r="E3678" s="84"/>
      <c r="F3678" s="86"/>
      <c r="G3678" s="86"/>
      <c r="H3678" s="88"/>
      <c r="I3678" s="90"/>
      <c r="J3678" s="91"/>
    </row>
    <row r="3679">
      <c r="C3679" s="82"/>
      <c r="E3679" s="84"/>
      <c r="F3679" s="86"/>
      <c r="G3679" s="86"/>
      <c r="H3679" s="88"/>
      <c r="I3679" s="90"/>
      <c r="J3679" s="91"/>
    </row>
    <row r="3680">
      <c r="C3680" s="82"/>
      <c r="E3680" s="84"/>
      <c r="F3680" s="86"/>
      <c r="G3680" s="86"/>
      <c r="H3680" s="88"/>
      <c r="I3680" s="90"/>
      <c r="J3680" s="91"/>
    </row>
    <row r="3681">
      <c r="C3681" s="82"/>
      <c r="E3681" s="84"/>
      <c r="F3681" s="86"/>
      <c r="G3681" s="86"/>
      <c r="H3681" s="88"/>
      <c r="I3681" s="90"/>
      <c r="J3681" s="91"/>
    </row>
    <row r="3682">
      <c r="C3682" s="82"/>
      <c r="E3682" s="84"/>
      <c r="F3682" s="86"/>
      <c r="G3682" s="86"/>
      <c r="H3682" s="88"/>
      <c r="I3682" s="90"/>
      <c r="J3682" s="91"/>
    </row>
    <row r="3683">
      <c r="C3683" s="82"/>
      <c r="E3683" s="84"/>
      <c r="F3683" s="86"/>
      <c r="G3683" s="86"/>
      <c r="H3683" s="88"/>
      <c r="I3683" s="90"/>
      <c r="J3683" s="91"/>
    </row>
    <row r="3684">
      <c r="C3684" s="82"/>
      <c r="E3684" s="84"/>
      <c r="F3684" s="86"/>
      <c r="G3684" s="86"/>
      <c r="H3684" s="88"/>
      <c r="I3684" s="90"/>
      <c r="J3684" s="91"/>
    </row>
    <row r="3685">
      <c r="C3685" s="82"/>
      <c r="E3685" s="84"/>
      <c r="F3685" s="86"/>
      <c r="G3685" s="86"/>
      <c r="H3685" s="88"/>
      <c r="I3685" s="90"/>
      <c r="J3685" s="91"/>
    </row>
    <row r="3686">
      <c r="C3686" s="82"/>
      <c r="E3686" s="84"/>
      <c r="F3686" s="86"/>
      <c r="G3686" s="86"/>
      <c r="H3686" s="88"/>
      <c r="I3686" s="90"/>
      <c r="J3686" s="91"/>
    </row>
    <row r="3687">
      <c r="C3687" s="82"/>
      <c r="E3687" s="84"/>
      <c r="F3687" s="86"/>
      <c r="G3687" s="86"/>
      <c r="H3687" s="88"/>
      <c r="I3687" s="90"/>
      <c r="J3687" s="91"/>
    </row>
    <row r="3688">
      <c r="C3688" s="82"/>
      <c r="E3688" s="84"/>
      <c r="F3688" s="86"/>
      <c r="G3688" s="86"/>
      <c r="H3688" s="88"/>
      <c r="I3688" s="90"/>
      <c r="J3688" s="91"/>
    </row>
    <row r="3689">
      <c r="C3689" s="82"/>
      <c r="E3689" s="84"/>
      <c r="F3689" s="86"/>
      <c r="G3689" s="86"/>
      <c r="H3689" s="88"/>
      <c r="I3689" s="90"/>
      <c r="J3689" s="91"/>
    </row>
    <row r="3690">
      <c r="C3690" s="82"/>
      <c r="E3690" s="84"/>
      <c r="F3690" s="86"/>
      <c r="G3690" s="86"/>
      <c r="H3690" s="88"/>
      <c r="I3690" s="90"/>
      <c r="J3690" s="91"/>
    </row>
    <row r="3691">
      <c r="C3691" s="82"/>
      <c r="E3691" s="84"/>
      <c r="F3691" s="86"/>
      <c r="G3691" s="86"/>
      <c r="H3691" s="88"/>
      <c r="I3691" s="90"/>
      <c r="J3691" s="91"/>
    </row>
    <row r="3692">
      <c r="C3692" s="82"/>
      <c r="E3692" s="84"/>
      <c r="F3692" s="86"/>
      <c r="G3692" s="86"/>
      <c r="H3692" s="88"/>
      <c r="I3692" s="90"/>
      <c r="J3692" s="91"/>
    </row>
    <row r="3693">
      <c r="C3693" s="82"/>
      <c r="E3693" s="84"/>
      <c r="F3693" s="86"/>
      <c r="G3693" s="86"/>
      <c r="H3693" s="88"/>
      <c r="I3693" s="90"/>
      <c r="J3693" s="91"/>
    </row>
    <row r="3694">
      <c r="C3694" s="82"/>
      <c r="E3694" s="84"/>
      <c r="F3694" s="86"/>
      <c r="G3694" s="86"/>
      <c r="H3694" s="88"/>
      <c r="I3694" s="90"/>
      <c r="J3694" s="91"/>
    </row>
    <row r="3695">
      <c r="C3695" s="82"/>
      <c r="E3695" s="84"/>
      <c r="F3695" s="86"/>
      <c r="G3695" s="86"/>
      <c r="H3695" s="88"/>
      <c r="I3695" s="90"/>
      <c r="J3695" s="91"/>
    </row>
    <row r="3696">
      <c r="C3696" s="82"/>
      <c r="E3696" s="84"/>
      <c r="F3696" s="86"/>
      <c r="G3696" s="86"/>
      <c r="H3696" s="88"/>
      <c r="I3696" s="90"/>
      <c r="J3696" s="91"/>
    </row>
    <row r="3697">
      <c r="C3697" s="82"/>
      <c r="E3697" s="84"/>
      <c r="F3697" s="86"/>
      <c r="G3697" s="86"/>
      <c r="H3697" s="88"/>
      <c r="I3697" s="90"/>
      <c r="J3697" s="91"/>
    </row>
    <row r="3698">
      <c r="C3698" s="82"/>
      <c r="E3698" s="84"/>
      <c r="F3698" s="86"/>
      <c r="G3698" s="86"/>
      <c r="H3698" s="88"/>
      <c r="I3698" s="90"/>
      <c r="J3698" s="91"/>
    </row>
    <row r="3699">
      <c r="C3699" s="82"/>
      <c r="E3699" s="84"/>
      <c r="F3699" s="86"/>
      <c r="G3699" s="86"/>
      <c r="H3699" s="88"/>
      <c r="I3699" s="90"/>
      <c r="J3699" s="91"/>
    </row>
    <row r="3700">
      <c r="C3700" s="82"/>
      <c r="E3700" s="84"/>
      <c r="F3700" s="86"/>
      <c r="G3700" s="86"/>
      <c r="H3700" s="88"/>
      <c r="I3700" s="90"/>
      <c r="J3700" s="91"/>
    </row>
    <row r="3701">
      <c r="C3701" s="82"/>
      <c r="E3701" s="84"/>
      <c r="F3701" s="86"/>
      <c r="G3701" s="86"/>
      <c r="H3701" s="88"/>
      <c r="I3701" s="90"/>
      <c r="J3701" s="91"/>
    </row>
    <row r="3702">
      <c r="C3702" s="82"/>
      <c r="E3702" s="84"/>
      <c r="F3702" s="86"/>
      <c r="G3702" s="86"/>
      <c r="H3702" s="88"/>
      <c r="I3702" s="90"/>
      <c r="J3702" s="91"/>
    </row>
    <row r="3703">
      <c r="C3703" s="82"/>
      <c r="E3703" s="84"/>
      <c r="F3703" s="86"/>
      <c r="G3703" s="86"/>
      <c r="H3703" s="88"/>
      <c r="I3703" s="90"/>
      <c r="J3703" s="91"/>
    </row>
    <row r="3704">
      <c r="C3704" s="82"/>
      <c r="E3704" s="84"/>
      <c r="F3704" s="86"/>
      <c r="G3704" s="86"/>
      <c r="H3704" s="88"/>
      <c r="I3704" s="90"/>
      <c r="J3704" s="91"/>
    </row>
    <row r="3705">
      <c r="C3705" s="82"/>
      <c r="E3705" s="84"/>
      <c r="F3705" s="86"/>
      <c r="G3705" s="86"/>
      <c r="H3705" s="88"/>
      <c r="I3705" s="90"/>
      <c r="J3705" s="91"/>
    </row>
    <row r="3706">
      <c r="C3706" s="82"/>
      <c r="E3706" s="84"/>
      <c r="F3706" s="86"/>
      <c r="G3706" s="86"/>
      <c r="H3706" s="88"/>
      <c r="I3706" s="90"/>
      <c r="J3706" s="91"/>
    </row>
    <row r="3707">
      <c r="C3707" s="82"/>
      <c r="E3707" s="84"/>
      <c r="F3707" s="86"/>
      <c r="G3707" s="86"/>
      <c r="H3707" s="88"/>
      <c r="I3707" s="90"/>
      <c r="J3707" s="91"/>
    </row>
    <row r="3708">
      <c r="C3708" s="82"/>
      <c r="E3708" s="84"/>
      <c r="F3708" s="86"/>
      <c r="G3708" s="86"/>
      <c r="H3708" s="88"/>
      <c r="I3708" s="90"/>
      <c r="J3708" s="91"/>
    </row>
    <row r="3709">
      <c r="C3709" s="82"/>
      <c r="E3709" s="84"/>
      <c r="F3709" s="86"/>
      <c r="G3709" s="86"/>
      <c r="H3709" s="88"/>
      <c r="I3709" s="90"/>
      <c r="J3709" s="91"/>
    </row>
    <row r="3710">
      <c r="C3710" s="82"/>
      <c r="E3710" s="84"/>
      <c r="F3710" s="86"/>
      <c r="G3710" s="86"/>
      <c r="H3710" s="88"/>
      <c r="I3710" s="90"/>
      <c r="J3710" s="91"/>
    </row>
    <row r="3711">
      <c r="C3711" s="82"/>
      <c r="E3711" s="84"/>
      <c r="F3711" s="86"/>
      <c r="G3711" s="86"/>
      <c r="H3711" s="88"/>
      <c r="I3711" s="90"/>
      <c r="J3711" s="91"/>
    </row>
    <row r="3712">
      <c r="C3712" s="82"/>
      <c r="E3712" s="84"/>
      <c r="F3712" s="86"/>
      <c r="G3712" s="86"/>
      <c r="H3712" s="88"/>
      <c r="I3712" s="90"/>
      <c r="J3712" s="91"/>
    </row>
    <row r="3713">
      <c r="C3713" s="82"/>
      <c r="E3713" s="84"/>
      <c r="F3713" s="86"/>
      <c r="G3713" s="86"/>
      <c r="H3713" s="88"/>
      <c r="I3713" s="90"/>
      <c r="J3713" s="91"/>
    </row>
    <row r="3714">
      <c r="C3714" s="82"/>
      <c r="E3714" s="84"/>
      <c r="F3714" s="86"/>
      <c r="G3714" s="86"/>
      <c r="H3714" s="88"/>
      <c r="I3714" s="90"/>
      <c r="J3714" s="91"/>
    </row>
    <row r="3715">
      <c r="C3715" s="82"/>
      <c r="E3715" s="84"/>
      <c r="F3715" s="86"/>
      <c r="G3715" s="86"/>
      <c r="H3715" s="88"/>
      <c r="I3715" s="90"/>
      <c r="J3715" s="91"/>
    </row>
    <row r="3716">
      <c r="C3716" s="82"/>
      <c r="E3716" s="84"/>
      <c r="F3716" s="86"/>
      <c r="G3716" s="86"/>
      <c r="H3716" s="88"/>
      <c r="I3716" s="90"/>
      <c r="J3716" s="91"/>
    </row>
    <row r="3717">
      <c r="C3717" s="82"/>
      <c r="E3717" s="84"/>
      <c r="F3717" s="86"/>
      <c r="G3717" s="86"/>
      <c r="H3717" s="88"/>
      <c r="I3717" s="90"/>
      <c r="J3717" s="91"/>
    </row>
    <row r="3718">
      <c r="C3718" s="82"/>
      <c r="E3718" s="84"/>
      <c r="F3718" s="86"/>
      <c r="G3718" s="86"/>
      <c r="H3718" s="88"/>
      <c r="I3718" s="90"/>
      <c r="J3718" s="91"/>
    </row>
    <row r="3719">
      <c r="C3719" s="82"/>
      <c r="E3719" s="84"/>
      <c r="F3719" s="86"/>
      <c r="G3719" s="86"/>
      <c r="H3719" s="88"/>
      <c r="I3719" s="90"/>
      <c r="J3719" s="91"/>
    </row>
    <row r="3720">
      <c r="C3720" s="82"/>
      <c r="E3720" s="84"/>
      <c r="F3720" s="86"/>
      <c r="G3720" s="86"/>
      <c r="H3720" s="88"/>
      <c r="I3720" s="90"/>
      <c r="J3720" s="91"/>
    </row>
    <row r="3721">
      <c r="C3721" s="82"/>
      <c r="E3721" s="84"/>
      <c r="F3721" s="86"/>
      <c r="G3721" s="86"/>
      <c r="H3721" s="88"/>
      <c r="I3721" s="90"/>
      <c r="J3721" s="91"/>
    </row>
    <row r="3722">
      <c r="C3722" s="82"/>
      <c r="E3722" s="84"/>
      <c r="F3722" s="86"/>
      <c r="G3722" s="86"/>
      <c r="H3722" s="88"/>
      <c r="I3722" s="90"/>
      <c r="J3722" s="91"/>
    </row>
    <row r="3723">
      <c r="C3723" s="82"/>
      <c r="E3723" s="84"/>
      <c r="F3723" s="86"/>
      <c r="G3723" s="86"/>
      <c r="H3723" s="88"/>
      <c r="I3723" s="90"/>
      <c r="J3723" s="91"/>
    </row>
    <row r="3724">
      <c r="C3724" s="82"/>
      <c r="E3724" s="84"/>
      <c r="F3724" s="86"/>
      <c r="G3724" s="86"/>
      <c r="H3724" s="88"/>
      <c r="I3724" s="90"/>
      <c r="J3724" s="91"/>
    </row>
    <row r="3725">
      <c r="C3725" s="82"/>
      <c r="E3725" s="84"/>
      <c r="F3725" s="86"/>
      <c r="G3725" s="86"/>
      <c r="H3725" s="88"/>
      <c r="I3725" s="90"/>
      <c r="J3725" s="91"/>
    </row>
    <row r="3726">
      <c r="C3726" s="82"/>
      <c r="E3726" s="84"/>
      <c r="F3726" s="86"/>
      <c r="G3726" s="86"/>
      <c r="H3726" s="88"/>
      <c r="I3726" s="90"/>
      <c r="J3726" s="91"/>
    </row>
    <row r="3727">
      <c r="C3727" s="82"/>
      <c r="E3727" s="84"/>
      <c r="F3727" s="86"/>
      <c r="G3727" s="86"/>
      <c r="H3727" s="88"/>
      <c r="I3727" s="90"/>
      <c r="J3727" s="91"/>
    </row>
    <row r="3728">
      <c r="C3728" s="82"/>
      <c r="E3728" s="84"/>
      <c r="F3728" s="86"/>
      <c r="G3728" s="86"/>
      <c r="H3728" s="88"/>
      <c r="I3728" s="90"/>
      <c r="J3728" s="91"/>
    </row>
    <row r="3729">
      <c r="C3729" s="82"/>
      <c r="E3729" s="84"/>
      <c r="F3729" s="86"/>
      <c r="G3729" s="86"/>
      <c r="H3729" s="88"/>
      <c r="I3729" s="90"/>
      <c r="J3729" s="91"/>
    </row>
    <row r="3730">
      <c r="C3730" s="82"/>
      <c r="E3730" s="84"/>
      <c r="F3730" s="86"/>
      <c r="G3730" s="86"/>
      <c r="H3730" s="88"/>
      <c r="I3730" s="90"/>
      <c r="J3730" s="91"/>
    </row>
    <row r="3731">
      <c r="C3731" s="82"/>
      <c r="E3731" s="84"/>
      <c r="F3731" s="86"/>
      <c r="G3731" s="86"/>
      <c r="H3731" s="88"/>
      <c r="I3731" s="90"/>
      <c r="J3731" s="91"/>
    </row>
    <row r="3732">
      <c r="C3732" s="82"/>
      <c r="E3732" s="84"/>
      <c r="F3732" s="86"/>
      <c r="G3732" s="86"/>
      <c r="H3732" s="88"/>
      <c r="I3732" s="90"/>
      <c r="J3732" s="91"/>
    </row>
    <row r="3733">
      <c r="C3733" s="82"/>
      <c r="E3733" s="84"/>
      <c r="F3733" s="86"/>
      <c r="G3733" s="86"/>
      <c r="H3733" s="88"/>
      <c r="I3733" s="90"/>
      <c r="J3733" s="91"/>
    </row>
    <row r="3734">
      <c r="C3734" s="82"/>
      <c r="E3734" s="84"/>
      <c r="F3734" s="86"/>
      <c r="G3734" s="86"/>
      <c r="H3734" s="88"/>
      <c r="I3734" s="90"/>
      <c r="J3734" s="91"/>
    </row>
    <row r="3735">
      <c r="C3735" s="82"/>
      <c r="E3735" s="84"/>
      <c r="F3735" s="86"/>
      <c r="G3735" s="86"/>
      <c r="H3735" s="88"/>
      <c r="I3735" s="90"/>
      <c r="J3735" s="91"/>
    </row>
    <row r="3736">
      <c r="C3736" s="82"/>
      <c r="E3736" s="84"/>
      <c r="F3736" s="86"/>
      <c r="G3736" s="86"/>
      <c r="H3736" s="88"/>
      <c r="I3736" s="90"/>
      <c r="J3736" s="91"/>
    </row>
    <row r="3737">
      <c r="C3737" s="82"/>
      <c r="E3737" s="84"/>
      <c r="F3737" s="86"/>
      <c r="G3737" s="86"/>
      <c r="H3737" s="88"/>
      <c r="I3737" s="90"/>
      <c r="J3737" s="91"/>
    </row>
    <row r="3738">
      <c r="C3738" s="82"/>
      <c r="E3738" s="84"/>
      <c r="F3738" s="86"/>
      <c r="G3738" s="86"/>
      <c r="H3738" s="88"/>
      <c r="I3738" s="90"/>
      <c r="J3738" s="91"/>
    </row>
    <row r="3739">
      <c r="C3739" s="82"/>
      <c r="E3739" s="84"/>
      <c r="F3739" s="86"/>
      <c r="G3739" s="86"/>
      <c r="H3739" s="88"/>
      <c r="I3739" s="90"/>
      <c r="J3739" s="91"/>
    </row>
    <row r="3740">
      <c r="C3740" s="82"/>
      <c r="E3740" s="84"/>
      <c r="F3740" s="86"/>
      <c r="G3740" s="86"/>
      <c r="H3740" s="88"/>
      <c r="I3740" s="90"/>
      <c r="J3740" s="91"/>
    </row>
    <row r="3741">
      <c r="C3741" s="82"/>
      <c r="E3741" s="84"/>
      <c r="F3741" s="86"/>
      <c r="G3741" s="86"/>
      <c r="H3741" s="88"/>
      <c r="I3741" s="90"/>
      <c r="J3741" s="91"/>
    </row>
    <row r="3742">
      <c r="C3742" s="82"/>
      <c r="E3742" s="84"/>
      <c r="F3742" s="86"/>
      <c r="G3742" s="86"/>
      <c r="H3742" s="88"/>
      <c r="I3742" s="90"/>
      <c r="J3742" s="91"/>
    </row>
    <row r="3743">
      <c r="C3743" s="82"/>
      <c r="E3743" s="84"/>
      <c r="F3743" s="86"/>
      <c r="G3743" s="86"/>
      <c r="H3743" s="88"/>
      <c r="I3743" s="90"/>
      <c r="J3743" s="91"/>
    </row>
    <row r="3744">
      <c r="C3744" s="82"/>
      <c r="E3744" s="84"/>
      <c r="F3744" s="86"/>
      <c r="G3744" s="86"/>
      <c r="H3744" s="88"/>
      <c r="I3744" s="90"/>
      <c r="J3744" s="91"/>
    </row>
    <row r="3745">
      <c r="C3745" s="82"/>
      <c r="E3745" s="84"/>
      <c r="F3745" s="86"/>
      <c r="G3745" s="86"/>
      <c r="H3745" s="88"/>
      <c r="I3745" s="90"/>
      <c r="J3745" s="91"/>
    </row>
    <row r="3746">
      <c r="C3746" s="82"/>
      <c r="E3746" s="84"/>
      <c r="F3746" s="86"/>
      <c r="G3746" s="86"/>
      <c r="H3746" s="88"/>
      <c r="I3746" s="90"/>
      <c r="J3746" s="91"/>
    </row>
    <row r="3747">
      <c r="C3747" s="82"/>
      <c r="E3747" s="84"/>
      <c r="F3747" s="86"/>
      <c r="G3747" s="86"/>
      <c r="H3747" s="88"/>
      <c r="I3747" s="90"/>
      <c r="J3747" s="91"/>
    </row>
    <row r="3748">
      <c r="C3748" s="82"/>
      <c r="E3748" s="84"/>
      <c r="F3748" s="86"/>
      <c r="G3748" s="86"/>
      <c r="H3748" s="88"/>
      <c r="I3748" s="90"/>
      <c r="J3748" s="91"/>
    </row>
    <row r="3749">
      <c r="C3749" s="82"/>
      <c r="E3749" s="84"/>
      <c r="F3749" s="86"/>
      <c r="G3749" s="86"/>
      <c r="H3749" s="88"/>
      <c r="I3749" s="90"/>
      <c r="J3749" s="91"/>
    </row>
    <row r="3750">
      <c r="C3750" s="82"/>
      <c r="E3750" s="84"/>
      <c r="F3750" s="86"/>
      <c r="G3750" s="86"/>
      <c r="H3750" s="88"/>
      <c r="I3750" s="90"/>
      <c r="J3750" s="91"/>
    </row>
    <row r="3751">
      <c r="C3751" s="82"/>
      <c r="E3751" s="84"/>
      <c r="F3751" s="86"/>
      <c r="G3751" s="86"/>
      <c r="H3751" s="88"/>
      <c r="I3751" s="90"/>
      <c r="J3751" s="91"/>
    </row>
    <row r="3752">
      <c r="C3752" s="82"/>
      <c r="E3752" s="84"/>
      <c r="F3752" s="86"/>
      <c r="G3752" s="86"/>
      <c r="H3752" s="88"/>
      <c r="I3752" s="90"/>
      <c r="J3752" s="91"/>
    </row>
    <row r="3753">
      <c r="C3753" s="82"/>
      <c r="E3753" s="84"/>
      <c r="F3753" s="86"/>
      <c r="G3753" s="86"/>
      <c r="H3753" s="88"/>
      <c r="I3753" s="90"/>
      <c r="J3753" s="91"/>
    </row>
    <row r="3754">
      <c r="C3754" s="82"/>
      <c r="E3754" s="84"/>
      <c r="F3754" s="86"/>
      <c r="G3754" s="86"/>
      <c r="H3754" s="88"/>
      <c r="I3754" s="90"/>
      <c r="J3754" s="91"/>
    </row>
    <row r="3755">
      <c r="C3755" s="82"/>
      <c r="E3755" s="84"/>
      <c r="F3755" s="86"/>
      <c r="G3755" s="86"/>
      <c r="H3755" s="88"/>
      <c r="I3755" s="90"/>
      <c r="J3755" s="91"/>
    </row>
    <row r="3756">
      <c r="C3756" s="82"/>
      <c r="E3756" s="84"/>
      <c r="F3756" s="86"/>
      <c r="G3756" s="86"/>
      <c r="H3756" s="88"/>
      <c r="I3756" s="90"/>
      <c r="J3756" s="91"/>
    </row>
    <row r="3757">
      <c r="C3757" s="82"/>
      <c r="E3757" s="84"/>
      <c r="F3757" s="86"/>
      <c r="G3757" s="86"/>
      <c r="H3757" s="88"/>
      <c r="I3757" s="90"/>
      <c r="J3757" s="91"/>
    </row>
    <row r="3758">
      <c r="C3758" s="82"/>
      <c r="E3758" s="84"/>
      <c r="F3758" s="86"/>
      <c r="G3758" s="86"/>
      <c r="H3758" s="88"/>
      <c r="I3758" s="90"/>
      <c r="J3758" s="91"/>
    </row>
    <row r="3759">
      <c r="C3759" s="82"/>
      <c r="E3759" s="84"/>
      <c r="F3759" s="86"/>
      <c r="G3759" s="86"/>
      <c r="H3759" s="88"/>
      <c r="I3759" s="90"/>
      <c r="J3759" s="91"/>
    </row>
    <row r="3760">
      <c r="C3760" s="82"/>
      <c r="E3760" s="84"/>
      <c r="F3760" s="86"/>
      <c r="G3760" s="86"/>
      <c r="H3760" s="88"/>
      <c r="I3760" s="90"/>
      <c r="J3760" s="91"/>
    </row>
    <row r="3761">
      <c r="C3761" s="82"/>
      <c r="E3761" s="84"/>
      <c r="F3761" s="86"/>
      <c r="G3761" s="86"/>
      <c r="H3761" s="88"/>
      <c r="I3761" s="90"/>
      <c r="J3761" s="91"/>
    </row>
    <row r="3762">
      <c r="C3762" s="82"/>
      <c r="E3762" s="84"/>
      <c r="F3762" s="86"/>
      <c r="G3762" s="86"/>
      <c r="H3762" s="88"/>
      <c r="I3762" s="90"/>
      <c r="J3762" s="91"/>
    </row>
    <row r="3763">
      <c r="C3763" s="82"/>
      <c r="E3763" s="84"/>
      <c r="F3763" s="86"/>
      <c r="G3763" s="86"/>
      <c r="H3763" s="88"/>
      <c r="I3763" s="90"/>
      <c r="J3763" s="91"/>
    </row>
    <row r="3764">
      <c r="C3764" s="82"/>
      <c r="E3764" s="84"/>
      <c r="F3764" s="86"/>
      <c r="G3764" s="86"/>
      <c r="H3764" s="88"/>
      <c r="I3764" s="90"/>
      <c r="J3764" s="91"/>
    </row>
    <row r="3765">
      <c r="C3765" s="82"/>
      <c r="E3765" s="84"/>
      <c r="F3765" s="86"/>
      <c r="G3765" s="86"/>
      <c r="H3765" s="88"/>
      <c r="I3765" s="90"/>
      <c r="J3765" s="91"/>
    </row>
    <row r="3766">
      <c r="C3766" s="82"/>
      <c r="E3766" s="84"/>
      <c r="F3766" s="86"/>
      <c r="G3766" s="86"/>
      <c r="H3766" s="88"/>
      <c r="I3766" s="90"/>
      <c r="J3766" s="91"/>
    </row>
    <row r="3767">
      <c r="C3767" s="82"/>
      <c r="E3767" s="84"/>
      <c r="F3767" s="86"/>
      <c r="G3767" s="86"/>
      <c r="H3767" s="88"/>
      <c r="I3767" s="90"/>
      <c r="J3767" s="91"/>
    </row>
    <row r="3768">
      <c r="C3768" s="82"/>
      <c r="E3768" s="84"/>
      <c r="F3768" s="86"/>
      <c r="G3768" s="86"/>
      <c r="H3768" s="88"/>
      <c r="I3768" s="90"/>
      <c r="J3768" s="91"/>
    </row>
    <row r="3769">
      <c r="C3769" s="82"/>
      <c r="E3769" s="84"/>
      <c r="F3769" s="86"/>
      <c r="G3769" s="86"/>
      <c r="H3769" s="88"/>
      <c r="I3769" s="90"/>
      <c r="J3769" s="91"/>
    </row>
    <row r="3770">
      <c r="C3770" s="82"/>
      <c r="E3770" s="84"/>
      <c r="F3770" s="86"/>
      <c r="G3770" s="86"/>
      <c r="H3770" s="88"/>
      <c r="I3770" s="90"/>
      <c r="J3770" s="91"/>
    </row>
    <row r="3771">
      <c r="C3771" s="82"/>
      <c r="E3771" s="84"/>
      <c r="F3771" s="86"/>
      <c r="G3771" s="86"/>
      <c r="H3771" s="88"/>
      <c r="I3771" s="90"/>
      <c r="J3771" s="91"/>
    </row>
    <row r="3772">
      <c r="C3772" s="82"/>
      <c r="E3772" s="84"/>
      <c r="F3772" s="86"/>
      <c r="G3772" s="86"/>
      <c r="H3772" s="88"/>
      <c r="I3772" s="90"/>
      <c r="J3772" s="91"/>
    </row>
    <row r="3773">
      <c r="C3773" s="82"/>
      <c r="E3773" s="84"/>
      <c r="F3773" s="86"/>
      <c r="G3773" s="86"/>
      <c r="H3773" s="88"/>
      <c r="I3773" s="90"/>
      <c r="J3773" s="91"/>
    </row>
    <row r="3774">
      <c r="C3774" s="82"/>
      <c r="E3774" s="84"/>
      <c r="F3774" s="86"/>
      <c r="G3774" s="86"/>
      <c r="H3774" s="88"/>
      <c r="I3774" s="90"/>
      <c r="J3774" s="91"/>
    </row>
    <row r="3775">
      <c r="C3775" s="82"/>
      <c r="E3775" s="84"/>
      <c r="F3775" s="86"/>
      <c r="G3775" s="86"/>
      <c r="H3775" s="88"/>
      <c r="I3775" s="90"/>
      <c r="J3775" s="91"/>
    </row>
    <row r="3776">
      <c r="C3776" s="82"/>
      <c r="E3776" s="84"/>
      <c r="F3776" s="86"/>
      <c r="G3776" s="86"/>
      <c r="H3776" s="88"/>
      <c r="I3776" s="90"/>
      <c r="J3776" s="91"/>
    </row>
    <row r="3777">
      <c r="C3777" s="82"/>
      <c r="E3777" s="84"/>
      <c r="F3777" s="86"/>
      <c r="G3777" s="86"/>
      <c r="H3777" s="88"/>
      <c r="I3777" s="90"/>
      <c r="J3777" s="91"/>
    </row>
    <row r="3778">
      <c r="C3778" s="82"/>
      <c r="E3778" s="84"/>
      <c r="F3778" s="86"/>
      <c r="G3778" s="86"/>
      <c r="H3778" s="88"/>
      <c r="I3778" s="90"/>
      <c r="J3778" s="91"/>
    </row>
    <row r="3779">
      <c r="C3779" s="82"/>
      <c r="E3779" s="84"/>
      <c r="F3779" s="86"/>
      <c r="G3779" s="86"/>
      <c r="H3779" s="88"/>
      <c r="I3779" s="90"/>
      <c r="J3779" s="91"/>
    </row>
    <row r="3780">
      <c r="C3780" s="82"/>
      <c r="E3780" s="84"/>
      <c r="F3780" s="86"/>
      <c r="G3780" s="86"/>
      <c r="H3780" s="88"/>
      <c r="I3780" s="90"/>
      <c r="J3780" s="91"/>
    </row>
    <row r="3781">
      <c r="C3781" s="82"/>
      <c r="E3781" s="84"/>
      <c r="F3781" s="86"/>
      <c r="G3781" s="86"/>
      <c r="H3781" s="88"/>
      <c r="I3781" s="90"/>
      <c r="J3781" s="91"/>
    </row>
    <row r="3782">
      <c r="C3782" s="82"/>
      <c r="E3782" s="84"/>
      <c r="F3782" s="86"/>
      <c r="G3782" s="86"/>
      <c r="H3782" s="88"/>
      <c r="I3782" s="90"/>
      <c r="J3782" s="91"/>
    </row>
    <row r="3783">
      <c r="C3783" s="82"/>
      <c r="E3783" s="84"/>
      <c r="F3783" s="86"/>
      <c r="G3783" s="86"/>
      <c r="H3783" s="88"/>
      <c r="I3783" s="90"/>
      <c r="J3783" s="91"/>
    </row>
    <row r="3784">
      <c r="C3784" s="82"/>
      <c r="E3784" s="84"/>
      <c r="F3784" s="86"/>
      <c r="G3784" s="86"/>
      <c r="H3784" s="88"/>
      <c r="I3784" s="90"/>
      <c r="J3784" s="91"/>
    </row>
    <row r="3785">
      <c r="C3785" s="82"/>
      <c r="E3785" s="84"/>
      <c r="F3785" s="86"/>
      <c r="G3785" s="86"/>
      <c r="H3785" s="88"/>
      <c r="I3785" s="90"/>
      <c r="J3785" s="91"/>
    </row>
    <row r="3786">
      <c r="C3786" s="82"/>
      <c r="E3786" s="84"/>
      <c r="F3786" s="86"/>
      <c r="G3786" s="86"/>
      <c r="H3786" s="88"/>
      <c r="I3786" s="90"/>
      <c r="J3786" s="91"/>
    </row>
    <row r="3787">
      <c r="C3787" s="82"/>
      <c r="E3787" s="84"/>
      <c r="F3787" s="86"/>
      <c r="G3787" s="86"/>
      <c r="H3787" s="88"/>
      <c r="I3787" s="90"/>
      <c r="J3787" s="91"/>
    </row>
    <row r="3788">
      <c r="C3788" s="82"/>
      <c r="E3788" s="84"/>
      <c r="F3788" s="86"/>
      <c r="G3788" s="86"/>
      <c r="H3788" s="88"/>
      <c r="I3788" s="90"/>
      <c r="J3788" s="91"/>
    </row>
    <row r="3789">
      <c r="C3789" s="82"/>
      <c r="E3789" s="84"/>
      <c r="F3789" s="86"/>
      <c r="G3789" s="86"/>
      <c r="H3789" s="88"/>
      <c r="I3789" s="90"/>
      <c r="J3789" s="91"/>
    </row>
    <row r="3790">
      <c r="C3790" s="82"/>
      <c r="E3790" s="84"/>
      <c r="F3790" s="86"/>
      <c r="G3790" s="86"/>
      <c r="H3790" s="88"/>
      <c r="I3790" s="90"/>
      <c r="J3790" s="91"/>
    </row>
    <row r="3791">
      <c r="C3791" s="82"/>
      <c r="E3791" s="84"/>
      <c r="F3791" s="86"/>
      <c r="G3791" s="86"/>
      <c r="H3791" s="88"/>
      <c r="I3791" s="90"/>
      <c r="J3791" s="91"/>
    </row>
    <row r="3792">
      <c r="C3792" s="82"/>
      <c r="E3792" s="84"/>
      <c r="F3792" s="86"/>
      <c r="G3792" s="86"/>
      <c r="H3792" s="88"/>
      <c r="I3792" s="90"/>
      <c r="J3792" s="91"/>
    </row>
    <row r="3793">
      <c r="C3793" s="82"/>
      <c r="E3793" s="84"/>
      <c r="F3793" s="86"/>
      <c r="G3793" s="86"/>
      <c r="H3793" s="88"/>
      <c r="I3793" s="90"/>
      <c r="J3793" s="91"/>
    </row>
    <row r="3794">
      <c r="C3794" s="82"/>
      <c r="E3794" s="84"/>
      <c r="F3794" s="86"/>
      <c r="G3794" s="86"/>
      <c r="H3794" s="88"/>
      <c r="I3794" s="90"/>
      <c r="J3794" s="91"/>
    </row>
    <row r="3795">
      <c r="C3795" s="82"/>
      <c r="E3795" s="84"/>
      <c r="F3795" s="86"/>
      <c r="G3795" s="86"/>
      <c r="H3795" s="88"/>
      <c r="I3795" s="90"/>
      <c r="J3795" s="91"/>
    </row>
    <row r="3796">
      <c r="C3796" s="82"/>
      <c r="E3796" s="84"/>
      <c r="F3796" s="86"/>
      <c r="G3796" s="86"/>
      <c r="H3796" s="88"/>
      <c r="I3796" s="90"/>
      <c r="J3796" s="91"/>
    </row>
    <row r="3797">
      <c r="C3797" s="82"/>
      <c r="E3797" s="84"/>
      <c r="F3797" s="86"/>
      <c r="G3797" s="86"/>
      <c r="H3797" s="88"/>
      <c r="I3797" s="90"/>
      <c r="J3797" s="91"/>
    </row>
    <row r="3798">
      <c r="C3798" s="82"/>
      <c r="E3798" s="84"/>
      <c r="F3798" s="86"/>
      <c r="G3798" s="86"/>
      <c r="H3798" s="88"/>
      <c r="I3798" s="90"/>
      <c r="J3798" s="91"/>
    </row>
    <row r="3799">
      <c r="C3799" s="82"/>
      <c r="E3799" s="84"/>
      <c r="F3799" s="86"/>
      <c r="G3799" s="86"/>
      <c r="H3799" s="88"/>
      <c r="I3799" s="90"/>
      <c r="J3799" s="91"/>
    </row>
    <row r="3800">
      <c r="C3800" s="82"/>
      <c r="E3800" s="84"/>
      <c r="F3800" s="86"/>
      <c r="G3800" s="86"/>
      <c r="H3800" s="88"/>
      <c r="I3800" s="90"/>
      <c r="J3800" s="91"/>
    </row>
    <row r="3801">
      <c r="C3801" s="82"/>
      <c r="E3801" s="84"/>
      <c r="F3801" s="86"/>
      <c r="G3801" s="86"/>
      <c r="H3801" s="88"/>
      <c r="I3801" s="90"/>
      <c r="J3801" s="91"/>
    </row>
    <row r="3802">
      <c r="C3802" s="82"/>
      <c r="E3802" s="84"/>
      <c r="F3802" s="86"/>
      <c r="G3802" s="86"/>
      <c r="H3802" s="88"/>
      <c r="I3802" s="90"/>
      <c r="J3802" s="91"/>
    </row>
    <row r="3803">
      <c r="C3803" s="82"/>
      <c r="E3803" s="84"/>
      <c r="F3803" s="86"/>
      <c r="G3803" s="86"/>
      <c r="H3803" s="88"/>
      <c r="I3803" s="90"/>
      <c r="J3803" s="91"/>
    </row>
    <row r="3804">
      <c r="C3804" s="82"/>
      <c r="E3804" s="84"/>
      <c r="F3804" s="86"/>
      <c r="G3804" s="86"/>
      <c r="H3804" s="88"/>
      <c r="I3804" s="90"/>
      <c r="J3804" s="91"/>
    </row>
    <row r="3805">
      <c r="C3805" s="82"/>
      <c r="E3805" s="84"/>
      <c r="F3805" s="86"/>
      <c r="G3805" s="86"/>
      <c r="H3805" s="88"/>
      <c r="I3805" s="90"/>
      <c r="J3805" s="91"/>
    </row>
    <row r="3806">
      <c r="C3806" s="82"/>
      <c r="E3806" s="84"/>
      <c r="F3806" s="86"/>
      <c r="G3806" s="86"/>
      <c r="H3806" s="88"/>
      <c r="I3806" s="90"/>
      <c r="J3806" s="91"/>
    </row>
    <row r="3807">
      <c r="C3807" s="82"/>
      <c r="E3807" s="84"/>
      <c r="F3807" s="86"/>
      <c r="G3807" s="86"/>
      <c r="H3807" s="88"/>
      <c r="I3807" s="90"/>
      <c r="J3807" s="91"/>
    </row>
    <row r="3808">
      <c r="C3808" s="82"/>
      <c r="E3808" s="84"/>
      <c r="F3808" s="86"/>
      <c r="G3808" s="86"/>
      <c r="H3808" s="88"/>
      <c r="I3808" s="90"/>
      <c r="J3808" s="91"/>
    </row>
    <row r="3809">
      <c r="C3809" s="82"/>
      <c r="E3809" s="84"/>
      <c r="F3809" s="86"/>
      <c r="G3809" s="86"/>
      <c r="H3809" s="88"/>
      <c r="I3809" s="90"/>
      <c r="J3809" s="91"/>
    </row>
    <row r="3810">
      <c r="C3810" s="82"/>
      <c r="E3810" s="84"/>
      <c r="F3810" s="86"/>
      <c r="G3810" s="86"/>
      <c r="H3810" s="88"/>
      <c r="I3810" s="90"/>
      <c r="J3810" s="91"/>
    </row>
    <row r="3811">
      <c r="C3811" s="82"/>
      <c r="E3811" s="84"/>
      <c r="F3811" s="86"/>
      <c r="G3811" s="86"/>
      <c r="H3811" s="88"/>
      <c r="I3811" s="90"/>
      <c r="J3811" s="91"/>
    </row>
    <row r="3812">
      <c r="C3812" s="82"/>
      <c r="E3812" s="84"/>
      <c r="F3812" s="86"/>
      <c r="G3812" s="86"/>
      <c r="H3812" s="88"/>
      <c r="I3812" s="90"/>
      <c r="J3812" s="91"/>
    </row>
    <row r="3813">
      <c r="C3813" s="82"/>
      <c r="E3813" s="84"/>
      <c r="F3813" s="86"/>
      <c r="G3813" s="86"/>
      <c r="H3813" s="88"/>
      <c r="I3813" s="90"/>
      <c r="J3813" s="91"/>
    </row>
    <row r="3814">
      <c r="C3814" s="82"/>
      <c r="E3814" s="84"/>
      <c r="F3814" s="86"/>
      <c r="G3814" s="86"/>
      <c r="H3814" s="88"/>
      <c r="I3814" s="90"/>
      <c r="J3814" s="91"/>
    </row>
    <row r="3815">
      <c r="C3815" s="82"/>
      <c r="E3815" s="84"/>
      <c r="F3815" s="86"/>
      <c r="G3815" s="86"/>
      <c r="H3815" s="88"/>
      <c r="I3815" s="90"/>
      <c r="J3815" s="91"/>
    </row>
    <row r="3816">
      <c r="C3816" s="82"/>
      <c r="E3816" s="84"/>
      <c r="F3816" s="86"/>
      <c r="G3816" s="86"/>
      <c r="H3816" s="88"/>
      <c r="I3816" s="90"/>
      <c r="J3816" s="91"/>
    </row>
    <row r="3817">
      <c r="C3817" s="82"/>
      <c r="E3817" s="84"/>
      <c r="F3817" s="86"/>
      <c r="G3817" s="86"/>
      <c r="H3817" s="88"/>
      <c r="I3817" s="90"/>
      <c r="J3817" s="91"/>
    </row>
    <row r="3818">
      <c r="C3818" s="82"/>
      <c r="E3818" s="84"/>
      <c r="F3818" s="86"/>
      <c r="G3818" s="86"/>
      <c r="H3818" s="88"/>
      <c r="I3818" s="90"/>
      <c r="J3818" s="91"/>
    </row>
    <row r="3819">
      <c r="C3819" s="82"/>
      <c r="E3819" s="84"/>
      <c r="F3819" s="86"/>
      <c r="G3819" s="86"/>
      <c r="H3819" s="88"/>
      <c r="I3819" s="90"/>
      <c r="J3819" s="91"/>
    </row>
    <row r="3820">
      <c r="C3820" s="82"/>
      <c r="E3820" s="84"/>
      <c r="F3820" s="86"/>
      <c r="G3820" s="86"/>
      <c r="H3820" s="88"/>
      <c r="I3820" s="90"/>
      <c r="J3820" s="91"/>
    </row>
    <row r="3821">
      <c r="C3821" s="82"/>
      <c r="E3821" s="84"/>
      <c r="F3821" s="86"/>
      <c r="G3821" s="86"/>
      <c r="H3821" s="88"/>
      <c r="I3821" s="90"/>
      <c r="J3821" s="91"/>
    </row>
    <row r="3822">
      <c r="C3822" s="82"/>
      <c r="E3822" s="84"/>
      <c r="F3822" s="86"/>
      <c r="G3822" s="86"/>
      <c r="H3822" s="88"/>
      <c r="I3822" s="90"/>
      <c r="J3822" s="91"/>
    </row>
    <row r="3823">
      <c r="C3823" s="82"/>
      <c r="E3823" s="84"/>
      <c r="F3823" s="86"/>
      <c r="G3823" s="86"/>
      <c r="H3823" s="88"/>
      <c r="I3823" s="90"/>
      <c r="J3823" s="91"/>
    </row>
    <row r="3824">
      <c r="C3824" s="82"/>
      <c r="E3824" s="84"/>
      <c r="F3824" s="86"/>
      <c r="G3824" s="86"/>
      <c r="H3824" s="88"/>
      <c r="I3824" s="90"/>
      <c r="J3824" s="91"/>
    </row>
    <row r="3825">
      <c r="C3825" s="82"/>
      <c r="E3825" s="84"/>
      <c r="F3825" s="86"/>
      <c r="G3825" s="86"/>
      <c r="H3825" s="88"/>
      <c r="I3825" s="90"/>
      <c r="J3825" s="91"/>
    </row>
    <row r="3826">
      <c r="C3826" s="82"/>
      <c r="E3826" s="84"/>
      <c r="F3826" s="86"/>
      <c r="G3826" s="86"/>
      <c r="H3826" s="88"/>
      <c r="I3826" s="90"/>
      <c r="J3826" s="91"/>
    </row>
    <row r="3827">
      <c r="C3827" s="82"/>
      <c r="E3827" s="84"/>
      <c r="F3827" s="86"/>
      <c r="G3827" s="86"/>
      <c r="H3827" s="88"/>
      <c r="I3827" s="90"/>
      <c r="J3827" s="91"/>
    </row>
    <row r="3828">
      <c r="C3828" s="82"/>
      <c r="E3828" s="84"/>
      <c r="F3828" s="86"/>
      <c r="G3828" s="86"/>
      <c r="H3828" s="88"/>
      <c r="I3828" s="90"/>
      <c r="J3828" s="91"/>
    </row>
    <row r="3829">
      <c r="C3829" s="82"/>
      <c r="E3829" s="84"/>
      <c r="F3829" s="86"/>
      <c r="G3829" s="86"/>
      <c r="H3829" s="88"/>
      <c r="I3829" s="90"/>
      <c r="J3829" s="91"/>
    </row>
    <row r="3830">
      <c r="C3830" s="82"/>
      <c r="E3830" s="84"/>
      <c r="F3830" s="86"/>
      <c r="G3830" s="86"/>
      <c r="H3830" s="88"/>
      <c r="I3830" s="90"/>
      <c r="J3830" s="91"/>
    </row>
    <row r="3831">
      <c r="C3831" s="82"/>
      <c r="E3831" s="84"/>
      <c r="F3831" s="86"/>
      <c r="G3831" s="86"/>
      <c r="H3831" s="88"/>
      <c r="I3831" s="90"/>
      <c r="J3831" s="91"/>
    </row>
    <row r="3832">
      <c r="C3832" s="82"/>
      <c r="E3832" s="84"/>
      <c r="F3832" s="86"/>
      <c r="G3832" s="86"/>
      <c r="H3832" s="88"/>
      <c r="I3832" s="90"/>
      <c r="J3832" s="91"/>
    </row>
    <row r="3833">
      <c r="C3833" s="82"/>
      <c r="E3833" s="84"/>
      <c r="F3833" s="86"/>
      <c r="G3833" s="86"/>
      <c r="H3833" s="88"/>
      <c r="I3833" s="90"/>
      <c r="J3833" s="91"/>
    </row>
    <row r="3834">
      <c r="C3834" s="82"/>
      <c r="E3834" s="84"/>
      <c r="F3834" s="86"/>
      <c r="G3834" s="86"/>
      <c r="H3834" s="88"/>
      <c r="I3834" s="90"/>
      <c r="J3834" s="91"/>
    </row>
    <row r="3835">
      <c r="C3835" s="82"/>
      <c r="E3835" s="84"/>
      <c r="F3835" s="86"/>
      <c r="G3835" s="86"/>
      <c r="H3835" s="88"/>
      <c r="I3835" s="90"/>
      <c r="J3835" s="91"/>
    </row>
    <row r="3836">
      <c r="C3836" s="82"/>
      <c r="E3836" s="84"/>
      <c r="F3836" s="86"/>
      <c r="G3836" s="86"/>
      <c r="H3836" s="88"/>
      <c r="I3836" s="90"/>
      <c r="J3836" s="91"/>
    </row>
    <row r="3837">
      <c r="C3837" s="82"/>
      <c r="E3837" s="84"/>
      <c r="F3837" s="86"/>
      <c r="G3837" s="86"/>
      <c r="H3837" s="88"/>
      <c r="I3837" s="90"/>
      <c r="J3837" s="91"/>
    </row>
    <row r="3838">
      <c r="C3838" s="82"/>
      <c r="E3838" s="84"/>
      <c r="F3838" s="86"/>
      <c r="G3838" s="86"/>
      <c r="H3838" s="88"/>
      <c r="I3838" s="90"/>
      <c r="J3838" s="91"/>
    </row>
    <row r="3839">
      <c r="C3839" s="82"/>
      <c r="E3839" s="84"/>
      <c r="F3839" s="86"/>
      <c r="G3839" s="86"/>
      <c r="H3839" s="88"/>
      <c r="I3839" s="90"/>
      <c r="J3839" s="91"/>
    </row>
    <row r="3840">
      <c r="C3840" s="82"/>
      <c r="E3840" s="84"/>
      <c r="F3840" s="86"/>
      <c r="G3840" s="86"/>
      <c r="H3840" s="88"/>
      <c r="I3840" s="90"/>
      <c r="J3840" s="91"/>
    </row>
    <row r="3841">
      <c r="C3841" s="82"/>
      <c r="E3841" s="84"/>
      <c r="F3841" s="86"/>
      <c r="G3841" s="86"/>
      <c r="H3841" s="88"/>
      <c r="I3841" s="90"/>
      <c r="J3841" s="91"/>
    </row>
    <row r="3842">
      <c r="C3842" s="82"/>
      <c r="E3842" s="84"/>
      <c r="F3842" s="86"/>
      <c r="G3842" s="86"/>
      <c r="H3842" s="88"/>
      <c r="I3842" s="90"/>
      <c r="J3842" s="91"/>
    </row>
    <row r="3843">
      <c r="C3843" s="82"/>
      <c r="E3843" s="84"/>
      <c r="F3843" s="86"/>
      <c r="G3843" s="86"/>
      <c r="H3843" s="88"/>
      <c r="I3843" s="90"/>
      <c r="J3843" s="91"/>
    </row>
    <row r="3844">
      <c r="C3844" s="82"/>
      <c r="E3844" s="84"/>
      <c r="F3844" s="86"/>
      <c r="G3844" s="86"/>
      <c r="H3844" s="88"/>
      <c r="I3844" s="90"/>
      <c r="J3844" s="91"/>
    </row>
    <row r="3845">
      <c r="C3845" s="82"/>
      <c r="E3845" s="84"/>
      <c r="F3845" s="86"/>
      <c r="G3845" s="86"/>
      <c r="H3845" s="88"/>
      <c r="I3845" s="90"/>
      <c r="J3845" s="91"/>
    </row>
    <row r="3846">
      <c r="C3846" s="82"/>
      <c r="E3846" s="84"/>
      <c r="F3846" s="86"/>
      <c r="G3846" s="86"/>
      <c r="H3846" s="88"/>
      <c r="I3846" s="90"/>
      <c r="J3846" s="91"/>
    </row>
    <row r="3847">
      <c r="C3847" s="82"/>
      <c r="E3847" s="84"/>
      <c r="F3847" s="86"/>
      <c r="G3847" s="86"/>
      <c r="H3847" s="88"/>
      <c r="I3847" s="90"/>
      <c r="J3847" s="91"/>
    </row>
    <row r="3848">
      <c r="C3848" s="82"/>
      <c r="E3848" s="84"/>
      <c r="F3848" s="86"/>
      <c r="G3848" s="86"/>
      <c r="H3848" s="88"/>
      <c r="I3848" s="90"/>
      <c r="J3848" s="91"/>
    </row>
    <row r="3849">
      <c r="C3849" s="82"/>
      <c r="E3849" s="84"/>
      <c r="F3849" s="86"/>
      <c r="G3849" s="86"/>
      <c r="H3849" s="88"/>
      <c r="I3849" s="90"/>
      <c r="J3849" s="91"/>
    </row>
    <row r="3850">
      <c r="C3850" s="82"/>
      <c r="E3850" s="84"/>
      <c r="F3850" s="86"/>
      <c r="G3850" s="86"/>
      <c r="H3850" s="88"/>
      <c r="I3850" s="90"/>
      <c r="J3850" s="91"/>
    </row>
    <row r="3851">
      <c r="C3851" s="82"/>
      <c r="E3851" s="84"/>
      <c r="F3851" s="86"/>
      <c r="G3851" s="86"/>
      <c r="H3851" s="88"/>
      <c r="I3851" s="90"/>
      <c r="J3851" s="91"/>
    </row>
    <row r="3852">
      <c r="C3852" s="82"/>
      <c r="E3852" s="84"/>
      <c r="F3852" s="86"/>
      <c r="G3852" s="86"/>
      <c r="H3852" s="88"/>
      <c r="I3852" s="90"/>
      <c r="J3852" s="91"/>
    </row>
    <row r="3853">
      <c r="C3853" s="82"/>
      <c r="E3853" s="84"/>
      <c r="F3853" s="86"/>
      <c r="G3853" s="86"/>
      <c r="H3853" s="88"/>
      <c r="I3853" s="90"/>
      <c r="J3853" s="91"/>
    </row>
    <row r="3854">
      <c r="C3854" s="82"/>
      <c r="E3854" s="84"/>
      <c r="F3854" s="86"/>
      <c r="G3854" s="86"/>
      <c r="H3854" s="88"/>
      <c r="I3854" s="90"/>
      <c r="J3854" s="91"/>
    </row>
    <row r="3855">
      <c r="C3855" s="82"/>
      <c r="E3855" s="84"/>
      <c r="F3855" s="86"/>
      <c r="G3855" s="86"/>
      <c r="H3855" s="88"/>
      <c r="I3855" s="90"/>
      <c r="J3855" s="91"/>
    </row>
    <row r="3856">
      <c r="C3856" s="82"/>
      <c r="E3856" s="84"/>
      <c r="F3856" s="86"/>
      <c r="G3856" s="86"/>
      <c r="H3856" s="88"/>
      <c r="I3856" s="90"/>
      <c r="J3856" s="91"/>
    </row>
    <row r="3857">
      <c r="C3857" s="82"/>
      <c r="E3857" s="84"/>
      <c r="F3857" s="86"/>
      <c r="G3857" s="86"/>
      <c r="H3857" s="88"/>
      <c r="I3857" s="90"/>
      <c r="J3857" s="91"/>
    </row>
    <row r="3858">
      <c r="C3858" s="82"/>
      <c r="E3858" s="84"/>
      <c r="F3858" s="86"/>
      <c r="G3858" s="86"/>
      <c r="H3858" s="88"/>
      <c r="I3858" s="90"/>
      <c r="J3858" s="91"/>
    </row>
    <row r="3859">
      <c r="C3859" s="82"/>
      <c r="E3859" s="84"/>
      <c r="F3859" s="86"/>
      <c r="G3859" s="86"/>
      <c r="H3859" s="88"/>
      <c r="I3859" s="90"/>
      <c r="J3859" s="91"/>
    </row>
    <row r="3860">
      <c r="C3860" s="82"/>
      <c r="E3860" s="84"/>
      <c r="F3860" s="86"/>
      <c r="G3860" s="86"/>
      <c r="H3860" s="88"/>
      <c r="I3860" s="90"/>
      <c r="J3860" s="91"/>
    </row>
    <row r="3861">
      <c r="C3861" s="82"/>
      <c r="E3861" s="84"/>
      <c r="F3861" s="86"/>
      <c r="G3861" s="86"/>
      <c r="H3861" s="88"/>
      <c r="I3861" s="90"/>
      <c r="J3861" s="91"/>
    </row>
    <row r="3862">
      <c r="C3862" s="82"/>
      <c r="E3862" s="84"/>
      <c r="F3862" s="86"/>
      <c r="G3862" s="86"/>
      <c r="H3862" s="88"/>
      <c r="I3862" s="90"/>
      <c r="J3862" s="91"/>
    </row>
    <row r="3863">
      <c r="C3863" s="82"/>
      <c r="E3863" s="84"/>
      <c r="F3863" s="86"/>
      <c r="G3863" s="86"/>
      <c r="H3863" s="88"/>
      <c r="I3863" s="90"/>
      <c r="J3863" s="91"/>
    </row>
    <row r="3864">
      <c r="C3864" s="82"/>
      <c r="E3864" s="84"/>
      <c r="F3864" s="86"/>
      <c r="G3864" s="86"/>
      <c r="H3864" s="88"/>
      <c r="I3864" s="90"/>
      <c r="J3864" s="91"/>
    </row>
    <row r="3865">
      <c r="C3865" s="82"/>
      <c r="E3865" s="84"/>
      <c r="F3865" s="86"/>
      <c r="G3865" s="86"/>
      <c r="H3865" s="88"/>
      <c r="I3865" s="90"/>
      <c r="J3865" s="91"/>
    </row>
    <row r="3866">
      <c r="C3866" s="82"/>
      <c r="E3866" s="84"/>
      <c r="F3866" s="86"/>
      <c r="G3866" s="86"/>
      <c r="H3866" s="88"/>
      <c r="I3866" s="90"/>
      <c r="J3866" s="91"/>
    </row>
    <row r="3867">
      <c r="C3867" s="82"/>
      <c r="E3867" s="84"/>
      <c r="F3867" s="86"/>
      <c r="G3867" s="86"/>
      <c r="H3867" s="88"/>
      <c r="I3867" s="90"/>
      <c r="J3867" s="91"/>
    </row>
    <row r="3868">
      <c r="C3868" s="82"/>
      <c r="E3868" s="84"/>
      <c r="F3868" s="86"/>
      <c r="G3868" s="86"/>
      <c r="H3868" s="88"/>
      <c r="I3868" s="90"/>
      <c r="J3868" s="91"/>
    </row>
    <row r="3869">
      <c r="C3869" s="82"/>
      <c r="E3869" s="84"/>
      <c r="F3869" s="86"/>
      <c r="G3869" s="86"/>
      <c r="H3869" s="88"/>
      <c r="I3869" s="90"/>
      <c r="J3869" s="91"/>
    </row>
    <row r="3870">
      <c r="C3870" s="82"/>
      <c r="E3870" s="84"/>
      <c r="F3870" s="86"/>
      <c r="G3870" s="86"/>
      <c r="H3870" s="88"/>
      <c r="I3870" s="90"/>
      <c r="J3870" s="91"/>
    </row>
    <row r="3871">
      <c r="C3871" s="82"/>
      <c r="E3871" s="84"/>
      <c r="F3871" s="86"/>
      <c r="G3871" s="86"/>
      <c r="H3871" s="88"/>
      <c r="I3871" s="90"/>
      <c r="J3871" s="91"/>
    </row>
    <row r="3872">
      <c r="C3872" s="82"/>
      <c r="E3872" s="84"/>
      <c r="F3872" s="86"/>
      <c r="G3872" s="86"/>
      <c r="H3872" s="88"/>
      <c r="I3872" s="90"/>
      <c r="J3872" s="91"/>
    </row>
    <row r="3873">
      <c r="C3873" s="82"/>
      <c r="E3873" s="84"/>
      <c r="F3873" s="86"/>
      <c r="G3873" s="86"/>
      <c r="H3873" s="88"/>
      <c r="I3873" s="90"/>
      <c r="J3873" s="91"/>
    </row>
    <row r="3874">
      <c r="C3874" s="82"/>
      <c r="E3874" s="84"/>
      <c r="F3874" s="86"/>
      <c r="G3874" s="86"/>
      <c r="H3874" s="88"/>
      <c r="I3874" s="90"/>
      <c r="J3874" s="91"/>
    </row>
    <row r="3875">
      <c r="C3875" s="82"/>
      <c r="E3875" s="84"/>
      <c r="F3875" s="86"/>
      <c r="G3875" s="86"/>
      <c r="H3875" s="88"/>
      <c r="I3875" s="90"/>
      <c r="J3875" s="91"/>
    </row>
    <row r="3876">
      <c r="C3876" s="82"/>
      <c r="E3876" s="84"/>
      <c r="F3876" s="86"/>
      <c r="G3876" s="86"/>
      <c r="H3876" s="88"/>
      <c r="I3876" s="90"/>
      <c r="J3876" s="91"/>
    </row>
    <row r="3877">
      <c r="C3877" s="82"/>
      <c r="E3877" s="84"/>
      <c r="F3877" s="86"/>
      <c r="G3877" s="86"/>
      <c r="H3877" s="88"/>
      <c r="I3877" s="90"/>
      <c r="J3877" s="91"/>
    </row>
    <row r="3878">
      <c r="C3878" s="82"/>
      <c r="E3878" s="84"/>
      <c r="F3878" s="86"/>
      <c r="G3878" s="86"/>
      <c r="H3878" s="88"/>
      <c r="I3878" s="90"/>
      <c r="J3878" s="91"/>
    </row>
    <row r="3879">
      <c r="C3879" s="82"/>
      <c r="E3879" s="84"/>
      <c r="F3879" s="86"/>
      <c r="G3879" s="86"/>
      <c r="H3879" s="88"/>
      <c r="I3879" s="90"/>
      <c r="J3879" s="91"/>
    </row>
    <row r="3880">
      <c r="C3880" s="82"/>
      <c r="E3880" s="84"/>
      <c r="F3880" s="86"/>
      <c r="G3880" s="86"/>
      <c r="H3880" s="88"/>
      <c r="I3880" s="90"/>
      <c r="J3880" s="91"/>
    </row>
    <row r="3881">
      <c r="C3881" s="82"/>
      <c r="E3881" s="84"/>
      <c r="F3881" s="86"/>
      <c r="G3881" s="86"/>
      <c r="H3881" s="88"/>
      <c r="I3881" s="90"/>
      <c r="J3881" s="91"/>
    </row>
    <row r="3882">
      <c r="C3882" s="82"/>
      <c r="E3882" s="84"/>
      <c r="F3882" s="86"/>
      <c r="G3882" s="86"/>
      <c r="H3882" s="88"/>
      <c r="I3882" s="90"/>
      <c r="J3882" s="91"/>
    </row>
    <row r="3883">
      <c r="C3883" s="82"/>
      <c r="E3883" s="84"/>
      <c r="F3883" s="86"/>
      <c r="G3883" s="86"/>
      <c r="H3883" s="88"/>
      <c r="I3883" s="90"/>
      <c r="J3883" s="91"/>
    </row>
    <row r="3884">
      <c r="C3884" s="82"/>
      <c r="E3884" s="84"/>
      <c r="F3884" s="86"/>
      <c r="G3884" s="86"/>
      <c r="H3884" s="88"/>
      <c r="I3884" s="90"/>
      <c r="J3884" s="91"/>
    </row>
    <row r="3885">
      <c r="C3885" s="82"/>
      <c r="E3885" s="84"/>
      <c r="F3885" s="86"/>
      <c r="G3885" s="86"/>
      <c r="H3885" s="88"/>
      <c r="I3885" s="90"/>
      <c r="J3885" s="91"/>
    </row>
    <row r="3886">
      <c r="C3886" s="82"/>
      <c r="E3886" s="84"/>
      <c r="F3886" s="86"/>
      <c r="G3886" s="86"/>
      <c r="H3886" s="88"/>
      <c r="I3886" s="90"/>
      <c r="J3886" s="91"/>
    </row>
    <row r="3887">
      <c r="C3887" s="82"/>
      <c r="E3887" s="84"/>
      <c r="F3887" s="86"/>
      <c r="G3887" s="86"/>
      <c r="H3887" s="88"/>
      <c r="I3887" s="90"/>
      <c r="J3887" s="91"/>
    </row>
    <row r="3888">
      <c r="C3888" s="82"/>
      <c r="E3888" s="84"/>
      <c r="F3888" s="86"/>
      <c r="G3888" s="86"/>
      <c r="H3888" s="88"/>
      <c r="I3888" s="90"/>
      <c r="J3888" s="91"/>
    </row>
    <row r="3889">
      <c r="C3889" s="82"/>
      <c r="E3889" s="84"/>
      <c r="F3889" s="86"/>
      <c r="G3889" s="86"/>
      <c r="H3889" s="88"/>
      <c r="I3889" s="90"/>
      <c r="J3889" s="91"/>
    </row>
    <row r="3890">
      <c r="C3890" s="82"/>
      <c r="E3890" s="84"/>
      <c r="F3890" s="86"/>
      <c r="G3890" s="86"/>
      <c r="H3890" s="88"/>
      <c r="I3890" s="90"/>
      <c r="J3890" s="91"/>
    </row>
    <row r="3891">
      <c r="C3891" s="82"/>
      <c r="E3891" s="84"/>
      <c r="F3891" s="86"/>
      <c r="G3891" s="86"/>
      <c r="H3891" s="88"/>
      <c r="I3891" s="90"/>
      <c r="J3891" s="91"/>
    </row>
    <row r="3892">
      <c r="C3892" s="82"/>
      <c r="E3892" s="84"/>
      <c r="F3892" s="86"/>
      <c r="G3892" s="86"/>
      <c r="H3892" s="88"/>
      <c r="I3892" s="90"/>
      <c r="J3892" s="91"/>
    </row>
    <row r="3893">
      <c r="C3893" s="82"/>
      <c r="E3893" s="84"/>
      <c r="F3893" s="86"/>
      <c r="G3893" s="86"/>
      <c r="H3893" s="88"/>
      <c r="I3893" s="90"/>
      <c r="J3893" s="91"/>
    </row>
    <row r="3894">
      <c r="C3894" s="82"/>
      <c r="E3894" s="84"/>
      <c r="F3894" s="86"/>
      <c r="G3894" s="86"/>
      <c r="H3894" s="88"/>
      <c r="I3894" s="90"/>
      <c r="J3894" s="91"/>
    </row>
    <row r="3895">
      <c r="C3895" s="82"/>
      <c r="E3895" s="84"/>
      <c r="F3895" s="86"/>
      <c r="G3895" s="86"/>
      <c r="H3895" s="88"/>
      <c r="I3895" s="90"/>
      <c r="J3895" s="91"/>
    </row>
    <row r="3896">
      <c r="C3896" s="82"/>
      <c r="E3896" s="84"/>
      <c r="F3896" s="86"/>
      <c r="G3896" s="86"/>
      <c r="H3896" s="88"/>
      <c r="I3896" s="90"/>
      <c r="J3896" s="91"/>
    </row>
    <row r="3897">
      <c r="C3897" s="82"/>
      <c r="E3897" s="84"/>
      <c r="F3897" s="86"/>
      <c r="G3897" s="86"/>
      <c r="H3897" s="88"/>
      <c r="I3897" s="90"/>
      <c r="J3897" s="91"/>
    </row>
    <row r="3898">
      <c r="C3898" s="82"/>
      <c r="E3898" s="84"/>
      <c r="F3898" s="86"/>
      <c r="G3898" s="86"/>
      <c r="H3898" s="88"/>
      <c r="I3898" s="90"/>
      <c r="J3898" s="91"/>
    </row>
    <row r="3899">
      <c r="C3899" s="82"/>
      <c r="E3899" s="84"/>
      <c r="F3899" s="86"/>
      <c r="G3899" s="86"/>
      <c r="H3899" s="88"/>
      <c r="I3899" s="90"/>
      <c r="J3899" s="91"/>
    </row>
    <row r="3900">
      <c r="C3900" s="82"/>
      <c r="E3900" s="84"/>
      <c r="F3900" s="86"/>
      <c r="G3900" s="86"/>
      <c r="H3900" s="88"/>
      <c r="I3900" s="90"/>
      <c r="J3900" s="91"/>
    </row>
    <row r="3901">
      <c r="C3901" s="82"/>
      <c r="E3901" s="84"/>
      <c r="F3901" s="86"/>
      <c r="G3901" s="86"/>
      <c r="H3901" s="88"/>
      <c r="I3901" s="90"/>
      <c r="J3901" s="91"/>
    </row>
    <row r="3902">
      <c r="C3902" s="82"/>
      <c r="E3902" s="84"/>
      <c r="F3902" s="86"/>
      <c r="G3902" s="86"/>
      <c r="H3902" s="88"/>
      <c r="I3902" s="90"/>
      <c r="J3902" s="91"/>
    </row>
    <row r="3903">
      <c r="C3903" s="82"/>
      <c r="E3903" s="84"/>
      <c r="F3903" s="86"/>
      <c r="G3903" s="86"/>
      <c r="H3903" s="88"/>
      <c r="I3903" s="90"/>
      <c r="J3903" s="91"/>
    </row>
    <row r="3904">
      <c r="C3904" s="82"/>
      <c r="E3904" s="84"/>
      <c r="F3904" s="86"/>
      <c r="G3904" s="86"/>
      <c r="H3904" s="88"/>
      <c r="I3904" s="90"/>
      <c r="J3904" s="91"/>
    </row>
    <row r="3905">
      <c r="C3905" s="82"/>
      <c r="E3905" s="84"/>
      <c r="F3905" s="86"/>
      <c r="G3905" s="86"/>
      <c r="H3905" s="88"/>
      <c r="I3905" s="90"/>
      <c r="J3905" s="91"/>
    </row>
    <row r="3906">
      <c r="C3906" s="82"/>
      <c r="E3906" s="84"/>
      <c r="F3906" s="86"/>
      <c r="G3906" s="86"/>
      <c r="H3906" s="88"/>
      <c r="I3906" s="90"/>
      <c r="J3906" s="91"/>
    </row>
    <row r="3907">
      <c r="C3907" s="82"/>
      <c r="E3907" s="84"/>
      <c r="F3907" s="86"/>
      <c r="G3907" s="86"/>
      <c r="H3907" s="88"/>
      <c r="I3907" s="90"/>
      <c r="J3907" s="91"/>
    </row>
    <row r="3908">
      <c r="C3908" s="82"/>
      <c r="E3908" s="84"/>
      <c r="F3908" s="86"/>
      <c r="G3908" s="86"/>
      <c r="H3908" s="88"/>
      <c r="I3908" s="90"/>
      <c r="J3908" s="91"/>
    </row>
    <row r="3909">
      <c r="C3909" s="82"/>
      <c r="E3909" s="84"/>
      <c r="F3909" s="86"/>
      <c r="G3909" s="86"/>
      <c r="H3909" s="88"/>
      <c r="I3909" s="90"/>
      <c r="J3909" s="91"/>
    </row>
    <row r="3910">
      <c r="C3910" s="82"/>
      <c r="E3910" s="84"/>
      <c r="F3910" s="86"/>
      <c r="G3910" s="86"/>
      <c r="H3910" s="88"/>
      <c r="I3910" s="90"/>
      <c r="J3910" s="91"/>
    </row>
    <row r="3911">
      <c r="C3911" s="82"/>
      <c r="E3911" s="84"/>
      <c r="F3911" s="86"/>
      <c r="G3911" s="86"/>
      <c r="H3911" s="88"/>
      <c r="I3911" s="90"/>
      <c r="J3911" s="91"/>
    </row>
    <row r="3912">
      <c r="C3912" s="82"/>
      <c r="E3912" s="84"/>
      <c r="F3912" s="86"/>
      <c r="G3912" s="86"/>
      <c r="H3912" s="88"/>
      <c r="I3912" s="90"/>
      <c r="J3912" s="91"/>
    </row>
    <row r="3913">
      <c r="C3913" s="82"/>
      <c r="E3913" s="84"/>
      <c r="F3913" s="86"/>
      <c r="G3913" s="86"/>
      <c r="H3913" s="88"/>
      <c r="I3913" s="90"/>
      <c r="J3913" s="91"/>
    </row>
    <row r="3914">
      <c r="C3914" s="82"/>
      <c r="E3914" s="84"/>
      <c r="F3914" s="86"/>
      <c r="G3914" s="86"/>
      <c r="H3914" s="88"/>
      <c r="I3914" s="90"/>
      <c r="J3914" s="91"/>
    </row>
    <row r="3915">
      <c r="C3915" s="82"/>
      <c r="E3915" s="84"/>
      <c r="F3915" s="86"/>
      <c r="G3915" s="86"/>
      <c r="H3915" s="88"/>
      <c r="I3915" s="90"/>
      <c r="J3915" s="91"/>
    </row>
    <row r="3916">
      <c r="C3916" s="82"/>
      <c r="E3916" s="84"/>
      <c r="F3916" s="86"/>
      <c r="G3916" s="86"/>
      <c r="H3916" s="88"/>
      <c r="I3916" s="90"/>
      <c r="J3916" s="91"/>
    </row>
    <row r="3917">
      <c r="C3917" s="82"/>
      <c r="E3917" s="84"/>
      <c r="F3917" s="86"/>
      <c r="G3917" s="86"/>
      <c r="H3917" s="88"/>
      <c r="I3917" s="90"/>
      <c r="J3917" s="91"/>
    </row>
    <row r="3918">
      <c r="C3918" s="82"/>
      <c r="E3918" s="84"/>
      <c r="F3918" s="86"/>
      <c r="G3918" s="86"/>
      <c r="H3918" s="88"/>
      <c r="I3918" s="90"/>
      <c r="J3918" s="91"/>
    </row>
    <row r="3919">
      <c r="C3919" s="82"/>
      <c r="E3919" s="84"/>
      <c r="F3919" s="86"/>
      <c r="G3919" s="86"/>
      <c r="H3919" s="88"/>
      <c r="I3919" s="90"/>
      <c r="J3919" s="91"/>
    </row>
    <row r="3920">
      <c r="C3920" s="82"/>
      <c r="E3920" s="84"/>
      <c r="F3920" s="86"/>
      <c r="G3920" s="86"/>
      <c r="H3920" s="88"/>
      <c r="I3920" s="90"/>
      <c r="J3920" s="91"/>
    </row>
    <row r="3921">
      <c r="C3921" s="82"/>
      <c r="E3921" s="84"/>
      <c r="F3921" s="86"/>
      <c r="G3921" s="86"/>
      <c r="H3921" s="88"/>
      <c r="I3921" s="90"/>
      <c r="J3921" s="91"/>
    </row>
    <row r="3922">
      <c r="C3922" s="82"/>
      <c r="E3922" s="84"/>
      <c r="F3922" s="86"/>
      <c r="G3922" s="86"/>
      <c r="H3922" s="88"/>
      <c r="I3922" s="90"/>
      <c r="J3922" s="91"/>
    </row>
    <row r="3923">
      <c r="C3923" s="82"/>
      <c r="E3923" s="84"/>
      <c r="F3923" s="86"/>
      <c r="G3923" s="86"/>
      <c r="H3923" s="88"/>
      <c r="I3923" s="90"/>
      <c r="J3923" s="91"/>
    </row>
    <row r="3924">
      <c r="C3924" s="82"/>
      <c r="E3924" s="84"/>
      <c r="F3924" s="86"/>
      <c r="G3924" s="86"/>
      <c r="H3924" s="88"/>
      <c r="I3924" s="90"/>
      <c r="J3924" s="91"/>
    </row>
    <row r="3925">
      <c r="C3925" s="82"/>
      <c r="E3925" s="84"/>
      <c r="F3925" s="86"/>
      <c r="G3925" s="86"/>
      <c r="H3925" s="88"/>
      <c r="I3925" s="90"/>
      <c r="J3925" s="91"/>
    </row>
    <row r="3926">
      <c r="C3926" s="82"/>
      <c r="E3926" s="84"/>
      <c r="F3926" s="86"/>
      <c r="G3926" s="86"/>
      <c r="H3926" s="88"/>
      <c r="I3926" s="90"/>
      <c r="J3926" s="91"/>
    </row>
    <row r="3927">
      <c r="C3927" s="82"/>
      <c r="E3927" s="84"/>
      <c r="F3927" s="86"/>
      <c r="G3927" s="86"/>
      <c r="H3927" s="88"/>
      <c r="I3927" s="90"/>
      <c r="J3927" s="91"/>
    </row>
    <row r="3928">
      <c r="C3928" s="82"/>
      <c r="E3928" s="84"/>
      <c r="F3928" s="86"/>
      <c r="G3928" s="86"/>
      <c r="H3928" s="88"/>
      <c r="I3928" s="90"/>
      <c r="J3928" s="91"/>
    </row>
    <row r="3929">
      <c r="C3929" s="82"/>
      <c r="E3929" s="84"/>
      <c r="F3929" s="86"/>
      <c r="G3929" s="86"/>
      <c r="H3929" s="88"/>
      <c r="I3929" s="90"/>
      <c r="J3929" s="91"/>
    </row>
    <row r="3930">
      <c r="C3930" s="82"/>
      <c r="E3930" s="84"/>
      <c r="F3930" s="86"/>
      <c r="G3930" s="86"/>
      <c r="H3930" s="88"/>
      <c r="I3930" s="90"/>
      <c r="J3930" s="91"/>
    </row>
    <row r="3931">
      <c r="C3931" s="82"/>
      <c r="E3931" s="84"/>
      <c r="F3931" s="86"/>
      <c r="G3931" s="86"/>
      <c r="H3931" s="88"/>
      <c r="I3931" s="90"/>
      <c r="J3931" s="91"/>
    </row>
    <row r="3932">
      <c r="C3932" s="82"/>
      <c r="E3932" s="84"/>
      <c r="F3932" s="86"/>
      <c r="G3932" s="86"/>
      <c r="H3932" s="88"/>
      <c r="I3932" s="90"/>
      <c r="J3932" s="91"/>
    </row>
    <row r="3933">
      <c r="C3933" s="82"/>
      <c r="E3933" s="84"/>
      <c r="F3933" s="86"/>
      <c r="G3933" s="86"/>
      <c r="H3933" s="88"/>
      <c r="I3933" s="90"/>
      <c r="J3933" s="91"/>
    </row>
    <row r="3934">
      <c r="C3934" s="82"/>
      <c r="E3934" s="84"/>
      <c r="F3934" s="86"/>
      <c r="G3934" s="86"/>
      <c r="H3934" s="88"/>
      <c r="I3934" s="90"/>
      <c r="J3934" s="91"/>
    </row>
    <row r="3935">
      <c r="C3935" s="82"/>
      <c r="E3935" s="84"/>
      <c r="F3935" s="86"/>
      <c r="G3935" s="86"/>
      <c r="H3935" s="88"/>
      <c r="I3935" s="90"/>
      <c r="J3935" s="91"/>
    </row>
    <row r="3936">
      <c r="C3936" s="82"/>
      <c r="E3936" s="84"/>
      <c r="F3936" s="86"/>
      <c r="G3936" s="86"/>
      <c r="H3936" s="88"/>
      <c r="I3936" s="90"/>
      <c r="J3936" s="91"/>
    </row>
    <row r="3937">
      <c r="C3937" s="82"/>
      <c r="E3937" s="84"/>
      <c r="F3937" s="86"/>
      <c r="G3937" s="86"/>
      <c r="H3937" s="88"/>
      <c r="I3937" s="90"/>
      <c r="J3937" s="91"/>
    </row>
    <row r="3938">
      <c r="C3938" s="82"/>
      <c r="E3938" s="84"/>
      <c r="F3938" s="86"/>
      <c r="G3938" s="86"/>
      <c r="H3938" s="88"/>
      <c r="I3938" s="90"/>
      <c r="J3938" s="91"/>
    </row>
    <row r="3939">
      <c r="C3939" s="82"/>
      <c r="E3939" s="84"/>
      <c r="F3939" s="86"/>
      <c r="G3939" s="86"/>
      <c r="H3939" s="88"/>
      <c r="I3939" s="90"/>
      <c r="J3939" s="91"/>
    </row>
    <row r="3940">
      <c r="C3940" s="82"/>
      <c r="E3940" s="84"/>
      <c r="F3940" s="86"/>
      <c r="G3940" s="86"/>
      <c r="H3940" s="88"/>
      <c r="I3940" s="90"/>
      <c r="J3940" s="91"/>
    </row>
    <row r="3941">
      <c r="C3941" s="82"/>
      <c r="E3941" s="84"/>
      <c r="F3941" s="86"/>
      <c r="G3941" s="86"/>
      <c r="H3941" s="88"/>
      <c r="I3941" s="90"/>
      <c r="J3941" s="91"/>
    </row>
    <row r="3942">
      <c r="C3942" s="82"/>
      <c r="E3942" s="84"/>
      <c r="F3942" s="86"/>
      <c r="G3942" s="86"/>
      <c r="H3942" s="88"/>
      <c r="I3942" s="90"/>
      <c r="J3942" s="91"/>
    </row>
    <row r="3943">
      <c r="C3943" s="82"/>
      <c r="E3943" s="84"/>
      <c r="F3943" s="86"/>
      <c r="G3943" s="86"/>
      <c r="H3943" s="88"/>
      <c r="I3943" s="90"/>
      <c r="J3943" s="91"/>
    </row>
    <row r="3944">
      <c r="C3944" s="82"/>
      <c r="E3944" s="84"/>
      <c r="F3944" s="86"/>
      <c r="G3944" s="86"/>
      <c r="H3944" s="88"/>
      <c r="I3944" s="90"/>
      <c r="J3944" s="91"/>
    </row>
    <row r="3945">
      <c r="C3945" s="82"/>
      <c r="E3945" s="84"/>
      <c r="F3945" s="86"/>
      <c r="G3945" s="86"/>
      <c r="H3945" s="88"/>
      <c r="I3945" s="90"/>
      <c r="J3945" s="91"/>
    </row>
    <row r="3946">
      <c r="C3946" s="82"/>
      <c r="E3946" s="84"/>
      <c r="F3946" s="86"/>
      <c r="G3946" s="86"/>
      <c r="H3946" s="88"/>
      <c r="I3946" s="90"/>
      <c r="J3946" s="91"/>
    </row>
    <row r="3947">
      <c r="C3947" s="82"/>
      <c r="E3947" s="84"/>
      <c r="F3947" s="86"/>
      <c r="G3947" s="86"/>
      <c r="H3947" s="88"/>
      <c r="I3947" s="90"/>
      <c r="J3947" s="91"/>
    </row>
    <row r="3948">
      <c r="C3948" s="82"/>
      <c r="E3948" s="84"/>
      <c r="F3948" s="86"/>
      <c r="G3948" s="86"/>
      <c r="H3948" s="88"/>
      <c r="I3948" s="90"/>
      <c r="J3948" s="91"/>
    </row>
    <row r="3949">
      <c r="C3949" s="82"/>
      <c r="E3949" s="84"/>
      <c r="F3949" s="86"/>
      <c r="G3949" s="86"/>
      <c r="H3949" s="88"/>
      <c r="I3949" s="90"/>
      <c r="J3949" s="91"/>
    </row>
    <row r="3950">
      <c r="C3950" s="82"/>
      <c r="E3950" s="84"/>
      <c r="F3950" s="86"/>
      <c r="G3950" s="86"/>
      <c r="H3950" s="88"/>
      <c r="I3950" s="90"/>
      <c r="J3950" s="91"/>
    </row>
    <row r="3951">
      <c r="C3951" s="82"/>
      <c r="E3951" s="84"/>
      <c r="F3951" s="86"/>
      <c r="G3951" s="86"/>
      <c r="H3951" s="88"/>
      <c r="I3951" s="90"/>
      <c r="J3951" s="91"/>
    </row>
    <row r="3952">
      <c r="C3952" s="82"/>
      <c r="E3952" s="84"/>
      <c r="F3952" s="86"/>
      <c r="G3952" s="86"/>
      <c r="H3952" s="88"/>
      <c r="I3952" s="90"/>
      <c r="J3952" s="91"/>
    </row>
    <row r="3953">
      <c r="C3953" s="82"/>
      <c r="E3953" s="84"/>
      <c r="F3953" s="86"/>
      <c r="G3953" s="86"/>
      <c r="H3953" s="88"/>
      <c r="I3953" s="90"/>
      <c r="J3953" s="91"/>
    </row>
    <row r="3954">
      <c r="C3954" s="82"/>
      <c r="E3954" s="84"/>
      <c r="F3954" s="86"/>
      <c r="G3954" s="86"/>
      <c r="H3954" s="88"/>
      <c r="I3954" s="90"/>
      <c r="J3954" s="91"/>
    </row>
    <row r="3955">
      <c r="C3955" s="82"/>
      <c r="E3955" s="84"/>
      <c r="F3955" s="86"/>
      <c r="G3955" s="86"/>
      <c r="H3955" s="88"/>
      <c r="I3955" s="90"/>
      <c r="J3955" s="91"/>
    </row>
    <row r="3956">
      <c r="C3956" s="82"/>
      <c r="E3956" s="84"/>
      <c r="F3956" s="86"/>
      <c r="G3956" s="86"/>
      <c r="H3956" s="88"/>
      <c r="I3956" s="90"/>
      <c r="J3956" s="91"/>
    </row>
    <row r="3957">
      <c r="C3957" s="82"/>
      <c r="E3957" s="84"/>
      <c r="F3957" s="86"/>
      <c r="G3957" s="86"/>
      <c r="H3957" s="88"/>
      <c r="I3957" s="90"/>
      <c r="J3957" s="91"/>
    </row>
    <row r="3958">
      <c r="C3958" s="82"/>
      <c r="E3958" s="84"/>
      <c r="F3958" s="86"/>
      <c r="G3958" s="86"/>
      <c r="H3958" s="88"/>
      <c r="I3958" s="90"/>
      <c r="J3958" s="91"/>
    </row>
    <row r="3959">
      <c r="C3959" s="82"/>
      <c r="E3959" s="84"/>
      <c r="F3959" s="86"/>
      <c r="G3959" s="86"/>
      <c r="H3959" s="88"/>
      <c r="I3959" s="90"/>
      <c r="J3959" s="91"/>
    </row>
    <row r="3960">
      <c r="C3960" s="82"/>
      <c r="E3960" s="84"/>
      <c r="F3960" s="86"/>
      <c r="G3960" s="86"/>
      <c r="H3960" s="88"/>
      <c r="I3960" s="90"/>
      <c r="J3960" s="91"/>
    </row>
    <row r="3961">
      <c r="C3961" s="82"/>
      <c r="E3961" s="84"/>
      <c r="F3961" s="86"/>
      <c r="G3961" s="86"/>
      <c r="H3961" s="88"/>
      <c r="I3961" s="90"/>
      <c r="J3961" s="91"/>
    </row>
    <row r="3962">
      <c r="C3962" s="82"/>
      <c r="E3962" s="84"/>
      <c r="F3962" s="86"/>
      <c r="G3962" s="86"/>
      <c r="H3962" s="88"/>
      <c r="I3962" s="90"/>
      <c r="J3962" s="91"/>
    </row>
    <row r="3963">
      <c r="C3963" s="82"/>
      <c r="E3963" s="84"/>
      <c r="F3963" s="86"/>
      <c r="G3963" s="86"/>
      <c r="H3963" s="88"/>
      <c r="I3963" s="90"/>
      <c r="J3963" s="91"/>
    </row>
    <row r="3964">
      <c r="C3964" s="82"/>
      <c r="E3964" s="84"/>
      <c r="F3964" s="86"/>
      <c r="G3964" s="86"/>
      <c r="H3964" s="88"/>
      <c r="I3964" s="90"/>
      <c r="J3964" s="91"/>
    </row>
    <row r="3965">
      <c r="C3965" s="82"/>
      <c r="E3965" s="84"/>
      <c r="F3965" s="86"/>
      <c r="G3965" s="86"/>
      <c r="H3965" s="88"/>
      <c r="I3965" s="90"/>
      <c r="J3965" s="91"/>
    </row>
    <row r="3966">
      <c r="C3966" s="82"/>
      <c r="E3966" s="84"/>
      <c r="F3966" s="86"/>
      <c r="G3966" s="86"/>
      <c r="H3966" s="88"/>
      <c r="I3966" s="90"/>
      <c r="J3966" s="91"/>
    </row>
    <row r="3967">
      <c r="C3967" s="82"/>
      <c r="E3967" s="84"/>
      <c r="F3967" s="86"/>
      <c r="G3967" s="86"/>
      <c r="H3967" s="88"/>
      <c r="I3967" s="90"/>
      <c r="J3967" s="91"/>
    </row>
    <row r="3968">
      <c r="C3968" s="82"/>
      <c r="E3968" s="84"/>
      <c r="F3968" s="86"/>
      <c r="G3968" s="86"/>
      <c r="H3968" s="88"/>
      <c r="I3968" s="90"/>
      <c r="J3968" s="91"/>
    </row>
    <row r="3969">
      <c r="C3969" s="82"/>
      <c r="E3969" s="84"/>
      <c r="F3969" s="86"/>
      <c r="G3969" s="86"/>
      <c r="H3969" s="88"/>
      <c r="I3969" s="90"/>
      <c r="J3969" s="91"/>
    </row>
    <row r="3970">
      <c r="C3970" s="82"/>
      <c r="E3970" s="84"/>
      <c r="F3970" s="86"/>
      <c r="G3970" s="86"/>
      <c r="H3970" s="88"/>
      <c r="I3970" s="90"/>
      <c r="J3970" s="91"/>
    </row>
    <row r="3971">
      <c r="C3971" s="82"/>
      <c r="E3971" s="84"/>
      <c r="F3971" s="86"/>
      <c r="G3971" s="86"/>
      <c r="H3971" s="88"/>
      <c r="I3971" s="90"/>
      <c r="J3971" s="91"/>
    </row>
    <row r="3972">
      <c r="C3972" s="82"/>
      <c r="E3972" s="84"/>
      <c r="F3972" s="86"/>
      <c r="G3972" s="86"/>
      <c r="H3972" s="88"/>
      <c r="I3972" s="90"/>
      <c r="J3972" s="91"/>
    </row>
    <row r="3973">
      <c r="C3973" s="82"/>
      <c r="E3973" s="84"/>
      <c r="F3973" s="86"/>
      <c r="G3973" s="86"/>
      <c r="H3973" s="88"/>
      <c r="I3973" s="90"/>
      <c r="J3973" s="91"/>
    </row>
    <row r="3974">
      <c r="C3974" s="82"/>
      <c r="E3974" s="84"/>
      <c r="F3974" s="86"/>
      <c r="G3974" s="86"/>
      <c r="H3974" s="88"/>
      <c r="I3974" s="90"/>
      <c r="J3974" s="91"/>
    </row>
    <row r="3975">
      <c r="C3975" s="82"/>
      <c r="E3975" s="84"/>
      <c r="F3975" s="86"/>
      <c r="G3975" s="86"/>
      <c r="H3975" s="88"/>
      <c r="I3975" s="90"/>
      <c r="J3975" s="91"/>
    </row>
    <row r="3976">
      <c r="C3976" s="82"/>
      <c r="E3976" s="84"/>
      <c r="F3976" s="86"/>
      <c r="G3976" s="86"/>
      <c r="H3976" s="88"/>
      <c r="I3976" s="90"/>
      <c r="J3976" s="91"/>
    </row>
    <row r="3977">
      <c r="C3977" s="82"/>
      <c r="E3977" s="84"/>
      <c r="F3977" s="86"/>
      <c r="G3977" s="86"/>
      <c r="H3977" s="88"/>
      <c r="I3977" s="90"/>
      <c r="J3977" s="91"/>
    </row>
    <row r="3978">
      <c r="C3978" s="82"/>
      <c r="E3978" s="84"/>
      <c r="F3978" s="86"/>
      <c r="G3978" s="86"/>
      <c r="H3978" s="88"/>
      <c r="I3978" s="90"/>
      <c r="J3978" s="91"/>
    </row>
    <row r="3979">
      <c r="C3979" s="82"/>
      <c r="E3979" s="84"/>
      <c r="F3979" s="86"/>
      <c r="G3979" s="86"/>
      <c r="H3979" s="88"/>
      <c r="I3979" s="90"/>
      <c r="J3979" s="91"/>
    </row>
    <row r="3980">
      <c r="C3980" s="82"/>
      <c r="E3980" s="84"/>
      <c r="F3980" s="86"/>
      <c r="G3980" s="86"/>
      <c r="H3980" s="88"/>
      <c r="I3980" s="90"/>
      <c r="J3980" s="91"/>
    </row>
    <row r="3981">
      <c r="C3981" s="82"/>
      <c r="E3981" s="84"/>
      <c r="F3981" s="86"/>
      <c r="G3981" s="86"/>
      <c r="H3981" s="88"/>
      <c r="I3981" s="90"/>
      <c r="J3981" s="91"/>
    </row>
    <row r="3982">
      <c r="C3982" s="82"/>
      <c r="E3982" s="84"/>
      <c r="F3982" s="86"/>
      <c r="G3982" s="86"/>
      <c r="H3982" s="88"/>
      <c r="I3982" s="90"/>
      <c r="J3982" s="91"/>
    </row>
    <row r="3983">
      <c r="C3983" s="82"/>
      <c r="E3983" s="84"/>
      <c r="F3983" s="86"/>
      <c r="G3983" s="86"/>
      <c r="H3983" s="88"/>
      <c r="I3983" s="90"/>
      <c r="J3983" s="91"/>
    </row>
    <row r="3984">
      <c r="C3984" s="82"/>
      <c r="E3984" s="84"/>
      <c r="F3984" s="86"/>
      <c r="G3984" s="86"/>
      <c r="H3984" s="88"/>
      <c r="I3984" s="90"/>
      <c r="J3984" s="91"/>
    </row>
    <row r="3985">
      <c r="C3985" s="82"/>
      <c r="E3985" s="84"/>
      <c r="F3985" s="86"/>
      <c r="G3985" s="86"/>
      <c r="H3985" s="88"/>
      <c r="I3985" s="90"/>
      <c r="J3985" s="91"/>
    </row>
    <row r="3986">
      <c r="C3986" s="82"/>
      <c r="E3986" s="84"/>
      <c r="F3986" s="86"/>
      <c r="G3986" s="86"/>
      <c r="H3986" s="88"/>
      <c r="I3986" s="90"/>
      <c r="J3986" s="91"/>
    </row>
    <row r="3987">
      <c r="C3987" s="82"/>
      <c r="E3987" s="84"/>
      <c r="F3987" s="86"/>
      <c r="G3987" s="86"/>
      <c r="H3987" s="88"/>
      <c r="I3987" s="90"/>
      <c r="J3987" s="91"/>
    </row>
    <row r="3988">
      <c r="C3988" s="82"/>
      <c r="E3988" s="84"/>
      <c r="F3988" s="86"/>
      <c r="G3988" s="86"/>
      <c r="H3988" s="88"/>
      <c r="I3988" s="90"/>
      <c r="J3988" s="91"/>
    </row>
    <row r="3989">
      <c r="C3989" s="82"/>
      <c r="E3989" s="84"/>
      <c r="F3989" s="86"/>
      <c r="G3989" s="86"/>
      <c r="H3989" s="88"/>
      <c r="I3989" s="90"/>
      <c r="J3989" s="91"/>
    </row>
    <row r="3990">
      <c r="C3990" s="82"/>
      <c r="E3990" s="84"/>
      <c r="F3990" s="86"/>
      <c r="G3990" s="86"/>
      <c r="H3990" s="88"/>
      <c r="I3990" s="90"/>
      <c r="J3990" s="91"/>
    </row>
    <row r="3991">
      <c r="C3991" s="82"/>
      <c r="E3991" s="84"/>
      <c r="F3991" s="86"/>
      <c r="G3991" s="86"/>
      <c r="H3991" s="88"/>
      <c r="I3991" s="90"/>
      <c r="J3991" s="91"/>
    </row>
    <row r="3992">
      <c r="C3992" s="82"/>
      <c r="E3992" s="84"/>
      <c r="F3992" s="86"/>
      <c r="G3992" s="86"/>
      <c r="H3992" s="88"/>
      <c r="I3992" s="90"/>
      <c r="J3992" s="91"/>
    </row>
    <row r="3993">
      <c r="C3993" s="82"/>
      <c r="E3993" s="84"/>
      <c r="F3993" s="86"/>
      <c r="G3993" s="86"/>
      <c r="H3993" s="88"/>
      <c r="I3993" s="90"/>
      <c r="J3993" s="91"/>
    </row>
    <row r="3994">
      <c r="C3994" s="82"/>
      <c r="E3994" s="84"/>
      <c r="F3994" s="86"/>
      <c r="G3994" s="86"/>
      <c r="H3994" s="88"/>
      <c r="I3994" s="90"/>
      <c r="J3994" s="91"/>
    </row>
    <row r="3995">
      <c r="C3995" s="82"/>
      <c r="E3995" s="84"/>
      <c r="F3995" s="86"/>
      <c r="G3995" s="86"/>
      <c r="H3995" s="88"/>
      <c r="I3995" s="90"/>
      <c r="J3995" s="91"/>
    </row>
    <row r="3996">
      <c r="C3996" s="82"/>
      <c r="E3996" s="84"/>
      <c r="F3996" s="86"/>
      <c r="G3996" s="86"/>
      <c r="H3996" s="88"/>
      <c r="I3996" s="90"/>
      <c r="J3996" s="91"/>
    </row>
    <row r="3997">
      <c r="C3997" s="82"/>
      <c r="E3997" s="84"/>
      <c r="F3997" s="86"/>
      <c r="G3997" s="86"/>
      <c r="H3997" s="88"/>
      <c r="I3997" s="90"/>
      <c r="J3997" s="91"/>
    </row>
    <row r="3998">
      <c r="C3998" s="82"/>
      <c r="E3998" s="84"/>
      <c r="F3998" s="86"/>
      <c r="G3998" s="86"/>
      <c r="H3998" s="88"/>
      <c r="I3998" s="90"/>
      <c r="J3998" s="91"/>
    </row>
    <row r="3999">
      <c r="C3999" s="82"/>
      <c r="E3999" s="84"/>
      <c r="F3999" s="86"/>
      <c r="G3999" s="86"/>
      <c r="H3999" s="88"/>
      <c r="I3999" s="90"/>
      <c r="J3999" s="91"/>
    </row>
    <row r="4000">
      <c r="C4000" s="82"/>
      <c r="E4000" s="84"/>
      <c r="F4000" s="86"/>
      <c r="G4000" s="86"/>
      <c r="H4000" s="88"/>
      <c r="I4000" s="90"/>
      <c r="J4000" s="91"/>
    </row>
    <row r="4001">
      <c r="C4001" s="82"/>
      <c r="E4001" s="84"/>
      <c r="F4001" s="86"/>
      <c r="G4001" s="86"/>
      <c r="H4001" s="88"/>
      <c r="I4001" s="90"/>
      <c r="J4001" s="91"/>
    </row>
    <row r="4002">
      <c r="C4002" s="82"/>
      <c r="E4002" s="84"/>
      <c r="F4002" s="86"/>
      <c r="G4002" s="86"/>
      <c r="H4002" s="88"/>
      <c r="I4002" s="90"/>
      <c r="J4002" s="91"/>
    </row>
    <row r="4003">
      <c r="C4003" s="82"/>
      <c r="E4003" s="84"/>
      <c r="F4003" s="86"/>
      <c r="G4003" s="86"/>
      <c r="H4003" s="88"/>
      <c r="I4003" s="90"/>
      <c r="J4003" s="91"/>
    </row>
    <row r="4004">
      <c r="C4004" s="82"/>
      <c r="E4004" s="84"/>
      <c r="F4004" s="86"/>
      <c r="G4004" s="86"/>
      <c r="H4004" s="88"/>
      <c r="I4004" s="90"/>
      <c r="J4004" s="91"/>
    </row>
    <row r="4005">
      <c r="C4005" s="82"/>
      <c r="E4005" s="84"/>
      <c r="F4005" s="86"/>
      <c r="G4005" s="86"/>
      <c r="H4005" s="88"/>
      <c r="I4005" s="90"/>
      <c r="J4005" s="91"/>
    </row>
    <row r="4006">
      <c r="C4006" s="82"/>
      <c r="E4006" s="84"/>
      <c r="F4006" s="86"/>
      <c r="G4006" s="86"/>
      <c r="H4006" s="88"/>
      <c r="I4006" s="90"/>
      <c r="J4006" s="91"/>
    </row>
    <row r="4007">
      <c r="C4007" s="82"/>
      <c r="E4007" s="84"/>
      <c r="F4007" s="84"/>
      <c r="G4007" s="84"/>
      <c r="I4007" s="237"/>
      <c r="J4007" s="238"/>
    </row>
    <row r="4008">
      <c r="C4008" s="82"/>
      <c r="E4008" s="84"/>
      <c r="F4008" s="84"/>
      <c r="G4008" s="84"/>
      <c r="I4008" s="237"/>
      <c r="J4008" s="238"/>
    </row>
    <row r="4009">
      <c r="C4009" s="82"/>
      <c r="E4009" s="84"/>
      <c r="F4009" s="84"/>
      <c r="G4009" s="84"/>
      <c r="I4009" s="237"/>
      <c r="J4009" s="238"/>
    </row>
    <row r="4010">
      <c r="C4010" s="82"/>
      <c r="E4010" s="84"/>
      <c r="F4010" s="84"/>
      <c r="G4010" s="84"/>
      <c r="I4010" s="237"/>
      <c r="J4010" s="238"/>
    </row>
    <row r="4011">
      <c r="C4011" s="82"/>
      <c r="E4011" s="84"/>
      <c r="F4011" s="84"/>
      <c r="G4011" s="84"/>
      <c r="I4011" s="237"/>
      <c r="J4011" s="238"/>
    </row>
    <row r="4012">
      <c r="C4012" s="82"/>
      <c r="E4012" s="84"/>
      <c r="F4012" s="84"/>
      <c r="G4012" s="84"/>
      <c r="I4012" s="237"/>
      <c r="J4012" s="238"/>
    </row>
    <row r="4013">
      <c r="C4013" s="82"/>
      <c r="E4013" s="84"/>
      <c r="F4013" s="84"/>
      <c r="G4013" s="84"/>
      <c r="I4013" s="237"/>
      <c r="J4013" s="238"/>
    </row>
    <row r="4014">
      <c r="C4014" s="82"/>
      <c r="E4014" s="84"/>
      <c r="F4014" s="84"/>
      <c r="G4014" s="84"/>
      <c r="I4014" s="237"/>
      <c r="J4014" s="238"/>
    </row>
    <row r="4015">
      <c r="C4015" s="82"/>
      <c r="E4015" s="84"/>
      <c r="F4015" s="84"/>
      <c r="G4015" s="84"/>
      <c r="I4015" s="237"/>
      <c r="J4015" s="238"/>
    </row>
    <row r="4016">
      <c r="C4016" s="82"/>
      <c r="E4016" s="84"/>
      <c r="F4016" s="84"/>
      <c r="G4016" s="84"/>
      <c r="I4016" s="237"/>
      <c r="J4016" s="238"/>
    </row>
    <row r="4017">
      <c r="C4017" s="82"/>
      <c r="E4017" s="84"/>
      <c r="F4017" s="84"/>
      <c r="G4017" s="84"/>
      <c r="I4017" s="237"/>
      <c r="J4017" s="238"/>
    </row>
    <row r="4018">
      <c r="C4018" s="82"/>
      <c r="E4018" s="84"/>
      <c r="F4018" s="84"/>
      <c r="G4018" s="84"/>
      <c r="I4018" s="237"/>
      <c r="J4018" s="238"/>
    </row>
    <row r="4019">
      <c r="C4019" s="82"/>
      <c r="E4019" s="84"/>
      <c r="F4019" s="84"/>
      <c r="G4019" s="84"/>
      <c r="I4019" s="237"/>
      <c r="J4019" s="238"/>
    </row>
    <row r="4020">
      <c r="C4020" s="82"/>
      <c r="E4020" s="84"/>
      <c r="F4020" s="84"/>
      <c r="G4020" s="84"/>
      <c r="I4020" s="237"/>
      <c r="J4020" s="238"/>
    </row>
    <row r="4021">
      <c r="C4021" s="82"/>
      <c r="E4021" s="84"/>
      <c r="F4021" s="84"/>
      <c r="G4021" s="84"/>
      <c r="I4021" s="237"/>
      <c r="J4021" s="238"/>
    </row>
    <row r="4022">
      <c r="C4022" s="82"/>
      <c r="E4022" s="84"/>
      <c r="F4022" s="84"/>
      <c r="G4022" s="84"/>
      <c r="I4022" s="237"/>
      <c r="J4022" s="238"/>
    </row>
    <row r="4023">
      <c r="C4023" s="82"/>
      <c r="E4023" s="84"/>
      <c r="F4023" s="84"/>
      <c r="G4023" s="84"/>
      <c r="I4023" s="237"/>
      <c r="J4023" s="238"/>
    </row>
    <row r="4024">
      <c r="C4024" s="82"/>
      <c r="E4024" s="84"/>
      <c r="F4024" s="84"/>
      <c r="G4024" s="84"/>
      <c r="I4024" s="237"/>
      <c r="J4024" s="238"/>
    </row>
    <row r="4025">
      <c r="C4025" s="82"/>
      <c r="E4025" s="84"/>
      <c r="F4025" s="84"/>
      <c r="G4025" s="84"/>
      <c r="I4025" s="237"/>
      <c r="J4025" s="238"/>
    </row>
    <row r="4026">
      <c r="C4026" s="82"/>
      <c r="E4026" s="84"/>
      <c r="F4026" s="84"/>
      <c r="G4026" s="84"/>
      <c r="I4026" s="237"/>
      <c r="J4026" s="238"/>
    </row>
    <row r="4027">
      <c r="C4027" s="82"/>
      <c r="E4027" s="84"/>
      <c r="F4027" s="84"/>
      <c r="G4027" s="84"/>
      <c r="I4027" s="237"/>
      <c r="J4027" s="238"/>
    </row>
    <row r="4028">
      <c r="C4028" s="82"/>
      <c r="E4028" s="84"/>
      <c r="F4028" s="84"/>
      <c r="G4028" s="84"/>
      <c r="I4028" s="237"/>
      <c r="J4028" s="238"/>
    </row>
    <row r="4029">
      <c r="C4029" s="82"/>
      <c r="E4029" s="84"/>
      <c r="F4029" s="84"/>
      <c r="G4029" s="84"/>
      <c r="I4029" s="237"/>
      <c r="J4029" s="238"/>
    </row>
    <row r="4030">
      <c r="C4030" s="82"/>
      <c r="E4030" s="84"/>
      <c r="F4030" s="84"/>
      <c r="G4030" s="84"/>
      <c r="I4030" s="237"/>
      <c r="J4030" s="238"/>
    </row>
    <row r="4031">
      <c r="C4031" s="82"/>
      <c r="E4031" s="84"/>
      <c r="F4031" s="84"/>
      <c r="G4031" s="84"/>
      <c r="I4031" s="237"/>
      <c r="J4031" s="238"/>
    </row>
    <row r="4032">
      <c r="C4032" s="82"/>
      <c r="E4032" s="84"/>
      <c r="F4032" s="84"/>
      <c r="G4032" s="84"/>
      <c r="I4032" s="237"/>
      <c r="J4032" s="238"/>
    </row>
    <row r="4033">
      <c r="C4033" s="82"/>
      <c r="E4033" s="84"/>
      <c r="F4033" s="84"/>
      <c r="G4033" s="84"/>
      <c r="I4033" s="237"/>
      <c r="J4033" s="238"/>
    </row>
    <row r="4034">
      <c r="C4034" s="82"/>
      <c r="E4034" s="84"/>
      <c r="F4034" s="84"/>
      <c r="G4034" s="84"/>
      <c r="I4034" s="237"/>
      <c r="J4034" s="238"/>
    </row>
    <row r="4035">
      <c r="C4035" s="82"/>
      <c r="E4035" s="84"/>
      <c r="F4035" s="84"/>
      <c r="G4035" s="84"/>
      <c r="I4035" s="237"/>
      <c r="J4035" s="238"/>
    </row>
    <row r="4036">
      <c r="C4036" s="82"/>
      <c r="E4036" s="84"/>
      <c r="F4036" s="84"/>
      <c r="G4036" s="84"/>
      <c r="I4036" s="237"/>
      <c r="J4036" s="238"/>
    </row>
    <row r="4037">
      <c r="C4037" s="82"/>
      <c r="E4037" s="84"/>
      <c r="F4037" s="84"/>
      <c r="G4037" s="84"/>
      <c r="I4037" s="237"/>
      <c r="J4037" s="238"/>
    </row>
    <row r="4038">
      <c r="C4038" s="82"/>
      <c r="E4038" s="84"/>
      <c r="F4038" s="84"/>
      <c r="G4038" s="84"/>
      <c r="I4038" s="237"/>
      <c r="J4038" s="238"/>
    </row>
    <row r="4039">
      <c r="C4039" s="82"/>
      <c r="E4039" s="84"/>
      <c r="F4039" s="84"/>
      <c r="G4039" s="84"/>
      <c r="I4039" s="237"/>
      <c r="J4039" s="238"/>
    </row>
    <row r="4040">
      <c r="C4040" s="82"/>
      <c r="E4040" s="84"/>
      <c r="F4040" s="84"/>
      <c r="G4040" s="84"/>
      <c r="I4040" s="237"/>
      <c r="J4040" s="238"/>
    </row>
    <row r="4041">
      <c r="C4041" s="82"/>
      <c r="E4041" s="84"/>
      <c r="F4041" s="84"/>
      <c r="G4041" s="84"/>
      <c r="I4041" s="237"/>
      <c r="J4041" s="238"/>
    </row>
    <row r="4042">
      <c r="C4042" s="82"/>
      <c r="E4042" s="84"/>
      <c r="F4042" s="84"/>
      <c r="G4042" s="84"/>
      <c r="I4042" s="237"/>
      <c r="J4042" s="238"/>
    </row>
    <row r="4043">
      <c r="C4043" s="82"/>
      <c r="E4043" s="84"/>
      <c r="F4043" s="84"/>
      <c r="G4043" s="84"/>
      <c r="I4043" s="237"/>
      <c r="J4043" s="238"/>
    </row>
    <row r="4044">
      <c r="C4044" s="82"/>
      <c r="E4044" s="84"/>
      <c r="F4044" s="84"/>
      <c r="G4044" s="84"/>
      <c r="I4044" s="237"/>
      <c r="J4044" s="238"/>
    </row>
    <row r="4045">
      <c r="C4045" s="82"/>
      <c r="E4045" s="84"/>
      <c r="F4045" s="84"/>
      <c r="G4045" s="84"/>
      <c r="I4045" s="237"/>
      <c r="J4045" s="238"/>
    </row>
    <row r="4046">
      <c r="C4046" s="82"/>
      <c r="E4046" s="84"/>
      <c r="F4046" s="84"/>
      <c r="G4046" s="84"/>
      <c r="I4046" s="237"/>
      <c r="J4046" s="238"/>
    </row>
    <row r="4047">
      <c r="C4047" s="82"/>
      <c r="E4047" s="84"/>
      <c r="F4047" s="84"/>
      <c r="G4047" s="84"/>
      <c r="I4047" s="237"/>
      <c r="J4047" s="238"/>
    </row>
    <row r="4048">
      <c r="C4048" s="82"/>
      <c r="E4048" s="84"/>
      <c r="F4048" s="84"/>
      <c r="G4048" s="84"/>
      <c r="I4048" s="237"/>
      <c r="J4048" s="238"/>
    </row>
    <row r="4049">
      <c r="C4049" s="82"/>
      <c r="E4049" s="84"/>
      <c r="F4049" s="84"/>
      <c r="G4049" s="84"/>
      <c r="I4049" s="237"/>
      <c r="J4049" s="238"/>
    </row>
    <row r="4050">
      <c r="C4050" s="82"/>
      <c r="E4050" s="84"/>
      <c r="F4050" s="84"/>
      <c r="G4050" s="84"/>
      <c r="I4050" s="237"/>
      <c r="J4050" s="238"/>
    </row>
    <row r="4051">
      <c r="C4051" s="82"/>
      <c r="E4051" s="84"/>
      <c r="F4051" s="84"/>
      <c r="G4051" s="84"/>
      <c r="I4051" s="237"/>
      <c r="J4051" s="238"/>
    </row>
    <row r="4052">
      <c r="C4052" s="82"/>
      <c r="E4052" s="84"/>
      <c r="F4052" s="84"/>
      <c r="G4052" s="84"/>
      <c r="I4052" s="237"/>
      <c r="J4052" s="238"/>
    </row>
    <row r="4053">
      <c r="C4053" s="82"/>
      <c r="E4053" s="84"/>
      <c r="F4053" s="84"/>
      <c r="G4053" s="84"/>
      <c r="I4053" s="237"/>
      <c r="J4053" s="238"/>
    </row>
    <row r="4054">
      <c r="C4054" s="82"/>
      <c r="E4054" s="84"/>
      <c r="F4054" s="84"/>
      <c r="G4054" s="84"/>
      <c r="I4054" s="237"/>
      <c r="J4054" s="238"/>
    </row>
    <row r="4055">
      <c r="C4055" s="82"/>
      <c r="E4055" s="84"/>
      <c r="F4055" s="84"/>
      <c r="G4055" s="84"/>
      <c r="I4055" s="237"/>
      <c r="J4055" s="238"/>
    </row>
    <row r="4056">
      <c r="C4056" s="82"/>
      <c r="E4056" s="84"/>
      <c r="F4056" s="84"/>
      <c r="G4056" s="84"/>
      <c r="I4056" s="237"/>
      <c r="J4056" s="238"/>
    </row>
    <row r="4057">
      <c r="C4057" s="82"/>
      <c r="E4057" s="84"/>
      <c r="F4057" s="84"/>
      <c r="G4057" s="84"/>
      <c r="I4057" s="237"/>
      <c r="J4057" s="238"/>
    </row>
    <row r="4058">
      <c r="C4058" s="82"/>
      <c r="E4058" s="84"/>
      <c r="F4058" s="84"/>
      <c r="G4058" s="84"/>
      <c r="I4058" s="237"/>
      <c r="J4058" s="238"/>
    </row>
    <row r="4059">
      <c r="C4059" s="82"/>
      <c r="E4059" s="84"/>
      <c r="F4059" s="84"/>
      <c r="G4059" s="84"/>
      <c r="I4059" s="237"/>
      <c r="J4059" s="238"/>
    </row>
    <row r="4060">
      <c r="C4060" s="82"/>
      <c r="E4060" s="84"/>
      <c r="F4060" s="84"/>
      <c r="G4060" s="84"/>
      <c r="I4060" s="237"/>
      <c r="J4060" s="238"/>
    </row>
    <row r="4061">
      <c r="C4061" s="82"/>
      <c r="E4061" s="84"/>
      <c r="F4061" s="84"/>
      <c r="G4061" s="84"/>
      <c r="I4061" s="237"/>
      <c r="J4061" s="238"/>
    </row>
    <row r="4062">
      <c r="C4062" s="82"/>
      <c r="E4062" s="84"/>
      <c r="F4062" s="84"/>
      <c r="G4062" s="84"/>
      <c r="I4062" s="237"/>
      <c r="J4062" s="238"/>
    </row>
    <row r="4063">
      <c r="C4063" s="82"/>
      <c r="E4063" s="84"/>
      <c r="F4063" s="84"/>
      <c r="G4063" s="84"/>
      <c r="I4063" s="237"/>
      <c r="J4063" s="238"/>
    </row>
    <row r="4064">
      <c r="C4064" s="82"/>
      <c r="E4064" s="84"/>
      <c r="F4064" s="84"/>
      <c r="G4064" s="84"/>
      <c r="I4064" s="237"/>
      <c r="J4064" s="238"/>
    </row>
    <row r="4065">
      <c r="C4065" s="82"/>
      <c r="E4065" s="84"/>
      <c r="F4065" s="84"/>
      <c r="G4065" s="84"/>
      <c r="I4065" s="237"/>
      <c r="J4065" s="238"/>
    </row>
    <row r="4066">
      <c r="C4066" s="82"/>
      <c r="E4066" s="84"/>
      <c r="F4066" s="84"/>
      <c r="G4066" s="84"/>
      <c r="I4066" s="237"/>
      <c r="J4066" s="238"/>
    </row>
    <row r="4067">
      <c r="C4067" s="82"/>
      <c r="E4067" s="84"/>
      <c r="F4067" s="84"/>
      <c r="G4067" s="84"/>
      <c r="I4067" s="237"/>
      <c r="J4067" s="238"/>
    </row>
    <row r="4068">
      <c r="C4068" s="82"/>
      <c r="E4068" s="84"/>
      <c r="F4068" s="84"/>
      <c r="G4068" s="84"/>
      <c r="I4068" s="237"/>
      <c r="J4068" s="238"/>
    </row>
    <row r="4069">
      <c r="C4069" s="82"/>
      <c r="E4069" s="84"/>
      <c r="F4069" s="84"/>
      <c r="G4069" s="84"/>
      <c r="I4069" s="237"/>
      <c r="J4069" s="238"/>
    </row>
    <row r="4070">
      <c r="C4070" s="82"/>
      <c r="E4070" s="84"/>
      <c r="F4070" s="84"/>
      <c r="G4070" s="84"/>
      <c r="I4070" s="237"/>
      <c r="J4070" s="238"/>
    </row>
    <row r="4071">
      <c r="C4071" s="82"/>
      <c r="E4071" s="84"/>
      <c r="F4071" s="84"/>
      <c r="G4071" s="84"/>
      <c r="I4071" s="237"/>
      <c r="J4071" s="238"/>
    </row>
    <row r="4072">
      <c r="C4072" s="82"/>
      <c r="E4072" s="84"/>
      <c r="F4072" s="84"/>
      <c r="G4072" s="84"/>
      <c r="I4072" s="237"/>
      <c r="J4072" s="238"/>
    </row>
    <row r="4073">
      <c r="C4073" s="82"/>
      <c r="E4073" s="84"/>
      <c r="F4073" s="84"/>
      <c r="G4073" s="84"/>
      <c r="I4073" s="237"/>
      <c r="J4073" s="238"/>
    </row>
    <row r="4074">
      <c r="C4074" s="82"/>
      <c r="E4074" s="84"/>
      <c r="F4074" s="84"/>
      <c r="G4074" s="84"/>
      <c r="I4074" s="237"/>
      <c r="J4074" s="238"/>
    </row>
    <row r="4075">
      <c r="C4075" s="82"/>
      <c r="E4075" s="84"/>
      <c r="F4075" s="84"/>
      <c r="G4075" s="84"/>
      <c r="I4075" s="237"/>
      <c r="J4075" s="238"/>
    </row>
    <row r="4076">
      <c r="C4076" s="82"/>
      <c r="E4076" s="84"/>
      <c r="F4076" s="84"/>
      <c r="G4076" s="84"/>
      <c r="I4076" s="237"/>
      <c r="J4076" s="238"/>
    </row>
    <row r="4077">
      <c r="C4077" s="82"/>
      <c r="E4077" s="84"/>
      <c r="F4077" s="84"/>
      <c r="G4077" s="84"/>
      <c r="I4077" s="237"/>
      <c r="J4077" s="238"/>
    </row>
    <row r="4078">
      <c r="C4078" s="82"/>
      <c r="E4078" s="84"/>
      <c r="F4078" s="84"/>
      <c r="G4078" s="84"/>
      <c r="I4078" s="237"/>
      <c r="J4078" s="238"/>
    </row>
    <row r="4079">
      <c r="C4079" s="82"/>
      <c r="E4079" s="84"/>
      <c r="F4079" s="84"/>
      <c r="G4079" s="84"/>
      <c r="I4079" s="237"/>
      <c r="J4079" s="238"/>
    </row>
    <row r="4080">
      <c r="C4080" s="82"/>
      <c r="E4080" s="84"/>
      <c r="F4080" s="84"/>
      <c r="G4080" s="84"/>
      <c r="I4080" s="237"/>
      <c r="J4080" s="238"/>
    </row>
    <row r="4081">
      <c r="C4081" s="82"/>
      <c r="E4081" s="84"/>
      <c r="F4081" s="84"/>
      <c r="G4081" s="84"/>
      <c r="I4081" s="237"/>
      <c r="J4081" s="238"/>
    </row>
    <row r="4082">
      <c r="C4082" s="82"/>
      <c r="E4082" s="84"/>
      <c r="F4082" s="84"/>
      <c r="G4082" s="84"/>
      <c r="I4082" s="237"/>
      <c r="J4082" s="238"/>
    </row>
    <row r="4083">
      <c r="C4083" s="82"/>
      <c r="E4083" s="84"/>
      <c r="F4083" s="84"/>
      <c r="G4083" s="84"/>
      <c r="I4083" s="237"/>
      <c r="J4083" s="238"/>
    </row>
    <row r="4084">
      <c r="C4084" s="82"/>
      <c r="E4084" s="84"/>
      <c r="F4084" s="84"/>
      <c r="G4084" s="84"/>
      <c r="I4084" s="237"/>
      <c r="J4084" s="238"/>
    </row>
    <row r="4085">
      <c r="C4085" s="82"/>
      <c r="E4085" s="84"/>
      <c r="F4085" s="84"/>
      <c r="G4085" s="84"/>
      <c r="I4085" s="237"/>
      <c r="J4085" s="238"/>
    </row>
    <row r="4086">
      <c r="C4086" s="82"/>
      <c r="E4086" s="84"/>
      <c r="F4086" s="84"/>
      <c r="G4086" s="84"/>
      <c r="I4086" s="237"/>
      <c r="J4086" s="238"/>
    </row>
    <row r="4087">
      <c r="C4087" s="82"/>
      <c r="E4087" s="84"/>
      <c r="F4087" s="84"/>
      <c r="G4087" s="84"/>
      <c r="I4087" s="237"/>
      <c r="J4087" s="238"/>
    </row>
    <row r="4088">
      <c r="C4088" s="82"/>
      <c r="E4088" s="84"/>
      <c r="F4088" s="84"/>
      <c r="G4088" s="84"/>
      <c r="I4088" s="237"/>
      <c r="J4088" s="238"/>
    </row>
    <row r="4089">
      <c r="C4089" s="82"/>
      <c r="E4089" s="84"/>
      <c r="F4089" s="84"/>
      <c r="G4089" s="84"/>
      <c r="I4089" s="237"/>
      <c r="J4089" s="238"/>
    </row>
    <row r="4090">
      <c r="C4090" s="82"/>
      <c r="E4090" s="84"/>
      <c r="F4090" s="84"/>
      <c r="G4090" s="84"/>
      <c r="I4090" s="237"/>
      <c r="J4090" s="238"/>
    </row>
    <row r="4091">
      <c r="C4091" s="82"/>
      <c r="E4091" s="84"/>
      <c r="F4091" s="84"/>
      <c r="G4091" s="84"/>
      <c r="I4091" s="237"/>
      <c r="J4091" s="238"/>
    </row>
    <row r="4092">
      <c r="C4092" s="82"/>
      <c r="E4092" s="84"/>
      <c r="F4092" s="84"/>
      <c r="G4092" s="84"/>
      <c r="I4092" s="237"/>
      <c r="J4092" s="238"/>
    </row>
    <row r="4093">
      <c r="C4093" s="82"/>
      <c r="E4093" s="84"/>
      <c r="F4093" s="84"/>
      <c r="G4093" s="84"/>
      <c r="I4093" s="237"/>
      <c r="J4093" s="238"/>
    </row>
    <row r="4094">
      <c r="C4094" s="82"/>
      <c r="E4094" s="84"/>
      <c r="F4094" s="84"/>
      <c r="G4094" s="84"/>
      <c r="I4094" s="237"/>
      <c r="J4094" s="238"/>
    </row>
    <row r="4095">
      <c r="C4095" s="82"/>
      <c r="E4095" s="84"/>
      <c r="F4095" s="84"/>
      <c r="G4095" s="84"/>
      <c r="I4095" s="237"/>
      <c r="J4095" s="238"/>
    </row>
    <row r="4096">
      <c r="C4096" s="82"/>
      <c r="E4096" s="84"/>
      <c r="F4096" s="84"/>
      <c r="G4096" s="84"/>
      <c r="I4096" s="237"/>
      <c r="J4096" s="238"/>
    </row>
    <row r="4097">
      <c r="C4097" s="82"/>
      <c r="E4097" s="84"/>
      <c r="F4097" s="84"/>
      <c r="G4097" s="84"/>
      <c r="I4097" s="237"/>
      <c r="J4097" s="238"/>
    </row>
    <row r="4098">
      <c r="C4098" s="82"/>
      <c r="E4098" s="84"/>
      <c r="F4098" s="84"/>
      <c r="G4098" s="84"/>
      <c r="I4098" s="237"/>
      <c r="J4098" s="238"/>
    </row>
    <row r="4099">
      <c r="C4099" s="82"/>
      <c r="E4099" s="84"/>
      <c r="F4099" s="84"/>
      <c r="G4099" s="84"/>
      <c r="I4099" s="237"/>
      <c r="J4099" s="238"/>
    </row>
    <row r="4100">
      <c r="C4100" s="82"/>
      <c r="E4100" s="84"/>
      <c r="F4100" s="84"/>
      <c r="G4100" s="84"/>
      <c r="I4100" s="237"/>
      <c r="J4100" s="238"/>
    </row>
    <row r="4101">
      <c r="C4101" s="82"/>
      <c r="E4101" s="84"/>
      <c r="F4101" s="84"/>
      <c r="G4101" s="84"/>
      <c r="I4101" s="237"/>
      <c r="J4101" s="238"/>
    </row>
    <row r="4102">
      <c r="C4102" s="82"/>
      <c r="E4102" s="84"/>
      <c r="F4102" s="84"/>
      <c r="G4102" s="84"/>
      <c r="I4102" s="237"/>
      <c r="J4102" s="238"/>
    </row>
    <row r="4103">
      <c r="C4103" s="82"/>
      <c r="E4103" s="84"/>
      <c r="F4103" s="84"/>
      <c r="G4103" s="84"/>
      <c r="I4103" s="237"/>
      <c r="J4103" s="238"/>
    </row>
    <row r="4104">
      <c r="C4104" s="82"/>
      <c r="E4104" s="84"/>
      <c r="F4104" s="84"/>
      <c r="G4104" s="84"/>
      <c r="I4104" s="237"/>
      <c r="J4104" s="238"/>
    </row>
    <row r="4105">
      <c r="C4105" s="82"/>
      <c r="E4105" s="84"/>
      <c r="F4105" s="84"/>
      <c r="G4105" s="84"/>
      <c r="I4105" s="237"/>
      <c r="J4105" s="238"/>
    </row>
    <row r="4106">
      <c r="C4106" s="82"/>
      <c r="E4106" s="84"/>
      <c r="F4106" s="84"/>
      <c r="G4106" s="84"/>
      <c r="I4106" s="237"/>
      <c r="J4106" s="238"/>
    </row>
    <row r="4107">
      <c r="C4107" s="82"/>
      <c r="E4107" s="84"/>
      <c r="F4107" s="84"/>
      <c r="G4107" s="84"/>
      <c r="I4107" s="237"/>
      <c r="J4107" s="238"/>
    </row>
    <row r="4108">
      <c r="C4108" s="82"/>
      <c r="E4108" s="84"/>
      <c r="F4108" s="84"/>
      <c r="G4108" s="84"/>
      <c r="I4108" s="237"/>
      <c r="J4108" s="238"/>
    </row>
    <row r="4109">
      <c r="C4109" s="82"/>
      <c r="E4109" s="84"/>
      <c r="F4109" s="84"/>
      <c r="G4109" s="84"/>
      <c r="I4109" s="237"/>
      <c r="J4109" s="238"/>
    </row>
    <row r="4110">
      <c r="C4110" s="82"/>
      <c r="E4110" s="84"/>
      <c r="F4110" s="84"/>
      <c r="G4110" s="84"/>
      <c r="I4110" s="237"/>
      <c r="J4110" s="238"/>
    </row>
    <row r="4111">
      <c r="C4111" s="82"/>
      <c r="E4111" s="84"/>
      <c r="F4111" s="84"/>
      <c r="G4111" s="84"/>
      <c r="I4111" s="237"/>
      <c r="J4111" s="238"/>
    </row>
    <row r="4112">
      <c r="C4112" s="82"/>
      <c r="E4112" s="84"/>
      <c r="F4112" s="84"/>
      <c r="G4112" s="84"/>
      <c r="I4112" s="237"/>
      <c r="J4112" s="238"/>
    </row>
    <row r="4113">
      <c r="C4113" s="82"/>
      <c r="E4113" s="84"/>
      <c r="F4113" s="84"/>
      <c r="G4113" s="84"/>
      <c r="I4113" s="237"/>
      <c r="J4113" s="238"/>
    </row>
    <row r="4114">
      <c r="C4114" s="82"/>
      <c r="E4114" s="84"/>
      <c r="F4114" s="84"/>
      <c r="G4114" s="84"/>
      <c r="I4114" s="237"/>
      <c r="J4114" s="238"/>
    </row>
    <row r="4115">
      <c r="C4115" s="82"/>
      <c r="E4115" s="84"/>
      <c r="F4115" s="84"/>
      <c r="G4115" s="84"/>
      <c r="I4115" s="237"/>
      <c r="J4115" s="238"/>
    </row>
    <row r="4116">
      <c r="C4116" s="82"/>
      <c r="E4116" s="84"/>
      <c r="F4116" s="84"/>
      <c r="G4116" s="84"/>
      <c r="I4116" s="237"/>
      <c r="J4116" s="238"/>
    </row>
    <row r="4117">
      <c r="C4117" s="82"/>
      <c r="E4117" s="84"/>
      <c r="F4117" s="84"/>
      <c r="G4117" s="84"/>
      <c r="I4117" s="237"/>
      <c r="J4117" s="238"/>
    </row>
    <row r="4118">
      <c r="C4118" s="82"/>
      <c r="E4118" s="84"/>
      <c r="F4118" s="84"/>
      <c r="G4118" s="84"/>
      <c r="I4118" s="237"/>
      <c r="J4118" s="238"/>
    </row>
    <row r="4119">
      <c r="C4119" s="82"/>
      <c r="E4119" s="84"/>
      <c r="F4119" s="84"/>
      <c r="G4119" s="84"/>
      <c r="I4119" s="237"/>
      <c r="J4119" s="238"/>
    </row>
    <row r="4120">
      <c r="C4120" s="82"/>
      <c r="E4120" s="84"/>
      <c r="F4120" s="84"/>
      <c r="G4120" s="84"/>
      <c r="I4120" s="237"/>
      <c r="J4120" s="238"/>
    </row>
    <row r="4121">
      <c r="C4121" s="82"/>
      <c r="E4121" s="84"/>
      <c r="F4121" s="84"/>
      <c r="G4121" s="84"/>
      <c r="I4121" s="237"/>
      <c r="J4121" s="238"/>
    </row>
    <row r="4122">
      <c r="C4122" s="82"/>
      <c r="E4122" s="84"/>
      <c r="F4122" s="84"/>
      <c r="G4122" s="84"/>
      <c r="I4122" s="237"/>
      <c r="J4122" s="238"/>
    </row>
    <row r="4123">
      <c r="C4123" s="82"/>
      <c r="E4123" s="84"/>
      <c r="F4123" s="84"/>
      <c r="G4123" s="84"/>
      <c r="I4123" s="237"/>
      <c r="J4123" s="238"/>
    </row>
    <row r="4124">
      <c r="C4124" s="82"/>
      <c r="E4124" s="84"/>
      <c r="F4124" s="84"/>
      <c r="G4124" s="84"/>
      <c r="I4124" s="237"/>
      <c r="J4124" s="238"/>
    </row>
    <row r="4125">
      <c r="C4125" s="82"/>
      <c r="E4125" s="84"/>
      <c r="F4125" s="84"/>
      <c r="G4125" s="84"/>
      <c r="I4125" s="237"/>
      <c r="J4125" s="238"/>
    </row>
    <row r="4126">
      <c r="C4126" s="82"/>
      <c r="E4126" s="84"/>
      <c r="F4126" s="84"/>
      <c r="G4126" s="84"/>
      <c r="I4126" s="237"/>
      <c r="J4126" s="238"/>
    </row>
    <row r="4127">
      <c r="C4127" s="82"/>
      <c r="E4127" s="84"/>
      <c r="F4127" s="84"/>
      <c r="G4127" s="84"/>
      <c r="I4127" s="237"/>
      <c r="J4127" s="238"/>
    </row>
    <row r="4128">
      <c r="C4128" s="82"/>
      <c r="E4128" s="84"/>
      <c r="F4128" s="84"/>
      <c r="G4128" s="84"/>
      <c r="I4128" s="237"/>
      <c r="J4128" s="238"/>
    </row>
    <row r="4129">
      <c r="C4129" s="82"/>
      <c r="E4129" s="84"/>
      <c r="F4129" s="84"/>
      <c r="G4129" s="84"/>
      <c r="I4129" s="237"/>
      <c r="J4129" s="238"/>
    </row>
    <row r="4130">
      <c r="C4130" s="82"/>
      <c r="E4130" s="84"/>
      <c r="F4130" s="84"/>
      <c r="G4130" s="84"/>
      <c r="I4130" s="237"/>
      <c r="J4130" s="238"/>
    </row>
    <row r="4131">
      <c r="C4131" s="82"/>
      <c r="E4131" s="84"/>
      <c r="F4131" s="84"/>
      <c r="G4131" s="84"/>
      <c r="I4131" s="237"/>
      <c r="J4131" s="238"/>
    </row>
    <row r="4132">
      <c r="C4132" s="82"/>
      <c r="E4132" s="84"/>
      <c r="F4132" s="84"/>
      <c r="G4132" s="84"/>
      <c r="I4132" s="237"/>
      <c r="J4132" s="238"/>
    </row>
    <row r="4133">
      <c r="C4133" s="82"/>
      <c r="E4133" s="84"/>
      <c r="F4133" s="84"/>
      <c r="G4133" s="84"/>
      <c r="I4133" s="237"/>
      <c r="J4133" s="238"/>
    </row>
    <row r="4134">
      <c r="C4134" s="82"/>
      <c r="E4134" s="84"/>
      <c r="F4134" s="84"/>
      <c r="G4134" s="84"/>
      <c r="I4134" s="237"/>
      <c r="J4134" s="238"/>
    </row>
    <row r="4135">
      <c r="C4135" s="82"/>
      <c r="E4135" s="84"/>
      <c r="F4135" s="84"/>
      <c r="G4135" s="84"/>
      <c r="I4135" s="237"/>
      <c r="J4135" s="238"/>
    </row>
    <row r="4136">
      <c r="C4136" s="82"/>
      <c r="E4136" s="84"/>
      <c r="F4136" s="84"/>
      <c r="G4136" s="84"/>
      <c r="I4136" s="237"/>
      <c r="J4136" s="238"/>
    </row>
    <row r="4137">
      <c r="C4137" s="82"/>
      <c r="E4137" s="84"/>
      <c r="F4137" s="84"/>
      <c r="G4137" s="84"/>
      <c r="I4137" s="237"/>
      <c r="J4137" s="238"/>
    </row>
    <row r="4138">
      <c r="C4138" s="82"/>
      <c r="E4138" s="84"/>
      <c r="F4138" s="84"/>
      <c r="G4138" s="84"/>
      <c r="I4138" s="237"/>
      <c r="J4138" s="238"/>
    </row>
    <row r="4139">
      <c r="C4139" s="82"/>
      <c r="E4139" s="84"/>
      <c r="F4139" s="84"/>
      <c r="G4139" s="84"/>
      <c r="I4139" s="237"/>
      <c r="J4139" s="238"/>
    </row>
    <row r="4140">
      <c r="C4140" s="82"/>
      <c r="E4140" s="84"/>
      <c r="F4140" s="84"/>
      <c r="G4140" s="84"/>
      <c r="I4140" s="237"/>
      <c r="J4140" s="238"/>
    </row>
    <row r="4141">
      <c r="C4141" s="82"/>
      <c r="E4141" s="84"/>
      <c r="F4141" s="84"/>
      <c r="G4141" s="84"/>
      <c r="I4141" s="237"/>
      <c r="J4141" s="238"/>
    </row>
    <row r="4142">
      <c r="C4142" s="82"/>
      <c r="E4142" s="84"/>
      <c r="F4142" s="84"/>
      <c r="G4142" s="84"/>
      <c r="I4142" s="237"/>
      <c r="J4142" s="238"/>
    </row>
    <row r="4143">
      <c r="C4143" s="82"/>
      <c r="E4143" s="84"/>
      <c r="F4143" s="84"/>
      <c r="G4143" s="84"/>
      <c r="I4143" s="237"/>
      <c r="J4143" s="238"/>
    </row>
    <row r="4144">
      <c r="C4144" s="82"/>
      <c r="E4144" s="84"/>
      <c r="F4144" s="84"/>
      <c r="G4144" s="84"/>
      <c r="I4144" s="237"/>
      <c r="J4144" s="238"/>
    </row>
    <row r="4145">
      <c r="C4145" s="82"/>
      <c r="E4145" s="84"/>
      <c r="F4145" s="84"/>
      <c r="G4145" s="84"/>
      <c r="I4145" s="237"/>
      <c r="J4145" s="238"/>
    </row>
    <row r="4146">
      <c r="C4146" s="82"/>
      <c r="E4146" s="84"/>
      <c r="F4146" s="84"/>
      <c r="G4146" s="84"/>
      <c r="I4146" s="237"/>
      <c r="J4146" s="238"/>
    </row>
    <row r="4147">
      <c r="C4147" s="82"/>
      <c r="E4147" s="84"/>
      <c r="F4147" s="84"/>
      <c r="G4147" s="84"/>
      <c r="I4147" s="237"/>
      <c r="J4147" s="238"/>
    </row>
    <row r="4148">
      <c r="C4148" s="82"/>
      <c r="E4148" s="84"/>
      <c r="F4148" s="84"/>
      <c r="G4148" s="84"/>
      <c r="I4148" s="237"/>
      <c r="J4148" s="238"/>
    </row>
    <row r="4149">
      <c r="C4149" s="82"/>
      <c r="E4149" s="84"/>
      <c r="F4149" s="84"/>
      <c r="G4149" s="84"/>
      <c r="I4149" s="237"/>
      <c r="J4149" s="238"/>
    </row>
    <row r="4150">
      <c r="C4150" s="82"/>
      <c r="E4150" s="84"/>
      <c r="F4150" s="84"/>
      <c r="G4150" s="84"/>
      <c r="I4150" s="237"/>
      <c r="J4150" s="238"/>
    </row>
    <row r="4151">
      <c r="C4151" s="82"/>
      <c r="E4151" s="84"/>
      <c r="F4151" s="84"/>
      <c r="G4151" s="84"/>
      <c r="I4151" s="237"/>
      <c r="J4151" s="238"/>
    </row>
    <row r="4152">
      <c r="C4152" s="82"/>
      <c r="E4152" s="84"/>
      <c r="F4152" s="84"/>
      <c r="G4152" s="84"/>
      <c r="I4152" s="237"/>
      <c r="J4152" s="238"/>
    </row>
    <row r="4153">
      <c r="C4153" s="82"/>
      <c r="E4153" s="84"/>
      <c r="F4153" s="84"/>
      <c r="G4153" s="84"/>
      <c r="I4153" s="237"/>
      <c r="J4153" s="238"/>
    </row>
    <row r="4154">
      <c r="C4154" s="82"/>
      <c r="E4154" s="84"/>
      <c r="F4154" s="84"/>
      <c r="G4154" s="84"/>
      <c r="I4154" s="237"/>
      <c r="J4154" s="238"/>
    </row>
    <row r="4155">
      <c r="C4155" s="82"/>
      <c r="E4155" s="84"/>
      <c r="F4155" s="84"/>
      <c r="G4155" s="84"/>
      <c r="I4155" s="237"/>
      <c r="J4155" s="238"/>
    </row>
    <row r="4156">
      <c r="C4156" s="82"/>
      <c r="E4156" s="84"/>
      <c r="F4156" s="84"/>
      <c r="G4156" s="84"/>
      <c r="I4156" s="237"/>
      <c r="J4156" s="238"/>
    </row>
    <row r="4157">
      <c r="C4157" s="82"/>
      <c r="E4157" s="84"/>
      <c r="F4157" s="84"/>
      <c r="G4157" s="84"/>
      <c r="I4157" s="237"/>
      <c r="J4157" s="238"/>
    </row>
    <row r="4158">
      <c r="C4158" s="82"/>
      <c r="E4158" s="84"/>
      <c r="F4158" s="84"/>
      <c r="G4158" s="84"/>
      <c r="I4158" s="237"/>
      <c r="J4158" s="238"/>
    </row>
    <row r="4159">
      <c r="C4159" s="82"/>
      <c r="E4159" s="84"/>
      <c r="F4159" s="84"/>
      <c r="G4159" s="84"/>
      <c r="I4159" s="237"/>
      <c r="J4159" s="238"/>
    </row>
    <row r="4160">
      <c r="C4160" s="82"/>
      <c r="E4160" s="84"/>
      <c r="F4160" s="84"/>
      <c r="G4160" s="84"/>
      <c r="I4160" s="237"/>
      <c r="J4160" s="238"/>
    </row>
    <row r="4161">
      <c r="C4161" s="82"/>
      <c r="E4161" s="84"/>
      <c r="F4161" s="84"/>
      <c r="G4161" s="84"/>
      <c r="I4161" s="237"/>
      <c r="J4161" s="238"/>
    </row>
    <row r="4162">
      <c r="C4162" s="82"/>
      <c r="E4162" s="84"/>
      <c r="F4162" s="84"/>
      <c r="G4162" s="84"/>
      <c r="I4162" s="237"/>
      <c r="J4162" s="238"/>
    </row>
    <row r="4163">
      <c r="C4163" s="82"/>
      <c r="E4163" s="84"/>
      <c r="F4163" s="84"/>
      <c r="G4163" s="84"/>
      <c r="I4163" s="237"/>
      <c r="J4163" s="238"/>
    </row>
    <row r="4164">
      <c r="C4164" s="82"/>
      <c r="E4164" s="84"/>
      <c r="F4164" s="84"/>
      <c r="G4164" s="84"/>
      <c r="I4164" s="237"/>
      <c r="J4164" s="238"/>
    </row>
    <row r="4165">
      <c r="C4165" s="82"/>
      <c r="E4165" s="84"/>
      <c r="F4165" s="84"/>
      <c r="G4165" s="84"/>
      <c r="I4165" s="237"/>
      <c r="J4165" s="238"/>
    </row>
    <row r="4166">
      <c r="C4166" s="82"/>
      <c r="E4166" s="84"/>
      <c r="F4166" s="84"/>
      <c r="G4166" s="84"/>
      <c r="I4166" s="237"/>
      <c r="J4166" s="238"/>
    </row>
    <row r="4167">
      <c r="C4167" s="82"/>
      <c r="E4167" s="84"/>
      <c r="F4167" s="84"/>
      <c r="G4167" s="84"/>
      <c r="I4167" s="237"/>
      <c r="J4167" s="238"/>
    </row>
    <row r="4168">
      <c r="C4168" s="82"/>
      <c r="E4168" s="84"/>
      <c r="F4168" s="84"/>
      <c r="G4168" s="84"/>
      <c r="I4168" s="237"/>
      <c r="J4168" s="238"/>
    </row>
    <row r="4169">
      <c r="C4169" s="82"/>
      <c r="E4169" s="84"/>
      <c r="F4169" s="84"/>
      <c r="G4169" s="84"/>
      <c r="I4169" s="237"/>
      <c r="J4169" s="238"/>
    </row>
    <row r="4170">
      <c r="C4170" s="82"/>
      <c r="E4170" s="84"/>
      <c r="F4170" s="84"/>
      <c r="G4170" s="84"/>
      <c r="I4170" s="237"/>
      <c r="J4170" s="238"/>
    </row>
    <row r="4171">
      <c r="C4171" s="82"/>
      <c r="E4171" s="84"/>
      <c r="F4171" s="84"/>
      <c r="G4171" s="84"/>
      <c r="I4171" s="237"/>
      <c r="J4171" s="238"/>
    </row>
    <row r="4172">
      <c r="C4172" s="82"/>
      <c r="E4172" s="84"/>
      <c r="F4172" s="84"/>
      <c r="G4172" s="84"/>
      <c r="I4172" s="237"/>
      <c r="J4172" s="238"/>
    </row>
    <row r="4173">
      <c r="C4173" s="82"/>
      <c r="E4173" s="84"/>
      <c r="F4173" s="84"/>
      <c r="G4173" s="84"/>
      <c r="I4173" s="237"/>
      <c r="J4173" s="238"/>
    </row>
    <row r="4174">
      <c r="C4174" s="82"/>
      <c r="E4174" s="84"/>
      <c r="F4174" s="84"/>
      <c r="G4174" s="84"/>
      <c r="I4174" s="237"/>
      <c r="J4174" s="238"/>
    </row>
    <row r="4175">
      <c r="C4175" s="82"/>
      <c r="E4175" s="84"/>
      <c r="F4175" s="84"/>
      <c r="G4175" s="84"/>
      <c r="I4175" s="237"/>
      <c r="J4175" s="238"/>
    </row>
    <row r="4176">
      <c r="C4176" s="82"/>
      <c r="E4176" s="84"/>
      <c r="F4176" s="84"/>
      <c r="G4176" s="84"/>
      <c r="I4176" s="237"/>
      <c r="J4176" s="238"/>
    </row>
    <row r="4177">
      <c r="C4177" s="82"/>
      <c r="E4177" s="84"/>
      <c r="F4177" s="84"/>
      <c r="G4177" s="84"/>
      <c r="I4177" s="237"/>
      <c r="J4177" s="238"/>
    </row>
    <row r="4178">
      <c r="C4178" s="82"/>
      <c r="E4178" s="84"/>
      <c r="F4178" s="84"/>
      <c r="G4178" s="84"/>
      <c r="I4178" s="237"/>
      <c r="J4178" s="238"/>
    </row>
    <row r="4179">
      <c r="C4179" s="82"/>
      <c r="E4179" s="84"/>
      <c r="F4179" s="84"/>
      <c r="G4179" s="84"/>
      <c r="I4179" s="237"/>
      <c r="J4179" s="238"/>
    </row>
    <row r="4180">
      <c r="C4180" s="82"/>
      <c r="E4180" s="84"/>
      <c r="F4180" s="84"/>
      <c r="G4180" s="84"/>
      <c r="I4180" s="237"/>
      <c r="J4180" s="238"/>
    </row>
    <row r="4181">
      <c r="C4181" s="82"/>
      <c r="E4181" s="84"/>
      <c r="F4181" s="84"/>
      <c r="G4181" s="84"/>
      <c r="I4181" s="237"/>
      <c r="J4181" s="238"/>
    </row>
    <row r="4182">
      <c r="C4182" s="82"/>
      <c r="E4182" s="84"/>
      <c r="F4182" s="84"/>
      <c r="G4182" s="84"/>
      <c r="I4182" s="237"/>
      <c r="J4182" s="238"/>
    </row>
    <row r="4183">
      <c r="C4183" s="82"/>
      <c r="E4183" s="84"/>
      <c r="F4183" s="84"/>
      <c r="G4183" s="84"/>
      <c r="I4183" s="237"/>
      <c r="J4183" s="238"/>
    </row>
    <row r="4184">
      <c r="C4184" s="82"/>
      <c r="E4184" s="84"/>
      <c r="F4184" s="84"/>
      <c r="G4184" s="84"/>
      <c r="I4184" s="237"/>
      <c r="J4184" s="238"/>
    </row>
    <row r="4185">
      <c r="C4185" s="82"/>
      <c r="E4185" s="84"/>
      <c r="F4185" s="84"/>
      <c r="G4185" s="84"/>
      <c r="I4185" s="237"/>
      <c r="J4185" s="238"/>
    </row>
    <row r="4186">
      <c r="C4186" s="82"/>
      <c r="E4186" s="84"/>
      <c r="F4186" s="84"/>
      <c r="G4186" s="84"/>
      <c r="I4186" s="237"/>
      <c r="J4186" s="238"/>
    </row>
    <row r="4187">
      <c r="C4187" s="82"/>
      <c r="E4187" s="84"/>
      <c r="F4187" s="84"/>
      <c r="G4187" s="84"/>
      <c r="I4187" s="237"/>
      <c r="J4187" s="238"/>
    </row>
    <row r="4188">
      <c r="C4188" s="82"/>
      <c r="E4188" s="84"/>
      <c r="F4188" s="84"/>
      <c r="G4188" s="84"/>
      <c r="I4188" s="237"/>
      <c r="J4188" s="238"/>
    </row>
    <row r="4189">
      <c r="C4189" s="82"/>
      <c r="E4189" s="84"/>
      <c r="F4189" s="84"/>
      <c r="G4189" s="84"/>
      <c r="I4189" s="237"/>
      <c r="J4189" s="238"/>
    </row>
    <row r="4190">
      <c r="C4190" s="82"/>
      <c r="E4190" s="84"/>
      <c r="F4190" s="84"/>
      <c r="G4190" s="84"/>
      <c r="I4190" s="237"/>
      <c r="J4190" s="238"/>
    </row>
    <row r="4191">
      <c r="C4191" s="82"/>
      <c r="E4191" s="84"/>
      <c r="F4191" s="84"/>
      <c r="G4191" s="84"/>
      <c r="I4191" s="237"/>
      <c r="J4191" s="238"/>
    </row>
    <row r="4192">
      <c r="C4192" s="82"/>
      <c r="E4192" s="84"/>
      <c r="F4192" s="84"/>
      <c r="G4192" s="84"/>
      <c r="I4192" s="237"/>
      <c r="J4192" s="238"/>
    </row>
    <row r="4193">
      <c r="C4193" s="82"/>
      <c r="E4193" s="84"/>
      <c r="F4193" s="84"/>
      <c r="G4193" s="84"/>
      <c r="I4193" s="237"/>
      <c r="J4193" s="238"/>
    </row>
    <row r="4194">
      <c r="C4194" s="82"/>
      <c r="E4194" s="84"/>
      <c r="F4194" s="84"/>
      <c r="G4194" s="84"/>
      <c r="I4194" s="237"/>
      <c r="J4194" s="238"/>
    </row>
    <row r="4195">
      <c r="C4195" s="82"/>
      <c r="E4195" s="84"/>
      <c r="F4195" s="84"/>
      <c r="G4195" s="84"/>
      <c r="I4195" s="237"/>
      <c r="J4195" s="238"/>
    </row>
    <row r="4196">
      <c r="C4196" s="82"/>
      <c r="E4196" s="84"/>
      <c r="F4196" s="84"/>
      <c r="G4196" s="84"/>
      <c r="I4196" s="237"/>
      <c r="J4196" s="238"/>
    </row>
    <row r="4197">
      <c r="C4197" s="82"/>
      <c r="E4197" s="84"/>
      <c r="F4197" s="84"/>
      <c r="G4197" s="84"/>
      <c r="I4197" s="237"/>
      <c r="J4197" s="238"/>
    </row>
    <row r="4198">
      <c r="C4198" s="82"/>
      <c r="E4198" s="84"/>
      <c r="F4198" s="84"/>
      <c r="G4198" s="84"/>
      <c r="I4198" s="237"/>
      <c r="J4198" s="238"/>
    </row>
    <row r="4199">
      <c r="C4199" s="82"/>
      <c r="E4199" s="84"/>
      <c r="F4199" s="84"/>
      <c r="G4199" s="84"/>
      <c r="I4199" s="237"/>
      <c r="J4199" s="238"/>
    </row>
    <row r="4200">
      <c r="C4200" s="82"/>
      <c r="E4200" s="84"/>
      <c r="F4200" s="84"/>
      <c r="G4200" s="84"/>
      <c r="I4200" s="237"/>
      <c r="J4200" s="238"/>
    </row>
    <row r="4201">
      <c r="C4201" s="82"/>
      <c r="E4201" s="84"/>
      <c r="F4201" s="84"/>
      <c r="G4201" s="84"/>
      <c r="I4201" s="237"/>
      <c r="J4201" s="238"/>
    </row>
    <row r="4202">
      <c r="C4202" s="82"/>
      <c r="E4202" s="84"/>
      <c r="F4202" s="84"/>
      <c r="G4202" s="84"/>
      <c r="I4202" s="237"/>
      <c r="J4202" s="238"/>
    </row>
    <row r="4203">
      <c r="C4203" s="82"/>
      <c r="E4203" s="84"/>
      <c r="F4203" s="84"/>
      <c r="G4203" s="84"/>
      <c r="I4203" s="237"/>
      <c r="J4203" s="238"/>
    </row>
    <row r="4204">
      <c r="C4204" s="82"/>
      <c r="E4204" s="84"/>
      <c r="F4204" s="84"/>
      <c r="G4204" s="84"/>
      <c r="I4204" s="237"/>
      <c r="J4204" s="238"/>
    </row>
    <row r="4205">
      <c r="C4205" s="82"/>
      <c r="E4205" s="84"/>
      <c r="F4205" s="84"/>
      <c r="G4205" s="84"/>
      <c r="I4205" s="237"/>
      <c r="J4205" s="238"/>
    </row>
    <row r="4206">
      <c r="C4206" s="82"/>
      <c r="E4206" s="84"/>
      <c r="F4206" s="84"/>
      <c r="G4206" s="84"/>
      <c r="I4206" s="237"/>
      <c r="J4206" s="238"/>
    </row>
    <row r="4207">
      <c r="C4207" s="82"/>
      <c r="E4207" s="84"/>
      <c r="F4207" s="84"/>
      <c r="G4207" s="84"/>
      <c r="I4207" s="237"/>
      <c r="J4207" s="238"/>
    </row>
    <row r="4208">
      <c r="C4208" s="82"/>
      <c r="E4208" s="84"/>
      <c r="F4208" s="84"/>
      <c r="G4208" s="84"/>
      <c r="I4208" s="237"/>
      <c r="J4208" s="238"/>
    </row>
    <row r="4209">
      <c r="C4209" s="82"/>
      <c r="E4209" s="84"/>
      <c r="F4209" s="84"/>
      <c r="G4209" s="84"/>
      <c r="I4209" s="237"/>
      <c r="J4209" s="238"/>
    </row>
    <row r="4210">
      <c r="C4210" s="82"/>
      <c r="E4210" s="84"/>
      <c r="F4210" s="84"/>
      <c r="G4210" s="84"/>
      <c r="I4210" s="237"/>
      <c r="J4210" s="238"/>
    </row>
    <row r="4211">
      <c r="C4211" s="82"/>
      <c r="E4211" s="84"/>
      <c r="F4211" s="84"/>
      <c r="G4211" s="84"/>
      <c r="I4211" s="237"/>
      <c r="J4211" s="238"/>
    </row>
    <row r="4212">
      <c r="C4212" s="82"/>
      <c r="E4212" s="84"/>
      <c r="F4212" s="84"/>
      <c r="G4212" s="84"/>
      <c r="I4212" s="237"/>
      <c r="J4212" s="238"/>
    </row>
    <row r="4213">
      <c r="C4213" s="82"/>
      <c r="E4213" s="84"/>
      <c r="F4213" s="84"/>
      <c r="G4213" s="84"/>
      <c r="I4213" s="237"/>
      <c r="J4213" s="238"/>
    </row>
    <row r="4214">
      <c r="C4214" s="82"/>
      <c r="E4214" s="84"/>
      <c r="F4214" s="84"/>
      <c r="G4214" s="84"/>
      <c r="I4214" s="237"/>
      <c r="J4214" s="238"/>
    </row>
    <row r="4215">
      <c r="C4215" s="82"/>
      <c r="E4215" s="84"/>
      <c r="F4215" s="84"/>
      <c r="G4215" s="84"/>
      <c r="I4215" s="237"/>
      <c r="J4215" s="238"/>
    </row>
    <row r="4216">
      <c r="C4216" s="82"/>
      <c r="E4216" s="84"/>
      <c r="F4216" s="84"/>
      <c r="G4216" s="84"/>
      <c r="I4216" s="237"/>
      <c r="J4216" s="238"/>
    </row>
    <row r="4217">
      <c r="C4217" s="82"/>
      <c r="E4217" s="84"/>
      <c r="F4217" s="84"/>
      <c r="G4217" s="84"/>
      <c r="I4217" s="237"/>
      <c r="J4217" s="238"/>
    </row>
    <row r="4218">
      <c r="C4218" s="82"/>
      <c r="E4218" s="84"/>
      <c r="F4218" s="84"/>
      <c r="G4218" s="84"/>
      <c r="I4218" s="237"/>
      <c r="J4218" s="238"/>
    </row>
    <row r="4219">
      <c r="C4219" s="82"/>
      <c r="E4219" s="84"/>
      <c r="F4219" s="84"/>
      <c r="G4219" s="84"/>
      <c r="I4219" s="237"/>
      <c r="J4219" s="238"/>
    </row>
    <row r="4220">
      <c r="C4220" s="82"/>
      <c r="E4220" s="84"/>
      <c r="F4220" s="84"/>
      <c r="G4220" s="84"/>
      <c r="I4220" s="237"/>
      <c r="J4220" s="238"/>
    </row>
    <row r="4221">
      <c r="C4221" s="82"/>
      <c r="E4221" s="84"/>
      <c r="F4221" s="84"/>
      <c r="G4221" s="84"/>
      <c r="I4221" s="237"/>
      <c r="J4221" s="238"/>
    </row>
    <row r="4222">
      <c r="C4222" s="82"/>
      <c r="E4222" s="84"/>
      <c r="F4222" s="84"/>
      <c r="G4222" s="84"/>
      <c r="I4222" s="237"/>
      <c r="J4222" s="238"/>
    </row>
    <row r="4223">
      <c r="C4223" s="82"/>
      <c r="E4223" s="84"/>
      <c r="F4223" s="84"/>
      <c r="G4223" s="84"/>
      <c r="I4223" s="237"/>
      <c r="J4223" s="238"/>
    </row>
    <row r="4224">
      <c r="C4224" s="82"/>
      <c r="E4224" s="84"/>
      <c r="F4224" s="84"/>
      <c r="G4224" s="84"/>
      <c r="I4224" s="237"/>
      <c r="J4224" s="238"/>
    </row>
    <row r="4225">
      <c r="C4225" s="82"/>
      <c r="E4225" s="84"/>
      <c r="F4225" s="84"/>
      <c r="G4225" s="84"/>
      <c r="I4225" s="237"/>
      <c r="J4225" s="238"/>
    </row>
    <row r="4226">
      <c r="C4226" s="82"/>
      <c r="E4226" s="84"/>
      <c r="F4226" s="84"/>
      <c r="G4226" s="84"/>
      <c r="I4226" s="237"/>
      <c r="J4226" s="238"/>
    </row>
    <row r="4227">
      <c r="C4227" s="82"/>
      <c r="E4227" s="84"/>
      <c r="F4227" s="84"/>
      <c r="G4227" s="84"/>
      <c r="I4227" s="237"/>
      <c r="J4227" s="238"/>
    </row>
    <row r="4228">
      <c r="C4228" s="82"/>
      <c r="E4228" s="84"/>
      <c r="F4228" s="84"/>
      <c r="G4228" s="84"/>
      <c r="I4228" s="237"/>
      <c r="J4228" s="238"/>
    </row>
    <row r="4229">
      <c r="C4229" s="82"/>
      <c r="E4229" s="84"/>
      <c r="F4229" s="84"/>
      <c r="G4229" s="84"/>
      <c r="I4229" s="237"/>
      <c r="J4229" s="238"/>
    </row>
    <row r="4230">
      <c r="C4230" s="82"/>
      <c r="E4230" s="84"/>
      <c r="F4230" s="84"/>
      <c r="G4230" s="84"/>
      <c r="I4230" s="237"/>
      <c r="J4230" s="238"/>
    </row>
    <row r="4231">
      <c r="C4231" s="82"/>
      <c r="E4231" s="84"/>
      <c r="F4231" s="84"/>
      <c r="G4231" s="84"/>
      <c r="I4231" s="237"/>
      <c r="J4231" s="238"/>
    </row>
    <row r="4232">
      <c r="C4232" s="82"/>
      <c r="E4232" s="84"/>
      <c r="F4232" s="84"/>
      <c r="G4232" s="84"/>
      <c r="I4232" s="237"/>
      <c r="J4232" s="238"/>
    </row>
    <row r="4233">
      <c r="C4233" s="82"/>
      <c r="E4233" s="84"/>
      <c r="F4233" s="84"/>
      <c r="G4233" s="84"/>
      <c r="I4233" s="237"/>
      <c r="J4233" s="238"/>
    </row>
    <row r="4234">
      <c r="C4234" s="82"/>
      <c r="E4234" s="84"/>
      <c r="F4234" s="84"/>
      <c r="G4234" s="84"/>
      <c r="I4234" s="237"/>
      <c r="J4234" s="238"/>
    </row>
    <row r="4235">
      <c r="C4235" s="82"/>
      <c r="E4235" s="84"/>
      <c r="F4235" s="84"/>
      <c r="G4235" s="84"/>
      <c r="I4235" s="237"/>
      <c r="J4235" s="238"/>
    </row>
    <row r="4236">
      <c r="C4236" s="82"/>
      <c r="E4236" s="84"/>
      <c r="F4236" s="84"/>
      <c r="G4236" s="84"/>
      <c r="I4236" s="237"/>
      <c r="J4236" s="238"/>
    </row>
    <row r="4237">
      <c r="C4237" s="82"/>
      <c r="E4237" s="84"/>
      <c r="F4237" s="84"/>
      <c r="G4237" s="84"/>
      <c r="I4237" s="237"/>
      <c r="J4237" s="238"/>
    </row>
    <row r="4238">
      <c r="C4238" s="82"/>
      <c r="E4238" s="84"/>
      <c r="F4238" s="84"/>
      <c r="G4238" s="84"/>
      <c r="I4238" s="237"/>
      <c r="J4238" s="238"/>
    </row>
    <row r="4239">
      <c r="C4239" s="82"/>
      <c r="E4239" s="84"/>
      <c r="F4239" s="84"/>
      <c r="G4239" s="84"/>
      <c r="I4239" s="237"/>
      <c r="J4239" s="238"/>
    </row>
    <row r="4240">
      <c r="C4240" s="82"/>
      <c r="E4240" s="84"/>
      <c r="F4240" s="84"/>
      <c r="G4240" s="84"/>
      <c r="I4240" s="237"/>
      <c r="J4240" s="238"/>
    </row>
    <row r="4241">
      <c r="C4241" s="82"/>
      <c r="E4241" s="84"/>
      <c r="F4241" s="84"/>
      <c r="G4241" s="84"/>
      <c r="I4241" s="237"/>
      <c r="J4241" s="238"/>
    </row>
    <row r="4242">
      <c r="C4242" s="82"/>
      <c r="E4242" s="84"/>
      <c r="F4242" s="84"/>
      <c r="G4242" s="84"/>
      <c r="I4242" s="237"/>
      <c r="J4242" s="238"/>
    </row>
    <row r="4243">
      <c r="C4243" s="82"/>
      <c r="E4243" s="84"/>
      <c r="F4243" s="84"/>
      <c r="G4243" s="84"/>
      <c r="I4243" s="237"/>
      <c r="J4243" s="238"/>
    </row>
    <row r="4244">
      <c r="C4244" s="82"/>
      <c r="E4244" s="84"/>
      <c r="F4244" s="84"/>
      <c r="G4244" s="84"/>
      <c r="I4244" s="237"/>
      <c r="J4244" s="238"/>
    </row>
    <row r="4245">
      <c r="C4245" s="82"/>
      <c r="E4245" s="84"/>
      <c r="F4245" s="84"/>
      <c r="G4245" s="84"/>
      <c r="I4245" s="237"/>
      <c r="J4245" s="238"/>
    </row>
    <row r="4246">
      <c r="C4246" s="82"/>
      <c r="E4246" s="84"/>
      <c r="F4246" s="84"/>
      <c r="G4246" s="84"/>
      <c r="I4246" s="237"/>
      <c r="J4246" s="238"/>
    </row>
    <row r="4247">
      <c r="C4247" s="82"/>
      <c r="E4247" s="84"/>
      <c r="F4247" s="84"/>
      <c r="G4247" s="84"/>
      <c r="I4247" s="237"/>
      <c r="J4247" s="238"/>
    </row>
    <row r="4248">
      <c r="C4248" s="82"/>
      <c r="E4248" s="84"/>
      <c r="F4248" s="84"/>
      <c r="G4248" s="84"/>
      <c r="I4248" s="237"/>
      <c r="J4248" s="238"/>
    </row>
    <row r="4249">
      <c r="C4249" s="82"/>
      <c r="E4249" s="84"/>
      <c r="F4249" s="84"/>
      <c r="G4249" s="84"/>
      <c r="I4249" s="237"/>
      <c r="J4249" s="238"/>
    </row>
    <row r="4250">
      <c r="C4250" s="82"/>
      <c r="E4250" s="84"/>
      <c r="F4250" s="84"/>
      <c r="G4250" s="84"/>
      <c r="I4250" s="237"/>
      <c r="J4250" s="238"/>
    </row>
    <row r="4251">
      <c r="C4251" s="82"/>
      <c r="E4251" s="84"/>
      <c r="F4251" s="84"/>
      <c r="G4251" s="84"/>
      <c r="I4251" s="237"/>
      <c r="J4251" s="238"/>
    </row>
    <row r="4252">
      <c r="C4252" s="82"/>
      <c r="E4252" s="84"/>
      <c r="F4252" s="84"/>
      <c r="G4252" s="84"/>
      <c r="I4252" s="237"/>
      <c r="J4252" s="238"/>
    </row>
    <row r="4253">
      <c r="C4253" s="82"/>
      <c r="E4253" s="84"/>
      <c r="F4253" s="84"/>
      <c r="G4253" s="84"/>
      <c r="I4253" s="237"/>
      <c r="J4253" s="238"/>
    </row>
    <row r="4254">
      <c r="C4254" s="82"/>
      <c r="E4254" s="84"/>
      <c r="F4254" s="84"/>
      <c r="G4254" s="84"/>
      <c r="I4254" s="237"/>
      <c r="J4254" s="238"/>
    </row>
    <row r="4255">
      <c r="C4255" s="82"/>
      <c r="E4255" s="84"/>
      <c r="F4255" s="84"/>
      <c r="G4255" s="84"/>
      <c r="I4255" s="237"/>
      <c r="J4255" s="238"/>
    </row>
    <row r="4256">
      <c r="C4256" s="82"/>
      <c r="E4256" s="84"/>
      <c r="F4256" s="84"/>
      <c r="G4256" s="84"/>
      <c r="I4256" s="237"/>
      <c r="J4256" s="238"/>
    </row>
    <row r="4257">
      <c r="C4257" s="82"/>
      <c r="E4257" s="84"/>
      <c r="F4257" s="84"/>
      <c r="G4257" s="84"/>
      <c r="I4257" s="237"/>
      <c r="J4257" s="238"/>
    </row>
    <row r="4258">
      <c r="C4258" s="82"/>
      <c r="E4258" s="84"/>
      <c r="F4258" s="84"/>
      <c r="G4258" s="84"/>
      <c r="I4258" s="237"/>
      <c r="J4258" s="238"/>
    </row>
    <row r="4259">
      <c r="C4259" s="82"/>
      <c r="E4259" s="84"/>
      <c r="F4259" s="84"/>
      <c r="G4259" s="84"/>
      <c r="I4259" s="237"/>
      <c r="J4259" s="238"/>
    </row>
    <row r="4260">
      <c r="C4260" s="82"/>
      <c r="E4260" s="84"/>
      <c r="F4260" s="84"/>
      <c r="G4260" s="84"/>
      <c r="I4260" s="237"/>
      <c r="J4260" s="238"/>
    </row>
    <row r="4261">
      <c r="C4261" s="82"/>
      <c r="E4261" s="84"/>
      <c r="F4261" s="84"/>
      <c r="G4261" s="84"/>
      <c r="I4261" s="237"/>
      <c r="J4261" s="238"/>
    </row>
    <row r="4262">
      <c r="C4262" s="82"/>
      <c r="E4262" s="84"/>
      <c r="F4262" s="84"/>
      <c r="G4262" s="84"/>
      <c r="I4262" s="237"/>
      <c r="J4262" s="238"/>
    </row>
    <row r="4263">
      <c r="C4263" s="82"/>
      <c r="E4263" s="84"/>
      <c r="F4263" s="84"/>
      <c r="G4263" s="84"/>
      <c r="I4263" s="237"/>
      <c r="J4263" s="238"/>
    </row>
    <row r="4264">
      <c r="C4264" s="82"/>
      <c r="E4264" s="84"/>
      <c r="F4264" s="84"/>
      <c r="G4264" s="84"/>
      <c r="I4264" s="237"/>
      <c r="J4264" s="238"/>
    </row>
    <row r="4265">
      <c r="C4265" s="82"/>
      <c r="E4265" s="84"/>
      <c r="F4265" s="84"/>
      <c r="G4265" s="84"/>
      <c r="I4265" s="237"/>
      <c r="J4265" s="238"/>
    </row>
    <row r="4266">
      <c r="C4266" s="82"/>
      <c r="E4266" s="84"/>
      <c r="F4266" s="84"/>
      <c r="G4266" s="84"/>
      <c r="I4266" s="237"/>
      <c r="J4266" s="238"/>
    </row>
    <row r="4267">
      <c r="C4267" s="82"/>
      <c r="E4267" s="84"/>
      <c r="F4267" s="84"/>
      <c r="G4267" s="84"/>
      <c r="I4267" s="237"/>
      <c r="J4267" s="238"/>
    </row>
    <row r="4268">
      <c r="C4268" s="82"/>
      <c r="E4268" s="84"/>
      <c r="F4268" s="84"/>
      <c r="G4268" s="84"/>
      <c r="I4268" s="237"/>
      <c r="J4268" s="238"/>
    </row>
    <row r="4269">
      <c r="C4269" s="82"/>
      <c r="E4269" s="84"/>
      <c r="F4269" s="84"/>
      <c r="G4269" s="84"/>
      <c r="I4269" s="237"/>
      <c r="J4269" s="238"/>
    </row>
    <row r="4270">
      <c r="C4270" s="82"/>
      <c r="E4270" s="84"/>
      <c r="F4270" s="84"/>
      <c r="G4270" s="84"/>
      <c r="I4270" s="237"/>
      <c r="J4270" s="238"/>
    </row>
    <row r="4271">
      <c r="C4271" s="82"/>
      <c r="E4271" s="84"/>
      <c r="F4271" s="84"/>
      <c r="G4271" s="84"/>
      <c r="I4271" s="237"/>
      <c r="J4271" s="238"/>
    </row>
    <row r="4272">
      <c r="C4272" s="82"/>
      <c r="E4272" s="84"/>
      <c r="F4272" s="84"/>
      <c r="G4272" s="84"/>
      <c r="I4272" s="237"/>
      <c r="J4272" s="238"/>
    </row>
    <row r="4273">
      <c r="C4273" s="82"/>
      <c r="E4273" s="84"/>
      <c r="F4273" s="84"/>
      <c r="G4273" s="84"/>
      <c r="I4273" s="237"/>
      <c r="J4273" s="238"/>
    </row>
    <row r="4274">
      <c r="C4274" s="82"/>
      <c r="E4274" s="84"/>
      <c r="F4274" s="84"/>
      <c r="G4274" s="84"/>
      <c r="I4274" s="237"/>
      <c r="J4274" s="238"/>
    </row>
    <row r="4275">
      <c r="C4275" s="82"/>
      <c r="E4275" s="84"/>
      <c r="F4275" s="84"/>
      <c r="G4275" s="84"/>
      <c r="I4275" s="237"/>
      <c r="J4275" s="238"/>
    </row>
    <row r="4276">
      <c r="C4276" s="82"/>
      <c r="E4276" s="84"/>
      <c r="F4276" s="84"/>
      <c r="G4276" s="84"/>
      <c r="I4276" s="237"/>
      <c r="J4276" s="238"/>
    </row>
    <row r="4277">
      <c r="C4277" s="82"/>
      <c r="E4277" s="84"/>
      <c r="F4277" s="84"/>
      <c r="G4277" s="84"/>
      <c r="I4277" s="237"/>
      <c r="J4277" s="238"/>
    </row>
    <row r="4278">
      <c r="C4278" s="82"/>
      <c r="E4278" s="84"/>
      <c r="F4278" s="84"/>
      <c r="G4278" s="84"/>
      <c r="I4278" s="237"/>
      <c r="J4278" s="238"/>
    </row>
    <row r="4279">
      <c r="C4279" s="82"/>
      <c r="E4279" s="84"/>
      <c r="F4279" s="84"/>
      <c r="G4279" s="84"/>
      <c r="I4279" s="237"/>
      <c r="J4279" s="238"/>
    </row>
    <row r="4280">
      <c r="C4280" s="82"/>
      <c r="E4280" s="84"/>
      <c r="F4280" s="84"/>
      <c r="G4280" s="84"/>
      <c r="I4280" s="237"/>
      <c r="J4280" s="238"/>
    </row>
    <row r="4281">
      <c r="C4281" s="82"/>
      <c r="E4281" s="84"/>
      <c r="F4281" s="84"/>
      <c r="G4281" s="84"/>
      <c r="I4281" s="237"/>
      <c r="J4281" s="238"/>
    </row>
    <row r="4282">
      <c r="C4282" s="82"/>
      <c r="E4282" s="84"/>
      <c r="F4282" s="84"/>
      <c r="G4282" s="84"/>
      <c r="I4282" s="237"/>
      <c r="J4282" s="238"/>
    </row>
    <row r="4283">
      <c r="C4283" s="82"/>
      <c r="E4283" s="84"/>
      <c r="F4283" s="84"/>
      <c r="G4283" s="84"/>
      <c r="I4283" s="237"/>
      <c r="J4283" s="238"/>
    </row>
    <row r="4284">
      <c r="C4284" s="82"/>
      <c r="E4284" s="84"/>
      <c r="F4284" s="84"/>
      <c r="G4284" s="84"/>
      <c r="I4284" s="237"/>
      <c r="J4284" s="238"/>
    </row>
    <row r="4285">
      <c r="C4285" s="82"/>
      <c r="E4285" s="84"/>
      <c r="F4285" s="84"/>
      <c r="G4285" s="84"/>
      <c r="I4285" s="237"/>
      <c r="J4285" s="238"/>
    </row>
    <row r="4286">
      <c r="C4286" s="82"/>
      <c r="E4286" s="84"/>
      <c r="F4286" s="84"/>
      <c r="G4286" s="84"/>
      <c r="I4286" s="237"/>
      <c r="J4286" s="238"/>
    </row>
    <row r="4287">
      <c r="C4287" s="82"/>
      <c r="E4287" s="84"/>
      <c r="F4287" s="84"/>
      <c r="G4287" s="84"/>
      <c r="I4287" s="237"/>
      <c r="J4287" s="238"/>
    </row>
    <row r="4288">
      <c r="C4288" s="82"/>
      <c r="E4288" s="84"/>
      <c r="F4288" s="84"/>
      <c r="G4288" s="84"/>
      <c r="I4288" s="237"/>
      <c r="J4288" s="238"/>
    </row>
    <row r="4289">
      <c r="C4289" s="82"/>
      <c r="E4289" s="84"/>
      <c r="F4289" s="84"/>
      <c r="G4289" s="84"/>
      <c r="I4289" s="237"/>
      <c r="J4289" s="238"/>
    </row>
    <row r="4290">
      <c r="C4290" s="82"/>
      <c r="E4290" s="84"/>
      <c r="F4290" s="84"/>
      <c r="G4290" s="84"/>
      <c r="I4290" s="237"/>
      <c r="J4290" s="238"/>
    </row>
    <row r="4291">
      <c r="C4291" s="82"/>
      <c r="E4291" s="84"/>
      <c r="F4291" s="84"/>
      <c r="G4291" s="84"/>
      <c r="I4291" s="237"/>
      <c r="J4291" s="238"/>
    </row>
    <row r="4292">
      <c r="C4292" s="82"/>
      <c r="E4292" s="84"/>
      <c r="F4292" s="84"/>
      <c r="G4292" s="84"/>
      <c r="I4292" s="237"/>
      <c r="J4292" s="238"/>
    </row>
    <row r="4293">
      <c r="C4293" s="82"/>
      <c r="E4293" s="84"/>
      <c r="F4293" s="84"/>
      <c r="G4293" s="84"/>
      <c r="I4293" s="237"/>
      <c r="J4293" s="238"/>
    </row>
    <row r="4294">
      <c r="C4294" s="82"/>
      <c r="E4294" s="84"/>
      <c r="F4294" s="84"/>
      <c r="G4294" s="84"/>
      <c r="I4294" s="237"/>
      <c r="J4294" s="238"/>
    </row>
    <row r="4295">
      <c r="C4295" s="82"/>
      <c r="E4295" s="84"/>
      <c r="F4295" s="84"/>
      <c r="G4295" s="84"/>
      <c r="I4295" s="237"/>
      <c r="J4295" s="238"/>
    </row>
    <row r="4296">
      <c r="C4296" s="82"/>
      <c r="E4296" s="84"/>
      <c r="F4296" s="84"/>
      <c r="G4296" s="84"/>
      <c r="I4296" s="237"/>
      <c r="J4296" s="238"/>
    </row>
    <row r="4297">
      <c r="C4297" s="82"/>
      <c r="E4297" s="84"/>
      <c r="F4297" s="84"/>
      <c r="G4297" s="84"/>
      <c r="I4297" s="237"/>
      <c r="J4297" s="238"/>
    </row>
    <row r="4298">
      <c r="C4298" s="82"/>
      <c r="E4298" s="84"/>
      <c r="F4298" s="84"/>
      <c r="G4298" s="84"/>
      <c r="I4298" s="237"/>
      <c r="J4298" s="238"/>
    </row>
    <row r="4299">
      <c r="C4299" s="82"/>
      <c r="E4299" s="84"/>
      <c r="F4299" s="84"/>
      <c r="G4299" s="84"/>
      <c r="I4299" s="237"/>
      <c r="J4299" s="238"/>
    </row>
    <row r="4300">
      <c r="C4300" s="82"/>
      <c r="E4300" s="84"/>
      <c r="F4300" s="84"/>
      <c r="G4300" s="84"/>
      <c r="I4300" s="237"/>
      <c r="J4300" s="238"/>
    </row>
    <row r="4301">
      <c r="C4301" s="82"/>
      <c r="E4301" s="84"/>
      <c r="F4301" s="84"/>
      <c r="G4301" s="84"/>
      <c r="I4301" s="237"/>
      <c r="J4301" s="238"/>
    </row>
    <row r="4302">
      <c r="C4302" s="82"/>
      <c r="E4302" s="84"/>
      <c r="F4302" s="84"/>
      <c r="G4302" s="84"/>
      <c r="I4302" s="237"/>
      <c r="J4302" s="238"/>
    </row>
    <row r="4303">
      <c r="C4303" s="82"/>
      <c r="E4303" s="84"/>
      <c r="F4303" s="84"/>
      <c r="G4303" s="84"/>
      <c r="I4303" s="237"/>
      <c r="J4303" s="238"/>
    </row>
    <row r="4304">
      <c r="C4304" s="82"/>
      <c r="E4304" s="84"/>
      <c r="F4304" s="84"/>
      <c r="G4304" s="84"/>
      <c r="I4304" s="237"/>
      <c r="J4304" s="238"/>
    </row>
    <row r="4305">
      <c r="C4305" s="82"/>
      <c r="E4305" s="84"/>
      <c r="F4305" s="84"/>
      <c r="G4305" s="84"/>
      <c r="I4305" s="237"/>
      <c r="J4305" s="238"/>
    </row>
    <row r="4306">
      <c r="C4306" s="82"/>
      <c r="E4306" s="84"/>
      <c r="F4306" s="84"/>
      <c r="G4306" s="84"/>
      <c r="I4306" s="237"/>
      <c r="J4306" s="238"/>
    </row>
    <row r="4307">
      <c r="C4307" s="82"/>
      <c r="E4307" s="84"/>
      <c r="F4307" s="84"/>
      <c r="G4307" s="84"/>
      <c r="I4307" s="237"/>
      <c r="J4307" s="238"/>
    </row>
    <row r="4308">
      <c r="C4308" s="82"/>
      <c r="E4308" s="84"/>
      <c r="F4308" s="84"/>
      <c r="G4308" s="84"/>
      <c r="I4308" s="237"/>
      <c r="J4308" s="238"/>
    </row>
    <row r="4309">
      <c r="C4309" s="82"/>
      <c r="E4309" s="84"/>
      <c r="F4309" s="84"/>
      <c r="G4309" s="84"/>
      <c r="I4309" s="237"/>
      <c r="J4309" s="238"/>
    </row>
    <row r="4310">
      <c r="C4310" s="82"/>
      <c r="E4310" s="84"/>
      <c r="F4310" s="84"/>
      <c r="G4310" s="84"/>
      <c r="I4310" s="237"/>
      <c r="J4310" s="238"/>
    </row>
    <row r="4311">
      <c r="C4311" s="82"/>
      <c r="E4311" s="84"/>
      <c r="F4311" s="84"/>
      <c r="G4311" s="84"/>
      <c r="I4311" s="237"/>
      <c r="J4311" s="238"/>
    </row>
    <row r="4312">
      <c r="C4312" s="82"/>
      <c r="E4312" s="84"/>
      <c r="F4312" s="84"/>
      <c r="G4312" s="84"/>
      <c r="I4312" s="237"/>
      <c r="J4312" s="238"/>
    </row>
    <row r="4313">
      <c r="C4313" s="82"/>
      <c r="E4313" s="84"/>
      <c r="F4313" s="84"/>
      <c r="G4313" s="84"/>
      <c r="I4313" s="237"/>
      <c r="J4313" s="238"/>
    </row>
    <row r="4314">
      <c r="C4314" s="82"/>
      <c r="E4314" s="84"/>
      <c r="F4314" s="84"/>
      <c r="G4314" s="84"/>
      <c r="I4314" s="237"/>
      <c r="J4314" s="238"/>
    </row>
    <row r="4315">
      <c r="C4315" s="82"/>
      <c r="E4315" s="84"/>
      <c r="F4315" s="84"/>
      <c r="G4315" s="84"/>
      <c r="I4315" s="237"/>
      <c r="J4315" s="238"/>
    </row>
    <row r="4316">
      <c r="C4316" s="82"/>
      <c r="E4316" s="84"/>
      <c r="F4316" s="84"/>
      <c r="G4316" s="84"/>
      <c r="I4316" s="237"/>
      <c r="J4316" s="238"/>
    </row>
    <row r="4317">
      <c r="C4317" s="82"/>
      <c r="E4317" s="84"/>
      <c r="F4317" s="84"/>
      <c r="G4317" s="84"/>
      <c r="I4317" s="237"/>
      <c r="J4317" s="238"/>
    </row>
    <row r="4318">
      <c r="C4318" s="82"/>
      <c r="E4318" s="84"/>
      <c r="F4318" s="84"/>
      <c r="G4318" s="84"/>
      <c r="I4318" s="237"/>
      <c r="J4318" s="238"/>
    </row>
    <row r="4319">
      <c r="C4319" s="82"/>
      <c r="E4319" s="84"/>
      <c r="F4319" s="84"/>
      <c r="G4319" s="84"/>
      <c r="I4319" s="237"/>
      <c r="J4319" s="238"/>
    </row>
    <row r="4320">
      <c r="C4320" s="82"/>
      <c r="E4320" s="84"/>
      <c r="F4320" s="84"/>
      <c r="G4320" s="84"/>
      <c r="I4320" s="237"/>
      <c r="J4320" s="238"/>
    </row>
    <row r="4321">
      <c r="C4321" s="82"/>
      <c r="E4321" s="84"/>
      <c r="F4321" s="84"/>
      <c r="G4321" s="84"/>
      <c r="I4321" s="237"/>
      <c r="J4321" s="238"/>
    </row>
    <row r="4322">
      <c r="C4322" s="82"/>
      <c r="E4322" s="84"/>
      <c r="F4322" s="84"/>
      <c r="G4322" s="84"/>
      <c r="I4322" s="237"/>
      <c r="J4322" s="238"/>
    </row>
    <row r="4323">
      <c r="C4323" s="82"/>
      <c r="E4323" s="84"/>
      <c r="F4323" s="84"/>
      <c r="G4323" s="84"/>
      <c r="I4323" s="237"/>
      <c r="J4323" s="238"/>
    </row>
    <row r="4324">
      <c r="C4324" s="82"/>
      <c r="E4324" s="84"/>
      <c r="F4324" s="84"/>
      <c r="G4324" s="84"/>
      <c r="I4324" s="237"/>
      <c r="J4324" s="238"/>
    </row>
    <row r="4325">
      <c r="C4325" s="82"/>
      <c r="E4325" s="84"/>
      <c r="F4325" s="84"/>
      <c r="G4325" s="84"/>
      <c r="I4325" s="237"/>
      <c r="J4325" s="238"/>
    </row>
    <row r="4326">
      <c r="C4326" s="82"/>
      <c r="E4326" s="84"/>
      <c r="F4326" s="84"/>
      <c r="G4326" s="84"/>
      <c r="I4326" s="237"/>
      <c r="J4326" s="238"/>
    </row>
    <row r="4327">
      <c r="C4327" s="82"/>
      <c r="E4327" s="84"/>
      <c r="F4327" s="84"/>
      <c r="G4327" s="84"/>
      <c r="I4327" s="237"/>
      <c r="J4327" s="238"/>
    </row>
    <row r="4328">
      <c r="C4328" s="82"/>
      <c r="E4328" s="84"/>
      <c r="F4328" s="84"/>
      <c r="G4328" s="84"/>
      <c r="I4328" s="237"/>
      <c r="J4328" s="238"/>
    </row>
    <row r="4329">
      <c r="C4329" s="82"/>
      <c r="E4329" s="84"/>
      <c r="F4329" s="84"/>
      <c r="G4329" s="84"/>
      <c r="I4329" s="237"/>
      <c r="J4329" s="238"/>
    </row>
    <row r="4330">
      <c r="C4330" s="82"/>
      <c r="E4330" s="84"/>
      <c r="F4330" s="84"/>
      <c r="G4330" s="84"/>
      <c r="I4330" s="237"/>
      <c r="J4330" s="238"/>
    </row>
    <row r="4331">
      <c r="C4331" s="82"/>
      <c r="E4331" s="84"/>
      <c r="F4331" s="84"/>
      <c r="G4331" s="84"/>
      <c r="I4331" s="237"/>
      <c r="J4331" s="238"/>
    </row>
    <row r="4332">
      <c r="C4332" s="82"/>
      <c r="E4332" s="84"/>
      <c r="F4332" s="84"/>
      <c r="G4332" s="84"/>
      <c r="I4332" s="237"/>
      <c r="J4332" s="238"/>
    </row>
    <row r="4333">
      <c r="C4333" s="82"/>
      <c r="E4333" s="84"/>
      <c r="F4333" s="84"/>
      <c r="G4333" s="84"/>
      <c r="I4333" s="237"/>
      <c r="J4333" s="238"/>
    </row>
    <row r="4334">
      <c r="C4334" s="82"/>
      <c r="E4334" s="84"/>
      <c r="F4334" s="84"/>
      <c r="G4334" s="84"/>
      <c r="I4334" s="237"/>
      <c r="J4334" s="238"/>
    </row>
    <row r="4335">
      <c r="C4335" s="82"/>
      <c r="E4335" s="84"/>
      <c r="F4335" s="84"/>
      <c r="G4335" s="84"/>
      <c r="I4335" s="237"/>
      <c r="J4335" s="238"/>
    </row>
    <row r="4336">
      <c r="C4336" s="82"/>
      <c r="E4336" s="84"/>
      <c r="F4336" s="84"/>
      <c r="G4336" s="84"/>
      <c r="I4336" s="237"/>
      <c r="J4336" s="238"/>
    </row>
    <row r="4337">
      <c r="C4337" s="82"/>
      <c r="E4337" s="84"/>
      <c r="F4337" s="84"/>
      <c r="G4337" s="84"/>
      <c r="I4337" s="237"/>
      <c r="J4337" s="238"/>
    </row>
    <row r="4338">
      <c r="C4338" s="82"/>
      <c r="E4338" s="84"/>
      <c r="F4338" s="84"/>
      <c r="G4338" s="84"/>
      <c r="I4338" s="237"/>
      <c r="J4338" s="238"/>
    </row>
    <row r="4339">
      <c r="C4339" s="82"/>
      <c r="E4339" s="84"/>
      <c r="F4339" s="84"/>
      <c r="G4339" s="84"/>
      <c r="I4339" s="237"/>
      <c r="J4339" s="238"/>
    </row>
    <row r="4340">
      <c r="C4340" s="82"/>
      <c r="E4340" s="84"/>
      <c r="F4340" s="84"/>
      <c r="G4340" s="84"/>
      <c r="I4340" s="237"/>
      <c r="J4340" s="238"/>
    </row>
    <row r="4341">
      <c r="C4341" s="82"/>
      <c r="E4341" s="84"/>
      <c r="F4341" s="84"/>
      <c r="G4341" s="84"/>
      <c r="I4341" s="237"/>
      <c r="J4341" s="238"/>
    </row>
    <row r="4342">
      <c r="C4342" s="82"/>
      <c r="E4342" s="84"/>
      <c r="F4342" s="84"/>
      <c r="G4342" s="84"/>
      <c r="I4342" s="237"/>
      <c r="J4342" s="238"/>
    </row>
    <row r="4343">
      <c r="C4343" s="82"/>
      <c r="E4343" s="84"/>
      <c r="F4343" s="84"/>
      <c r="G4343" s="84"/>
      <c r="I4343" s="237"/>
      <c r="J4343" s="238"/>
    </row>
    <row r="4344">
      <c r="C4344" s="82"/>
      <c r="E4344" s="84"/>
      <c r="F4344" s="84"/>
      <c r="G4344" s="84"/>
      <c r="I4344" s="237"/>
      <c r="J4344" s="238"/>
    </row>
    <row r="4345">
      <c r="C4345" s="82"/>
      <c r="E4345" s="84"/>
      <c r="F4345" s="84"/>
      <c r="G4345" s="84"/>
      <c r="I4345" s="237"/>
      <c r="J4345" s="238"/>
    </row>
    <row r="4346">
      <c r="C4346" s="82"/>
      <c r="E4346" s="84"/>
      <c r="F4346" s="84"/>
      <c r="G4346" s="84"/>
      <c r="I4346" s="237"/>
      <c r="J4346" s="238"/>
    </row>
    <row r="4347">
      <c r="C4347" s="82"/>
      <c r="E4347" s="84"/>
      <c r="F4347" s="84"/>
      <c r="G4347" s="84"/>
      <c r="I4347" s="237"/>
      <c r="J4347" s="238"/>
    </row>
    <row r="4348">
      <c r="C4348" s="82"/>
      <c r="E4348" s="84"/>
      <c r="F4348" s="84"/>
      <c r="G4348" s="84"/>
      <c r="I4348" s="237"/>
      <c r="J4348" s="238"/>
    </row>
    <row r="4349">
      <c r="C4349" s="82"/>
      <c r="E4349" s="84"/>
      <c r="F4349" s="84"/>
      <c r="G4349" s="84"/>
      <c r="I4349" s="237"/>
      <c r="J4349" s="238"/>
    </row>
    <row r="4350">
      <c r="C4350" s="82"/>
      <c r="E4350" s="84"/>
      <c r="F4350" s="84"/>
      <c r="G4350" s="84"/>
      <c r="I4350" s="237"/>
      <c r="J4350" s="238"/>
    </row>
    <row r="4351">
      <c r="C4351" s="82"/>
      <c r="E4351" s="84"/>
      <c r="F4351" s="84"/>
      <c r="G4351" s="84"/>
      <c r="I4351" s="237"/>
      <c r="J4351" s="238"/>
    </row>
    <row r="4352">
      <c r="C4352" s="82"/>
      <c r="E4352" s="84"/>
      <c r="F4352" s="84"/>
      <c r="G4352" s="84"/>
      <c r="I4352" s="237"/>
      <c r="J4352" s="238"/>
    </row>
    <row r="4353">
      <c r="C4353" s="82"/>
      <c r="E4353" s="84"/>
      <c r="F4353" s="84"/>
      <c r="G4353" s="84"/>
      <c r="I4353" s="237"/>
      <c r="J4353" s="238"/>
    </row>
    <row r="4354">
      <c r="C4354" s="82"/>
      <c r="E4354" s="84"/>
      <c r="F4354" s="84"/>
      <c r="G4354" s="84"/>
      <c r="I4354" s="237"/>
      <c r="J4354" s="238"/>
    </row>
    <row r="4355">
      <c r="C4355" s="82"/>
      <c r="E4355" s="84"/>
      <c r="F4355" s="84"/>
      <c r="G4355" s="84"/>
      <c r="I4355" s="237"/>
      <c r="J4355" s="238"/>
    </row>
    <row r="4356">
      <c r="C4356" s="82"/>
      <c r="E4356" s="84"/>
      <c r="F4356" s="84"/>
      <c r="G4356" s="84"/>
      <c r="I4356" s="237"/>
      <c r="J4356" s="238"/>
    </row>
    <row r="4357">
      <c r="C4357" s="82"/>
      <c r="E4357" s="84"/>
      <c r="F4357" s="84"/>
      <c r="G4357" s="84"/>
      <c r="I4357" s="237"/>
      <c r="J4357" s="238"/>
    </row>
    <row r="4358">
      <c r="C4358" s="82"/>
      <c r="E4358" s="84"/>
      <c r="F4358" s="84"/>
      <c r="G4358" s="84"/>
      <c r="I4358" s="237"/>
      <c r="J4358" s="238"/>
    </row>
    <row r="4359">
      <c r="C4359" s="82"/>
      <c r="E4359" s="84"/>
      <c r="F4359" s="84"/>
      <c r="G4359" s="84"/>
      <c r="I4359" s="237"/>
      <c r="J4359" s="238"/>
    </row>
    <row r="4360">
      <c r="C4360" s="82"/>
      <c r="E4360" s="84"/>
      <c r="F4360" s="84"/>
      <c r="G4360" s="84"/>
      <c r="I4360" s="237"/>
      <c r="J4360" s="238"/>
    </row>
    <row r="4361">
      <c r="C4361" s="82"/>
      <c r="E4361" s="84"/>
      <c r="F4361" s="84"/>
      <c r="G4361" s="84"/>
      <c r="I4361" s="237"/>
      <c r="J4361" s="238"/>
    </row>
    <row r="4362">
      <c r="C4362" s="82"/>
      <c r="E4362" s="84"/>
      <c r="F4362" s="84"/>
      <c r="G4362" s="84"/>
      <c r="I4362" s="237"/>
      <c r="J4362" s="238"/>
    </row>
    <row r="4363">
      <c r="C4363" s="82"/>
      <c r="E4363" s="84"/>
      <c r="F4363" s="84"/>
      <c r="G4363" s="84"/>
      <c r="I4363" s="237"/>
      <c r="J4363" s="238"/>
    </row>
    <row r="4364">
      <c r="C4364" s="82"/>
      <c r="E4364" s="84"/>
      <c r="F4364" s="84"/>
      <c r="G4364" s="84"/>
      <c r="I4364" s="237"/>
      <c r="J4364" s="238"/>
    </row>
    <row r="4365">
      <c r="C4365" s="82"/>
      <c r="E4365" s="84"/>
      <c r="F4365" s="84"/>
      <c r="G4365" s="84"/>
      <c r="I4365" s="237"/>
      <c r="J4365" s="238"/>
    </row>
    <row r="4366">
      <c r="C4366" s="82"/>
      <c r="E4366" s="84"/>
      <c r="F4366" s="84"/>
      <c r="G4366" s="84"/>
      <c r="I4366" s="237"/>
      <c r="J4366" s="238"/>
    </row>
    <row r="4367">
      <c r="C4367" s="82"/>
      <c r="E4367" s="84"/>
      <c r="F4367" s="84"/>
      <c r="G4367" s="84"/>
      <c r="I4367" s="237"/>
      <c r="J4367" s="238"/>
    </row>
    <row r="4368">
      <c r="C4368" s="82"/>
      <c r="E4368" s="84"/>
      <c r="F4368" s="84"/>
      <c r="G4368" s="84"/>
      <c r="I4368" s="237"/>
      <c r="J4368" s="238"/>
    </row>
    <row r="4369">
      <c r="C4369" s="82"/>
      <c r="E4369" s="84"/>
      <c r="F4369" s="84"/>
      <c r="G4369" s="84"/>
      <c r="I4369" s="237"/>
      <c r="J4369" s="238"/>
    </row>
    <row r="4370">
      <c r="C4370" s="82"/>
      <c r="E4370" s="84"/>
      <c r="F4370" s="84"/>
      <c r="G4370" s="84"/>
      <c r="I4370" s="237"/>
      <c r="J4370" s="238"/>
    </row>
    <row r="4371">
      <c r="C4371" s="82"/>
      <c r="E4371" s="84"/>
      <c r="F4371" s="84"/>
      <c r="G4371" s="84"/>
      <c r="I4371" s="237"/>
      <c r="J4371" s="238"/>
    </row>
    <row r="4372">
      <c r="C4372" s="82"/>
      <c r="E4372" s="84"/>
      <c r="F4372" s="84"/>
      <c r="G4372" s="84"/>
      <c r="I4372" s="237"/>
      <c r="J4372" s="238"/>
    </row>
    <row r="4373">
      <c r="C4373" s="82"/>
      <c r="E4373" s="84"/>
      <c r="F4373" s="84"/>
      <c r="G4373" s="84"/>
      <c r="I4373" s="237"/>
      <c r="J4373" s="238"/>
    </row>
    <row r="4374">
      <c r="C4374" s="82"/>
      <c r="E4374" s="84"/>
      <c r="F4374" s="84"/>
      <c r="G4374" s="84"/>
      <c r="I4374" s="237"/>
      <c r="J4374" s="238"/>
    </row>
    <row r="4375">
      <c r="C4375" s="82"/>
      <c r="E4375" s="84"/>
      <c r="F4375" s="84"/>
      <c r="G4375" s="84"/>
      <c r="I4375" s="237"/>
      <c r="J4375" s="238"/>
    </row>
    <row r="4376">
      <c r="C4376" s="82"/>
      <c r="E4376" s="84"/>
      <c r="F4376" s="84"/>
      <c r="G4376" s="84"/>
      <c r="I4376" s="237"/>
      <c r="J4376" s="238"/>
    </row>
    <row r="4377">
      <c r="C4377" s="82"/>
      <c r="E4377" s="84"/>
      <c r="F4377" s="84"/>
      <c r="G4377" s="84"/>
      <c r="I4377" s="237"/>
      <c r="J4377" s="238"/>
    </row>
    <row r="4378">
      <c r="C4378" s="82"/>
      <c r="E4378" s="84"/>
      <c r="F4378" s="84"/>
      <c r="G4378" s="84"/>
      <c r="I4378" s="237"/>
      <c r="J4378" s="238"/>
    </row>
    <row r="4379">
      <c r="C4379" s="82"/>
      <c r="E4379" s="84"/>
      <c r="F4379" s="84"/>
      <c r="G4379" s="84"/>
      <c r="I4379" s="237"/>
      <c r="J4379" s="238"/>
    </row>
    <row r="4380">
      <c r="C4380" s="82"/>
      <c r="E4380" s="84"/>
      <c r="F4380" s="84"/>
      <c r="G4380" s="84"/>
      <c r="I4380" s="237"/>
      <c r="J4380" s="238"/>
    </row>
    <row r="4381">
      <c r="C4381" s="82"/>
      <c r="E4381" s="84"/>
      <c r="F4381" s="84"/>
      <c r="G4381" s="84"/>
      <c r="I4381" s="237"/>
      <c r="J4381" s="238"/>
    </row>
    <row r="4382">
      <c r="C4382" s="82"/>
      <c r="E4382" s="84"/>
      <c r="F4382" s="84"/>
      <c r="G4382" s="84"/>
      <c r="I4382" s="237"/>
      <c r="J4382" s="238"/>
    </row>
    <row r="4383">
      <c r="C4383" s="82"/>
      <c r="E4383" s="84"/>
      <c r="F4383" s="84"/>
      <c r="G4383" s="84"/>
      <c r="I4383" s="237"/>
      <c r="J4383" s="238"/>
    </row>
    <row r="4384">
      <c r="C4384" s="82"/>
      <c r="E4384" s="84"/>
      <c r="F4384" s="84"/>
      <c r="G4384" s="84"/>
      <c r="I4384" s="237"/>
      <c r="J4384" s="238"/>
    </row>
    <row r="4385">
      <c r="C4385" s="82"/>
      <c r="E4385" s="84"/>
      <c r="F4385" s="84"/>
      <c r="G4385" s="84"/>
      <c r="I4385" s="237"/>
      <c r="J4385" s="238"/>
    </row>
    <row r="4386">
      <c r="C4386" s="82"/>
      <c r="E4386" s="84"/>
      <c r="F4386" s="84"/>
      <c r="G4386" s="84"/>
      <c r="I4386" s="237"/>
      <c r="J4386" s="238"/>
    </row>
    <row r="4387">
      <c r="C4387" s="82"/>
      <c r="E4387" s="84"/>
      <c r="F4387" s="84"/>
      <c r="G4387" s="84"/>
      <c r="I4387" s="237"/>
      <c r="J4387" s="238"/>
    </row>
    <row r="4388">
      <c r="C4388" s="82"/>
      <c r="E4388" s="84"/>
      <c r="F4388" s="84"/>
      <c r="G4388" s="84"/>
      <c r="I4388" s="237"/>
      <c r="J4388" s="238"/>
    </row>
    <row r="4389">
      <c r="C4389" s="82"/>
      <c r="E4389" s="84"/>
      <c r="F4389" s="84"/>
      <c r="G4389" s="84"/>
      <c r="I4389" s="237"/>
      <c r="J4389" s="238"/>
    </row>
    <row r="4390">
      <c r="C4390" s="82"/>
      <c r="E4390" s="84"/>
      <c r="F4390" s="84"/>
      <c r="G4390" s="84"/>
      <c r="I4390" s="237"/>
      <c r="J4390" s="238"/>
    </row>
    <row r="4391">
      <c r="C4391" s="82"/>
      <c r="E4391" s="84"/>
      <c r="F4391" s="84"/>
      <c r="G4391" s="84"/>
      <c r="I4391" s="237"/>
      <c r="J4391" s="238"/>
    </row>
    <row r="4392">
      <c r="C4392" s="82"/>
      <c r="E4392" s="84"/>
      <c r="F4392" s="84"/>
      <c r="G4392" s="84"/>
      <c r="I4392" s="237"/>
      <c r="J4392" s="238"/>
    </row>
    <row r="4393">
      <c r="C4393" s="82"/>
      <c r="E4393" s="84"/>
      <c r="F4393" s="84"/>
      <c r="G4393" s="84"/>
      <c r="I4393" s="237"/>
      <c r="J4393" s="238"/>
    </row>
    <row r="4394">
      <c r="C4394" s="82"/>
      <c r="E4394" s="84"/>
      <c r="F4394" s="84"/>
      <c r="G4394" s="84"/>
      <c r="I4394" s="237"/>
      <c r="J4394" s="238"/>
    </row>
    <row r="4395">
      <c r="C4395" s="82"/>
      <c r="E4395" s="84"/>
      <c r="F4395" s="84"/>
      <c r="G4395" s="84"/>
      <c r="I4395" s="237"/>
      <c r="J4395" s="238"/>
    </row>
    <row r="4396">
      <c r="C4396" s="82"/>
      <c r="E4396" s="84"/>
      <c r="F4396" s="84"/>
      <c r="G4396" s="84"/>
      <c r="I4396" s="237"/>
      <c r="J4396" s="238"/>
    </row>
    <row r="4397">
      <c r="C4397" s="82"/>
      <c r="E4397" s="84"/>
      <c r="F4397" s="84"/>
      <c r="G4397" s="84"/>
      <c r="I4397" s="237"/>
      <c r="J4397" s="238"/>
    </row>
    <row r="4398">
      <c r="C4398" s="82"/>
      <c r="E4398" s="84"/>
      <c r="F4398" s="84"/>
      <c r="G4398" s="84"/>
      <c r="I4398" s="237"/>
      <c r="J4398" s="238"/>
    </row>
    <row r="4399">
      <c r="C4399" s="82"/>
      <c r="E4399" s="84"/>
      <c r="F4399" s="84"/>
      <c r="G4399" s="84"/>
      <c r="I4399" s="237"/>
      <c r="J4399" s="238"/>
    </row>
    <row r="4400">
      <c r="C4400" s="82"/>
      <c r="E4400" s="84"/>
      <c r="F4400" s="84"/>
      <c r="G4400" s="84"/>
      <c r="I4400" s="237"/>
      <c r="J4400" s="238"/>
    </row>
    <row r="4401">
      <c r="C4401" s="82"/>
      <c r="E4401" s="84"/>
      <c r="F4401" s="84"/>
      <c r="G4401" s="84"/>
      <c r="I4401" s="237"/>
      <c r="J4401" s="238"/>
    </row>
    <row r="4402">
      <c r="C4402" s="82"/>
      <c r="E4402" s="84"/>
      <c r="F4402" s="84"/>
      <c r="G4402" s="84"/>
      <c r="I4402" s="237"/>
      <c r="J4402" s="238"/>
    </row>
    <row r="4403">
      <c r="C4403" s="82"/>
      <c r="E4403" s="84"/>
      <c r="F4403" s="84"/>
      <c r="G4403" s="84"/>
      <c r="I4403" s="237"/>
      <c r="J4403" s="238"/>
    </row>
    <row r="4404">
      <c r="C4404" s="82"/>
      <c r="E4404" s="84"/>
      <c r="F4404" s="84"/>
      <c r="G4404" s="84"/>
      <c r="I4404" s="237"/>
      <c r="J4404" s="238"/>
    </row>
    <row r="4405">
      <c r="C4405" s="82"/>
      <c r="E4405" s="84"/>
      <c r="F4405" s="84"/>
      <c r="G4405" s="84"/>
      <c r="I4405" s="237"/>
      <c r="J4405" s="238"/>
    </row>
    <row r="4406">
      <c r="C4406" s="82"/>
      <c r="E4406" s="84"/>
      <c r="F4406" s="84"/>
      <c r="G4406" s="84"/>
      <c r="I4406" s="237"/>
      <c r="J4406" s="238"/>
    </row>
    <row r="4407">
      <c r="C4407" s="82"/>
      <c r="E4407" s="84"/>
      <c r="F4407" s="84"/>
      <c r="G4407" s="84"/>
      <c r="I4407" s="237"/>
      <c r="J4407" s="238"/>
    </row>
    <row r="4408">
      <c r="C4408" s="82"/>
      <c r="E4408" s="84"/>
      <c r="F4408" s="84"/>
      <c r="G4408" s="84"/>
      <c r="I4408" s="237"/>
      <c r="J4408" s="238"/>
    </row>
    <row r="4409">
      <c r="C4409" s="82"/>
      <c r="E4409" s="84"/>
      <c r="F4409" s="84"/>
      <c r="G4409" s="84"/>
      <c r="I4409" s="237"/>
      <c r="J4409" s="238"/>
    </row>
    <row r="4410">
      <c r="C4410" s="82"/>
      <c r="E4410" s="84"/>
      <c r="F4410" s="84"/>
      <c r="G4410" s="84"/>
      <c r="I4410" s="237"/>
      <c r="J4410" s="238"/>
    </row>
    <row r="4411">
      <c r="C4411" s="82"/>
      <c r="E4411" s="84"/>
      <c r="F4411" s="84"/>
      <c r="G4411" s="84"/>
      <c r="I4411" s="237"/>
      <c r="J4411" s="238"/>
    </row>
    <row r="4412">
      <c r="C4412" s="82"/>
      <c r="E4412" s="84"/>
      <c r="F4412" s="84"/>
      <c r="G4412" s="84"/>
      <c r="I4412" s="237"/>
      <c r="J4412" s="238"/>
    </row>
    <row r="4413">
      <c r="C4413" s="82"/>
      <c r="E4413" s="84"/>
      <c r="F4413" s="84"/>
      <c r="G4413" s="84"/>
      <c r="I4413" s="237"/>
      <c r="J4413" s="238"/>
    </row>
    <row r="4414">
      <c r="C4414" s="82"/>
      <c r="E4414" s="84"/>
      <c r="F4414" s="84"/>
      <c r="G4414" s="84"/>
      <c r="I4414" s="237"/>
      <c r="J4414" s="238"/>
    </row>
    <row r="4415">
      <c r="C4415" s="82"/>
      <c r="E4415" s="84"/>
      <c r="F4415" s="84"/>
      <c r="G4415" s="84"/>
      <c r="I4415" s="237"/>
      <c r="J4415" s="238"/>
    </row>
    <row r="4416">
      <c r="C4416" s="82"/>
      <c r="E4416" s="84"/>
      <c r="F4416" s="84"/>
      <c r="G4416" s="84"/>
      <c r="I4416" s="237"/>
      <c r="J4416" s="238"/>
    </row>
    <row r="4417">
      <c r="C4417" s="82"/>
      <c r="E4417" s="84"/>
      <c r="F4417" s="84"/>
      <c r="G4417" s="84"/>
      <c r="I4417" s="237"/>
      <c r="J4417" s="238"/>
    </row>
    <row r="4418">
      <c r="C4418" s="82"/>
      <c r="E4418" s="84"/>
      <c r="F4418" s="84"/>
      <c r="G4418" s="84"/>
      <c r="I4418" s="237"/>
      <c r="J4418" s="238"/>
    </row>
    <row r="4419">
      <c r="C4419" s="82"/>
      <c r="E4419" s="84"/>
      <c r="F4419" s="84"/>
      <c r="G4419" s="84"/>
      <c r="I4419" s="237"/>
      <c r="J4419" s="238"/>
    </row>
    <row r="4420">
      <c r="C4420" s="82"/>
      <c r="E4420" s="84"/>
      <c r="F4420" s="84"/>
      <c r="G4420" s="84"/>
      <c r="I4420" s="237"/>
      <c r="J4420" s="238"/>
    </row>
    <row r="4421">
      <c r="C4421" s="82"/>
      <c r="E4421" s="84"/>
      <c r="F4421" s="84"/>
      <c r="G4421" s="84"/>
      <c r="I4421" s="237"/>
      <c r="J4421" s="238"/>
    </row>
    <row r="4422">
      <c r="C4422" s="82"/>
      <c r="E4422" s="84"/>
      <c r="F4422" s="84"/>
      <c r="G4422" s="84"/>
      <c r="I4422" s="237"/>
      <c r="J4422" s="238"/>
    </row>
    <row r="4423">
      <c r="C4423" s="82"/>
      <c r="E4423" s="84"/>
      <c r="F4423" s="84"/>
      <c r="G4423" s="84"/>
      <c r="I4423" s="237"/>
      <c r="J4423" s="238"/>
    </row>
    <row r="4424">
      <c r="C4424" s="82"/>
      <c r="E4424" s="84"/>
      <c r="F4424" s="84"/>
      <c r="G4424" s="84"/>
      <c r="I4424" s="237"/>
      <c r="J4424" s="238"/>
    </row>
    <row r="4425">
      <c r="C4425" s="82"/>
      <c r="E4425" s="84"/>
      <c r="F4425" s="84"/>
      <c r="G4425" s="84"/>
      <c r="I4425" s="237"/>
      <c r="J4425" s="238"/>
    </row>
    <row r="4426">
      <c r="C4426" s="82"/>
      <c r="E4426" s="84"/>
      <c r="F4426" s="84"/>
      <c r="G4426" s="84"/>
      <c r="I4426" s="237"/>
      <c r="J4426" s="238"/>
    </row>
    <row r="4427">
      <c r="C4427" s="82"/>
      <c r="E4427" s="84"/>
      <c r="F4427" s="84"/>
      <c r="G4427" s="84"/>
      <c r="I4427" s="237"/>
      <c r="J4427" s="238"/>
    </row>
    <row r="4428">
      <c r="C4428" s="82"/>
      <c r="E4428" s="84"/>
      <c r="F4428" s="84"/>
      <c r="G4428" s="84"/>
      <c r="I4428" s="237"/>
      <c r="J4428" s="238"/>
    </row>
    <row r="4429">
      <c r="C4429" s="82"/>
      <c r="E4429" s="84"/>
      <c r="F4429" s="84"/>
      <c r="G4429" s="84"/>
      <c r="I4429" s="237"/>
      <c r="J4429" s="238"/>
    </row>
    <row r="4430">
      <c r="C4430" s="82"/>
      <c r="E4430" s="84"/>
      <c r="F4430" s="84"/>
      <c r="G4430" s="84"/>
      <c r="I4430" s="237"/>
      <c r="J4430" s="238"/>
    </row>
    <row r="4431">
      <c r="C4431" s="82"/>
      <c r="E4431" s="84"/>
      <c r="F4431" s="84"/>
      <c r="G4431" s="84"/>
      <c r="I4431" s="237"/>
      <c r="J4431" s="238"/>
    </row>
    <row r="4432">
      <c r="C4432" s="82"/>
      <c r="E4432" s="84"/>
      <c r="F4432" s="84"/>
      <c r="G4432" s="84"/>
      <c r="I4432" s="237"/>
      <c r="J4432" s="238"/>
    </row>
    <row r="4433">
      <c r="C4433" s="82"/>
      <c r="E4433" s="84"/>
      <c r="F4433" s="84"/>
      <c r="G4433" s="84"/>
      <c r="I4433" s="237"/>
      <c r="J4433" s="238"/>
    </row>
    <row r="4434">
      <c r="C4434" s="82"/>
      <c r="E4434" s="84"/>
      <c r="F4434" s="84"/>
      <c r="G4434" s="84"/>
      <c r="I4434" s="237"/>
      <c r="J4434" s="238"/>
    </row>
    <row r="4435">
      <c r="C4435" s="82"/>
      <c r="E4435" s="84"/>
      <c r="F4435" s="84"/>
      <c r="G4435" s="84"/>
      <c r="I4435" s="237"/>
      <c r="J4435" s="238"/>
    </row>
    <row r="4436">
      <c r="C4436" s="82"/>
      <c r="E4436" s="84"/>
      <c r="F4436" s="84"/>
      <c r="G4436" s="84"/>
      <c r="I4436" s="237"/>
      <c r="J4436" s="238"/>
    </row>
    <row r="4437">
      <c r="C4437" s="82"/>
      <c r="E4437" s="84"/>
      <c r="F4437" s="84"/>
      <c r="G4437" s="84"/>
      <c r="I4437" s="237"/>
      <c r="J4437" s="238"/>
    </row>
    <row r="4438">
      <c r="C4438" s="82"/>
      <c r="E4438" s="84"/>
      <c r="F4438" s="84"/>
      <c r="G4438" s="84"/>
      <c r="I4438" s="237"/>
      <c r="J4438" s="238"/>
    </row>
    <row r="4439">
      <c r="C4439" s="82"/>
      <c r="E4439" s="84"/>
      <c r="F4439" s="84"/>
      <c r="G4439" s="84"/>
      <c r="I4439" s="237"/>
      <c r="J4439" s="238"/>
    </row>
    <row r="4440">
      <c r="C4440" s="82"/>
      <c r="E4440" s="84"/>
      <c r="F4440" s="84"/>
      <c r="G4440" s="84"/>
      <c r="I4440" s="237"/>
      <c r="J4440" s="238"/>
    </row>
    <row r="4441">
      <c r="C4441" s="82"/>
      <c r="E4441" s="84"/>
      <c r="F4441" s="84"/>
      <c r="G4441" s="84"/>
      <c r="I4441" s="237"/>
      <c r="J4441" s="238"/>
    </row>
    <row r="4442">
      <c r="C4442" s="82"/>
      <c r="E4442" s="84"/>
      <c r="F4442" s="84"/>
      <c r="G4442" s="84"/>
      <c r="I4442" s="237"/>
      <c r="J4442" s="238"/>
    </row>
    <row r="4443">
      <c r="C4443" s="82"/>
      <c r="E4443" s="84"/>
      <c r="F4443" s="84"/>
      <c r="G4443" s="84"/>
      <c r="I4443" s="237"/>
      <c r="J4443" s="238"/>
    </row>
    <row r="4444">
      <c r="C4444" s="82"/>
      <c r="E4444" s="84"/>
      <c r="F4444" s="84"/>
      <c r="G4444" s="84"/>
      <c r="I4444" s="237"/>
      <c r="J4444" s="238"/>
    </row>
    <row r="4445">
      <c r="C4445" s="82"/>
      <c r="E4445" s="84"/>
      <c r="F4445" s="84"/>
      <c r="G4445" s="84"/>
      <c r="I4445" s="237"/>
      <c r="J4445" s="238"/>
    </row>
    <row r="4446">
      <c r="C4446" s="82"/>
      <c r="E4446" s="84"/>
      <c r="F4446" s="84"/>
      <c r="G4446" s="84"/>
      <c r="I4446" s="237"/>
      <c r="J4446" s="238"/>
    </row>
    <row r="4447">
      <c r="C4447" s="82"/>
      <c r="E4447" s="84"/>
      <c r="F4447" s="84"/>
      <c r="G4447" s="84"/>
      <c r="I4447" s="237"/>
      <c r="J4447" s="238"/>
    </row>
    <row r="4448">
      <c r="C4448" s="82"/>
      <c r="E4448" s="84"/>
      <c r="F4448" s="84"/>
      <c r="G4448" s="84"/>
      <c r="I4448" s="237"/>
      <c r="J4448" s="238"/>
    </row>
    <row r="4449">
      <c r="C4449" s="82"/>
      <c r="E4449" s="84"/>
      <c r="F4449" s="84"/>
      <c r="G4449" s="84"/>
      <c r="I4449" s="237"/>
      <c r="J4449" s="238"/>
    </row>
    <row r="4450">
      <c r="C4450" s="82"/>
      <c r="E4450" s="84"/>
      <c r="F4450" s="84"/>
      <c r="G4450" s="84"/>
      <c r="I4450" s="237"/>
      <c r="J4450" s="238"/>
    </row>
    <row r="4451">
      <c r="C4451" s="82"/>
      <c r="E4451" s="84"/>
      <c r="F4451" s="84"/>
      <c r="G4451" s="84"/>
      <c r="I4451" s="237"/>
      <c r="J4451" s="238"/>
    </row>
    <row r="4452">
      <c r="C4452" s="82"/>
      <c r="E4452" s="84"/>
      <c r="F4452" s="84"/>
      <c r="G4452" s="84"/>
      <c r="I4452" s="237"/>
      <c r="J4452" s="238"/>
    </row>
    <row r="4453">
      <c r="C4453" s="82"/>
      <c r="E4453" s="84"/>
      <c r="F4453" s="84"/>
      <c r="G4453" s="84"/>
      <c r="I4453" s="237"/>
      <c r="J4453" s="238"/>
    </row>
    <row r="4454">
      <c r="C4454" s="82"/>
      <c r="E4454" s="84"/>
      <c r="F4454" s="84"/>
      <c r="G4454" s="84"/>
      <c r="I4454" s="237"/>
      <c r="J4454" s="238"/>
    </row>
    <row r="4455">
      <c r="C4455" s="82"/>
      <c r="E4455" s="84"/>
      <c r="F4455" s="84"/>
      <c r="G4455" s="84"/>
      <c r="I4455" s="237"/>
      <c r="J4455" s="238"/>
    </row>
    <row r="4456">
      <c r="C4456" s="82"/>
      <c r="E4456" s="84"/>
      <c r="F4456" s="84"/>
      <c r="G4456" s="84"/>
      <c r="I4456" s="237"/>
      <c r="J4456" s="238"/>
    </row>
    <row r="4457">
      <c r="C4457" s="82"/>
      <c r="E4457" s="84"/>
      <c r="F4457" s="84"/>
      <c r="G4457" s="84"/>
      <c r="I4457" s="237"/>
      <c r="J4457" s="238"/>
    </row>
    <row r="4458">
      <c r="C4458" s="82"/>
      <c r="E4458" s="84"/>
      <c r="F4458" s="84"/>
      <c r="G4458" s="84"/>
      <c r="I4458" s="237"/>
      <c r="J4458" s="238"/>
    </row>
    <row r="4459">
      <c r="C4459" s="82"/>
      <c r="E4459" s="84"/>
      <c r="F4459" s="84"/>
      <c r="G4459" s="84"/>
      <c r="I4459" s="237"/>
      <c r="J4459" s="238"/>
    </row>
    <row r="4460">
      <c r="C4460" s="82"/>
      <c r="E4460" s="84"/>
      <c r="F4460" s="84"/>
      <c r="G4460" s="84"/>
      <c r="I4460" s="237"/>
      <c r="J4460" s="238"/>
    </row>
    <row r="4461">
      <c r="C4461" s="82"/>
      <c r="E4461" s="84"/>
      <c r="F4461" s="84"/>
      <c r="G4461" s="84"/>
      <c r="I4461" s="237"/>
      <c r="J4461" s="238"/>
    </row>
    <row r="4462">
      <c r="C4462" s="82"/>
      <c r="E4462" s="84"/>
      <c r="F4462" s="84"/>
      <c r="G4462" s="84"/>
      <c r="I4462" s="237"/>
      <c r="J4462" s="238"/>
    </row>
    <row r="4463">
      <c r="C4463" s="82"/>
      <c r="E4463" s="84"/>
      <c r="F4463" s="84"/>
      <c r="G4463" s="84"/>
      <c r="I4463" s="237"/>
      <c r="J4463" s="238"/>
    </row>
    <row r="4464">
      <c r="C4464" s="82"/>
      <c r="E4464" s="84"/>
      <c r="F4464" s="84"/>
      <c r="G4464" s="84"/>
      <c r="I4464" s="237"/>
      <c r="J4464" s="238"/>
    </row>
    <row r="4465">
      <c r="C4465" s="82"/>
      <c r="E4465" s="84"/>
      <c r="F4465" s="84"/>
      <c r="G4465" s="84"/>
      <c r="I4465" s="237"/>
      <c r="J4465" s="238"/>
    </row>
    <row r="4466">
      <c r="C4466" s="82"/>
      <c r="E4466" s="84"/>
      <c r="F4466" s="84"/>
      <c r="G4466" s="84"/>
      <c r="I4466" s="237"/>
      <c r="J4466" s="238"/>
    </row>
    <row r="4467">
      <c r="C4467" s="82"/>
      <c r="E4467" s="84"/>
      <c r="F4467" s="84"/>
      <c r="G4467" s="84"/>
      <c r="I4467" s="237"/>
      <c r="J4467" s="238"/>
    </row>
    <row r="4468">
      <c r="C4468" s="82"/>
      <c r="E4468" s="84"/>
      <c r="F4468" s="84"/>
      <c r="G4468" s="84"/>
      <c r="I4468" s="237"/>
      <c r="J4468" s="238"/>
    </row>
    <row r="4469">
      <c r="C4469" s="82"/>
      <c r="E4469" s="84"/>
      <c r="F4469" s="84"/>
      <c r="G4469" s="84"/>
      <c r="I4469" s="237"/>
      <c r="J4469" s="238"/>
    </row>
    <row r="4470">
      <c r="C4470" s="82"/>
      <c r="E4470" s="84"/>
      <c r="F4470" s="84"/>
      <c r="G4470" s="84"/>
      <c r="I4470" s="237"/>
      <c r="J4470" s="238"/>
    </row>
    <row r="4471">
      <c r="C4471" s="82"/>
      <c r="E4471" s="84"/>
      <c r="F4471" s="84"/>
      <c r="G4471" s="84"/>
      <c r="I4471" s="237"/>
      <c r="J4471" s="238"/>
    </row>
    <row r="4472">
      <c r="C4472" s="82"/>
      <c r="E4472" s="84"/>
      <c r="F4472" s="84"/>
      <c r="G4472" s="84"/>
      <c r="I4472" s="237"/>
      <c r="J4472" s="238"/>
    </row>
    <row r="4473">
      <c r="C4473" s="82"/>
      <c r="E4473" s="84"/>
      <c r="F4473" s="84"/>
      <c r="G4473" s="84"/>
      <c r="I4473" s="237"/>
      <c r="J4473" s="238"/>
    </row>
    <row r="4474">
      <c r="C4474" s="82"/>
      <c r="E4474" s="84"/>
      <c r="F4474" s="84"/>
      <c r="G4474" s="84"/>
      <c r="I4474" s="237"/>
      <c r="J4474" s="238"/>
    </row>
    <row r="4475">
      <c r="C4475" s="82"/>
      <c r="E4475" s="84"/>
      <c r="F4475" s="84"/>
      <c r="G4475" s="84"/>
      <c r="I4475" s="237"/>
      <c r="J4475" s="238"/>
    </row>
    <row r="4476">
      <c r="C4476" s="82"/>
      <c r="E4476" s="84"/>
      <c r="F4476" s="84"/>
      <c r="G4476" s="84"/>
      <c r="I4476" s="237"/>
      <c r="J4476" s="238"/>
    </row>
    <row r="4477">
      <c r="C4477" s="82"/>
      <c r="E4477" s="84"/>
      <c r="F4477" s="84"/>
      <c r="G4477" s="84"/>
      <c r="I4477" s="237"/>
      <c r="J4477" s="238"/>
    </row>
    <row r="4478">
      <c r="C4478" s="82"/>
      <c r="E4478" s="84"/>
      <c r="F4478" s="84"/>
      <c r="G4478" s="84"/>
      <c r="I4478" s="237"/>
      <c r="J4478" s="238"/>
    </row>
    <row r="4479">
      <c r="C4479" s="82"/>
      <c r="E4479" s="84"/>
      <c r="F4479" s="84"/>
      <c r="G4479" s="84"/>
      <c r="I4479" s="237"/>
      <c r="J4479" s="238"/>
    </row>
    <row r="4480">
      <c r="C4480" s="82"/>
      <c r="E4480" s="84"/>
      <c r="F4480" s="84"/>
      <c r="G4480" s="84"/>
      <c r="I4480" s="237"/>
      <c r="J4480" s="238"/>
    </row>
    <row r="4481">
      <c r="C4481" s="82"/>
      <c r="E4481" s="84"/>
      <c r="F4481" s="84"/>
      <c r="G4481" s="84"/>
      <c r="I4481" s="237"/>
      <c r="J4481" s="238"/>
    </row>
    <row r="4482">
      <c r="C4482" s="82"/>
      <c r="E4482" s="84"/>
      <c r="F4482" s="84"/>
      <c r="G4482" s="84"/>
      <c r="I4482" s="237"/>
      <c r="J4482" s="238"/>
    </row>
    <row r="4483">
      <c r="C4483" s="82"/>
      <c r="E4483" s="84"/>
      <c r="F4483" s="84"/>
      <c r="G4483" s="84"/>
      <c r="I4483" s="237"/>
      <c r="J4483" s="238"/>
    </row>
    <row r="4484">
      <c r="C4484" s="82"/>
      <c r="E4484" s="84"/>
      <c r="F4484" s="84"/>
      <c r="G4484" s="84"/>
      <c r="I4484" s="237"/>
      <c r="J4484" s="238"/>
    </row>
    <row r="4485">
      <c r="C4485" s="82"/>
      <c r="E4485" s="84"/>
      <c r="F4485" s="84"/>
      <c r="G4485" s="84"/>
      <c r="I4485" s="237"/>
      <c r="J4485" s="238"/>
    </row>
    <row r="4486">
      <c r="C4486" s="82"/>
      <c r="E4486" s="84"/>
      <c r="F4486" s="84"/>
      <c r="G4486" s="84"/>
      <c r="I4486" s="237"/>
      <c r="J4486" s="238"/>
    </row>
    <row r="4487">
      <c r="C4487" s="82"/>
      <c r="E4487" s="84"/>
      <c r="F4487" s="84"/>
      <c r="G4487" s="84"/>
      <c r="I4487" s="237"/>
      <c r="J4487" s="238"/>
    </row>
    <row r="4488">
      <c r="C4488" s="82"/>
      <c r="E4488" s="84"/>
      <c r="F4488" s="84"/>
      <c r="G4488" s="84"/>
      <c r="I4488" s="237"/>
      <c r="J4488" s="238"/>
    </row>
    <row r="4489">
      <c r="C4489" s="82"/>
      <c r="E4489" s="84"/>
      <c r="F4489" s="84"/>
      <c r="G4489" s="84"/>
      <c r="I4489" s="237"/>
      <c r="J4489" s="238"/>
    </row>
    <row r="4490">
      <c r="C4490" s="82"/>
      <c r="E4490" s="84"/>
      <c r="F4490" s="84"/>
      <c r="G4490" s="84"/>
      <c r="I4490" s="237"/>
      <c r="J4490" s="238"/>
    </row>
    <row r="4491">
      <c r="C4491" s="82"/>
      <c r="E4491" s="84"/>
      <c r="F4491" s="84"/>
      <c r="G4491" s="84"/>
      <c r="I4491" s="237"/>
      <c r="J4491" s="238"/>
    </row>
    <row r="4492">
      <c r="C4492" s="82"/>
      <c r="E4492" s="84"/>
      <c r="F4492" s="84"/>
      <c r="G4492" s="84"/>
      <c r="I4492" s="237"/>
      <c r="J4492" s="238"/>
    </row>
    <row r="4493">
      <c r="C4493" s="82"/>
      <c r="E4493" s="84"/>
      <c r="F4493" s="84"/>
      <c r="G4493" s="84"/>
      <c r="I4493" s="237"/>
      <c r="J4493" s="238"/>
    </row>
    <row r="4494">
      <c r="C4494" s="82"/>
      <c r="E4494" s="84"/>
      <c r="F4494" s="84"/>
      <c r="G4494" s="84"/>
      <c r="I4494" s="237"/>
      <c r="J4494" s="238"/>
    </row>
    <row r="4495">
      <c r="C4495" s="82"/>
      <c r="E4495" s="84"/>
      <c r="F4495" s="84"/>
      <c r="G4495" s="84"/>
      <c r="I4495" s="237"/>
      <c r="J4495" s="238"/>
    </row>
    <row r="4496">
      <c r="C4496" s="82"/>
      <c r="E4496" s="84"/>
      <c r="F4496" s="84"/>
      <c r="G4496" s="84"/>
      <c r="I4496" s="237"/>
      <c r="J4496" s="238"/>
    </row>
    <row r="4497">
      <c r="C4497" s="82"/>
      <c r="E4497" s="84"/>
      <c r="F4497" s="84"/>
      <c r="G4497" s="84"/>
      <c r="I4497" s="237"/>
      <c r="J4497" s="238"/>
    </row>
    <row r="4498">
      <c r="C4498" s="82"/>
      <c r="E4498" s="84"/>
      <c r="F4498" s="84"/>
      <c r="G4498" s="84"/>
      <c r="I4498" s="237"/>
      <c r="J4498" s="238"/>
    </row>
    <row r="4499">
      <c r="C4499" s="82"/>
      <c r="E4499" s="84"/>
      <c r="F4499" s="84"/>
      <c r="G4499" s="84"/>
      <c r="I4499" s="237"/>
      <c r="J4499" s="238"/>
    </row>
    <row r="4500">
      <c r="C4500" s="82"/>
      <c r="E4500" s="84"/>
      <c r="F4500" s="84"/>
      <c r="G4500" s="84"/>
      <c r="I4500" s="237"/>
      <c r="J4500" s="238"/>
    </row>
    <row r="4501">
      <c r="C4501" s="82"/>
      <c r="E4501" s="84"/>
      <c r="F4501" s="84"/>
      <c r="G4501" s="84"/>
      <c r="I4501" s="237"/>
      <c r="J4501" s="238"/>
    </row>
    <row r="4502">
      <c r="C4502" s="82"/>
      <c r="E4502" s="84"/>
      <c r="F4502" s="84"/>
      <c r="G4502" s="84"/>
      <c r="I4502" s="237"/>
      <c r="J4502" s="238"/>
    </row>
    <row r="4503">
      <c r="C4503" s="82"/>
      <c r="E4503" s="84"/>
      <c r="F4503" s="84"/>
      <c r="G4503" s="84"/>
      <c r="I4503" s="237"/>
      <c r="J4503" s="238"/>
    </row>
    <row r="4504">
      <c r="C4504" s="82"/>
      <c r="E4504" s="84"/>
      <c r="F4504" s="84"/>
      <c r="G4504" s="84"/>
      <c r="I4504" s="237"/>
      <c r="J4504" s="238"/>
    </row>
    <row r="4505">
      <c r="C4505" s="82"/>
      <c r="E4505" s="84"/>
      <c r="F4505" s="84"/>
      <c r="G4505" s="84"/>
      <c r="I4505" s="237"/>
      <c r="J4505" s="238"/>
    </row>
    <row r="4506">
      <c r="C4506" s="82"/>
      <c r="E4506" s="84"/>
      <c r="F4506" s="84"/>
      <c r="G4506" s="84"/>
      <c r="I4506" s="237"/>
      <c r="J4506" s="238"/>
    </row>
    <row r="4507">
      <c r="C4507" s="82"/>
      <c r="E4507" s="84"/>
      <c r="F4507" s="84"/>
      <c r="G4507" s="84"/>
      <c r="I4507" s="237"/>
      <c r="J4507" s="238"/>
    </row>
    <row r="4508">
      <c r="C4508" s="82"/>
      <c r="E4508" s="84"/>
      <c r="F4508" s="84"/>
      <c r="G4508" s="84"/>
      <c r="I4508" s="237"/>
      <c r="J4508" s="238"/>
    </row>
    <row r="4509">
      <c r="C4509" s="82"/>
      <c r="E4509" s="84"/>
      <c r="F4509" s="84"/>
      <c r="G4509" s="84"/>
      <c r="I4509" s="237"/>
      <c r="J4509" s="238"/>
    </row>
    <row r="4510">
      <c r="C4510" s="82"/>
      <c r="E4510" s="84"/>
      <c r="F4510" s="84"/>
      <c r="G4510" s="84"/>
      <c r="I4510" s="237"/>
      <c r="J4510" s="238"/>
    </row>
    <row r="4511">
      <c r="C4511" s="82"/>
      <c r="E4511" s="84"/>
      <c r="F4511" s="84"/>
      <c r="G4511" s="84"/>
      <c r="I4511" s="237"/>
      <c r="J4511" s="238"/>
    </row>
    <row r="4512">
      <c r="C4512" s="82"/>
      <c r="E4512" s="84"/>
      <c r="F4512" s="84"/>
      <c r="G4512" s="84"/>
      <c r="I4512" s="237"/>
      <c r="J4512" s="238"/>
    </row>
    <row r="4513">
      <c r="C4513" s="82"/>
      <c r="E4513" s="84"/>
      <c r="F4513" s="84"/>
      <c r="G4513" s="84"/>
      <c r="I4513" s="237"/>
      <c r="J4513" s="238"/>
    </row>
    <row r="4514">
      <c r="C4514" s="82"/>
      <c r="E4514" s="84"/>
      <c r="F4514" s="84"/>
      <c r="G4514" s="84"/>
      <c r="I4514" s="237"/>
      <c r="J4514" s="238"/>
    </row>
    <row r="4515">
      <c r="C4515" s="82"/>
      <c r="E4515" s="84"/>
      <c r="F4515" s="84"/>
      <c r="G4515" s="84"/>
      <c r="I4515" s="237"/>
      <c r="J4515" s="238"/>
    </row>
    <row r="4516">
      <c r="C4516" s="82"/>
      <c r="E4516" s="84"/>
      <c r="F4516" s="84"/>
      <c r="G4516" s="84"/>
      <c r="I4516" s="237"/>
      <c r="J4516" s="238"/>
    </row>
    <row r="4517">
      <c r="C4517" s="82"/>
      <c r="E4517" s="84"/>
      <c r="F4517" s="84"/>
      <c r="G4517" s="84"/>
      <c r="I4517" s="237"/>
      <c r="J4517" s="238"/>
    </row>
    <row r="4518">
      <c r="C4518" s="82"/>
      <c r="E4518" s="84"/>
      <c r="F4518" s="84"/>
      <c r="G4518" s="84"/>
      <c r="I4518" s="237"/>
      <c r="J4518" s="238"/>
    </row>
    <row r="4519">
      <c r="C4519" s="82"/>
      <c r="E4519" s="84"/>
      <c r="F4519" s="84"/>
      <c r="G4519" s="84"/>
      <c r="I4519" s="237"/>
      <c r="J4519" s="238"/>
    </row>
    <row r="4520">
      <c r="C4520" s="82"/>
      <c r="E4520" s="84"/>
      <c r="F4520" s="84"/>
      <c r="G4520" s="84"/>
      <c r="I4520" s="237"/>
      <c r="J4520" s="238"/>
    </row>
    <row r="4521">
      <c r="C4521" s="82"/>
      <c r="E4521" s="84"/>
      <c r="F4521" s="84"/>
      <c r="G4521" s="84"/>
      <c r="I4521" s="237"/>
      <c r="J4521" s="238"/>
    </row>
    <row r="4522">
      <c r="C4522" s="82"/>
      <c r="E4522" s="84"/>
      <c r="F4522" s="84"/>
      <c r="G4522" s="84"/>
      <c r="I4522" s="237"/>
      <c r="J4522" s="238"/>
    </row>
    <row r="4523">
      <c r="C4523" s="82"/>
      <c r="E4523" s="84"/>
      <c r="F4523" s="84"/>
      <c r="G4523" s="84"/>
      <c r="I4523" s="237"/>
      <c r="J4523" s="238"/>
    </row>
    <row r="4524">
      <c r="C4524" s="82"/>
      <c r="E4524" s="84"/>
      <c r="F4524" s="84"/>
      <c r="G4524" s="84"/>
      <c r="I4524" s="237"/>
      <c r="J4524" s="238"/>
    </row>
    <row r="4525">
      <c r="C4525" s="82"/>
      <c r="E4525" s="84"/>
      <c r="F4525" s="84"/>
      <c r="G4525" s="84"/>
      <c r="I4525" s="237"/>
      <c r="J4525" s="238"/>
    </row>
    <row r="4526">
      <c r="C4526" s="82"/>
      <c r="E4526" s="84"/>
      <c r="F4526" s="84"/>
      <c r="G4526" s="84"/>
      <c r="I4526" s="237"/>
      <c r="J4526" s="238"/>
    </row>
    <row r="4527">
      <c r="C4527" s="82"/>
      <c r="E4527" s="84"/>
      <c r="F4527" s="84"/>
      <c r="G4527" s="84"/>
      <c r="I4527" s="237"/>
      <c r="J4527" s="238"/>
    </row>
    <row r="4528">
      <c r="C4528" s="82"/>
      <c r="E4528" s="84"/>
      <c r="F4528" s="84"/>
      <c r="G4528" s="84"/>
      <c r="I4528" s="237"/>
      <c r="J4528" s="238"/>
    </row>
    <row r="4529">
      <c r="C4529" s="82"/>
      <c r="E4529" s="84"/>
      <c r="F4529" s="84"/>
      <c r="G4529" s="84"/>
      <c r="I4529" s="237"/>
      <c r="J4529" s="238"/>
    </row>
    <row r="4530">
      <c r="C4530" s="82"/>
      <c r="E4530" s="84"/>
      <c r="F4530" s="84"/>
      <c r="G4530" s="84"/>
      <c r="I4530" s="237"/>
      <c r="J4530" s="238"/>
    </row>
    <row r="4531">
      <c r="C4531" s="82"/>
      <c r="E4531" s="84"/>
      <c r="F4531" s="84"/>
      <c r="G4531" s="84"/>
      <c r="I4531" s="237"/>
      <c r="J4531" s="238"/>
    </row>
    <row r="4532">
      <c r="C4532" s="82"/>
      <c r="E4532" s="84"/>
      <c r="F4532" s="84"/>
      <c r="G4532" s="84"/>
      <c r="I4532" s="237"/>
      <c r="J4532" s="238"/>
    </row>
    <row r="4533">
      <c r="C4533" s="82"/>
      <c r="E4533" s="84"/>
      <c r="F4533" s="84"/>
      <c r="G4533" s="84"/>
      <c r="I4533" s="237"/>
      <c r="J4533" s="238"/>
    </row>
    <row r="4534">
      <c r="C4534" s="82"/>
      <c r="E4534" s="84"/>
      <c r="F4534" s="84"/>
      <c r="G4534" s="84"/>
      <c r="I4534" s="237"/>
      <c r="J4534" s="238"/>
    </row>
    <row r="4535">
      <c r="C4535" s="82"/>
      <c r="E4535" s="84"/>
      <c r="F4535" s="84"/>
      <c r="G4535" s="84"/>
      <c r="I4535" s="237"/>
      <c r="J4535" s="238"/>
    </row>
    <row r="4536">
      <c r="C4536" s="82"/>
      <c r="E4536" s="84"/>
      <c r="F4536" s="84"/>
      <c r="G4536" s="84"/>
      <c r="I4536" s="237"/>
      <c r="J4536" s="238"/>
    </row>
    <row r="4537">
      <c r="C4537" s="82"/>
      <c r="E4537" s="84"/>
      <c r="F4537" s="84"/>
      <c r="G4537" s="84"/>
      <c r="I4537" s="237"/>
      <c r="J4537" s="238"/>
    </row>
    <row r="4538">
      <c r="C4538" s="82"/>
      <c r="E4538" s="84"/>
      <c r="F4538" s="84"/>
      <c r="G4538" s="84"/>
      <c r="I4538" s="237"/>
      <c r="J4538" s="238"/>
    </row>
    <row r="4539">
      <c r="C4539" s="82"/>
      <c r="E4539" s="84"/>
      <c r="F4539" s="84"/>
      <c r="G4539" s="84"/>
      <c r="I4539" s="237"/>
      <c r="J4539" s="238"/>
    </row>
    <row r="4540">
      <c r="C4540" s="82"/>
      <c r="E4540" s="84"/>
      <c r="F4540" s="84"/>
      <c r="G4540" s="84"/>
      <c r="I4540" s="237"/>
      <c r="J4540" s="238"/>
    </row>
    <row r="4541">
      <c r="C4541" s="82"/>
      <c r="E4541" s="84"/>
      <c r="F4541" s="84"/>
      <c r="G4541" s="84"/>
      <c r="I4541" s="237"/>
      <c r="J4541" s="238"/>
    </row>
    <row r="4542">
      <c r="C4542" s="82"/>
      <c r="E4542" s="84"/>
      <c r="F4542" s="84"/>
      <c r="G4542" s="84"/>
      <c r="I4542" s="237"/>
      <c r="J4542" s="238"/>
    </row>
    <row r="4543">
      <c r="C4543" s="82"/>
      <c r="E4543" s="84"/>
      <c r="F4543" s="84"/>
      <c r="G4543" s="84"/>
      <c r="I4543" s="237"/>
      <c r="J4543" s="238"/>
    </row>
    <row r="4544">
      <c r="C4544" s="82"/>
      <c r="E4544" s="84"/>
      <c r="F4544" s="84"/>
      <c r="G4544" s="84"/>
      <c r="I4544" s="237"/>
      <c r="J4544" s="238"/>
    </row>
    <row r="4545">
      <c r="C4545" s="82"/>
      <c r="E4545" s="84"/>
      <c r="F4545" s="84"/>
      <c r="G4545" s="84"/>
      <c r="I4545" s="237"/>
      <c r="J4545" s="238"/>
    </row>
    <row r="4546">
      <c r="C4546" s="82"/>
      <c r="E4546" s="84"/>
      <c r="F4546" s="84"/>
      <c r="G4546" s="84"/>
      <c r="I4546" s="237"/>
      <c r="J4546" s="238"/>
    </row>
    <row r="4547">
      <c r="C4547" s="82"/>
      <c r="E4547" s="84"/>
      <c r="F4547" s="84"/>
      <c r="G4547" s="84"/>
      <c r="I4547" s="237"/>
      <c r="J4547" s="238"/>
    </row>
    <row r="4548">
      <c r="C4548" s="82"/>
      <c r="E4548" s="84"/>
      <c r="F4548" s="84"/>
      <c r="G4548" s="84"/>
      <c r="I4548" s="237"/>
      <c r="J4548" s="238"/>
    </row>
    <row r="4549">
      <c r="C4549" s="82"/>
      <c r="E4549" s="84"/>
      <c r="F4549" s="84"/>
      <c r="G4549" s="84"/>
      <c r="I4549" s="237"/>
      <c r="J4549" s="238"/>
    </row>
    <row r="4550">
      <c r="C4550" s="82"/>
      <c r="E4550" s="84"/>
      <c r="F4550" s="84"/>
      <c r="G4550" s="84"/>
      <c r="I4550" s="237"/>
      <c r="J4550" s="238"/>
    </row>
    <row r="4551">
      <c r="C4551" s="82"/>
      <c r="E4551" s="84"/>
      <c r="F4551" s="84"/>
      <c r="G4551" s="84"/>
      <c r="I4551" s="237"/>
      <c r="J4551" s="238"/>
    </row>
    <row r="4552">
      <c r="C4552" s="82"/>
      <c r="E4552" s="84"/>
      <c r="F4552" s="84"/>
      <c r="G4552" s="84"/>
      <c r="I4552" s="237"/>
      <c r="J4552" s="238"/>
    </row>
    <row r="4553">
      <c r="C4553" s="82"/>
      <c r="E4553" s="84"/>
      <c r="F4553" s="84"/>
      <c r="G4553" s="84"/>
      <c r="I4553" s="237"/>
      <c r="J4553" s="238"/>
    </row>
    <row r="4554">
      <c r="C4554" s="82"/>
      <c r="E4554" s="84"/>
      <c r="F4554" s="84"/>
      <c r="G4554" s="84"/>
      <c r="I4554" s="237"/>
      <c r="J4554" s="238"/>
    </row>
    <row r="4555">
      <c r="C4555" s="82"/>
      <c r="E4555" s="84"/>
      <c r="F4555" s="84"/>
      <c r="G4555" s="84"/>
      <c r="I4555" s="237"/>
      <c r="J4555" s="238"/>
    </row>
    <row r="4556">
      <c r="C4556" s="82"/>
      <c r="E4556" s="84"/>
      <c r="F4556" s="84"/>
      <c r="G4556" s="84"/>
      <c r="I4556" s="237"/>
      <c r="J4556" s="238"/>
    </row>
    <row r="4557">
      <c r="C4557" s="82"/>
      <c r="E4557" s="84"/>
      <c r="F4557" s="84"/>
      <c r="G4557" s="84"/>
      <c r="I4557" s="237"/>
      <c r="J4557" s="238"/>
    </row>
    <row r="4558">
      <c r="C4558" s="82"/>
      <c r="E4558" s="84"/>
      <c r="F4558" s="84"/>
      <c r="G4558" s="84"/>
      <c r="I4558" s="237"/>
      <c r="J4558" s="238"/>
    </row>
    <row r="4559">
      <c r="C4559" s="82"/>
      <c r="E4559" s="84"/>
      <c r="F4559" s="84"/>
      <c r="G4559" s="84"/>
      <c r="I4559" s="237"/>
      <c r="J4559" s="238"/>
    </row>
    <row r="4560">
      <c r="C4560" s="82"/>
      <c r="E4560" s="84"/>
      <c r="F4560" s="84"/>
      <c r="G4560" s="84"/>
      <c r="I4560" s="237"/>
      <c r="J4560" s="238"/>
    </row>
    <row r="4561">
      <c r="C4561" s="82"/>
      <c r="E4561" s="84"/>
      <c r="F4561" s="84"/>
      <c r="G4561" s="84"/>
      <c r="I4561" s="237"/>
      <c r="J4561" s="238"/>
    </row>
    <row r="4562">
      <c r="C4562" s="82"/>
      <c r="E4562" s="84"/>
      <c r="F4562" s="84"/>
      <c r="G4562" s="84"/>
      <c r="I4562" s="237"/>
      <c r="J4562" s="238"/>
    </row>
    <row r="4563">
      <c r="C4563" s="82"/>
      <c r="E4563" s="84"/>
      <c r="F4563" s="84"/>
      <c r="G4563" s="84"/>
      <c r="I4563" s="237"/>
      <c r="J4563" s="238"/>
    </row>
    <row r="4564">
      <c r="C4564" s="82"/>
      <c r="E4564" s="84"/>
      <c r="F4564" s="84"/>
      <c r="G4564" s="84"/>
      <c r="I4564" s="237"/>
      <c r="J4564" s="238"/>
    </row>
    <row r="4565">
      <c r="C4565" s="82"/>
      <c r="E4565" s="84"/>
      <c r="F4565" s="84"/>
      <c r="G4565" s="84"/>
      <c r="I4565" s="237"/>
      <c r="J4565" s="238"/>
    </row>
    <row r="4566">
      <c r="C4566" s="82"/>
      <c r="E4566" s="84"/>
      <c r="F4566" s="84"/>
      <c r="G4566" s="84"/>
      <c r="I4566" s="237"/>
      <c r="J4566" s="238"/>
    </row>
    <row r="4567">
      <c r="C4567" s="82"/>
      <c r="E4567" s="84"/>
      <c r="F4567" s="84"/>
      <c r="G4567" s="84"/>
      <c r="I4567" s="237"/>
      <c r="J4567" s="238"/>
    </row>
    <row r="4568">
      <c r="C4568" s="82"/>
      <c r="E4568" s="84"/>
      <c r="F4568" s="84"/>
      <c r="G4568" s="84"/>
      <c r="I4568" s="237"/>
      <c r="J4568" s="238"/>
    </row>
    <row r="4569">
      <c r="C4569" s="82"/>
      <c r="E4569" s="84"/>
      <c r="F4569" s="84"/>
      <c r="G4569" s="84"/>
      <c r="I4569" s="237"/>
      <c r="J4569" s="238"/>
    </row>
    <row r="4570">
      <c r="C4570" s="82"/>
      <c r="E4570" s="84"/>
      <c r="F4570" s="84"/>
      <c r="G4570" s="84"/>
      <c r="I4570" s="237"/>
      <c r="J4570" s="238"/>
    </row>
    <row r="4571">
      <c r="C4571" s="82"/>
      <c r="E4571" s="84"/>
      <c r="F4571" s="84"/>
      <c r="G4571" s="84"/>
      <c r="I4571" s="237"/>
      <c r="J4571" s="238"/>
    </row>
    <row r="4572">
      <c r="C4572" s="82"/>
      <c r="E4572" s="84"/>
      <c r="F4572" s="84"/>
      <c r="G4572" s="84"/>
      <c r="I4572" s="237"/>
      <c r="J4572" s="238"/>
    </row>
    <row r="4573">
      <c r="C4573" s="82"/>
      <c r="E4573" s="84"/>
      <c r="F4573" s="84"/>
      <c r="G4573" s="84"/>
      <c r="I4573" s="237"/>
      <c r="J4573" s="238"/>
    </row>
    <row r="4574">
      <c r="C4574" s="82"/>
      <c r="E4574" s="84"/>
      <c r="F4574" s="84"/>
      <c r="G4574" s="84"/>
      <c r="I4574" s="237"/>
      <c r="J4574" s="238"/>
    </row>
    <row r="4575">
      <c r="C4575" s="82"/>
      <c r="E4575" s="84"/>
      <c r="F4575" s="84"/>
      <c r="G4575" s="84"/>
      <c r="I4575" s="237"/>
      <c r="J4575" s="238"/>
    </row>
    <row r="4576">
      <c r="C4576" s="82"/>
      <c r="E4576" s="84"/>
      <c r="F4576" s="84"/>
      <c r="G4576" s="84"/>
      <c r="I4576" s="237"/>
      <c r="J4576" s="238"/>
    </row>
    <row r="4577">
      <c r="C4577" s="82"/>
      <c r="E4577" s="84"/>
      <c r="F4577" s="84"/>
      <c r="G4577" s="84"/>
      <c r="I4577" s="237"/>
      <c r="J4577" s="238"/>
    </row>
    <row r="4578">
      <c r="C4578" s="82"/>
      <c r="E4578" s="84"/>
      <c r="F4578" s="84"/>
      <c r="G4578" s="84"/>
      <c r="I4578" s="237"/>
      <c r="J4578" s="238"/>
    </row>
    <row r="4579">
      <c r="C4579" s="82"/>
      <c r="E4579" s="84"/>
      <c r="F4579" s="84"/>
      <c r="G4579" s="84"/>
      <c r="I4579" s="237"/>
      <c r="J4579" s="238"/>
    </row>
    <row r="4580">
      <c r="C4580" s="82"/>
      <c r="E4580" s="84"/>
      <c r="F4580" s="84"/>
      <c r="G4580" s="84"/>
      <c r="I4580" s="237"/>
      <c r="J4580" s="238"/>
    </row>
    <row r="4581">
      <c r="C4581" s="82"/>
      <c r="E4581" s="84"/>
      <c r="F4581" s="84"/>
      <c r="G4581" s="84"/>
      <c r="I4581" s="237"/>
      <c r="J4581" s="238"/>
    </row>
    <row r="4582">
      <c r="C4582" s="82"/>
      <c r="E4582" s="84"/>
      <c r="F4582" s="84"/>
      <c r="G4582" s="84"/>
      <c r="I4582" s="237"/>
      <c r="J4582" s="238"/>
    </row>
    <row r="4583">
      <c r="C4583" s="82"/>
      <c r="E4583" s="84"/>
      <c r="F4583" s="84"/>
      <c r="G4583" s="84"/>
      <c r="I4583" s="237"/>
      <c r="J4583" s="238"/>
    </row>
    <row r="4584">
      <c r="C4584" s="82"/>
      <c r="E4584" s="84"/>
      <c r="F4584" s="84"/>
      <c r="G4584" s="84"/>
      <c r="I4584" s="237"/>
      <c r="J4584" s="238"/>
    </row>
    <row r="4585">
      <c r="C4585" s="82"/>
      <c r="E4585" s="84"/>
      <c r="F4585" s="84"/>
      <c r="G4585" s="84"/>
      <c r="I4585" s="237"/>
      <c r="J4585" s="238"/>
    </row>
    <row r="4586">
      <c r="C4586" s="82"/>
      <c r="E4586" s="84"/>
      <c r="F4586" s="84"/>
      <c r="G4586" s="84"/>
      <c r="I4586" s="237"/>
      <c r="J4586" s="238"/>
    </row>
    <row r="4587">
      <c r="C4587" s="82"/>
      <c r="E4587" s="84"/>
      <c r="F4587" s="84"/>
      <c r="G4587" s="84"/>
      <c r="I4587" s="237"/>
      <c r="J4587" s="238"/>
    </row>
    <row r="4588">
      <c r="C4588" s="82"/>
      <c r="E4588" s="84"/>
      <c r="F4588" s="84"/>
      <c r="G4588" s="84"/>
      <c r="I4588" s="237"/>
      <c r="J4588" s="238"/>
    </row>
    <row r="4589">
      <c r="C4589" s="82"/>
      <c r="E4589" s="84"/>
      <c r="F4589" s="84"/>
      <c r="G4589" s="84"/>
      <c r="I4589" s="237"/>
      <c r="J4589" s="238"/>
    </row>
    <row r="4590">
      <c r="C4590" s="82"/>
      <c r="E4590" s="84"/>
      <c r="F4590" s="84"/>
      <c r="G4590" s="84"/>
      <c r="I4590" s="237"/>
      <c r="J4590" s="238"/>
    </row>
    <row r="4591">
      <c r="C4591" s="82"/>
      <c r="E4591" s="84"/>
      <c r="F4591" s="84"/>
      <c r="G4591" s="84"/>
      <c r="I4591" s="237"/>
      <c r="J4591" s="238"/>
    </row>
    <row r="4592">
      <c r="C4592" s="82"/>
      <c r="E4592" s="84"/>
      <c r="F4592" s="84"/>
      <c r="G4592" s="84"/>
      <c r="I4592" s="237"/>
      <c r="J4592" s="238"/>
    </row>
    <row r="4593">
      <c r="C4593" s="82"/>
      <c r="E4593" s="84"/>
      <c r="F4593" s="84"/>
      <c r="G4593" s="84"/>
      <c r="I4593" s="237"/>
      <c r="J4593" s="238"/>
    </row>
    <row r="4594">
      <c r="C4594" s="82"/>
      <c r="E4594" s="84"/>
      <c r="F4594" s="84"/>
      <c r="G4594" s="84"/>
      <c r="I4594" s="237"/>
      <c r="J4594" s="238"/>
    </row>
    <row r="4595">
      <c r="C4595" s="82"/>
      <c r="E4595" s="84"/>
      <c r="F4595" s="84"/>
      <c r="G4595" s="84"/>
      <c r="I4595" s="237"/>
      <c r="J4595" s="238"/>
    </row>
    <row r="4596">
      <c r="C4596" s="82"/>
      <c r="E4596" s="84"/>
      <c r="F4596" s="84"/>
      <c r="G4596" s="84"/>
      <c r="I4596" s="237"/>
      <c r="J4596" s="238"/>
    </row>
    <row r="4597">
      <c r="C4597" s="82"/>
      <c r="E4597" s="84"/>
      <c r="F4597" s="84"/>
      <c r="G4597" s="84"/>
      <c r="I4597" s="237"/>
      <c r="J4597" s="238"/>
    </row>
    <row r="4598">
      <c r="C4598" s="82"/>
      <c r="E4598" s="84"/>
      <c r="F4598" s="84"/>
      <c r="G4598" s="84"/>
      <c r="I4598" s="237"/>
      <c r="J4598" s="238"/>
    </row>
    <row r="4599">
      <c r="C4599" s="82"/>
      <c r="E4599" s="84"/>
      <c r="F4599" s="84"/>
      <c r="G4599" s="84"/>
      <c r="I4599" s="237"/>
      <c r="J4599" s="238"/>
    </row>
    <row r="4600">
      <c r="C4600" s="82"/>
      <c r="E4600" s="84"/>
      <c r="F4600" s="84"/>
      <c r="G4600" s="84"/>
      <c r="I4600" s="237"/>
      <c r="J4600" s="238"/>
    </row>
    <row r="4601">
      <c r="C4601" s="82"/>
      <c r="E4601" s="84"/>
      <c r="F4601" s="84"/>
      <c r="G4601" s="84"/>
      <c r="I4601" s="237"/>
      <c r="J4601" s="238"/>
    </row>
    <row r="4602">
      <c r="C4602" s="82"/>
      <c r="E4602" s="84"/>
      <c r="F4602" s="84"/>
      <c r="G4602" s="84"/>
      <c r="I4602" s="237"/>
      <c r="J4602" s="238"/>
    </row>
    <row r="4603">
      <c r="C4603" s="82"/>
      <c r="E4603" s="84"/>
      <c r="F4603" s="84"/>
      <c r="G4603" s="84"/>
      <c r="I4603" s="237"/>
      <c r="J4603" s="238"/>
    </row>
    <row r="4604">
      <c r="C4604" s="82"/>
      <c r="E4604" s="84"/>
      <c r="F4604" s="84"/>
      <c r="G4604" s="84"/>
      <c r="I4604" s="237"/>
      <c r="J4604" s="238"/>
    </row>
    <row r="4605">
      <c r="C4605" s="82"/>
      <c r="E4605" s="84"/>
      <c r="F4605" s="84"/>
      <c r="G4605" s="84"/>
      <c r="I4605" s="237"/>
      <c r="J4605" s="238"/>
    </row>
    <row r="4606">
      <c r="C4606" s="82"/>
      <c r="E4606" s="84"/>
      <c r="F4606" s="84"/>
      <c r="G4606" s="84"/>
      <c r="I4606" s="237"/>
      <c r="J4606" s="238"/>
    </row>
    <row r="4607">
      <c r="C4607" s="82"/>
      <c r="E4607" s="84"/>
      <c r="F4607" s="84"/>
      <c r="G4607" s="84"/>
      <c r="I4607" s="237"/>
      <c r="J4607" s="238"/>
    </row>
    <row r="4608">
      <c r="C4608" s="82"/>
      <c r="E4608" s="84"/>
      <c r="F4608" s="84"/>
      <c r="G4608" s="84"/>
      <c r="I4608" s="237"/>
      <c r="J4608" s="238"/>
    </row>
    <row r="4609">
      <c r="C4609" s="82"/>
      <c r="E4609" s="84"/>
      <c r="F4609" s="84"/>
      <c r="G4609" s="84"/>
      <c r="I4609" s="237"/>
      <c r="J4609" s="238"/>
    </row>
    <row r="4610">
      <c r="C4610" s="82"/>
      <c r="E4610" s="84"/>
      <c r="F4610" s="84"/>
      <c r="G4610" s="84"/>
      <c r="I4610" s="237"/>
      <c r="J4610" s="238"/>
    </row>
    <row r="4611">
      <c r="C4611" s="82"/>
      <c r="E4611" s="84"/>
      <c r="F4611" s="84"/>
      <c r="G4611" s="84"/>
      <c r="I4611" s="237"/>
      <c r="J4611" s="238"/>
    </row>
    <row r="4612">
      <c r="C4612" s="82"/>
      <c r="E4612" s="84"/>
      <c r="F4612" s="84"/>
      <c r="G4612" s="84"/>
      <c r="I4612" s="237"/>
      <c r="J4612" s="238"/>
    </row>
    <row r="4613">
      <c r="C4613" s="82"/>
      <c r="E4613" s="84"/>
      <c r="F4613" s="84"/>
      <c r="G4613" s="84"/>
      <c r="I4613" s="237"/>
      <c r="J4613" s="238"/>
    </row>
    <row r="4614">
      <c r="C4614" s="82"/>
      <c r="E4614" s="84"/>
      <c r="F4614" s="84"/>
      <c r="G4614" s="84"/>
      <c r="I4614" s="237"/>
      <c r="J4614" s="238"/>
    </row>
    <row r="4615">
      <c r="C4615" s="82"/>
      <c r="E4615" s="84"/>
      <c r="F4615" s="84"/>
      <c r="G4615" s="84"/>
      <c r="I4615" s="237"/>
      <c r="J4615" s="238"/>
    </row>
    <row r="4616">
      <c r="C4616" s="82"/>
      <c r="E4616" s="84"/>
      <c r="F4616" s="84"/>
      <c r="G4616" s="84"/>
      <c r="I4616" s="237"/>
      <c r="J4616" s="238"/>
    </row>
    <row r="4617">
      <c r="C4617" s="82"/>
      <c r="E4617" s="84"/>
      <c r="F4617" s="84"/>
      <c r="G4617" s="84"/>
      <c r="I4617" s="237"/>
      <c r="J4617" s="238"/>
    </row>
    <row r="4618">
      <c r="C4618" s="82"/>
      <c r="E4618" s="84"/>
      <c r="F4618" s="84"/>
      <c r="G4618" s="84"/>
      <c r="I4618" s="237"/>
      <c r="J4618" s="238"/>
    </row>
    <row r="4619">
      <c r="C4619" s="82"/>
      <c r="E4619" s="84"/>
      <c r="F4619" s="84"/>
      <c r="G4619" s="84"/>
      <c r="I4619" s="237"/>
      <c r="J4619" s="238"/>
    </row>
    <row r="4620">
      <c r="C4620" s="82"/>
      <c r="E4620" s="84"/>
      <c r="F4620" s="84"/>
      <c r="G4620" s="84"/>
      <c r="I4620" s="237"/>
      <c r="J4620" s="238"/>
    </row>
    <row r="4621">
      <c r="C4621" s="82"/>
      <c r="E4621" s="84"/>
      <c r="F4621" s="84"/>
      <c r="G4621" s="84"/>
      <c r="I4621" s="237"/>
      <c r="J4621" s="238"/>
    </row>
    <row r="4622">
      <c r="C4622" s="82"/>
      <c r="E4622" s="84"/>
      <c r="F4622" s="84"/>
      <c r="G4622" s="84"/>
      <c r="I4622" s="237"/>
      <c r="J4622" s="238"/>
    </row>
    <row r="4623">
      <c r="C4623" s="82"/>
      <c r="E4623" s="84"/>
      <c r="F4623" s="84"/>
      <c r="G4623" s="84"/>
      <c r="I4623" s="237"/>
      <c r="J4623" s="238"/>
    </row>
    <row r="4624">
      <c r="C4624" s="82"/>
      <c r="E4624" s="84"/>
      <c r="F4624" s="84"/>
      <c r="G4624" s="84"/>
      <c r="I4624" s="237"/>
      <c r="J4624" s="238"/>
    </row>
    <row r="4625">
      <c r="C4625" s="82"/>
      <c r="E4625" s="84"/>
      <c r="F4625" s="84"/>
      <c r="G4625" s="84"/>
      <c r="I4625" s="237"/>
      <c r="J4625" s="238"/>
    </row>
    <row r="4626">
      <c r="C4626" s="82"/>
      <c r="E4626" s="84"/>
      <c r="F4626" s="84"/>
      <c r="G4626" s="84"/>
      <c r="I4626" s="237"/>
      <c r="J4626" s="238"/>
    </row>
    <row r="4627">
      <c r="C4627" s="82"/>
      <c r="E4627" s="84"/>
      <c r="F4627" s="84"/>
      <c r="G4627" s="84"/>
      <c r="I4627" s="237"/>
      <c r="J4627" s="238"/>
    </row>
    <row r="4628">
      <c r="C4628" s="82"/>
      <c r="E4628" s="84"/>
      <c r="F4628" s="84"/>
      <c r="G4628" s="84"/>
      <c r="I4628" s="237"/>
      <c r="J4628" s="238"/>
    </row>
    <row r="4629">
      <c r="C4629" s="82"/>
      <c r="E4629" s="84"/>
      <c r="F4629" s="84"/>
      <c r="G4629" s="84"/>
      <c r="I4629" s="237"/>
      <c r="J4629" s="238"/>
    </row>
    <row r="4630">
      <c r="C4630" s="82"/>
      <c r="E4630" s="84"/>
      <c r="F4630" s="84"/>
      <c r="G4630" s="84"/>
      <c r="I4630" s="237"/>
      <c r="J4630" s="238"/>
    </row>
    <row r="4631">
      <c r="C4631" s="82"/>
      <c r="E4631" s="84"/>
      <c r="F4631" s="84"/>
      <c r="G4631" s="84"/>
      <c r="I4631" s="237"/>
      <c r="J4631" s="238"/>
    </row>
    <row r="4632">
      <c r="C4632" s="82"/>
      <c r="E4632" s="84"/>
      <c r="F4632" s="84"/>
      <c r="G4632" s="84"/>
      <c r="I4632" s="237"/>
      <c r="J4632" s="238"/>
    </row>
    <row r="4633">
      <c r="C4633" s="82"/>
      <c r="E4633" s="84"/>
      <c r="F4633" s="84"/>
      <c r="G4633" s="84"/>
      <c r="I4633" s="237"/>
      <c r="J4633" s="238"/>
    </row>
    <row r="4634">
      <c r="C4634" s="82"/>
      <c r="E4634" s="84"/>
      <c r="F4634" s="84"/>
      <c r="G4634" s="84"/>
      <c r="I4634" s="237"/>
      <c r="J4634" s="238"/>
    </row>
    <row r="4635">
      <c r="C4635" s="82"/>
      <c r="E4635" s="84"/>
      <c r="F4635" s="84"/>
      <c r="G4635" s="84"/>
      <c r="I4635" s="237"/>
      <c r="J4635" s="238"/>
    </row>
    <row r="4636">
      <c r="C4636" s="82"/>
      <c r="E4636" s="84"/>
      <c r="F4636" s="84"/>
      <c r="G4636" s="84"/>
      <c r="I4636" s="237"/>
      <c r="J4636" s="238"/>
    </row>
    <row r="4637">
      <c r="C4637" s="82"/>
      <c r="E4637" s="84"/>
      <c r="F4637" s="84"/>
      <c r="G4637" s="84"/>
      <c r="I4637" s="237"/>
      <c r="J4637" s="238"/>
    </row>
    <row r="4638">
      <c r="C4638" s="82"/>
      <c r="E4638" s="84"/>
      <c r="F4638" s="84"/>
      <c r="G4638" s="84"/>
      <c r="I4638" s="237"/>
      <c r="J4638" s="238"/>
    </row>
    <row r="4639">
      <c r="C4639" s="82"/>
      <c r="E4639" s="84"/>
      <c r="F4639" s="84"/>
      <c r="G4639" s="84"/>
      <c r="I4639" s="237"/>
      <c r="J4639" s="238"/>
    </row>
    <row r="4640">
      <c r="C4640" s="82"/>
      <c r="E4640" s="84"/>
      <c r="F4640" s="84"/>
      <c r="G4640" s="84"/>
      <c r="I4640" s="237"/>
      <c r="J4640" s="238"/>
    </row>
    <row r="4641">
      <c r="C4641" s="82"/>
      <c r="E4641" s="84"/>
      <c r="F4641" s="84"/>
      <c r="G4641" s="84"/>
      <c r="I4641" s="237"/>
      <c r="J4641" s="238"/>
    </row>
    <row r="4642">
      <c r="C4642" s="82"/>
      <c r="E4642" s="84"/>
      <c r="F4642" s="84"/>
      <c r="G4642" s="84"/>
      <c r="I4642" s="237"/>
      <c r="J4642" s="238"/>
    </row>
    <row r="4643">
      <c r="C4643" s="82"/>
      <c r="E4643" s="84"/>
      <c r="F4643" s="84"/>
      <c r="G4643" s="84"/>
      <c r="I4643" s="237"/>
      <c r="J4643" s="238"/>
    </row>
    <row r="4644">
      <c r="C4644" s="82"/>
      <c r="E4644" s="84"/>
      <c r="F4644" s="84"/>
      <c r="G4644" s="84"/>
      <c r="I4644" s="237"/>
      <c r="J4644" s="238"/>
    </row>
    <row r="4645">
      <c r="C4645" s="82"/>
      <c r="E4645" s="84"/>
      <c r="F4645" s="84"/>
      <c r="G4645" s="84"/>
      <c r="I4645" s="237"/>
      <c r="J4645" s="238"/>
    </row>
    <row r="4646">
      <c r="C4646" s="82"/>
      <c r="E4646" s="84"/>
      <c r="F4646" s="84"/>
      <c r="G4646" s="84"/>
      <c r="I4646" s="237"/>
      <c r="J4646" s="238"/>
    </row>
    <row r="4647">
      <c r="C4647" s="82"/>
      <c r="E4647" s="84"/>
      <c r="F4647" s="84"/>
      <c r="G4647" s="84"/>
      <c r="I4647" s="237"/>
      <c r="J4647" s="238"/>
    </row>
    <row r="4648">
      <c r="C4648" s="82"/>
      <c r="E4648" s="84"/>
      <c r="F4648" s="84"/>
      <c r="G4648" s="84"/>
      <c r="I4648" s="237"/>
      <c r="J4648" s="238"/>
    </row>
    <row r="4649">
      <c r="C4649" s="82"/>
      <c r="E4649" s="84"/>
      <c r="F4649" s="84"/>
      <c r="G4649" s="84"/>
      <c r="I4649" s="237"/>
      <c r="J4649" s="238"/>
    </row>
    <row r="4650">
      <c r="C4650" s="82"/>
      <c r="E4650" s="84"/>
      <c r="F4650" s="84"/>
      <c r="G4650" s="84"/>
      <c r="I4650" s="237"/>
      <c r="J4650" s="238"/>
    </row>
    <row r="4651">
      <c r="C4651" s="82"/>
      <c r="E4651" s="84"/>
      <c r="F4651" s="84"/>
      <c r="G4651" s="84"/>
      <c r="I4651" s="237"/>
      <c r="J4651" s="238"/>
    </row>
    <row r="4652">
      <c r="C4652" s="82"/>
      <c r="E4652" s="84"/>
      <c r="F4652" s="84"/>
      <c r="G4652" s="84"/>
      <c r="I4652" s="237"/>
      <c r="J4652" s="238"/>
    </row>
    <row r="4653">
      <c r="C4653" s="82"/>
      <c r="E4653" s="84"/>
      <c r="F4653" s="84"/>
      <c r="G4653" s="84"/>
      <c r="I4653" s="237"/>
      <c r="J4653" s="238"/>
    </row>
    <row r="4654">
      <c r="C4654" s="82"/>
      <c r="E4654" s="84"/>
      <c r="F4654" s="84"/>
      <c r="G4654" s="84"/>
      <c r="I4654" s="237"/>
      <c r="J4654" s="238"/>
    </row>
    <row r="4655">
      <c r="C4655" s="82"/>
      <c r="E4655" s="84"/>
      <c r="F4655" s="84"/>
      <c r="G4655" s="84"/>
      <c r="I4655" s="237"/>
      <c r="J4655" s="238"/>
    </row>
    <row r="4656">
      <c r="C4656" s="82"/>
      <c r="E4656" s="84"/>
      <c r="F4656" s="84"/>
      <c r="G4656" s="84"/>
      <c r="I4656" s="237"/>
      <c r="J4656" s="238"/>
    </row>
    <row r="4657">
      <c r="C4657" s="82"/>
      <c r="E4657" s="84"/>
      <c r="F4657" s="84"/>
      <c r="G4657" s="84"/>
      <c r="I4657" s="237"/>
      <c r="J4657" s="238"/>
    </row>
    <row r="4658">
      <c r="C4658" s="82"/>
      <c r="E4658" s="84"/>
      <c r="F4658" s="84"/>
      <c r="G4658" s="84"/>
      <c r="I4658" s="237"/>
      <c r="J4658" s="238"/>
    </row>
    <row r="4659">
      <c r="C4659" s="82"/>
      <c r="E4659" s="84"/>
      <c r="F4659" s="84"/>
      <c r="G4659" s="84"/>
      <c r="I4659" s="237"/>
      <c r="J4659" s="238"/>
    </row>
    <row r="4660">
      <c r="C4660" s="82"/>
      <c r="E4660" s="84"/>
      <c r="F4660" s="84"/>
      <c r="G4660" s="84"/>
      <c r="I4660" s="237"/>
      <c r="J4660" s="238"/>
    </row>
    <row r="4661">
      <c r="C4661" s="82"/>
      <c r="E4661" s="84"/>
      <c r="F4661" s="84"/>
      <c r="G4661" s="84"/>
      <c r="I4661" s="237"/>
      <c r="J4661" s="238"/>
    </row>
    <row r="4662">
      <c r="C4662" s="82"/>
      <c r="E4662" s="84"/>
      <c r="F4662" s="84"/>
      <c r="G4662" s="84"/>
      <c r="I4662" s="237"/>
      <c r="J4662" s="238"/>
    </row>
    <row r="4663">
      <c r="C4663" s="82"/>
      <c r="E4663" s="84"/>
      <c r="F4663" s="84"/>
      <c r="G4663" s="84"/>
      <c r="I4663" s="237"/>
      <c r="J4663" s="238"/>
    </row>
    <row r="4664">
      <c r="C4664" s="82"/>
      <c r="E4664" s="84"/>
      <c r="F4664" s="84"/>
      <c r="G4664" s="84"/>
      <c r="I4664" s="237"/>
      <c r="J4664" s="238"/>
    </row>
    <row r="4665">
      <c r="C4665" s="82"/>
      <c r="E4665" s="84"/>
      <c r="F4665" s="84"/>
      <c r="G4665" s="84"/>
      <c r="I4665" s="237"/>
      <c r="J4665" s="238"/>
    </row>
    <row r="4666">
      <c r="C4666" s="82"/>
      <c r="E4666" s="84"/>
      <c r="F4666" s="84"/>
      <c r="G4666" s="84"/>
      <c r="I4666" s="237"/>
      <c r="J4666" s="238"/>
    </row>
    <row r="4667">
      <c r="C4667" s="82"/>
      <c r="E4667" s="84"/>
      <c r="F4667" s="84"/>
      <c r="G4667" s="84"/>
      <c r="I4667" s="237"/>
      <c r="J4667" s="238"/>
    </row>
    <row r="4668">
      <c r="C4668" s="82"/>
      <c r="E4668" s="84"/>
      <c r="F4668" s="84"/>
      <c r="G4668" s="84"/>
      <c r="I4668" s="237"/>
      <c r="J4668" s="238"/>
    </row>
    <row r="4669">
      <c r="C4669" s="82"/>
      <c r="E4669" s="84"/>
      <c r="F4669" s="84"/>
      <c r="G4669" s="84"/>
      <c r="I4669" s="237"/>
      <c r="J4669" s="238"/>
    </row>
    <row r="4670">
      <c r="C4670" s="82"/>
      <c r="E4670" s="84"/>
      <c r="F4670" s="84"/>
      <c r="G4670" s="84"/>
      <c r="I4670" s="237"/>
      <c r="J4670" s="238"/>
    </row>
    <row r="4671">
      <c r="C4671" s="82"/>
      <c r="E4671" s="84"/>
      <c r="F4671" s="84"/>
      <c r="G4671" s="84"/>
      <c r="I4671" s="237"/>
      <c r="J4671" s="238"/>
    </row>
    <row r="4672">
      <c r="C4672" s="82"/>
      <c r="E4672" s="84"/>
      <c r="F4672" s="84"/>
      <c r="G4672" s="84"/>
      <c r="I4672" s="237"/>
      <c r="J4672" s="238"/>
    </row>
    <row r="4673">
      <c r="C4673" s="82"/>
      <c r="E4673" s="84"/>
      <c r="F4673" s="84"/>
      <c r="G4673" s="84"/>
      <c r="I4673" s="237"/>
      <c r="J4673" s="238"/>
    </row>
    <row r="4674">
      <c r="C4674" s="82"/>
      <c r="E4674" s="84"/>
      <c r="F4674" s="84"/>
      <c r="G4674" s="84"/>
      <c r="I4674" s="237"/>
      <c r="J4674" s="238"/>
    </row>
    <row r="4675">
      <c r="C4675" s="82"/>
      <c r="E4675" s="84"/>
      <c r="F4675" s="84"/>
      <c r="G4675" s="84"/>
      <c r="I4675" s="237"/>
      <c r="J4675" s="238"/>
    </row>
    <row r="4676">
      <c r="C4676" s="82"/>
      <c r="E4676" s="84"/>
      <c r="F4676" s="84"/>
      <c r="G4676" s="84"/>
      <c r="I4676" s="237"/>
      <c r="J4676" s="238"/>
    </row>
    <row r="4677">
      <c r="C4677" s="82"/>
      <c r="E4677" s="84"/>
      <c r="F4677" s="84"/>
      <c r="G4677" s="84"/>
      <c r="I4677" s="237"/>
      <c r="J4677" s="238"/>
    </row>
    <row r="4678">
      <c r="C4678" s="82"/>
      <c r="E4678" s="84"/>
      <c r="F4678" s="84"/>
      <c r="G4678" s="84"/>
      <c r="I4678" s="237"/>
      <c r="J4678" s="238"/>
    </row>
    <row r="4679">
      <c r="C4679" s="82"/>
      <c r="E4679" s="84"/>
      <c r="F4679" s="84"/>
      <c r="G4679" s="84"/>
      <c r="I4679" s="237"/>
      <c r="J4679" s="238"/>
    </row>
    <row r="4680">
      <c r="C4680" s="82"/>
      <c r="E4680" s="84"/>
      <c r="F4680" s="84"/>
      <c r="G4680" s="84"/>
      <c r="I4680" s="237"/>
      <c r="J4680" s="238"/>
    </row>
    <row r="4681">
      <c r="C4681" s="82"/>
      <c r="E4681" s="84"/>
      <c r="F4681" s="84"/>
      <c r="G4681" s="84"/>
      <c r="I4681" s="237"/>
      <c r="J4681" s="238"/>
    </row>
    <row r="4682">
      <c r="C4682" s="82"/>
      <c r="E4682" s="84"/>
      <c r="F4682" s="84"/>
      <c r="G4682" s="84"/>
      <c r="I4682" s="237"/>
      <c r="J4682" s="238"/>
    </row>
    <row r="4683">
      <c r="C4683" s="82"/>
      <c r="E4683" s="84"/>
      <c r="F4683" s="84"/>
      <c r="G4683" s="84"/>
      <c r="I4683" s="237"/>
      <c r="J4683" s="238"/>
    </row>
    <row r="4684">
      <c r="C4684" s="82"/>
      <c r="E4684" s="84"/>
      <c r="F4684" s="84"/>
      <c r="G4684" s="84"/>
      <c r="I4684" s="237"/>
      <c r="J4684" s="238"/>
    </row>
    <row r="4685">
      <c r="C4685" s="82"/>
      <c r="E4685" s="84"/>
      <c r="F4685" s="84"/>
      <c r="G4685" s="84"/>
      <c r="I4685" s="237"/>
      <c r="J4685" s="238"/>
    </row>
    <row r="4686">
      <c r="C4686" s="82"/>
      <c r="E4686" s="84"/>
      <c r="F4686" s="84"/>
      <c r="G4686" s="84"/>
      <c r="I4686" s="237"/>
      <c r="J4686" s="238"/>
    </row>
    <row r="4687">
      <c r="C4687" s="82"/>
      <c r="E4687" s="84"/>
      <c r="F4687" s="84"/>
      <c r="G4687" s="84"/>
      <c r="I4687" s="237"/>
      <c r="J4687" s="238"/>
    </row>
    <row r="4688">
      <c r="C4688" s="82"/>
      <c r="E4688" s="84"/>
      <c r="F4688" s="84"/>
      <c r="G4688" s="84"/>
      <c r="I4688" s="237"/>
      <c r="J4688" s="238"/>
    </row>
    <row r="4689">
      <c r="C4689" s="82"/>
      <c r="E4689" s="84"/>
      <c r="F4689" s="84"/>
      <c r="G4689" s="84"/>
      <c r="I4689" s="237"/>
      <c r="J4689" s="238"/>
    </row>
    <row r="4690">
      <c r="C4690" s="82"/>
      <c r="E4690" s="84"/>
      <c r="F4690" s="84"/>
      <c r="G4690" s="84"/>
      <c r="I4690" s="237"/>
      <c r="J4690" s="238"/>
    </row>
    <row r="4691">
      <c r="C4691" s="82"/>
      <c r="E4691" s="84"/>
      <c r="F4691" s="84"/>
      <c r="G4691" s="84"/>
      <c r="I4691" s="237"/>
      <c r="J4691" s="238"/>
    </row>
    <row r="4692">
      <c r="C4692" s="82"/>
      <c r="E4692" s="84"/>
      <c r="F4692" s="84"/>
      <c r="G4692" s="84"/>
      <c r="I4692" s="237"/>
      <c r="J4692" s="238"/>
    </row>
    <row r="4693">
      <c r="C4693" s="82"/>
      <c r="E4693" s="84"/>
      <c r="F4693" s="84"/>
      <c r="G4693" s="84"/>
      <c r="I4693" s="237"/>
      <c r="J4693" s="238"/>
    </row>
    <row r="4694">
      <c r="C4694" s="82"/>
      <c r="E4694" s="84"/>
      <c r="F4694" s="84"/>
      <c r="G4694" s="84"/>
      <c r="I4694" s="237"/>
      <c r="J4694" s="238"/>
    </row>
    <row r="4695">
      <c r="C4695" s="82"/>
      <c r="E4695" s="84"/>
      <c r="F4695" s="84"/>
      <c r="G4695" s="84"/>
      <c r="I4695" s="237"/>
      <c r="J4695" s="238"/>
    </row>
    <row r="4696">
      <c r="C4696" s="82"/>
      <c r="E4696" s="84"/>
      <c r="F4696" s="84"/>
      <c r="G4696" s="84"/>
      <c r="I4696" s="237"/>
      <c r="J4696" s="238"/>
    </row>
    <row r="4697">
      <c r="C4697" s="82"/>
      <c r="E4697" s="84"/>
      <c r="F4697" s="84"/>
      <c r="G4697" s="84"/>
      <c r="I4697" s="237"/>
      <c r="J4697" s="238"/>
    </row>
    <row r="4698">
      <c r="C4698" s="82"/>
      <c r="E4698" s="84"/>
      <c r="F4698" s="84"/>
      <c r="G4698" s="84"/>
      <c r="I4698" s="237"/>
      <c r="J4698" s="238"/>
    </row>
    <row r="4699">
      <c r="C4699" s="82"/>
      <c r="E4699" s="84"/>
      <c r="F4699" s="84"/>
      <c r="G4699" s="84"/>
      <c r="I4699" s="237"/>
      <c r="J4699" s="238"/>
    </row>
    <row r="4700">
      <c r="C4700" s="82"/>
      <c r="E4700" s="84"/>
      <c r="F4700" s="84"/>
      <c r="G4700" s="84"/>
      <c r="I4700" s="237"/>
      <c r="J4700" s="238"/>
    </row>
    <row r="4701">
      <c r="C4701" s="82"/>
      <c r="E4701" s="84"/>
      <c r="F4701" s="84"/>
      <c r="G4701" s="84"/>
      <c r="I4701" s="237"/>
      <c r="J4701" s="238"/>
    </row>
    <row r="4702">
      <c r="C4702" s="82"/>
      <c r="E4702" s="84"/>
      <c r="F4702" s="84"/>
      <c r="G4702" s="84"/>
      <c r="I4702" s="237"/>
      <c r="J4702" s="238"/>
    </row>
    <row r="4703">
      <c r="C4703" s="82"/>
      <c r="E4703" s="84"/>
      <c r="F4703" s="84"/>
      <c r="G4703" s="84"/>
      <c r="I4703" s="237"/>
      <c r="J4703" s="238"/>
    </row>
    <row r="4704">
      <c r="C4704" s="82"/>
      <c r="E4704" s="84"/>
      <c r="F4704" s="84"/>
      <c r="G4704" s="84"/>
      <c r="I4704" s="237"/>
      <c r="J4704" s="238"/>
    </row>
    <row r="4705">
      <c r="C4705" s="82"/>
      <c r="E4705" s="84"/>
      <c r="F4705" s="84"/>
      <c r="G4705" s="84"/>
      <c r="I4705" s="237"/>
      <c r="J4705" s="238"/>
    </row>
    <row r="4706">
      <c r="C4706" s="82"/>
      <c r="E4706" s="84"/>
      <c r="F4706" s="84"/>
      <c r="G4706" s="84"/>
      <c r="I4706" s="237"/>
      <c r="J4706" s="238"/>
    </row>
    <row r="4707">
      <c r="C4707" s="82"/>
      <c r="E4707" s="84"/>
      <c r="F4707" s="84"/>
      <c r="G4707" s="84"/>
      <c r="I4707" s="237"/>
      <c r="J4707" s="238"/>
    </row>
    <row r="4708">
      <c r="C4708" s="82"/>
      <c r="E4708" s="84"/>
      <c r="F4708" s="84"/>
      <c r="G4708" s="84"/>
      <c r="I4708" s="237"/>
      <c r="J4708" s="238"/>
    </row>
    <row r="4709">
      <c r="C4709" s="82"/>
      <c r="E4709" s="84"/>
      <c r="F4709" s="84"/>
      <c r="G4709" s="84"/>
      <c r="I4709" s="237"/>
      <c r="J4709" s="238"/>
    </row>
    <row r="4710">
      <c r="C4710" s="82"/>
      <c r="E4710" s="84"/>
      <c r="F4710" s="84"/>
      <c r="G4710" s="84"/>
      <c r="I4710" s="237"/>
      <c r="J4710" s="238"/>
    </row>
    <row r="4711">
      <c r="C4711" s="82"/>
      <c r="E4711" s="84"/>
      <c r="F4711" s="84"/>
      <c r="G4711" s="84"/>
      <c r="I4711" s="237"/>
      <c r="J4711" s="238"/>
    </row>
    <row r="4712">
      <c r="C4712" s="82"/>
      <c r="E4712" s="84"/>
      <c r="F4712" s="84"/>
      <c r="G4712" s="84"/>
      <c r="I4712" s="237"/>
      <c r="J4712" s="238"/>
    </row>
    <row r="4713">
      <c r="C4713" s="82"/>
      <c r="E4713" s="84"/>
      <c r="F4713" s="84"/>
      <c r="G4713" s="84"/>
      <c r="I4713" s="237"/>
      <c r="J4713" s="238"/>
    </row>
    <row r="4714">
      <c r="C4714" s="82"/>
      <c r="E4714" s="84"/>
      <c r="F4714" s="84"/>
      <c r="G4714" s="84"/>
      <c r="I4714" s="237"/>
      <c r="J4714" s="238"/>
    </row>
    <row r="4715">
      <c r="C4715" s="82"/>
      <c r="E4715" s="84"/>
      <c r="F4715" s="84"/>
      <c r="G4715" s="84"/>
      <c r="I4715" s="237"/>
      <c r="J4715" s="238"/>
    </row>
    <row r="4716">
      <c r="C4716" s="82"/>
      <c r="E4716" s="84"/>
      <c r="F4716" s="84"/>
      <c r="G4716" s="84"/>
      <c r="I4716" s="237"/>
      <c r="J4716" s="238"/>
    </row>
    <row r="4717">
      <c r="C4717" s="82"/>
      <c r="E4717" s="84"/>
      <c r="F4717" s="84"/>
      <c r="G4717" s="84"/>
      <c r="I4717" s="237"/>
      <c r="J4717" s="238"/>
    </row>
    <row r="4718">
      <c r="C4718" s="82"/>
      <c r="E4718" s="84"/>
      <c r="F4718" s="84"/>
      <c r="G4718" s="84"/>
      <c r="I4718" s="237"/>
      <c r="J4718" s="238"/>
    </row>
    <row r="4719">
      <c r="C4719" s="82"/>
      <c r="E4719" s="84"/>
      <c r="F4719" s="84"/>
      <c r="G4719" s="84"/>
      <c r="I4719" s="237"/>
      <c r="J4719" s="238"/>
    </row>
    <row r="4720">
      <c r="C4720" s="82"/>
      <c r="E4720" s="84"/>
      <c r="F4720" s="84"/>
      <c r="G4720" s="84"/>
      <c r="I4720" s="237"/>
      <c r="J4720" s="238"/>
    </row>
    <row r="4721">
      <c r="C4721" s="82"/>
      <c r="E4721" s="84"/>
      <c r="F4721" s="84"/>
      <c r="G4721" s="84"/>
      <c r="I4721" s="237"/>
      <c r="J4721" s="238"/>
    </row>
    <row r="4722">
      <c r="C4722" s="82"/>
      <c r="E4722" s="84"/>
      <c r="F4722" s="84"/>
      <c r="G4722" s="84"/>
      <c r="I4722" s="237"/>
      <c r="J4722" s="238"/>
    </row>
    <row r="4723">
      <c r="C4723" s="82"/>
      <c r="E4723" s="84"/>
      <c r="F4723" s="84"/>
      <c r="G4723" s="84"/>
      <c r="I4723" s="237"/>
      <c r="J4723" s="238"/>
    </row>
    <row r="4724">
      <c r="C4724" s="82"/>
      <c r="E4724" s="84"/>
      <c r="F4724" s="84"/>
      <c r="G4724" s="84"/>
      <c r="I4724" s="237"/>
      <c r="J4724" s="238"/>
    </row>
    <row r="4725">
      <c r="C4725" s="82"/>
      <c r="E4725" s="84"/>
      <c r="F4725" s="84"/>
      <c r="G4725" s="84"/>
      <c r="I4725" s="237"/>
      <c r="J4725" s="238"/>
    </row>
    <row r="4726">
      <c r="C4726" s="82"/>
      <c r="E4726" s="84"/>
      <c r="F4726" s="84"/>
      <c r="G4726" s="84"/>
      <c r="I4726" s="237"/>
      <c r="J4726" s="238"/>
    </row>
    <row r="4727">
      <c r="C4727" s="82"/>
      <c r="E4727" s="84"/>
      <c r="F4727" s="84"/>
      <c r="G4727" s="84"/>
      <c r="I4727" s="237"/>
      <c r="J4727" s="238"/>
    </row>
    <row r="4728">
      <c r="C4728" s="82"/>
      <c r="E4728" s="84"/>
      <c r="F4728" s="84"/>
      <c r="G4728" s="84"/>
      <c r="I4728" s="237"/>
      <c r="J4728" s="238"/>
    </row>
    <row r="4729">
      <c r="C4729" s="82"/>
      <c r="E4729" s="84"/>
      <c r="F4729" s="84"/>
      <c r="G4729" s="84"/>
      <c r="I4729" s="237"/>
      <c r="J4729" s="238"/>
    </row>
    <row r="4730">
      <c r="C4730" s="82"/>
      <c r="E4730" s="84"/>
      <c r="F4730" s="84"/>
      <c r="G4730" s="84"/>
      <c r="I4730" s="237"/>
      <c r="J4730" s="238"/>
    </row>
    <row r="4731">
      <c r="C4731" s="82"/>
      <c r="E4731" s="84"/>
      <c r="F4731" s="84"/>
      <c r="G4731" s="84"/>
      <c r="I4731" s="237"/>
      <c r="J4731" s="238"/>
    </row>
    <row r="4732">
      <c r="C4732" s="82"/>
      <c r="E4732" s="84"/>
      <c r="F4732" s="84"/>
      <c r="G4732" s="84"/>
      <c r="I4732" s="237"/>
      <c r="J4732" s="238"/>
    </row>
    <row r="4733">
      <c r="C4733" s="82"/>
      <c r="E4733" s="84"/>
      <c r="F4733" s="84"/>
      <c r="G4733" s="84"/>
      <c r="I4733" s="237"/>
      <c r="J4733" s="238"/>
    </row>
    <row r="4734">
      <c r="C4734" s="82"/>
      <c r="E4734" s="84"/>
      <c r="F4734" s="84"/>
      <c r="G4734" s="84"/>
      <c r="I4734" s="237"/>
      <c r="J4734" s="238"/>
    </row>
    <row r="4735">
      <c r="C4735" s="82"/>
      <c r="E4735" s="84"/>
      <c r="F4735" s="84"/>
      <c r="G4735" s="84"/>
      <c r="I4735" s="237"/>
      <c r="J4735" s="238"/>
    </row>
    <row r="4736">
      <c r="C4736" s="82"/>
      <c r="E4736" s="84"/>
      <c r="F4736" s="84"/>
      <c r="G4736" s="84"/>
      <c r="I4736" s="237"/>
      <c r="J4736" s="238"/>
    </row>
    <row r="4737">
      <c r="C4737" s="82"/>
      <c r="E4737" s="84"/>
      <c r="F4737" s="84"/>
      <c r="G4737" s="84"/>
      <c r="I4737" s="237"/>
      <c r="J4737" s="238"/>
    </row>
    <row r="4738">
      <c r="C4738" s="82"/>
      <c r="E4738" s="84"/>
      <c r="F4738" s="84"/>
      <c r="G4738" s="84"/>
      <c r="I4738" s="237"/>
      <c r="J4738" s="238"/>
    </row>
    <row r="4739">
      <c r="C4739" s="82"/>
      <c r="E4739" s="84"/>
      <c r="F4739" s="84"/>
      <c r="G4739" s="84"/>
      <c r="I4739" s="237"/>
      <c r="J4739" s="238"/>
    </row>
    <row r="4740">
      <c r="C4740" s="82"/>
      <c r="E4740" s="84"/>
      <c r="F4740" s="84"/>
      <c r="G4740" s="84"/>
      <c r="I4740" s="237"/>
      <c r="J4740" s="238"/>
    </row>
    <row r="4741">
      <c r="C4741" s="82"/>
      <c r="E4741" s="84"/>
      <c r="F4741" s="84"/>
      <c r="G4741" s="84"/>
      <c r="I4741" s="237"/>
      <c r="J4741" s="238"/>
    </row>
    <row r="4742">
      <c r="C4742" s="82"/>
      <c r="E4742" s="84"/>
      <c r="F4742" s="84"/>
      <c r="G4742" s="84"/>
      <c r="I4742" s="237"/>
      <c r="J4742" s="238"/>
    </row>
    <row r="4743">
      <c r="C4743" s="82"/>
      <c r="E4743" s="84"/>
      <c r="F4743" s="84"/>
      <c r="G4743" s="84"/>
      <c r="I4743" s="237"/>
      <c r="J4743" s="238"/>
    </row>
    <row r="4744">
      <c r="C4744" s="82"/>
      <c r="E4744" s="84"/>
      <c r="F4744" s="84"/>
      <c r="G4744" s="84"/>
      <c r="I4744" s="237"/>
      <c r="J4744" s="238"/>
    </row>
    <row r="4745">
      <c r="C4745" s="82"/>
      <c r="E4745" s="84"/>
      <c r="F4745" s="84"/>
      <c r="G4745" s="84"/>
      <c r="I4745" s="237"/>
      <c r="J4745" s="238"/>
    </row>
    <row r="4746">
      <c r="C4746" s="82"/>
      <c r="E4746" s="84"/>
      <c r="F4746" s="84"/>
      <c r="G4746" s="84"/>
      <c r="I4746" s="237"/>
      <c r="J4746" s="238"/>
    </row>
    <row r="4747">
      <c r="C4747" s="82"/>
      <c r="E4747" s="84"/>
      <c r="F4747" s="84"/>
      <c r="G4747" s="84"/>
      <c r="I4747" s="237"/>
      <c r="J4747" s="238"/>
    </row>
    <row r="4748">
      <c r="C4748" s="82"/>
      <c r="E4748" s="84"/>
      <c r="F4748" s="84"/>
      <c r="G4748" s="84"/>
      <c r="I4748" s="237"/>
      <c r="J4748" s="238"/>
    </row>
    <row r="4749">
      <c r="C4749" s="82"/>
      <c r="E4749" s="84"/>
      <c r="F4749" s="84"/>
      <c r="G4749" s="84"/>
      <c r="I4749" s="237"/>
      <c r="J4749" s="238"/>
    </row>
    <row r="4750">
      <c r="C4750" s="82"/>
      <c r="E4750" s="84"/>
      <c r="F4750" s="84"/>
      <c r="G4750" s="84"/>
      <c r="I4750" s="237"/>
      <c r="J4750" s="238"/>
    </row>
    <row r="4751">
      <c r="C4751" s="82"/>
      <c r="E4751" s="84"/>
      <c r="F4751" s="84"/>
      <c r="G4751" s="84"/>
      <c r="I4751" s="237"/>
      <c r="J4751" s="238"/>
    </row>
    <row r="4752">
      <c r="C4752" s="82"/>
      <c r="E4752" s="84"/>
      <c r="F4752" s="84"/>
      <c r="G4752" s="84"/>
      <c r="I4752" s="237"/>
      <c r="J4752" s="238"/>
    </row>
    <row r="4753">
      <c r="C4753" s="82"/>
      <c r="E4753" s="84"/>
      <c r="F4753" s="84"/>
      <c r="G4753" s="84"/>
      <c r="I4753" s="237"/>
      <c r="J4753" s="238"/>
    </row>
    <row r="4754">
      <c r="C4754" s="82"/>
      <c r="E4754" s="84"/>
      <c r="F4754" s="84"/>
      <c r="G4754" s="84"/>
      <c r="I4754" s="237"/>
      <c r="J4754" s="238"/>
    </row>
    <row r="4755">
      <c r="C4755" s="82"/>
      <c r="E4755" s="84"/>
      <c r="F4755" s="84"/>
      <c r="G4755" s="84"/>
      <c r="I4755" s="237"/>
      <c r="J4755" s="238"/>
    </row>
    <row r="4756">
      <c r="C4756" s="82"/>
      <c r="E4756" s="84"/>
      <c r="F4756" s="84"/>
      <c r="G4756" s="84"/>
      <c r="I4756" s="237"/>
      <c r="J4756" s="238"/>
    </row>
    <row r="4757">
      <c r="C4757" s="82"/>
      <c r="E4757" s="84"/>
      <c r="F4757" s="84"/>
      <c r="G4757" s="84"/>
      <c r="I4757" s="237"/>
      <c r="J4757" s="238"/>
    </row>
    <row r="4758">
      <c r="C4758" s="82"/>
      <c r="E4758" s="84"/>
      <c r="F4758" s="84"/>
      <c r="G4758" s="84"/>
      <c r="I4758" s="237"/>
      <c r="J4758" s="238"/>
    </row>
    <row r="4759">
      <c r="C4759" s="82"/>
      <c r="E4759" s="84"/>
      <c r="F4759" s="84"/>
      <c r="G4759" s="84"/>
      <c r="I4759" s="237"/>
      <c r="J4759" s="238"/>
    </row>
    <row r="4760">
      <c r="C4760" s="82"/>
      <c r="E4760" s="84"/>
      <c r="F4760" s="84"/>
      <c r="G4760" s="84"/>
      <c r="I4760" s="237"/>
      <c r="J4760" s="238"/>
    </row>
    <row r="4761">
      <c r="C4761" s="82"/>
      <c r="E4761" s="84"/>
      <c r="F4761" s="84"/>
      <c r="G4761" s="84"/>
      <c r="I4761" s="237"/>
      <c r="J4761" s="238"/>
    </row>
    <row r="4762">
      <c r="C4762" s="82"/>
      <c r="E4762" s="84"/>
      <c r="F4762" s="84"/>
      <c r="G4762" s="84"/>
      <c r="I4762" s="237"/>
      <c r="J4762" s="238"/>
    </row>
    <row r="4763">
      <c r="C4763" s="82"/>
      <c r="E4763" s="84"/>
      <c r="F4763" s="84"/>
      <c r="G4763" s="84"/>
      <c r="I4763" s="237"/>
      <c r="J4763" s="238"/>
    </row>
    <row r="4764">
      <c r="C4764" s="82"/>
      <c r="E4764" s="84"/>
      <c r="F4764" s="84"/>
      <c r="G4764" s="84"/>
      <c r="I4764" s="237"/>
      <c r="J4764" s="238"/>
    </row>
    <row r="4765">
      <c r="C4765" s="82"/>
      <c r="E4765" s="84"/>
      <c r="F4765" s="84"/>
      <c r="G4765" s="84"/>
      <c r="I4765" s="237"/>
      <c r="J4765" s="238"/>
    </row>
    <row r="4766">
      <c r="C4766" s="82"/>
      <c r="E4766" s="84"/>
      <c r="F4766" s="84"/>
      <c r="G4766" s="84"/>
      <c r="I4766" s="237"/>
      <c r="J4766" s="238"/>
    </row>
    <row r="4767">
      <c r="C4767" s="82"/>
      <c r="E4767" s="84"/>
      <c r="F4767" s="84"/>
      <c r="G4767" s="84"/>
      <c r="I4767" s="237"/>
      <c r="J4767" s="238"/>
    </row>
    <row r="4768">
      <c r="C4768" s="82"/>
      <c r="E4768" s="84"/>
      <c r="F4768" s="84"/>
      <c r="G4768" s="84"/>
      <c r="I4768" s="237"/>
      <c r="J4768" s="238"/>
    </row>
    <row r="4769">
      <c r="C4769" s="82"/>
      <c r="E4769" s="84"/>
      <c r="F4769" s="84"/>
      <c r="G4769" s="84"/>
      <c r="I4769" s="237"/>
      <c r="J4769" s="238"/>
    </row>
    <row r="4770">
      <c r="C4770" s="82"/>
      <c r="E4770" s="84"/>
      <c r="F4770" s="84"/>
      <c r="G4770" s="84"/>
      <c r="I4770" s="237"/>
      <c r="J4770" s="238"/>
    </row>
    <row r="4771">
      <c r="C4771" s="82"/>
      <c r="E4771" s="84"/>
      <c r="F4771" s="84"/>
      <c r="G4771" s="84"/>
      <c r="I4771" s="237"/>
      <c r="J4771" s="238"/>
    </row>
    <row r="4772">
      <c r="C4772" s="82"/>
      <c r="E4772" s="84"/>
      <c r="F4772" s="84"/>
      <c r="G4772" s="84"/>
      <c r="I4772" s="237"/>
      <c r="J4772" s="238"/>
    </row>
    <row r="4773">
      <c r="C4773" s="82"/>
      <c r="E4773" s="84"/>
      <c r="F4773" s="84"/>
      <c r="G4773" s="84"/>
      <c r="I4773" s="237"/>
      <c r="J4773" s="238"/>
    </row>
    <row r="4774">
      <c r="C4774" s="82"/>
      <c r="E4774" s="84"/>
      <c r="F4774" s="84"/>
      <c r="G4774" s="84"/>
      <c r="I4774" s="237"/>
      <c r="J4774" s="238"/>
    </row>
    <row r="4775">
      <c r="C4775" s="82"/>
      <c r="E4775" s="84"/>
      <c r="F4775" s="84"/>
      <c r="G4775" s="84"/>
      <c r="I4775" s="237"/>
      <c r="J4775" s="238"/>
    </row>
    <row r="4776">
      <c r="C4776" s="82"/>
      <c r="E4776" s="84"/>
      <c r="F4776" s="84"/>
      <c r="G4776" s="84"/>
      <c r="I4776" s="237"/>
      <c r="J4776" s="238"/>
    </row>
    <row r="4777">
      <c r="C4777" s="82"/>
      <c r="E4777" s="84"/>
      <c r="F4777" s="84"/>
      <c r="G4777" s="84"/>
      <c r="I4777" s="237"/>
      <c r="J4777" s="238"/>
    </row>
    <row r="4778">
      <c r="C4778" s="82"/>
      <c r="E4778" s="84"/>
      <c r="F4778" s="84"/>
      <c r="G4778" s="84"/>
      <c r="I4778" s="237"/>
      <c r="J4778" s="238"/>
    </row>
    <row r="4779">
      <c r="C4779" s="82"/>
      <c r="E4779" s="84"/>
      <c r="F4779" s="84"/>
      <c r="G4779" s="84"/>
      <c r="I4779" s="237"/>
      <c r="J4779" s="238"/>
    </row>
    <row r="4780">
      <c r="C4780" s="82"/>
      <c r="E4780" s="84"/>
      <c r="F4780" s="84"/>
      <c r="G4780" s="84"/>
      <c r="I4780" s="237"/>
      <c r="J4780" s="238"/>
    </row>
    <row r="4781">
      <c r="C4781" s="82"/>
      <c r="E4781" s="84"/>
      <c r="F4781" s="84"/>
      <c r="G4781" s="84"/>
      <c r="I4781" s="237"/>
      <c r="J4781" s="238"/>
    </row>
    <row r="4782">
      <c r="C4782" s="82"/>
      <c r="E4782" s="84"/>
      <c r="F4782" s="84"/>
      <c r="G4782" s="84"/>
      <c r="I4782" s="237"/>
      <c r="J4782" s="238"/>
    </row>
    <row r="4783">
      <c r="C4783" s="82"/>
      <c r="E4783" s="84"/>
      <c r="F4783" s="84"/>
      <c r="G4783" s="84"/>
      <c r="I4783" s="237"/>
      <c r="J4783" s="238"/>
    </row>
    <row r="4784">
      <c r="C4784" s="82"/>
      <c r="E4784" s="84"/>
      <c r="F4784" s="84"/>
      <c r="G4784" s="84"/>
      <c r="I4784" s="237"/>
      <c r="J4784" s="238"/>
    </row>
    <row r="4785">
      <c r="C4785" s="82"/>
      <c r="E4785" s="84"/>
      <c r="F4785" s="84"/>
      <c r="G4785" s="84"/>
      <c r="I4785" s="237"/>
      <c r="J4785" s="238"/>
    </row>
    <row r="4786">
      <c r="C4786" s="82"/>
      <c r="E4786" s="84"/>
      <c r="F4786" s="84"/>
      <c r="G4786" s="84"/>
      <c r="I4786" s="237"/>
      <c r="J4786" s="238"/>
    </row>
    <row r="4787">
      <c r="C4787" s="82"/>
      <c r="E4787" s="84"/>
      <c r="F4787" s="84"/>
      <c r="G4787" s="84"/>
      <c r="I4787" s="237"/>
      <c r="J4787" s="238"/>
    </row>
    <row r="4788">
      <c r="C4788" s="82"/>
      <c r="E4788" s="84"/>
      <c r="F4788" s="84"/>
      <c r="G4788" s="84"/>
      <c r="I4788" s="237"/>
      <c r="J4788" s="238"/>
    </row>
    <row r="4789">
      <c r="C4789" s="82"/>
      <c r="E4789" s="84"/>
      <c r="F4789" s="84"/>
      <c r="G4789" s="84"/>
      <c r="I4789" s="237"/>
      <c r="J4789" s="238"/>
    </row>
    <row r="4790">
      <c r="C4790" s="82"/>
      <c r="E4790" s="84"/>
      <c r="F4790" s="84"/>
      <c r="G4790" s="84"/>
      <c r="I4790" s="237"/>
      <c r="J4790" s="238"/>
    </row>
    <row r="4791">
      <c r="C4791" s="82"/>
      <c r="E4791" s="84"/>
      <c r="F4791" s="84"/>
      <c r="G4791" s="84"/>
      <c r="I4791" s="237"/>
      <c r="J4791" s="238"/>
    </row>
    <row r="4792">
      <c r="C4792" s="82"/>
      <c r="E4792" s="84"/>
      <c r="F4792" s="84"/>
      <c r="G4792" s="84"/>
      <c r="I4792" s="237"/>
      <c r="J4792" s="238"/>
    </row>
    <row r="4793">
      <c r="C4793" s="82"/>
      <c r="E4793" s="84"/>
      <c r="F4793" s="84"/>
      <c r="G4793" s="84"/>
      <c r="I4793" s="237"/>
      <c r="J4793" s="238"/>
    </row>
    <row r="4794">
      <c r="C4794" s="82"/>
      <c r="E4794" s="84"/>
      <c r="F4794" s="84"/>
      <c r="G4794" s="84"/>
      <c r="I4794" s="237"/>
      <c r="J4794" s="238"/>
    </row>
    <row r="4795">
      <c r="C4795" s="82"/>
      <c r="E4795" s="84"/>
      <c r="F4795" s="84"/>
      <c r="G4795" s="84"/>
      <c r="I4795" s="237"/>
      <c r="J4795" s="238"/>
    </row>
    <row r="4796">
      <c r="C4796" s="82"/>
      <c r="E4796" s="84"/>
      <c r="F4796" s="84"/>
      <c r="G4796" s="84"/>
      <c r="I4796" s="237"/>
      <c r="J4796" s="238"/>
    </row>
    <row r="4797">
      <c r="C4797" s="82"/>
      <c r="E4797" s="84"/>
      <c r="F4797" s="84"/>
      <c r="G4797" s="84"/>
      <c r="I4797" s="237"/>
      <c r="J4797" s="238"/>
    </row>
    <row r="4798">
      <c r="C4798" s="82"/>
      <c r="E4798" s="84"/>
      <c r="F4798" s="84"/>
      <c r="G4798" s="84"/>
      <c r="I4798" s="237"/>
      <c r="J4798" s="238"/>
    </row>
    <row r="4799">
      <c r="C4799" s="82"/>
      <c r="E4799" s="84"/>
      <c r="F4799" s="84"/>
      <c r="G4799" s="84"/>
      <c r="I4799" s="237"/>
      <c r="J4799" s="238"/>
    </row>
    <row r="4800">
      <c r="C4800" s="82"/>
      <c r="E4800" s="84"/>
      <c r="F4800" s="84"/>
      <c r="G4800" s="84"/>
      <c r="I4800" s="237"/>
      <c r="J4800" s="238"/>
    </row>
    <row r="4801">
      <c r="C4801" s="82"/>
      <c r="E4801" s="84"/>
      <c r="F4801" s="84"/>
      <c r="G4801" s="84"/>
      <c r="I4801" s="237"/>
      <c r="J4801" s="238"/>
    </row>
    <row r="4802">
      <c r="C4802" s="82"/>
      <c r="E4802" s="84"/>
      <c r="F4802" s="84"/>
      <c r="G4802" s="84"/>
      <c r="I4802" s="237"/>
      <c r="J4802" s="238"/>
    </row>
    <row r="4803">
      <c r="C4803" s="82"/>
      <c r="E4803" s="84"/>
      <c r="F4803" s="84"/>
      <c r="G4803" s="84"/>
      <c r="I4803" s="237"/>
      <c r="J4803" s="238"/>
    </row>
    <row r="4804">
      <c r="C4804" s="82"/>
      <c r="E4804" s="84"/>
      <c r="F4804" s="84"/>
      <c r="G4804" s="84"/>
      <c r="I4804" s="237"/>
      <c r="J4804" s="238"/>
    </row>
    <row r="4805">
      <c r="C4805" s="82"/>
      <c r="E4805" s="84"/>
      <c r="F4805" s="84"/>
      <c r="G4805" s="84"/>
      <c r="I4805" s="237"/>
      <c r="J4805" s="238"/>
    </row>
    <row r="4806">
      <c r="C4806" s="82"/>
      <c r="E4806" s="84"/>
      <c r="F4806" s="84"/>
      <c r="G4806" s="84"/>
      <c r="I4806" s="237"/>
      <c r="J4806" s="238"/>
    </row>
    <row r="4807">
      <c r="C4807" s="82"/>
      <c r="E4807" s="84"/>
      <c r="F4807" s="84"/>
      <c r="G4807" s="84"/>
      <c r="I4807" s="237"/>
      <c r="J4807" s="238"/>
    </row>
    <row r="4808">
      <c r="C4808" s="82"/>
      <c r="E4808" s="84"/>
      <c r="F4808" s="84"/>
      <c r="G4808" s="84"/>
      <c r="I4808" s="237"/>
      <c r="J4808" s="238"/>
    </row>
    <row r="4809">
      <c r="C4809" s="82"/>
      <c r="E4809" s="84"/>
      <c r="F4809" s="84"/>
      <c r="G4809" s="84"/>
      <c r="I4809" s="237"/>
      <c r="J4809" s="238"/>
    </row>
    <row r="4810">
      <c r="C4810" s="82"/>
      <c r="E4810" s="84"/>
      <c r="F4810" s="84"/>
      <c r="G4810" s="84"/>
      <c r="I4810" s="237"/>
      <c r="J4810" s="238"/>
    </row>
    <row r="4811">
      <c r="C4811" s="82"/>
      <c r="E4811" s="84"/>
      <c r="F4811" s="84"/>
      <c r="G4811" s="84"/>
      <c r="I4811" s="237"/>
      <c r="J4811" s="238"/>
    </row>
    <row r="4812">
      <c r="C4812" s="82"/>
      <c r="E4812" s="84"/>
      <c r="F4812" s="84"/>
      <c r="G4812" s="84"/>
      <c r="I4812" s="237"/>
      <c r="J4812" s="238"/>
    </row>
    <row r="4813">
      <c r="C4813" s="82"/>
      <c r="E4813" s="84"/>
      <c r="F4813" s="84"/>
      <c r="G4813" s="84"/>
      <c r="I4813" s="237"/>
      <c r="J4813" s="238"/>
    </row>
    <row r="4814">
      <c r="C4814" s="82"/>
      <c r="E4814" s="84"/>
      <c r="F4814" s="84"/>
      <c r="G4814" s="84"/>
      <c r="I4814" s="237"/>
      <c r="J4814" s="238"/>
    </row>
    <row r="4815">
      <c r="C4815" s="82"/>
      <c r="E4815" s="84"/>
      <c r="F4815" s="84"/>
      <c r="G4815" s="84"/>
      <c r="I4815" s="237"/>
      <c r="J4815" s="238"/>
    </row>
    <row r="4816">
      <c r="C4816" s="82"/>
      <c r="E4816" s="84"/>
      <c r="F4816" s="84"/>
      <c r="G4816" s="84"/>
      <c r="I4816" s="237"/>
      <c r="J4816" s="238"/>
    </row>
    <row r="4817">
      <c r="C4817" s="82"/>
      <c r="E4817" s="84"/>
      <c r="F4817" s="84"/>
      <c r="G4817" s="84"/>
      <c r="I4817" s="237"/>
      <c r="J4817" s="238"/>
    </row>
    <row r="4818">
      <c r="C4818" s="82"/>
      <c r="E4818" s="84"/>
      <c r="F4818" s="84"/>
      <c r="G4818" s="84"/>
      <c r="I4818" s="237"/>
      <c r="J4818" s="238"/>
    </row>
    <row r="4819">
      <c r="C4819" s="82"/>
      <c r="E4819" s="84"/>
      <c r="F4819" s="84"/>
      <c r="G4819" s="84"/>
      <c r="I4819" s="237"/>
      <c r="J4819" s="238"/>
    </row>
    <row r="4820">
      <c r="C4820" s="82"/>
      <c r="E4820" s="84"/>
      <c r="F4820" s="84"/>
      <c r="G4820" s="84"/>
      <c r="I4820" s="237"/>
      <c r="J4820" s="238"/>
    </row>
    <row r="4821">
      <c r="C4821" s="82"/>
      <c r="E4821" s="84"/>
      <c r="F4821" s="84"/>
      <c r="G4821" s="84"/>
      <c r="I4821" s="237"/>
      <c r="J4821" s="238"/>
    </row>
    <row r="4822">
      <c r="C4822" s="82"/>
      <c r="E4822" s="84"/>
      <c r="F4822" s="84"/>
      <c r="G4822" s="84"/>
      <c r="I4822" s="237"/>
      <c r="J4822" s="238"/>
    </row>
    <row r="4823">
      <c r="C4823" s="82"/>
      <c r="E4823" s="84"/>
      <c r="F4823" s="84"/>
      <c r="G4823" s="84"/>
      <c r="I4823" s="237"/>
      <c r="J4823" s="238"/>
    </row>
    <row r="4824">
      <c r="C4824" s="82"/>
      <c r="E4824" s="84"/>
      <c r="F4824" s="84"/>
      <c r="G4824" s="84"/>
      <c r="I4824" s="237"/>
      <c r="J4824" s="238"/>
    </row>
    <row r="4825">
      <c r="C4825" s="82"/>
      <c r="E4825" s="84"/>
      <c r="F4825" s="84"/>
      <c r="G4825" s="84"/>
      <c r="I4825" s="237"/>
      <c r="J4825" s="238"/>
    </row>
    <row r="4826">
      <c r="C4826" s="82"/>
      <c r="E4826" s="84"/>
      <c r="F4826" s="84"/>
      <c r="G4826" s="84"/>
      <c r="I4826" s="237"/>
      <c r="J4826" s="238"/>
    </row>
    <row r="4827">
      <c r="C4827" s="82"/>
      <c r="E4827" s="84"/>
      <c r="F4827" s="84"/>
      <c r="G4827" s="84"/>
      <c r="I4827" s="237"/>
      <c r="J4827" s="238"/>
    </row>
    <row r="4828">
      <c r="C4828" s="82"/>
      <c r="E4828" s="84"/>
      <c r="F4828" s="84"/>
      <c r="G4828" s="84"/>
      <c r="I4828" s="237"/>
      <c r="J4828" s="238"/>
    </row>
    <row r="4829">
      <c r="C4829" s="82"/>
      <c r="E4829" s="84"/>
      <c r="F4829" s="84"/>
      <c r="G4829" s="84"/>
      <c r="I4829" s="237"/>
      <c r="J4829" s="238"/>
    </row>
    <row r="4830">
      <c r="C4830" s="82"/>
      <c r="E4830" s="84"/>
      <c r="F4830" s="84"/>
      <c r="G4830" s="84"/>
      <c r="I4830" s="237"/>
      <c r="J4830" s="238"/>
    </row>
    <row r="4831">
      <c r="C4831" s="82"/>
      <c r="E4831" s="84"/>
      <c r="F4831" s="84"/>
      <c r="G4831" s="84"/>
      <c r="I4831" s="237"/>
      <c r="J4831" s="238"/>
    </row>
    <row r="4832">
      <c r="C4832" s="82"/>
      <c r="E4832" s="84"/>
      <c r="F4832" s="84"/>
      <c r="G4832" s="84"/>
      <c r="I4832" s="237"/>
      <c r="J4832" s="238"/>
    </row>
    <row r="4833">
      <c r="C4833" s="82"/>
      <c r="E4833" s="84"/>
      <c r="F4833" s="84"/>
      <c r="G4833" s="84"/>
      <c r="I4833" s="237"/>
      <c r="J4833" s="238"/>
    </row>
    <row r="4834">
      <c r="C4834" s="82"/>
      <c r="E4834" s="84"/>
      <c r="F4834" s="84"/>
      <c r="G4834" s="84"/>
      <c r="I4834" s="237"/>
      <c r="J4834" s="238"/>
    </row>
    <row r="4835">
      <c r="C4835" s="82"/>
      <c r="E4835" s="84"/>
      <c r="F4835" s="84"/>
      <c r="G4835" s="84"/>
      <c r="I4835" s="237"/>
      <c r="J4835" s="238"/>
    </row>
    <row r="4836">
      <c r="C4836" s="82"/>
      <c r="E4836" s="84"/>
      <c r="F4836" s="84"/>
      <c r="G4836" s="84"/>
      <c r="I4836" s="237"/>
      <c r="J4836" s="238"/>
    </row>
    <row r="4837">
      <c r="C4837" s="82"/>
      <c r="E4837" s="84"/>
      <c r="F4837" s="84"/>
      <c r="G4837" s="84"/>
      <c r="I4837" s="237"/>
      <c r="J4837" s="238"/>
    </row>
    <row r="4838">
      <c r="C4838" s="82"/>
      <c r="E4838" s="84"/>
      <c r="F4838" s="84"/>
      <c r="G4838" s="84"/>
      <c r="I4838" s="237"/>
      <c r="J4838" s="238"/>
    </row>
    <row r="4839">
      <c r="C4839" s="82"/>
      <c r="E4839" s="84"/>
      <c r="F4839" s="84"/>
      <c r="G4839" s="84"/>
      <c r="I4839" s="237"/>
      <c r="J4839" s="238"/>
    </row>
    <row r="4840">
      <c r="C4840" s="82"/>
      <c r="E4840" s="84"/>
      <c r="F4840" s="84"/>
      <c r="G4840" s="84"/>
      <c r="I4840" s="237"/>
      <c r="J4840" s="238"/>
    </row>
    <row r="4841">
      <c r="C4841" s="82"/>
      <c r="E4841" s="84"/>
      <c r="F4841" s="84"/>
      <c r="G4841" s="84"/>
      <c r="I4841" s="237"/>
      <c r="J4841" s="238"/>
    </row>
    <row r="4842">
      <c r="C4842" s="82"/>
      <c r="E4842" s="84"/>
      <c r="F4842" s="84"/>
      <c r="G4842" s="84"/>
      <c r="I4842" s="237"/>
      <c r="J4842" s="238"/>
    </row>
    <row r="4843">
      <c r="C4843" s="82"/>
      <c r="E4843" s="84"/>
      <c r="F4843" s="84"/>
      <c r="G4843" s="84"/>
      <c r="I4843" s="237"/>
      <c r="J4843" s="238"/>
    </row>
    <row r="4844">
      <c r="C4844" s="82"/>
      <c r="E4844" s="84"/>
      <c r="F4844" s="84"/>
      <c r="G4844" s="84"/>
      <c r="I4844" s="237"/>
      <c r="J4844" s="238"/>
    </row>
    <row r="4845">
      <c r="C4845" s="82"/>
      <c r="E4845" s="84"/>
      <c r="F4845" s="84"/>
      <c r="G4845" s="84"/>
      <c r="I4845" s="237"/>
      <c r="J4845" s="238"/>
    </row>
    <row r="4846">
      <c r="C4846" s="82"/>
      <c r="E4846" s="84"/>
      <c r="F4846" s="84"/>
      <c r="G4846" s="84"/>
      <c r="I4846" s="237"/>
      <c r="J4846" s="238"/>
    </row>
    <row r="4847">
      <c r="C4847" s="82"/>
      <c r="E4847" s="84"/>
      <c r="F4847" s="84"/>
      <c r="G4847" s="84"/>
      <c r="I4847" s="237"/>
      <c r="J4847" s="238"/>
    </row>
    <row r="4848">
      <c r="C4848" s="82"/>
      <c r="E4848" s="84"/>
      <c r="F4848" s="84"/>
      <c r="G4848" s="84"/>
      <c r="I4848" s="237"/>
      <c r="J4848" s="238"/>
    </row>
    <row r="4849">
      <c r="C4849" s="82"/>
      <c r="E4849" s="84"/>
      <c r="F4849" s="84"/>
      <c r="G4849" s="84"/>
      <c r="I4849" s="237"/>
      <c r="J4849" s="238"/>
    </row>
    <row r="4850">
      <c r="C4850" s="82"/>
      <c r="E4850" s="84"/>
      <c r="F4850" s="84"/>
      <c r="G4850" s="84"/>
      <c r="I4850" s="237"/>
      <c r="J4850" s="238"/>
    </row>
    <row r="4851">
      <c r="C4851" s="82"/>
      <c r="E4851" s="84"/>
      <c r="F4851" s="84"/>
      <c r="G4851" s="84"/>
      <c r="I4851" s="237"/>
      <c r="J4851" s="238"/>
    </row>
    <row r="4852">
      <c r="C4852" s="82"/>
      <c r="E4852" s="84"/>
      <c r="F4852" s="84"/>
      <c r="G4852" s="84"/>
      <c r="I4852" s="237"/>
      <c r="J4852" s="238"/>
    </row>
    <row r="4853">
      <c r="C4853" s="82"/>
      <c r="E4853" s="84"/>
      <c r="F4853" s="84"/>
      <c r="G4853" s="84"/>
      <c r="I4853" s="237"/>
      <c r="J4853" s="238"/>
    </row>
    <row r="4854">
      <c r="C4854" s="82"/>
      <c r="E4854" s="84"/>
      <c r="F4854" s="84"/>
      <c r="G4854" s="84"/>
      <c r="I4854" s="237"/>
      <c r="J4854" s="238"/>
    </row>
    <row r="4855">
      <c r="C4855" s="82"/>
      <c r="E4855" s="84"/>
      <c r="F4855" s="84"/>
      <c r="G4855" s="84"/>
      <c r="I4855" s="237"/>
      <c r="J4855" s="238"/>
    </row>
    <row r="4856">
      <c r="C4856" s="82"/>
      <c r="E4856" s="84"/>
      <c r="F4856" s="84"/>
      <c r="G4856" s="84"/>
      <c r="I4856" s="237"/>
      <c r="J4856" s="238"/>
    </row>
    <row r="4857">
      <c r="C4857" s="82"/>
      <c r="E4857" s="84"/>
      <c r="F4857" s="84"/>
      <c r="G4857" s="84"/>
      <c r="I4857" s="237"/>
      <c r="J4857" s="238"/>
    </row>
    <row r="4858">
      <c r="C4858" s="82"/>
      <c r="E4858" s="84"/>
      <c r="F4858" s="84"/>
      <c r="G4858" s="84"/>
      <c r="I4858" s="237"/>
      <c r="J4858" s="238"/>
    </row>
    <row r="4859">
      <c r="C4859" s="82"/>
      <c r="E4859" s="84"/>
      <c r="F4859" s="84"/>
      <c r="G4859" s="84"/>
      <c r="I4859" s="237"/>
      <c r="J4859" s="238"/>
    </row>
    <row r="4860">
      <c r="C4860" s="82"/>
      <c r="E4860" s="84"/>
      <c r="F4860" s="84"/>
      <c r="G4860" s="84"/>
      <c r="I4860" s="237"/>
      <c r="J4860" s="238"/>
    </row>
    <row r="4861">
      <c r="C4861" s="82"/>
      <c r="E4861" s="84"/>
      <c r="F4861" s="84"/>
      <c r="G4861" s="84"/>
      <c r="I4861" s="237"/>
      <c r="J4861" s="238"/>
    </row>
    <row r="4862">
      <c r="C4862" s="82"/>
      <c r="E4862" s="84"/>
      <c r="F4862" s="84"/>
      <c r="G4862" s="84"/>
      <c r="I4862" s="237"/>
      <c r="J4862" s="238"/>
    </row>
    <row r="4863">
      <c r="C4863" s="82"/>
      <c r="E4863" s="84"/>
      <c r="F4863" s="84"/>
      <c r="G4863" s="84"/>
      <c r="I4863" s="237"/>
      <c r="J4863" s="238"/>
    </row>
    <row r="4864">
      <c r="C4864" s="82"/>
      <c r="E4864" s="84"/>
      <c r="F4864" s="84"/>
      <c r="G4864" s="84"/>
      <c r="I4864" s="237"/>
      <c r="J4864" s="238"/>
    </row>
    <row r="4865">
      <c r="C4865" s="82"/>
      <c r="E4865" s="84"/>
      <c r="F4865" s="84"/>
      <c r="G4865" s="84"/>
      <c r="I4865" s="237"/>
      <c r="J4865" s="238"/>
    </row>
    <row r="4866">
      <c r="C4866" s="82"/>
      <c r="E4866" s="84"/>
      <c r="F4866" s="84"/>
      <c r="G4866" s="84"/>
      <c r="I4866" s="237"/>
      <c r="J4866" s="238"/>
    </row>
    <row r="4867">
      <c r="C4867" s="82"/>
      <c r="E4867" s="84"/>
      <c r="F4867" s="84"/>
      <c r="G4867" s="84"/>
      <c r="I4867" s="237"/>
      <c r="J4867" s="238"/>
    </row>
    <row r="4868">
      <c r="C4868" s="82"/>
      <c r="E4868" s="84"/>
      <c r="F4868" s="84"/>
      <c r="G4868" s="84"/>
      <c r="I4868" s="237"/>
      <c r="J4868" s="238"/>
    </row>
    <row r="4869">
      <c r="C4869" s="82"/>
      <c r="E4869" s="84"/>
      <c r="F4869" s="84"/>
      <c r="G4869" s="84"/>
      <c r="I4869" s="237"/>
      <c r="J4869" s="238"/>
    </row>
    <row r="4870">
      <c r="C4870" s="82"/>
      <c r="E4870" s="84"/>
      <c r="F4870" s="84"/>
      <c r="G4870" s="84"/>
      <c r="I4870" s="237"/>
      <c r="J4870" s="238"/>
    </row>
    <row r="4871">
      <c r="C4871" s="82"/>
      <c r="E4871" s="84"/>
      <c r="F4871" s="84"/>
      <c r="G4871" s="84"/>
      <c r="I4871" s="237"/>
      <c r="J4871" s="238"/>
    </row>
    <row r="4872">
      <c r="C4872" s="82"/>
      <c r="E4872" s="84"/>
      <c r="F4872" s="84"/>
      <c r="G4872" s="84"/>
      <c r="I4872" s="237"/>
      <c r="J4872" s="238"/>
    </row>
    <row r="4873">
      <c r="C4873" s="82"/>
      <c r="E4873" s="84"/>
      <c r="F4873" s="84"/>
      <c r="G4873" s="84"/>
      <c r="I4873" s="237"/>
      <c r="J4873" s="238"/>
    </row>
    <row r="4874">
      <c r="C4874" s="82"/>
      <c r="E4874" s="84"/>
      <c r="F4874" s="84"/>
      <c r="G4874" s="84"/>
      <c r="I4874" s="237"/>
      <c r="J4874" s="238"/>
    </row>
    <row r="4875">
      <c r="C4875" s="82"/>
      <c r="E4875" s="84"/>
      <c r="F4875" s="84"/>
      <c r="G4875" s="84"/>
      <c r="I4875" s="237"/>
      <c r="J4875" s="238"/>
    </row>
    <row r="4876">
      <c r="C4876" s="82"/>
      <c r="E4876" s="84"/>
      <c r="F4876" s="84"/>
      <c r="G4876" s="84"/>
      <c r="I4876" s="237"/>
      <c r="J4876" s="238"/>
    </row>
    <row r="4877">
      <c r="C4877" s="82"/>
      <c r="E4877" s="84"/>
      <c r="F4877" s="84"/>
      <c r="G4877" s="84"/>
      <c r="I4877" s="237"/>
      <c r="J4877" s="238"/>
    </row>
    <row r="4878">
      <c r="C4878" s="82"/>
      <c r="E4878" s="84"/>
      <c r="F4878" s="84"/>
      <c r="G4878" s="84"/>
      <c r="I4878" s="237"/>
      <c r="J4878" s="238"/>
    </row>
    <row r="4879">
      <c r="C4879" s="82"/>
      <c r="E4879" s="84"/>
      <c r="F4879" s="84"/>
      <c r="G4879" s="84"/>
      <c r="I4879" s="237"/>
      <c r="J4879" s="238"/>
    </row>
    <row r="4880">
      <c r="C4880" s="82"/>
      <c r="E4880" s="84"/>
      <c r="F4880" s="84"/>
      <c r="G4880" s="84"/>
      <c r="I4880" s="237"/>
      <c r="J4880" s="238"/>
    </row>
    <row r="4881">
      <c r="C4881" s="82"/>
      <c r="E4881" s="84"/>
      <c r="F4881" s="84"/>
      <c r="G4881" s="84"/>
      <c r="I4881" s="237"/>
      <c r="J4881" s="238"/>
    </row>
    <row r="4882">
      <c r="C4882" s="82"/>
      <c r="E4882" s="84"/>
      <c r="F4882" s="84"/>
      <c r="G4882" s="84"/>
      <c r="I4882" s="237"/>
      <c r="J4882" s="238"/>
    </row>
    <row r="4883">
      <c r="C4883" s="82"/>
      <c r="E4883" s="84"/>
      <c r="F4883" s="84"/>
      <c r="G4883" s="84"/>
      <c r="I4883" s="237"/>
      <c r="J4883" s="238"/>
    </row>
    <row r="4884">
      <c r="C4884" s="82"/>
      <c r="E4884" s="84"/>
      <c r="F4884" s="84"/>
      <c r="G4884" s="84"/>
      <c r="I4884" s="237"/>
      <c r="J4884" s="238"/>
    </row>
    <row r="4885">
      <c r="C4885" s="82"/>
      <c r="E4885" s="84"/>
      <c r="F4885" s="84"/>
      <c r="G4885" s="84"/>
      <c r="I4885" s="237"/>
      <c r="J4885" s="238"/>
    </row>
    <row r="4886">
      <c r="C4886" s="82"/>
      <c r="E4886" s="84"/>
      <c r="F4886" s="84"/>
      <c r="G4886" s="84"/>
      <c r="I4886" s="237"/>
      <c r="J4886" s="238"/>
    </row>
    <row r="4887">
      <c r="C4887" s="82"/>
      <c r="E4887" s="84"/>
      <c r="F4887" s="84"/>
      <c r="G4887" s="84"/>
      <c r="I4887" s="237"/>
      <c r="J4887" s="238"/>
    </row>
    <row r="4888">
      <c r="C4888" s="82"/>
      <c r="E4888" s="84"/>
      <c r="F4888" s="84"/>
      <c r="G4888" s="84"/>
      <c r="I4888" s="237"/>
      <c r="J4888" s="238"/>
    </row>
    <row r="4889">
      <c r="C4889" s="82"/>
      <c r="E4889" s="84"/>
      <c r="F4889" s="84"/>
      <c r="G4889" s="84"/>
      <c r="I4889" s="237"/>
      <c r="J4889" s="238"/>
    </row>
    <row r="4890">
      <c r="C4890" s="82"/>
      <c r="E4890" s="84"/>
      <c r="F4890" s="84"/>
      <c r="G4890" s="84"/>
      <c r="I4890" s="237"/>
      <c r="J4890" s="238"/>
    </row>
    <row r="4891">
      <c r="C4891" s="82"/>
      <c r="E4891" s="84"/>
      <c r="F4891" s="84"/>
      <c r="G4891" s="84"/>
      <c r="I4891" s="237"/>
      <c r="J4891" s="238"/>
    </row>
    <row r="4892">
      <c r="C4892" s="82"/>
      <c r="E4892" s="84"/>
      <c r="F4892" s="84"/>
      <c r="G4892" s="84"/>
      <c r="I4892" s="237"/>
      <c r="J4892" s="238"/>
    </row>
    <row r="4893">
      <c r="C4893" s="82"/>
      <c r="E4893" s="84"/>
      <c r="F4893" s="84"/>
      <c r="G4893" s="84"/>
      <c r="I4893" s="237"/>
      <c r="J4893" s="238"/>
    </row>
    <row r="4894">
      <c r="C4894" s="82"/>
      <c r="E4894" s="84"/>
      <c r="F4894" s="84"/>
      <c r="G4894" s="84"/>
      <c r="I4894" s="237"/>
      <c r="J4894" s="238"/>
    </row>
    <row r="4895">
      <c r="C4895" s="82"/>
      <c r="E4895" s="84"/>
      <c r="F4895" s="84"/>
      <c r="G4895" s="84"/>
      <c r="I4895" s="237"/>
      <c r="J4895" s="238"/>
    </row>
    <row r="4896">
      <c r="C4896" s="82"/>
      <c r="E4896" s="84"/>
      <c r="F4896" s="84"/>
      <c r="G4896" s="84"/>
      <c r="I4896" s="237"/>
      <c r="J4896" s="238"/>
    </row>
    <row r="4897">
      <c r="C4897" s="82"/>
      <c r="E4897" s="84"/>
      <c r="F4897" s="84"/>
      <c r="G4897" s="84"/>
      <c r="I4897" s="237"/>
      <c r="J4897" s="238"/>
    </row>
    <row r="4898">
      <c r="C4898" s="82"/>
      <c r="E4898" s="84"/>
      <c r="F4898" s="84"/>
      <c r="G4898" s="84"/>
      <c r="I4898" s="237"/>
      <c r="J4898" s="238"/>
    </row>
    <row r="4899">
      <c r="C4899" s="82"/>
      <c r="E4899" s="84"/>
      <c r="F4899" s="84"/>
      <c r="G4899" s="84"/>
      <c r="I4899" s="237"/>
      <c r="J4899" s="238"/>
    </row>
    <row r="4900">
      <c r="C4900" s="82"/>
      <c r="E4900" s="84"/>
      <c r="F4900" s="84"/>
      <c r="G4900" s="84"/>
      <c r="I4900" s="237"/>
      <c r="J4900" s="238"/>
    </row>
    <row r="4901">
      <c r="C4901" s="82"/>
      <c r="E4901" s="84"/>
      <c r="F4901" s="84"/>
      <c r="G4901" s="84"/>
      <c r="I4901" s="237"/>
      <c r="J4901" s="238"/>
    </row>
    <row r="4902">
      <c r="C4902" s="82"/>
      <c r="E4902" s="84"/>
      <c r="F4902" s="84"/>
      <c r="G4902" s="84"/>
      <c r="I4902" s="237"/>
      <c r="J4902" s="238"/>
    </row>
    <row r="4903">
      <c r="C4903" s="82"/>
      <c r="E4903" s="84"/>
      <c r="F4903" s="84"/>
      <c r="G4903" s="84"/>
      <c r="I4903" s="237"/>
      <c r="J4903" s="238"/>
    </row>
    <row r="4904">
      <c r="C4904" s="82"/>
      <c r="E4904" s="84"/>
      <c r="F4904" s="84"/>
      <c r="G4904" s="84"/>
      <c r="I4904" s="237"/>
      <c r="J4904" s="238"/>
    </row>
    <row r="4905">
      <c r="C4905" s="82"/>
      <c r="E4905" s="84"/>
      <c r="F4905" s="84"/>
      <c r="G4905" s="84"/>
      <c r="I4905" s="237"/>
      <c r="J4905" s="238"/>
    </row>
    <row r="4906">
      <c r="C4906" s="82"/>
      <c r="E4906" s="84"/>
      <c r="F4906" s="84"/>
      <c r="G4906" s="84"/>
      <c r="I4906" s="237"/>
      <c r="J4906" s="238"/>
    </row>
    <row r="4907">
      <c r="C4907" s="82"/>
      <c r="E4907" s="84"/>
      <c r="F4907" s="84"/>
      <c r="G4907" s="84"/>
      <c r="I4907" s="237"/>
      <c r="J4907" s="238"/>
    </row>
    <row r="4908">
      <c r="C4908" s="82"/>
      <c r="E4908" s="84"/>
      <c r="F4908" s="84"/>
      <c r="G4908" s="84"/>
      <c r="I4908" s="237"/>
      <c r="J4908" s="238"/>
    </row>
    <row r="4909">
      <c r="C4909" s="82"/>
      <c r="E4909" s="84"/>
      <c r="F4909" s="84"/>
      <c r="G4909" s="84"/>
      <c r="I4909" s="237"/>
      <c r="J4909" s="238"/>
    </row>
    <row r="4910">
      <c r="C4910" s="82"/>
      <c r="E4910" s="84"/>
      <c r="F4910" s="84"/>
      <c r="G4910" s="84"/>
      <c r="I4910" s="237"/>
      <c r="J4910" s="238"/>
    </row>
    <row r="4911">
      <c r="C4911" s="82"/>
      <c r="E4911" s="84"/>
      <c r="F4911" s="84"/>
      <c r="G4911" s="84"/>
      <c r="I4911" s="237"/>
      <c r="J4911" s="238"/>
    </row>
    <row r="4912">
      <c r="C4912" s="82"/>
      <c r="E4912" s="84"/>
      <c r="F4912" s="84"/>
      <c r="G4912" s="84"/>
      <c r="I4912" s="237"/>
      <c r="J4912" s="238"/>
    </row>
    <row r="4913">
      <c r="C4913" s="82"/>
      <c r="E4913" s="84"/>
      <c r="F4913" s="84"/>
      <c r="G4913" s="84"/>
      <c r="I4913" s="237"/>
      <c r="J4913" s="238"/>
    </row>
    <row r="4914">
      <c r="C4914" s="82"/>
      <c r="E4914" s="84"/>
      <c r="F4914" s="84"/>
      <c r="G4914" s="84"/>
      <c r="I4914" s="237"/>
      <c r="J4914" s="238"/>
    </row>
    <row r="4915">
      <c r="C4915" s="82"/>
      <c r="E4915" s="84"/>
      <c r="F4915" s="84"/>
      <c r="G4915" s="84"/>
      <c r="I4915" s="237"/>
      <c r="J4915" s="238"/>
    </row>
    <row r="4916">
      <c r="C4916" s="82"/>
      <c r="E4916" s="84"/>
      <c r="F4916" s="84"/>
      <c r="G4916" s="84"/>
      <c r="I4916" s="237"/>
      <c r="J4916" s="238"/>
    </row>
    <row r="4917">
      <c r="C4917" s="82"/>
      <c r="E4917" s="84"/>
      <c r="F4917" s="84"/>
      <c r="G4917" s="84"/>
      <c r="I4917" s="237"/>
      <c r="J4917" s="238"/>
    </row>
    <row r="4918">
      <c r="C4918" s="82"/>
      <c r="E4918" s="84"/>
      <c r="F4918" s="84"/>
      <c r="G4918" s="84"/>
      <c r="I4918" s="237"/>
      <c r="J4918" s="238"/>
    </row>
    <row r="4919">
      <c r="C4919" s="82"/>
      <c r="E4919" s="84"/>
      <c r="F4919" s="84"/>
      <c r="G4919" s="84"/>
      <c r="I4919" s="237"/>
      <c r="J4919" s="238"/>
    </row>
    <row r="4920">
      <c r="C4920" s="82"/>
      <c r="E4920" s="84"/>
      <c r="F4920" s="84"/>
      <c r="G4920" s="84"/>
      <c r="I4920" s="237"/>
      <c r="J4920" s="238"/>
    </row>
    <row r="4921">
      <c r="C4921" s="82"/>
      <c r="E4921" s="84"/>
      <c r="F4921" s="84"/>
      <c r="G4921" s="84"/>
      <c r="I4921" s="237"/>
      <c r="J4921" s="238"/>
    </row>
    <row r="4922">
      <c r="C4922" s="82"/>
      <c r="E4922" s="84"/>
      <c r="F4922" s="84"/>
      <c r="G4922" s="84"/>
      <c r="I4922" s="237"/>
      <c r="J4922" s="238"/>
    </row>
    <row r="4923">
      <c r="C4923" s="82"/>
      <c r="E4923" s="84"/>
      <c r="F4923" s="84"/>
      <c r="G4923" s="84"/>
      <c r="I4923" s="237"/>
      <c r="J4923" s="238"/>
    </row>
    <row r="4924">
      <c r="C4924" s="82"/>
      <c r="E4924" s="84"/>
      <c r="F4924" s="84"/>
      <c r="G4924" s="84"/>
      <c r="I4924" s="237"/>
      <c r="J4924" s="238"/>
    </row>
    <row r="4925">
      <c r="C4925" s="82"/>
      <c r="E4925" s="84"/>
      <c r="F4925" s="84"/>
      <c r="G4925" s="84"/>
      <c r="I4925" s="237"/>
      <c r="J4925" s="238"/>
    </row>
    <row r="4926">
      <c r="C4926" s="82"/>
      <c r="E4926" s="84"/>
      <c r="F4926" s="84"/>
      <c r="G4926" s="84"/>
      <c r="I4926" s="237"/>
      <c r="J4926" s="238"/>
    </row>
    <row r="4927">
      <c r="C4927" s="82"/>
      <c r="E4927" s="84"/>
      <c r="F4927" s="84"/>
      <c r="G4927" s="84"/>
      <c r="I4927" s="237"/>
      <c r="J4927" s="238"/>
    </row>
    <row r="4928">
      <c r="C4928" s="82"/>
      <c r="E4928" s="84"/>
      <c r="F4928" s="84"/>
      <c r="G4928" s="84"/>
      <c r="I4928" s="237"/>
      <c r="J4928" s="238"/>
    </row>
    <row r="4929">
      <c r="C4929" s="82"/>
      <c r="E4929" s="84"/>
      <c r="F4929" s="84"/>
      <c r="G4929" s="84"/>
      <c r="I4929" s="237"/>
      <c r="J4929" s="238"/>
    </row>
    <row r="4930">
      <c r="C4930" s="82"/>
      <c r="E4930" s="84"/>
      <c r="F4930" s="84"/>
      <c r="G4930" s="84"/>
      <c r="I4930" s="237"/>
      <c r="J4930" s="238"/>
    </row>
    <row r="4931">
      <c r="C4931" s="82"/>
      <c r="E4931" s="84"/>
      <c r="F4931" s="84"/>
      <c r="G4931" s="84"/>
      <c r="I4931" s="237"/>
      <c r="J4931" s="238"/>
    </row>
    <row r="4932">
      <c r="C4932" s="82"/>
      <c r="E4932" s="84"/>
      <c r="F4932" s="84"/>
      <c r="G4932" s="84"/>
      <c r="I4932" s="237"/>
      <c r="J4932" s="238"/>
    </row>
    <row r="4933">
      <c r="C4933" s="82"/>
      <c r="E4933" s="84"/>
      <c r="F4933" s="84"/>
      <c r="G4933" s="84"/>
      <c r="I4933" s="237"/>
      <c r="J4933" s="238"/>
    </row>
    <row r="4934">
      <c r="C4934" s="82"/>
      <c r="E4934" s="84"/>
      <c r="F4934" s="84"/>
      <c r="G4934" s="84"/>
      <c r="I4934" s="237"/>
      <c r="J4934" s="238"/>
    </row>
    <row r="4935">
      <c r="C4935" s="82"/>
      <c r="E4935" s="84"/>
      <c r="F4935" s="84"/>
      <c r="G4935" s="84"/>
      <c r="I4935" s="237"/>
      <c r="J4935" s="238"/>
    </row>
    <row r="4936">
      <c r="C4936" s="82"/>
      <c r="E4936" s="84"/>
      <c r="F4936" s="84"/>
      <c r="G4936" s="84"/>
      <c r="I4936" s="237"/>
      <c r="J4936" s="238"/>
    </row>
    <row r="4937">
      <c r="C4937" s="82"/>
      <c r="E4937" s="84"/>
      <c r="F4937" s="84"/>
      <c r="G4937" s="84"/>
      <c r="I4937" s="237"/>
      <c r="J4937" s="238"/>
    </row>
    <row r="4938">
      <c r="C4938" s="82"/>
      <c r="E4938" s="84"/>
      <c r="F4938" s="84"/>
      <c r="G4938" s="84"/>
      <c r="I4938" s="237"/>
      <c r="J4938" s="238"/>
    </row>
    <row r="4939">
      <c r="C4939" s="82"/>
      <c r="E4939" s="84"/>
      <c r="F4939" s="84"/>
      <c r="G4939" s="84"/>
      <c r="I4939" s="237"/>
      <c r="J4939" s="238"/>
    </row>
    <row r="4940">
      <c r="C4940" s="82"/>
      <c r="E4940" s="84"/>
      <c r="F4940" s="84"/>
      <c r="G4940" s="84"/>
      <c r="I4940" s="237"/>
      <c r="J4940" s="238"/>
    </row>
    <row r="4941">
      <c r="C4941" s="82"/>
      <c r="E4941" s="84"/>
      <c r="F4941" s="84"/>
      <c r="G4941" s="84"/>
      <c r="I4941" s="237"/>
      <c r="J4941" s="238"/>
    </row>
    <row r="4942">
      <c r="C4942" s="82"/>
      <c r="E4942" s="84"/>
      <c r="F4942" s="84"/>
      <c r="G4942" s="84"/>
      <c r="I4942" s="237"/>
      <c r="J4942" s="238"/>
    </row>
    <row r="4943">
      <c r="C4943" s="82"/>
      <c r="E4943" s="84"/>
      <c r="F4943" s="84"/>
      <c r="G4943" s="84"/>
      <c r="I4943" s="237"/>
      <c r="J4943" s="238"/>
    </row>
    <row r="4944">
      <c r="C4944" s="82"/>
      <c r="E4944" s="84"/>
      <c r="F4944" s="84"/>
      <c r="G4944" s="84"/>
      <c r="I4944" s="237"/>
      <c r="J4944" s="238"/>
    </row>
    <row r="4945">
      <c r="C4945" s="82"/>
      <c r="E4945" s="84"/>
      <c r="F4945" s="84"/>
      <c r="G4945" s="84"/>
      <c r="I4945" s="237"/>
      <c r="J4945" s="238"/>
    </row>
    <row r="4946">
      <c r="C4946" s="82"/>
      <c r="E4946" s="84"/>
      <c r="F4946" s="84"/>
      <c r="G4946" s="84"/>
      <c r="I4946" s="237"/>
      <c r="J4946" s="238"/>
    </row>
    <row r="4947">
      <c r="C4947" s="82"/>
      <c r="E4947" s="84"/>
      <c r="F4947" s="84"/>
      <c r="G4947" s="84"/>
      <c r="I4947" s="237"/>
      <c r="J4947" s="238"/>
    </row>
    <row r="4948">
      <c r="C4948" s="82"/>
      <c r="E4948" s="84"/>
      <c r="F4948" s="84"/>
      <c r="G4948" s="84"/>
      <c r="I4948" s="237"/>
      <c r="J4948" s="238"/>
    </row>
    <row r="4949">
      <c r="C4949" s="82"/>
      <c r="E4949" s="84"/>
      <c r="F4949" s="84"/>
      <c r="G4949" s="84"/>
      <c r="I4949" s="237"/>
      <c r="J4949" s="238"/>
    </row>
    <row r="4950">
      <c r="C4950" s="82"/>
      <c r="E4950" s="84"/>
      <c r="F4950" s="84"/>
      <c r="G4950" s="84"/>
      <c r="I4950" s="237"/>
      <c r="J4950" s="238"/>
    </row>
    <row r="4951">
      <c r="C4951" s="82"/>
      <c r="E4951" s="84"/>
      <c r="F4951" s="84"/>
      <c r="G4951" s="84"/>
      <c r="I4951" s="237"/>
      <c r="J4951" s="238"/>
    </row>
    <row r="4952">
      <c r="C4952" s="82"/>
      <c r="E4952" s="84"/>
      <c r="F4952" s="84"/>
      <c r="G4952" s="84"/>
      <c r="I4952" s="237"/>
      <c r="J4952" s="238"/>
    </row>
    <row r="4953">
      <c r="C4953" s="82"/>
      <c r="E4953" s="84"/>
      <c r="F4953" s="84"/>
      <c r="G4953" s="84"/>
      <c r="I4953" s="237"/>
      <c r="J4953" s="238"/>
    </row>
    <row r="4954">
      <c r="C4954" s="82"/>
      <c r="E4954" s="84"/>
      <c r="F4954" s="84"/>
      <c r="G4954" s="84"/>
      <c r="I4954" s="237"/>
      <c r="J4954" s="238"/>
    </row>
    <row r="4955">
      <c r="C4955" s="82"/>
      <c r="E4955" s="84"/>
      <c r="F4955" s="84"/>
      <c r="G4955" s="84"/>
      <c r="I4955" s="237"/>
      <c r="J4955" s="238"/>
    </row>
    <row r="4956">
      <c r="C4956" s="82"/>
      <c r="E4956" s="84"/>
      <c r="F4956" s="84"/>
      <c r="G4956" s="84"/>
      <c r="I4956" s="237"/>
      <c r="J4956" s="238"/>
    </row>
    <row r="4957">
      <c r="C4957" s="82"/>
      <c r="E4957" s="84"/>
      <c r="F4957" s="84"/>
      <c r="G4957" s="84"/>
      <c r="I4957" s="237"/>
      <c r="J4957" s="238"/>
    </row>
    <row r="4958">
      <c r="C4958" s="82"/>
      <c r="E4958" s="84"/>
      <c r="F4958" s="84"/>
      <c r="G4958" s="84"/>
      <c r="I4958" s="237"/>
      <c r="J4958" s="238"/>
    </row>
    <row r="4959">
      <c r="C4959" s="82"/>
      <c r="E4959" s="84"/>
      <c r="F4959" s="84"/>
      <c r="G4959" s="84"/>
      <c r="I4959" s="237"/>
      <c r="J4959" s="238"/>
    </row>
    <row r="4960">
      <c r="C4960" s="82"/>
      <c r="E4960" s="84"/>
      <c r="F4960" s="84"/>
      <c r="G4960" s="84"/>
      <c r="I4960" s="237"/>
      <c r="J4960" s="238"/>
    </row>
    <row r="4961">
      <c r="C4961" s="82"/>
      <c r="E4961" s="84"/>
      <c r="F4961" s="84"/>
      <c r="G4961" s="84"/>
      <c r="I4961" s="237"/>
      <c r="J4961" s="238"/>
    </row>
    <row r="4962">
      <c r="C4962" s="82"/>
      <c r="E4962" s="84"/>
      <c r="F4962" s="84"/>
      <c r="G4962" s="84"/>
      <c r="I4962" s="237"/>
      <c r="J4962" s="238"/>
    </row>
    <row r="4963">
      <c r="C4963" s="82"/>
      <c r="E4963" s="84"/>
      <c r="F4963" s="84"/>
      <c r="G4963" s="84"/>
      <c r="I4963" s="237"/>
      <c r="J4963" s="238"/>
    </row>
    <row r="4964">
      <c r="C4964" s="82"/>
      <c r="E4964" s="84"/>
      <c r="F4964" s="84"/>
      <c r="G4964" s="84"/>
      <c r="I4964" s="237"/>
      <c r="J4964" s="238"/>
    </row>
    <row r="4965">
      <c r="C4965" s="82"/>
      <c r="E4965" s="84"/>
      <c r="F4965" s="84"/>
      <c r="G4965" s="84"/>
      <c r="I4965" s="237"/>
      <c r="J4965" s="238"/>
    </row>
    <row r="4966">
      <c r="C4966" s="82"/>
      <c r="E4966" s="84"/>
      <c r="F4966" s="84"/>
      <c r="G4966" s="84"/>
      <c r="I4966" s="237"/>
      <c r="J4966" s="238"/>
    </row>
    <row r="4967">
      <c r="C4967" s="82"/>
      <c r="E4967" s="84"/>
      <c r="F4967" s="84"/>
      <c r="G4967" s="84"/>
      <c r="I4967" s="237"/>
      <c r="J4967" s="238"/>
    </row>
    <row r="4968">
      <c r="C4968" s="82"/>
      <c r="E4968" s="84"/>
      <c r="F4968" s="84"/>
      <c r="G4968" s="84"/>
      <c r="I4968" s="237"/>
      <c r="J4968" s="238"/>
    </row>
    <row r="4969">
      <c r="C4969" s="82"/>
      <c r="E4969" s="84"/>
      <c r="F4969" s="84"/>
      <c r="G4969" s="84"/>
      <c r="I4969" s="237"/>
      <c r="J4969" s="238"/>
    </row>
    <row r="4970">
      <c r="C4970" s="82"/>
      <c r="E4970" s="84"/>
      <c r="F4970" s="84"/>
      <c r="G4970" s="84"/>
      <c r="I4970" s="237"/>
      <c r="J4970" s="238"/>
    </row>
    <row r="4971">
      <c r="C4971" s="82"/>
      <c r="E4971" s="84"/>
      <c r="F4971" s="84"/>
      <c r="G4971" s="84"/>
      <c r="I4971" s="237"/>
      <c r="J4971" s="238"/>
    </row>
    <row r="4972">
      <c r="C4972" s="82"/>
      <c r="E4972" s="84"/>
      <c r="F4972" s="84"/>
      <c r="G4972" s="84"/>
      <c r="I4972" s="237"/>
      <c r="J4972" s="238"/>
    </row>
    <row r="4973">
      <c r="C4973" s="82"/>
      <c r="E4973" s="84"/>
      <c r="F4973" s="84"/>
      <c r="G4973" s="84"/>
      <c r="I4973" s="237"/>
      <c r="J4973" s="238"/>
    </row>
    <row r="4974">
      <c r="C4974" s="82"/>
      <c r="E4974" s="84"/>
      <c r="F4974" s="84"/>
      <c r="G4974" s="84"/>
      <c r="I4974" s="237"/>
      <c r="J4974" s="238"/>
    </row>
    <row r="4975">
      <c r="C4975" s="82"/>
      <c r="E4975" s="84"/>
      <c r="F4975" s="84"/>
      <c r="G4975" s="84"/>
      <c r="I4975" s="237"/>
      <c r="J4975" s="238"/>
    </row>
    <row r="4976">
      <c r="C4976" s="82"/>
      <c r="E4976" s="84"/>
      <c r="F4976" s="84"/>
      <c r="G4976" s="84"/>
      <c r="I4976" s="237"/>
      <c r="J4976" s="238"/>
    </row>
    <row r="4977">
      <c r="C4977" s="82"/>
      <c r="E4977" s="84"/>
      <c r="F4977" s="84"/>
      <c r="G4977" s="84"/>
      <c r="I4977" s="237"/>
      <c r="J4977" s="238"/>
    </row>
    <row r="4978">
      <c r="C4978" s="82"/>
      <c r="E4978" s="84"/>
      <c r="F4978" s="84"/>
      <c r="G4978" s="84"/>
      <c r="I4978" s="237"/>
      <c r="J4978" s="238"/>
    </row>
    <row r="4979">
      <c r="C4979" s="82"/>
      <c r="E4979" s="84"/>
      <c r="F4979" s="84"/>
      <c r="G4979" s="84"/>
      <c r="I4979" s="237"/>
      <c r="J4979" s="238"/>
    </row>
    <row r="4980">
      <c r="C4980" s="82"/>
      <c r="E4980" s="84"/>
      <c r="F4980" s="84"/>
      <c r="G4980" s="84"/>
      <c r="I4980" s="237"/>
      <c r="J4980" s="238"/>
    </row>
    <row r="4981">
      <c r="C4981" s="82"/>
      <c r="E4981" s="84"/>
      <c r="F4981" s="84"/>
      <c r="G4981" s="84"/>
      <c r="I4981" s="237"/>
      <c r="J4981" s="238"/>
    </row>
    <row r="4982">
      <c r="C4982" s="82"/>
      <c r="E4982" s="84"/>
      <c r="F4982" s="84"/>
      <c r="G4982" s="84"/>
      <c r="I4982" s="237"/>
      <c r="J4982" s="238"/>
    </row>
    <row r="4983">
      <c r="C4983" s="82"/>
      <c r="E4983" s="84"/>
      <c r="F4983" s="84"/>
      <c r="G4983" s="84"/>
      <c r="I4983" s="237"/>
      <c r="J4983" s="238"/>
    </row>
    <row r="4984">
      <c r="C4984" s="82"/>
      <c r="E4984" s="84"/>
      <c r="F4984" s="84"/>
      <c r="G4984" s="84"/>
      <c r="I4984" s="237"/>
      <c r="J4984" s="238"/>
    </row>
    <row r="4985">
      <c r="C4985" s="82"/>
      <c r="E4985" s="84"/>
      <c r="F4985" s="84"/>
      <c r="G4985" s="84"/>
      <c r="I4985" s="237"/>
      <c r="J4985" s="238"/>
    </row>
    <row r="4986">
      <c r="C4986" s="82"/>
      <c r="E4986" s="84"/>
      <c r="F4986" s="84"/>
      <c r="G4986" s="84"/>
      <c r="I4986" s="237"/>
      <c r="J4986" s="238"/>
    </row>
    <row r="4987">
      <c r="C4987" s="82"/>
      <c r="E4987" s="84"/>
      <c r="F4987" s="84"/>
      <c r="G4987" s="84"/>
      <c r="I4987" s="237"/>
      <c r="J4987" s="238"/>
    </row>
    <row r="4988">
      <c r="C4988" s="82"/>
      <c r="E4988" s="84"/>
      <c r="F4988" s="84"/>
      <c r="G4988" s="84"/>
      <c r="I4988" s="237"/>
      <c r="J4988" s="238"/>
    </row>
    <row r="4989">
      <c r="C4989" s="82"/>
      <c r="E4989" s="84"/>
      <c r="F4989" s="84"/>
      <c r="G4989" s="84"/>
      <c r="I4989" s="237"/>
      <c r="J4989" s="238"/>
    </row>
    <row r="4990">
      <c r="C4990" s="82"/>
      <c r="E4990" s="84"/>
      <c r="F4990" s="84"/>
      <c r="G4990" s="84"/>
      <c r="I4990" s="237"/>
      <c r="J4990" s="238"/>
    </row>
    <row r="4991">
      <c r="C4991" s="82"/>
      <c r="E4991" s="84"/>
      <c r="F4991" s="84"/>
      <c r="G4991" s="84"/>
      <c r="I4991" s="237"/>
      <c r="J4991" s="238"/>
    </row>
    <row r="4992">
      <c r="C4992" s="82"/>
      <c r="E4992" s="84"/>
      <c r="F4992" s="84"/>
      <c r="G4992" s="84"/>
      <c r="I4992" s="237"/>
      <c r="J4992" s="238"/>
    </row>
    <row r="4993">
      <c r="C4993" s="82"/>
      <c r="E4993" s="84"/>
      <c r="F4993" s="84"/>
      <c r="G4993" s="84"/>
      <c r="I4993" s="237"/>
      <c r="J4993" s="238"/>
    </row>
    <row r="4994">
      <c r="C4994" s="82"/>
      <c r="E4994" s="84"/>
      <c r="F4994" s="84"/>
      <c r="G4994" s="84"/>
      <c r="I4994" s="237"/>
      <c r="J4994" s="238"/>
    </row>
    <row r="4995">
      <c r="C4995" s="82"/>
      <c r="E4995" s="84"/>
      <c r="F4995" s="84"/>
      <c r="G4995" s="84"/>
      <c r="I4995" s="237"/>
      <c r="J4995" s="238"/>
    </row>
    <row r="4996">
      <c r="C4996" s="82"/>
      <c r="E4996" s="84"/>
      <c r="F4996" s="84"/>
      <c r="G4996" s="84"/>
      <c r="I4996" s="237"/>
      <c r="J4996" s="238"/>
    </row>
    <row r="4997">
      <c r="C4997" s="82"/>
      <c r="E4997" s="84"/>
      <c r="F4997" s="84"/>
      <c r="G4997" s="84"/>
      <c r="I4997" s="237"/>
      <c r="J4997" s="238"/>
    </row>
    <row r="4998">
      <c r="C4998" s="82"/>
      <c r="E4998" s="84"/>
      <c r="F4998" s="84"/>
      <c r="G4998" s="84"/>
      <c r="I4998" s="237"/>
      <c r="J4998" s="238"/>
    </row>
    <row r="4999">
      <c r="C4999" s="82"/>
      <c r="E4999" s="84"/>
      <c r="F4999" s="84"/>
      <c r="G4999" s="84"/>
      <c r="I4999" s="237"/>
      <c r="J4999" s="238"/>
    </row>
    <row r="5000">
      <c r="C5000" s="82"/>
      <c r="E5000" s="84"/>
      <c r="F5000" s="84"/>
      <c r="G5000" s="84"/>
      <c r="I5000" s="237"/>
      <c r="J5000" s="238"/>
    </row>
    <row r="5001">
      <c r="C5001" s="82"/>
      <c r="E5001" s="84"/>
      <c r="F5001" s="84"/>
      <c r="G5001" s="84"/>
      <c r="I5001" s="237"/>
      <c r="J5001" s="238"/>
    </row>
    <row r="5002">
      <c r="C5002" s="82"/>
      <c r="E5002" s="84"/>
      <c r="F5002" s="84"/>
      <c r="G5002" s="84"/>
      <c r="I5002" s="237"/>
      <c r="J5002" s="238"/>
    </row>
    <row r="5003">
      <c r="C5003" s="82"/>
      <c r="E5003" s="84"/>
      <c r="F5003" s="84"/>
      <c r="G5003" s="84"/>
      <c r="I5003" s="237"/>
      <c r="J5003" s="238"/>
    </row>
    <row r="5004">
      <c r="C5004" s="82"/>
      <c r="E5004" s="84"/>
      <c r="F5004" s="84"/>
      <c r="G5004" s="84"/>
      <c r="I5004" s="237"/>
      <c r="J5004" s="238"/>
    </row>
    <row r="5005">
      <c r="C5005" s="82"/>
      <c r="E5005" s="84"/>
      <c r="F5005" s="84"/>
      <c r="G5005" s="84"/>
      <c r="I5005" s="237"/>
      <c r="J5005" s="238"/>
    </row>
    <row r="5006">
      <c r="C5006" s="82"/>
      <c r="E5006" s="84"/>
      <c r="F5006" s="84"/>
      <c r="G5006" s="84"/>
      <c r="I5006" s="237"/>
      <c r="J5006" s="238"/>
    </row>
    <row r="5007">
      <c r="C5007" s="82"/>
      <c r="E5007" s="84"/>
      <c r="F5007" s="84"/>
      <c r="G5007" s="84"/>
      <c r="I5007" s="237"/>
      <c r="J5007" s="238"/>
    </row>
    <row r="5008">
      <c r="C5008" s="82"/>
      <c r="E5008" s="84"/>
      <c r="F5008" s="84"/>
      <c r="G5008" s="84"/>
      <c r="I5008" s="237"/>
      <c r="J5008" s="238"/>
    </row>
    <row r="5009">
      <c r="C5009" s="82"/>
      <c r="E5009" s="84"/>
      <c r="F5009" s="84"/>
      <c r="G5009" s="84"/>
      <c r="I5009" s="237"/>
      <c r="J5009" s="238"/>
    </row>
    <row r="5010">
      <c r="C5010" s="82"/>
      <c r="E5010" s="84"/>
      <c r="F5010" s="84"/>
      <c r="G5010" s="84"/>
      <c r="I5010" s="237"/>
      <c r="J5010" s="238"/>
    </row>
    <row r="5011">
      <c r="C5011" s="82"/>
      <c r="E5011" s="84"/>
      <c r="F5011" s="84"/>
      <c r="G5011" s="84"/>
      <c r="I5011" s="237"/>
      <c r="J5011" s="238"/>
    </row>
    <row r="5012">
      <c r="C5012" s="82"/>
      <c r="E5012" s="84"/>
      <c r="F5012" s="84"/>
      <c r="G5012" s="84"/>
      <c r="I5012" s="237"/>
      <c r="J5012" s="238"/>
    </row>
    <row r="5013">
      <c r="C5013" s="82"/>
      <c r="E5013" s="84"/>
      <c r="F5013" s="84"/>
      <c r="G5013" s="84"/>
      <c r="I5013" s="237"/>
      <c r="J5013" s="238"/>
    </row>
    <row r="5014">
      <c r="C5014" s="82"/>
      <c r="E5014" s="84"/>
      <c r="F5014" s="84"/>
      <c r="G5014" s="84"/>
      <c r="I5014" s="237"/>
      <c r="J5014" s="238"/>
    </row>
    <row r="5015">
      <c r="C5015" s="82"/>
      <c r="E5015" s="84"/>
      <c r="F5015" s="84"/>
      <c r="G5015" s="84"/>
      <c r="I5015" s="237"/>
      <c r="J5015" s="238"/>
    </row>
    <row r="5016">
      <c r="C5016" s="82"/>
      <c r="E5016" s="84"/>
      <c r="F5016" s="84"/>
      <c r="G5016" s="84"/>
      <c r="I5016" s="237"/>
      <c r="J5016" s="238"/>
    </row>
    <row r="5017">
      <c r="C5017" s="82"/>
      <c r="E5017" s="84"/>
      <c r="F5017" s="84"/>
      <c r="G5017" s="84"/>
      <c r="I5017" s="237"/>
      <c r="J5017" s="238"/>
    </row>
    <row r="5018">
      <c r="C5018" s="82"/>
      <c r="E5018" s="84"/>
      <c r="F5018" s="84"/>
      <c r="G5018" s="84"/>
      <c r="I5018" s="237"/>
      <c r="J5018" s="238"/>
    </row>
    <row r="5019">
      <c r="C5019" s="82"/>
      <c r="E5019" s="84"/>
      <c r="F5019" s="84"/>
      <c r="G5019" s="84"/>
      <c r="I5019" s="237"/>
      <c r="J5019" s="238"/>
    </row>
    <row r="5020">
      <c r="C5020" s="82"/>
      <c r="E5020" s="84"/>
      <c r="F5020" s="84"/>
      <c r="G5020" s="84"/>
      <c r="I5020" s="237"/>
      <c r="J5020" s="238"/>
    </row>
    <row r="5021">
      <c r="C5021" s="82"/>
      <c r="E5021" s="84"/>
      <c r="F5021" s="84"/>
      <c r="G5021" s="84"/>
      <c r="I5021" s="237"/>
      <c r="J5021" s="238"/>
    </row>
    <row r="5022">
      <c r="C5022" s="82"/>
      <c r="E5022" s="84"/>
      <c r="F5022" s="84"/>
      <c r="G5022" s="84"/>
      <c r="I5022" s="237"/>
      <c r="J5022" s="238"/>
    </row>
    <row r="5023">
      <c r="C5023" s="82"/>
      <c r="E5023" s="84"/>
      <c r="F5023" s="84"/>
      <c r="G5023" s="84"/>
      <c r="I5023" s="237"/>
      <c r="J5023" s="238"/>
    </row>
    <row r="5024">
      <c r="C5024" s="82"/>
      <c r="E5024" s="84"/>
      <c r="F5024" s="84"/>
      <c r="G5024" s="84"/>
      <c r="I5024" s="237"/>
      <c r="J5024" s="238"/>
    </row>
    <row r="5025">
      <c r="C5025" s="82"/>
      <c r="E5025" s="84"/>
      <c r="F5025" s="84"/>
      <c r="G5025" s="84"/>
      <c r="I5025" s="237"/>
      <c r="J5025" s="238"/>
    </row>
    <row r="5026">
      <c r="C5026" s="82"/>
      <c r="E5026" s="84"/>
      <c r="F5026" s="84"/>
      <c r="G5026" s="84"/>
      <c r="I5026" s="237"/>
      <c r="J5026" s="238"/>
    </row>
    <row r="5027">
      <c r="C5027" s="82"/>
      <c r="E5027" s="84"/>
      <c r="F5027" s="84"/>
      <c r="G5027" s="84"/>
      <c r="I5027" s="237"/>
      <c r="J5027" s="238"/>
    </row>
    <row r="5028">
      <c r="C5028" s="82"/>
      <c r="E5028" s="84"/>
      <c r="F5028" s="84"/>
      <c r="G5028" s="84"/>
      <c r="I5028" s="237"/>
      <c r="J5028" s="238"/>
    </row>
    <row r="5029">
      <c r="C5029" s="82"/>
      <c r="E5029" s="84"/>
      <c r="F5029" s="84"/>
      <c r="G5029" s="84"/>
      <c r="I5029" s="237"/>
      <c r="J5029" s="238"/>
    </row>
    <row r="5030">
      <c r="C5030" s="82"/>
      <c r="E5030" s="84"/>
      <c r="F5030" s="84"/>
      <c r="G5030" s="84"/>
      <c r="I5030" s="237"/>
      <c r="J5030" s="238"/>
    </row>
    <row r="5031">
      <c r="C5031" s="82"/>
      <c r="E5031" s="84"/>
      <c r="F5031" s="84"/>
      <c r="G5031" s="84"/>
      <c r="I5031" s="237"/>
      <c r="J5031" s="238"/>
    </row>
    <row r="5032">
      <c r="C5032" s="82"/>
      <c r="E5032" s="84"/>
      <c r="F5032" s="84"/>
      <c r="G5032" s="84"/>
      <c r="I5032" s="237"/>
      <c r="J5032" s="238"/>
    </row>
    <row r="5033">
      <c r="C5033" s="82"/>
      <c r="E5033" s="84"/>
      <c r="F5033" s="84"/>
      <c r="G5033" s="84"/>
      <c r="I5033" s="237"/>
      <c r="J5033" s="238"/>
    </row>
    <row r="5034">
      <c r="C5034" s="82"/>
      <c r="E5034" s="84"/>
      <c r="F5034" s="84"/>
      <c r="G5034" s="84"/>
      <c r="I5034" s="237"/>
      <c r="J5034" s="238"/>
    </row>
    <row r="5035">
      <c r="C5035" s="82"/>
      <c r="E5035" s="84"/>
      <c r="F5035" s="84"/>
      <c r="G5035" s="84"/>
      <c r="I5035" s="237"/>
      <c r="J5035" s="238"/>
    </row>
    <row r="5036">
      <c r="C5036" s="82"/>
      <c r="E5036" s="84"/>
      <c r="F5036" s="84"/>
      <c r="G5036" s="84"/>
      <c r="I5036" s="237"/>
      <c r="J5036" s="238"/>
    </row>
    <row r="5037">
      <c r="C5037" s="82"/>
      <c r="E5037" s="84"/>
      <c r="F5037" s="84"/>
      <c r="G5037" s="84"/>
      <c r="I5037" s="237"/>
      <c r="J5037" s="238"/>
    </row>
    <row r="5038">
      <c r="C5038" s="82"/>
      <c r="E5038" s="84"/>
      <c r="F5038" s="84"/>
      <c r="G5038" s="84"/>
      <c r="I5038" s="237"/>
      <c r="J5038" s="238"/>
    </row>
    <row r="5039">
      <c r="C5039" s="82"/>
      <c r="E5039" s="84"/>
      <c r="F5039" s="84"/>
      <c r="G5039" s="84"/>
      <c r="I5039" s="237"/>
      <c r="J5039" s="238"/>
    </row>
    <row r="5040">
      <c r="C5040" s="82"/>
      <c r="E5040" s="84"/>
      <c r="F5040" s="84"/>
      <c r="G5040" s="84"/>
      <c r="I5040" s="237"/>
      <c r="J5040" s="238"/>
    </row>
    <row r="5041">
      <c r="C5041" s="82"/>
      <c r="E5041" s="84"/>
      <c r="F5041" s="84"/>
      <c r="G5041" s="84"/>
      <c r="I5041" s="237"/>
      <c r="J5041" s="238"/>
    </row>
    <row r="5042">
      <c r="C5042" s="82"/>
      <c r="E5042" s="84"/>
      <c r="F5042" s="84"/>
      <c r="G5042" s="84"/>
      <c r="I5042" s="237"/>
      <c r="J5042" s="238"/>
    </row>
    <row r="5043">
      <c r="C5043" s="82"/>
      <c r="E5043" s="84"/>
      <c r="F5043" s="84"/>
      <c r="G5043" s="84"/>
      <c r="I5043" s="237"/>
      <c r="J5043" s="238"/>
    </row>
    <row r="5044">
      <c r="C5044" s="82"/>
      <c r="E5044" s="84"/>
      <c r="F5044" s="84"/>
      <c r="G5044" s="84"/>
      <c r="I5044" s="237"/>
      <c r="J5044" s="238"/>
    </row>
    <row r="5045">
      <c r="C5045" s="82"/>
      <c r="E5045" s="84"/>
      <c r="F5045" s="84"/>
      <c r="G5045" s="84"/>
      <c r="I5045" s="237"/>
      <c r="J5045" s="238"/>
    </row>
    <row r="5046">
      <c r="C5046" s="82"/>
      <c r="E5046" s="84"/>
      <c r="F5046" s="84"/>
      <c r="G5046" s="84"/>
      <c r="I5046" s="237"/>
      <c r="J5046" s="238"/>
    </row>
    <row r="5047">
      <c r="C5047" s="82"/>
      <c r="E5047" s="84"/>
      <c r="F5047" s="84"/>
      <c r="G5047" s="84"/>
      <c r="I5047" s="237"/>
      <c r="J5047" s="238"/>
    </row>
    <row r="5048">
      <c r="C5048" s="82"/>
      <c r="E5048" s="84"/>
      <c r="F5048" s="84"/>
      <c r="G5048" s="84"/>
      <c r="I5048" s="237"/>
      <c r="J5048" s="238"/>
    </row>
    <row r="5049">
      <c r="C5049" s="82"/>
      <c r="E5049" s="84"/>
      <c r="F5049" s="84"/>
      <c r="G5049" s="84"/>
      <c r="I5049" s="237"/>
      <c r="J5049" s="238"/>
    </row>
    <row r="5050">
      <c r="C5050" s="82"/>
      <c r="E5050" s="84"/>
      <c r="F5050" s="84"/>
      <c r="G5050" s="84"/>
      <c r="I5050" s="237"/>
      <c r="J5050" s="238"/>
    </row>
    <row r="5051">
      <c r="C5051" s="82"/>
      <c r="E5051" s="84"/>
      <c r="F5051" s="84"/>
      <c r="G5051" s="84"/>
      <c r="I5051" s="237"/>
      <c r="J5051" s="238"/>
    </row>
    <row r="5052">
      <c r="C5052" s="82"/>
      <c r="E5052" s="84"/>
      <c r="F5052" s="84"/>
      <c r="G5052" s="84"/>
      <c r="I5052" s="237"/>
      <c r="J5052" s="238"/>
    </row>
    <row r="5053">
      <c r="C5053" s="82"/>
      <c r="E5053" s="84"/>
      <c r="F5053" s="84"/>
      <c r="G5053" s="84"/>
      <c r="I5053" s="237"/>
      <c r="J5053" s="238"/>
    </row>
    <row r="5054">
      <c r="C5054" s="82"/>
      <c r="E5054" s="84"/>
      <c r="F5054" s="84"/>
      <c r="G5054" s="84"/>
      <c r="I5054" s="237"/>
      <c r="J5054" s="238"/>
    </row>
    <row r="5055">
      <c r="C5055" s="82"/>
      <c r="E5055" s="84"/>
      <c r="F5055" s="84"/>
      <c r="G5055" s="84"/>
      <c r="I5055" s="237"/>
      <c r="J5055" s="238"/>
    </row>
    <row r="5056">
      <c r="C5056" s="82"/>
      <c r="E5056" s="84"/>
      <c r="F5056" s="84"/>
      <c r="G5056" s="84"/>
      <c r="I5056" s="237"/>
      <c r="J5056" s="238"/>
    </row>
    <row r="5057">
      <c r="C5057" s="82"/>
      <c r="E5057" s="84"/>
      <c r="F5057" s="84"/>
      <c r="G5057" s="84"/>
      <c r="I5057" s="237"/>
      <c r="J5057" s="238"/>
    </row>
    <row r="5058">
      <c r="C5058" s="82"/>
      <c r="E5058" s="84"/>
      <c r="F5058" s="84"/>
      <c r="G5058" s="84"/>
      <c r="I5058" s="237"/>
      <c r="J5058" s="238"/>
    </row>
    <row r="5059">
      <c r="C5059" s="82"/>
      <c r="E5059" s="84"/>
      <c r="F5059" s="84"/>
      <c r="G5059" s="84"/>
      <c r="I5059" s="237"/>
      <c r="J5059" s="238"/>
    </row>
    <row r="5060">
      <c r="C5060" s="82"/>
      <c r="E5060" s="84"/>
      <c r="F5060" s="84"/>
      <c r="G5060" s="84"/>
      <c r="I5060" s="237"/>
      <c r="J5060" s="238"/>
    </row>
    <row r="5061">
      <c r="C5061" s="82"/>
      <c r="E5061" s="84"/>
      <c r="F5061" s="84"/>
      <c r="G5061" s="84"/>
      <c r="I5061" s="237"/>
      <c r="J5061" s="238"/>
    </row>
    <row r="5062">
      <c r="C5062" s="82"/>
      <c r="E5062" s="84"/>
      <c r="F5062" s="84"/>
      <c r="G5062" s="84"/>
      <c r="I5062" s="237"/>
      <c r="J5062" s="238"/>
    </row>
    <row r="5063">
      <c r="C5063" s="82"/>
      <c r="E5063" s="84"/>
      <c r="F5063" s="84"/>
      <c r="G5063" s="84"/>
      <c r="I5063" s="237"/>
      <c r="J5063" s="238"/>
    </row>
    <row r="5064">
      <c r="C5064" s="82"/>
      <c r="E5064" s="84"/>
      <c r="F5064" s="84"/>
      <c r="G5064" s="84"/>
      <c r="I5064" s="237"/>
      <c r="J5064" s="238"/>
    </row>
    <row r="5065">
      <c r="C5065" s="82"/>
      <c r="E5065" s="84"/>
      <c r="F5065" s="84"/>
      <c r="G5065" s="84"/>
      <c r="I5065" s="237"/>
      <c r="J5065" s="238"/>
    </row>
    <row r="5066">
      <c r="C5066" s="82"/>
      <c r="E5066" s="84"/>
      <c r="F5066" s="84"/>
      <c r="G5066" s="84"/>
      <c r="I5066" s="237"/>
      <c r="J5066" s="238"/>
    </row>
    <row r="5067">
      <c r="C5067" s="82"/>
      <c r="E5067" s="84"/>
      <c r="F5067" s="84"/>
      <c r="G5067" s="84"/>
      <c r="I5067" s="237"/>
      <c r="J5067" s="238"/>
    </row>
    <row r="5068">
      <c r="C5068" s="82"/>
      <c r="E5068" s="84"/>
      <c r="F5068" s="84"/>
      <c r="G5068" s="84"/>
      <c r="I5068" s="237"/>
      <c r="J5068" s="238"/>
    </row>
    <row r="5069">
      <c r="C5069" s="82"/>
      <c r="E5069" s="84"/>
      <c r="F5069" s="84"/>
      <c r="G5069" s="84"/>
      <c r="I5069" s="237"/>
      <c r="J5069" s="238"/>
    </row>
    <row r="5070">
      <c r="C5070" s="82"/>
      <c r="E5070" s="84"/>
      <c r="F5070" s="84"/>
      <c r="G5070" s="84"/>
      <c r="I5070" s="237"/>
      <c r="J5070" s="238"/>
    </row>
    <row r="5071">
      <c r="C5071" s="82"/>
      <c r="E5071" s="84"/>
      <c r="F5071" s="84"/>
      <c r="G5071" s="84"/>
      <c r="I5071" s="237"/>
      <c r="J5071" s="238"/>
    </row>
    <row r="5072">
      <c r="C5072" s="82"/>
      <c r="E5072" s="84"/>
      <c r="F5072" s="84"/>
      <c r="G5072" s="84"/>
      <c r="I5072" s="237"/>
      <c r="J5072" s="238"/>
    </row>
    <row r="5073">
      <c r="C5073" s="82"/>
      <c r="E5073" s="84"/>
      <c r="F5073" s="84"/>
      <c r="G5073" s="84"/>
      <c r="I5073" s="237"/>
      <c r="J5073" s="238"/>
    </row>
    <row r="5074">
      <c r="C5074" s="82"/>
      <c r="E5074" s="84"/>
      <c r="F5074" s="84"/>
      <c r="G5074" s="84"/>
      <c r="I5074" s="237"/>
      <c r="J5074" s="238"/>
    </row>
    <row r="5075">
      <c r="C5075" s="82"/>
      <c r="E5075" s="84"/>
      <c r="F5075" s="84"/>
      <c r="G5075" s="84"/>
      <c r="I5075" s="237"/>
      <c r="J5075" s="238"/>
    </row>
    <row r="5076">
      <c r="C5076" s="82"/>
      <c r="E5076" s="84"/>
      <c r="F5076" s="84"/>
      <c r="G5076" s="84"/>
      <c r="I5076" s="237"/>
      <c r="J5076" s="238"/>
    </row>
    <row r="5077">
      <c r="C5077" s="82"/>
      <c r="E5077" s="84"/>
      <c r="F5077" s="84"/>
      <c r="G5077" s="84"/>
      <c r="I5077" s="237"/>
      <c r="J5077" s="238"/>
    </row>
    <row r="5078">
      <c r="C5078" s="82"/>
      <c r="E5078" s="84"/>
      <c r="F5078" s="84"/>
      <c r="G5078" s="84"/>
      <c r="I5078" s="237"/>
      <c r="J5078" s="238"/>
    </row>
    <row r="5079">
      <c r="C5079" s="82"/>
      <c r="E5079" s="84"/>
      <c r="F5079" s="84"/>
      <c r="G5079" s="84"/>
      <c r="I5079" s="237"/>
      <c r="J5079" s="238"/>
    </row>
    <row r="5080">
      <c r="C5080" s="82"/>
      <c r="E5080" s="84"/>
      <c r="F5080" s="84"/>
      <c r="G5080" s="84"/>
      <c r="I5080" s="237"/>
      <c r="J5080" s="238"/>
    </row>
    <row r="5081">
      <c r="C5081" s="82"/>
      <c r="E5081" s="84"/>
      <c r="F5081" s="84"/>
      <c r="G5081" s="84"/>
      <c r="I5081" s="237"/>
      <c r="J5081" s="238"/>
    </row>
    <row r="5082">
      <c r="C5082" s="82"/>
      <c r="E5082" s="84"/>
      <c r="F5082" s="84"/>
      <c r="G5082" s="84"/>
      <c r="I5082" s="237"/>
      <c r="J5082" s="238"/>
    </row>
    <row r="5083">
      <c r="C5083" s="82"/>
      <c r="E5083" s="84"/>
      <c r="F5083" s="84"/>
      <c r="G5083" s="84"/>
      <c r="I5083" s="237"/>
      <c r="J5083" s="238"/>
    </row>
    <row r="5084">
      <c r="C5084" s="82"/>
      <c r="E5084" s="84"/>
      <c r="F5084" s="84"/>
      <c r="G5084" s="84"/>
      <c r="I5084" s="237"/>
      <c r="J5084" s="238"/>
    </row>
    <row r="5085">
      <c r="C5085" s="82"/>
      <c r="E5085" s="84"/>
      <c r="F5085" s="84"/>
      <c r="G5085" s="84"/>
      <c r="I5085" s="237"/>
      <c r="J5085" s="238"/>
    </row>
    <row r="5086">
      <c r="C5086" s="82"/>
      <c r="E5086" s="84"/>
      <c r="F5086" s="84"/>
      <c r="G5086" s="84"/>
      <c r="I5086" s="237"/>
      <c r="J5086" s="238"/>
    </row>
    <row r="5087">
      <c r="C5087" s="82"/>
      <c r="E5087" s="84"/>
      <c r="F5087" s="84"/>
      <c r="G5087" s="84"/>
      <c r="I5087" s="237"/>
      <c r="J5087" s="238"/>
    </row>
    <row r="5088">
      <c r="C5088" s="82"/>
      <c r="E5088" s="84"/>
      <c r="F5088" s="84"/>
      <c r="G5088" s="84"/>
      <c r="I5088" s="237"/>
      <c r="J5088" s="238"/>
    </row>
    <row r="5089">
      <c r="C5089" s="82"/>
      <c r="E5089" s="84"/>
      <c r="F5089" s="84"/>
      <c r="G5089" s="84"/>
      <c r="I5089" s="237"/>
      <c r="J5089" s="238"/>
    </row>
    <row r="5090">
      <c r="C5090" s="82"/>
      <c r="E5090" s="84"/>
      <c r="F5090" s="84"/>
      <c r="G5090" s="84"/>
      <c r="I5090" s="237"/>
      <c r="J5090" s="238"/>
    </row>
    <row r="5091">
      <c r="C5091" s="82"/>
      <c r="E5091" s="84"/>
      <c r="F5091" s="84"/>
      <c r="G5091" s="84"/>
      <c r="I5091" s="237"/>
      <c r="J5091" s="238"/>
    </row>
    <row r="5092">
      <c r="C5092" s="82"/>
      <c r="E5092" s="84"/>
      <c r="F5092" s="84"/>
      <c r="G5092" s="84"/>
      <c r="I5092" s="237"/>
      <c r="J5092" s="238"/>
    </row>
    <row r="5093">
      <c r="C5093" s="82"/>
      <c r="E5093" s="84"/>
      <c r="F5093" s="84"/>
      <c r="G5093" s="84"/>
      <c r="I5093" s="237"/>
      <c r="J5093" s="238"/>
    </row>
    <row r="5094">
      <c r="C5094" s="82"/>
      <c r="E5094" s="84"/>
      <c r="F5094" s="84"/>
      <c r="G5094" s="84"/>
      <c r="I5094" s="237"/>
      <c r="J5094" s="238"/>
    </row>
    <row r="5095">
      <c r="C5095" s="82"/>
      <c r="E5095" s="84"/>
      <c r="F5095" s="84"/>
      <c r="G5095" s="84"/>
      <c r="I5095" s="237"/>
      <c r="J5095" s="238"/>
    </row>
    <row r="5096">
      <c r="C5096" s="82"/>
      <c r="E5096" s="84"/>
      <c r="F5096" s="84"/>
      <c r="G5096" s="84"/>
      <c r="I5096" s="237"/>
      <c r="J5096" s="238"/>
    </row>
    <row r="5097">
      <c r="C5097" s="82"/>
      <c r="E5097" s="84"/>
      <c r="F5097" s="84"/>
      <c r="G5097" s="84"/>
      <c r="I5097" s="237"/>
      <c r="J5097" s="238"/>
    </row>
    <row r="5098">
      <c r="C5098" s="82"/>
      <c r="E5098" s="84"/>
      <c r="F5098" s="84"/>
      <c r="G5098" s="84"/>
      <c r="I5098" s="237"/>
      <c r="J5098" s="238"/>
    </row>
    <row r="5099">
      <c r="C5099" s="82"/>
      <c r="E5099" s="84"/>
      <c r="F5099" s="84"/>
      <c r="G5099" s="84"/>
      <c r="I5099" s="237"/>
      <c r="J5099" s="238"/>
    </row>
    <row r="5100">
      <c r="C5100" s="82"/>
      <c r="E5100" s="84"/>
      <c r="F5100" s="84"/>
      <c r="G5100" s="84"/>
      <c r="I5100" s="237"/>
      <c r="J5100" s="238"/>
    </row>
    <row r="5101">
      <c r="C5101" s="82"/>
      <c r="E5101" s="84"/>
      <c r="F5101" s="84"/>
      <c r="G5101" s="84"/>
      <c r="I5101" s="237"/>
      <c r="J5101" s="238"/>
    </row>
    <row r="5102">
      <c r="C5102" s="82"/>
      <c r="E5102" s="84"/>
      <c r="F5102" s="84"/>
      <c r="G5102" s="84"/>
      <c r="I5102" s="237"/>
      <c r="J5102" s="238"/>
    </row>
    <row r="5103">
      <c r="C5103" s="82"/>
      <c r="E5103" s="84"/>
      <c r="F5103" s="84"/>
      <c r="G5103" s="84"/>
      <c r="I5103" s="237"/>
      <c r="J5103" s="238"/>
    </row>
    <row r="5104">
      <c r="C5104" s="82"/>
      <c r="E5104" s="84"/>
      <c r="F5104" s="84"/>
      <c r="G5104" s="84"/>
      <c r="I5104" s="237"/>
      <c r="J5104" s="238"/>
    </row>
    <row r="5105">
      <c r="C5105" s="82"/>
      <c r="E5105" s="84"/>
      <c r="F5105" s="84"/>
      <c r="G5105" s="84"/>
      <c r="I5105" s="237"/>
      <c r="J5105" s="238"/>
    </row>
    <row r="5106">
      <c r="C5106" s="82"/>
      <c r="E5106" s="84"/>
      <c r="F5106" s="84"/>
      <c r="G5106" s="84"/>
      <c r="I5106" s="237"/>
      <c r="J5106" s="238"/>
    </row>
    <row r="5107">
      <c r="C5107" s="82"/>
      <c r="E5107" s="84"/>
      <c r="F5107" s="84"/>
      <c r="G5107" s="84"/>
      <c r="I5107" s="237"/>
      <c r="J5107" s="238"/>
    </row>
    <row r="5108">
      <c r="C5108" s="82"/>
      <c r="E5108" s="84"/>
      <c r="F5108" s="84"/>
      <c r="G5108" s="84"/>
      <c r="I5108" s="237"/>
      <c r="J5108" s="238"/>
    </row>
    <row r="5109">
      <c r="C5109" s="82"/>
      <c r="E5109" s="84"/>
      <c r="F5109" s="84"/>
      <c r="G5109" s="84"/>
      <c r="I5109" s="237"/>
      <c r="J5109" s="238"/>
    </row>
    <row r="5110">
      <c r="C5110" s="82"/>
      <c r="E5110" s="84"/>
      <c r="F5110" s="84"/>
      <c r="G5110" s="84"/>
      <c r="I5110" s="237"/>
      <c r="J5110" s="238"/>
    </row>
    <row r="5111">
      <c r="C5111" s="82"/>
      <c r="E5111" s="84"/>
      <c r="F5111" s="84"/>
      <c r="G5111" s="84"/>
      <c r="I5111" s="237"/>
      <c r="J5111" s="238"/>
    </row>
    <row r="5112">
      <c r="C5112" s="82"/>
      <c r="E5112" s="84"/>
      <c r="F5112" s="84"/>
      <c r="G5112" s="84"/>
      <c r="I5112" s="237"/>
      <c r="J5112" s="238"/>
    </row>
    <row r="5113">
      <c r="C5113" s="82"/>
      <c r="E5113" s="84"/>
      <c r="F5113" s="84"/>
      <c r="G5113" s="84"/>
      <c r="I5113" s="237"/>
      <c r="J5113" s="238"/>
    </row>
    <row r="5114">
      <c r="C5114" s="82"/>
      <c r="E5114" s="84"/>
      <c r="F5114" s="84"/>
      <c r="G5114" s="84"/>
      <c r="I5114" s="237"/>
      <c r="J5114" s="238"/>
    </row>
    <row r="5115">
      <c r="C5115" s="82"/>
      <c r="E5115" s="84"/>
      <c r="F5115" s="84"/>
      <c r="G5115" s="84"/>
      <c r="I5115" s="237"/>
      <c r="J5115" s="238"/>
    </row>
    <row r="5116">
      <c r="C5116" s="82"/>
      <c r="E5116" s="84"/>
      <c r="F5116" s="84"/>
      <c r="G5116" s="84"/>
      <c r="I5116" s="237"/>
      <c r="J5116" s="238"/>
    </row>
    <row r="5117">
      <c r="C5117" s="82"/>
      <c r="E5117" s="84"/>
      <c r="F5117" s="84"/>
      <c r="G5117" s="84"/>
      <c r="I5117" s="237"/>
      <c r="J5117" s="238"/>
    </row>
    <row r="5118">
      <c r="C5118" s="82"/>
      <c r="E5118" s="84"/>
      <c r="F5118" s="84"/>
      <c r="G5118" s="84"/>
      <c r="I5118" s="237"/>
      <c r="J5118" s="238"/>
    </row>
    <row r="5119">
      <c r="C5119" s="82"/>
      <c r="E5119" s="84"/>
      <c r="F5119" s="84"/>
      <c r="G5119" s="84"/>
      <c r="I5119" s="237"/>
      <c r="J5119" s="238"/>
    </row>
    <row r="5120">
      <c r="C5120" s="82"/>
      <c r="E5120" s="84"/>
      <c r="F5120" s="84"/>
      <c r="G5120" s="84"/>
      <c r="I5120" s="237"/>
      <c r="J5120" s="238"/>
    </row>
    <row r="5121">
      <c r="C5121" s="82"/>
      <c r="E5121" s="84"/>
      <c r="F5121" s="84"/>
      <c r="G5121" s="84"/>
      <c r="I5121" s="237"/>
      <c r="J5121" s="238"/>
    </row>
    <row r="5122">
      <c r="C5122" s="82"/>
      <c r="E5122" s="84"/>
      <c r="F5122" s="84"/>
      <c r="G5122" s="84"/>
      <c r="I5122" s="237"/>
      <c r="J5122" s="238"/>
    </row>
    <row r="5123">
      <c r="C5123" s="82"/>
      <c r="E5123" s="84"/>
      <c r="F5123" s="84"/>
      <c r="G5123" s="84"/>
      <c r="I5123" s="237"/>
      <c r="J5123" s="238"/>
    </row>
    <row r="5124">
      <c r="C5124" s="82"/>
      <c r="E5124" s="84"/>
      <c r="F5124" s="84"/>
      <c r="G5124" s="84"/>
      <c r="I5124" s="237"/>
      <c r="J5124" s="238"/>
    </row>
    <row r="5125">
      <c r="C5125" s="82"/>
      <c r="E5125" s="84"/>
      <c r="F5125" s="84"/>
      <c r="G5125" s="84"/>
      <c r="I5125" s="237"/>
      <c r="J5125" s="238"/>
    </row>
    <row r="5126">
      <c r="C5126" s="82"/>
      <c r="E5126" s="84"/>
      <c r="F5126" s="84"/>
      <c r="G5126" s="84"/>
      <c r="I5126" s="237"/>
      <c r="J5126" s="238"/>
    </row>
    <row r="5127">
      <c r="C5127" s="82"/>
      <c r="E5127" s="84"/>
      <c r="F5127" s="84"/>
      <c r="G5127" s="84"/>
      <c r="I5127" s="237"/>
      <c r="J5127" s="238"/>
    </row>
    <row r="5128">
      <c r="C5128" s="82"/>
      <c r="E5128" s="84"/>
      <c r="F5128" s="84"/>
      <c r="G5128" s="84"/>
      <c r="I5128" s="237"/>
      <c r="J5128" s="238"/>
    </row>
    <row r="5129">
      <c r="C5129" s="82"/>
      <c r="E5129" s="84"/>
      <c r="F5129" s="84"/>
      <c r="G5129" s="84"/>
      <c r="I5129" s="237"/>
      <c r="J5129" s="238"/>
    </row>
    <row r="5130">
      <c r="C5130" s="82"/>
      <c r="E5130" s="84"/>
      <c r="F5130" s="84"/>
      <c r="G5130" s="84"/>
      <c r="I5130" s="237"/>
      <c r="J5130" s="238"/>
    </row>
    <row r="5131">
      <c r="C5131" s="82"/>
      <c r="E5131" s="84"/>
      <c r="F5131" s="84"/>
      <c r="G5131" s="84"/>
      <c r="I5131" s="237"/>
      <c r="J5131" s="238"/>
    </row>
    <row r="5132">
      <c r="C5132" s="82"/>
      <c r="E5132" s="84"/>
      <c r="F5132" s="84"/>
      <c r="G5132" s="84"/>
      <c r="I5132" s="237"/>
      <c r="J5132" s="238"/>
    </row>
    <row r="5133">
      <c r="C5133" s="82"/>
      <c r="E5133" s="84"/>
      <c r="F5133" s="84"/>
      <c r="G5133" s="84"/>
      <c r="I5133" s="237"/>
      <c r="J5133" s="238"/>
    </row>
    <row r="5134">
      <c r="C5134" s="82"/>
      <c r="E5134" s="84"/>
      <c r="F5134" s="84"/>
      <c r="G5134" s="84"/>
      <c r="I5134" s="237"/>
      <c r="J5134" s="238"/>
    </row>
    <row r="5135">
      <c r="C5135" s="82"/>
      <c r="E5135" s="84"/>
      <c r="F5135" s="84"/>
      <c r="G5135" s="84"/>
      <c r="I5135" s="237"/>
      <c r="J5135" s="238"/>
    </row>
    <row r="5136">
      <c r="C5136" s="82"/>
      <c r="E5136" s="84"/>
      <c r="F5136" s="84"/>
      <c r="G5136" s="84"/>
      <c r="I5136" s="237"/>
      <c r="J5136" s="238"/>
    </row>
    <row r="5137">
      <c r="C5137" s="82"/>
      <c r="E5137" s="84"/>
      <c r="F5137" s="84"/>
      <c r="G5137" s="84"/>
      <c r="I5137" s="237"/>
      <c r="J5137" s="238"/>
    </row>
    <row r="5138">
      <c r="C5138" s="82"/>
      <c r="E5138" s="84"/>
      <c r="F5138" s="84"/>
      <c r="G5138" s="84"/>
      <c r="I5138" s="237"/>
      <c r="J5138" s="238"/>
    </row>
    <row r="5139">
      <c r="C5139" s="82"/>
      <c r="E5139" s="84"/>
      <c r="F5139" s="84"/>
      <c r="G5139" s="84"/>
      <c r="I5139" s="237"/>
      <c r="J5139" s="238"/>
    </row>
    <row r="5140">
      <c r="C5140" s="82"/>
      <c r="E5140" s="84"/>
      <c r="F5140" s="84"/>
      <c r="G5140" s="84"/>
      <c r="I5140" s="237"/>
      <c r="J5140" s="238"/>
    </row>
    <row r="5141">
      <c r="C5141" s="82"/>
      <c r="E5141" s="84"/>
      <c r="F5141" s="84"/>
      <c r="G5141" s="84"/>
      <c r="I5141" s="237"/>
      <c r="J5141" s="238"/>
    </row>
    <row r="5142">
      <c r="C5142" s="82"/>
      <c r="E5142" s="84"/>
      <c r="F5142" s="84"/>
      <c r="G5142" s="84"/>
      <c r="I5142" s="237"/>
      <c r="J5142" s="238"/>
    </row>
    <row r="5143">
      <c r="C5143" s="82"/>
      <c r="E5143" s="84"/>
      <c r="F5143" s="84"/>
      <c r="G5143" s="84"/>
      <c r="I5143" s="237"/>
      <c r="J5143" s="238"/>
    </row>
    <row r="5144">
      <c r="C5144" s="82"/>
      <c r="E5144" s="84"/>
      <c r="F5144" s="84"/>
      <c r="G5144" s="84"/>
      <c r="I5144" s="237"/>
      <c r="J5144" s="238"/>
    </row>
    <row r="5145">
      <c r="C5145" s="82"/>
      <c r="E5145" s="84"/>
      <c r="F5145" s="84"/>
      <c r="G5145" s="84"/>
      <c r="I5145" s="237"/>
      <c r="J5145" s="238"/>
    </row>
    <row r="5146">
      <c r="C5146" s="82"/>
      <c r="E5146" s="84"/>
      <c r="F5146" s="84"/>
      <c r="G5146" s="84"/>
      <c r="I5146" s="237"/>
      <c r="J5146" s="238"/>
    </row>
    <row r="5147">
      <c r="C5147" s="82"/>
      <c r="E5147" s="84"/>
      <c r="F5147" s="84"/>
      <c r="G5147" s="84"/>
      <c r="I5147" s="237"/>
      <c r="J5147" s="238"/>
    </row>
    <row r="5148">
      <c r="C5148" s="82"/>
      <c r="E5148" s="84"/>
      <c r="F5148" s="84"/>
      <c r="G5148" s="84"/>
      <c r="I5148" s="237"/>
      <c r="J5148" s="238"/>
    </row>
    <row r="5149">
      <c r="C5149" s="82"/>
      <c r="E5149" s="84"/>
      <c r="F5149" s="84"/>
      <c r="G5149" s="84"/>
      <c r="I5149" s="237"/>
      <c r="J5149" s="238"/>
    </row>
    <row r="5150">
      <c r="C5150" s="82"/>
      <c r="E5150" s="84"/>
      <c r="F5150" s="84"/>
      <c r="G5150" s="84"/>
      <c r="I5150" s="237"/>
      <c r="J5150" s="238"/>
    </row>
    <row r="5151">
      <c r="C5151" s="82"/>
      <c r="E5151" s="84"/>
      <c r="F5151" s="84"/>
      <c r="G5151" s="84"/>
      <c r="I5151" s="237"/>
      <c r="J5151" s="238"/>
    </row>
    <row r="5152">
      <c r="C5152" s="82"/>
      <c r="E5152" s="84"/>
      <c r="F5152" s="84"/>
      <c r="G5152" s="84"/>
      <c r="I5152" s="237"/>
      <c r="J5152" s="238"/>
    </row>
    <row r="5153">
      <c r="C5153" s="82"/>
      <c r="E5153" s="84"/>
      <c r="F5153" s="84"/>
      <c r="G5153" s="84"/>
      <c r="I5153" s="237"/>
      <c r="J5153" s="238"/>
    </row>
    <row r="5154">
      <c r="C5154" s="82"/>
      <c r="E5154" s="84"/>
      <c r="F5154" s="84"/>
      <c r="G5154" s="84"/>
      <c r="I5154" s="237"/>
      <c r="J5154" s="238"/>
    </row>
    <row r="5155">
      <c r="C5155" s="82"/>
      <c r="E5155" s="84"/>
      <c r="F5155" s="84"/>
      <c r="G5155" s="84"/>
      <c r="I5155" s="237"/>
      <c r="J5155" s="238"/>
    </row>
    <row r="5156">
      <c r="C5156" s="82"/>
      <c r="E5156" s="84"/>
      <c r="F5156" s="84"/>
      <c r="G5156" s="84"/>
      <c r="I5156" s="237"/>
      <c r="J5156" s="238"/>
    </row>
    <row r="5157">
      <c r="C5157" s="82"/>
      <c r="E5157" s="84"/>
      <c r="F5157" s="84"/>
      <c r="G5157" s="84"/>
      <c r="I5157" s="237"/>
      <c r="J5157" s="238"/>
    </row>
    <row r="5158">
      <c r="C5158" s="82"/>
      <c r="E5158" s="84"/>
      <c r="F5158" s="84"/>
      <c r="G5158" s="84"/>
      <c r="I5158" s="237"/>
      <c r="J5158" s="238"/>
    </row>
    <row r="5159">
      <c r="C5159" s="82"/>
      <c r="E5159" s="84"/>
      <c r="F5159" s="84"/>
      <c r="G5159" s="84"/>
      <c r="I5159" s="237"/>
      <c r="J5159" s="238"/>
    </row>
    <row r="5160">
      <c r="C5160" s="82"/>
      <c r="E5160" s="84"/>
      <c r="F5160" s="84"/>
      <c r="G5160" s="84"/>
      <c r="I5160" s="237"/>
      <c r="J5160" s="238"/>
    </row>
    <row r="5161">
      <c r="C5161" s="82"/>
      <c r="E5161" s="84"/>
      <c r="F5161" s="84"/>
      <c r="G5161" s="84"/>
      <c r="I5161" s="237"/>
      <c r="J5161" s="238"/>
    </row>
    <row r="5162">
      <c r="C5162" s="82"/>
      <c r="E5162" s="84"/>
      <c r="F5162" s="84"/>
      <c r="G5162" s="84"/>
      <c r="I5162" s="237"/>
      <c r="J5162" s="238"/>
    </row>
    <row r="5163">
      <c r="C5163" s="82"/>
      <c r="E5163" s="84"/>
      <c r="F5163" s="84"/>
      <c r="G5163" s="84"/>
      <c r="I5163" s="237"/>
      <c r="J5163" s="238"/>
    </row>
    <row r="5164">
      <c r="C5164" s="82"/>
      <c r="E5164" s="84"/>
      <c r="F5164" s="84"/>
      <c r="G5164" s="84"/>
      <c r="I5164" s="237"/>
      <c r="J5164" s="238"/>
    </row>
    <row r="5165">
      <c r="C5165" s="82"/>
      <c r="E5165" s="84"/>
      <c r="F5165" s="84"/>
      <c r="G5165" s="84"/>
      <c r="I5165" s="237"/>
      <c r="J5165" s="238"/>
    </row>
    <row r="5166">
      <c r="C5166" s="82"/>
      <c r="E5166" s="84"/>
      <c r="F5166" s="84"/>
      <c r="G5166" s="84"/>
      <c r="I5166" s="237"/>
      <c r="J5166" s="238"/>
    </row>
    <row r="5167">
      <c r="C5167" s="82"/>
      <c r="E5167" s="84"/>
      <c r="F5167" s="84"/>
      <c r="G5167" s="84"/>
      <c r="I5167" s="237"/>
      <c r="J5167" s="238"/>
    </row>
    <row r="5168">
      <c r="C5168" s="82"/>
      <c r="E5168" s="84"/>
      <c r="F5168" s="84"/>
      <c r="G5168" s="84"/>
      <c r="I5168" s="237"/>
      <c r="J5168" s="238"/>
    </row>
    <row r="5169">
      <c r="C5169" s="82"/>
      <c r="E5169" s="84"/>
      <c r="F5169" s="84"/>
      <c r="G5169" s="84"/>
      <c r="I5169" s="237"/>
      <c r="J5169" s="238"/>
    </row>
    <row r="5170">
      <c r="C5170" s="82"/>
      <c r="E5170" s="84"/>
      <c r="F5170" s="84"/>
      <c r="G5170" s="84"/>
      <c r="I5170" s="237"/>
      <c r="J5170" s="238"/>
    </row>
    <row r="5171">
      <c r="C5171" s="82"/>
      <c r="E5171" s="84"/>
      <c r="F5171" s="84"/>
      <c r="G5171" s="84"/>
      <c r="I5171" s="237"/>
      <c r="J5171" s="238"/>
    </row>
    <row r="5172">
      <c r="C5172" s="82"/>
      <c r="E5172" s="84"/>
      <c r="F5172" s="84"/>
      <c r="G5172" s="84"/>
      <c r="I5172" s="237"/>
      <c r="J5172" s="238"/>
    </row>
    <row r="5173">
      <c r="C5173" s="82"/>
      <c r="E5173" s="84"/>
      <c r="F5173" s="84"/>
      <c r="G5173" s="84"/>
      <c r="I5173" s="237"/>
      <c r="J5173" s="238"/>
    </row>
    <row r="5174">
      <c r="C5174" s="82"/>
      <c r="E5174" s="84"/>
      <c r="F5174" s="84"/>
      <c r="G5174" s="84"/>
      <c r="I5174" s="237"/>
      <c r="J5174" s="238"/>
    </row>
    <row r="5175">
      <c r="C5175" s="82"/>
      <c r="E5175" s="84"/>
      <c r="F5175" s="84"/>
      <c r="G5175" s="84"/>
      <c r="I5175" s="237"/>
      <c r="J5175" s="238"/>
    </row>
    <row r="5176">
      <c r="C5176" s="82"/>
      <c r="E5176" s="84"/>
      <c r="F5176" s="84"/>
      <c r="G5176" s="84"/>
      <c r="I5176" s="237"/>
      <c r="J5176" s="238"/>
    </row>
    <row r="5177">
      <c r="C5177" s="82"/>
      <c r="E5177" s="84"/>
      <c r="F5177" s="84"/>
      <c r="G5177" s="84"/>
      <c r="I5177" s="237"/>
      <c r="J5177" s="238"/>
    </row>
    <row r="5178">
      <c r="C5178" s="82"/>
      <c r="E5178" s="84"/>
      <c r="F5178" s="84"/>
      <c r="G5178" s="84"/>
      <c r="I5178" s="237"/>
      <c r="J5178" s="238"/>
    </row>
    <row r="5179">
      <c r="C5179" s="82"/>
      <c r="E5179" s="84"/>
      <c r="F5179" s="84"/>
      <c r="G5179" s="84"/>
      <c r="I5179" s="237"/>
      <c r="J5179" s="238"/>
    </row>
    <row r="5180">
      <c r="C5180" s="82"/>
      <c r="E5180" s="84"/>
      <c r="F5180" s="84"/>
      <c r="G5180" s="84"/>
      <c r="I5180" s="237"/>
      <c r="J5180" s="238"/>
    </row>
    <row r="5181">
      <c r="C5181" s="82"/>
      <c r="E5181" s="84"/>
      <c r="F5181" s="84"/>
      <c r="G5181" s="84"/>
      <c r="I5181" s="237"/>
      <c r="J5181" s="238"/>
    </row>
    <row r="5182">
      <c r="C5182" s="82"/>
      <c r="E5182" s="84"/>
      <c r="F5182" s="84"/>
      <c r="G5182" s="84"/>
      <c r="I5182" s="237"/>
      <c r="J5182" s="238"/>
    </row>
    <row r="5183">
      <c r="C5183" s="82"/>
      <c r="E5183" s="84"/>
      <c r="F5183" s="84"/>
      <c r="G5183" s="84"/>
      <c r="I5183" s="237"/>
      <c r="J5183" s="238"/>
    </row>
    <row r="5184">
      <c r="C5184" s="82"/>
      <c r="E5184" s="84"/>
      <c r="F5184" s="84"/>
      <c r="G5184" s="84"/>
      <c r="I5184" s="237"/>
      <c r="J5184" s="238"/>
    </row>
    <row r="5185">
      <c r="C5185" s="82"/>
      <c r="E5185" s="84"/>
      <c r="F5185" s="84"/>
      <c r="G5185" s="84"/>
      <c r="I5185" s="237"/>
      <c r="J5185" s="238"/>
    </row>
    <row r="5186">
      <c r="C5186" s="82"/>
      <c r="E5186" s="84"/>
      <c r="F5186" s="84"/>
      <c r="G5186" s="84"/>
      <c r="I5186" s="237"/>
      <c r="J5186" s="238"/>
    </row>
    <row r="5187">
      <c r="C5187" s="82"/>
      <c r="E5187" s="84"/>
      <c r="F5187" s="84"/>
      <c r="G5187" s="84"/>
      <c r="I5187" s="237"/>
      <c r="J5187" s="238"/>
    </row>
    <row r="5188">
      <c r="C5188" s="82"/>
      <c r="E5188" s="84"/>
      <c r="F5188" s="84"/>
      <c r="G5188" s="84"/>
      <c r="I5188" s="237"/>
      <c r="J5188" s="238"/>
    </row>
    <row r="5189">
      <c r="C5189" s="82"/>
      <c r="E5189" s="84"/>
      <c r="F5189" s="84"/>
      <c r="G5189" s="84"/>
      <c r="I5189" s="237"/>
      <c r="J5189" s="238"/>
    </row>
    <row r="5190">
      <c r="C5190" s="82"/>
      <c r="E5190" s="84"/>
      <c r="F5190" s="84"/>
      <c r="G5190" s="84"/>
      <c r="I5190" s="237"/>
      <c r="J5190" s="238"/>
    </row>
    <row r="5191">
      <c r="C5191" s="82"/>
      <c r="E5191" s="84"/>
      <c r="F5191" s="84"/>
      <c r="G5191" s="84"/>
      <c r="I5191" s="237"/>
      <c r="J5191" s="238"/>
    </row>
    <row r="5192">
      <c r="C5192" s="82"/>
      <c r="E5192" s="84"/>
      <c r="F5192" s="84"/>
      <c r="G5192" s="84"/>
      <c r="I5192" s="237"/>
      <c r="J5192" s="238"/>
    </row>
    <row r="5193">
      <c r="C5193" s="82"/>
      <c r="E5193" s="84"/>
      <c r="F5193" s="84"/>
      <c r="G5193" s="84"/>
      <c r="I5193" s="237"/>
      <c r="J5193" s="238"/>
    </row>
    <row r="5194">
      <c r="C5194" s="82"/>
      <c r="E5194" s="84"/>
      <c r="F5194" s="84"/>
      <c r="G5194" s="84"/>
      <c r="I5194" s="237"/>
      <c r="J5194" s="238"/>
    </row>
    <row r="5195">
      <c r="C5195" s="82"/>
      <c r="E5195" s="84"/>
      <c r="F5195" s="84"/>
      <c r="G5195" s="84"/>
      <c r="I5195" s="237"/>
      <c r="J5195" s="238"/>
    </row>
    <row r="5196">
      <c r="C5196" s="82"/>
      <c r="E5196" s="84"/>
      <c r="F5196" s="84"/>
      <c r="G5196" s="84"/>
      <c r="I5196" s="237"/>
      <c r="J5196" s="238"/>
    </row>
    <row r="5197">
      <c r="C5197" s="82"/>
      <c r="E5197" s="84"/>
      <c r="F5197" s="84"/>
      <c r="G5197" s="84"/>
      <c r="I5197" s="237"/>
      <c r="J5197" s="238"/>
    </row>
    <row r="5198">
      <c r="C5198" s="82"/>
      <c r="E5198" s="84"/>
      <c r="F5198" s="84"/>
      <c r="G5198" s="84"/>
      <c r="I5198" s="237"/>
      <c r="J5198" s="238"/>
    </row>
    <row r="5199">
      <c r="C5199" s="82"/>
      <c r="E5199" s="84"/>
      <c r="F5199" s="84"/>
      <c r="G5199" s="84"/>
      <c r="I5199" s="237"/>
      <c r="J5199" s="238"/>
    </row>
    <row r="5200">
      <c r="C5200" s="82"/>
      <c r="E5200" s="84"/>
      <c r="F5200" s="84"/>
      <c r="G5200" s="84"/>
      <c r="I5200" s="237"/>
      <c r="J5200" s="238"/>
    </row>
    <row r="5201">
      <c r="C5201" s="82"/>
      <c r="E5201" s="84"/>
      <c r="F5201" s="84"/>
      <c r="G5201" s="84"/>
      <c r="I5201" s="237"/>
      <c r="J5201" s="238"/>
    </row>
    <row r="5202">
      <c r="C5202" s="82"/>
      <c r="E5202" s="84"/>
      <c r="F5202" s="84"/>
      <c r="G5202" s="84"/>
      <c r="I5202" s="237"/>
      <c r="J5202" s="238"/>
    </row>
    <row r="5203">
      <c r="C5203" s="82"/>
      <c r="E5203" s="84"/>
      <c r="F5203" s="84"/>
      <c r="G5203" s="84"/>
      <c r="I5203" s="237"/>
      <c r="J5203" s="238"/>
    </row>
    <row r="5204">
      <c r="C5204" s="82"/>
      <c r="E5204" s="84"/>
      <c r="F5204" s="84"/>
      <c r="G5204" s="84"/>
      <c r="I5204" s="237"/>
      <c r="J5204" s="238"/>
    </row>
    <row r="5205">
      <c r="C5205" s="82"/>
      <c r="E5205" s="84"/>
      <c r="F5205" s="84"/>
      <c r="G5205" s="84"/>
      <c r="I5205" s="237"/>
      <c r="J5205" s="238"/>
    </row>
    <row r="5206">
      <c r="C5206" s="82"/>
      <c r="E5206" s="84"/>
      <c r="F5206" s="84"/>
      <c r="G5206" s="84"/>
      <c r="I5206" s="237"/>
      <c r="J5206" s="238"/>
    </row>
    <row r="5207">
      <c r="C5207" s="82"/>
      <c r="E5207" s="84"/>
      <c r="F5207" s="84"/>
      <c r="G5207" s="84"/>
      <c r="I5207" s="237"/>
      <c r="J5207" s="238"/>
    </row>
    <row r="5208">
      <c r="C5208" s="82"/>
      <c r="E5208" s="84"/>
      <c r="F5208" s="84"/>
      <c r="G5208" s="84"/>
      <c r="I5208" s="237"/>
      <c r="J5208" s="238"/>
    </row>
    <row r="5209">
      <c r="C5209" s="82"/>
      <c r="E5209" s="84"/>
      <c r="F5209" s="84"/>
      <c r="G5209" s="84"/>
      <c r="I5209" s="237"/>
      <c r="J5209" s="238"/>
    </row>
    <row r="5210">
      <c r="C5210" s="82"/>
      <c r="E5210" s="84"/>
      <c r="F5210" s="84"/>
      <c r="G5210" s="84"/>
      <c r="I5210" s="237"/>
      <c r="J5210" s="238"/>
    </row>
    <row r="5211">
      <c r="C5211" s="82"/>
      <c r="E5211" s="84"/>
      <c r="F5211" s="84"/>
      <c r="G5211" s="84"/>
      <c r="I5211" s="237"/>
      <c r="J5211" s="238"/>
    </row>
    <row r="5212">
      <c r="C5212" s="82"/>
      <c r="E5212" s="84"/>
      <c r="F5212" s="84"/>
      <c r="G5212" s="84"/>
      <c r="I5212" s="237"/>
      <c r="J5212" s="238"/>
    </row>
    <row r="5213">
      <c r="C5213" s="82"/>
      <c r="E5213" s="84"/>
      <c r="F5213" s="84"/>
      <c r="G5213" s="84"/>
      <c r="I5213" s="237"/>
      <c r="J5213" s="238"/>
    </row>
    <row r="5214">
      <c r="C5214" s="82"/>
      <c r="E5214" s="84"/>
      <c r="F5214" s="84"/>
      <c r="G5214" s="84"/>
      <c r="I5214" s="237"/>
      <c r="J5214" s="238"/>
    </row>
    <row r="5215">
      <c r="C5215" s="82"/>
      <c r="E5215" s="84"/>
      <c r="F5215" s="84"/>
      <c r="G5215" s="84"/>
      <c r="I5215" s="237"/>
      <c r="J5215" s="238"/>
    </row>
    <row r="5216">
      <c r="C5216" s="82"/>
      <c r="E5216" s="84"/>
      <c r="F5216" s="84"/>
      <c r="G5216" s="84"/>
      <c r="I5216" s="237"/>
      <c r="J5216" s="238"/>
    </row>
    <row r="5217">
      <c r="C5217" s="82"/>
      <c r="E5217" s="84"/>
      <c r="F5217" s="84"/>
      <c r="G5217" s="84"/>
      <c r="I5217" s="237"/>
      <c r="J5217" s="238"/>
    </row>
    <row r="5218">
      <c r="C5218" s="82"/>
      <c r="E5218" s="84"/>
      <c r="F5218" s="84"/>
      <c r="G5218" s="84"/>
      <c r="I5218" s="237"/>
      <c r="J5218" s="238"/>
    </row>
    <row r="5219">
      <c r="C5219" s="82"/>
      <c r="E5219" s="84"/>
      <c r="F5219" s="84"/>
      <c r="G5219" s="84"/>
      <c r="I5219" s="237"/>
      <c r="J5219" s="238"/>
    </row>
    <row r="5220">
      <c r="C5220" s="82"/>
      <c r="E5220" s="84"/>
      <c r="F5220" s="84"/>
      <c r="G5220" s="84"/>
      <c r="I5220" s="237"/>
      <c r="J5220" s="238"/>
    </row>
    <row r="5221">
      <c r="C5221" s="82"/>
      <c r="E5221" s="84"/>
      <c r="F5221" s="84"/>
      <c r="G5221" s="84"/>
      <c r="I5221" s="237"/>
      <c r="J5221" s="238"/>
    </row>
    <row r="5222">
      <c r="C5222" s="82"/>
      <c r="E5222" s="84"/>
      <c r="F5222" s="84"/>
      <c r="G5222" s="84"/>
      <c r="I5222" s="237"/>
      <c r="J5222" s="238"/>
    </row>
    <row r="5223">
      <c r="C5223" s="82"/>
      <c r="E5223" s="84"/>
      <c r="F5223" s="84"/>
      <c r="G5223" s="84"/>
      <c r="I5223" s="237"/>
      <c r="J5223" s="238"/>
    </row>
    <row r="5224">
      <c r="C5224" s="82"/>
      <c r="E5224" s="84"/>
      <c r="F5224" s="84"/>
      <c r="G5224" s="84"/>
      <c r="I5224" s="237"/>
      <c r="J5224" s="238"/>
    </row>
    <row r="5225">
      <c r="C5225" s="82"/>
      <c r="E5225" s="84"/>
      <c r="F5225" s="84"/>
      <c r="G5225" s="84"/>
      <c r="I5225" s="237"/>
      <c r="J5225" s="238"/>
    </row>
    <row r="5226">
      <c r="C5226" s="82"/>
      <c r="E5226" s="84"/>
      <c r="F5226" s="84"/>
      <c r="G5226" s="84"/>
      <c r="I5226" s="237"/>
      <c r="J5226" s="238"/>
    </row>
    <row r="5227">
      <c r="C5227" s="82"/>
      <c r="E5227" s="84"/>
      <c r="F5227" s="84"/>
      <c r="G5227" s="84"/>
      <c r="I5227" s="237"/>
      <c r="J5227" s="238"/>
    </row>
    <row r="5228">
      <c r="C5228" s="82"/>
      <c r="E5228" s="84"/>
      <c r="F5228" s="84"/>
      <c r="G5228" s="84"/>
      <c r="I5228" s="237"/>
      <c r="J5228" s="238"/>
    </row>
    <row r="5229">
      <c r="C5229" s="82"/>
      <c r="E5229" s="84"/>
      <c r="F5229" s="84"/>
      <c r="G5229" s="84"/>
      <c r="I5229" s="237"/>
      <c r="J5229" s="238"/>
    </row>
    <row r="5230">
      <c r="C5230" s="82"/>
      <c r="E5230" s="84"/>
      <c r="F5230" s="84"/>
      <c r="G5230" s="84"/>
      <c r="I5230" s="237"/>
      <c r="J5230" s="238"/>
    </row>
    <row r="5231">
      <c r="C5231" s="82"/>
      <c r="E5231" s="84"/>
      <c r="F5231" s="84"/>
      <c r="G5231" s="84"/>
      <c r="I5231" s="237"/>
      <c r="J5231" s="238"/>
    </row>
    <row r="5232">
      <c r="C5232" s="82"/>
      <c r="E5232" s="84"/>
      <c r="F5232" s="84"/>
      <c r="G5232" s="84"/>
      <c r="I5232" s="237"/>
      <c r="J5232" s="238"/>
    </row>
    <row r="5233">
      <c r="C5233" s="82"/>
      <c r="E5233" s="84"/>
      <c r="F5233" s="84"/>
      <c r="G5233" s="84"/>
      <c r="I5233" s="237"/>
      <c r="J5233" s="238"/>
    </row>
    <row r="5234">
      <c r="C5234" s="82"/>
      <c r="E5234" s="84"/>
      <c r="F5234" s="84"/>
      <c r="G5234" s="84"/>
      <c r="I5234" s="237"/>
      <c r="J5234" s="238"/>
    </row>
    <row r="5235">
      <c r="C5235" s="82"/>
      <c r="E5235" s="84"/>
      <c r="F5235" s="84"/>
      <c r="G5235" s="84"/>
      <c r="I5235" s="237"/>
      <c r="J5235" s="238"/>
    </row>
    <row r="5236">
      <c r="C5236" s="82"/>
      <c r="E5236" s="84"/>
      <c r="F5236" s="84"/>
      <c r="G5236" s="84"/>
      <c r="I5236" s="237"/>
      <c r="J5236" s="238"/>
    </row>
    <row r="5237">
      <c r="C5237" s="82"/>
      <c r="E5237" s="84"/>
      <c r="F5237" s="84"/>
      <c r="G5237" s="84"/>
      <c r="I5237" s="237"/>
      <c r="J5237" s="238"/>
    </row>
    <row r="5238">
      <c r="C5238" s="82"/>
      <c r="E5238" s="84"/>
      <c r="F5238" s="84"/>
      <c r="G5238" s="84"/>
      <c r="I5238" s="237"/>
      <c r="J5238" s="238"/>
    </row>
    <row r="5239">
      <c r="C5239" s="82"/>
      <c r="E5239" s="84"/>
      <c r="F5239" s="84"/>
      <c r="G5239" s="84"/>
      <c r="I5239" s="237"/>
      <c r="J5239" s="238"/>
    </row>
    <row r="5240">
      <c r="C5240" s="82"/>
      <c r="E5240" s="84"/>
      <c r="F5240" s="84"/>
      <c r="G5240" s="84"/>
      <c r="I5240" s="237"/>
      <c r="J5240" s="238"/>
    </row>
    <row r="5241">
      <c r="C5241" s="82"/>
      <c r="E5241" s="84"/>
      <c r="F5241" s="84"/>
      <c r="G5241" s="84"/>
      <c r="I5241" s="237"/>
      <c r="J5241" s="238"/>
    </row>
    <row r="5242">
      <c r="C5242" s="82"/>
      <c r="E5242" s="84"/>
      <c r="F5242" s="84"/>
      <c r="G5242" s="84"/>
      <c r="I5242" s="237"/>
      <c r="J5242" s="238"/>
    </row>
    <row r="5243">
      <c r="C5243" s="82"/>
      <c r="E5243" s="84"/>
      <c r="F5243" s="84"/>
      <c r="G5243" s="84"/>
      <c r="I5243" s="237"/>
      <c r="J5243" s="238"/>
    </row>
    <row r="5244">
      <c r="C5244" s="82"/>
      <c r="E5244" s="84"/>
      <c r="F5244" s="84"/>
      <c r="G5244" s="84"/>
      <c r="I5244" s="237"/>
      <c r="J5244" s="238"/>
    </row>
    <row r="5245">
      <c r="C5245" s="82"/>
      <c r="E5245" s="84"/>
      <c r="F5245" s="84"/>
      <c r="G5245" s="84"/>
      <c r="I5245" s="237"/>
      <c r="J5245" s="238"/>
    </row>
    <row r="5246">
      <c r="C5246" s="82"/>
      <c r="E5246" s="84"/>
      <c r="F5246" s="84"/>
      <c r="G5246" s="84"/>
      <c r="I5246" s="237"/>
      <c r="J5246" s="238"/>
    </row>
    <row r="5247">
      <c r="C5247" s="82"/>
      <c r="E5247" s="84"/>
      <c r="F5247" s="84"/>
      <c r="G5247" s="84"/>
      <c r="I5247" s="237"/>
      <c r="J5247" s="238"/>
    </row>
    <row r="5248">
      <c r="C5248" s="82"/>
      <c r="E5248" s="84"/>
      <c r="F5248" s="84"/>
      <c r="G5248" s="84"/>
      <c r="I5248" s="237"/>
      <c r="J5248" s="238"/>
    </row>
    <row r="5249">
      <c r="C5249" s="82"/>
      <c r="E5249" s="84"/>
      <c r="F5249" s="84"/>
      <c r="G5249" s="84"/>
      <c r="I5249" s="237"/>
      <c r="J5249" s="238"/>
    </row>
    <row r="5250">
      <c r="C5250" s="82"/>
      <c r="E5250" s="84"/>
      <c r="F5250" s="84"/>
      <c r="G5250" s="84"/>
      <c r="I5250" s="237"/>
      <c r="J5250" s="238"/>
    </row>
    <row r="5251">
      <c r="C5251" s="82"/>
      <c r="E5251" s="84"/>
      <c r="F5251" s="84"/>
      <c r="G5251" s="84"/>
      <c r="I5251" s="237"/>
      <c r="J5251" s="238"/>
    </row>
    <row r="5252">
      <c r="C5252" s="82"/>
      <c r="E5252" s="84"/>
      <c r="F5252" s="84"/>
      <c r="G5252" s="84"/>
      <c r="I5252" s="237"/>
      <c r="J5252" s="238"/>
    </row>
    <row r="5253">
      <c r="C5253" s="82"/>
      <c r="E5253" s="84"/>
      <c r="F5253" s="84"/>
      <c r="G5253" s="84"/>
      <c r="I5253" s="237"/>
      <c r="J5253" s="238"/>
    </row>
    <row r="5254">
      <c r="C5254" s="82"/>
      <c r="E5254" s="84"/>
      <c r="F5254" s="84"/>
      <c r="G5254" s="84"/>
      <c r="I5254" s="237"/>
      <c r="J5254" s="238"/>
    </row>
    <row r="5255">
      <c r="C5255" s="82"/>
      <c r="E5255" s="84"/>
      <c r="F5255" s="84"/>
      <c r="G5255" s="84"/>
      <c r="I5255" s="237"/>
      <c r="J5255" s="238"/>
    </row>
    <row r="5256">
      <c r="C5256" s="82"/>
      <c r="E5256" s="84"/>
      <c r="F5256" s="84"/>
      <c r="G5256" s="84"/>
      <c r="I5256" s="237"/>
      <c r="J5256" s="238"/>
    </row>
    <row r="5257">
      <c r="C5257" s="82"/>
      <c r="E5257" s="84"/>
      <c r="F5257" s="84"/>
      <c r="G5257" s="84"/>
      <c r="I5257" s="237"/>
      <c r="J5257" s="238"/>
    </row>
    <row r="5258">
      <c r="C5258" s="82"/>
      <c r="E5258" s="84"/>
      <c r="F5258" s="84"/>
      <c r="G5258" s="84"/>
      <c r="I5258" s="237"/>
      <c r="J5258" s="238"/>
    </row>
    <row r="5259">
      <c r="C5259" s="82"/>
      <c r="E5259" s="84"/>
      <c r="F5259" s="84"/>
      <c r="G5259" s="84"/>
      <c r="I5259" s="237"/>
      <c r="J5259" s="238"/>
    </row>
    <row r="5260">
      <c r="C5260" s="82"/>
      <c r="E5260" s="84"/>
      <c r="F5260" s="84"/>
      <c r="G5260" s="84"/>
      <c r="I5260" s="237"/>
      <c r="J5260" s="238"/>
    </row>
    <row r="5261">
      <c r="C5261" s="82"/>
      <c r="E5261" s="84"/>
      <c r="F5261" s="84"/>
      <c r="G5261" s="84"/>
      <c r="I5261" s="237"/>
      <c r="J5261" s="238"/>
    </row>
    <row r="5262">
      <c r="C5262" s="82"/>
      <c r="E5262" s="84"/>
      <c r="F5262" s="84"/>
      <c r="G5262" s="84"/>
      <c r="I5262" s="237"/>
      <c r="J5262" s="238"/>
    </row>
    <row r="5263">
      <c r="C5263" s="82"/>
      <c r="E5263" s="84"/>
      <c r="F5263" s="84"/>
      <c r="G5263" s="84"/>
      <c r="I5263" s="237"/>
      <c r="J5263" s="238"/>
    </row>
    <row r="5264">
      <c r="C5264" s="82"/>
      <c r="E5264" s="84"/>
      <c r="F5264" s="84"/>
      <c r="G5264" s="84"/>
      <c r="I5264" s="237"/>
      <c r="J5264" s="238"/>
    </row>
    <row r="5265">
      <c r="C5265" s="82"/>
      <c r="E5265" s="84"/>
      <c r="F5265" s="84"/>
      <c r="G5265" s="84"/>
      <c r="I5265" s="237"/>
      <c r="J5265" s="238"/>
    </row>
    <row r="5266">
      <c r="C5266" s="82"/>
      <c r="E5266" s="84"/>
      <c r="F5266" s="84"/>
      <c r="G5266" s="84"/>
      <c r="I5266" s="237"/>
      <c r="J5266" s="238"/>
    </row>
    <row r="5267">
      <c r="C5267" s="82"/>
      <c r="E5267" s="84"/>
      <c r="F5267" s="84"/>
      <c r="G5267" s="84"/>
      <c r="I5267" s="237"/>
      <c r="J5267" s="238"/>
    </row>
    <row r="5268">
      <c r="C5268" s="82"/>
      <c r="E5268" s="84"/>
      <c r="F5268" s="84"/>
      <c r="G5268" s="84"/>
      <c r="I5268" s="237"/>
      <c r="J5268" s="238"/>
    </row>
    <row r="5269">
      <c r="C5269" s="82"/>
      <c r="E5269" s="84"/>
      <c r="F5269" s="84"/>
      <c r="G5269" s="84"/>
      <c r="I5269" s="237"/>
      <c r="J5269" s="238"/>
    </row>
    <row r="5270">
      <c r="C5270" s="82"/>
      <c r="E5270" s="84"/>
      <c r="F5270" s="84"/>
      <c r="G5270" s="84"/>
      <c r="I5270" s="237"/>
      <c r="J5270" s="238"/>
    </row>
    <row r="5271">
      <c r="C5271" s="82"/>
      <c r="E5271" s="84"/>
      <c r="F5271" s="84"/>
      <c r="G5271" s="84"/>
      <c r="I5271" s="237"/>
      <c r="J5271" s="238"/>
    </row>
    <row r="5272">
      <c r="C5272" s="82"/>
      <c r="E5272" s="84"/>
      <c r="F5272" s="84"/>
      <c r="G5272" s="84"/>
      <c r="I5272" s="237"/>
      <c r="J5272" s="238"/>
    </row>
    <row r="5273">
      <c r="C5273" s="82"/>
      <c r="E5273" s="84"/>
      <c r="F5273" s="84"/>
      <c r="G5273" s="84"/>
      <c r="I5273" s="237"/>
      <c r="J5273" s="238"/>
    </row>
    <row r="5274">
      <c r="C5274" s="82"/>
      <c r="E5274" s="84"/>
      <c r="F5274" s="84"/>
      <c r="G5274" s="84"/>
      <c r="I5274" s="237"/>
      <c r="J5274" s="238"/>
    </row>
    <row r="5275">
      <c r="C5275" s="82"/>
      <c r="E5275" s="84"/>
      <c r="F5275" s="84"/>
      <c r="G5275" s="84"/>
      <c r="I5275" s="237"/>
      <c r="J5275" s="238"/>
    </row>
    <row r="5276">
      <c r="C5276" s="82"/>
      <c r="E5276" s="84"/>
      <c r="F5276" s="84"/>
      <c r="G5276" s="84"/>
      <c r="I5276" s="237"/>
      <c r="J5276" s="238"/>
    </row>
    <row r="5277">
      <c r="C5277" s="82"/>
      <c r="E5277" s="84"/>
      <c r="F5277" s="84"/>
      <c r="G5277" s="84"/>
      <c r="I5277" s="237"/>
      <c r="J5277" s="238"/>
    </row>
    <row r="5278">
      <c r="C5278" s="82"/>
      <c r="E5278" s="84"/>
      <c r="F5278" s="84"/>
      <c r="G5278" s="84"/>
      <c r="I5278" s="237"/>
      <c r="J5278" s="238"/>
    </row>
    <row r="5279">
      <c r="C5279" s="82"/>
      <c r="E5279" s="84"/>
      <c r="F5279" s="84"/>
      <c r="G5279" s="84"/>
      <c r="I5279" s="237"/>
      <c r="J5279" s="238"/>
    </row>
    <row r="5280">
      <c r="C5280" s="82"/>
      <c r="E5280" s="84"/>
      <c r="F5280" s="84"/>
      <c r="G5280" s="84"/>
      <c r="I5280" s="237"/>
      <c r="J5280" s="238"/>
    </row>
    <row r="5281">
      <c r="C5281" s="82"/>
      <c r="E5281" s="84"/>
      <c r="F5281" s="84"/>
      <c r="G5281" s="84"/>
      <c r="I5281" s="237"/>
      <c r="J5281" s="238"/>
    </row>
    <row r="5282">
      <c r="C5282" s="82"/>
      <c r="E5282" s="84"/>
      <c r="F5282" s="84"/>
      <c r="G5282" s="84"/>
      <c r="I5282" s="237"/>
      <c r="J5282" s="238"/>
    </row>
    <row r="5283">
      <c r="C5283" s="82"/>
      <c r="E5283" s="84"/>
      <c r="F5283" s="84"/>
      <c r="G5283" s="84"/>
      <c r="I5283" s="237"/>
      <c r="J5283" s="238"/>
    </row>
    <row r="5284">
      <c r="C5284" s="82"/>
      <c r="E5284" s="84"/>
      <c r="F5284" s="84"/>
      <c r="G5284" s="84"/>
      <c r="I5284" s="237"/>
      <c r="J5284" s="238"/>
    </row>
    <row r="5285">
      <c r="C5285" s="82"/>
      <c r="E5285" s="84"/>
      <c r="F5285" s="84"/>
      <c r="G5285" s="84"/>
      <c r="I5285" s="237"/>
      <c r="J5285" s="238"/>
    </row>
    <row r="5286">
      <c r="C5286" s="82"/>
      <c r="E5286" s="84"/>
      <c r="F5286" s="84"/>
      <c r="G5286" s="84"/>
      <c r="I5286" s="237"/>
      <c r="J5286" s="238"/>
    </row>
    <row r="5287">
      <c r="C5287" s="82"/>
      <c r="E5287" s="84"/>
      <c r="F5287" s="84"/>
      <c r="G5287" s="84"/>
      <c r="I5287" s="237"/>
      <c r="J5287" s="238"/>
    </row>
    <row r="5288">
      <c r="C5288" s="82"/>
      <c r="E5288" s="84"/>
      <c r="F5288" s="84"/>
      <c r="G5288" s="84"/>
      <c r="I5288" s="237"/>
      <c r="J5288" s="238"/>
    </row>
    <row r="5289">
      <c r="C5289" s="82"/>
      <c r="E5289" s="84"/>
      <c r="F5289" s="84"/>
      <c r="G5289" s="84"/>
      <c r="I5289" s="237"/>
      <c r="J5289" s="238"/>
    </row>
    <row r="5290">
      <c r="C5290" s="82"/>
      <c r="E5290" s="84"/>
      <c r="F5290" s="84"/>
      <c r="G5290" s="84"/>
      <c r="I5290" s="237"/>
      <c r="J5290" s="238"/>
    </row>
    <row r="5291">
      <c r="C5291" s="82"/>
      <c r="E5291" s="84"/>
      <c r="F5291" s="84"/>
      <c r="G5291" s="84"/>
      <c r="I5291" s="237"/>
      <c r="J5291" s="238"/>
    </row>
    <row r="5292">
      <c r="C5292" s="82"/>
      <c r="E5292" s="84"/>
      <c r="F5292" s="84"/>
      <c r="G5292" s="84"/>
      <c r="I5292" s="237"/>
      <c r="J5292" s="238"/>
    </row>
    <row r="5293">
      <c r="C5293" s="82"/>
      <c r="E5293" s="84"/>
      <c r="F5293" s="84"/>
      <c r="G5293" s="84"/>
      <c r="I5293" s="237"/>
      <c r="J5293" s="238"/>
    </row>
    <row r="5294">
      <c r="C5294" s="82"/>
      <c r="E5294" s="84"/>
      <c r="F5294" s="84"/>
      <c r="G5294" s="84"/>
      <c r="I5294" s="237"/>
      <c r="J5294" s="238"/>
    </row>
    <row r="5295">
      <c r="C5295" s="82"/>
      <c r="E5295" s="84"/>
      <c r="F5295" s="84"/>
      <c r="G5295" s="84"/>
      <c r="I5295" s="237"/>
      <c r="J5295" s="238"/>
    </row>
    <row r="5296">
      <c r="C5296" s="82"/>
      <c r="E5296" s="84"/>
      <c r="F5296" s="84"/>
      <c r="G5296" s="84"/>
      <c r="I5296" s="237"/>
      <c r="J5296" s="238"/>
    </row>
    <row r="5297">
      <c r="C5297" s="82"/>
      <c r="E5297" s="84"/>
      <c r="F5297" s="84"/>
      <c r="G5297" s="84"/>
      <c r="I5297" s="237"/>
      <c r="J5297" s="238"/>
    </row>
    <row r="5298">
      <c r="C5298" s="82"/>
      <c r="E5298" s="84"/>
      <c r="F5298" s="84"/>
      <c r="G5298" s="84"/>
      <c r="I5298" s="237"/>
      <c r="J5298" s="238"/>
    </row>
    <row r="5299">
      <c r="C5299" s="82"/>
      <c r="E5299" s="84"/>
      <c r="F5299" s="84"/>
      <c r="G5299" s="84"/>
      <c r="I5299" s="237"/>
      <c r="J5299" s="238"/>
    </row>
    <row r="5300">
      <c r="C5300" s="82"/>
      <c r="E5300" s="84"/>
      <c r="F5300" s="84"/>
      <c r="G5300" s="84"/>
      <c r="I5300" s="237"/>
      <c r="J5300" s="238"/>
    </row>
    <row r="5301">
      <c r="C5301" s="82"/>
      <c r="E5301" s="84"/>
      <c r="F5301" s="84"/>
      <c r="G5301" s="84"/>
      <c r="I5301" s="237"/>
      <c r="J5301" s="238"/>
    </row>
    <row r="5302">
      <c r="C5302" s="82"/>
      <c r="E5302" s="84"/>
      <c r="F5302" s="84"/>
      <c r="G5302" s="84"/>
      <c r="I5302" s="237"/>
      <c r="J5302" s="238"/>
    </row>
    <row r="5303">
      <c r="C5303" s="82"/>
      <c r="E5303" s="84"/>
      <c r="F5303" s="84"/>
      <c r="G5303" s="84"/>
      <c r="I5303" s="237"/>
      <c r="J5303" s="238"/>
    </row>
    <row r="5304">
      <c r="C5304" s="82"/>
      <c r="E5304" s="84"/>
      <c r="F5304" s="84"/>
      <c r="G5304" s="84"/>
      <c r="I5304" s="237"/>
      <c r="J5304" s="238"/>
    </row>
    <row r="5305">
      <c r="C5305" s="82"/>
      <c r="E5305" s="84"/>
      <c r="F5305" s="84"/>
      <c r="G5305" s="84"/>
      <c r="I5305" s="237"/>
      <c r="J5305" s="238"/>
    </row>
    <row r="5306">
      <c r="C5306" s="82"/>
      <c r="E5306" s="84"/>
      <c r="F5306" s="84"/>
      <c r="G5306" s="84"/>
      <c r="I5306" s="237"/>
      <c r="J5306" s="238"/>
    </row>
    <row r="5307">
      <c r="C5307" s="82"/>
      <c r="E5307" s="84"/>
      <c r="F5307" s="84"/>
      <c r="G5307" s="84"/>
      <c r="I5307" s="237"/>
      <c r="J5307" s="238"/>
    </row>
    <row r="5308">
      <c r="C5308" s="82"/>
      <c r="E5308" s="84"/>
      <c r="F5308" s="84"/>
      <c r="G5308" s="84"/>
      <c r="I5308" s="237"/>
      <c r="J5308" s="238"/>
    </row>
    <row r="5309">
      <c r="C5309" s="82"/>
      <c r="E5309" s="84"/>
      <c r="F5309" s="84"/>
      <c r="G5309" s="84"/>
      <c r="I5309" s="237"/>
      <c r="J5309" s="238"/>
    </row>
    <row r="5310">
      <c r="C5310" s="82"/>
      <c r="E5310" s="84"/>
      <c r="F5310" s="84"/>
      <c r="G5310" s="84"/>
      <c r="I5310" s="237"/>
      <c r="J5310" s="238"/>
    </row>
    <row r="5311">
      <c r="C5311" s="82"/>
      <c r="E5311" s="84"/>
      <c r="F5311" s="84"/>
      <c r="G5311" s="84"/>
      <c r="I5311" s="237"/>
      <c r="J5311" s="238"/>
    </row>
    <row r="5312">
      <c r="C5312" s="82"/>
      <c r="E5312" s="84"/>
      <c r="F5312" s="84"/>
      <c r="G5312" s="84"/>
      <c r="I5312" s="237"/>
      <c r="J5312" s="238"/>
    </row>
    <row r="5313">
      <c r="C5313" s="82"/>
      <c r="E5313" s="84"/>
      <c r="F5313" s="84"/>
      <c r="G5313" s="84"/>
      <c r="I5313" s="237"/>
      <c r="J5313" s="238"/>
    </row>
    <row r="5314">
      <c r="C5314" s="82"/>
      <c r="E5314" s="84"/>
      <c r="F5314" s="84"/>
      <c r="G5314" s="84"/>
      <c r="I5314" s="237"/>
      <c r="J5314" s="238"/>
    </row>
    <row r="5315">
      <c r="C5315" s="82"/>
      <c r="E5315" s="84"/>
      <c r="F5315" s="84"/>
      <c r="G5315" s="84"/>
      <c r="I5315" s="237"/>
      <c r="J5315" s="238"/>
    </row>
    <row r="5316">
      <c r="C5316" s="82"/>
      <c r="E5316" s="84"/>
      <c r="F5316" s="84"/>
      <c r="G5316" s="84"/>
      <c r="I5316" s="237"/>
      <c r="J5316" s="238"/>
    </row>
    <row r="5317">
      <c r="C5317" s="82"/>
      <c r="E5317" s="84"/>
      <c r="F5317" s="84"/>
      <c r="G5317" s="84"/>
      <c r="I5317" s="237"/>
      <c r="J5317" s="238"/>
    </row>
    <row r="5318">
      <c r="C5318" s="82"/>
      <c r="E5318" s="84"/>
      <c r="F5318" s="84"/>
      <c r="G5318" s="84"/>
      <c r="I5318" s="237"/>
      <c r="J5318" s="238"/>
    </row>
    <row r="5319">
      <c r="C5319" s="82"/>
      <c r="E5319" s="84"/>
      <c r="F5319" s="84"/>
      <c r="G5319" s="84"/>
      <c r="I5319" s="237"/>
      <c r="J5319" s="238"/>
    </row>
    <row r="5320">
      <c r="C5320" s="82"/>
      <c r="E5320" s="84"/>
      <c r="F5320" s="84"/>
      <c r="G5320" s="84"/>
      <c r="I5320" s="237"/>
      <c r="J5320" s="238"/>
    </row>
    <row r="5321">
      <c r="C5321" s="82"/>
      <c r="E5321" s="84"/>
      <c r="F5321" s="84"/>
      <c r="G5321" s="84"/>
      <c r="I5321" s="237"/>
      <c r="J5321" s="238"/>
    </row>
    <row r="5322">
      <c r="C5322" s="82"/>
      <c r="E5322" s="84"/>
      <c r="F5322" s="84"/>
      <c r="G5322" s="84"/>
      <c r="I5322" s="237"/>
      <c r="J5322" s="238"/>
    </row>
    <row r="5323">
      <c r="C5323" s="82"/>
      <c r="E5323" s="84"/>
      <c r="F5323" s="84"/>
      <c r="G5323" s="84"/>
      <c r="I5323" s="237"/>
      <c r="J5323" s="238"/>
    </row>
    <row r="5324">
      <c r="C5324" s="82"/>
      <c r="E5324" s="84"/>
      <c r="F5324" s="84"/>
      <c r="G5324" s="84"/>
      <c r="I5324" s="237"/>
      <c r="J5324" s="238"/>
    </row>
    <row r="5325">
      <c r="C5325" s="82"/>
      <c r="E5325" s="84"/>
      <c r="F5325" s="84"/>
      <c r="G5325" s="84"/>
      <c r="I5325" s="237"/>
      <c r="J5325" s="238"/>
    </row>
    <row r="5326">
      <c r="C5326" s="82"/>
      <c r="E5326" s="84"/>
      <c r="F5326" s="84"/>
      <c r="G5326" s="84"/>
      <c r="I5326" s="237"/>
      <c r="J5326" s="238"/>
    </row>
    <row r="5327">
      <c r="C5327" s="82"/>
      <c r="E5327" s="84"/>
      <c r="F5327" s="84"/>
      <c r="G5327" s="84"/>
      <c r="I5327" s="237"/>
      <c r="J5327" s="238"/>
    </row>
    <row r="5328">
      <c r="C5328" s="82"/>
      <c r="E5328" s="84"/>
      <c r="F5328" s="84"/>
      <c r="G5328" s="84"/>
      <c r="I5328" s="237"/>
      <c r="J5328" s="238"/>
    </row>
    <row r="5329">
      <c r="C5329" s="82"/>
      <c r="E5329" s="84"/>
      <c r="F5329" s="84"/>
      <c r="G5329" s="84"/>
      <c r="I5329" s="237"/>
      <c r="J5329" s="238"/>
    </row>
    <row r="5330">
      <c r="C5330" s="82"/>
      <c r="E5330" s="84"/>
      <c r="F5330" s="84"/>
      <c r="G5330" s="84"/>
      <c r="I5330" s="237"/>
      <c r="J5330" s="238"/>
    </row>
    <row r="5331">
      <c r="C5331" s="82"/>
      <c r="E5331" s="84"/>
      <c r="F5331" s="84"/>
      <c r="G5331" s="84"/>
      <c r="I5331" s="237"/>
      <c r="J5331" s="238"/>
    </row>
    <row r="5332">
      <c r="C5332" s="82"/>
      <c r="E5332" s="84"/>
      <c r="F5332" s="84"/>
      <c r="G5332" s="84"/>
      <c r="I5332" s="237"/>
      <c r="J5332" s="238"/>
    </row>
    <row r="5333">
      <c r="C5333" s="82"/>
      <c r="E5333" s="84"/>
      <c r="F5333" s="84"/>
      <c r="G5333" s="84"/>
      <c r="I5333" s="237"/>
      <c r="J5333" s="238"/>
    </row>
    <row r="5334">
      <c r="C5334" s="82"/>
      <c r="E5334" s="84"/>
      <c r="F5334" s="84"/>
      <c r="G5334" s="84"/>
      <c r="I5334" s="237"/>
      <c r="J5334" s="238"/>
    </row>
    <row r="5335">
      <c r="C5335" s="82"/>
      <c r="E5335" s="84"/>
      <c r="F5335" s="84"/>
      <c r="G5335" s="84"/>
      <c r="I5335" s="237"/>
      <c r="J5335" s="238"/>
    </row>
    <row r="5336">
      <c r="C5336" s="82"/>
      <c r="E5336" s="84"/>
      <c r="F5336" s="84"/>
      <c r="G5336" s="84"/>
      <c r="I5336" s="237"/>
      <c r="J5336" s="238"/>
    </row>
    <row r="5337">
      <c r="C5337" s="82"/>
      <c r="E5337" s="84"/>
      <c r="F5337" s="84"/>
      <c r="G5337" s="84"/>
      <c r="I5337" s="237"/>
      <c r="J5337" s="238"/>
    </row>
    <row r="5338">
      <c r="C5338" s="82"/>
      <c r="E5338" s="84"/>
      <c r="F5338" s="84"/>
      <c r="G5338" s="84"/>
      <c r="I5338" s="237"/>
      <c r="J5338" s="238"/>
    </row>
    <row r="5339">
      <c r="C5339" s="82"/>
      <c r="E5339" s="84"/>
      <c r="F5339" s="84"/>
      <c r="G5339" s="84"/>
      <c r="I5339" s="237"/>
      <c r="J5339" s="238"/>
    </row>
    <row r="5340">
      <c r="C5340" s="82"/>
      <c r="E5340" s="84"/>
      <c r="F5340" s="84"/>
      <c r="G5340" s="84"/>
      <c r="I5340" s="237"/>
      <c r="J5340" s="238"/>
    </row>
    <row r="5341">
      <c r="C5341" s="82"/>
      <c r="E5341" s="84"/>
      <c r="F5341" s="84"/>
      <c r="G5341" s="84"/>
      <c r="I5341" s="237"/>
      <c r="J5341" s="238"/>
    </row>
    <row r="5342">
      <c r="C5342" s="82"/>
      <c r="E5342" s="84"/>
      <c r="F5342" s="84"/>
      <c r="G5342" s="84"/>
      <c r="I5342" s="237"/>
      <c r="J5342" s="238"/>
    </row>
    <row r="5343">
      <c r="C5343" s="82"/>
      <c r="E5343" s="84"/>
      <c r="F5343" s="84"/>
      <c r="G5343" s="84"/>
      <c r="I5343" s="237"/>
      <c r="J5343" s="238"/>
    </row>
    <row r="5344">
      <c r="C5344" s="82"/>
      <c r="E5344" s="84"/>
      <c r="F5344" s="84"/>
      <c r="G5344" s="84"/>
      <c r="I5344" s="237"/>
      <c r="J5344" s="238"/>
    </row>
    <row r="5345">
      <c r="C5345" s="82"/>
      <c r="E5345" s="84"/>
      <c r="F5345" s="84"/>
      <c r="G5345" s="84"/>
      <c r="I5345" s="237"/>
      <c r="J5345" s="238"/>
    </row>
    <row r="5346">
      <c r="C5346" s="82"/>
      <c r="E5346" s="84"/>
      <c r="F5346" s="84"/>
      <c r="G5346" s="84"/>
      <c r="I5346" s="237"/>
      <c r="J5346" s="238"/>
    </row>
    <row r="5347">
      <c r="C5347" s="82"/>
      <c r="E5347" s="84"/>
      <c r="F5347" s="84"/>
      <c r="G5347" s="84"/>
      <c r="I5347" s="237"/>
      <c r="J5347" s="238"/>
    </row>
    <row r="5348">
      <c r="C5348" s="82"/>
      <c r="E5348" s="84"/>
      <c r="F5348" s="84"/>
      <c r="G5348" s="84"/>
      <c r="I5348" s="237"/>
      <c r="J5348" s="238"/>
    </row>
    <row r="5349">
      <c r="C5349" s="82"/>
      <c r="E5349" s="84"/>
      <c r="F5349" s="84"/>
      <c r="G5349" s="84"/>
      <c r="I5349" s="237"/>
      <c r="J5349" s="238"/>
    </row>
    <row r="5350">
      <c r="C5350" s="82"/>
      <c r="E5350" s="84"/>
      <c r="F5350" s="84"/>
      <c r="G5350" s="84"/>
      <c r="I5350" s="237"/>
      <c r="J5350" s="238"/>
    </row>
    <row r="5351">
      <c r="C5351" s="82"/>
      <c r="E5351" s="84"/>
      <c r="F5351" s="84"/>
      <c r="G5351" s="84"/>
      <c r="I5351" s="237"/>
      <c r="J5351" s="238"/>
    </row>
    <row r="5352">
      <c r="C5352" s="82"/>
      <c r="E5352" s="84"/>
      <c r="F5352" s="84"/>
      <c r="G5352" s="84"/>
      <c r="I5352" s="237"/>
      <c r="J5352" s="238"/>
    </row>
    <row r="5353">
      <c r="C5353" s="82"/>
      <c r="E5353" s="84"/>
      <c r="F5353" s="84"/>
      <c r="G5353" s="84"/>
      <c r="I5353" s="237"/>
      <c r="J5353" s="238"/>
    </row>
    <row r="5354">
      <c r="C5354" s="82"/>
      <c r="E5354" s="84"/>
      <c r="F5354" s="84"/>
      <c r="G5354" s="84"/>
      <c r="I5354" s="237"/>
      <c r="J5354" s="238"/>
    </row>
    <row r="5355">
      <c r="C5355" s="82"/>
      <c r="E5355" s="84"/>
      <c r="F5355" s="84"/>
      <c r="G5355" s="84"/>
      <c r="I5355" s="237"/>
      <c r="J5355" s="238"/>
    </row>
    <row r="5356">
      <c r="C5356" s="82"/>
      <c r="E5356" s="84"/>
      <c r="F5356" s="84"/>
      <c r="G5356" s="84"/>
      <c r="I5356" s="237"/>
      <c r="J5356" s="238"/>
    </row>
    <row r="5357">
      <c r="C5357" s="82"/>
      <c r="E5357" s="84"/>
      <c r="F5357" s="84"/>
      <c r="G5357" s="84"/>
      <c r="I5357" s="237"/>
      <c r="J5357" s="238"/>
    </row>
    <row r="5358">
      <c r="C5358" s="82"/>
      <c r="E5358" s="84"/>
      <c r="F5358" s="84"/>
      <c r="G5358" s="84"/>
      <c r="I5358" s="237"/>
      <c r="J5358" s="238"/>
    </row>
    <row r="5359">
      <c r="C5359" s="82"/>
      <c r="E5359" s="84"/>
      <c r="F5359" s="84"/>
      <c r="G5359" s="84"/>
      <c r="I5359" s="237"/>
      <c r="J5359" s="238"/>
    </row>
    <row r="5360">
      <c r="C5360" s="82"/>
      <c r="E5360" s="84"/>
      <c r="F5360" s="84"/>
      <c r="G5360" s="84"/>
      <c r="I5360" s="237"/>
      <c r="J5360" s="238"/>
    </row>
    <row r="5361">
      <c r="C5361" s="82"/>
      <c r="E5361" s="84"/>
      <c r="F5361" s="84"/>
      <c r="G5361" s="84"/>
      <c r="I5361" s="237"/>
      <c r="J5361" s="238"/>
    </row>
    <row r="5362">
      <c r="C5362" s="82"/>
      <c r="E5362" s="84"/>
      <c r="F5362" s="84"/>
      <c r="G5362" s="84"/>
      <c r="I5362" s="237"/>
      <c r="J5362" s="238"/>
    </row>
    <row r="5363">
      <c r="C5363" s="82"/>
      <c r="E5363" s="84"/>
      <c r="F5363" s="84"/>
      <c r="G5363" s="84"/>
      <c r="I5363" s="237"/>
      <c r="J5363" s="238"/>
    </row>
    <row r="5364">
      <c r="C5364" s="82"/>
      <c r="E5364" s="84"/>
      <c r="F5364" s="84"/>
      <c r="G5364" s="84"/>
      <c r="I5364" s="237"/>
      <c r="J5364" s="238"/>
    </row>
    <row r="5365">
      <c r="C5365" s="82"/>
      <c r="E5365" s="84"/>
      <c r="F5365" s="84"/>
      <c r="G5365" s="84"/>
      <c r="I5365" s="237"/>
      <c r="J5365" s="238"/>
    </row>
    <row r="5366">
      <c r="C5366" s="82"/>
      <c r="E5366" s="84"/>
      <c r="F5366" s="84"/>
      <c r="G5366" s="84"/>
      <c r="I5366" s="237"/>
      <c r="J5366" s="238"/>
    </row>
    <row r="5367">
      <c r="C5367" s="82"/>
      <c r="E5367" s="84"/>
      <c r="F5367" s="84"/>
      <c r="G5367" s="84"/>
      <c r="I5367" s="237"/>
      <c r="J5367" s="238"/>
    </row>
    <row r="5368">
      <c r="C5368" s="82"/>
      <c r="E5368" s="84"/>
      <c r="F5368" s="84"/>
      <c r="G5368" s="84"/>
      <c r="I5368" s="237"/>
      <c r="J5368" s="238"/>
    </row>
    <row r="5369">
      <c r="C5369" s="82"/>
      <c r="E5369" s="84"/>
      <c r="F5369" s="84"/>
      <c r="G5369" s="84"/>
      <c r="I5369" s="237"/>
      <c r="J5369" s="238"/>
    </row>
    <row r="5370">
      <c r="C5370" s="82"/>
      <c r="E5370" s="84"/>
      <c r="F5370" s="84"/>
      <c r="G5370" s="84"/>
      <c r="I5370" s="237"/>
      <c r="J5370" s="238"/>
    </row>
    <row r="5371">
      <c r="C5371" s="82"/>
      <c r="E5371" s="84"/>
      <c r="F5371" s="84"/>
      <c r="G5371" s="84"/>
      <c r="I5371" s="237"/>
      <c r="J5371" s="238"/>
    </row>
    <row r="5372">
      <c r="C5372" s="82"/>
      <c r="E5372" s="84"/>
      <c r="F5372" s="84"/>
      <c r="G5372" s="84"/>
      <c r="I5372" s="237"/>
      <c r="J5372" s="238"/>
    </row>
    <row r="5373">
      <c r="C5373" s="82"/>
      <c r="E5373" s="84"/>
      <c r="F5373" s="84"/>
      <c r="G5373" s="84"/>
      <c r="I5373" s="237"/>
      <c r="J5373" s="238"/>
    </row>
    <row r="5374">
      <c r="C5374" s="82"/>
      <c r="E5374" s="84"/>
      <c r="F5374" s="84"/>
      <c r="G5374" s="84"/>
      <c r="I5374" s="237"/>
      <c r="J5374" s="238"/>
    </row>
    <row r="5375">
      <c r="C5375" s="82"/>
      <c r="E5375" s="84"/>
      <c r="F5375" s="84"/>
      <c r="G5375" s="84"/>
      <c r="I5375" s="237"/>
      <c r="J5375" s="238"/>
    </row>
    <row r="5376">
      <c r="C5376" s="82"/>
      <c r="E5376" s="84"/>
      <c r="F5376" s="84"/>
      <c r="G5376" s="84"/>
      <c r="I5376" s="237"/>
      <c r="J5376" s="238"/>
    </row>
    <row r="5377">
      <c r="C5377" s="82"/>
      <c r="E5377" s="84"/>
      <c r="F5377" s="84"/>
      <c r="G5377" s="84"/>
      <c r="I5377" s="237"/>
      <c r="J5377" s="238"/>
    </row>
    <row r="5378">
      <c r="C5378" s="82"/>
      <c r="E5378" s="84"/>
      <c r="F5378" s="84"/>
      <c r="G5378" s="84"/>
      <c r="I5378" s="237"/>
      <c r="J5378" s="238"/>
    </row>
    <row r="5379">
      <c r="C5379" s="82"/>
      <c r="E5379" s="84"/>
      <c r="F5379" s="84"/>
      <c r="G5379" s="84"/>
      <c r="I5379" s="237"/>
      <c r="J5379" s="238"/>
    </row>
    <row r="5380">
      <c r="C5380" s="82"/>
      <c r="E5380" s="84"/>
      <c r="F5380" s="84"/>
      <c r="G5380" s="84"/>
      <c r="I5380" s="237"/>
      <c r="J5380" s="238"/>
    </row>
    <row r="5381">
      <c r="C5381" s="82"/>
      <c r="E5381" s="84"/>
      <c r="F5381" s="84"/>
      <c r="G5381" s="84"/>
      <c r="I5381" s="237"/>
      <c r="J5381" s="238"/>
    </row>
    <row r="5382">
      <c r="C5382" s="82"/>
      <c r="E5382" s="84"/>
      <c r="F5382" s="84"/>
      <c r="G5382" s="84"/>
      <c r="I5382" s="237"/>
      <c r="J5382" s="238"/>
    </row>
    <row r="5383">
      <c r="C5383" s="82"/>
      <c r="E5383" s="84"/>
      <c r="F5383" s="84"/>
      <c r="G5383" s="84"/>
      <c r="I5383" s="237"/>
      <c r="J5383" s="238"/>
    </row>
    <row r="5384">
      <c r="C5384" s="82"/>
      <c r="E5384" s="84"/>
      <c r="F5384" s="84"/>
      <c r="G5384" s="84"/>
      <c r="I5384" s="237"/>
      <c r="J5384" s="238"/>
    </row>
    <row r="5385">
      <c r="C5385" s="82"/>
      <c r="E5385" s="84"/>
      <c r="F5385" s="84"/>
      <c r="G5385" s="84"/>
      <c r="I5385" s="237"/>
      <c r="J5385" s="238"/>
    </row>
    <row r="5386">
      <c r="C5386" s="82"/>
      <c r="E5386" s="84"/>
      <c r="F5386" s="84"/>
      <c r="G5386" s="84"/>
      <c r="I5386" s="237"/>
      <c r="J5386" s="238"/>
    </row>
    <row r="5387">
      <c r="C5387" s="82"/>
      <c r="E5387" s="84"/>
      <c r="F5387" s="84"/>
      <c r="G5387" s="84"/>
      <c r="I5387" s="237"/>
      <c r="J5387" s="238"/>
    </row>
    <row r="5388">
      <c r="C5388" s="82"/>
      <c r="E5388" s="84"/>
      <c r="F5388" s="84"/>
      <c r="G5388" s="84"/>
      <c r="I5388" s="237"/>
      <c r="J5388" s="238"/>
    </row>
    <row r="5389">
      <c r="C5389" s="82"/>
      <c r="E5389" s="84"/>
      <c r="F5389" s="84"/>
      <c r="G5389" s="84"/>
      <c r="I5389" s="237"/>
      <c r="J5389" s="238"/>
    </row>
    <row r="5390">
      <c r="C5390" s="82"/>
      <c r="E5390" s="84"/>
      <c r="F5390" s="84"/>
      <c r="G5390" s="84"/>
      <c r="I5390" s="237"/>
      <c r="J5390" s="238"/>
    </row>
    <row r="5391">
      <c r="C5391" s="82"/>
      <c r="E5391" s="84"/>
      <c r="F5391" s="84"/>
      <c r="G5391" s="84"/>
      <c r="I5391" s="237"/>
      <c r="J5391" s="238"/>
    </row>
    <row r="5392">
      <c r="C5392" s="82"/>
      <c r="E5392" s="84"/>
      <c r="F5392" s="84"/>
      <c r="G5392" s="84"/>
      <c r="I5392" s="237"/>
      <c r="J5392" s="238"/>
    </row>
    <row r="5393">
      <c r="C5393" s="82"/>
      <c r="E5393" s="84"/>
      <c r="F5393" s="84"/>
      <c r="G5393" s="84"/>
      <c r="I5393" s="237"/>
      <c r="J5393" s="238"/>
    </row>
    <row r="5394">
      <c r="C5394" s="82"/>
      <c r="E5394" s="84"/>
      <c r="F5394" s="84"/>
      <c r="G5394" s="84"/>
      <c r="I5394" s="237"/>
      <c r="J5394" s="238"/>
    </row>
    <row r="5395">
      <c r="C5395" s="82"/>
      <c r="E5395" s="84"/>
      <c r="F5395" s="84"/>
      <c r="G5395" s="84"/>
      <c r="I5395" s="237"/>
      <c r="J5395" s="238"/>
    </row>
    <row r="5396">
      <c r="C5396" s="82"/>
      <c r="E5396" s="84"/>
      <c r="F5396" s="84"/>
      <c r="G5396" s="84"/>
      <c r="I5396" s="237"/>
      <c r="J5396" s="238"/>
    </row>
    <row r="5397">
      <c r="C5397" s="82"/>
      <c r="E5397" s="84"/>
      <c r="F5397" s="84"/>
      <c r="G5397" s="84"/>
      <c r="I5397" s="237"/>
      <c r="J5397" s="238"/>
    </row>
    <row r="5398">
      <c r="C5398" s="82"/>
      <c r="E5398" s="84"/>
      <c r="F5398" s="84"/>
      <c r="G5398" s="84"/>
      <c r="I5398" s="237"/>
      <c r="J5398" s="238"/>
    </row>
    <row r="5399">
      <c r="C5399" s="82"/>
      <c r="E5399" s="84"/>
      <c r="F5399" s="84"/>
      <c r="G5399" s="84"/>
      <c r="I5399" s="237"/>
      <c r="J5399" s="238"/>
    </row>
    <row r="5400">
      <c r="C5400" s="82"/>
      <c r="E5400" s="84"/>
      <c r="F5400" s="84"/>
      <c r="G5400" s="84"/>
      <c r="I5400" s="237"/>
      <c r="J5400" s="238"/>
    </row>
    <row r="5401">
      <c r="C5401" s="82"/>
      <c r="E5401" s="84"/>
      <c r="F5401" s="84"/>
      <c r="G5401" s="84"/>
      <c r="I5401" s="237"/>
      <c r="J5401" s="238"/>
    </row>
    <row r="5402">
      <c r="C5402" s="82"/>
      <c r="E5402" s="84"/>
      <c r="F5402" s="84"/>
      <c r="G5402" s="84"/>
      <c r="I5402" s="237"/>
      <c r="J5402" s="238"/>
    </row>
    <row r="5403">
      <c r="C5403" s="82"/>
      <c r="E5403" s="84"/>
      <c r="F5403" s="84"/>
      <c r="G5403" s="84"/>
      <c r="I5403" s="237"/>
      <c r="J5403" s="238"/>
    </row>
    <row r="5404">
      <c r="C5404" s="82"/>
      <c r="E5404" s="84"/>
      <c r="F5404" s="84"/>
      <c r="G5404" s="84"/>
      <c r="I5404" s="237"/>
      <c r="J5404" s="238"/>
    </row>
    <row r="5405">
      <c r="C5405" s="82"/>
      <c r="E5405" s="84"/>
      <c r="F5405" s="84"/>
      <c r="G5405" s="84"/>
      <c r="I5405" s="237"/>
      <c r="J5405" s="238"/>
    </row>
    <row r="5406">
      <c r="C5406" s="82"/>
      <c r="E5406" s="84"/>
      <c r="F5406" s="84"/>
      <c r="G5406" s="84"/>
      <c r="I5406" s="237"/>
      <c r="J5406" s="238"/>
    </row>
    <row r="5407">
      <c r="C5407" s="82"/>
      <c r="E5407" s="84"/>
      <c r="F5407" s="84"/>
      <c r="G5407" s="84"/>
      <c r="I5407" s="237"/>
      <c r="J5407" s="238"/>
    </row>
    <row r="5408">
      <c r="C5408" s="82"/>
      <c r="E5408" s="84"/>
      <c r="F5408" s="84"/>
      <c r="G5408" s="84"/>
      <c r="I5408" s="237"/>
      <c r="J5408" s="238"/>
    </row>
    <row r="5409">
      <c r="C5409" s="82"/>
      <c r="E5409" s="84"/>
      <c r="F5409" s="84"/>
      <c r="G5409" s="84"/>
      <c r="I5409" s="237"/>
      <c r="J5409" s="238"/>
    </row>
    <row r="5410">
      <c r="C5410" s="82"/>
      <c r="E5410" s="84"/>
      <c r="F5410" s="84"/>
      <c r="G5410" s="84"/>
      <c r="I5410" s="237"/>
      <c r="J5410" s="238"/>
    </row>
    <row r="5411">
      <c r="C5411" s="82"/>
      <c r="E5411" s="84"/>
      <c r="F5411" s="84"/>
      <c r="G5411" s="84"/>
      <c r="I5411" s="237"/>
      <c r="J5411" s="238"/>
    </row>
    <row r="5412">
      <c r="C5412" s="82"/>
      <c r="E5412" s="84"/>
      <c r="F5412" s="84"/>
      <c r="G5412" s="84"/>
      <c r="I5412" s="237"/>
      <c r="J5412" s="238"/>
    </row>
    <row r="5413">
      <c r="C5413" s="82"/>
      <c r="E5413" s="84"/>
      <c r="F5413" s="84"/>
      <c r="G5413" s="84"/>
      <c r="I5413" s="237"/>
      <c r="J5413" s="238"/>
    </row>
    <row r="5414">
      <c r="C5414" s="82"/>
      <c r="E5414" s="84"/>
      <c r="F5414" s="84"/>
      <c r="G5414" s="84"/>
      <c r="I5414" s="237"/>
      <c r="J5414" s="238"/>
    </row>
    <row r="5415">
      <c r="C5415" s="82"/>
      <c r="E5415" s="84"/>
      <c r="F5415" s="84"/>
      <c r="G5415" s="84"/>
      <c r="I5415" s="237"/>
      <c r="J5415" s="238"/>
    </row>
    <row r="5416">
      <c r="C5416" s="82"/>
      <c r="E5416" s="84"/>
      <c r="F5416" s="84"/>
      <c r="G5416" s="84"/>
      <c r="I5416" s="237"/>
      <c r="J5416" s="238"/>
    </row>
    <row r="5417">
      <c r="C5417" s="82"/>
      <c r="E5417" s="84"/>
      <c r="F5417" s="84"/>
      <c r="G5417" s="84"/>
      <c r="I5417" s="237"/>
      <c r="J5417" s="238"/>
    </row>
    <row r="5418">
      <c r="C5418" s="82"/>
      <c r="E5418" s="84"/>
      <c r="F5418" s="84"/>
      <c r="G5418" s="84"/>
      <c r="I5418" s="237"/>
      <c r="J5418" s="238"/>
    </row>
    <row r="5419">
      <c r="C5419" s="82"/>
      <c r="E5419" s="84"/>
      <c r="F5419" s="84"/>
      <c r="G5419" s="84"/>
      <c r="I5419" s="237"/>
      <c r="J5419" s="238"/>
    </row>
    <row r="5420">
      <c r="C5420" s="82"/>
      <c r="E5420" s="84"/>
      <c r="F5420" s="84"/>
      <c r="G5420" s="84"/>
      <c r="I5420" s="237"/>
      <c r="J5420" s="238"/>
    </row>
    <row r="5421">
      <c r="C5421" s="82"/>
      <c r="E5421" s="84"/>
      <c r="F5421" s="84"/>
      <c r="G5421" s="84"/>
      <c r="I5421" s="237"/>
      <c r="J5421" s="238"/>
    </row>
    <row r="5422">
      <c r="C5422" s="82"/>
      <c r="E5422" s="84"/>
      <c r="F5422" s="84"/>
      <c r="G5422" s="84"/>
      <c r="I5422" s="237"/>
      <c r="J5422" s="238"/>
    </row>
    <row r="5423">
      <c r="C5423" s="82"/>
      <c r="E5423" s="84"/>
      <c r="F5423" s="84"/>
      <c r="G5423" s="84"/>
      <c r="I5423" s="237"/>
      <c r="J5423" s="238"/>
    </row>
    <row r="5424">
      <c r="C5424" s="82"/>
      <c r="E5424" s="84"/>
      <c r="F5424" s="84"/>
      <c r="G5424" s="84"/>
      <c r="I5424" s="237"/>
      <c r="J5424" s="238"/>
    </row>
    <row r="5425">
      <c r="C5425" s="82"/>
      <c r="E5425" s="84"/>
      <c r="F5425" s="84"/>
      <c r="G5425" s="84"/>
      <c r="I5425" s="237"/>
      <c r="J5425" s="238"/>
    </row>
    <row r="5426">
      <c r="C5426" s="82"/>
      <c r="E5426" s="84"/>
      <c r="F5426" s="84"/>
      <c r="G5426" s="84"/>
      <c r="I5426" s="237"/>
      <c r="J5426" s="238"/>
    </row>
    <row r="5427">
      <c r="C5427" s="82"/>
      <c r="E5427" s="84"/>
      <c r="F5427" s="84"/>
      <c r="G5427" s="84"/>
      <c r="I5427" s="237"/>
      <c r="J5427" s="238"/>
    </row>
    <row r="5428">
      <c r="C5428" s="82"/>
      <c r="E5428" s="84"/>
      <c r="F5428" s="84"/>
      <c r="G5428" s="84"/>
      <c r="I5428" s="237"/>
      <c r="J5428" s="238"/>
    </row>
    <row r="5429">
      <c r="C5429" s="82"/>
      <c r="E5429" s="84"/>
      <c r="F5429" s="84"/>
      <c r="G5429" s="84"/>
      <c r="I5429" s="237"/>
      <c r="J5429" s="238"/>
    </row>
    <row r="5430">
      <c r="C5430" s="82"/>
      <c r="E5430" s="84"/>
      <c r="F5430" s="84"/>
      <c r="G5430" s="84"/>
      <c r="I5430" s="237"/>
      <c r="J5430" s="238"/>
    </row>
    <row r="5431">
      <c r="C5431" s="82"/>
      <c r="E5431" s="84"/>
      <c r="F5431" s="84"/>
      <c r="G5431" s="84"/>
      <c r="I5431" s="237"/>
      <c r="J5431" s="238"/>
    </row>
    <row r="5432">
      <c r="C5432" s="82"/>
      <c r="E5432" s="84"/>
      <c r="F5432" s="84"/>
      <c r="G5432" s="84"/>
      <c r="I5432" s="237"/>
      <c r="J5432" s="238"/>
    </row>
    <row r="5433">
      <c r="C5433" s="82"/>
      <c r="E5433" s="84"/>
      <c r="F5433" s="84"/>
      <c r="G5433" s="84"/>
      <c r="I5433" s="237"/>
      <c r="J5433" s="238"/>
    </row>
    <row r="5434">
      <c r="C5434" s="82"/>
      <c r="E5434" s="84"/>
      <c r="F5434" s="84"/>
      <c r="G5434" s="84"/>
      <c r="I5434" s="237"/>
      <c r="J5434" s="238"/>
    </row>
    <row r="5435">
      <c r="C5435" s="82"/>
      <c r="E5435" s="84"/>
      <c r="F5435" s="84"/>
      <c r="G5435" s="84"/>
      <c r="I5435" s="237"/>
      <c r="J5435" s="238"/>
    </row>
    <row r="5436">
      <c r="C5436" s="82"/>
      <c r="E5436" s="84"/>
      <c r="F5436" s="84"/>
      <c r="G5436" s="84"/>
      <c r="I5436" s="237"/>
      <c r="J5436" s="238"/>
    </row>
    <row r="5437">
      <c r="C5437" s="82"/>
      <c r="E5437" s="84"/>
      <c r="F5437" s="84"/>
      <c r="G5437" s="84"/>
      <c r="I5437" s="237"/>
      <c r="J5437" s="238"/>
    </row>
    <row r="5438">
      <c r="C5438" s="82"/>
      <c r="E5438" s="84"/>
      <c r="F5438" s="84"/>
      <c r="G5438" s="84"/>
      <c r="I5438" s="237"/>
      <c r="J5438" s="238"/>
    </row>
    <row r="5439">
      <c r="C5439" s="82"/>
      <c r="E5439" s="84"/>
      <c r="F5439" s="84"/>
      <c r="G5439" s="84"/>
      <c r="I5439" s="237"/>
      <c r="J5439" s="238"/>
    </row>
    <row r="5440">
      <c r="C5440" s="82"/>
      <c r="E5440" s="84"/>
      <c r="F5440" s="84"/>
      <c r="G5440" s="84"/>
      <c r="I5440" s="237"/>
      <c r="J5440" s="238"/>
    </row>
    <row r="5441">
      <c r="C5441" s="82"/>
      <c r="E5441" s="84"/>
      <c r="F5441" s="84"/>
      <c r="G5441" s="84"/>
      <c r="I5441" s="237"/>
      <c r="J5441" s="238"/>
    </row>
    <row r="5442">
      <c r="C5442" s="82"/>
      <c r="E5442" s="84"/>
      <c r="F5442" s="84"/>
      <c r="G5442" s="84"/>
      <c r="I5442" s="237"/>
      <c r="J5442" s="238"/>
    </row>
    <row r="5443">
      <c r="C5443" s="82"/>
      <c r="E5443" s="84"/>
      <c r="F5443" s="84"/>
      <c r="G5443" s="84"/>
      <c r="I5443" s="237"/>
      <c r="J5443" s="238"/>
    </row>
    <row r="5444">
      <c r="C5444" s="82"/>
      <c r="E5444" s="84"/>
      <c r="F5444" s="84"/>
      <c r="G5444" s="84"/>
      <c r="I5444" s="237"/>
      <c r="J5444" s="238"/>
    </row>
    <row r="5445">
      <c r="C5445" s="82"/>
      <c r="E5445" s="84"/>
      <c r="F5445" s="84"/>
      <c r="G5445" s="84"/>
      <c r="I5445" s="237"/>
      <c r="J5445" s="238"/>
    </row>
    <row r="5446">
      <c r="C5446" s="82"/>
      <c r="E5446" s="84"/>
      <c r="F5446" s="84"/>
      <c r="G5446" s="84"/>
      <c r="I5446" s="237"/>
      <c r="J5446" s="238"/>
    </row>
    <row r="5447">
      <c r="C5447" s="82"/>
      <c r="E5447" s="84"/>
      <c r="F5447" s="84"/>
      <c r="G5447" s="84"/>
      <c r="I5447" s="237"/>
      <c r="J5447" s="238"/>
    </row>
    <row r="5448">
      <c r="C5448" s="82"/>
      <c r="E5448" s="84"/>
      <c r="F5448" s="84"/>
      <c r="G5448" s="84"/>
      <c r="I5448" s="237"/>
      <c r="J5448" s="238"/>
    </row>
    <row r="5449">
      <c r="C5449" s="82"/>
      <c r="E5449" s="84"/>
      <c r="F5449" s="84"/>
      <c r="G5449" s="84"/>
      <c r="I5449" s="237"/>
      <c r="J5449" s="238"/>
    </row>
    <row r="5450">
      <c r="C5450" s="82"/>
      <c r="E5450" s="84"/>
      <c r="F5450" s="84"/>
      <c r="G5450" s="84"/>
      <c r="I5450" s="237"/>
      <c r="J5450" s="238"/>
    </row>
    <row r="5451">
      <c r="C5451" s="82"/>
      <c r="E5451" s="84"/>
      <c r="F5451" s="84"/>
      <c r="G5451" s="84"/>
      <c r="I5451" s="237"/>
      <c r="J5451" s="238"/>
    </row>
    <row r="5452">
      <c r="C5452" s="82"/>
      <c r="E5452" s="84"/>
      <c r="F5452" s="84"/>
      <c r="G5452" s="84"/>
      <c r="I5452" s="237"/>
      <c r="J5452" s="238"/>
    </row>
    <row r="5453">
      <c r="C5453" s="82"/>
      <c r="E5453" s="84"/>
      <c r="F5453" s="84"/>
      <c r="G5453" s="84"/>
      <c r="I5453" s="237"/>
      <c r="J5453" s="238"/>
    </row>
    <row r="5454">
      <c r="C5454" s="82"/>
      <c r="E5454" s="84"/>
      <c r="F5454" s="84"/>
      <c r="G5454" s="84"/>
      <c r="I5454" s="237"/>
      <c r="J5454" s="238"/>
    </row>
    <row r="5455">
      <c r="C5455" s="82"/>
      <c r="E5455" s="84"/>
      <c r="F5455" s="84"/>
      <c r="G5455" s="84"/>
      <c r="I5455" s="237"/>
      <c r="J5455" s="238"/>
    </row>
    <row r="5456">
      <c r="C5456" s="82"/>
      <c r="E5456" s="84"/>
      <c r="F5456" s="84"/>
      <c r="G5456" s="84"/>
      <c r="I5456" s="237"/>
      <c r="J5456" s="238"/>
    </row>
    <row r="5457">
      <c r="C5457" s="82"/>
      <c r="E5457" s="84"/>
      <c r="F5457" s="84"/>
      <c r="G5457" s="84"/>
      <c r="I5457" s="237"/>
      <c r="J5457" s="238"/>
    </row>
    <row r="5458">
      <c r="C5458" s="82"/>
      <c r="E5458" s="84"/>
      <c r="F5458" s="84"/>
      <c r="G5458" s="84"/>
      <c r="I5458" s="237"/>
      <c r="J5458" s="238"/>
    </row>
    <row r="5459">
      <c r="C5459" s="82"/>
      <c r="E5459" s="84"/>
      <c r="F5459" s="84"/>
      <c r="G5459" s="84"/>
      <c r="I5459" s="237"/>
      <c r="J5459" s="238"/>
    </row>
    <row r="5460">
      <c r="C5460" s="82"/>
      <c r="E5460" s="84"/>
      <c r="F5460" s="84"/>
      <c r="G5460" s="84"/>
      <c r="I5460" s="237"/>
      <c r="J5460" s="238"/>
    </row>
    <row r="5461">
      <c r="C5461" s="82"/>
      <c r="E5461" s="84"/>
      <c r="F5461" s="84"/>
      <c r="G5461" s="84"/>
      <c r="I5461" s="237"/>
      <c r="J5461" s="238"/>
    </row>
    <row r="5462">
      <c r="C5462" s="82"/>
      <c r="E5462" s="84"/>
      <c r="F5462" s="84"/>
      <c r="G5462" s="84"/>
      <c r="I5462" s="237"/>
      <c r="J5462" s="238"/>
    </row>
    <row r="5463">
      <c r="C5463" s="82"/>
      <c r="E5463" s="84"/>
      <c r="F5463" s="84"/>
      <c r="G5463" s="84"/>
      <c r="I5463" s="237"/>
      <c r="J5463" s="238"/>
    </row>
    <row r="5464">
      <c r="C5464" s="82"/>
      <c r="E5464" s="84"/>
      <c r="F5464" s="84"/>
      <c r="G5464" s="84"/>
      <c r="I5464" s="237"/>
      <c r="J5464" s="238"/>
    </row>
    <row r="5465">
      <c r="C5465" s="82"/>
      <c r="E5465" s="84"/>
      <c r="F5465" s="84"/>
      <c r="G5465" s="84"/>
      <c r="I5465" s="237"/>
      <c r="J5465" s="238"/>
    </row>
    <row r="5466">
      <c r="C5466" s="82"/>
      <c r="E5466" s="84"/>
      <c r="F5466" s="84"/>
      <c r="G5466" s="84"/>
      <c r="I5466" s="237"/>
      <c r="J5466" s="238"/>
    </row>
    <row r="5467">
      <c r="C5467" s="82"/>
      <c r="E5467" s="84"/>
      <c r="F5467" s="84"/>
      <c r="G5467" s="84"/>
      <c r="I5467" s="237"/>
      <c r="J5467" s="238"/>
    </row>
    <row r="5468">
      <c r="C5468" s="82"/>
      <c r="E5468" s="84"/>
      <c r="F5468" s="84"/>
      <c r="G5468" s="84"/>
      <c r="I5468" s="237"/>
      <c r="J5468" s="238"/>
    </row>
    <row r="5469">
      <c r="C5469" s="82"/>
      <c r="E5469" s="84"/>
      <c r="F5469" s="84"/>
      <c r="G5469" s="84"/>
      <c r="I5469" s="237"/>
      <c r="J5469" s="238"/>
    </row>
    <row r="5470">
      <c r="C5470" s="82"/>
      <c r="E5470" s="84"/>
      <c r="F5470" s="84"/>
      <c r="G5470" s="84"/>
      <c r="I5470" s="237"/>
      <c r="J5470" s="238"/>
    </row>
    <row r="5471">
      <c r="C5471" s="82"/>
      <c r="E5471" s="84"/>
      <c r="F5471" s="84"/>
      <c r="G5471" s="84"/>
      <c r="I5471" s="237"/>
      <c r="J5471" s="238"/>
    </row>
    <row r="5472">
      <c r="C5472" s="82"/>
      <c r="E5472" s="84"/>
      <c r="F5472" s="84"/>
      <c r="G5472" s="84"/>
      <c r="I5472" s="237"/>
      <c r="J5472" s="238"/>
    </row>
    <row r="5473">
      <c r="C5473" s="82"/>
      <c r="E5473" s="84"/>
      <c r="F5473" s="84"/>
      <c r="G5473" s="84"/>
      <c r="I5473" s="237"/>
      <c r="J5473" s="238"/>
    </row>
    <row r="5474">
      <c r="C5474" s="82"/>
      <c r="E5474" s="84"/>
      <c r="F5474" s="84"/>
      <c r="G5474" s="84"/>
      <c r="I5474" s="237"/>
      <c r="J5474" s="238"/>
    </row>
    <row r="5475">
      <c r="C5475" s="82"/>
      <c r="E5475" s="84"/>
      <c r="F5475" s="84"/>
      <c r="G5475" s="84"/>
      <c r="I5475" s="237"/>
      <c r="J5475" s="238"/>
    </row>
    <row r="5476">
      <c r="C5476" s="82"/>
      <c r="E5476" s="84"/>
      <c r="F5476" s="84"/>
      <c r="G5476" s="84"/>
      <c r="I5476" s="237"/>
      <c r="J5476" s="238"/>
    </row>
    <row r="5477">
      <c r="C5477" s="82"/>
      <c r="E5477" s="84"/>
      <c r="F5477" s="84"/>
      <c r="G5477" s="84"/>
      <c r="I5477" s="237"/>
      <c r="J5477" s="238"/>
    </row>
    <row r="5478">
      <c r="C5478" s="82"/>
      <c r="E5478" s="84"/>
      <c r="F5478" s="84"/>
      <c r="G5478" s="84"/>
      <c r="I5478" s="237"/>
      <c r="J5478" s="238"/>
    </row>
    <row r="5479">
      <c r="C5479" s="82"/>
      <c r="E5479" s="84"/>
      <c r="F5479" s="84"/>
      <c r="G5479" s="84"/>
      <c r="I5479" s="237"/>
      <c r="J5479" s="238"/>
    </row>
    <row r="5480">
      <c r="C5480" s="82"/>
      <c r="E5480" s="84"/>
      <c r="F5480" s="84"/>
      <c r="G5480" s="84"/>
      <c r="I5480" s="237"/>
      <c r="J5480" s="238"/>
    </row>
    <row r="5481">
      <c r="C5481" s="82"/>
      <c r="E5481" s="84"/>
      <c r="F5481" s="84"/>
      <c r="G5481" s="84"/>
      <c r="I5481" s="237"/>
      <c r="J5481" s="238"/>
    </row>
    <row r="5482">
      <c r="C5482" s="82"/>
      <c r="E5482" s="84"/>
      <c r="F5482" s="84"/>
      <c r="G5482" s="84"/>
      <c r="I5482" s="237"/>
      <c r="J5482" s="238"/>
    </row>
    <row r="5483">
      <c r="C5483" s="82"/>
      <c r="E5483" s="84"/>
      <c r="F5483" s="84"/>
      <c r="G5483" s="84"/>
      <c r="I5483" s="237"/>
      <c r="J5483" s="238"/>
    </row>
    <row r="5484">
      <c r="C5484" s="82"/>
      <c r="E5484" s="84"/>
      <c r="F5484" s="84"/>
      <c r="G5484" s="84"/>
      <c r="I5484" s="237"/>
      <c r="J5484" s="238"/>
    </row>
    <row r="5485">
      <c r="C5485" s="82"/>
      <c r="E5485" s="84"/>
      <c r="F5485" s="84"/>
      <c r="G5485" s="84"/>
      <c r="I5485" s="237"/>
      <c r="J5485" s="238"/>
    </row>
    <row r="5486">
      <c r="C5486" s="82"/>
      <c r="E5486" s="84"/>
      <c r="F5486" s="84"/>
      <c r="G5486" s="84"/>
      <c r="I5486" s="237"/>
      <c r="J5486" s="238"/>
    </row>
    <row r="5487">
      <c r="C5487" s="82"/>
      <c r="E5487" s="84"/>
      <c r="F5487" s="84"/>
      <c r="G5487" s="84"/>
      <c r="I5487" s="237"/>
      <c r="J5487" s="238"/>
    </row>
    <row r="5488">
      <c r="C5488" s="82"/>
      <c r="E5488" s="84"/>
      <c r="F5488" s="84"/>
      <c r="G5488" s="84"/>
      <c r="I5488" s="237"/>
      <c r="J5488" s="238"/>
    </row>
    <row r="5489">
      <c r="C5489" s="82"/>
      <c r="E5489" s="84"/>
      <c r="F5489" s="84"/>
      <c r="G5489" s="84"/>
      <c r="I5489" s="237"/>
      <c r="J5489" s="238"/>
    </row>
    <row r="5490">
      <c r="C5490" s="82"/>
      <c r="E5490" s="84"/>
      <c r="F5490" s="84"/>
      <c r="G5490" s="84"/>
      <c r="I5490" s="237"/>
      <c r="J5490" s="238"/>
    </row>
    <row r="5491">
      <c r="C5491" s="82"/>
      <c r="E5491" s="84"/>
      <c r="F5491" s="84"/>
      <c r="G5491" s="84"/>
      <c r="I5491" s="237"/>
      <c r="J5491" s="238"/>
    </row>
    <row r="5492">
      <c r="C5492" s="82"/>
      <c r="E5492" s="84"/>
      <c r="F5492" s="84"/>
      <c r="G5492" s="84"/>
      <c r="I5492" s="237"/>
      <c r="J5492" s="238"/>
    </row>
    <row r="5493">
      <c r="C5493" s="82"/>
      <c r="E5493" s="84"/>
      <c r="F5493" s="84"/>
      <c r="G5493" s="84"/>
      <c r="I5493" s="237"/>
      <c r="J5493" s="238"/>
    </row>
    <row r="5494">
      <c r="C5494" s="82"/>
      <c r="E5494" s="84"/>
      <c r="F5494" s="84"/>
      <c r="G5494" s="84"/>
      <c r="I5494" s="237"/>
      <c r="J5494" s="238"/>
    </row>
    <row r="5495">
      <c r="C5495" s="82"/>
      <c r="E5495" s="84"/>
      <c r="F5495" s="84"/>
      <c r="G5495" s="84"/>
      <c r="I5495" s="237"/>
      <c r="J5495" s="238"/>
    </row>
    <row r="5496">
      <c r="C5496" s="82"/>
      <c r="E5496" s="84"/>
      <c r="F5496" s="84"/>
      <c r="G5496" s="84"/>
      <c r="I5496" s="237"/>
      <c r="J5496" s="238"/>
    </row>
    <row r="5497">
      <c r="C5497" s="82"/>
      <c r="E5497" s="84"/>
      <c r="F5497" s="84"/>
      <c r="G5497" s="84"/>
      <c r="I5497" s="237"/>
      <c r="J5497" s="238"/>
    </row>
    <row r="5498">
      <c r="C5498" s="82"/>
      <c r="E5498" s="84"/>
      <c r="F5498" s="84"/>
      <c r="G5498" s="84"/>
      <c r="I5498" s="237"/>
      <c r="J5498" s="238"/>
    </row>
    <row r="5499">
      <c r="C5499" s="82"/>
      <c r="E5499" s="84"/>
      <c r="F5499" s="84"/>
      <c r="G5499" s="84"/>
      <c r="I5499" s="237"/>
      <c r="J5499" s="238"/>
    </row>
    <row r="5500">
      <c r="C5500" s="82"/>
      <c r="E5500" s="84"/>
      <c r="F5500" s="84"/>
      <c r="G5500" s="84"/>
      <c r="I5500" s="237"/>
      <c r="J5500" s="238"/>
    </row>
    <row r="5501">
      <c r="C5501" s="82"/>
      <c r="E5501" s="84"/>
      <c r="F5501" s="84"/>
      <c r="G5501" s="84"/>
      <c r="I5501" s="237"/>
      <c r="J5501" s="238"/>
    </row>
    <row r="5502">
      <c r="C5502" s="82"/>
      <c r="E5502" s="84"/>
      <c r="F5502" s="84"/>
      <c r="G5502" s="84"/>
      <c r="I5502" s="237"/>
      <c r="J5502" s="238"/>
    </row>
    <row r="5503">
      <c r="C5503" s="82"/>
      <c r="E5503" s="84"/>
      <c r="F5503" s="84"/>
      <c r="G5503" s="84"/>
      <c r="I5503" s="237"/>
      <c r="J5503" s="238"/>
    </row>
    <row r="5504">
      <c r="C5504" s="82"/>
      <c r="E5504" s="84"/>
      <c r="F5504" s="84"/>
      <c r="G5504" s="84"/>
      <c r="I5504" s="237"/>
      <c r="J5504" s="238"/>
    </row>
    <row r="5505">
      <c r="C5505" s="82"/>
      <c r="E5505" s="84"/>
      <c r="F5505" s="84"/>
      <c r="G5505" s="84"/>
      <c r="I5505" s="237"/>
      <c r="J5505" s="238"/>
    </row>
    <row r="5506">
      <c r="C5506" s="82"/>
      <c r="E5506" s="84"/>
      <c r="F5506" s="84"/>
      <c r="G5506" s="84"/>
      <c r="I5506" s="237"/>
      <c r="J5506" s="238"/>
    </row>
    <row r="5507">
      <c r="C5507" s="82"/>
      <c r="E5507" s="84"/>
      <c r="F5507" s="84"/>
      <c r="G5507" s="84"/>
      <c r="I5507" s="237"/>
      <c r="J5507" s="238"/>
    </row>
    <row r="5508">
      <c r="C5508" s="82"/>
      <c r="E5508" s="84"/>
      <c r="F5508" s="84"/>
      <c r="G5508" s="84"/>
      <c r="I5508" s="237"/>
      <c r="J5508" s="238"/>
    </row>
    <row r="5509">
      <c r="C5509" s="82"/>
      <c r="E5509" s="84"/>
      <c r="F5509" s="84"/>
      <c r="G5509" s="84"/>
      <c r="I5509" s="237"/>
      <c r="J5509" s="238"/>
    </row>
    <row r="5510">
      <c r="C5510" s="82"/>
      <c r="E5510" s="84"/>
      <c r="F5510" s="84"/>
      <c r="G5510" s="84"/>
      <c r="I5510" s="237"/>
      <c r="J5510" s="238"/>
    </row>
    <row r="5511">
      <c r="C5511" s="82"/>
      <c r="E5511" s="84"/>
      <c r="F5511" s="84"/>
      <c r="G5511" s="84"/>
      <c r="I5511" s="237"/>
      <c r="J5511" s="238"/>
    </row>
    <row r="5512">
      <c r="C5512" s="82"/>
      <c r="E5512" s="84"/>
      <c r="F5512" s="84"/>
      <c r="G5512" s="84"/>
      <c r="I5512" s="237"/>
      <c r="J5512" s="238"/>
    </row>
    <row r="5513">
      <c r="C5513" s="82"/>
      <c r="E5513" s="84"/>
      <c r="F5513" s="84"/>
      <c r="G5513" s="84"/>
      <c r="I5513" s="237"/>
      <c r="J5513" s="238"/>
    </row>
    <row r="5514">
      <c r="C5514" s="82"/>
      <c r="E5514" s="84"/>
      <c r="F5514" s="84"/>
      <c r="G5514" s="84"/>
      <c r="I5514" s="237"/>
      <c r="J5514" s="238"/>
    </row>
    <row r="5515">
      <c r="C5515" s="82"/>
      <c r="E5515" s="84"/>
      <c r="F5515" s="84"/>
      <c r="G5515" s="84"/>
      <c r="I5515" s="237"/>
      <c r="J5515" s="238"/>
    </row>
    <row r="5516">
      <c r="C5516" s="82"/>
      <c r="E5516" s="84"/>
      <c r="F5516" s="84"/>
      <c r="G5516" s="84"/>
      <c r="I5516" s="237"/>
      <c r="J5516" s="238"/>
    </row>
    <row r="5517">
      <c r="C5517" s="82"/>
      <c r="E5517" s="84"/>
      <c r="F5517" s="84"/>
      <c r="G5517" s="84"/>
      <c r="I5517" s="237"/>
      <c r="J5517" s="238"/>
    </row>
    <row r="5518">
      <c r="C5518" s="82"/>
      <c r="E5518" s="84"/>
      <c r="F5518" s="84"/>
      <c r="G5518" s="84"/>
      <c r="I5518" s="237"/>
      <c r="J5518" s="238"/>
    </row>
    <row r="5519">
      <c r="C5519" s="82"/>
      <c r="E5519" s="84"/>
      <c r="F5519" s="84"/>
      <c r="G5519" s="84"/>
      <c r="I5519" s="237"/>
      <c r="J5519" s="238"/>
    </row>
    <row r="5520">
      <c r="C5520" s="82"/>
      <c r="E5520" s="84"/>
      <c r="F5520" s="84"/>
      <c r="G5520" s="84"/>
      <c r="I5520" s="237"/>
      <c r="J5520" s="238"/>
    </row>
    <row r="5521">
      <c r="C5521" s="82"/>
      <c r="E5521" s="84"/>
      <c r="F5521" s="84"/>
      <c r="G5521" s="84"/>
      <c r="I5521" s="237"/>
      <c r="J5521" s="238"/>
    </row>
    <row r="5522">
      <c r="C5522" s="82"/>
      <c r="E5522" s="84"/>
      <c r="F5522" s="84"/>
      <c r="G5522" s="84"/>
      <c r="I5522" s="237"/>
      <c r="J5522" s="238"/>
    </row>
    <row r="5523">
      <c r="C5523" s="82"/>
      <c r="E5523" s="84"/>
      <c r="F5523" s="84"/>
      <c r="G5523" s="84"/>
      <c r="I5523" s="237"/>
      <c r="J5523" s="238"/>
    </row>
    <row r="5524">
      <c r="C5524" s="82"/>
      <c r="E5524" s="84"/>
      <c r="F5524" s="84"/>
      <c r="G5524" s="84"/>
      <c r="I5524" s="237"/>
      <c r="J5524" s="238"/>
    </row>
    <row r="5525">
      <c r="C5525" s="82"/>
      <c r="E5525" s="84"/>
      <c r="F5525" s="84"/>
      <c r="G5525" s="84"/>
      <c r="I5525" s="237"/>
      <c r="J5525" s="238"/>
    </row>
    <row r="5526">
      <c r="C5526" s="82"/>
      <c r="E5526" s="84"/>
      <c r="F5526" s="84"/>
      <c r="G5526" s="84"/>
      <c r="I5526" s="237"/>
      <c r="J5526" s="238"/>
    </row>
    <row r="5527">
      <c r="C5527" s="82"/>
      <c r="E5527" s="84"/>
      <c r="F5527" s="84"/>
      <c r="G5527" s="84"/>
      <c r="I5527" s="237"/>
      <c r="J5527" s="238"/>
    </row>
    <row r="5528">
      <c r="C5528" s="82"/>
      <c r="E5528" s="84"/>
      <c r="F5528" s="84"/>
      <c r="G5528" s="84"/>
      <c r="I5528" s="237"/>
      <c r="J5528" s="238"/>
    </row>
    <row r="5529">
      <c r="C5529" s="82"/>
      <c r="E5529" s="84"/>
      <c r="F5529" s="84"/>
      <c r="G5529" s="84"/>
      <c r="I5529" s="237"/>
      <c r="J5529" s="238"/>
    </row>
    <row r="5530">
      <c r="C5530" s="82"/>
      <c r="E5530" s="84"/>
      <c r="F5530" s="84"/>
      <c r="G5530" s="84"/>
      <c r="I5530" s="237"/>
      <c r="J5530" s="238"/>
    </row>
    <row r="5531">
      <c r="C5531" s="82"/>
      <c r="E5531" s="84"/>
      <c r="F5531" s="84"/>
      <c r="G5531" s="84"/>
      <c r="I5531" s="237"/>
      <c r="J5531" s="238"/>
    </row>
    <row r="5532">
      <c r="C5532" s="82"/>
      <c r="E5532" s="84"/>
      <c r="F5532" s="84"/>
      <c r="G5532" s="84"/>
      <c r="I5532" s="237"/>
      <c r="J5532" s="238"/>
    </row>
    <row r="5533">
      <c r="C5533" s="82"/>
      <c r="E5533" s="84"/>
      <c r="F5533" s="84"/>
      <c r="G5533" s="84"/>
      <c r="I5533" s="237"/>
      <c r="J5533" s="238"/>
    </row>
    <row r="5534">
      <c r="C5534" s="82"/>
      <c r="E5534" s="84"/>
      <c r="F5534" s="84"/>
      <c r="G5534" s="84"/>
      <c r="I5534" s="237"/>
      <c r="J5534" s="238"/>
    </row>
    <row r="5535">
      <c r="C5535" s="82"/>
      <c r="E5535" s="84"/>
      <c r="F5535" s="84"/>
      <c r="G5535" s="84"/>
      <c r="I5535" s="237"/>
      <c r="J5535" s="238"/>
    </row>
    <row r="5536">
      <c r="C5536" s="82"/>
      <c r="E5536" s="84"/>
      <c r="F5536" s="84"/>
      <c r="G5536" s="84"/>
      <c r="I5536" s="237"/>
      <c r="J5536" s="238"/>
    </row>
    <row r="5537">
      <c r="C5537" s="82"/>
      <c r="E5537" s="84"/>
      <c r="F5537" s="84"/>
      <c r="G5537" s="84"/>
      <c r="I5537" s="237"/>
      <c r="J5537" s="238"/>
    </row>
    <row r="5538">
      <c r="C5538" s="82"/>
      <c r="E5538" s="84"/>
      <c r="F5538" s="84"/>
      <c r="G5538" s="84"/>
      <c r="I5538" s="237"/>
      <c r="J5538" s="238"/>
    </row>
    <row r="5539">
      <c r="C5539" s="82"/>
      <c r="E5539" s="84"/>
      <c r="F5539" s="84"/>
      <c r="G5539" s="84"/>
      <c r="I5539" s="237"/>
      <c r="J5539" s="238"/>
    </row>
    <row r="5540">
      <c r="C5540" s="82"/>
      <c r="E5540" s="84"/>
      <c r="F5540" s="84"/>
      <c r="G5540" s="84"/>
      <c r="I5540" s="237"/>
      <c r="J5540" s="238"/>
    </row>
    <row r="5541">
      <c r="C5541" s="82"/>
      <c r="E5541" s="84"/>
      <c r="F5541" s="84"/>
      <c r="G5541" s="84"/>
      <c r="I5541" s="237"/>
      <c r="J5541" s="238"/>
    </row>
    <row r="5542">
      <c r="C5542" s="82"/>
      <c r="E5542" s="84"/>
      <c r="F5542" s="84"/>
      <c r="G5542" s="84"/>
      <c r="I5542" s="237"/>
      <c r="J5542" s="238"/>
    </row>
    <row r="5543">
      <c r="C5543" s="82"/>
      <c r="E5543" s="84"/>
      <c r="F5543" s="84"/>
      <c r="G5543" s="84"/>
      <c r="I5543" s="237"/>
      <c r="J5543" s="238"/>
    </row>
    <row r="5544">
      <c r="C5544" s="82"/>
      <c r="E5544" s="84"/>
      <c r="F5544" s="84"/>
      <c r="G5544" s="84"/>
      <c r="I5544" s="237"/>
      <c r="J5544" s="238"/>
    </row>
    <row r="5545">
      <c r="C5545" s="82"/>
      <c r="E5545" s="84"/>
      <c r="F5545" s="84"/>
      <c r="G5545" s="84"/>
      <c r="I5545" s="237"/>
      <c r="J5545" s="238"/>
    </row>
    <row r="5546">
      <c r="C5546" s="82"/>
      <c r="E5546" s="84"/>
      <c r="F5546" s="84"/>
      <c r="G5546" s="84"/>
      <c r="I5546" s="237"/>
      <c r="J5546" s="238"/>
    </row>
    <row r="5547">
      <c r="C5547" s="82"/>
      <c r="E5547" s="84"/>
      <c r="F5547" s="84"/>
      <c r="G5547" s="84"/>
      <c r="I5547" s="237"/>
      <c r="J5547" s="238"/>
    </row>
    <row r="5548">
      <c r="C5548" s="82"/>
      <c r="E5548" s="84"/>
      <c r="F5548" s="84"/>
      <c r="G5548" s="84"/>
      <c r="I5548" s="237"/>
      <c r="J5548" s="238"/>
    </row>
    <row r="5549">
      <c r="C5549" s="82"/>
      <c r="E5549" s="84"/>
      <c r="F5549" s="84"/>
      <c r="G5549" s="84"/>
      <c r="I5549" s="237"/>
      <c r="J5549" s="238"/>
    </row>
    <row r="5550">
      <c r="C5550" s="82"/>
      <c r="E5550" s="84"/>
      <c r="F5550" s="84"/>
      <c r="G5550" s="84"/>
      <c r="I5550" s="237"/>
      <c r="J5550" s="238"/>
    </row>
    <row r="5551">
      <c r="C5551" s="82"/>
      <c r="E5551" s="84"/>
      <c r="F5551" s="84"/>
      <c r="G5551" s="84"/>
      <c r="I5551" s="237"/>
      <c r="J5551" s="238"/>
    </row>
    <row r="5552">
      <c r="C5552" s="82"/>
      <c r="E5552" s="84"/>
      <c r="F5552" s="84"/>
      <c r="G5552" s="84"/>
      <c r="I5552" s="237"/>
      <c r="J5552" s="238"/>
    </row>
    <row r="5553">
      <c r="C5553" s="82"/>
      <c r="E5553" s="84"/>
      <c r="F5553" s="84"/>
      <c r="G5553" s="84"/>
      <c r="I5553" s="237"/>
      <c r="J5553" s="238"/>
    </row>
    <row r="5554">
      <c r="C5554" s="82"/>
      <c r="E5554" s="84"/>
      <c r="F5554" s="84"/>
      <c r="G5554" s="84"/>
      <c r="I5554" s="237"/>
      <c r="J5554" s="238"/>
    </row>
    <row r="5555">
      <c r="C5555" s="82"/>
      <c r="E5555" s="84"/>
      <c r="F5555" s="84"/>
      <c r="G5555" s="84"/>
      <c r="I5555" s="237"/>
      <c r="J5555" s="238"/>
    </row>
    <row r="5556">
      <c r="C5556" s="82"/>
      <c r="E5556" s="84"/>
      <c r="F5556" s="84"/>
      <c r="G5556" s="84"/>
      <c r="I5556" s="237"/>
      <c r="J5556" s="238"/>
    </row>
    <row r="5557">
      <c r="C5557" s="82"/>
      <c r="E5557" s="84"/>
      <c r="F5557" s="84"/>
      <c r="G5557" s="84"/>
      <c r="I5557" s="237"/>
      <c r="J5557" s="238"/>
    </row>
    <row r="5558">
      <c r="C5558" s="82"/>
      <c r="E5558" s="84"/>
      <c r="F5558" s="84"/>
      <c r="G5558" s="84"/>
      <c r="I5558" s="237"/>
      <c r="J5558" s="238"/>
    </row>
    <row r="5559">
      <c r="C5559" s="82"/>
      <c r="E5559" s="84"/>
      <c r="F5559" s="84"/>
      <c r="G5559" s="84"/>
      <c r="I5559" s="237"/>
      <c r="J5559" s="238"/>
    </row>
    <row r="5560">
      <c r="C5560" s="82"/>
      <c r="E5560" s="84"/>
      <c r="F5560" s="84"/>
      <c r="G5560" s="84"/>
      <c r="I5560" s="237"/>
      <c r="J5560" s="238"/>
    </row>
    <row r="5561">
      <c r="C5561" s="82"/>
      <c r="E5561" s="84"/>
      <c r="F5561" s="84"/>
      <c r="G5561" s="84"/>
      <c r="I5561" s="237"/>
      <c r="J5561" s="238"/>
    </row>
    <row r="5562">
      <c r="C5562" s="82"/>
      <c r="E5562" s="84"/>
      <c r="F5562" s="84"/>
      <c r="G5562" s="84"/>
      <c r="I5562" s="237"/>
      <c r="J5562" s="238"/>
    </row>
    <row r="5563">
      <c r="C5563" s="82"/>
      <c r="E5563" s="84"/>
      <c r="F5563" s="84"/>
      <c r="G5563" s="84"/>
      <c r="I5563" s="237"/>
      <c r="J5563" s="238"/>
    </row>
    <row r="5564">
      <c r="C5564" s="82"/>
      <c r="E5564" s="84"/>
      <c r="F5564" s="84"/>
      <c r="G5564" s="84"/>
      <c r="I5564" s="237"/>
      <c r="J5564" s="238"/>
    </row>
    <row r="5565">
      <c r="C5565" s="82"/>
      <c r="E5565" s="84"/>
      <c r="F5565" s="84"/>
      <c r="G5565" s="84"/>
      <c r="I5565" s="237"/>
      <c r="J5565" s="238"/>
    </row>
    <row r="5566">
      <c r="C5566" s="82"/>
      <c r="E5566" s="84"/>
      <c r="F5566" s="84"/>
      <c r="G5566" s="84"/>
      <c r="I5566" s="237"/>
      <c r="J5566" s="238"/>
    </row>
    <row r="5567">
      <c r="C5567" s="82"/>
      <c r="E5567" s="84"/>
      <c r="F5567" s="84"/>
      <c r="G5567" s="84"/>
      <c r="I5567" s="237"/>
      <c r="J5567" s="238"/>
    </row>
    <row r="5568">
      <c r="C5568" s="82"/>
      <c r="E5568" s="84"/>
      <c r="F5568" s="84"/>
      <c r="G5568" s="84"/>
      <c r="I5568" s="237"/>
      <c r="J5568" s="238"/>
    </row>
    <row r="5569">
      <c r="C5569" s="82"/>
      <c r="E5569" s="84"/>
      <c r="F5569" s="84"/>
      <c r="G5569" s="84"/>
      <c r="I5569" s="237"/>
      <c r="J5569" s="238"/>
    </row>
    <row r="5570">
      <c r="C5570" s="82"/>
      <c r="E5570" s="84"/>
      <c r="F5570" s="84"/>
      <c r="G5570" s="84"/>
      <c r="I5570" s="237"/>
      <c r="J5570" s="238"/>
    </row>
    <row r="5571">
      <c r="C5571" s="82"/>
      <c r="E5571" s="84"/>
      <c r="F5571" s="84"/>
      <c r="G5571" s="84"/>
      <c r="I5571" s="237"/>
      <c r="J5571" s="238"/>
    </row>
    <row r="5572">
      <c r="C5572" s="82"/>
      <c r="E5572" s="84"/>
      <c r="F5572" s="84"/>
      <c r="G5572" s="84"/>
      <c r="I5572" s="237"/>
      <c r="J5572" s="238"/>
    </row>
    <row r="5573">
      <c r="C5573" s="82"/>
      <c r="E5573" s="84"/>
      <c r="F5573" s="84"/>
      <c r="G5573" s="84"/>
      <c r="I5573" s="237"/>
      <c r="J5573" s="238"/>
    </row>
    <row r="5574">
      <c r="C5574" s="82"/>
      <c r="E5574" s="84"/>
      <c r="F5574" s="84"/>
      <c r="G5574" s="84"/>
      <c r="I5574" s="237"/>
      <c r="J5574" s="238"/>
    </row>
    <row r="5575">
      <c r="C5575" s="82"/>
      <c r="E5575" s="84"/>
      <c r="F5575" s="84"/>
      <c r="G5575" s="84"/>
      <c r="I5575" s="237"/>
      <c r="J5575" s="238"/>
    </row>
    <row r="5576">
      <c r="C5576" s="82"/>
      <c r="E5576" s="84"/>
      <c r="F5576" s="84"/>
      <c r="G5576" s="84"/>
      <c r="I5576" s="237"/>
      <c r="J5576" s="238"/>
    </row>
    <row r="5577">
      <c r="C5577" s="82"/>
      <c r="E5577" s="84"/>
      <c r="F5577" s="84"/>
      <c r="G5577" s="84"/>
      <c r="I5577" s="237"/>
      <c r="J5577" s="238"/>
    </row>
    <row r="5578">
      <c r="C5578" s="82"/>
      <c r="E5578" s="84"/>
      <c r="F5578" s="84"/>
      <c r="G5578" s="84"/>
      <c r="I5578" s="237"/>
      <c r="J5578" s="238"/>
    </row>
    <row r="5579">
      <c r="C5579" s="82"/>
      <c r="E5579" s="84"/>
      <c r="F5579" s="84"/>
      <c r="G5579" s="84"/>
      <c r="I5579" s="237"/>
      <c r="J5579" s="238"/>
    </row>
    <row r="5580">
      <c r="C5580" s="82"/>
      <c r="E5580" s="84"/>
      <c r="F5580" s="84"/>
      <c r="G5580" s="84"/>
      <c r="I5580" s="237"/>
      <c r="J5580" s="238"/>
    </row>
    <row r="5581">
      <c r="C5581" s="82"/>
      <c r="E5581" s="84"/>
      <c r="F5581" s="84"/>
      <c r="G5581" s="84"/>
      <c r="I5581" s="237"/>
      <c r="J5581" s="238"/>
    </row>
    <row r="5582">
      <c r="C5582" s="82"/>
      <c r="E5582" s="84"/>
      <c r="F5582" s="84"/>
      <c r="G5582" s="84"/>
      <c r="I5582" s="237"/>
      <c r="J5582" s="238"/>
    </row>
    <row r="5583">
      <c r="C5583" s="82"/>
      <c r="E5583" s="84"/>
      <c r="F5583" s="84"/>
      <c r="G5583" s="84"/>
      <c r="I5583" s="237"/>
      <c r="J5583" s="238"/>
    </row>
    <row r="5584">
      <c r="C5584" s="82"/>
      <c r="E5584" s="84"/>
      <c r="F5584" s="84"/>
      <c r="G5584" s="84"/>
      <c r="I5584" s="237"/>
      <c r="J5584" s="238"/>
    </row>
    <row r="5585">
      <c r="C5585" s="82"/>
      <c r="E5585" s="84"/>
      <c r="F5585" s="84"/>
      <c r="G5585" s="84"/>
      <c r="I5585" s="237"/>
      <c r="J5585" s="238"/>
    </row>
    <row r="5586">
      <c r="C5586" s="82"/>
      <c r="E5586" s="84"/>
      <c r="F5586" s="84"/>
      <c r="G5586" s="84"/>
      <c r="I5586" s="237"/>
      <c r="J5586" s="238"/>
    </row>
    <row r="5587">
      <c r="C5587" s="82"/>
      <c r="E5587" s="84"/>
      <c r="F5587" s="84"/>
      <c r="G5587" s="84"/>
      <c r="I5587" s="237"/>
      <c r="J5587" s="238"/>
    </row>
    <row r="5588">
      <c r="C5588" s="82"/>
      <c r="E5588" s="84"/>
      <c r="F5588" s="84"/>
      <c r="G5588" s="84"/>
      <c r="I5588" s="237"/>
      <c r="J5588" s="238"/>
    </row>
    <row r="5589">
      <c r="C5589" s="82"/>
      <c r="E5589" s="84"/>
      <c r="F5589" s="84"/>
      <c r="G5589" s="84"/>
      <c r="I5589" s="237"/>
      <c r="J5589" s="238"/>
    </row>
    <row r="5590">
      <c r="C5590" s="82"/>
      <c r="E5590" s="84"/>
      <c r="F5590" s="84"/>
      <c r="G5590" s="84"/>
      <c r="I5590" s="237"/>
      <c r="J5590" s="238"/>
    </row>
    <row r="5591">
      <c r="C5591" s="82"/>
      <c r="E5591" s="84"/>
      <c r="F5591" s="84"/>
      <c r="G5591" s="84"/>
      <c r="I5591" s="237"/>
      <c r="J5591" s="238"/>
    </row>
    <row r="5592">
      <c r="C5592" s="82"/>
      <c r="E5592" s="84"/>
      <c r="F5592" s="84"/>
      <c r="G5592" s="84"/>
      <c r="I5592" s="237"/>
      <c r="J5592" s="238"/>
    </row>
    <row r="5593">
      <c r="C5593" s="82"/>
      <c r="E5593" s="84"/>
      <c r="F5593" s="84"/>
      <c r="G5593" s="84"/>
      <c r="I5593" s="237"/>
      <c r="J5593" s="238"/>
    </row>
    <row r="5594">
      <c r="C5594" s="82"/>
      <c r="E5594" s="84"/>
      <c r="F5594" s="84"/>
      <c r="G5594" s="84"/>
      <c r="I5594" s="237"/>
      <c r="J5594" s="238"/>
    </row>
    <row r="5595">
      <c r="C5595" s="82"/>
      <c r="E5595" s="84"/>
      <c r="F5595" s="84"/>
      <c r="G5595" s="84"/>
      <c r="I5595" s="237"/>
      <c r="J5595" s="238"/>
    </row>
    <row r="5596">
      <c r="C5596" s="82"/>
      <c r="E5596" s="84"/>
      <c r="F5596" s="84"/>
      <c r="G5596" s="84"/>
      <c r="I5596" s="237"/>
      <c r="J5596" s="238"/>
    </row>
    <row r="5597">
      <c r="C5597" s="82"/>
      <c r="E5597" s="84"/>
      <c r="F5597" s="84"/>
      <c r="G5597" s="84"/>
      <c r="I5597" s="237"/>
      <c r="J5597" s="238"/>
    </row>
    <row r="5598">
      <c r="C5598" s="82"/>
      <c r="E5598" s="84"/>
      <c r="F5598" s="84"/>
      <c r="G5598" s="84"/>
      <c r="I5598" s="237"/>
      <c r="J5598" s="238"/>
    </row>
    <row r="5599">
      <c r="C5599" s="82"/>
      <c r="E5599" s="84"/>
      <c r="F5599" s="84"/>
      <c r="G5599" s="84"/>
      <c r="I5599" s="237"/>
      <c r="J5599" s="238"/>
    </row>
    <row r="5600">
      <c r="C5600" s="82"/>
      <c r="E5600" s="84"/>
      <c r="F5600" s="84"/>
      <c r="G5600" s="84"/>
      <c r="I5600" s="237"/>
      <c r="J5600" s="238"/>
    </row>
    <row r="5601">
      <c r="C5601" s="82"/>
      <c r="E5601" s="84"/>
      <c r="F5601" s="84"/>
      <c r="G5601" s="84"/>
      <c r="I5601" s="237"/>
      <c r="J5601" s="238"/>
    </row>
    <row r="5602">
      <c r="C5602" s="82"/>
      <c r="E5602" s="84"/>
      <c r="F5602" s="84"/>
      <c r="G5602" s="84"/>
      <c r="I5602" s="237"/>
      <c r="J5602" s="238"/>
    </row>
    <row r="5603">
      <c r="C5603" s="82"/>
      <c r="E5603" s="84"/>
      <c r="F5603" s="84"/>
      <c r="G5603" s="84"/>
      <c r="I5603" s="237"/>
      <c r="J5603" s="238"/>
    </row>
    <row r="5604">
      <c r="C5604" s="82"/>
      <c r="E5604" s="84"/>
      <c r="F5604" s="84"/>
      <c r="G5604" s="84"/>
      <c r="I5604" s="237"/>
      <c r="J5604" s="238"/>
    </row>
    <row r="5605">
      <c r="C5605" s="82"/>
      <c r="E5605" s="84"/>
      <c r="F5605" s="84"/>
      <c r="G5605" s="84"/>
      <c r="I5605" s="237"/>
      <c r="J5605" s="238"/>
    </row>
    <row r="5606">
      <c r="C5606" s="82"/>
      <c r="E5606" s="84"/>
      <c r="F5606" s="84"/>
      <c r="G5606" s="84"/>
      <c r="I5606" s="237"/>
      <c r="J5606" s="238"/>
    </row>
    <row r="5607">
      <c r="C5607" s="82"/>
      <c r="E5607" s="84"/>
      <c r="F5607" s="84"/>
      <c r="G5607" s="84"/>
      <c r="I5607" s="237"/>
      <c r="J5607" s="238"/>
    </row>
    <row r="5608">
      <c r="C5608" s="82"/>
      <c r="E5608" s="84"/>
      <c r="F5608" s="84"/>
      <c r="G5608" s="84"/>
      <c r="I5608" s="237"/>
      <c r="J5608" s="238"/>
    </row>
    <row r="5609">
      <c r="C5609" s="82"/>
      <c r="E5609" s="84"/>
      <c r="F5609" s="84"/>
      <c r="G5609" s="84"/>
      <c r="I5609" s="237"/>
      <c r="J5609" s="238"/>
    </row>
    <row r="5610">
      <c r="C5610" s="82"/>
      <c r="E5610" s="84"/>
      <c r="F5610" s="84"/>
      <c r="G5610" s="84"/>
      <c r="I5610" s="237"/>
      <c r="J5610" s="238"/>
    </row>
    <row r="5611">
      <c r="C5611" s="82"/>
      <c r="E5611" s="84"/>
      <c r="F5611" s="84"/>
      <c r="G5611" s="84"/>
      <c r="I5611" s="237"/>
      <c r="J5611" s="238"/>
    </row>
    <row r="5612">
      <c r="C5612" s="82"/>
      <c r="E5612" s="84"/>
      <c r="F5612" s="84"/>
      <c r="G5612" s="84"/>
      <c r="I5612" s="237"/>
      <c r="J5612" s="238"/>
    </row>
    <row r="5613">
      <c r="C5613" s="82"/>
      <c r="E5613" s="84"/>
      <c r="F5613" s="84"/>
      <c r="G5613" s="84"/>
      <c r="I5613" s="237"/>
      <c r="J5613" s="238"/>
    </row>
    <row r="5614">
      <c r="C5614" s="82"/>
      <c r="E5614" s="84"/>
      <c r="F5614" s="84"/>
      <c r="G5614" s="84"/>
      <c r="I5614" s="237"/>
      <c r="J5614" s="238"/>
    </row>
    <row r="5615">
      <c r="C5615" s="82"/>
      <c r="E5615" s="84"/>
      <c r="F5615" s="84"/>
      <c r="G5615" s="84"/>
      <c r="I5615" s="237"/>
      <c r="J5615" s="238"/>
    </row>
    <row r="5616">
      <c r="C5616" s="82"/>
      <c r="E5616" s="84"/>
      <c r="F5616" s="84"/>
      <c r="G5616" s="84"/>
      <c r="I5616" s="237"/>
      <c r="J5616" s="238"/>
    </row>
    <row r="5617">
      <c r="C5617" s="82"/>
      <c r="E5617" s="84"/>
      <c r="F5617" s="84"/>
      <c r="G5617" s="84"/>
      <c r="I5617" s="237"/>
      <c r="J5617" s="238"/>
    </row>
    <row r="5618">
      <c r="C5618" s="82"/>
      <c r="E5618" s="84"/>
      <c r="F5618" s="84"/>
      <c r="G5618" s="84"/>
      <c r="I5618" s="237"/>
      <c r="J5618" s="238"/>
    </row>
    <row r="5619">
      <c r="C5619" s="82"/>
      <c r="E5619" s="84"/>
      <c r="F5619" s="84"/>
      <c r="G5619" s="84"/>
      <c r="I5619" s="237"/>
      <c r="J5619" s="238"/>
    </row>
    <row r="5620">
      <c r="C5620" s="82"/>
      <c r="E5620" s="84"/>
      <c r="F5620" s="84"/>
      <c r="G5620" s="84"/>
      <c r="I5620" s="237"/>
      <c r="J5620" s="238"/>
    </row>
    <row r="5621">
      <c r="C5621" s="82"/>
      <c r="E5621" s="84"/>
      <c r="F5621" s="84"/>
      <c r="G5621" s="84"/>
      <c r="I5621" s="237"/>
      <c r="J5621" s="238"/>
    </row>
    <row r="5622">
      <c r="C5622" s="82"/>
      <c r="E5622" s="84"/>
      <c r="F5622" s="84"/>
      <c r="G5622" s="84"/>
      <c r="I5622" s="237"/>
      <c r="J5622" s="238"/>
    </row>
    <row r="5623">
      <c r="C5623" s="82"/>
      <c r="E5623" s="84"/>
      <c r="F5623" s="84"/>
      <c r="G5623" s="84"/>
      <c r="I5623" s="237"/>
      <c r="J5623" s="238"/>
    </row>
    <row r="5624">
      <c r="C5624" s="82"/>
      <c r="E5624" s="84"/>
      <c r="F5624" s="84"/>
      <c r="G5624" s="84"/>
      <c r="I5624" s="237"/>
      <c r="J5624" s="238"/>
    </row>
    <row r="5625">
      <c r="C5625" s="82"/>
      <c r="E5625" s="84"/>
      <c r="F5625" s="84"/>
      <c r="G5625" s="84"/>
      <c r="I5625" s="237"/>
      <c r="J5625" s="238"/>
    </row>
    <row r="5626">
      <c r="C5626" s="82"/>
      <c r="E5626" s="84"/>
      <c r="F5626" s="84"/>
      <c r="G5626" s="84"/>
      <c r="I5626" s="237"/>
      <c r="J5626" s="238"/>
    </row>
    <row r="5627">
      <c r="C5627" s="82"/>
      <c r="E5627" s="84"/>
      <c r="F5627" s="84"/>
      <c r="G5627" s="84"/>
      <c r="I5627" s="237"/>
      <c r="J5627" s="238"/>
    </row>
    <row r="5628">
      <c r="C5628" s="82"/>
      <c r="E5628" s="84"/>
      <c r="F5628" s="84"/>
      <c r="G5628" s="84"/>
      <c r="I5628" s="237"/>
      <c r="J5628" s="238"/>
    </row>
    <row r="5629">
      <c r="C5629" s="82"/>
      <c r="E5629" s="84"/>
      <c r="F5629" s="84"/>
      <c r="G5629" s="84"/>
      <c r="I5629" s="237"/>
      <c r="J5629" s="238"/>
    </row>
    <row r="5630">
      <c r="C5630" s="82"/>
      <c r="E5630" s="84"/>
      <c r="F5630" s="84"/>
      <c r="G5630" s="84"/>
      <c r="I5630" s="237"/>
      <c r="J5630" s="238"/>
    </row>
    <row r="5631">
      <c r="C5631" s="82"/>
      <c r="E5631" s="84"/>
      <c r="F5631" s="84"/>
      <c r="G5631" s="84"/>
      <c r="I5631" s="237"/>
      <c r="J5631" s="238"/>
    </row>
    <row r="5632">
      <c r="C5632" s="82"/>
      <c r="E5632" s="84"/>
      <c r="F5632" s="84"/>
      <c r="G5632" s="84"/>
      <c r="I5632" s="237"/>
      <c r="J5632" s="238"/>
    </row>
    <row r="5633">
      <c r="C5633" s="82"/>
      <c r="E5633" s="84"/>
      <c r="F5633" s="84"/>
      <c r="G5633" s="84"/>
      <c r="I5633" s="237"/>
      <c r="J5633" s="238"/>
    </row>
    <row r="5634">
      <c r="C5634" s="82"/>
      <c r="E5634" s="84"/>
      <c r="F5634" s="84"/>
      <c r="G5634" s="84"/>
      <c r="I5634" s="237"/>
      <c r="J5634" s="238"/>
    </row>
    <row r="5635">
      <c r="C5635" s="82"/>
      <c r="E5635" s="84"/>
      <c r="F5635" s="84"/>
      <c r="G5635" s="84"/>
      <c r="I5635" s="237"/>
      <c r="J5635" s="238"/>
    </row>
    <row r="5636">
      <c r="C5636" s="82"/>
      <c r="E5636" s="84"/>
      <c r="F5636" s="84"/>
      <c r="G5636" s="84"/>
      <c r="I5636" s="237"/>
      <c r="J5636" s="238"/>
    </row>
    <row r="5637">
      <c r="C5637" s="82"/>
      <c r="E5637" s="84"/>
      <c r="F5637" s="84"/>
      <c r="G5637" s="84"/>
      <c r="I5637" s="237"/>
      <c r="J5637" s="238"/>
    </row>
    <row r="5638">
      <c r="C5638" s="82"/>
      <c r="E5638" s="84"/>
      <c r="F5638" s="84"/>
      <c r="G5638" s="84"/>
      <c r="I5638" s="237"/>
      <c r="J5638" s="238"/>
    </row>
    <row r="5639">
      <c r="C5639" s="82"/>
      <c r="E5639" s="84"/>
      <c r="F5639" s="84"/>
      <c r="G5639" s="84"/>
      <c r="I5639" s="237"/>
      <c r="J5639" s="238"/>
    </row>
    <row r="5640">
      <c r="C5640" s="82"/>
      <c r="E5640" s="84"/>
      <c r="F5640" s="84"/>
      <c r="G5640" s="84"/>
      <c r="I5640" s="237"/>
      <c r="J5640" s="238"/>
    </row>
    <row r="5641">
      <c r="C5641" s="82"/>
      <c r="E5641" s="84"/>
      <c r="F5641" s="84"/>
      <c r="G5641" s="84"/>
      <c r="I5641" s="237"/>
      <c r="J5641" s="238"/>
    </row>
    <row r="5642">
      <c r="C5642" s="82"/>
      <c r="E5642" s="84"/>
      <c r="F5642" s="84"/>
      <c r="G5642" s="84"/>
      <c r="I5642" s="237"/>
      <c r="J5642" s="238"/>
    </row>
    <row r="5643">
      <c r="C5643" s="82"/>
      <c r="E5643" s="84"/>
      <c r="F5643" s="84"/>
      <c r="G5643" s="84"/>
      <c r="I5643" s="237"/>
      <c r="J5643" s="238"/>
    </row>
    <row r="5644">
      <c r="C5644" s="82"/>
      <c r="E5644" s="84"/>
      <c r="F5644" s="84"/>
      <c r="G5644" s="84"/>
      <c r="I5644" s="237"/>
      <c r="J5644" s="238"/>
    </row>
    <row r="5645">
      <c r="C5645" s="82"/>
      <c r="E5645" s="84"/>
      <c r="F5645" s="84"/>
      <c r="G5645" s="84"/>
      <c r="I5645" s="237"/>
      <c r="J5645" s="238"/>
    </row>
    <row r="5646">
      <c r="C5646" s="82"/>
      <c r="E5646" s="84"/>
      <c r="F5646" s="84"/>
      <c r="G5646" s="84"/>
      <c r="I5646" s="237"/>
      <c r="J5646" s="238"/>
    </row>
    <row r="5647">
      <c r="C5647" s="82"/>
      <c r="E5647" s="84"/>
      <c r="F5647" s="84"/>
      <c r="G5647" s="84"/>
      <c r="I5647" s="237"/>
      <c r="J5647" s="238"/>
    </row>
    <row r="5648">
      <c r="C5648" s="82"/>
      <c r="E5648" s="84"/>
      <c r="F5648" s="84"/>
      <c r="G5648" s="84"/>
      <c r="I5648" s="237"/>
      <c r="J5648" s="238"/>
    </row>
    <row r="5649">
      <c r="C5649" s="82"/>
      <c r="E5649" s="84"/>
      <c r="F5649" s="84"/>
      <c r="G5649" s="84"/>
      <c r="I5649" s="237"/>
      <c r="J5649" s="238"/>
    </row>
    <row r="5650">
      <c r="C5650" s="82"/>
      <c r="E5650" s="84"/>
      <c r="F5650" s="84"/>
      <c r="G5650" s="84"/>
      <c r="I5650" s="237"/>
      <c r="J5650" s="238"/>
    </row>
    <row r="5651">
      <c r="C5651" s="82"/>
      <c r="E5651" s="84"/>
      <c r="F5651" s="84"/>
      <c r="G5651" s="84"/>
      <c r="I5651" s="237"/>
      <c r="J5651" s="238"/>
    </row>
    <row r="5652">
      <c r="C5652" s="82"/>
      <c r="E5652" s="84"/>
      <c r="F5652" s="84"/>
      <c r="G5652" s="84"/>
      <c r="I5652" s="237"/>
      <c r="J5652" s="238"/>
    </row>
    <row r="5653">
      <c r="C5653" s="82"/>
      <c r="E5653" s="84"/>
      <c r="F5653" s="84"/>
      <c r="G5653" s="84"/>
      <c r="I5653" s="237"/>
      <c r="J5653" s="238"/>
    </row>
    <row r="5654">
      <c r="C5654" s="82"/>
      <c r="E5654" s="84"/>
      <c r="F5654" s="84"/>
      <c r="G5654" s="84"/>
      <c r="I5654" s="237"/>
      <c r="J5654" s="238"/>
    </row>
    <row r="5655">
      <c r="C5655" s="82"/>
      <c r="E5655" s="84"/>
      <c r="F5655" s="84"/>
      <c r="G5655" s="84"/>
      <c r="I5655" s="237"/>
      <c r="J5655" s="238"/>
    </row>
    <row r="5656">
      <c r="C5656" s="82"/>
      <c r="E5656" s="84"/>
      <c r="F5656" s="84"/>
      <c r="G5656" s="84"/>
      <c r="I5656" s="237"/>
      <c r="J5656" s="238"/>
    </row>
    <row r="5657">
      <c r="C5657" s="82"/>
      <c r="E5657" s="84"/>
      <c r="F5657" s="84"/>
      <c r="G5657" s="84"/>
      <c r="I5657" s="237"/>
      <c r="J5657" s="238"/>
    </row>
    <row r="5658">
      <c r="C5658" s="82"/>
      <c r="E5658" s="84"/>
      <c r="F5658" s="84"/>
      <c r="G5658" s="84"/>
      <c r="I5658" s="237"/>
      <c r="J5658" s="238"/>
    </row>
    <row r="5659">
      <c r="C5659" s="82"/>
      <c r="E5659" s="84"/>
      <c r="F5659" s="84"/>
      <c r="G5659" s="84"/>
      <c r="I5659" s="237"/>
      <c r="J5659" s="238"/>
    </row>
    <row r="5660">
      <c r="C5660" s="82"/>
      <c r="E5660" s="84"/>
      <c r="F5660" s="84"/>
      <c r="G5660" s="84"/>
      <c r="I5660" s="237"/>
      <c r="J5660" s="238"/>
    </row>
    <row r="5661">
      <c r="C5661" s="82"/>
      <c r="E5661" s="84"/>
      <c r="F5661" s="84"/>
      <c r="G5661" s="84"/>
      <c r="I5661" s="237"/>
      <c r="J5661" s="238"/>
    </row>
    <row r="5662">
      <c r="C5662" s="82"/>
      <c r="E5662" s="84"/>
      <c r="F5662" s="84"/>
      <c r="G5662" s="84"/>
      <c r="I5662" s="237"/>
      <c r="J5662" s="238"/>
    </row>
    <row r="5663">
      <c r="C5663" s="82"/>
      <c r="E5663" s="84"/>
      <c r="F5663" s="84"/>
      <c r="G5663" s="84"/>
      <c r="I5663" s="237"/>
      <c r="J5663" s="238"/>
    </row>
    <row r="5664">
      <c r="C5664" s="82"/>
      <c r="E5664" s="84"/>
      <c r="F5664" s="84"/>
      <c r="G5664" s="84"/>
      <c r="I5664" s="237"/>
      <c r="J5664" s="238"/>
    </row>
    <row r="5665">
      <c r="C5665" s="82"/>
      <c r="E5665" s="84"/>
      <c r="F5665" s="84"/>
      <c r="G5665" s="84"/>
      <c r="I5665" s="237"/>
      <c r="J5665" s="238"/>
    </row>
    <row r="5666">
      <c r="C5666" s="82"/>
      <c r="E5666" s="84"/>
      <c r="F5666" s="84"/>
      <c r="G5666" s="84"/>
      <c r="I5666" s="237"/>
      <c r="J5666" s="238"/>
    </row>
    <row r="5667">
      <c r="C5667" s="82"/>
      <c r="E5667" s="84"/>
      <c r="F5667" s="84"/>
      <c r="G5667" s="84"/>
      <c r="I5667" s="237"/>
      <c r="J5667" s="238"/>
    </row>
    <row r="5668">
      <c r="C5668" s="82"/>
      <c r="E5668" s="84"/>
      <c r="F5668" s="84"/>
      <c r="G5668" s="84"/>
      <c r="I5668" s="237"/>
      <c r="J5668" s="238"/>
    </row>
    <row r="5669">
      <c r="C5669" s="82"/>
      <c r="E5669" s="84"/>
      <c r="F5669" s="84"/>
      <c r="G5669" s="84"/>
      <c r="I5669" s="237"/>
      <c r="J5669" s="238"/>
    </row>
    <row r="5670">
      <c r="C5670" s="82"/>
      <c r="E5670" s="84"/>
      <c r="F5670" s="84"/>
      <c r="G5670" s="84"/>
      <c r="I5670" s="237"/>
      <c r="J5670" s="238"/>
    </row>
    <row r="5671">
      <c r="C5671" s="82"/>
      <c r="E5671" s="84"/>
      <c r="F5671" s="84"/>
      <c r="G5671" s="84"/>
      <c r="I5671" s="237"/>
      <c r="J5671" s="238"/>
    </row>
    <row r="5672">
      <c r="C5672" s="82"/>
      <c r="E5672" s="84"/>
      <c r="F5672" s="84"/>
      <c r="G5672" s="84"/>
      <c r="I5672" s="237"/>
      <c r="J5672" s="238"/>
    </row>
    <row r="5673">
      <c r="C5673" s="82"/>
      <c r="E5673" s="84"/>
      <c r="F5673" s="84"/>
      <c r="G5673" s="84"/>
      <c r="I5673" s="237"/>
      <c r="J5673" s="238"/>
    </row>
    <row r="5674">
      <c r="C5674" s="82"/>
      <c r="E5674" s="84"/>
      <c r="F5674" s="84"/>
      <c r="G5674" s="84"/>
      <c r="I5674" s="237"/>
      <c r="J5674" s="238"/>
    </row>
    <row r="5675">
      <c r="C5675" s="82"/>
      <c r="E5675" s="84"/>
      <c r="F5675" s="84"/>
      <c r="G5675" s="84"/>
      <c r="I5675" s="237"/>
      <c r="J5675" s="238"/>
    </row>
    <row r="5676">
      <c r="C5676" s="82"/>
      <c r="E5676" s="84"/>
      <c r="F5676" s="84"/>
      <c r="G5676" s="84"/>
      <c r="I5676" s="237"/>
      <c r="J5676" s="238"/>
    </row>
    <row r="5677">
      <c r="C5677" s="82"/>
      <c r="E5677" s="84"/>
      <c r="F5677" s="84"/>
      <c r="G5677" s="84"/>
      <c r="I5677" s="237"/>
      <c r="J5677" s="238"/>
    </row>
    <row r="5678">
      <c r="C5678" s="82"/>
      <c r="E5678" s="84"/>
      <c r="F5678" s="84"/>
      <c r="G5678" s="84"/>
      <c r="I5678" s="237"/>
      <c r="J5678" s="238"/>
    </row>
    <row r="5679">
      <c r="C5679" s="82"/>
      <c r="E5679" s="84"/>
      <c r="F5679" s="84"/>
      <c r="G5679" s="84"/>
      <c r="I5679" s="237"/>
      <c r="J5679" s="238"/>
    </row>
    <row r="5680">
      <c r="C5680" s="82"/>
      <c r="E5680" s="84"/>
      <c r="F5680" s="84"/>
      <c r="G5680" s="84"/>
      <c r="I5680" s="237"/>
      <c r="J5680" s="238"/>
    </row>
    <row r="5681">
      <c r="C5681" s="82"/>
      <c r="E5681" s="84"/>
      <c r="F5681" s="84"/>
      <c r="G5681" s="84"/>
      <c r="I5681" s="237"/>
      <c r="J5681" s="238"/>
    </row>
    <row r="5682">
      <c r="C5682" s="82"/>
      <c r="E5682" s="84"/>
      <c r="F5682" s="84"/>
      <c r="G5682" s="84"/>
      <c r="I5682" s="237"/>
      <c r="J5682" s="238"/>
    </row>
    <row r="5683">
      <c r="C5683" s="82"/>
      <c r="E5683" s="84"/>
      <c r="F5683" s="84"/>
      <c r="G5683" s="84"/>
      <c r="I5683" s="237"/>
      <c r="J5683" s="238"/>
    </row>
    <row r="5684">
      <c r="C5684" s="82"/>
      <c r="E5684" s="84"/>
      <c r="F5684" s="84"/>
      <c r="G5684" s="84"/>
      <c r="I5684" s="237"/>
      <c r="J5684" s="238"/>
    </row>
    <row r="5685">
      <c r="C5685" s="82"/>
      <c r="E5685" s="84"/>
      <c r="F5685" s="84"/>
      <c r="G5685" s="84"/>
      <c r="I5685" s="237"/>
      <c r="J5685" s="238"/>
    </row>
    <row r="5686">
      <c r="C5686" s="82"/>
      <c r="E5686" s="84"/>
      <c r="F5686" s="84"/>
      <c r="G5686" s="84"/>
      <c r="I5686" s="237"/>
      <c r="J5686" s="238"/>
    </row>
    <row r="5687">
      <c r="C5687" s="82"/>
      <c r="E5687" s="84"/>
      <c r="F5687" s="84"/>
      <c r="G5687" s="84"/>
      <c r="I5687" s="237"/>
      <c r="J5687" s="238"/>
    </row>
    <row r="5688">
      <c r="C5688" s="82"/>
      <c r="E5688" s="84"/>
      <c r="F5688" s="84"/>
      <c r="G5688" s="84"/>
      <c r="I5688" s="237"/>
      <c r="J5688" s="238"/>
    </row>
    <row r="5689">
      <c r="C5689" s="82"/>
      <c r="E5689" s="84"/>
      <c r="F5689" s="84"/>
      <c r="G5689" s="84"/>
      <c r="I5689" s="237"/>
      <c r="J5689" s="238"/>
    </row>
    <row r="5690">
      <c r="C5690" s="82"/>
      <c r="E5690" s="84"/>
      <c r="F5690" s="84"/>
      <c r="G5690" s="84"/>
      <c r="I5690" s="237"/>
      <c r="J5690" s="238"/>
    </row>
    <row r="5691">
      <c r="C5691" s="82"/>
      <c r="E5691" s="84"/>
      <c r="F5691" s="84"/>
      <c r="G5691" s="84"/>
      <c r="I5691" s="237"/>
      <c r="J5691" s="238"/>
    </row>
    <row r="5692">
      <c r="C5692" s="82"/>
      <c r="E5692" s="84"/>
      <c r="F5692" s="84"/>
      <c r="G5692" s="84"/>
      <c r="I5692" s="237"/>
      <c r="J5692" s="238"/>
    </row>
    <row r="5693">
      <c r="C5693" s="82"/>
      <c r="E5693" s="84"/>
      <c r="F5693" s="84"/>
      <c r="G5693" s="84"/>
      <c r="I5693" s="237"/>
      <c r="J5693" s="238"/>
    </row>
    <row r="5694">
      <c r="C5694" s="82"/>
      <c r="E5694" s="84"/>
      <c r="F5694" s="84"/>
      <c r="G5694" s="84"/>
      <c r="I5694" s="237"/>
      <c r="J5694" s="238"/>
    </row>
    <row r="5695">
      <c r="C5695" s="82"/>
      <c r="E5695" s="84"/>
      <c r="F5695" s="84"/>
      <c r="G5695" s="84"/>
      <c r="I5695" s="237"/>
      <c r="J5695" s="238"/>
    </row>
    <row r="5696">
      <c r="C5696" s="82"/>
      <c r="E5696" s="84"/>
      <c r="F5696" s="84"/>
      <c r="G5696" s="84"/>
      <c r="I5696" s="237"/>
      <c r="J5696" s="238"/>
    </row>
    <row r="5697">
      <c r="C5697" s="82"/>
      <c r="E5697" s="84"/>
      <c r="F5697" s="84"/>
      <c r="G5697" s="84"/>
      <c r="I5697" s="237"/>
      <c r="J5697" s="238"/>
    </row>
    <row r="5698">
      <c r="C5698" s="82"/>
      <c r="E5698" s="84"/>
      <c r="F5698" s="84"/>
      <c r="G5698" s="84"/>
      <c r="I5698" s="237"/>
      <c r="J5698" s="238"/>
    </row>
    <row r="5699">
      <c r="C5699" s="82"/>
      <c r="E5699" s="84"/>
      <c r="F5699" s="84"/>
      <c r="G5699" s="84"/>
      <c r="I5699" s="237"/>
      <c r="J5699" s="238"/>
    </row>
    <row r="5700">
      <c r="C5700" s="82"/>
      <c r="E5700" s="84"/>
      <c r="F5700" s="84"/>
      <c r="G5700" s="84"/>
      <c r="I5700" s="237"/>
      <c r="J5700" s="238"/>
    </row>
    <row r="5701">
      <c r="C5701" s="82"/>
      <c r="E5701" s="84"/>
      <c r="F5701" s="84"/>
      <c r="G5701" s="84"/>
      <c r="I5701" s="237"/>
      <c r="J5701" s="238"/>
    </row>
    <row r="5702">
      <c r="C5702" s="82"/>
      <c r="E5702" s="84"/>
      <c r="F5702" s="84"/>
      <c r="G5702" s="84"/>
      <c r="I5702" s="237"/>
      <c r="J5702" s="238"/>
    </row>
    <row r="5703">
      <c r="C5703" s="82"/>
      <c r="E5703" s="84"/>
      <c r="F5703" s="84"/>
      <c r="G5703" s="84"/>
      <c r="I5703" s="237"/>
      <c r="J5703" s="238"/>
    </row>
    <row r="5704">
      <c r="C5704" s="82"/>
      <c r="E5704" s="84"/>
      <c r="F5704" s="84"/>
      <c r="G5704" s="84"/>
      <c r="I5704" s="237"/>
      <c r="J5704" s="238"/>
    </row>
    <row r="5705">
      <c r="C5705" s="82"/>
      <c r="E5705" s="84"/>
      <c r="F5705" s="84"/>
      <c r="G5705" s="84"/>
      <c r="I5705" s="237"/>
      <c r="J5705" s="238"/>
    </row>
    <row r="5706">
      <c r="C5706" s="82"/>
      <c r="E5706" s="84"/>
      <c r="F5706" s="84"/>
      <c r="G5706" s="84"/>
      <c r="I5706" s="237"/>
      <c r="J5706" s="238"/>
    </row>
    <row r="5707">
      <c r="C5707" s="82"/>
      <c r="E5707" s="84"/>
      <c r="F5707" s="84"/>
      <c r="G5707" s="84"/>
      <c r="I5707" s="237"/>
      <c r="J5707" s="238"/>
    </row>
    <row r="5708">
      <c r="C5708" s="82"/>
      <c r="E5708" s="84"/>
      <c r="F5708" s="84"/>
      <c r="G5708" s="84"/>
      <c r="I5708" s="237"/>
      <c r="J5708" s="238"/>
    </row>
    <row r="5709">
      <c r="C5709" s="82"/>
      <c r="E5709" s="84"/>
      <c r="F5709" s="84"/>
      <c r="G5709" s="84"/>
      <c r="I5709" s="237"/>
      <c r="J5709" s="238"/>
    </row>
    <row r="5710">
      <c r="C5710" s="82"/>
      <c r="E5710" s="84"/>
      <c r="F5710" s="84"/>
      <c r="G5710" s="84"/>
      <c r="I5710" s="237"/>
      <c r="J5710" s="238"/>
    </row>
    <row r="5711">
      <c r="C5711" s="82"/>
      <c r="E5711" s="84"/>
      <c r="F5711" s="84"/>
      <c r="G5711" s="84"/>
      <c r="I5711" s="237"/>
      <c r="J5711" s="238"/>
    </row>
    <row r="5712">
      <c r="C5712" s="82"/>
      <c r="E5712" s="84"/>
      <c r="F5712" s="84"/>
      <c r="G5712" s="84"/>
      <c r="I5712" s="237"/>
      <c r="J5712" s="238"/>
    </row>
    <row r="5713">
      <c r="C5713" s="82"/>
      <c r="E5713" s="84"/>
      <c r="F5713" s="84"/>
      <c r="G5713" s="84"/>
      <c r="I5713" s="237"/>
      <c r="J5713" s="238"/>
    </row>
    <row r="5714">
      <c r="C5714" s="82"/>
      <c r="E5714" s="84"/>
      <c r="F5714" s="84"/>
      <c r="G5714" s="84"/>
      <c r="I5714" s="237"/>
      <c r="J5714" s="238"/>
    </row>
    <row r="5715">
      <c r="C5715" s="82"/>
      <c r="E5715" s="84"/>
      <c r="F5715" s="84"/>
      <c r="G5715" s="84"/>
      <c r="I5715" s="237"/>
      <c r="J5715" s="238"/>
    </row>
    <row r="5716">
      <c r="C5716" s="82"/>
      <c r="E5716" s="84"/>
      <c r="F5716" s="84"/>
      <c r="G5716" s="84"/>
      <c r="I5716" s="237"/>
      <c r="J5716" s="238"/>
    </row>
    <row r="5717">
      <c r="C5717" s="82"/>
      <c r="E5717" s="84"/>
      <c r="F5717" s="84"/>
      <c r="G5717" s="84"/>
      <c r="I5717" s="237"/>
      <c r="J5717" s="238"/>
    </row>
    <row r="5718">
      <c r="C5718" s="82"/>
      <c r="E5718" s="84"/>
      <c r="F5718" s="84"/>
      <c r="G5718" s="84"/>
      <c r="I5718" s="237"/>
      <c r="J5718" s="238"/>
    </row>
    <row r="5719">
      <c r="C5719" s="82"/>
      <c r="E5719" s="84"/>
      <c r="F5719" s="84"/>
      <c r="G5719" s="84"/>
      <c r="I5719" s="237"/>
      <c r="J5719" s="238"/>
    </row>
    <row r="5720">
      <c r="C5720" s="82"/>
      <c r="E5720" s="84"/>
      <c r="F5720" s="84"/>
      <c r="G5720" s="84"/>
      <c r="I5720" s="237"/>
      <c r="J5720" s="238"/>
    </row>
    <row r="5721">
      <c r="C5721" s="82"/>
      <c r="E5721" s="84"/>
      <c r="F5721" s="84"/>
      <c r="G5721" s="84"/>
      <c r="I5721" s="237"/>
      <c r="J5721" s="238"/>
    </row>
    <row r="5722">
      <c r="C5722" s="82"/>
      <c r="E5722" s="84"/>
      <c r="F5722" s="84"/>
      <c r="G5722" s="84"/>
      <c r="I5722" s="237"/>
      <c r="J5722" s="238"/>
    </row>
    <row r="5723">
      <c r="C5723" s="82"/>
      <c r="E5723" s="84"/>
      <c r="F5723" s="84"/>
      <c r="G5723" s="84"/>
      <c r="I5723" s="237"/>
      <c r="J5723" s="238"/>
    </row>
    <row r="5724">
      <c r="C5724" s="82"/>
      <c r="E5724" s="84"/>
      <c r="F5724" s="84"/>
      <c r="G5724" s="84"/>
      <c r="I5724" s="237"/>
      <c r="J5724" s="238"/>
    </row>
    <row r="5725">
      <c r="C5725" s="82"/>
      <c r="E5725" s="84"/>
      <c r="F5725" s="84"/>
      <c r="G5725" s="84"/>
      <c r="I5725" s="237"/>
      <c r="J5725" s="238"/>
    </row>
    <row r="5726">
      <c r="C5726" s="82"/>
      <c r="E5726" s="84"/>
      <c r="F5726" s="84"/>
      <c r="G5726" s="84"/>
      <c r="I5726" s="237"/>
      <c r="J5726" s="238"/>
    </row>
    <row r="5727">
      <c r="C5727" s="82"/>
      <c r="E5727" s="84"/>
      <c r="F5727" s="84"/>
      <c r="G5727" s="84"/>
      <c r="I5727" s="237"/>
      <c r="J5727" s="238"/>
    </row>
    <row r="5728">
      <c r="C5728" s="82"/>
      <c r="E5728" s="84"/>
      <c r="F5728" s="84"/>
      <c r="G5728" s="84"/>
      <c r="I5728" s="237"/>
      <c r="J5728" s="238"/>
    </row>
    <row r="5729">
      <c r="C5729" s="82"/>
      <c r="E5729" s="84"/>
      <c r="F5729" s="84"/>
      <c r="G5729" s="84"/>
      <c r="I5729" s="237"/>
      <c r="J5729" s="238"/>
    </row>
    <row r="5730">
      <c r="C5730" s="82"/>
      <c r="E5730" s="84"/>
      <c r="F5730" s="84"/>
      <c r="G5730" s="84"/>
      <c r="I5730" s="237"/>
      <c r="J5730" s="238"/>
    </row>
    <row r="5731">
      <c r="C5731" s="82"/>
      <c r="E5731" s="84"/>
      <c r="F5731" s="84"/>
      <c r="G5731" s="84"/>
      <c r="I5731" s="237"/>
      <c r="J5731" s="238"/>
    </row>
    <row r="5732">
      <c r="C5732" s="82"/>
      <c r="E5732" s="84"/>
      <c r="F5732" s="84"/>
      <c r="G5732" s="84"/>
      <c r="I5732" s="237"/>
      <c r="J5732" s="238"/>
    </row>
    <row r="5733">
      <c r="C5733" s="82"/>
      <c r="E5733" s="84"/>
      <c r="F5733" s="84"/>
      <c r="G5733" s="84"/>
      <c r="I5733" s="237"/>
      <c r="J5733" s="238"/>
    </row>
    <row r="5734">
      <c r="C5734" s="82"/>
      <c r="E5734" s="84"/>
      <c r="F5734" s="84"/>
      <c r="G5734" s="84"/>
      <c r="I5734" s="237"/>
      <c r="J5734" s="238"/>
    </row>
    <row r="5735">
      <c r="C5735" s="82"/>
      <c r="E5735" s="84"/>
      <c r="F5735" s="84"/>
      <c r="G5735" s="84"/>
      <c r="I5735" s="237"/>
      <c r="J5735" s="238"/>
    </row>
    <row r="5736">
      <c r="C5736" s="82"/>
      <c r="E5736" s="84"/>
      <c r="F5736" s="84"/>
      <c r="G5736" s="84"/>
      <c r="I5736" s="237"/>
      <c r="J5736" s="238"/>
    </row>
    <row r="5737">
      <c r="C5737" s="82"/>
      <c r="E5737" s="84"/>
      <c r="F5737" s="84"/>
      <c r="G5737" s="84"/>
      <c r="I5737" s="237"/>
      <c r="J5737" s="238"/>
    </row>
    <row r="5738">
      <c r="C5738" s="82"/>
      <c r="E5738" s="84"/>
      <c r="F5738" s="84"/>
      <c r="G5738" s="84"/>
      <c r="I5738" s="237"/>
      <c r="J5738" s="238"/>
    </row>
    <row r="5739">
      <c r="C5739" s="82"/>
      <c r="E5739" s="84"/>
      <c r="F5739" s="84"/>
      <c r="G5739" s="84"/>
      <c r="I5739" s="237"/>
      <c r="J5739" s="238"/>
    </row>
    <row r="5740">
      <c r="C5740" s="82"/>
      <c r="E5740" s="84"/>
      <c r="F5740" s="84"/>
      <c r="G5740" s="84"/>
      <c r="I5740" s="237"/>
      <c r="J5740" s="238"/>
    </row>
    <row r="5741">
      <c r="C5741" s="82"/>
      <c r="E5741" s="84"/>
      <c r="F5741" s="84"/>
      <c r="G5741" s="84"/>
      <c r="I5741" s="237"/>
      <c r="J5741" s="238"/>
    </row>
    <row r="5742">
      <c r="C5742" s="82"/>
      <c r="E5742" s="84"/>
      <c r="F5742" s="84"/>
      <c r="G5742" s="84"/>
      <c r="I5742" s="237"/>
      <c r="J5742" s="238"/>
    </row>
    <row r="5743">
      <c r="C5743" s="82"/>
      <c r="E5743" s="84"/>
      <c r="F5743" s="84"/>
      <c r="G5743" s="84"/>
      <c r="I5743" s="237"/>
      <c r="J5743" s="238"/>
    </row>
    <row r="5744">
      <c r="C5744" s="82"/>
      <c r="E5744" s="84"/>
      <c r="F5744" s="84"/>
      <c r="G5744" s="84"/>
      <c r="I5744" s="237"/>
      <c r="J5744" s="238"/>
    </row>
    <row r="5745">
      <c r="C5745" s="82"/>
      <c r="E5745" s="84"/>
      <c r="F5745" s="84"/>
      <c r="G5745" s="84"/>
      <c r="I5745" s="237"/>
      <c r="J5745" s="238"/>
    </row>
    <row r="5746">
      <c r="C5746" s="82"/>
      <c r="E5746" s="84"/>
      <c r="F5746" s="84"/>
      <c r="G5746" s="84"/>
      <c r="I5746" s="237"/>
      <c r="J5746" s="238"/>
    </row>
    <row r="5747">
      <c r="C5747" s="82"/>
      <c r="E5747" s="84"/>
      <c r="F5747" s="84"/>
      <c r="G5747" s="84"/>
      <c r="I5747" s="237"/>
      <c r="J5747" s="238"/>
    </row>
    <row r="5748">
      <c r="C5748" s="82"/>
      <c r="E5748" s="84"/>
      <c r="F5748" s="84"/>
      <c r="G5748" s="84"/>
      <c r="I5748" s="237"/>
      <c r="J5748" s="238"/>
    </row>
    <row r="5749">
      <c r="C5749" s="82"/>
      <c r="E5749" s="84"/>
      <c r="F5749" s="84"/>
      <c r="G5749" s="84"/>
      <c r="I5749" s="237"/>
      <c r="J5749" s="238"/>
    </row>
    <row r="5750">
      <c r="C5750" s="82"/>
      <c r="E5750" s="84"/>
      <c r="F5750" s="84"/>
      <c r="G5750" s="84"/>
      <c r="I5750" s="237"/>
      <c r="J5750" s="238"/>
    </row>
    <row r="5751">
      <c r="C5751" s="82"/>
      <c r="E5751" s="84"/>
      <c r="F5751" s="84"/>
      <c r="G5751" s="84"/>
      <c r="I5751" s="237"/>
      <c r="J5751" s="238"/>
    </row>
    <row r="5752">
      <c r="C5752" s="82"/>
      <c r="E5752" s="84"/>
      <c r="F5752" s="84"/>
      <c r="G5752" s="84"/>
      <c r="I5752" s="237"/>
      <c r="J5752" s="238"/>
    </row>
    <row r="5753">
      <c r="C5753" s="82"/>
      <c r="E5753" s="84"/>
      <c r="F5753" s="84"/>
      <c r="G5753" s="84"/>
      <c r="I5753" s="237"/>
      <c r="J5753" s="238"/>
    </row>
    <row r="5754">
      <c r="C5754" s="82"/>
      <c r="E5754" s="84"/>
      <c r="F5754" s="84"/>
      <c r="G5754" s="84"/>
      <c r="I5754" s="237"/>
      <c r="J5754" s="238"/>
    </row>
    <row r="5755">
      <c r="C5755" s="82"/>
      <c r="E5755" s="84"/>
      <c r="F5755" s="84"/>
      <c r="G5755" s="84"/>
      <c r="I5755" s="237"/>
      <c r="J5755" s="238"/>
    </row>
    <row r="5756">
      <c r="C5756" s="82"/>
      <c r="E5756" s="84"/>
      <c r="F5756" s="84"/>
      <c r="G5756" s="84"/>
      <c r="I5756" s="237"/>
      <c r="J5756" s="238"/>
    </row>
    <row r="5757">
      <c r="C5757" s="82"/>
      <c r="E5757" s="84"/>
      <c r="F5757" s="84"/>
      <c r="G5757" s="84"/>
      <c r="I5757" s="237"/>
      <c r="J5757" s="238"/>
    </row>
    <row r="5758">
      <c r="C5758" s="82"/>
      <c r="E5758" s="84"/>
      <c r="F5758" s="84"/>
      <c r="G5758" s="84"/>
      <c r="I5758" s="237"/>
      <c r="J5758" s="238"/>
    </row>
    <row r="5759">
      <c r="C5759" s="82"/>
      <c r="E5759" s="84"/>
      <c r="F5759" s="84"/>
      <c r="G5759" s="84"/>
      <c r="I5759" s="237"/>
      <c r="J5759" s="238"/>
    </row>
    <row r="5760">
      <c r="C5760" s="82"/>
      <c r="E5760" s="84"/>
      <c r="F5760" s="84"/>
      <c r="G5760" s="84"/>
      <c r="I5760" s="237"/>
      <c r="J5760" s="238"/>
    </row>
    <row r="5761">
      <c r="C5761" s="82"/>
      <c r="E5761" s="84"/>
      <c r="F5761" s="84"/>
      <c r="G5761" s="84"/>
      <c r="I5761" s="237"/>
      <c r="J5761" s="238"/>
    </row>
    <row r="5762">
      <c r="C5762" s="82"/>
      <c r="E5762" s="84"/>
      <c r="F5762" s="84"/>
      <c r="G5762" s="84"/>
      <c r="I5762" s="237"/>
      <c r="J5762" s="238"/>
    </row>
    <row r="5763">
      <c r="C5763" s="82"/>
      <c r="E5763" s="84"/>
      <c r="F5763" s="84"/>
      <c r="G5763" s="84"/>
      <c r="I5763" s="237"/>
      <c r="J5763" s="238"/>
    </row>
    <row r="5764">
      <c r="C5764" s="82"/>
      <c r="E5764" s="84"/>
      <c r="F5764" s="84"/>
      <c r="G5764" s="84"/>
      <c r="I5764" s="237"/>
      <c r="J5764" s="238"/>
    </row>
    <row r="5765">
      <c r="C5765" s="82"/>
      <c r="E5765" s="84"/>
      <c r="F5765" s="84"/>
      <c r="G5765" s="84"/>
      <c r="I5765" s="237"/>
      <c r="J5765" s="238"/>
    </row>
    <row r="5766">
      <c r="C5766" s="82"/>
      <c r="E5766" s="84"/>
      <c r="F5766" s="84"/>
      <c r="G5766" s="84"/>
      <c r="I5766" s="237"/>
      <c r="J5766" s="238"/>
    </row>
    <row r="5767">
      <c r="C5767" s="82"/>
      <c r="E5767" s="84"/>
      <c r="F5767" s="84"/>
      <c r="G5767" s="84"/>
      <c r="I5767" s="237"/>
      <c r="J5767" s="238"/>
    </row>
    <row r="5768">
      <c r="C5768" s="82"/>
      <c r="E5768" s="84"/>
      <c r="F5768" s="84"/>
      <c r="G5768" s="84"/>
      <c r="I5768" s="237"/>
      <c r="J5768" s="238"/>
    </row>
    <row r="5769">
      <c r="C5769" s="82"/>
      <c r="E5769" s="84"/>
      <c r="F5769" s="84"/>
      <c r="G5769" s="84"/>
      <c r="I5769" s="237"/>
      <c r="J5769" s="238"/>
    </row>
    <row r="5770">
      <c r="C5770" s="82"/>
      <c r="E5770" s="84"/>
      <c r="F5770" s="84"/>
      <c r="G5770" s="84"/>
      <c r="I5770" s="237"/>
      <c r="J5770" s="238"/>
    </row>
    <row r="5771">
      <c r="C5771" s="82"/>
      <c r="E5771" s="84"/>
      <c r="F5771" s="84"/>
      <c r="G5771" s="84"/>
      <c r="I5771" s="237"/>
      <c r="J5771" s="238"/>
    </row>
    <row r="5772">
      <c r="C5772" s="82"/>
      <c r="E5772" s="84"/>
      <c r="F5772" s="84"/>
      <c r="G5772" s="84"/>
      <c r="I5772" s="237"/>
      <c r="J5772" s="238"/>
    </row>
    <row r="5773">
      <c r="C5773" s="82"/>
      <c r="E5773" s="84"/>
      <c r="F5773" s="84"/>
      <c r="G5773" s="84"/>
      <c r="I5773" s="237"/>
      <c r="J5773" s="238"/>
    </row>
    <row r="5774">
      <c r="C5774" s="82"/>
      <c r="E5774" s="84"/>
      <c r="F5774" s="84"/>
      <c r="G5774" s="84"/>
      <c r="I5774" s="237"/>
      <c r="J5774" s="238"/>
    </row>
    <row r="5775">
      <c r="C5775" s="82"/>
      <c r="E5775" s="84"/>
      <c r="F5775" s="84"/>
      <c r="G5775" s="84"/>
      <c r="I5775" s="237"/>
      <c r="J5775" s="238"/>
    </row>
    <row r="5776">
      <c r="C5776" s="82"/>
      <c r="E5776" s="84"/>
      <c r="F5776" s="84"/>
      <c r="G5776" s="84"/>
      <c r="I5776" s="237"/>
      <c r="J5776" s="238"/>
    </row>
    <row r="5777">
      <c r="C5777" s="82"/>
      <c r="E5777" s="84"/>
      <c r="F5777" s="84"/>
      <c r="G5777" s="84"/>
      <c r="I5777" s="237"/>
      <c r="J5777" s="238"/>
    </row>
    <row r="5778">
      <c r="C5778" s="82"/>
      <c r="E5778" s="84"/>
      <c r="F5778" s="84"/>
      <c r="G5778" s="84"/>
      <c r="I5778" s="237"/>
      <c r="J5778" s="238"/>
    </row>
    <row r="5779">
      <c r="C5779" s="82"/>
      <c r="E5779" s="84"/>
      <c r="F5779" s="84"/>
      <c r="G5779" s="84"/>
      <c r="I5779" s="237"/>
      <c r="J5779" s="238"/>
    </row>
    <row r="5780">
      <c r="C5780" s="82"/>
      <c r="E5780" s="84"/>
      <c r="F5780" s="84"/>
      <c r="G5780" s="84"/>
      <c r="I5780" s="237"/>
      <c r="J5780" s="238"/>
    </row>
    <row r="5781">
      <c r="C5781" s="82"/>
      <c r="E5781" s="84"/>
      <c r="F5781" s="84"/>
      <c r="G5781" s="84"/>
      <c r="I5781" s="237"/>
      <c r="J5781" s="238"/>
    </row>
    <row r="5782">
      <c r="C5782" s="82"/>
      <c r="E5782" s="84"/>
      <c r="F5782" s="84"/>
      <c r="G5782" s="84"/>
      <c r="I5782" s="237"/>
      <c r="J5782" s="238"/>
    </row>
    <row r="5783">
      <c r="C5783" s="82"/>
      <c r="E5783" s="84"/>
      <c r="F5783" s="84"/>
      <c r="G5783" s="84"/>
      <c r="I5783" s="237"/>
      <c r="J5783" s="238"/>
    </row>
    <row r="5784">
      <c r="C5784" s="82"/>
      <c r="E5784" s="84"/>
      <c r="F5784" s="84"/>
      <c r="G5784" s="84"/>
      <c r="I5784" s="237"/>
      <c r="J5784" s="238"/>
    </row>
    <row r="5785">
      <c r="C5785" s="82"/>
      <c r="E5785" s="84"/>
      <c r="F5785" s="84"/>
      <c r="G5785" s="84"/>
      <c r="I5785" s="237"/>
      <c r="J5785" s="238"/>
    </row>
    <row r="5786">
      <c r="C5786" s="82"/>
      <c r="E5786" s="84"/>
      <c r="F5786" s="84"/>
      <c r="G5786" s="84"/>
      <c r="I5786" s="237"/>
      <c r="J5786" s="238"/>
    </row>
    <row r="5787">
      <c r="C5787" s="82"/>
      <c r="E5787" s="84"/>
      <c r="F5787" s="84"/>
      <c r="G5787" s="84"/>
      <c r="I5787" s="237"/>
      <c r="J5787" s="238"/>
    </row>
    <row r="5788">
      <c r="C5788" s="82"/>
      <c r="E5788" s="84"/>
      <c r="F5788" s="84"/>
      <c r="G5788" s="84"/>
      <c r="I5788" s="237"/>
      <c r="J5788" s="238"/>
    </row>
    <row r="5789">
      <c r="C5789" s="82"/>
      <c r="E5789" s="84"/>
      <c r="F5789" s="84"/>
      <c r="G5789" s="84"/>
      <c r="I5789" s="237"/>
      <c r="J5789" s="238"/>
    </row>
    <row r="5790">
      <c r="C5790" s="82"/>
      <c r="E5790" s="84"/>
      <c r="F5790" s="84"/>
      <c r="G5790" s="84"/>
      <c r="I5790" s="237"/>
      <c r="J5790" s="238"/>
    </row>
    <row r="5791">
      <c r="C5791" s="82"/>
      <c r="E5791" s="84"/>
      <c r="F5791" s="84"/>
      <c r="G5791" s="84"/>
      <c r="I5791" s="237"/>
      <c r="J5791" s="238"/>
    </row>
    <row r="5792">
      <c r="C5792" s="82"/>
      <c r="E5792" s="84"/>
      <c r="F5792" s="84"/>
      <c r="G5792" s="84"/>
      <c r="I5792" s="237"/>
      <c r="J5792" s="238"/>
    </row>
    <row r="5793">
      <c r="C5793" s="82"/>
      <c r="E5793" s="84"/>
      <c r="F5793" s="84"/>
      <c r="G5793" s="84"/>
      <c r="I5793" s="237"/>
      <c r="J5793" s="238"/>
    </row>
    <row r="5794">
      <c r="C5794" s="82"/>
      <c r="E5794" s="84"/>
      <c r="F5794" s="84"/>
      <c r="G5794" s="84"/>
      <c r="I5794" s="237"/>
      <c r="J5794" s="238"/>
    </row>
    <row r="5795">
      <c r="C5795" s="82"/>
      <c r="E5795" s="84"/>
      <c r="F5795" s="84"/>
      <c r="G5795" s="84"/>
      <c r="I5795" s="237"/>
      <c r="J5795" s="238"/>
    </row>
    <row r="5796">
      <c r="C5796" s="82"/>
      <c r="E5796" s="84"/>
      <c r="F5796" s="84"/>
      <c r="G5796" s="84"/>
      <c r="I5796" s="237"/>
      <c r="J5796" s="238"/>
    </row>
    <row r="5797">
      <c r="C5797" s="82"/>
      <c r="E5797" s="84"/>
      <c r="F5797" s="84"/>
      <c r="G5797" s="84"/>
      <c r="I5797" s="237"/>
      <c r="J5797" s="238"/>
    </row>
    <row r="5798">
      <c r="C5798" s="82"/>
      <c r="E5798" s="84"/>
      <c r="F5798" s="84"/>
      <c r="G5798" s="84"/>
      <c r="I5798" s="237"/>
      <c r="J5798" s="238"/>
    </row>
    <row r="5799">
      <c r="C5799" s="82"/>
      <c r="E5799" s="84"/>
      <c r="F5799" s="84"/>
      <c r="G5799" s="84"/>
      <c r="I5799" s="237"/>
      <c r="J5799" s="238"/>
    </row>
    <row r="5800">
      <c r="C5800" s="82"/>
      <c r="E5800" s="84"/>
      <c r="F5800" s="84"/>
      <c r="G5800" s="84"/>
      <c r="I5800" s="237"/>
      <c r="J5800" s="238"/>
    </row>
    <row r="5801">
      <c r="C5801" s="82"/>
      <c r="E5801" s="84"/>
      <c r="F5801" s="84"/>
      <c r="G5801" s="84"/>
      <c r="I5801" s="237"/>
      <c r="J5801" s="238"/>
    </row>
    <row r="5802">
      <c r="C5802" s="82"/>
      <c r="E5802" s="84"/>
      <c r="F5802" s="84"/>
      <c r="G5802" s="84"/>
      <c r="I5802" s="237"/>
      <c r="J5802" s="238"/>
    </row>
    <row r="5803">
      <c r="C5803" s="82"/>
      <c r="E5803" s="84"/>
      <c r="F5803" s="84"/>
      <c r="G5803" s="84"/>
      <c r="I5803" s="237"/>
      <c r="J5803" s="238"/>
    </row>
    <row r="5804">
      <c r="C5804" s="82"/>
      <c r="E5804" s="84"/>
      <c r="F5804" s="84"/>
      <c r="G5804" s="84"/>
      <c r="I5804" s="237"/>
      <c r="J5804" s="238"/>
    </row>
    <row r="5805">
      <c r="C5805" s="82"/>
      <c r="E5805" s="84"/>
      <c r="F5805" s="84"/>
      <c r="G5805" s="84"/>
      <c r="I5805" s="237"/>
      <c r="J5805" s="238"/>
    </row>
    <row r="5806">
      <c r="C5806" s="82"/>
      <c r="E5806" s="84"/>
      <c r="F5806" s="84"/>
      <c r="G5806" s="84"/>
      <c r="I5806" s="237"/>
      <c r="J5806" s="238"/>
    </row>
    <row r="5807">
      <c r="C5807" s="82"/>
      <c r="E5807" s="84"/>
      <c r="F5807" s="84"/>
      <c r="G5807" s="84"/>
      <c r="I5807" s="237"/>
      <c r="J5807" s="238"/>
    </row>
    <row r="5808">
      <c r="C5808" s="82"/>
      <c r="E5808" s="84"/>
      <c r="F5808" s="84"/>
      <c r="G5808" s="84"/>
      <c r="I5808" s="237"/>
      <c r="J5808" s="238"/>
    </row>
    <row r="5809">
      <c r="C5809" s="82"/>
      <c r="E5809" s="84"/>
      <c r="F5809" s="84"/>
      <c r="G5809" s="84"/>
      <c r="I5809" s="237"/>
      <c r="J5809" s="238"/>
    </row>
    <row r="5810">
      <c r="C5810" s="82"/>
      <c r="E5810" s="84"/>
      <c r="F5810" s="84"/>
      <c r="G5810" s="84"/>
      <c r="I5810" s="237"/>
      <c r="J5810" s="238"/>
    </row>
    <row r="5811">
      <c r="C5811" s="82"/>
      <c r="E5811" s="84"/>
      <c r="F5811" s="84"/>
      <c r="G5811" s="84"/>
      <c r="I5811" s="237"/>
      <c r="J5811" s="238"/>
    </row>
    <row r="5812">
      <c r="C5812" s="82"/>
      <c r="E5812" s="84"/>
      <c r="F5812" s="84"/>
      <c r="G5812" s="84"/>
      <c r="I5812" s="237"/>
      <c r="J5812" s="238"/>
    </row>
    <row r="5813">
      <c r="C5813" s="82"/>
      <c r="E5813" s="84"/>
      <c r="F5813" s="84"/>
      <c r="G5813" s="84"/>
      <c r="I5813" s="237"/>
      <c r="J5813" s="238"/>
    </row>
    <row r="5814">
      <c r="C5814" s="82"/>
      <c r="E5814" s="84"/>
      <c r="F5814" s="84"/>
      <c r="G5814" s="84"/>
      <c r="I5814" s="237"/>
      <c r="J5814" s="238"/>
    </row>
    <row r="5815">
      <c r="C5815" s="82"/>
      <c r="E5815" s="84"/>
      <c r="F5815" s="84"/>
      <c r="G5815" s="84"/>
      <c r="I5815" s="237"/>
      <c r="J5815" s="238"/>
    </row>
    <row r="5816">
      <c r="C5816" s="82"/>
      <c r="E5816" s="84"/>
      <c r="F5816" s="84"/>
      <c r="G5816" s="84"/>
      <c r="I5816" s="237"/>
      <c r="J5816" s="238"/>
    </row>
    <row r="5817">
      <c r="C5817" s="82"/>
      <c r="E5817" s="84"/>
      <c r="F5817" s="84"/>
      <c r="G5817" s="84"/>
      <c r="I5817" s="237"/>
      <c r="J5817" s="238"/>
    </row>
    <row r="5818">
      <c r="C5818" s="82"/>
      <c r="E5818" s="84"/>
      <c r="F5818" s="84"/>
      <c r="G5818" s="84"/>
      <c r="I5818" s="237"/>
      <c r="J5818" s="238"/>
    </row>
    <row r="5819">
      <c r="C5819" s="82"/>
      <c r="E5819" s="84"/>
      <c r="F5819" s="84"/>
      <c r="G5819" s="84"/>
      <c r="I5819" s="237"/>
      <c r="J5819" s="238"/>
    </row>
    <row r="5820">
      <c r="C5820" s="82"/>
      <c r="E5820" s="84"/>
      <c r="F5820" s="84"/>
      <c r="G5820" s="84"/>
      <c r="I5820" s="237"/>
      <c r="J5820" s="238"/>
    </row>
    <row r="5821">
      <c r="C5821" s="82"/>
      <c r="E5821" s="84"/>
      <c r="F5821" s="84"/>
      <c r="G5821" s="84"/>
      <c r="I5821" s="237"/>
      <c r="J5821" s="238"/>
    </row>
    <row r="5822">
      <c r="C5822" s="82"/>
      <c r="E5822" s="84"/>
      <c r="F5822" s="84"/>
      <c r="G5822" s="84"/>
      <c r="I5822" s="237"/>
      <c r="J5822" s="238"/>
    </row>
    <row r="5823">
      <c r="C5823" s="82"/>
      <c r="E5823" s="84"/>
      <c r="F5823" s="84"/>
      <c r="G5823" s="84"/>
      <c r="I5823" s="237"/>
      <c r="J5823" s="238"/>
    </row>
    <row r="5824">
      <c r="C5824" s="82"/>
      <c r="E5824" s="84"/>
      <c r="F5824" s="84"/>
      <c r="G5824" s="84"/>
      <c r="I5824" s="237"/>
      <c r="J5824" s="238"/>
    </row>
    <row r="5825">
      <c r="C5825" s="82"/>
      <c r="E5825" s="84"/>
      <c r="F5825" s="84"/>
      <c r="G5825" s="84"/>
      <c r="I5825" s="237"/>
      <c r="J5825" s="238"/>
    </row>
    <row r="5826">
      <c r="C5826" s="82"/>
      <c r="E5826" s="84"/>
      <c r="F5826" s="84"/>
      <c r="G5826" s="84"/>
      <c r="I5826" s="237"/>
      <c r="J5826" s="238"/>
    </row>
    <row r="5827">
      <c r="C5827" s="82"/>
      <c r="E5827" s="84"/>
      <c r="F5827" s="84"/>
      <c r="G5827" s="84"/>
      <c r="I5827" s="237"/>
      <c r="J5827" s="238"/>
    </row>
    <row r="5828">
      <c r="C5828" s="82"/>
      <c r="E5828" s="84"/>
      <c r="F5828" s="84"/>
      <c r="G5828" s="84"/>
      <c r="I5828" s="237"/>
      <c r="J5828" s="238"/>
    </row>
    <row r="5829">
      <c r="C5829" s="82"/>
      <c r="E5829" s="84"/>
      <c r="F5829" s="84"/>
      <c r="G5829" s="84"/>
      <c r="I5829" s="237"/>
      <c r="J5829" s="238"/>
    </row>
    <row r="5830">
      <c r="C5830" s="82"/>
      <c r="E5830" s="84"/>
      <c r="F5830" s="84"/>
      <c r="G5830" s="84"/>
      <c r="I5830" s="237"/>
      <c r="J5830" s="238"/>
    </row>
    <row r="5831">
      <c r="C5831" s="82"/>
      <c r="E5831" s="84"/>
      <c r="F5831" s="84"/>
      <c r="G5831" s="84"/>
      <c r="I5831" s="237"/>
      <c r="J5831" s="238"/>
    </row>
    <row r="5832">
      <c r="C5832" s="82"/>
      <c r="E5832" s="84"/>
      <c r="F5832" s="84"/>
      <c r="G5832" s="84"/>
      <c r="I5832" s="237"/>
      <c r="J5832" s="238"/>
    </row>
    <row r="5833">
      <c r="C5833" s="82"/>
      <c r="E5833" s="84"/>
      <c r="F5833" s="84"/>
      <c r="G5833" s="84"/>
      <c r="I5833" s="237"/>
      <c r="J5833" s="238"/>
    </row>
    <row r="5834">
      <c r="C5834" s="82"/>
      <c r="E5834" s="84"/>
      <c r="F5834" s="84"/>
      <c r="G5834" s="84"/>
      <c r="I5834" s="237"/>
      <c r="J5834" s="238"/>
    </row>
    <row r="5835">
      <c r="C5835" s="82"/>
      <c r="E5835" s="84"/>
      <c r="F5835" s="84"/>
      <c r="G5835" s="84"/>
      <c r="I5835" s="237"/>
      <c r="J5835" s="238"/>
    </row>
    <row r="5836">
      <c r="C5836" s="82"/>
      <c r="E5836" s="84"/>
      <c r="F5836" s="84"/>
      <c r="G5836" s="84"/>
      <c r="I5836" s="237"/>
      <c r="J5836" s="238"/>
    </row>
    <row r="5837">
      <c r="C5837" s="82"/>
      <c r="E5837" s="84"/>
      <c r="F5837" s="84"/>
      <c r="G5837" s="84"/>
      <c r="I5837" s="237"/>
      <c r="J5837" s="238"/>
    </row>
    <row r="5838">
      <c r="C5838" s="82"/>
      <c r="E5838" s="84"/>
      <c r="F5838" s="84"/>
      <c r="G5838" s="84"/>
      <c r="I5838" s="237"/>
      <c r="J5838" s="238"/>
    </row>
    <row r="5839">
      <c r="C5839" s="82"/>
      <c r="E5839" s="84"/>
      <c r="F5839" s="84"/>
      <c r="G5839" s="84"/>
      <c r="I5839" s="237"/>
      <c r="J5839" s="238"/>
    </row>
    <row r="5840">
      <c r="C5840" s="82"/>
      <c r="E5840" s="84"/>
      <c r="F5840" s="84"/>
      <c r="G5840" s="84"/>
      <c r="I5840" s="237"/>
      <c r="J5840" s="238"/>
    </row>
    <row r="5841">
      <c r="C5841" s="82"/>
      <c r="E5841" s="84"/>
      <c r="F5841" s="84"/>
      <c r="G5841" s="84"/>
      <c r="I5841" s="237"/>
      <c r="J5841" s="238"/>
    </row>
    <row r="5842">
      <c r="C5842" s="82"/>
      <c r="E5842" s="84"/>
      <c r="F5842" s="84"/>
      <c r="G5842" s="84"/>
      <c r="I5842" s="237"/>
      <c r="J5842" s="238"/>
    </row>
    <row r="5843">
      <c r="C5843" s="82"/>
      <c r="E5843" s="84"/>
      <c r="F5843" s="84"/>
      <c r="G5843" s="84"/>
      <c r="I5843" s="237"/>
      <c r="J5843" s="238"/>
    </row>
    <row r="5844">
      <c r="C5844" s="82"/>
      <c r="E5844" s="84"/>
      <c r="F5844" s="84"/>
      <c r="G5844" s="84"/>
      <c r="I5844" s="237"/>
      <c r="J5844" s="238"/>
    </row>
    <row r="5845">
      <c r="C5845" s="82"/>
      <c r="E5845" s="84"/>
      <c r="F5845" s="84"/>
      <c r="G5845" s="84"/>
      <c r="I5845" s="237"/>
      <c r="J5845" s="238"/>
    </row>
    <row r="5846">
      <c r="C5846" s="82"/>
      <c r="E5846" s="84"/>
      <c r="F5846" s="84"/>
      <c r="G5846" s="84"/>
      <c r="I5846" s="237"/>
      <c r="J5846" s="238"/>
    </row>
    <row r="5847">
      <c r="C5847" s="82"/>
      <c r="E5847" s="84"/>
      <c r="F5847" s="84"/>
      <c r="G5847" s="84"/>
      <c r="I5847" s="237"/>
      <c r="J5847" s="238"/>
    </row>
    <row r="5848">
      <c r="C5848" s="82"/>
      <c r="E5848" s="84"/>
      <c r="F5848" s="84"/>
      <c r="G5848" s="84"/>
      <c r="I5848" s="237"/>
      <c r="J5848" s="238"/>
    </row>
    <row r="5849">
      <c r="C5849" s="82"/>
      <c r="E5849" s="84"/>
      <c r="F5849" s="84"/>
      <c r="G5849" s="84"/>
      <c r="I5849" s="237"/>
      <c r="J5849" s="238"/>
    </row>
    <row r="5850">
      <c r="C5850" s="82"/>
      <c r="E5850" s="84"/>
      <c r="F5850" s="84"/>
      <c r="G5850" s="84"/>
      <c r="I5850" s="237"/>
      <c r="J5850" s="238"/>
    </row>
    <row r="5851">
      <c r="C5851" s="82"/>
      <c r="E5851" s="84"/>
      <c r="F5851" s="84"/>
      <c r="G5851" s="84"/>
      <c r="I5851" s="237"/>
      <c r="J5851" s="238"/>
    </row>
    <row r="5852">
      <c r="C5852" s="82"/>
      <c r="E5852" s="84"/>
      <c r="F5852" s="84"/>
      <c r="G5852" s="84"/>
      <c r="I5852" s="237"/>
      <c r="J5852" s="238"/>
    </row>
    <row r="5853">
      <c r="C5853" s="82"/>
      <c r="E5853" s="84"/>
      <c r="F5853" s="84"/>
      <c r="G5853" s="84"/>
      <c r="I5853" s="237"/>
      <c r="J5853" s="238"/>
    </row>
    <row r="5854">
      <c r="C5854" s="82"/>
      <c r="E5854" s="84"/>
      <c r="F5854" s="84"/>
      <c r="G5854" s="84"/>
      <c r="I5854" s="237"/>
      <c r="J5854" s="238"/>
    </row>
    <row r="5855">
      <c r="C5855" s="82"/>
      <c r="E5855" s="84"/>
      <c r="F5855" s="84"/>
      <c r="G5855" s="84"/>
      <c r="I5855" s="237"/>
      <c r="J5855" s="238"/>
    </row>
    <row r="5856">
      <c r="C5856" s="82"/>
      <c r="E5856" s="84"/>
      <c r="F5856" s="84"/>
      <c r="G5856" s="84"/>
      <c r="I5856" s="237"/>
      <c r="J5856" s="238"/>
    </row>
    <row r="5857">
      <c r="C5857" s="82"/>
      <c r="E5857" s="84"/>
      <c r="F5857" s="84"/>
      <c r="G5857" s="84"/>
      <c r="I5857" s="237"/>
      <c r="J5857" s="238"/>
    </row>
    <row r="5858">
      <c r="C5858" s="82"/>
      <c r="E5858" s="84"/>
      <c r="F5858" s="84"/>
      <c r="G5858" s="84"/>
      <c r="I5858" s="237"/>
      <c r="J5858" s="238"/>
    </row>
    <row r="5859">
      <c r="C5859" s="82"/>
      <c r="E5859" s="84"/>
      <c r="F5859" s="84"/>
      <c r="G5859" s="84"/>
      <c r="I5859" s="237"/>
      <c r="J5859" s="238"/>
    </row>
    <row r="5860">
      <c r="C5860" s="82"/>
      <c r="E5860" s="84"/>
      <c r="F5860" s="84"/>
      <c r="G5860" s="84"/>
      <c r="I5860" s="237"/>
      <c r="J5860" s="238"/>
    </row>
    <row r="5861">
      <c r="C5861" s="82"/>
      <c r="E5861" s="84"/>
      <c r="F5861" s="84"/>
      <c r="G5861" s="84"/>
      <c r="I5861" s="237"/>
      <c r="J5861" s="238"/>
    </row>
    <row r="5862">
      <c r="C5862" s="82"/>
      <c r="E5862" s="84"/>
      <c r="F5862" s="84"/>
      <c r="G5862" s="84"/>
      <c r="I5862" s="237"/>
      <c r="J5862" s="238"/>
    </row>
    <row r="5863">
      <c r="C5863" s="82"/>
      <c r="E5863" s="84"/>
      <c r="F5863" s="84"/>
      <c r="G5863" s="84"/>
      <c r="I5863" s="237"/>
      <c r="J5863" s="238"/>
    </row>
    <row r="5864">
      <c r="C5864" s="82"/>
      <c r="E5864" s="84"/>
      <c r="F5864" s="84"/>
      <c r="G5864" s="84"/>
      <c r="I5864" s="237"/>
      <c r="J5864" s="238"/>
    </row>
    <row r="5865">
      <c r="C5865" s="82"/>
      <c r="E5865" s="84"/>
      <c r="F5865" s="84"/>
      <c r="G5865" s="84"/>
      <c r="I5865" s="237"/>
      <c r="J5865" s="238"/>
    </row>
    <row r="5866">
      <c r="C5866" s="82"/>
      <c r="E5866" s="84"/>
      <c r="F5866" s="84"/>
      <c r="G5866" s="84"/>
      <c r="I5866" s="237"/>
      <c r="J5866" s="238"/>
    </row>
    <row r="5867">
      <c r="C5867" s="82"/>
      <c r="E5867" s="84"/>
      <c r="F5867" s="84"/>
      <c r="G5867" s="84"/>
      <c r="I5867" s="237"/>
      <c r="J5867" s="238"/>
    </row>
    <row r="5868">
      <c r="C5868" s="82"/>
      <c r="E5868" s="84"/>
      <c r="F5868" s="84"/>
      <c r="G5868" s="84"/>
      <c r="I5868" s="237"/>
      <c r="J5868" s="238"/>
    </row>
    <row r="5869">
      <c r="C5869" s="82"/>
      <c r="E5869" s="84"/>
      <c r="F5869" s="84"/>
      <c r="G5869" s="84"/>
      <c r="I5869" s="237"/>
      <c r="J5869" s="238"/>
    </row>
    <row r="5870">
      <c r="C5870" s="82"/>
      <c r="E5870" s="84"/>
      <c r="F5870" s="84"/>
      <c r="G5870" s="84"/>
      <c r="I5870" s="237"/>
      <c r="J5870" s="238"/>
    </row>
    <row r="5871">
      <c r="C5871" s="82"/>
      <c r="E5871" s="84"/>
      <c r="F5871" s="84"/>
      <c r="G5871" s="84"/>
      <c r="I5871" s="237"/>
      <c r="J5871" s="238"/>
    </row>
    <row r="5872">
      <c r="C5872" s="82"/>
      <c r="E5872" s="84"/>
      <c r="F5872" s="84"/>
      <c r="G5872" s="84"/>
      <c r="I5872" s="237"/>
      <c r="J5872" s="238"/>
    </row>
    <row r="5873">
      <c r="C5873" s="82"/>
      <c r="E5873" s="84"/>
      <c r="F5873" s="84"/>
      <c r="G5873" s="84"/>
      <c r="I5873" s="237"/>
      <c r="J5873" s="238"/>
    </row>
    <row r="5874">
      <c r="C5874" s="82"/>
      <c r="E5874" s="84"/>
      <c r="F5874" s="84"/>
      <c r="G5874" s="84"/>
      <c r="I5874" s="237"/>
      <c r="J5874" s="238"/>
    </row>
    <row r="5875">
      <c r="C5875" s="82"/>
      <c r="E5875" s="84"/>
      <c r="F5875" s="84"/>
      <c r="G5875" s="84"/>
      <c r="I5875" s="237"/>
      <c r="J5875" s="238"/>
    </row>
    <row r="5876">
      <c r="C5876" s="82"/>
      <c r="E5876" s="84"/>
      <c r="F5876" s="84"/>
      <c r="G5876" s="84"/>
      <c r="I5876" s="237"/>
      <c r="J5876" s="238"/>
    </row>
    <row r="5877">
      <c r="C5877" s="82"/>
      <c r="E5877" s="84"/>
      <c r="F5877" s="84"/>
      <c r="G5877" s="84"/>
      <c r="I5877" s="237"/>
      <c r="J5877" s="238"/>
    </row>
    <row r="5878">
      <c r="C5878" s="82"/>
      <c r="E5878" s="84"/>
      <c r="F5878" s="84"/>
      <c r="G5878" s="84"/>
      <c r="I5878" s="237"/>
      <c r="J5878" s="238"/>
    </row>
    <row r="5879">
      <c r="C5879" s="82"/>
      <c r="E5879" s="84"/>
      <c r="F5879" s="84"/>
      <c r="G5879" s="84"/>
      <c r="I5879" s="237"/>
      <c r="J5879" s="238"/>
    </row>
    <row r="5880">
      <c r="C5880" s="82"/>
      <c r="E5880" s="84"/>
      <c r="F5880" s="84"/>
      <c r="G5880" s="84"/>
      <c r="I5880" s="237"/>
      <c r="J5880" s="238"/>
    </row>
    <row r="5881">
      <c r="C5881" s="82"/>
      <c r="E5881" s="84"/>
      <c r="F5881" s="84"/>
      <c r="G5881" s="84"/>
      <c r="I5881" s="237"/>
      <c r="J5881" s="238"/>
    </row>
    <row r="5882">
      <c r="C5882" s="82"/>
      <c r="E5882" s="84"/>
      <c r="F5882" s="84"/>
      <c r="G5882" s="84"/>
      <c r="I5882" s="237"/>
      <c r="J5882" s="238"/>
    </row>
    <row r="5883">
      <c r="C5883" s="82"/>
      <c r="E5883" s="84"/>
      <c r="F5883" s="84"/>
      <c r="G5883" s="84"/>
      <c r="I5883" s="237"/>
      <c r="J5883" s="238"/>
    </row>
    <row r="5884">
      <c r="C5884" s="82"/>
      <c r="E5884" s="84"/>
      <c r="F5884" s="84"/>
      <c r="G5884" s="84"/>
      <c r="I5884" s="237"/>
      <c r="J5884" s="238"/>
    </row>
    <row r="5885">
      <c r="C5885" s="82"/>
      <c r="E5885" s="84"/>
      <c r="F5885" s="84"/>
      <c r="G5885" s="84"/>
      <c r="I5885" s="237"/>
      <c r="J5885" s="238"/>
    </row>
    <row r="5886">
      <c r="C5886" s="82"/>
      <c r="E5886" s="84"/>
      <c r="F5886" s="84"/>
      <c r="G5886" s="84"/>
      <c r="I5886" s="237"/>
      <c r="J5886" s="238"/>
    </row>
    <row r="5887">
      <c r="C5887" s="82"/>
      <c r="E5887" s="84"/>
      <c r="F5887" s="84"/>
      <c r="G5887" s="84"/>
      <c r="I5887" s="237"/>
      <c r="J5887" s="238"/>
    </row>
    <row r="5888">
      <c r="C5888" s="82"/>
      <c r="E5888" s="84"/>
      <c r="F5888" s="84"/>
      <c r="G5888" s="84"/>
      <c r="I5888" s="237"/>
      <c r="J5888" s="238"/>
    </row>
    <row r="5889">
      <c r="C5889" s="82"/>
      <c r="E5889" s="84"/>
      <c r="F5889" s="84"/>
      <c r="G5889" s="84"/>
      <c r="I5889" s="237"/>
      <c r="J5889" s="238"/>
    </row>
    <row r="5890">
      <c r="C5890" s="82"/>
      <c r="E5890" s="84"/>
      <c r="F5890" s="84"/>
      <c r="G5890" s="84"/>
      <c r="I5890" s="237"/>
      <c r="J5890" s="238"/>
    </row>
    <row r="5891">
      <c r="C5891" s="82"/>
      <c r="E5891" s="84"/>
      <c r="F5891" s="84"/>
      <c r="G5891" s="84"/>
      <c r="I5891" s="237"/>
      <c r="J5891" s="238"/>
    </row>
    <row r="5892">
      <c r="C5892" s="82"/>
      <c r="E5892" s="84"/>
      <c r="F5892" s="84"/>
      <c r="G5892" s="84"/>
      <c r="I5892" s="237"/>
      <c r="J5892" s="238"/>
    </row>
    <row r="5893">
      <c r="C5893" s="82"/>
      <c r="E5893" s="84"/>
      <c r="F5893" s="84"/>
      <c r="G5893" s="84"/>
      <c r="I5893" s="237"/>
      <c r="J5893" s="238"/>
    </row>
    <row r="5894">
      <c r="C5894" s="82"/>
      <c r="E5894" s="84"/>
      <c r="F5894" s="84"/>
      <c r="G5894" s="84"/>
      <c r="I5894" s="237"/>
      <c r="J5894" s="238"/>
    </row>
    <row r="5895">
      <c r="C5895" s="82"/>
      <c r="E5895" s="84"/>
      <c r="F5895" s="84"/>
      <c r="G5895" s="84"/>
      <c r="I5895" s="237"/>
      <c r="J5895" s="238"/>
    </row>
    <row r="5896">
      <c r="C5896" s="82"/>
      <c r="E5896" s="84"/>
      <c r="F5896" s="84"/>
      <c r="G5896" s="84"/>
      <c r="I5896" s="237"/>
      <c r="J5896" s="238"/>
    </row>
    <row r="5897">
      <c r="C5897" s="82"/>
      <c r="E5897" s="84"/>
      <c r="F5897" s="84"/>
      <c r="G5897" s="84"/>
      <c r="I5897" s="237"/>
      <c r="J5897" s="238"/>
    </row>
    <row r="5898">
      <c r="C5898" s="82"/>
      <c r="E5898" s="84"/>
      <c r="F5898" s="84"/>
      <c r="G5898" s="84"/>
      <c r="I5898" s="237"/>
      <c r="J5898" s="238"/>
    </row>
    <row r="5899">
      <c r="C5899" s="82"/>
      <c r="E5899" s="84"/>
      <c r="F5899" s="84"/>
      <c r="G5899" s="84"/>
      <c r="I5899" s="237"/>
      <c r="J5899" s="238"/>
    </row>
    <row r="5900">
      <c r="C5900" s="82"/>
      <c r="E5900" s="84"/>
      <c r="F5900" s="84"/>
      <c r="G5900" s="84"/>
      <c r="I5900" s="237"/>
      <c r="J5900" s="238"/>
    </row>
    <row r="5901">
      <c r="C5901" s="82"/>
      <c r="E5901" s="84"/>
      <c r="F5901" s="84"/>
      <c r="G5901" s="84"/>
      <c r="I5901" s="237"/>
      <c r="J5901" s="238"/>
    </row>
    <row r="5902">
      <c r="C5902" s="82"/>
      <c r="E5902" s="84"/>
      <c r="F5902" s="84"/>
      <c r="G5902" s="84"/>
      <c r="I5902" s="237"/>
      <c r="J5902" s="238"/>
    </row>
    <row r="5903">
      <c r="C5903" s="82"/>
      <c r="E5903" s="84"/>
      <c r="F5903" s="84"/>
      <c r="G5903" s="84"/>
      <c r="I5903" s="237"/>
      <c r="J5903" s="238"/>
    </row>
    <row r="5904">
      <c r="C5904" s="82"/>
      <c r="E5904" s="84"/>
      <c r="F5904" s="84"/>
      <c r="G5904" s="84"/>
      <c r="I5904" s="237"/>
      <c r="J5904" s="238"/>
    </row>
    <row r="5905">
      <c r="C5905" s="82"/>
      <c r="E5905" s="84"/>
      <c r="F5905" s="84"/>
      <c r="G5905" s="84"/>
      <c r="I5905" s="237"/>
      <c r="J5905" s="238"/>
    </row>
    <row r="5906">
      <c r="C5906" s="82"/>
      <c r="E5906" s="84"/>
      <c r="F5906" s="84"/>
      <c r="G5906" s="84"/>
      <c r="I5906" s="237"/>
      <c r="J5906" s="238"/>
    </row>
    <row r="5907">
      <c r="C5907" s="82"/>
      <c r="E5907" s="84"/>
      <c r="F5907" s="84"/>
      <c r="G5907" s="84"/>
      <c r="I5907" s="237"/>
      <c r="J5907" s="238"/>
    </row>
    <row r="5908">
      <c r="C5908" s="82"/>
      <c r="E5908" s="84"/>
      <c r="F5908" s="84"/>
      <c r="G5908" s="84"/>
      <c r="I5908" s="237"/>
      <c r="J5908" s="238"/>
    </row>
    <row r="5909">
      <c r="C5909" s="82"/>
      <c r="E5909" s="84"/>
      <c r="F5909" s="84"/>
      <c r="G5909" s="84"/>
      <c r="I5909" s="237"/>
      <c r="J5909" s="238"/>
    </row>
    <row r="5910">
      <c r="C5910" s="82"/>
      <c r="E5910" s="84"/>
      <c r="F5910" s="84"/>
      <c r="G5910" s="84"/>
      <c r="I5910" s="237"/>
      <c r="J5910" s="238"/>
    </row>
    <row r="5911">
      <c r="C5911" s="82"/>
      <c r="E5911" s="84"/>
      <c r="F5911" s="84"/>
      <c r="G5911" s="84"/>
      <c r="I5911" s="237"/>
      <c r="J5911" s="238"/>
    </row>
    <row r="5912">
      <c r="C5912" s="82"/>
      <c r="E5912" s="84"/>
      <c r="F5912" s="84"/>
      <c r="G5912" s="84"/>
      <c r="I5912" s="237"/>
      <c r="J5912" s="238"/>
    </row>
    <row r="5913">
      <c r="C5913" s="82"/>
      <c r="E5913" s="84"/>
      <c r="F5913" s="84"/>
      <c r="G5913" s="84"/>
      <c r="I5913" s="237"/>
      <c r="J5913" s="238"/>
    </row>
    <row r="5914">
      <c r="C5914" s="82"/>
      <c r="E5914" s="84"/>
      <c r="F5914" s="84"/>
      <c r="G5914" s="84"/>
      <c r="I5914" s="237"/>
      <c r="J5914" s="238"/>
    </row>
    <row r="5915">
      <c r="C5915" s="82"/>
      <c r="E5915" s="84"/>
      <c r="F5915" s="84"/>
      <c r="G5915" s="84"/>
      <c r="I5915" s="237"/>
      <c r="J5915" s="238"/>
    </row>
    <row r="5916">
      <c r="C5916" s="82"/>
      <c r="E5916" s="84"/>
      <c r="F5916" s="84"/>
      <c r="G5916" s="84"/>
      <c r="I5916" s="237"/>
      <c r="J5916" s="238"/>
    </row>
    <row r="5917">
      <c r="C5917" s="82"/>
      <c r="E5917" s="84"/>
      <c r="F5917" s="84"/>
      <c r="G5917" s="84"/>
      <c r="I5917" s="237"/>
      <c r="J5917" s="238"/>
    </row>
    <row r="5918">
      <c r="C5918" s="82"/>
      <c r="E5918" s="84"/>
      <c r="F5918" s="84"/>
      <c r="G5918" s="84"/>
      <c r="I5918" s="237"/>
      <c r="J5918" s="238"/>
    </row>
    <row r="5919">
      <c r="C5919" s="82"/>
      <c r="E5919" s="84"/>
      <c r="F5919" s="84"/>
      <c r="G5919" s="84"/>
      <c r="I5919" s="237"/>
      <c r="J5919" s="238"/>
    </row>
    <row r="5920">
      <c r="C5920" s="82"/>
      <c r="E5920" s="84"/>
      <c r="F5920" s="84"/>
      <c r="G5920" s="84"/>
      <c r="I5920" s="237"/>
      <c r="J5920" s="238"/>
    </row>
    <row r="5921">
      <c r="C5921" s="82"/>
      <c r="E5921" s="84"/>
      <c r="F5921" s="84"/>
      <c r="G5921" s="84"/>
      <c r="I5921" s="237"/>
      <c r="J5921" s="238"/>
    </row>
    <row r="5922">
      <c r="C5922" s="82"/>
      <c r="E5922" s="84"/>
      <c r="F5922" s="84"/>
      <c r="G5922" s="84"/>
      <c r="I5922" s="237"/>
      <c r="J5922" s="238"/>
    </row>
    <row r="5923">
      <c r="C5923" s="82"/>
      <c r="E5923" s="84"/>
      <c r="F5923" s="84"/>
      <c r="G5923" s="84"/>
      <c r="I5923" s="237"/>
      <c r="J5923" s="238"/>
    </row>
    <row r="5924">
      <c r="C5924" s="82"/>
      <c r="E5924" s="84"/>
      <c r="F5924" s="84"/>
      <c r="G5924" s="84"/>
      <c r="I5924" s="237"/>
      <c r="J5924" s="238"/>
    </row>
    <row r="5925">
      <c r="C5925" s="82"/>
      <c r="E5925" s="84"/>
      <c r="F5925" s="84"/>
      <c r="G5925" s="84"/>
      <c r="I5925" s="237"/>
      <c r="J5925" s="238"/>
    </row>
    <row r="5926">
      <c r="C5926" s="82"/>
      <c r="E5926" s="84"/>
      <c r="F5926" s="84"/>
      <c r="G5926" s="84"/>
      <c r="I5926" s="237"/>
      <c r="J5926" s="238"/>
    </row>
    <row r="5927">
      <c r="C5927" s="82"/>
      <c r="E5927" s="84"/>
      <c r="F5927" s="84"/>
      <c r="G5927" s="84"/>
      <c r="I5927" s="237"/>
      <c r="J5927" s="238"/>
    </row>
    <row r="5928">
      <c r="C5928" s="82"/>
      <c r="E5928" s="84"/>
      <c r="F5928" s="84"/>
      <c r="G5928" s="84"/>
      <c r="I5928" s="237"/>
      <c r="J5928" s="238"/>
    </row>
    <row r="5929">
      <c r="C5929" s="82"/>
      <c r="E5929" s="84"/>
      <c r="F5929" s="84"/>
      <c r="G5929" s="84"/>
      <c r="I5929" s="237"/>
      <c r="J5929" s="238"/>
    </row>
    <row r="5930">
      <c r="C5930" s="82"/>
      <c r="E5930" s="84"/>
      <c r="F5930" s="84"/>
      <c r="G5930" s="84"/>
      <c r="I5930" s="237"/>
      <c r="J5930" s="238"/>
    </row>
    <row r="5931">
      <c r="C5931" s="82"/>
      <c r="E5931" s="84"/>
      <c r="F5931" s="84"/>
      <c r="G5931" s="84"/>
      <c r="I5931" s="237"/>
      <c r="J5931" s="238"/>
    </row>
    <row r="5932">
      <c r="C5932" s="82"/>
      <c r="E5932" s="84"/>
      <c r="F5932" s="84"/>
      <c r="G5932" s="84"/>
      <c r="I5932" s="237"/>
      <c r="J5932" s="238"/>
    </row>
    <row r="5933">
      <c r="C5933" s="82"/>
      <c r="E5933" s="84"/>
      <c r="F5933" s="84"/>
      <c r="G5933" s="84"/>
      <c r="I5933" s="237"/>
      <c r="J5933" s="238"/>
    </row>
    <row r="5934">
      <c r="C5934" s="82"/>
      <c r="E5934" s="84"/>
      <c r="F5934" s="84"/>
      <c r="G5934" s="84"/>
      <c r="I5934" s="237"/>
      <c r="J5934" s="238"/>
    </row>
    <row r="5935">
      <c r="C5935" s="82"/>
      <c r="E5935" s="84"/>
      <c r="F5935" s="84"/>
      <c r="G5935" s="84"/>
      <c r="I5935" s="237"/>
      <c r="J5935" s="238"/>
    </row>
    <row r="5936">
      <c r="C5936" s="82"/>
      <c r="E5936" s="84"/>
      <c r="F5936" s="84"/>
      <c r="G5936" s="84"/>
      <c r="I5936" s="237"/>
      <c r="J5936" s="238"/>
    </row>
    <row r="5937">
      <c r="C5937" s="82"/>
      <c r="E5937" s="84"/>
      <c r="F5937" s="84"/>
      <c r="G5937" s="84"/>
      <c r="I5937" s="237"/>
      <c r="J5937" s="238"/>
    </row>
    <row r="5938">
      <c r="C5938" s="82"/>
      <c r="E5938" s="84"/>
      <c r="F5938" s="84"/>
      <c r="G5938" s="84"/>
      <c r="I5938" s="237"/>
      <c r="J5938" s="238"/>
    </row>
    <row r="5939">
      <c r="C5939" s="82"/>
      <c r="E5939" s="84"/>
      <c r="F5939" s="84"/>
      <c r="G5939" s="84"/>
      <c r="I5939" s="237"/>
      <c r="J5939" s="238"/>
    </row>
    <row r="5940">
      <c r="C5940" s="82"/>
      <c r="E5940" s="84"/>
      <c r="F5940" s="84"/>
      <c r="G5940" s="84"/>
      <c r="I5940" s="237"/>
      <c r="J5940" s="238"/>
    </row>
    <row r="5941">
      <c r="C5941" s="82"/>
      <c r="E5941" s="84"/>
      <c r="F5941" s="84"/>
      <c r="G5941" s="84"/>
      <c r="I5941" s="237"/>
      <c r="J5941" s="238"/>
    </row>
    <row r="5942">
      <c r="C5942" s="82"/>
      <c r="E5942" s="84"/>
      <c r="F5942" s="84"/>
      <c r="G5942" s="84"/>
      <c r="I5942" s="237"/>
      <c r="J5942" s="238"/>
    </row>
    <row r="5943">
      <c r="C5943" s="82"/>
      <c r="E5943" s="84"/>
      <c r="F5943" s="84"/>
      <c r="G5943" s="84"/>
      <c r="I5943" s="237"/>
      <c r="J5943" s="238"/>
    </row>
    <row r="5944">
      <c r="C5944" s="82"/>
      <c r="E5944" s="84"/>
      <c r="F5944" s="84"/>
      <c r="G5944" s="84"/>
      <c r="I5944" s="237"/>
      <c r="J5944" s="238"/>
    </row>
    <row r="5945">
      <c r="C5945" s="82"/>
      <c r="E5945" s="84"/>
      <c r="F5945" s="84"/>
      <c r="G5945" s="84"/>
      <c r="I5945" s="237"/>
      <c r="J5945" s="238"/>
    </row>
    <row r="5946">
      <c r="C5946" s="82"/>
      <c r="E5946" s="84"/>
      <c r="F5946" s="84"/>
      <c r="G5946" s="84"/>
      <c r="I5946" s="237"/>
      <c r="J5946" s="238"/>
    </row>
    <row r="5947">
      <c r="C5947" s="82"/>
      <c r="E5947" s="84"/>
      <c r="F5947" s="84"/>
      <c r="G5947" s="84"/>
      <c r="I5947" s="237"/>
      <c r="J5947" s="238"/>
    </row>
    <row r="5948">
      <c r="C5948" s="82"/>
      <c r="E5948" s="84"/>
      <c r="F5948" s="84"/>
      <c r="G5948" s="84"/>
      <c r="I5948" s="237"/>
      <c r="J5948" s="238"/>
    </row>
    <row r="5949">
      <c r="C5949" s="82"/>
      <c r="E5949" s="84"/>
      <c r="F5949" s="84"/>
      <c r="G5949" s="84"/>
      <c r="I5949" s="237"/>
      <c r="J5949" s="238"/>
    </row>
    <row r="5950">
      <c r="C5950" s="82"/>
      <c r="E5950" s="84"/>
      <c r="F5950" s="84"/>
      <c r="G5950" s="84"/>
      <c r="I5950" s="237"/>
      <c r="J5950" s="238"/>
    </row>
    <row r="5951">
      <c r="C5951" s="82"/>
      <c r="E5951" s="84"/>
      <c r="F5951" s="84"/>
      <c r="G5951" s="84"/>
      <c r="I5951" s="237"/>
      <c r="J5951" s="238"/>
    </row>
    <row r="5952">
      <c r="C5952" s="82"/>
      <c r="E5952" s="84"/>
      <c r="F5952" s="84"/>
      <c r="G5952" s="84"/>
      <c r="I5952" s="237"/>
      <c r="J5952" s="238"/>
    </row>
    <row r="5953">
      <c r="C5953" s="82"/>
      <c r="E5953" s="84"/>
      <c r="F5953" s="84"/>
      <c r="G5953" s="84"/>
      <c r="I5953" s="237"/>
      <c r="J5953" s="238"/>
    </row>
    <row r="5954">
      <c r="C5954" s="82"/>
      <c r="E5954" s="84"/>
      <c r="F5954" s="84"/>
      <c r="G5954" s="84"/>
      <c r="I5954" s="237"/>
      <c r="J5954" s="238"/>
    </row>
    <row r="5955">
      <c r="C5955" s="82"/>
      <c r="E5955" s="84"/>
      <c r="F5955" s="84"/>
      <c r="G5955" s="84"/>
      <c r="I5955" s="237"/>
      <c r="J5955" s="238"/>
    </row>
    <row r="5956">
      <c r="C5956" s="82"/>
      <c r="E5956" s="84"/>
      <c r="F5956" s="84"/>
      <c r="G5956" s="84"/>
      <c r="I5956" s="237"/>
      <c r="J5956" s="238"/>
    </row>
    <row r="5957">
      <c r="C5957" s="82"/>
      <c r="E5957" s="84"/>
      <c r="F5957" s="84"/>
      <c r="G5957" s="84"/>
      <c r="I5957" s="237"/>
      <c r="J5957" s="238"/>
    </row>
    <row r="5958">
      <c r="C5958" s="82"/>
      <c r="E5958" s="84"/>
      <c r="F5958" s="84"/>
      <c r="G5958" s="84"/>
      <c r="I5958" s="237"/>
      <c r="J5958" s="238"/>
    </row>
    <row r="5959">
      <c r="C5959" s="82"/>
      <c r="E5959" s="84"/>
      <c r="F5959" s="84"/>
      <c r="G5959" s="84"/>
      <c r="I5959" s="237"/>
      <c r="J5959" s="238"/>
    </row>
    <row r="5960">
      <c r="C5960" s="82"/>
      <c r="E5960" s="84"/>
      <c r="F5960" s="84"/>
      <c r="G5960" s="84"/>
      <c r="I5960" s="237"/>
      <c r="J5960" s="238"/>
    </row>
    <row r="5961">
      <c r="C5961" s="82"/>
      <c r="E5961" s="84"/>
      <c r="F5961" s="84"/>
      <c r="G5961" s="84"/>
      <c r="I5961" s="237"/>
      <c r="J5961" s="238"/>
    </row>
    <row r="5962">
      <c r="C5962" s="82"/>
      <c r="E5962" s="84"/>
      <c r="F5962" s="84"/>
      <c r="G5962" s="84"/>
      <c r="I5962" s="237"/>
      <c r="J5962" s="238"/>
    </row>
    <row r="5963">
      <c r="C5963" s="82"/>
      <c r="E5963" s="84"/>
      <c r="F5963" s="84"/>
      <c r="G5963" s="84"/>
      <c r="I5963" s="237"/>
      <c r="J5963" s="238"/>
    </row>
    <row r="5964">
      <c r="C5964" s="82"/>
      <c r="E5964" s="84"/>
      <c r="F5964" s="84"/>
      <c r="G5964" s="84"/>
      <c r="I5964" s="237"/>
      <c r="J5964" s="238"/>
    </row>
    <row r="5965">
      <c r="C5965" s="82"/>
      <c r="E5965" s="84"/>
      <c r="F5965" s="84"/>
      <c r="G5965" s="84"/>
      <c r="I5965" s="237"/>
      <c r="J5965" s="238"/>
    </row>
    <row r="5966">
      <c r="C5966" s="82"/>
      <c r="E5966" s="84"/>
      <c r="F5966" s="84"/>
      <c r="G5966" s="84"/>
      <c r="I5966" s="237"/>
      <c r="J5966" s="238"/>
    </row>
    <row r="5967">
      <c r="C5967" s="82"/>
      <c r="E5967" s="84"/>
      <c r="F5967" s="84"/>
      <c r="G5967" s="84"/>
      <c r="I5967" s="237"/>
      <c r="J5967" s="238"/>
    </row>
    <row r="5968">
      <c r="C5968" s="82"/>
      <c r="E5968" s="84"/>
      <c r="F5968" s="84"/>
      <c r="G5968" s="84"/>
      <c r="I5968" s="237"/>
      <c r="J5968" s="238"/>
    </row>
    <row r="5969">
      <c r="C5969" s="82"/>
      <c r="E5969" s="84"/>
      <c r="F5969" s="84"/>
      <c r="G5969" s="84"/>
      <c r="I5969" s="237"/>
      <c r="J5969" s="238"/>
    </row>
    <row r="5970">
      <c r="C5970" s="82"/>
      <c r="E5970" s="84"/>
      <c r="F5970" s="84"/>
      <c r="G5970" s="84"/>
      <c r="I5970" s="237"/>
      <c r="J5970" s="238"/>
    </row>
    <row r="5971">
      <c r="C5971" s="82"/>
      <c r="E5971" s="84"/>
      <c r="F5971" s="84"/>
      <c r="G5971" s="84"/>
      <c r="I5971" s="237"/>
      <c r="J5971" s="238"/>
    </row>
    <row r="5972">
      <c r="C5972" s="82"/>
      <c r="E5972" s="84"/>
      <c r="F5972" s="84"/>
      <c r="G5972" s="84"/>
      <c r="I5972" s="237"/>
      <c r="J5972" s="238"/>
    </row>
    <row r="5973">
      <c r="C5973" s="82"/>
      <c r="E5973" s="84"/>
      <c r="F5973" s="84"/>
      <c r="G5973" s="84"/>
      <c r="I5973" s="237"/>
      <c r="J5973" s="238"/>
    </row>
    <row r="5974">
      <c r="C5974" s="82"/>
      <c r="E5974" s="84"/>
      <c r="F5974" s="84"/>
      <c r="G5974" s="84"/>
      <c r="I5974" s="237"/>
      <c r="J5974" s="238"/>
    </row>
    <row r="5975">
      <c r="C5975" s="82"/>
      <c r="E5975" s="84"/>
      <c r="F5975" s="84"/>
      <c r="G5975" s="84"/>
      <c r="I5975" s="237"/>
      <c r="J5975" s="238"/>
    </row>
    <row r="5976">
      <c r="C5976" s="82"/>
      <c r="E5976" s="84"/>
      <c r="F5976" s="84"/>
      <c r="G5976" s="84"/>
      <c r="I5976" s="237"/>
      <c r="J5976" s="238"/>
    </row>
    <row r="5977">
      <c r="C5977" s="82"/>
      <c r="E5977" s="84"/>
      <c r="F5977" s="84"/>
      <c r="G5977" s="84"/>
      <c r="I5977" s="237"/>
      <c r="J5977" s="238"/>
    </row>
    <row r="5978">
      <c r="C5978" s="82"/>
      <c r="E5978" s="84"/>
      <c r="F5978" s="84"/>
      <c r="G5978" s="84"/>
      <c r="I5978" s="237"/>
      <c r="J5978" s="238"/>
    </row>
    <row r="5979">
      <c r="C5979" s="82"/>
      <c r="E5979" s="84"/>
      <c r="F5979" s="84"/>
      <c r="G5979" s="84"/>
      <c r="I5979" s="237"/>
      <c r="J5979" s="238"/>
    </row>
    <row r="5980">
      <c r="C5980" s="82"/>
      <c r="E5980" s="84"/>
      <c r="F5980" s="84"/>
      <c r="G5980" s="84"/>
      <c r="I5980" s="237"/>
      <c r="J5980" s="238"/>
    </row>
    <row r="5981">
      <c r="C5981" s="82"/>
      <c r="E5981" s="84"/>
      <c r="F5981" s="84"/>
      <c r="G5981" s="84"/>
      <c r="I5981" s="237"/>
      <c r="J5981" s="238"/>
    </row>
    <row r="5982">
      <c r="C5982" s="82"/>
      <c r="E5982" s="84"/>
      <c r="F5982" s="84"/>
      <c r="G5982" s="84"/>
      <c r="I5982" s="237"/>
      <c r="J5982" s="238"/>
    </row>
    <row r="5983">
      <c r="C5983" s="82"/>
      <c r="E5983" s="84"/>
      <c r="F5983" s="84"/>
      <c r="G5983" s="84"/>
      <c r="I5983" s="237"/>
      <c r="J5983" s="238"/>
    </row>
    <row r="5984">
      <c r="C5984" s="82"/>
      <c r="E5984" s="84"/>
      <c r="F5984" s="84"/>
      <c r="G5984" s="84"/>
      <c r="I5984" s="237"/>
      <c r="J5984" s="238"/>
    </row>
    <row r="5985">
      <c r="C5985" s="82"/>
      <c r="E5985" s="84"/>
      <c r="F5985" s="84"/>
      <c r="G5985" s="84"/>
      <c r="I5985" s="237"/>
      <c r="J5985" s="238"/>
    </row>
    <row r="5986">
      <c r="C5986" s="82"/>
      <c r="E5986" s="84"/>
      <c r="F5986" s="84"/>
      <c r="G5986" s="84"/>
      <c r="I5986" s="237"/>
      <c r="J5986" s="238"/>
    </row>
    <row r="5987">
      <c r="C5987" s="82"/>
      <c r="E5987" s="84"/>
      <c r="F5987" s="84"/>
      <c r="G5987" s="84"/>
      <c r="I5987" s="237"/>
      <c r="J5987" s="238"/>
    </row>
    <row r="5988">
      <c r="C5988" s="82"/>
      <c r="E5988" s="84"/>
      <c r="F5988" s="84"/>
      <c r="G5988" s="84"/>
      <c r="I5988" s="237"/>
      <c r="J5988" s="238"/>
    </row>
    <row r="5989">
      <c r="C5989" s="82"/>
      <c r="E5989" s="84"/>
      <c r="F5989" s="84"/>
      <c r="G5989" s="84"/>
      <c r="I5989" s="237"/>
      <c r="J5989" s="238"/>
    </row>
    <row r="5990">
      <c r="C5990" s="82"/>
      <c r="E5990" s="84"/>
      <c r="F5990" s="84"/>
      <c r="G5990" s="84"/>
      <c r="I5990" s="237"/>
      <c r="J5990" s="238"/>
    </row>
    <row r="5991">
      <c r="C5991" s="82"/>
      <c r="E5991" s="84"/>
      <c r="F5991" s="84"/>
      <c r="G5991" s="84"/>
      <c r="I5991" s="237"/>
      <c r="J5991" s="238"/>
    </row>
    <row r="5992">
      <c r="C5992" s="82"/>
      <c r="E5992" s="84"/>
      <c r="F5992" s="84"/>
      <c r="G5992" s="84"/>
      <c r="I5992" s="237"/>
      <c r="J5992" s="238"/>
    </row>
    <row r="5993">
      <c r="C5993" s="82"/>
      <c r="E5993" s="84"/>
      <c r="F5993" s="84"/>
      <c r="G5993" s="84"/>
      <c r="I5993" s="237"/>
      <c r="J5993" s="238"/>
    </row>
    <row r="5994">
      <c r="C5994" s="82"/>
      <c r="E5994" s="84"/>
      <c r="F5994" s="84"/>
      <c r="G5994" s="84"/>
      <c r="I5994" s="237"/>
      <c r="J5994" s="238"/>
    </row>
    <row r="5995">
      <c r="C5995" s="82"/>
      <c r="E5995" s="84"/>
      <c r="F5995" s="84"/>
      <c r="G5995" s="84"/>
      <c r="I5995" s="237"/>
      <c r="J5995" s="238"/>
    </row>
    <row r="5996">
      <c r="C5996" s="82"/>
      <c r="E5996" s="84"/>
      <c r="F5996" s="84"/>
      <c r="G5996" s="84"/>
      <c r="I5996" s="237"/>
      <c r="J5996" s="238"/>
    </row>
    <row r="5997">
      <c r="C5997" s="82"/>
      <c r="E5997" s="84"/>
      <c r="F5997" s="84"/>
      <c r="G5997" s="84"/>
      <c r="I5997" s="237"/>
      <c r="J5997" s="238"/>
    </row>
    <row r="5998">
      <c r="C5998" s="82"/>
      <c r="E5998" s="84"/>
      <c r="F5998" s="84"/>
      <c r="G5998" s="84"/>
      <c r="I5998" s="237"/>
      <c r="J5998" s="238"/>
    </row>
    <row r="5999">
      <c r="C5999" s="82"/>
      <c r="E5999" s="84"/>
      <c r="F5999" s="84"/>
      <c r="G5999" s="84"/>
      <c r="I5999" s="237"/>
      <c r="J5999" s="238"/>
    </row>
    <row r="6000">
      <c r="C6000" s="82"/>
      <c r="E6000" s="84"/>
      <c r="F6000" s="84"/>
      <c r="G6000" s="84"/>
      <c r="I6000" s="237"/>
      <c r="J6000" s="238"/>
    </row>
    <row r="6001">
      <c r="C6001" s="82"/>
      <c r="E6001" s="84"/>
      <c r="F6001" s="84"/>
      <c r="G6001" s="84"/>
      <c r="I6001" s="237"/>
      <c r="J6001" s="238"/>
    </row>
    <row r="6002">
      <c r="C6002" s="82"/>
      <c r="E6002" s="84"/>
      <c r="F6002" s="84"/>
      <c r="G6002" s="84"/>
      <c r="I6002" s="237"/>
      <c r="J6002" s="238"/>
    </row>
    <row r="6003">
      <c r="C6003" s="82"/>
      <c r="E6003" s="84"/>
      <c r="F6003" s="84"/>
      <c r="G6003" s="84"/>
      <c r="I6003" s="237"/>
      <c r="J6003" s="238"/>
    </row>
    <row r="6004">
      <c r="C6004" s="82"/>
      <c r="E6004" s="84"/>
      <c r="F6004" s="84"/>
      <c r="G6004" s="84"/>
      <c r="I6004" s="237"/>
      <c r="J6004" s="238"/>
    </row>
    <row r="6005">
      <c r="C6005" s="82"/>
      <c r="E6005" s="84"/>
      <c r="F6005" s="84"/>
      <c r="G6005" s="84"/>
      <c r="I6005" s="237"/>
      <c r="J6005" s="238"/>
    </row>
    <row r="6006">
      <c r="C6006" s="82"/>
      <c r="E6006" s="84"/>
      <c r="F6006" s="84"/>
      <c r="G6006" s="84"/>
      <c r="I6006" s="237"/>
      <c r="J6006" s="238"/>
    </row>
    <row r="6007">
      <c r="C6007" s="82"/>
      <c r="E6007" s="84"/>
      <c r="F6007" s="84"/>
      <c r="G6007" s="84"/>
      <c r="I6007" s="237"/>
      <c r="J6007" s="238"/>
    </row>
    <row r="6008">
      <c r="C6008" s="82"/>
      <c r="E6008" s="84"/>
      <c r="F6008" s="84"/>
      <c r="G6008" s="84"/>
      <c r="I6008" s="237"/>
      <c r="J6008" s="238"/>
    </row>
    <row r="6009">
      <c r="C6009" s="82"/>
      <c r="E6009" s="84"/>
      <c r="F6009" s="84"/>
      <c r="G6009" s="84"/>
      <c r="I6009" s="237"/>
      <c r="J6009" s="238"/>
    </row>
    <row r="6010">
      <c r="C6010" s="82"/>
      <c r="E6010" s="84"/>
      <c r="F6010" s="84"/>
      <c r="G6010" s="84"/>
      <c r="I6010" s="237"/>
      <c r="J6010" s="238"/>
    </row>
    <row r="6011">
      <c r="C6011" s="82"/>
      <c r="E6011" s="84"/>
      <c r="F6011" s="84"/>
      <c r="G6011" s="84"/>
      <c r="I6011" s="237"/>
      <c r="J6011" s="238"/>
    </row>
    <row r="6012">
      <c r="C6012" s="82"/>
      <c r="E6012" s="84"/>
      <c r="F6012" s="84"/>
      <c r="G6012" s="84"/>
      <c r="I6012" s="237"/>
      <c r="J6012" s="238"/>
    </row>
    <row r="6013">
      <c r="C6013" s="82"/>
      <c r="E6013" s="84"/>
      <c r="F6013" s="84"/>
      <c r="G6013" s="84"/>
      <c r="I6013" s="237"/>
      <c r="J6013" s="238"/>
    </row>
    <row r="6014">
      <c r="C6014" s="82"/>
      <c r="E6014" s="84"/>
      <c r="F6014" s="84"/>
      <c r="G6014" s="84"/>
      <c r="I6014" s="237"/>
      <c r="J6014" s="238"/>
    </row>
    <row r="6015">
      <c r="C6015" s="82"/>
      <c r="E6015" s="84"/>
      <c r="F6015" s="84"/>
      <c r="G6015" s="84"/>
      <c r="I6015" s="237"/>
      <c r="J6015" s="238"/>
    </row>
    <row r="6016">
      <c r="C6016" s="82"/>
      <c r="E6016" s="84"/>
      <c r="F6016" s="84"/>
      <c r="G6016" s="84"/>
      <c r="I6016" s="237"/>
      <c r="J6016" s="238"/>
    </row>
    <row r="6017">
      <c r="C6017" s="82"/>
      <c r="E6017" s="84"/>
      <c r="F6017" s="84"/>
      <c r="G6017" s="84"/>
      <c r="I6017" s="237"/>
      <c r="J6017" s="238"/>
    </row>
    <row r="6018">
      <c r="C6018" s="82"/>
      <c r="E6018" s="84"/>
      <c r="F6018" s="84"/>
      <c r="G6018" s="84"/>
      <c r="I6018" s="237"/>
      <c r="J6018" s="238"/>
    </row>
    <row r="6019">
      <c r="C6019" s="82"/>
      <c r="E6019" s="84"/>
      <c r="F6019" s="84"/>
      <c r="G6019" s="84"/>
      <c r="I6019" s="237"/>
      <c r="J6019" s="238"/>
    </row>
    <row r="6020">
      <c r="C6020" s="82"/>
      <c r="E6020" s="84"/>
      <c r="F6020" s="84"/>
      <c r="G6020" s="84"/>
      <c r="I6020" s="237"/>
      <c r="J6020" s="238"/>
    </row>
    <row r="6021">
      <c r="C6021" s="82"/>
      <c r="E6021" s="84"/>
      <c r="F6021" s="84"/>
      <c r="G6021" s="84"/>
      <c r="I6021" s="237"/>
      <c r="J6021" s="238"/>
    </row>
    <row r="6022">
      <c r="C6022" s="82"/>
      <c r="E6022" s="84"/>
      <c r="F6022" s="84"/>
      <c r="G6022" s="84"/>
      <c r="I6022" s="237"/>
      <c r="J6022" s="238"/>
    </row>
    <row r="6023">
      <c r="C6023" s="82"/>
      <c r="E6023" s="84"/>
      <c r="F6023" s="84"/>
      <c r="G6023" s="84"/>
      <c r="I6023" s="237"/>
      <c r="J6023" s="238"/>
    </row>
    <row r="6024">
      <c r="C6024" s="82"/>
      <c r="E6024" s="84"/>
      <c r="F6024" s="84"/>
      <c r="G6024" s="84"/>
      <c r="I6024" s="237"/>
      <c r="J6024" s="238"/>
    </row>
    <row r="6025">
      <c r="C6025" s="82"/>
      <c r="E6025" s="84"/>
      <c r="F6025" s="84"/>
      <c r="G6025" s="84"/>
      <c r="I6025" s="237"/>
      <c r="J6025" s="238"/>
    </row>
    <row r="6026">
      <c r="C6026" s="82"/>
      <c r="E6026" s="84"/>
      <c r="F6026" s="84"/>
      <c r="G6026" s="84"/>
      <c r="I6026" s="237"/>
      <c r="J6026" s="238"/>
    </row>
    <row r="6027">
      <c r="C6027" s="82"/>
      <c r="E6027" s="84"/>
      <c r="F6027" s="84"/>
      <c r="G6027" s="84"/>
      <c r="I6027" s="237"/>
      <c r="J6027" s="238"/>
    </row>
    <row r="6028">
      <c r="C6028" s="82"/>
      <c r="E6028" s="84"/>
      <c r="F6028" s="84"/>
      <c r="G6028" s="84"/>
      <c r="I6028" s="237"/>
      <c r="J6028" s="238"/>
    </row>
    <row r="6029">
      <c r="C6029" s="82"/>
      <c r="E6029" s="84"/>
      <c r="F6029" s="84"/>
      <c r="G6029" s="84"/>
      <c r="I6029" s="237"/>
      <c r="J6029" s="238"/>
    </row>
    <row r="6030">
      <c r="C6030" s="82"/>
      <c r="E6030" s="84"/>
      <c r="F6030" s="84"/>
      <c r="G6030" s="84"/>
      <c r="I6030" s="237"/>
      <c r="J6030" s="238"/>
    </row>
    <row r="6031">
      <c r="C6031" s="82"/>
      <c r="E6031" s="84"/>
      <c r="F6031" s="84"/>
      <c r="G6031" s="84"/>
      <c r="I6031" s="237"/>
      <c r="J6031" s="238"/>
    </row>
    <row r="6032">
      <c r="C6032" s="82"/>
      <c r="E6032" s="84"/>
      <c r="F6032" s="84"/>
      <c r="G6032" s="84"/>
      <c r="I6032" s="237"/>
      <c r="J6032" s="238"/>
    </row>
    <row r="6033">
      <c r="C6033" s="82"/>
      <c r="E6033" s="84"/>
      <c r="F6033" s="84"/>
      <c r="G6033" s="84"/>
      <c r="I6033" s="237"/>
      <c r="J6033" s="238"/>
    </row>
    <row r="6034">
      <c r="C6034" s="82"/>
      <c r="E6034" s="84"/>
      <c r="F6034" s="84"/>
      <c r="G6034" s="84"/>
      <c r="I6034" s="237"/>
      <c r="J6034" s="238"/>
    </row>
    <row r="6035">
      <c r="C6035" s="82"/>
      <c r="E6035" s="84"/>
      <c r="F6035" s="84"/>
      <c r="G6035" s="84"/>
      <c r="I6035" s="237"/>
      <c r="J6035" s="238"/>
    </row>
    <row r="6036">
      <c r="C6036" s="82"/>
      <c r="E6036" s="84"/>
      <c r="F6036" s="84"/>
      <c r="G6036" s="84"/>
      <c r="I6036" s="237"/>
      <c r="J6036" s="238"/>
    </row>
    <row r="6037">
      <c r="C6037" s="82"/>
      <c r="E6037" s="84"/>
      <c r="F6037" s="84"/>
      <c r="G6037" s="84"/>
      <c r="I6037" s="237"/>
      <c r="J6037" s="238"/>
    </row>
    <row r="6038">
      <c r="C6038" s="82"/>
      <c r="E6038" s="84"/>
      <c r="F6038" s="84"/>
      <c r="G6038" s="84"/>
      <c r="I6038" s="237"/>
      <c r="J6038" s="238"/>
    </row>
    <row r="6039">
      <c r="C6039" s="82"/>
      <c r="E6039" s="84"/>
      <c r="F6039" s="84"/>
      <c r="G6039" s="84"/>
      <c r="I6039" s="237"/>
      <c r="J6039" s="238"/>
    </row>
    <row r="6040">
      <c r="C6040" s="82"/>
      <c r="E6040" s="84"/>
      <c r="F6040" s="84"/>
      <c r="G6040" s="84"/>
      <c r="I6040" s="237"/>
      <c r="J6040" s="238"/>
    </row>
    <row r="6041">
      <c r="C6041" s="82"/>
      <c r="E6041" s="84"/>
      <c r="F6041" s="84"/>
      <c r="G6041" s="84"/>
      <c r="I6041" s="237"/>
      <c r="J6041" s="238"/>
    </row>
    <row r="6042">
      <c r="C6042" s="82"/>
      <c r="E6042" s="84"/>
      <c r="F6042" s="84"/>
      <c r="G6042" s="84"/>
      <c r="I6042" s="237"/>
      <c r="J6042" s="238"/>
    </row>
    <row r="6043">
      <c r="C6043" s="82"/>
      <c r="E6043" s="84"/>
      <c r="F6043" s="84"/>
      <c r="G6043" s="84"/>
      <c r="I6043" s="237"/>
      <c r="J6043" s="238"/>
    </row>
    <row r="6044">
      <c r="C6044" s="82"/>
      <c r="E6044" s="84"/>
      <c r="F6044" s="84"/>
      <c r="G6044" s="84"/>
      <c r="I6044" s="237"/>
      <c r="J6044" s="238"/>
    </row>
    <row r="6045">
      <c r="C6045" s="82"/>
      <c r="E6045" s="84"/>
      <c r="F6045" s="84"/>
      <c r="G6045" s="84"/>
      <c r="I6045" s="237"/>
      <c r="J6045" s="238"/>
    </row>
    <row r="6046">
      <c r="C6046" s="82"/>
      <c r="E6046" s="84"/>
      <c r="F6046" s="84"/>
      <c r="G6046" s="84"/>
      <c r="I6046" s="237"/>
      <c r="J6046" s="238"/>
    </row>
    <row r="6047">
      <c r="C6047" s="82"/>
      <c r="E6047" s="84"/>
      <c r="F6047" s="84"/>
      <c r="G6047" s="84"/>
      <c r="I6047" s="237"/>
      <c r="J6047" s="238"/>
    </row>
    <row r="6048">
      <c r="C6048" s="82"/>
      <c r="E6048" s="84"/>
      <c r="F6048" s="84"/>
      <c r="G6048" s="84"/>
      <c r="I6048" s="237"/>
      <c r="J6048" s="238"/>
    </row>
    <row r="6049">
      <c r="C6049" s="82"/>
      <c r="E6049" s="84"/>
      <c r="F6049" s="84"/>
      <c r="G6049" s="84"/>
      <c r="I6049" s="237"/>
      <c r="J6049" s="238"/>
    </row>
    <row r="6050">
      <c r="C6050" s="82"/>
      <c r="E6050" s="84"/>
      <c r="F6050" s="84"/>
      <c r="G6050" s="84"/>
      <c r="I6050" s="237"/>
      <c r="J6050" s="238"/>
    </row>
    <row r="6051">
      <c r="C6051" s="82"/>
      <c r="E6051" s="84"/>
      <c r="F6051" s="84"/>
      <c r="G6051" s="84"/>
      <c r="I6051" s="237"/>
      <c r="J6051" s="238"/>
    </row>
    <row r="6052">
      <c r="C6052" s="82"/>
      <c r="E6052" s="84"/>
      <c r="F6052" s="84"/>
      <c r="G6052" s="84"/>
      <c r="I6052" s="237"/>
      <c r="J6052" s="238"/>
    </row>
    <row r="6053">
      <c r="C6053" s="82"/>
      <c r="E6053" s="84"/>
      <c r="F6053" s="84"/>
      <c r="G6053" s="84"/>
      <c r="I6053" s="237"/>
      <c r="J6053" s="238"/>
    </row>
    <row r="6054">
      <c r="C6054" s="82"/>
      <c r="E6054" s="84"/>
      <c r="F6054" s="84"/>
      <c r="G6054" s="84"/>
      <c r="I6054" s="237"/>
      <c r="J6054" s="238"/>
    </row>
    <row r="6055">
      <c r="C6055" s="82"/>
      <c r="E6055" s="84"/>
      <c r="F6055" s="84"/>
      <c r="G6055" s="84"/>
      <c r="I6055" s="237"/>
      <c r="J6055" s="238"/>
    </row>
    <row r="6056">
      <c r="C6056" s="82"/>
      <c r="E6056" s="84"/>
      <c r="F6056" s="84"/>
      <c r="G6056" s="84"/>
      <c r="I6056" s="237"/>
      <c r="J6056" s="238"/>
    </row>
    <row r="6057">
      <c r="C6057" s="82"/>
      <c r="E6057" s="84"/>
      <c r="F6057" s="84"/>
      <c r="G6057" s="84"/>
      <c r="I6057" s="237"/>
      <c r="J6057" s="238"/>
    </row>
    <row r="6058">
      <c r="C6058" s="82"/>
      <c r="E6058" s="84"/>
      <c r="F6058" s="84"/>
      <c r="G6058" s="84"/>
      <c r="I6058" s="237"/>
      <c r="J6058" s="238"/>
    </row>
    <row r="6059">
      <c r="C6059" s="82"/>
      <c r="E6059" s="84"/>
      <c r="F6059" s="84"/>
      <c r="G6059" s="84"/>
      <c r="I6059" s="237"/>
      <c r="J6059" s="238"/>
    </row>
    <row r="6060">
      <c r="C6060" s="82"/>
      <c r="E6060" s="84"/>
      <c r="F6060" s="84"/>
      <c r="G6060" s="84"/>
      <c r="I6060" s="237"/>
      <c r="J6060" s="238"/>
    </row>
    <row r="6061">
      <c r="C6061" s="82"/>
      <c r="E6061" s="84"/>
      <c r="F6061" s="84"/>
      <c r="G6061" s="84"/>
      <c r="I6061" s="237"/>
      <c r="J6061" s="238"/>
    </row>
    <row r="6062">
      <c r="C6062" s="82"/>
      <c r="E6062" s="84"/>
      <c r="F6062" s="84"/>
      <c r="G6062" s="84"/>
      <c r="I6062" s="237"/>
      <c r="J6062" s="238"/>
    </row>
    <row r="6063">
      <c r="C6063" s="82"/>
      <c r="E6063" s="84"/>
      <c r="F6063" s="84"/>
      <c r="G6063" s="84"/>
      <c r="I6063" s="237"/>
      <c r="J6063" s="238"/>
    </row>
    <row r="6064">
      <c r="C6064" s="82"/>
      <c r="E6064" s="84"/>
      <c r="F6064" s="84"/>
      <c r="G6064" s="84"/>
      <c r="I6064" s="237"/>
      <c r="J6064" s="238"/>
    </row>
    <row r="6065">
      <c r="C6065" s="82"/>
      <c r="E6065" s="84"/>
      <c r="F6065" s="84"/>
      <c r="G6065" s="84"/>
      <c r="I6065" s="237"/>
      <c r="J6065" s="238"/>
    </row>
    <row r="6066">
      <c r="C6066" s="82"/>
      <c r="E6066" s="84"/>
      <c r="F6066" s="84"/>
      <c r="G6066" s="84"/>
      <c r="I6066" s="237"/>
      <c r="J6066" s="238"/>
    </row>
    <row r="6067">
      <c r="C6067" s="82"/>
      <c r="E6067" s="84"/>
      <c r="F6067" s="84"/>
      <c r="G6067" s="84"/>
      <c r="I6067" s="237"/>
      <c r="J6067" s="238"/>
    </row>
    <row r="6068">
      <c r="C6068" s="82"/>
      <c r="E6068" s="84"/>
      <c r="F6068" s="84"/>
      <c r="G6068" s="84"/>
      <c r="I6068" s="237"/>
      <c r="J6068" s="238"/>
    </row>
    <row r="6069">
      <c r="C6069" s="82"/>
      <c r="E6069" s="84"/>
      <c r="F6069" s="84"/>
      <c r="G6069" s="84"/>
      <c r="I6069" s="237"/>
      <c r="J6069" s="238"/>
    </row>
    <row r="6070">
      <c r="C6070" s="82"/>
      <c r="E6070" s="84"/>
      <c r="F6070" s="84"/>
      <c r="G6070" s="84"/>
      <c r="I6070" s="237"/>
      <c r="J6070" s="238"/>
    </row>
    <row r="6071">
      <c r="C6071" s="82"/>
      <c r="E6071" s="84"/>
      <c r="F6071" s="84"/>
      <c r="G6071" s="84"/>
      <c r="I6071" s="237"/>
      <c r="J6071" s="238"/>
    </row>
    <row r="6072">
      <c r="C6072" s="82"/>
      <c r="E6072" s="84"/>
      <c r="F6072" s="84"/>
      <c r="G6072" s="84"/>
      <c r="I6072" s="237"/>
      <c r="J6072" s="238"/>
    </row>
    <row r="6073">
      <c r="C6073" s="82"/>
      <c r="E6073" s="84"/>
      <c r="F6073" s="84"/>
      <c r="G6073" s="84"/>
      <c r="I6073" s="237"/>
      <c r="J6073" s="238"/>
    </row>
    <row r="6074">
      <c r="C6074" s="82"/>
      <c r="E6074" s="84"/>
      <c r="F6074" s="84"/>
      <c r="G6074" s="84"/>
      <c r="I6074" s="237"/>
      <c r="J6074" s="238"/>
    </row>
    <row r="6075">
      <c r="C6075" s="82"/>
      <c r="E6075" s="84"/>
      <c r="F6075" s="84"/>
      <c r="G6075" s="84"/>
      <c r="I6075" s="237"/>
      <c r="J6075" s="238"/>
    </row>
    <row r="6076">
      <c r="C6076" s="82"/>
      <c r="E6076" s="84"/>
      <c r="F6076" s="84"/>
      <c r="G6076" s="84"/>
      <c r="I6076" s="237"/>
      <c r="J6076" s="238"/>
    </row>
    <row r="6077">
      <c r="C6077" s="82"/>
      <c r="E6077" s="84"/>
      <c r="F6077" s="84"/>
      <c r="G6077" s="84"/>
      <c r="I6077" s="237"/>
      <c r="J6077" s="238"/>
    </row>
    <row r="6078">
      <c r="C6078" s="82"/>
      <c r="E6078" s="84"/>
      <c r="F6078" s="84"/>
      <c r="G6078" s="84"/>
      <c r="I6078" s="237"/>
      <c r="J6078" s="238"/>
    </row>
    <row r="6079">
      <c r="C6079" s="82"/>
      <c r="E6079" s="84"/>
      <c r="F6079" s="84"/>
      <c r="G6079" s="84"/>
      <c r="I6079" s="237"/>
      <c r="J6079" s="238"/>
    </row>
    <row r="6080">
      <c r="C6080" s="82"/>
      <c r="E6080" s="84"/>
      <c r="F6080" s="84"/>
      <c r="G6080" s="84"/>
      <c r="I6080" s="237"/>
      <c r="J6080" s="238"/>
    </row>
    <row r="6081">
      <c r="C6081" s="82"/>
      <c r="E6081" s="84"/>
      <c r="F6081" s="84"/>
      <c r="G6081" s="84"/>
      <c r="I6081" s="237"/>
      <c r="J6081" s="238"/>
    </row>
    <row r="6082">
      <c r="C6082" s="82"/>
      <c r="E6082" s="84"/>
      <c r="F6082" s="84"/>
      <c r="G6082" s="84"/>
      <c r="I6082" s="237"/>
      <c r="J6082" s="238"/>
    </row>
    <row r="6083">
      <c r="C6083" s="82"/>
      <c r="E6083" s="84"/>
      <c r="F6083" s="84"/>
      <c r="G6083" s="84"/>
      <c r="I6083" s="237"/>
      <c r="J6083" s="238"/>
    </row>
    <row r="6084">
      <c r="C6084" s="82"/>
      <c r="E6084" s="84"/>
      <c r="F6084" s="84"/>
      <c r="G6084" s="84"/>
      <c r="I6084" s="237"/>
      <c r="J6084" s="238"/>
    </row>
    <row r="6085">
      <c r="C6085" s="82"/>
      <c r="E6085" s="84"/>
      <c r="F6085" s="84"/>
      <c r="G6085" s="84"/>
      <c r="I6085" s="237"/>
      <c r="J6085" s="238"/>
    </row>
    <row r="6086">
      <c r="C6086" s="82"/>
      <c r="E6086" s="84"/>
      <c r="F6086" s="84"/>
      <c r="G6086" s="84"/>
      <c r="I6086" s="237"/>
      <c r="J6086" s="238"/>
    </row>
    <row r="6087">
      <c r="C6087" s="82"/>
      <c r="E6087" s="84"/>
      <c r="F6087" s="84"/>
      <c r="G6087" s="84"/>
      <c r="I6087" s="237"/>
      <c r="J6087" s="238"/>
    </row>
    <row r="6088">
      <c r="C6088" s="82"/>
      <c r="E6088" s="84"/>
      <c r="F6088" s="84"/>
      <c r="G6088" s="84"/>
      <c r="I6088" s="237"/>
      <c r="J6088" s="238"/>
    </row>
    <row r="6089">
      <c r="C6089" s="82"/>
      <c r="E6089" s="84"/>
      <c r="F6089" s="84"/>
      <c r="G6089" s="84"/>
      <c r="I6089" s="237"/>
      <c r="J6089" s="238"/>
    </row>
    <row r="6090">
      <c r="C6090" s="82"/>
      <c r="E6090" s="84"/>
      <c r="F6090" s="84"/>
      <c r="G6090" s="84"/>
      <c r="I6090" s="237"/>
      <c r="J6090" s="238"/>
    </row>
    <row r="6091">
      <c r="C6091" s="82"/>
      <c r="E6091" s="84"/>
      <c r="F6091" s="84"/>
      <c r="G6091" s="84"/>
      <c r="I6091" s="237"/>
      <c r="J6091" s="238"/>
    </row>
    <row r="6092">
      <c r="C6092" s="82"/>
      <c r="E6092" s="84"/>
      <c r="F6092" s="84"/>
      <c r="G6092" s="84"/>
      <c r="I6092" s="237"/>
      <c r="J6092" s="238"/>
    </row>
    <row r="6093">
      <c r="C6093" s="82"/>
      <c r="E6093" s="84"/>
      <c r="F6093" s="84"/>
      <c r="G6093" s="84"/>
      <c r="I6093" s="237"/>
      <c r="J6093" s="238"/>
    </row>
    <row r="6094">
      <c r="C6094" s="82"/>
      <c r="E6094" s="84"/>
      <c r="F6094" s="84"/>
      <c r="G6094" s="84"/>
      <c r="I6094" s="237"/>
      <c r="J6094" s="238"/>
    </row>
    <row r="6095">
      <c r="C6095" s="82"/>
      <c r="E6095" s="84"/>
      <c r="F6095" s="84"/>
      <c r="G6095" s="84"/>
      <c r="I6095" s="237"/>
      <c r="J6095" s="238"/>
    </row>
    <row r="6096">
      <c r="C6096" s="82"/>
      <c r="E6096" s="84"/>
      <c r="F6096" s="84"/>
      <c r="G6096" s="84"/>
      <c r="I6096" s="237"/>
      <c r="J6096" s="238"/>
    </row>
    <row r="6097">
      <c r="C6097" s="82"/>
      <c r="E6097" s="84"/>
      <c r="F6097" s="84"/>
      <c r="G6097" s="84"/>
      <c r="I6097" s="237"/>
      <c r="J6097" s="238"/>
    </row>
    <row r="6098">
      <c r="C6098" s="82"/>
      <c r="E6098" s="84"/>
      <c r="F6098" s="84"/>
      <c r="G6098" s="84"/>
      <c r="I6098" s="237"/>
      <c r="J6098" s="238"/>
    </row>
    <row r="6099">
      <c r="C6099" s="82"/>
      <c r="E6099" s="84"/>
      <c r="F6099" s="84"/>
      <c r="G6099" s="84"/>
      <c r="I6099" s="237"/>
      <c r="J6099" s="238"/>
    </row>
    <row r="6100">
      <c r="C6100" s="82"/>
      <c r="E6100" s="84"/>
      <c r="F6100" s="84"/>
      <c r="G6100" s="84"/>
      <c r="I6100" s="237"/>
      <c r="J6100" s="238"/>
    </row>
    <row r="6101">
      <c r="C6101" s="82"/>
      <c r="E6101" s="84"/>
      <c r="F6101" s="84"/>
      <c r="G6101" s="84"/>
      <c r="I6101" s="237"/>
      <c r="J6101" s="238"/>
    </row>
    <row r="6102">
      <c r="C6102" s="82"/>
      <c r="E6102" s="84"/>
      <c r="F6102" s="84"/>
      <c r="G6102" s="84"/>
      <c r="I6102" s="237"/>
      <c r="J6102" s="238"/>
    </row>
    <row r="6103">
      <c r="C6103" s="82"/>
      <c r="E6103" s="84"/>
      <c r="F6103" s="84"/>
      <c r="G6103" s="84"/>
      <c r="I6103" s="237"/>
      <c r="J6103" s="238"/>
    </row>
    <row r="6104">
      <c r="C6104" s="82"/>
      <c r="E6104" s="84"/>
      <c r="F6104" s="84"/>
      <c r="G6104" s="84"/>
      <c r="I6104" s="237"/>
      <c r="J6104" s="238"/>
    </row>
    <row r="6105">
      <c r="C6105" s="82"/>
      <c r="E6105" s="84"/>
      <c r="F6105" s="84"/>
      <c r="G6105" s="84"/>
      <c r="I6105" s="237"/>
      <c r="J6105" s="238"/>
    </row>
    <row r="6106">
      <c r="C6106" s="82"/>
      <c r="E6106" s="84"/>
      <c r="F6106" s="84"/>
      <c r="G6106" s="84"/>
      <c r="I6106" s="237"/>
      <c r="J6106" s="238"/>
    </row>
    <row r="6107">
      <c r="C6107" s="82"/>
      <c r="E6107" s="84"/>
      <c r="F6107" s="84"/>
      <c r="G6107" s="84"/>
      <c r="I6107" s="237"/>
      <c r="J6107" s="238"/>
    </row>
    <row r="6108">
      <c r="C6108" s="82"/>
      <c r="E6108" s="84"/>
      <c r="F6108" s="84"/>
      <c r="G6108" s="84"/>
      <c r="I6108" s="237"/>
      <c r="J6108" s="238"/>
    </row>
    <row r="6109">
      <c r="C6109" s="82"/>
      <c r="E6109" s="84"/>
      <c r="F6109" s="84"/>
      <c r="G6109" s="84"/>
      <c r="I6109" s="237"/>
      <c r="J6109" s="238"/>
    </row>
    <row r="6110">
      <c r="C6110" s="82"/>
      <c r="E6110" s="84"/>
      <c r="F6110" s="84"/>
      <c r="G6110" s="84"/>
      <c r="I6110" s="237"/>
      <c r="J6110" s="238"/>
    </row>
    <row r="6111">
      <c r="C6111" s="82"/>
      <c r="E6111" s="84"/>
      <c r="F6111" s="84"/>
      <c r="G6111" s="84"/>
      <c r="I6111" s="237"/>
      <c r="J6111" s="238"/>
    </row>
    <row r="6112">
      <c r="C6112" s="82"/>
      <c r="E6112" s="84"/>
      <c r="F6112" s="84"/>
      <c r="G6112" s="84"/>
      <c r="I6112" s="237"/>
      <c r="J6112" s="238"/>
    </row>
    <row r="6113">
      <c r="C6113" s="82"/>
      <c r="E6113" s="84"/>
      <c r="F6113" s="84"/>
      <c r="G6113" s="84"/>
      <c r="I6113" s="237"/>
      <c r="J6113" s="238"/>
    </row>
    <row r="6114">
      <c r="C6114" s="82"/>
      <c r="E6114" s="84"/>
      <c r="F6114" s="84"/>
      <c r="G6114" s="84"/>
      <c r="I6114" s="237"/>
      <c r="J6114" s="238"/>
    </row>
    <row r="6115">
      <c r="C6115" s="82"/>
      <c r="E6115" s="84"/>
      <c r="F6115" s="84"/>
      <c r="G6115" s="84"/>
      <c r="I6115" s="237"/>
      <c r="J6115" s="238"/>
    </row>
    <row r="6116">
      <c r="C6116" s="82"/>
      <c r="E6116" s="84"/>
      <c r="F6116" s="84"/>
      <c r="G6116" s="84"/>
      <c r="I6116" s="237"/>
      <c r="J6116" s="238"/>
    </row>
    <row r="6117">
      <c r="C6117" s="82"/>
      <c r="E6117" s="84"/>
      <c r="F6117" s="84"/>
      <c r="G6117" s="84"/>
      <c r="I6117" s="237"/>
      <c r="J6117" s="238"/>
    </row>
    <row r="6118">
      <c r="C6118" s="82"/>
      <c r="E6118" s="84"/>
      <c r="F6118" s="84"/>
      <c r="G6118" s="84"/>
      <c r="I6118" s="237"/>
      <c r="J6118" s="238"/>
    </row>
    <row r="6119">
      <c r="C6119" s="82"/>
      <c r="E6119" s="84"/>
      <c r="F6119" s="84"/>
      <c r="G6119" s="84"/>
      <c r="I6119" s="237"/>
      <c r="J6119" s="238"/>
    </row>
    <row r="6120">
      <c r="C6120" s="82"/>
      <c r="E6120" s="84"/>
      <c r="F6120" s="84"/>
      <c r="G6120" s="84"/>
      <c r="I6120" s="237"/>
      <c r="J6120" s="238"/>
    </row>
    <row r="6121">
      <c r="C6121" s="82"/>
      <c r="E6121" s="84"/>
      <c r="F6121" s="84"/>
      <c r="G6121" s="84"/>
      <c r="I6121" s="237"/>
      <c r="J6121" s="238"/>
    </row>
    <row r="6122">
      <c r="C6122" s="82"/>
      <c r="E6122" s="84"/>
      <c r="F6122" s="84"/>
      <c r="G6122" s="84"/>
      <c r="I6122" s="237"/>
      <c r="J6122" s="238"/>
    </row>
    <row r="6123">
      <c r="C6123" s="82"/>
      <c r="E6123" s="84"/>
      <c r="F6123" s="84"/>
      <c r="G6123" s="84"/>
      <c r="I6123" s="237"/>
      <c r="J6123" s="238"/>
    </row>
    <row r="6124">
      <c r="C6124" s="82"/>
      <c r="E6124" s="84"/>
      <c r="F6124" s="84"/>
      <c r="G6124" s="84"/>
      <c r="I6124" s="237"/>
      <c r="J6124" s="238"/>
    </row>
    <row r="6125">
      <c r="C6125" s="82"/>
      <c r="E6125" s="84"/>
      <c r="F6125" s="84"/>
      <c r="G6125" s="84"/>
      <c r="I6125" s="237"/>
      <c r="J6125" s="238"/>
    </row>
    <row r="6126">
      <c r="C6126" s="82"/>
      <c r="E6126" s="84"/>
      <c r="F6126" s="84"/>
      <c r="G6126" s="84"/>
      <c r="I6126" s="237"/>
      <c r="J6126" s="238"/>
    </row>
    <row r="6127">
      <c r="C6127" s="82"/>
      <c r="E6127" s="84"/>
      <c r="F6127" s="84"/>
      <c r="G6127" s="84"/>
      <c r="I6127" s="237"/>
      <c r="J6127" s="238"/>
    </row>
    <row r="6128">
      <c r="C6128" s="82"/>
      <c r="E6128" s="84"/>
      <c r="F6128" s="84"/>
      <c r="G6128" s="84"/>
      <c r="I6128" s="237"/>
      <c r="J6128" s="238"/>
    </row>
    <row r="6129">
      <c r="C6129" s="82"/>
      <c r="E6129" s="84"/>
      <c r="F6129" s="84"/>
      <c r="G6129" s="84"/>
      <c r="I6129" s="237"/>
      <c r="J6129" s="238"/>
    </row>
    <row r="6130">
      <c r="C6130" s="82"/>
      <c r="E6130" s="84"/>
      <c r="F6130" s="84"/>
      <c r="G6130" s="84"/>
      <c r="I6130" s="237"/>
      <c r="J6130" s="238"/>
    </row>
    <row r="6131">
      <c r="C6131" s="82"/>
      <c r="E6131" s="84"/>
      <c r="F6131" s="84"/>
      <c r="G6131" s="84"/>
      <c r="I6131" s="237"/>
      <c r="J6131" s="238"/>
    </row>
    <row r="6132">
      <c r="C6132" s="82"/>
      <c r="E6132" s="84"/>
      <c r="F6132" s="84"/>
      <c r="G6132" s="84"/>
      <c r="I6132" s="237"/>
      <c r="J6132" s="238"/>
    </row>
    <row r="6133">
      <c r="C6133" s="82"/>
      <c r="E6133" s="84"/>
      <c r="F6133" s="84"/>
      <c r="G6133" s="84"/>
      <c r="I6133" s="237"/>
      <c r="J6133" s="238"/>
    </row>
    <row r="6134">
      <c r="C6134" s="82"/>
      <c r="E6134" s="84"/>
      <c r="F6134" s="84"/>
      <c r="G6134" s="84"/>
      <c r="I6134" s="237"/>
      <c r="J6134" s="238"/>
    </row>
    <row r="6135">
      <c r="C6135" s="82"/>
      <c r="E6135" s="84"/>
      <c r="F6135" s="84"/>
      <c r="G6135" s="84"/>
      <c r="I6135" s="237"/>
      <c r="J6135" s="238"/>
    </row>
    <row r="6136">
      <c r="C6136" s="82"/>
      <c r="E6136" s="84"/>
      <c r="F6136" s="84"/>
      <c r="G6136" s="84"/>
      <c r="I6136" s="237"/>
      <c r="J6136" s="238"/>
    </row>
    <row r="6137">
      <c r="C6137" s="82"/>
      <c r="E6137" s="84"/>
      <c r="F6137" s="84"/>
      <c r="G6137" s="84"/>
      <c r="I6137" s="237"/>
      <c r="J6137" s="238"/>
    </row>
    <row r="6138">
      <c r="C6138" s="82"/>
      <c r="E6138" s="84"/>
      <c r="F6138" s="84"/>
      <c r="G6138" s="84"/>
      <c r="I6138" s="237"/>
      <c r="J6138" s="238"/>
    </row>
    <row r="6139">
      <c r="C6139" s="82"/>
      <c r="E6139" s="84"/>
      <c r="F6139" s="84"/>
      <c r="G6139" s="84"/>
      <c r="I6139" s="237"/>
      <c r="J6139" s="238"/>
    </row>
    <row r="6140">
      <c r="C6140" s="82"/>
      <c r="E6140" s="84"/>
      <c r="F6140" s="84"/>
      <c r="G6140" s="84"/>
      <c r="I6140" s="237"/>
      <c r="J6140" s="238"/>
    </row>
    <row r="6141">
      <c r="C6141" s="82"/>
      <c r="E6141" s="84"/>
      <c r="F6141" s="84"/>
      <c r="G6141" s="84"/>
      <c r="I6141" s="237"/>
      <c r="J6141" s="238"/>
    </row>
    <row r="6142">
      <c r="C6142" s="82"/>
      <c r="E6142" s="84"/>
      <c r="F6142" s="84"/>
      <c r="G6142" s="84"/>
      <c r="I6142" s="237"/>
      <c r="J6142" s="238"/>
    </row>
    <row r="6143">
      <c r="C6143" s="82"/>
      <c r="E6143" s="84"/>
      <c r="F6143" s="84"/>
      <c r="G6143" s="84"/>
      <c r="I6143" s="237"/>
      <c r="J6143" s="238"/>
    </row>
    <row r="6144">
      <c r="C6144" s="82"/>
      <c r="E6144" s="84"/>
      <c r="F6144" s="84"/>
      <c r="G6144" s="84"/>
      <c r="I6144" s="237"/>
      <c r="J6144" s="238"/>
    </row>
    <row r="6145">
      <c r="C6145" s="82"/>
      <c r="E6145" s="84"/>
      <c r="F6145" s="84"/>
      <c r="G6145" s="84"/>
      <c r="I6145" s="237"/>
      <c r="J6145" s="238"/>
    </row>
    <row r="6146">
      <c r="C6146" s="82"/>
      <c r="E6146" s="84"/>
      <c r="F6146" s="84"/>
      <c r="G6146" s="84"/>
      <c r="I6146" s="237"/>
      <c r="J6146" s="238"/>
    </row>
    <row r="6147">
      <c r="C6147" s="82"/>
      <c r="E6147" s="84"/>
      <c r="F6147" s="84"/>
      <c r="G6147" s="84"/>
      <c r="I6147" s="237"/>
      <c r="J6147" s="238"/>
    </row>
    <row r="6148">
      <c r="C6148" s="82"/>
      <c r="E6148" s="84"/>
      <c r="F6148" s="84"/>
      <c r="G6148" s="84"/>
      <c r="I6148" s="237"/>
      <c r="J6148" s="238"/>
    </row>
    <row r="6149">
      <c r="C6149" s="82"/>
      <c r="E6149" s="84"/>
      <c r="F6149" s="84"/>
      <c r="G6149" s="84"/>
      <c r="I6149" s="237"/>
      <c r="J6149" s="238"/>
    </row>
    <row r="6150">
      <c r="C6150" s="82"/>
      <c r="E6150" s="84"/>
      <c r="F6150" s="84"/>
      <c r="G6150" s="84"/>
      <c r="I6150" s="237"/>
      <c r="J6150" s="238"/>
    </row>
    <row r="6151">
      <c r="C6151" s="82"/>
      <c r="E6151" s="84"/>
      <c r="F6151" s="84"/>
      <c r="G6151" s="84"/>
      <c r="I6151" s="237"/>
      <c r="J6151" s="238"/>
    </row>
    <row r="6152">
      <c r="C6152" s="82"/>
      <c r="E6152" s="84"/>
      <c r="F6152" s="84"/>
      <c r="G6152" s="84"/>
      <c r="I6152" s="237"/>
      <c r="J6152" s="238"/>
    </row>
    <row r="6153">
      <c r="C6153" s="82"/>
      <c r="E6153" s="84"/>
      <c r="F6153" s="84"/>
      <c r="G6153" s="84"/>
      <c r="I6153" s="237"/>
      <c r="J6153" s="238"/>
    </row>
    <row r="6154">
      <c r="C6154" s="82"/>
      <c r="E6154" s="84"/>
      <c r="F6154" s="84"/>
      <c r="G6154" s="84"/>
      <c r="I6154" s="237"/>
      <c r="J6154" s="238"/>
    </row>
    <row r="6155">
      <c r="C6155" s="82"/>
      <c r="E6155" s="84"/>
      <c r="F6155" s="84"/>
      <c r="G6155" s="84"/>
      <c r="I6155" s="237"/>
      <c r="J6155" s="238"/>
    </row>
    <row r="6156">
      <c r="C6156" s="82"/>
      <c r="E6156" s="84"/>
      <c r="F6156" s="84"/>
      <c r="G6156" s="84"/>
      <c r="I6156" s="237"/>
      <c r="J6156" s="238"/>
    </row>
    <row r="6157">
      <c r="C6157" s="82"/>
      <c r="E6157" s="84"/>
      <c r="F6157" s="84"/>
      <c r="G6157" s="84"/>
      <c r="I6157" s="237"/>
      <c r="J6157" s="238"/>
    </row>
    <row r="6158">
      <c r="C6158" s="82"/>
      <c r="E6158" s="84"/>
      <c r="F6158" s="84"/>
      <c r="G6158" s="84"/>
      <c r="I6158" s="237"/>
      <c r="J6158" s="238"/>
    </row>
    <row r="6159">
      <c r="C6159" s="82"/>
      <c r="E6159" s="84"/>
      <c r="F6159" s="84"/>
      <c r="G6159" s="84"/>
      <c r="I6159" s="237"/>
      <c r="J6159" s="238"/>
    </row>
    <row r="6160">
      <c r="C6160" s="82"/>
      <c r="E6160" s="84"/>
      <c r="F6160" s="84"/>
      <c r="G6160" s="84"/>
      <c r="I6160" s="237"/>
      <c r="J6160" s="238"/>
    </row>
    <row r="6161">
      <c r="C6161" s="82"/>
      <c r="E6161" s="84"/>
      <c r="F6161" s="84"/>
      <c r="G6161" s="84"/>
      <c r="I6161" s="237"/>
      <c r="J6161" s="238"/>
    </row>
    <row r="6162">
      <c r="C6162" s="82"/>
      <c r="E6162" s="84"/>
      <c r="F6162" s="84"/>
      <c r="G6162" s="84"/>
      <c r="I6162" s="237"/>
      <c r="J6162" s="238"/>
    </row>
    <row r="6163">
      <c r="C6163" s="82"/>
      <c r="E6163" s="84"/>
      <c r="F6163" s="84"/>
      <c r="G6163" s="84"/>
      <c r="I6163" s="237"/>
      <c r="J6163" s="238"/>
    </row>
    <row r="6164">
      <c r="C6164" s="82"/>
      <c r="E6164" s="84"/>
      <c r="F6164" s="84"/>
      <c r="G6164" s="84"/>
      <c r="I6164" s="237"/>
      <c r="J6164" s="238"/>
    </row>
    <row r="6165">
      <c r="C6165" s="82"/>
      <c r="E6165" s="84"/>
      <c r="F6165" s="84"/>
      <c r="G6165" s="84"/>
      <c r="I6165" s="237"/>
      <c r="J6165" s="238"/>
    </row>
    <row r="6166">
      <c r="C6166" s="82"/>
      <c r="E6166" s="84"/>
      <c r="F6166" s="84"/>
      <c r="G6166" s="84"/>
      <c r="I6166" s="237"/>
      <c r="J6166" s="238"/>
    </row>
    <row r="6167">
      <c r="C6167" s="82"/>
      <c r="E6167" s="84"/>
      <c r="F6167" s="84"/>
      <c r="G6167" s="84"/>
      <c r="I6167" s="237"/>
      <c r="J6167" s="238"/>
    </row>
    <row r="6168">
      <c r="C6168" s="82"/>
      <c r="E6168" s="84"/>
      <c r="F6168" s="84"/>
      <c r="G6168" s="84"/>
      <c r="I6168" s="237"/>
      <c r="J6168" s="238"/>
    </row>
    <row r="6169">
      <c r="C6169" s="82"/>
      <c r="E6169" s="84"/>
      <c r="F6169" s="84"/>
      <c r="G6169" s="84"/>
      <c r="I6169" s="237"/>
      <c r="J6169" s="238"/>
    </row>
    <row r="6170">
      <c r="C6170" s="82"/>
      <c r="E6170" s="84"/>
      <c r="F6170" s="84"/>
      <c r="G6170" s="84"/>
      <c r="I6170" s="237"/>
      <c r="J6170" s="238"/>
    </row>
    <row r="6171">
      <c r="C6171" s="82"/>
      <c r="E6171" s="84"/>
      <c r="F6171" s="84"/>
      <c r="G6171" s="84"/>
      <c r="I6171" s="237"/>
      <c r="J6171" s="238"/>
    </row>
    <row r="6172">
      <c r="C6172" s="82"/>
      <c r="E6172" s="84"/>
      <c r="F6172" s="84"/>
      <c r="G6172" s="84"/>
      <c r="I6172" s="237"/>
      <c r="J6172" s="238"/>
    </row>
    <row r="6173">
      <c r="C6173" s="82"/>
      <c r="E6173" s="84"/>
      <c r="F6173" s="84"/>
      <c r="G6173" s="84"/>
      <c r="I6173" s="237"/>
      <c r="J6173" s="238"/>
    </row>
    <row r="6174">
      <c r="C6174" s="82"/>
      <c r="E6174" s="84"/>
      <c r="F6174" s="84"/>
      <c r="G6174" s="84"/>
      <c r="I6174" s="237"/>
      <c r="J6174" s="238"/>
    </row>
    <row r="6175">
      <c r="C6175" s="82"/>
      <c r="E6175" s="84"/>
      <c r="F6175" s="84"/>
      <c r="G6175" s="84"/>
      <c r="I6175" s="237"/>
      <c r="J6175" s="238"/>
    </row>
    <row r="6176">
      <c r="C6176" s="82"/>
      <c r="E6176" s="84"/>
      <c r="F6176" s="84"/>
      <c r="G6176" s="84"/>
      <c r="I6176" s="237"/>
      <c r="J6176" s="238"/>
    </row>
    <row r="6177">
      <c r="C6177" s="82"/>
      <c r="E6177" s="84"/>
      <c r="F6177" s="84"/>
      <c r="G6177" s="84"/>
      <c r="I6177" s="237"/>
      <c r="J6177" s="238"/>
    </row>
    <row r="6178">
      <c r="C6178" s="82"/>
      <c r="E6178" s="84"/>
      <c r="F6178" s="84"/>
      <c r="G6178" s="84"/>
      <c r="I6178" s="237"/>
      <c r="J6178" s="238"/>
    </row>
    <row r="6179">
      <c r="C6179" s="82"/>
      <c r="E6179" s="84"/>
      <c r="F6179" s="84"/>
      <c r="G6179" s="84"/>
      <c r="I6179" s="237"/>
      <c r="J6179" s="238"/>
    </row>
    <row r="6180">
      <c r="C6180" s="82"/>
      <c r="E6180" s="84"/>
      <c r="F6180" s="84"/>
      <c r="G6180" s="84"/>
      <c r="I6180" s="237"/>
      <c r="J6180" s="238"/>
    </row>
    <row r="6181">
      <c r="C6181" s="82"/>
      <c r="E6181" s="84"/>
      <c r="F6181" s="84"/>
      <c r="G6181" s="84"/>
      <c r="I6181" s="237"/>
      <c r="J6181" s="238"/>
    </row>
    <row r="6182">
      <c r="C6182" s="82"/>
      <c r="E6182" s="84"/>
      <c r="F6182" s="84"/>
      <c r="G6182" s="84"/>
      <c r="I6182" s="237"/>
      <c r="J6182" s="238"/>
    </row>
    <row r="6183">
      <c r="C6183" s="82"/>
      <c r="E6183" s="84"/>
      <c r="F6183" s="84"/>
      <c r="G6183" s="84"/>
      <c r="I6183" s="237"/>
      <c r="J6183" s="238"/>
    </row>
    <row r="6184">
      <c r="C6184" s="82"/>
      <c r="E6184" s="84"/>
      <c r="F6184" s="84"/>
      <c r="G6184" s="84"/>
      <c r="I6184" s="237"/>
      <c r="J6184" s="238"/>
    </row>
    <row r="6185">
      <c r="C6185" s="82"/>
      <c r="E6185" s="84"/>
      <c r="F6185" s="84"/>
      <c r="G6185" s="84"/>
      <c r="I6185" s="237"/>
      <c r="J6185" s="238"/>
    </row>
    <row r="6186">
      <c r="C6186" s="82"/>
      <c r="E6186" s="84"/>
      <c r="F6186" s="84"/>
      <c r="G6186" s="84"/>
      <c r="I6186" s="237"/>
      <c r="J6186" s="238"/>
    </row>
    <row r="6187">
      <c r="C6187" s="82"/>
      <c r="E6187" s="84"/>
      <c r="F6187" s="84"/>
      <c r="G6187" s="84"/>
      <c r="I6187" s="237"/>
      <c r="J6187" s="238"/>
    </row>
    <row r="6188">
      <c r="C6188" s="82"/>
      <c r="E6188" s="84"/>
      <c r="F6188" s="84"/>
      <c r="G6188" s="84"/>
      <c r="I6188" s="237"/>
      <c r="J6188" s="238"/>
    </row>
    <row r="6189">
      <c r="C6189" s="82"/>
      <c r="E6189" s="84"/>
      <c r="F6189" s="84"/>
      <c r="G6189" s="84"/>
      <c r="I6189" s="237"/>
      <c r="J6189" s="238"/>
    </row>
    <row r="6190">
      <c r="C6190" s="82"/>
      <c r="E6190" s="84"/>
      <c r="F6190" s="84"/>
      <c r="G6190" s="84"/>
      <c r="I6190" s="237"/>
      <c r="J6190" s="238"/>
    </row>
    <row r="6191">
      <c r="C6191" s="82"/>
      <c r="E6191" s="84"/>
      <c r="F6191" s="84"/>
      <c r="G6191" s="84"/>
      <c r="I6191" s="237"/>
      <c r="J6191" s="238"/>
    </row>
    <row r="6192">
      <c r="C6192" s="82"/>
      <c r="E6192" s="84"/>
      <c r="F6192" s="84"/>
      <c r="G6192" s="84"/>
      <c r="I6192" s="237"/>
      <c r="J6192" s="238"/>
    </row>
    <row r="6193">
      <c r="C6193" s="82"/>
      <c r="E6193" s="84"/>
      <c r="F6193" s="84"/>
      <c r="G6193" s="84"/>
      <c r="I6193" s="237"/>
      <c r="J6193" s="238"/>
    </row>
    <row r="6194">
      <c r="C6194" s="82"/>
      <c r="E6194" s="84"/>
      <c r="F6194" s="84"/>
      <c r="G6194" s="84"/>
      <c r="I6194" s="237"/>
      <c r="J6194" s="238"/>
    </row>
    <row r="6195">
      <c r="C6195" s="82"/>
      <c r="E6195" s="84"/>
      <c r="F6195" s="84"/>
      <c r="G6195" s="84"/>
      <c r="I6195" s="237"/>
      <c r="J6195" s="238"/>
    </row>
    <row r="6196">
      <c r="C6196" s="82"/>
      <c r="E6196" s="84"/>
      <c r="F6196" s="84"/>
      <c r="G6196" s="84"/>
      <c r="I6196" s="237"/>
      <c r="J6196" s="238"/>
    </row>
    <row r="6197">
      <c r="C6197" s="82"/>
      <c r="E6197" s="84"/>
      <c r="F6197" s="84"/>
      <c r="G6197" s="84"/>
      <c r="I6197" s="237"/>
      <c r="J6197" s="238"/>
    </row>
    <row r="6198">
      <c r="C6198" s="82"/>
      <c r="E6198" s="84"/>
      <c r="F6198" s="84"/>
      <c r="G6198" s="84"/>
      <c r="I6198" s="237"/>
      <c r="J6198" s="238"/>
    </row>
    <row r="6199">
      <c r="C6199" s="82"/>
      <c r="E6199" s="84"/>
      <c r="F6199" s="84"/>
      <c r="G6199" s="84"/>
      <c r="I6199" s="237"/>
      <c r="J6199" s="238"/>
    </row>
    <row r="6200">
      <c r="C6200" s="82"/>
      <c r="E6200" s="84"/>
      <c r="F6200" s="84"/>
      <c r="G6200" s="84"/>
      <c r="I6200" s="237"/>
      <c r="J6200" s="238"/>
    </row>
    <row r="6201">
      <c r="C6201" s="82"/>
      <c r="E6201" s="84"/>
      <c r="F6201" s="84"/>
      <c r="G6201" s="84"/>
      <c r="I6201" s="237"/>
      <c r="J6201" s="238"/>
    </row>
    <row r="6202">
      <c r="C6202" s="82"/>
      <c r="E6202" s="84"/>
      <c r="F6202" s="84"/>
      <c r="G6202" s="84"/>
      <c r="I6202" s="237"/>
      <c r="J6202" s="238"/>
    </row>
    <row r="6203">
      <c r="C6203" s="82"/>
      <c r="E6203" s="84"/>
      <c r="F6203" s="84"/>
      <c r="G6203" s="84"/>
      <c r="I6203" s="237"/>
      <c r="J6203" s="238"/>
    </row>
    <row r="6204">
      <c r="C6204" s="82"/>
      <c r="E6204" s="84"/>
      <c r="F6204" s="84"/>
      <c r="G6204" s="84"/>
      <c r="I6204" s="237"/>
      <c r="J6204" s="238"/>
    </row>
    <row r="6205">
      <c r="C6205" s="82"/>
      <c r="E6205" s="84"/>
      <c r="F6205" s="84"/>
      <c r="G6205" s="84"/>
      <c r="I6205" s="237"/>
      <c r="J6205" s="238"/>
    </row>
    <row r="6206">
      <c r="C6206" s="82"/>
      <c r="E6206" s="84"/>
      <c r="F6206" s="84"/>
      <c r="G6206" s="84"/>
      <c r="I6206" s="237"/>
      <c r="J6206" s="238"/>
    </row>
    <row r="6207">
      <c r="C6207" s="82"/>
      <c r="E6207" s="84"/>
      <c r="F6207" s="84"/>
      <c r="G6207" s="84"/>
      <c r="I6207" s="237"/>
      <c r="J6207" s="238"/>
    </row>
    <row r="6208">
      <c r="C6208" s="82"/>
      <c r="E6208" s="84"/>
      <c r="F6208" s="84"/>
      <c r="G6208" s="84"/>
      <c r="I6208" s="237"/>
      <c r="J6208" s="238"/>
    </row>
    <row r="6209">
      <c r="C6209" s="82"/>
      <c r="E6209" s="84"/>
      <c r="F6209" s="84"/>
      <c r="G6209" s="84"/>
      <c r="I6209" s="237"/>
      <c r="J6209" s="238"/>
    </row>
    <row r="6210">
      <c r="C6210" s="82"/>
      <c r="E6210" s="84"/>
      <c r="F6210" s="84"/>
      <c r="G6210" s="84"/>
      <c r="I6210" s="237"/>
      <c r="J6210" s="238"/>
    </row>
    <row r="6211">
      <c r="C6211" s="82"/>
      <c r="E6211" s="84"/>
      <c r="F6211" s="84"/>
      <c r="G6211" s="84"/>
      <c r="I6211" s="237"/>
      <c r="J6211" s="238"/>
    </row>
    <row r="6212">
      <c r="C6212" s="82"/>
      <c r="E6212" s="84"/>
      <c r="F6212" s="84"/>
      <c r="G6212" s="84"/>
      <c r="I6212" s="237"/>
      <c r="J6212" s="238"/>
    </row>
    <row r="6213">
      <c r="C6213" s="82"/>
      <c r="E6213" s="84"/>
      <c r="F6213" s="84"/>
      <c r="G6213" s="84"/>
      <c r="I6213" s="237"/>
      <c r="J6213" s="238"/>
    </row>
    <row r="6214">
      <c r="C6214" s="82"/>
      <c r="E6214" s="84"/>
      <c r="F6214" s="84"/>
      <c r="G6214" s="84"/>
      <c r="I6214" s="237"/>
      <c r="J6214" s="238"/>
    </row>
    <row r="6215">
      <c r="C6215" s="82"/>
      <c r="E6215" s="84"/>
      <c r="F6215" s="84"/>
      <c r="G6215" s="84"/>
      <c r="I6215" s="237"/>
      <c r="J6215" s="238"/>
    </row>
    <row r="6216">
      <c r="C6216" s="82"/>
      <c r="E6216" s="84"/>
      <c r="F6216" s="84"/>
      <c r="G6216" s="84"/>
      <c r="I6216" s="237"/>
      <c r="J6216" s="238"/>
    </row>
    <row r="6217">
      <c r="C6217" s="82"/>
      <c r="E6217" s="84"/>
      <c r="F6217" s="84"/>
      <c r="G6217" s="84"/>
      <c r="I6217" s="237"/>
      <c r="J6217" s="238"/>
    </row>
    <row r="6218">
      <c r="C6218" s="82"/>
      <c r="E6218" s="84"/>
      <c r="F6218" s="84"/>
      <c r="G6218" s="84"/>
      <c r="I6218" s="237"/>
      <c r="J6218" s="238"/>
    </row>
    <row r="6219">
      <c r="C6219" s="82"/>
      <c r="E6219" s="84"/>
      <c r="F6219" s="84"/>
      <c r="G6219" s="84"/>
      <c r="I6219" s="237"/>
      <c r="J6219" s="238"/>
    </row>
    <row r="6220">
      <c r="C6220" s="82"/>
      <c r="E6220" s="84"/>
      <c r="F6220" s="84"/>
      <c r="G6220" s="84"/>
      <c r="I6220" s="237"/>
      <c r="J6220" s="238"/>
    </row>
    <row r="6221">
      <c r="C6221" s="82"/>
      <c r="E6221" s="84"/>
      <c r="F6221" s="84"/>
      <c r="G6221" s="84"/>
      <c r="I6221" s="237"/>
      <c r="J6221" s="238"/>
    </row>
    <row r="6222">
      <c r="C6222" s="82"/>
      <c r="E6222" s="84"/>
      <c r="F6222" s="84"/>
      <c r="G6222" s="84"/>
      <c r="I6222" s="237"/>
      <c r="J6222" s="238"/>
    </row>
    <row r="6223">
      <c r="C6223" s="82"/>
      <c r="E6223" s="84"/>
      <c r="F6223" s="84"/>
      <c r="G6223" s="84"/>
      <c r="I6223" s="237"/>
      <c r="J6223" s="238"/>
    </row>
    <row r="6224">
      <c r="C6224" s="82"/>
      <c r="E6224" s="84"/>
      <c r="F6224" s="84"/>
      <c r="G6224" s="84"/>
      <c r="I6224" s="237"/>
      <c r="J6224" s="238"/>
    </row>
    <row r="6225">
      <c r="C6225" s="82"/>
      <c r="E6225" s="84"/>
      <c r="F6225" s="84"/>
      <c r="G6225" s="84"/>
      <c r="I6225" s="237"/>
      <c r="J6225" s="238"/>
    </row>
    <row r="6226">
      <c r="C6226" s="82"/>
      <c r="E6226" s="84"/>
      <c r="F6226" s="84"/>
      <c r="G6226" s="84"/>
      <c r="I6226" s="237"/>
      <c r="J6226" s="238"/>
    </row>
    <row r="6227">
      <c r="C6227" s="82"/>
      <c r="E6227" s="84"/>
      <c r="F6227" s="84"/>
      <c r="G6227" s="84"/>
      <c r="I6227" s="237"/>
      <c r="J6227" s="238"/>
    </row>
    <row r="6228">
      <c r="C6228" s="82"/>
      <c r="E6228" s="84"/>
      <c r="F6228" s="84"/>
      <c r="G6228" s="84"/>
      <c r="I6228" s="237"/>
      <c r="J6228" s="238"/>
    </row>
    <row r="6229">
      <c r="C6229" s="82"/>
      <c r="E6229" s="84"/>
      <c r="F6229" s="84"/>
      <c r="G6229" s="84"/>
      <c r="I6229" s="237"/>
      <c r="J6229" s="238"/>
    </row>
    <row r="6230">
      <c r="C6230" s="82"/>
      <c r="E6230" s="84"/>
      <c r="F6230" s="84"/>
      <c r="G6230" s="84"/>
      <c r="I6230" s="237"/>
      <c r="J6230" s="238"/>
    </row>
    <row r="6231">
      <c r="C6231" s="82"/>
      <c r="E6231" s="84"/>
      <c r="F6231" s="84"/>
      <c r="G6231" s="84"/>
      <c r="I6231" s="237"/>
      <c r="J6231" s="238"/>
    </row>
    <row r="6232">
      <c r="C6232" s="82"/>
      <c r="E6232" s="84"/>
      <c r="F6232" s="84"/>
      <c r="G6232" s="84"/>
      <c r="I6232" s="237"/>
      <c r="J6232" s="238"/>
    </row>
    <row r="6233">
      <c r="C6233" s="82"/>
      <c r="E6233" s="84"/>
      <c r="F6233" s="84"/>
      <c r="G6233" s="84"/>
      <c r="I6233" s="237"/>
      <c r="J6233" s="238"/>
    </row>
    <row r="6234">
      <c r="C6234" s="82"/>
      <c r="E6234" s="84"/>
      <c r="F6234" s="84"/>
      <c r="G6234" s="84"/>
      <c r="I6234" s="237"/>
      <c r="J6234" s="238"/>
    </row>
    <row r="6235">
      <c r="C6235" s="82"/>
      <c r="E6235" s="84"/>
      <c r="F6235" s="84"/>
      <c r="G6235" s="84"/>
      <c r="I6235" s="237"/>
      <c r="J6235" s="238"/>
    </row>
    <row r="6236">
      <c r="C6236" s="82"/>
      <c r="E6236" s="84"/>
      <c r="F6236" s="84"/>
      <c r="G6236" s="84"/>
      <c r="I6236" s="237"/>
      <c r="J6236" s="238"/>
    </row>
    <row r="6237">
      <c r="C6237" s="82"/>
      <c r="E6237" s="84"/>
      <c r="F6237" s="84"/>
      <c r="G6237" s="84"/>
      <c r="I6237" s="237"/>
      <c r="J6237" s="238"/>
    </row>
    <row r="6238">
      <c r="C6238" s="82"/>
      <c r="E6238" s="84"/>
      <c r="F6238" s="84"/>
      <c r="G6238" s="84"/>
      <c r="I6238" s="237"/>
      <c r="J6238" s="238"/>
    </row>
    <row r="6239">
      <c r="C6239" s="82"/>
      <c r="E6239" s="84"/>
      <c r="F6239" s="84"/>
      <c r="G6239" s="84"/>
      <c r="I6239" s="237"/>
      <c r="J6239" s="238"/>
    </row>
    <row r="6240">
      <c r="C6240" s="82"/>
      <c r="E6240" s="84"/>
      <c r="F6240" s="84"/>
      <c r="G6240" s="84"/>
      <c r="I6240" s="237"/>
      <c r="J6240" s="238"/>
    </row>
    <row r="6241">
      <c r="C6241" s="82"/>
      <c r="E6241" s="84"/>
      <c r="F6241" s="84"/>
      <c r="G6241" s="84"/>
      <c r="I6241" s="237"/>
      <c r="J6241" s="238"/>
    </row>
    <row r="6242">
      <c r="C6242" s="82"/>
      <c r="E6242" s="84"/>
      <c r="F6242" s="84"/>
      <c r="G6242" s="84"/>
      <c r="I6242" s="237"/>
      <c r="J6242" s="238"/>
    </row>
    <row r="6243">
      <c r="C6243" s="82"/>
      <c r="E6243" s="84"/>
      <c r="F6243" s="84"/>
      <c r="G6243" s="84"/>
      <c r="I6243" s="237"/>
      <c r="J6243" s="238"/>
    </row>
    <row r="6244">
      <c r="C6244" s="82"/>
      <c r="E6244" s="84"/>
      <c r="F6244" s="84"/>
      <c r="G6244" s="84"/>
      <c r="I6244" s="237"/>
      <c r="J6244" s="238"/>
    </row>
    <row r="6245">
      <c r="C6245" s="82"/>
      <c r="E6245" s="84"/>
      <c r="F6245" s="84"/>
      <c r="G6245" s="84"/>
      <c r="I6245" s="237"/>
      <c r="J6245" s="238"/>
    </row>
    <row r="6246">
      <c r="C6246" s="82"/>
      <c r="E6246" s="84"/>
      <c r="F6246" s="84"/>
      <c r="G6246" s="84"/>
      <c r="I6246" s="237"/>
      <c r="J6246" s="238"/>
    </row>
    <row r="6247">
      <c r="C6247" s="82"/>
      <c r="E6247" s="84"/>
      <c r="F6247" s="84"/>
      <c r="G6247" s="84"/>
      <c r="I6247" s="237"/>
      <c r="J6247" s="238"/>
    </row>
    <row r="6248">
      <c r="C6248" s="82"/>
      <c r="E6248" s="84"/>
      <c r="F6248" s="84"/>
      <c r="G6248" s="84"/>
      <c r="I6248" s="237"/>
      <c r="J6248" s="238"/>
    </row>
    <row r="6249">
      <c r="C6249" s="82"/>
      <c r="E6249" s="84"/>
      <c r="F6249" s="84"/>
      <c r="G6249" s="84"/>
      <c r="I6249" s="237"/>
      <c r="J6249" s="238"/>
    </row>
    <row r="6250">
      <c r="C6250" s="82"/>
      <c r="E6250" s="84"/>
      <c r="F6250" s="84"/>
      <c r="G6250" s="84"/>
      <c r="I6250" s="237"/>
      <c r="J6250" s="238"/>
    </row>
    <row r="6251">
      <c r="C6251" s="82"/>
      <c r="E6251" s="84"/>
      <c r="F6251" s="84"/>
      <c r="G6251" s="84"/>
      <c r="I6251" s="237"/>
      <c r="J6251" s="238"/>
    </row>
    <row r="6252">
      <c r="C6252" s="82"/>
      <c r="E6252" s="84"/>
      <c r="F6252" s="84"/>
      <c r="G6252" s="84"/>
      <c r="I6252" s="237"/>
      <c r="J6252" s="238"/>
    </row>
    <row r="6253">
      <c r="C6253" s="82"/>
      <c r="E6253" s="84"/>
      <c r="F6253" s="84"/>
      <c r="G6253" s="84"/>
      <c r="I6253" s="237"/>
      <c r="J6253" s="238"/>
    </row>
    <row r="6254">
      <c r="C6254" s="82"/>
      <c r="E6254" s="84"/>
      <c r="F6254" s="84"/>
      <c r="G6254" s="84"/>
      <c r="I6254" s="237"/>
      <c r="J6254" s="238"/>
    </row>
    <row r="6255">
      <c r="C6255" s="82"/>
      <c r="E6255" s="84"/>
      <c r="F6255" s="84"/>
      <c r="G6255" s="84"/>
      <c r="I6255" s="237"/>
      <c r="J6255" s="238"/>
    </row>
    <row r="6256">
      <c r="C6256" s="82"/>
      <c r="E6256" s="84"/>
      <c r="F6256" s="84"/>
      <c r="G6256" s="84"/>
      <c r="I6256" s="237"/>
      <c r="J6256" s="238"/>
    </row>
    <row r="6257">
      <c r="C6257" s="82"/>
      <c r="E6257" s="84"/>
      <c r="F6257" s="84"/>
      <c r="G6257" s="84"/>
      <c r="I6257" s="237"/>
      <c r="J6257" s="238"/>
    </row>
    <row r="6258">
      <c r="C6258" s="82"/>
      <c r="E6258" s="84"/>
      <c r="F6258" s="84"/>
      <c r="G6258" s="84"/>
      <c r="I6258" s="237"/>
      <c r="J6258" s="238"/>
    </row>
    <row r="6259">
      <c r="C6259" s="82"/>
      <c r="E6259" s="84"/>
      <c r="F6259" s="84"/>
      <c r="G6259" s="84"/>
      <c r="I6259" s="237"/>
      <c r="J6259" s="238"/>
    </row>
    <row r="6260">
      <c r="C6260" s="82"/>
      <c r="E6260" s="84"/>
      <c r="F6260" s="84"/>
      <c r="G6260" s="84"/>
      <c r="I6260" s="237"/>
      <c r="J6260" s="238"/>
    </row>
    <row r="6261">
      <c r="C6261" s="82"/>
      <c r="E6261" s="84"/>
      <c r="F6261" s="84"/>
      <c r="G6261" s="84"/>
      <c r="I6261" s="237"/>
      <c r="J6261" s="238"/>
    </row>
    <row r="6262">
      <c r="C6262" s="82"/>
      <c r="E6262" s="84"/>
      <c r="F6262" s="84"/>
      <c r="G6262" s="84"/>
      <c r="I6262" s="237"/>
      <c r="J6262" s="238"/>
    </row>
    <row r="6263">
      <c r="C6263" s="82"/>
      <c r="E6263" s="84"/>
      <c r="F6263" s="84"/>
      <c r="G6263" s="84"/>
      <c r="I6263" s="237"/>
      <c r="J6263" s="238"/>
    </row>
    <row r="6264">
      <c r="C6264" s="82"/>
      <c r="E6264" s="84"/>
      <c r="F6264" s="84"/>
      <c r="G6264" s="84"/>
      <c r="I6264" s="237"/>
      <c r="J6264" s="238"/>
    </row>
    <row r="6265">
      <c r="C6265" s="82"/>
      <c r="E6265" s="84"/>
      <c r="F6265" s="84"/>
      <c r="G6265" s="84"/>
      <c r="I6265" s="237"/>
      <c r="J6265" s="238"/>
    </row>
    <row r="6266">
      <c r="C6266" s="82"/>
      <c r="E6266" s="84"/>
      <c r="F6266" s="84"/>
      <c r="G6266" s="84"/>
      <c r="I6266" s="237"/>
      <c r="J6266" s="238"/>
    </row>
    <row r="6267">
      <c r="C6267" s="82"/>
      <c r="E6267" s="84"/>
      <c r="F6267" s="84"/>
      <c r="G6267" s="84"/>
      <c r="I6267" s="237"/>
      <c r="J6267" s="238"/>
    </row>
    <row r="6268">
      <c r="C6268" s="82"/>
      <c r="E6268" s="84"/>
      <c r="F6268" s="84"/>
      <c r="G6268" s="84"/>
      <c r="I6268" s="237"/>
      <c r="J6268" s="238"/>
    </row>
    <row r="6269">
      <c r="C6269" s="82"/>
      <c r="E6269" s="84"/>
      <c r="F6269" s="84"/>
      <c r="G6269" s="84"/>
      <c r="I6269" s="237"/>
      <c r="J6269" s="238"/>
    </row>
    <row r="6270">
      <c r="C6270" s="82"/>
      <c r="E6270" s="84"/>
      <c r="F6270" s="84"/>
      <c r="G6270" s="84"/>
      <c r="I6270" s="237"/>
      <c r="J6270" s="238"/>
    </row>
    <row r="6271">
      <c r="C6271" s="82"/>
      <c r="E6271" s="84"/>
      <c r="F6271" s="84"/>
      <c r="G6271" s="84"/>
      <c r="I6271" s="237"/>
      <c r="J6271" s="238"/>
    </row>
    <row r="6272">
      <c r="C6272" s="82"/>
      <c r="E6272" s="84"/>
      <c r="F6272" s="84"/>
      <c r="G6272" s="84"/>
      <c r="I6272" s="237"/>
      <c r="J6272" s="238"/>
    </row>
    <row r="6273">
      <c r="C6273" s="82"/>
      <c r="E6273" s="84"/>
      <c r="F6273" s="84"/>
      <c r="G6273" s="84"/>
      <c r="I6273" s="237"/>
      <c r="J6273" s="238"/>
    </row>
    <row r="6274">
      <c r="C6274" s="82"/>
      <c r="E6274" s="84"/>
      <c r="F6274" s="84"/>
      <c r="G6274" s="84"/>
      <c r="I6274" s="237"/>
      <c r="J6274" s="238"/>
    </row>
    <row r="6275">
      <c r="C6275" s="82"/>
      <c r="E6275" s="84"/>
      <c r="F6275" s="84"/>
      <c r="G6275" s="84"/>
      <c r="I6275" s="237"/>
      <c r="J6275" s="238"/>
    </row>
    <row r="6276">
      <c r="C6276" s="82"/>
      <c r="E6276" s="84"/>
      <c r="F6276" s="84"/>
      <c r="G6276" s="84"/>
      <c r="I6276" s="237"/>
      <c r="J6276" s="238"/>
    </row>
    <row r="6277">
      <c r="C6277" s="82"/>
      <c r="E6277" s="84"/>
      <c r="F6277" s="84"/>
      <c r="G6277" s="84"/>
      <c r="I6277" s="237"/>
      <c r="J6277" s="238"/>
    </row>
    <row r="6278">
      <c r="C6278" s="82"/>
      <c r="E6278" s="84"/>
      <c r="F6278" s="84"/>
      <c r="G6278" s="84"/>
      <c r="I6278" s="237"/>
      <c r="J6278" s="238"/>
    </row>
    <row r="6279">
      <c r="C6279" s="82"/>
      <c r="E6279" s="84"/>
      <c r="F6279" s="84"/>
      <c r="G6279" s="84"/>
      <c r="I6279" s="237"/>
      <c r="J6279" s="238"/>
    </row>
    <row r="6280">
      <c r="C6280" s="82"/>
      <c r="E6280" s="84"/>
      <c r="F6280" s="84"/>
      <c r="G6280" s="84"/>
      <c r="I6280" s="237"/>
      <c r="J6280" s="238"/>
    </row>
    <row r="6281">
      <c r="C6281" s="82"/>
      <c r="E6281" s="84"/>
      <c r="F6281" s="84"/>
      <c r="G6281" s="84"/>
      <c r="I6281" s="237"/>
      <c r="J6281" s="238"/>
    </row>
    <row r="6282">
      <c r="C6282" s="82"/>
      <c r="E6282" s="84"/>
      <c r="F6282" s="84"/>
      <c r="G6282" s="84"/>
      <c r="I6282" s="237"/>
      <c r="J6282" s="238"/>
    </row>
    <row r="6283">
      <c r="C6283" s="82"/>
      <c r="E6283" s="84"/>
      <c r="F6283" s="84"/>
      <c r="G6283" s="84"/>
      <c r="I6283" s="237"/>
      <c r="J6283" s="238"/>
    </row>
    <row r="6284">
      <c r="C6284" s="82"/>
      <c r="E6284" s="84"/>
      <c r="F6284" s="84"/>
      <c r="G6284" s="84"/>
      <c r="I6284" s="237"/>
      <c r="J6284" s="238"/>
    </row>
    <row r="6285">
      <c r="C6285" s="82"/>
      <c r="E6285" s="84"/>
      <c r="F6285" s="84"/>
      <c r="G6285" s="84"/>
      <c r="I6285" s="237"/>
      <c r="J6285" s="238"/>
    </row>
    <row r="6286">
      <c r="C6286" s="82"/>
      <c r="E6286" s="84"/>
      <c r="F6286" s="84"/>
      <c r="G6286" s="84"/>
      <c r="I6286" s="237"/>
      <c r="J6286" s="238"/>
    </row>
    <row r="6287">
      <c r="C6287" s="82"/>
      <c r="E6287" s="84"/>
      <c r="F6287" s="84"/>
      <c r="G6287" s="84"/>
      <c r="I6287" s="237"/>
      <c r="J6287" s="238"/>
    </row>
    <row r="6288">
      <c r="C6288" s="82"/>
      <c r="E6288" s="84"/>
      <c r="F6288" s="84"/>
      <c r="G6288" s="84"/>
      <c r="I6288" s="237"/>
      <c r="J6288" s="238"/>
    </row>
    <row r="6289">
      <c r="C6289" s="82"/>
      <c r="E6289" s="84"/>
      <c r="F6289" s="84"/>
      <c r="G6289" s="84"/>
      <c r="I6289" s="237"/>
      <c r="J6289" s="238"/>
    </row>
    <row r="6290">
      <c r="C6290" s="82"/>
      <c r="E6290" s="84"/>
      <c r="F6290" s="84"/>
      <c r="G6290" s="84"/>
      <c r="I6290" s="237"/>
      <c r="J6290" s="238"/>
    </row>
    <row r="6291">
      <c r="C6291" s="82"/>
      <c r="E6291" s="84"/>
      <c r="F6291" s="84"/>
      <c r="G6291" s="84"/>
      <c r="I6291" s="237"/>
      <c r="J6291" s="238"/>
    </row>
    <row r="6292">
      <c r="C6292" s="82"/>
      <c r="E6292" s="84"/>
      <c r="F6292" s="84"/>
      <c r="G6292" s="84"/>
      <c r="I6292" s="237"/>
      <c r="J6292" s="238"/>
    </row>
    <row r="6293">
      <c r="C6293" s="82"/>
      <c r="E6293" s="84"/>
      <c r="F6293" s="84"/>
      <c r="G6293" s="84"/>
      <c r="I6293" s="237"/>
      <c r="J6293" s="238"/>
    </row>
    <row r="6294">
      <c r="C6294" s="82"/>
      <c r="E6294" s="84"/>
      <c r="F6294" s="84"/>
      <c r="G6294" s="84"/>
      <c r="I6294" s="237"/>
      <c r="J6294" s="238"/>
    </row>
    <row r="6295">
      <c r="C6295" s="82"/>
      <c r="E6295" s="84"/>
      <c r="F6295" s="84"/>
      <c r="G6295" s="84"/>
      <c r="I6295" s="237"/>
      <c r="J6295" s="238"/>
    </row>
    <row r="6296">
      <c r="C6296" s="82"/>
      <c r="E6296" s="84"/>
      <c r="F6296" s="84"/>
      <c r="G6296" s="84"/>
      <c r="I6296" s="237"/>
      <c r="J6296" s="238"/>
    </row>
    <row r="6297">
      <c r="C6297" s="82"/>
      <c r="E6297" s="84"/>
      <c r="F6297" s="84"/>
      <c r="G6297" s="84"/>
      <c r="I6297" s="237"/>
      <c r="J6297" s="238"/>
    </row>
    <row r="6298">
      <c r="C6298" s="82"/>
      <c r="E6298" s="84"/>
      <c r="F6298" s="84"/>
      <c r="G6298" s="84"/>
      <c r="I6298" s="237"/>
      <c r="J6298" s="238"/>
    </row>
    <row r="6299">
      <c r="C6299" s="82"/>
      <c r="E6299" s="84"/>
      <c r="F6299" s="84"/>
      <c r="G6299" s="84"/>
      <c r="I6299" s="237"/>
      <c r="J6299" s="238"/>
    </row>
    <row r="6300">
      <c r="C6300" s="82"/>
      <c r="E6300" s="84"/>
      <c r="F6300" s="84"/>
      <c r="G6300" s="84"/>
      <c r="I6300" s="237"/>
      <c r="J6300" s="238"/>
    </row>
    <row r="6301">
      <c r="C6301" s="82"/>
      <c r="E6301" s="84"/>
      <c r="F6301" s="84"/>
      <c r="G6301" s="84"/>
      <c r="I6301" s="237"/>
      <c r="J6301" s="238"/>
    </row>
    <row r="6302">
      <c r="C6302" s="82"/>
      <c r="E6302" s="84"/>
      <c r="F6302" s="84"/>
      <c r="G6302" s="84"/>
      <c r="I6302" s="237"/>
      <c r="J6302" s="238"/>
    </row>
    <row r="6303">
      <c r="C6303" s="82"/>
      <c r="E6303" s="84"/>
      <c r="F6303" s="84"/>
      <c r="G6303" s="84"/>
      <c r="I6303" s="237"/>
      <c r="J6303" s="238"/>
    </row>
    <row r="6304">
      <c r="C6304" s="82"/>
      <c r="E6304" s="84"/>
      <c r="F6304" s="84"/>
      <c r="G6304" s="84"/>
      <c r="I6304" s="237"/>
      <c r="J6304" s="238"/>
    </row>
    <row r="6305">
      <c r="C6305" s="82"/>
      <c r="E6305" s="84"/>
      <c r="F6305" s="84"/>
      <c r="G6305" s="84"/>
      <c r="I6305" s="237"/>
      <c r="J6305" s="238"/>
    </row>
    <row r="6306">
      <c r="C6306" s="82"/>
      <c r="E6306" s="84"/>
      <c r="F6306" s="84"/>
      <c r="G6306" s="84"/>
      <c r="I6306" s="237"/>
      <c r="J6306" s="238"/>
    </row>
    <row r="6307">
      <c r="C6307" s="82"/>
      <c r="E6307" s="84"/>
      <c r="F6307" s="84"/>
      <c r="G6307" s="84"/>
      <c r="I6307" s="237"/>
      <c r="J6307" s="238"/>
    </row>
    <row r="6308">
      <c r="C6308" s="82"/>
      <c r="E6308" s="84"/>
      <c r="F6308" s="84"/>
      <c r="G6308" s="84"/>
      <c r="I6308" s="237"/>
      <c r="J6308" s="238"/>
    </row>
    <row r="6309">
      <c r="C6309" s="82"/>
      <c r="E6309" s="84"/>
      <c r="F6309" s="84"/>
      <c r="G6309" s="84"/>
      <c r="I6309" s="237"/>
      <c r="J6309" s="238"/>
    </row>
    <row r="6310">
      <c r="C6310" s="82"/>
      <c r="E6310" s="84"/>
      <c r="F6310" s="84"/>
      <c r="G6310" s="84"/>
      <c r="I6310" s="237"/>
      <c r="J6310" s="238"/>
    </row>
    <row r="6311">
      <c r="C6311" s="82"/>
      <c r="E6311" s="84"/>
      <c r="F6311" s="84"/>
      <c r="G6311" s="84"/>
      <c r="I6311" s="237"/>
      <c r="J6311" s="238"/>
    </row>
    <row r="6312">
      <c r="C6312" s="82"/>
      <c r="E6312" s="84"/>
      <c r="F6312" s="84"/>
      <c r="G6312" s="84"/>
      <c r="I6312" s="237"/>
      <c r="J6312" s="238"/>
    </row>
    <row r="6313">
      <c r="C6313" s="82"/>
      <c r="E6313" s="84"/>
      <c r="F6313" s="84"/>
      <c r="G6313" s="84"/>
      <c r="I6313" s="237"/>
      <c r="J6313" s="238"/>
    </row>
    <row r="6314">
      <c r="C6314" s="82"/>
      <c r="E6314" s="84"/>
      <c r="F6314" s="84"/>
      <c r="G6314" s="84"/>
      <c r="I6314" s="237"/>
      <c r="J6314" s="238"/>
    </row>
    <row r="6315">
      <c r="C6315" s="82"/>
      <c r="E6315" s="84"/>
      <c r="F6315" s="84"/>
      <c r="G6315" s="84"/>
      <c r="I6315" s="237"/>
      <c r="J6315" s="238"/>
    </row>
    <row r="6316">
      <c r="C6316" s="82"/>
      <c r="E6316" s="84"/>
      <c r="F6316" s="84"/>
      <c r="G6316" s="84"/>
      <c r="I6316" s="237"/>
      <c r="J6316" s="238"/>
    </row>
    <row r="6317">
      <c r="C6317" s="82"/>
      <c r="E6317" s="84"/>
      <c r="F6317" s="84"/>
      <c r="G6317" s="84"/>
      <c r="I6317" s="237"/>
      <c r="J6317" s="238"/>
    </row>
    <row r="6318">
      <c r="C6318" s="82"/>
      <c r="E6318" s="84"/>
      <c r="F6318" s="84"/>
      <c r="G6318" s="84"/>
      <c r="I6318" s="237"/>
      <c r="J6318" s="238"/>
    </row>
    <row r="6319">
      <c r="C6319" s="82"/>
      <c r="E6319" s="84"/>
      <c r="F6319" s="84"/>
      <c r="G6319" s="84"/>
      <c r="I6319" s="237"/>
      <c r="J6319" s="238"/>
    </row>
    <row r="6320">
      <c r="C6320" s="82"/>
      <c r="E6320" s="84"/>
      <c r="F6320" s="84"/>
      <c r="G6320" s="84"/>
      <c r="I6320" s="237"/>
      <c r="J6320" s="238"/>
    </row>
    <row r="6321">
      <c r="C6321" s="82"/>
      <c r="E6321" s="84"/>
      <c r="F6321" s="84"/>
      <c r="G6321" s="84"/>
      <c r="I6321" s="237"/>
      <c r="J6321" s="238"/>
    </row>
    <row r="6322">
      <c r="C6322" s="82"/>
      <c r="E6322" s="84"/>
      <c r="F6322" s="84"/>
      <c r="G6322" s="84"/>
      <c r="I6322" s="237"/>
      <c r="J6322" s="238"/>
    </row>
    <row r="6323">
      <c r="C6323" s="82"/>
      <c r="E6323" s="84"/>
      <c r="F6323" s="84"/>
      <c r="G6323" s="84"/>
      <c r="I6323" s="237"/>
      <c r="J6323" s="238"/>
    </row>
    <row r="6324">
      <c r="C6324" s="82"/>
      <c r="E6324" s="84"/>
      <c r="F6324" s="84"/>
      <c r="G6324" s="84"/>
      <c r="I6324" s="237"/>
      <c r="J6324" s="238"/>
    </row>
    <row r="6325">
      <c r="C6325" s="82"/>
      <c r="E6325" s="84"/>
      <c r="F6325" s="84"/>
      <c r="G6325" s="84"/>
      <c r="I6325" s="237"/>
      <c r="J6325" s="238"/>
    </row>
    <row r="6326">
      <c r="C6326" s="82"/>
      <c r="E6326" s="84"/>
      <c r="F6326" s="84"/>
      <c r="G6326" s="84"/>
      <c r="I6326" s="237"/>
      <c r="J6326" s="238"/>
    </row>
    <row r="6327">
      <c r="C6327" s="82"/>
      <c r="E6327" s="84"/>
      <c r="F6327" s="84"/>
      <c r="G6327" s="84"/>
      <c r="I6327" s="237"/>
      <c r="J6327" s="238"/>
    </row>
    <row r="6328">
      <c r="C6328" s="82"/>
      <c r="E6328" s="84"/>
      <c r="F6328" s="84"/>
      <c r="G6328" s="84"/>
      <c r="I6328" s="237"/>
      <c r="J6328" s="238"/>
    </row>
    <row r="6329">
      <c r="C6329" s="82"/>
      <c r="E6329" s="84"/>
      <c r="F6329" s="84"/>
      <c r="G6329" s="84"/>
      <c r="I6329" s="237"/>
      <c r="J6329" s="238"/>
    </row>
    <row r="6330">
      <c r="C6330" s="82"/>
      <c r="E6330" s="84"/>
      <c r="F6330" s="84"/>
      <c r="G6330" s="84"/>
      <c r="I6330" s="237"/>
      <c r="J6330" s="238"/>
    </row>
    <row r="6331">
      <c r="C6331" s="82"/>
      <c r="E6331" s="84"/>
      <c r="F6331" s="84"/>
      <c r="G6331" s="84"/>
      <c r="I6331" s="237"/>
      <c r="J6331" s="238"/>
    </row>
    <row r="6332">
      <c r="C6332" s="82"/>
      <c r="E6332" s="84"/>
      <c r="F6332" s="84"/>
      <c r="G6332" s="84"/>
      <c r="I6332" s="237"/>
      <c r="J6332" s="238"/>
    </row>
    <row r="6333">
      <c r="C6333" s="82"/>
      <c r="E6333" s="84"/>
      <c r="F6333" s="84"/>
      <c r="G6333" s="84"/>
      <c r="I6333" s="237"/>
      <c r="J6333" s="238"/>
    </row>
    <row r="6334">
      <c r="C6334" s="82"/>
      <c r="E6334" s="84"/>
      <c r="F6334" s="84"/>
      <c r="G6334" s="84"/>
      <c r="I6334" s="237"/>
      <c r="J6334" s="238"/>
    </row>
    <row r="6335">
      <c r="C6335" s="82"/>
      <c r="E6335" s="84"/>
      <c r="F6335" s="84"/>
      <c r="G6335" s="84"/>
      <c r="I6335" s="237"/>
      <c r="J6335" s="238"/>
    </row>
    <row r="6336">
      <c r="C6336" s="82"/>
      <c r="E6336" s="84"/>
      <c r="F6336" s="84"/>
      <c r="G6336" s="84"/>
      <c r="I6336" s="237"/>
      <c r="J6336" s="238"/>
    </row>
    <row r="6337">
      <c r="C6337" s="82"/>
      <c r="E6337" s="84"/>
      <c r="F6337" s="84"/>
      <c r="G6337" s="84"/>
      <c r="I6337" s="237"/>
      <c r="J6337" s="238"/>
    </row>
    <row r="6338">
      <c r="C6338" s="82"/>
      <c r="E6338" s="84"/>
      <c r="F6338" s="84"/>
      <c r="G6338" s="84"/>
      <c r="I6338" s="237"/>
      <c r="J6338" s="238"/>
    </row>
    <row r="6339">
      <c r="C6339" s="82"/>
      <c r="E6339" s="84"/>
      <c r="F6339" s="84"/>
      <c r="G6339" s="84"/>
      <c r="I6339" s="237"/>
      <c r="J6339" s="238"/>
    </row>
    <row r="6340">
      <c r="C6340" s="82"/>
      <c r="E6340" s="84"/>
      <c r="F6340" s="84"/>
      <c r="G6340" s="84"/>
      <c r="I6340" s="237"/>
      <c r="J6340" s="238"/>
    </row>
    <row r="6341">
      <c r="C6341" s="82"/>
      <c r="E6341" s="84"/>
      <c r="F6341" s="84"/>
      <c r="G6341" s="84"/>
      <c r="I6341" s="237"/>
      <c r="J6341" s="238"/>
    </row>
    <row r="6342">
      <c r="C6342" s="82"/>
      <c r="E6342" s="84"/>
      <c r="F6342" s="84"/>
      <c r="G6342" s="84"/>
      <c r="I6342" s="237"/>
      <c r="J6342" s="238"/>
    </row>
    <row r="6343">
      <c r="C6343" s="82"/>
      <c r="E6343" s="84"/>
      <c r="F6343" s="84"/>
      <c r="G6343" s="84"/>
      <c r="I6343" s="237"/>
      <c r="J6343" s="238"/>
    </row>
    <row r="6344">
      <c r="C6344" s="82"/>
      <c r="E6344" s="84"/>
      <c r="F6344" s="84"/>
      <c r="G6344" s="84"/>
      <c r="I6344" s="237"/>
      <c r="J6344" s="238"/>
    </row>
    <row r="6345">
      <c r="C6345" s="82"/>
      <c r="E6345" s="84"/>
      <c r="F6345" s="84"/>
      <c r="G6345" s="84"/>
      <c r="I6345" s="237"/>
      <c r="J6345" s="238"/>
    </row>
    <row r="6346">
      <c r="C6346" s="82"/>
      <c r="E6346" s="84"/>
      <c r="F6346" s="84"/>
      <c r="G6346" s="84"/>
      <c r="I6346" s="237"/>
      <c r="J6346" s="238"/>
    </row>
    <row r="6347">
      <c r="C6347" s="82"/>
      <c r="E6347" s="84"/>
      <c r="F6347" s="84"/>
      <c r="G6347" s="84"/>
      <c r="I6347" s="237"/>
      <c r="J6347" s="238"/>
    </row>
    <row r="6348">
      <c r="C6348" s="82"/>
      <c r="E6348" s="84"/>
      <c r="F6348" s="84"/>
      <c r="G6348" s="84"/>
      <c r="I6348" s="237"/>
      <c r="J6348" s="238"/>
    </row>
    <row r="6349">
      <c r="C6349" s="82"/>
      <c r="E6349" s="84"/>
      <c r="F6349" s="84"/>
      <c r="G6349" s="84"/>
      <c r="I6349" s="237"/>
      <c r="J6349" s="238"/>
    </row>
    <row r="6350">
      <c r="C6350" s="82"/>
      <c r="E6350" s="84"/>
      <c r="F6350" s="84"/>
      <c r="G6350" s="84"/>
      <c r="I6350" s="237"/>
      <c r="J6350" s="238"/>
    </row>
    <row r="6351">
      <c r="C6351" s="82"/>
      <c r="E6351" s="84"/>
      <c r="F6351" s="84"/>
      <c r="G6351" s="84"/>
      <c r="I6351" s="237"/>
      <c r="J6351" s="238"/>
    </row>
    <row r="6352">
      <c r="C6352" s="82"/>
      <c r="E6352" s="84"/>
      <c r="F6352" s="84"/>
      <c r="G6352" s="84"/>
      <c r="I6352" s="237"/>
      <c r="J6352" s="238"/>
    </row>
    <row r="6353">
      <c r="C6353" s="82"/>
      <c r="E6353" s="84"/>
      <c r="F6353" s="84"/>
      <c r="G6353" s="84"/>
      <c r="I6353" s="237"/>
      <c r="J6353" s="238"/>
    </row>
    <row r="6354">
      <c r="C6354" s="82"/>
      <c r="E6354" s="84"/>
      <c r="F6354" s="84"/>
      <c r="G6354" s="84"/>
      <c r="I6354" s="237"/>
      <c r="J6354" s="238"/>
    </row>
    <row r="6355">
      <c r="C6355" s="82"/>
      <c r="E6355" s="84"/>
      <c r="F6355" s="84"/>
      <c r="G6355" s="84"/>
      <c r="I6355" s="237"/>
      <c r="J6355" s="238"/>
    </row>
    <row r="6356">
      <c r="C6356" s="82"/>
      <c r="E6356" s="84"/>
      <c r="F6356" s="84"/>
      <c r="G6356" s="84"/>
      <c r="I6356" s="237"/>
      <c r="J6356" s="238"/>
    </row>
    <row r="6357">
      <c r="C6357" s="82"/>
      <c r="E6357" s="84"/>
      <c r="F6357" s="84"/>
      <c r="G6357" s="84"/>
      <c r="I6357" s="237"/>
      <c r="J6357" s="238"/>
    </row>
    <row r="6358">
      <c r="C6358" s="82"/>
      <c r="E6358" s="84"/>
      <c r="F6358" s="84"/>
      <c r="G6358" s="84"/>
      <c r="I6358" s="237"/>
      <c r="J6358" s="238"/>
    </row>
    <row r="6359">
      <c r="C6359" s="82"/>
      <c r="E6359" s="84"/>
      <c r="F6359" s="84"/>
      <c r="G6359" s="84"/>
      <c r="I6359" s="237"/>
      <c r="J6359" s="238"/>
    </row>
    <row r="6360">
      <c r="C6360" s="82"/>
      <c r="E6360" s="84"/>
      <c r="F6360" s="84"/>
      <c r="G6360" s="84"/>
      <c r="I6360" s="237"/>
      <c r="J6360" s="238"/>
    </row>
    <row r="6361">
      <c r="C6361" s="82"/>
      <c r="E6361" s="84"/>
      <c r="F6361" s="84"/>
      <c r="G6361" s="84"/>
      <c r="I6361" s="237"/>
      <c r="J6361" s="238"/>
    </row>
    <row r="6362">
      <c r="C6362" s="82"/>
      <c r="E6362" s="84"/>
      <c r="F6362" s="84"/>
      <c r="G6362" s="84"/>
      <c r="I6362" s="237"/>
      <c r="J6362" s="238"/>
    </row>
    <row r="6363">
      <c r="C6363" s="82"/>
      <c r="E6363" s="84"/>
      <c r="F6363" s="84"/>
      <c r="G6363" s="84"/>
      <c r="I6363" s="237"/>
      <c r="J6363" s="238"/>
    </row>
    <row r="6364">
      <c r="C6364" s="82"/>
      <c r="E6364" s="84"/>
      <c r="F6364" s="84"/>
      <c r="G6364" s="84"/>
      <c r="I6364" s="237"/>
      <c r="J6364" s="238"/>
    </row>
    <row r="6365">
      <c r="C6365" s="82"/>
      <c r="E6365" s="84"/>
      <c r="F6365" s="84"/>
      <c r="G6365" s="84"/>
      <c r="I6365" s="237"/>
      <c r="J6365" s="238"/>
    </row>
    <row r="6366">
      <c r="C6366" s="82"/>
      <c r="E6366" s="84"/>
      <c r="F6366" s="84"/>
      <c r="G6366" s="84"/>
      <c r="I6366" s="237"/>
      <c r="J6366" s="238"/>
    </row>
    <row r="6367">
      <c r="C6367" s="82"/>
      <c r="E6367" s="84"/>
      <c r="F6367" s="84"/>
      <c r="G6367" s="84"/>
      <c r="I6367" s="237"/>
      <c r="J6367" s="238"/>
    </row>
    <row r="6368">
      <c r="C6368" s="82"/>
      <c r="E6368" s="84"/>
      <c r="F6368" s="84"/>
      <c r="G6368" s="84"/>
      <c r="I6368" s="237"/>
      <c r="J6368" s="238"/>
    </row>
    <row r="6369">
      <c r="C6369" s="82"/>
      <c r="E6369" s="84"/>
      <c r="F6369" s="84"/>
      <c r="G6369" s="84"/>
      <c r="I6369" s="237"/>
      <c r="J6369" s="238"/>
    </row>
    <row r="6370">
      <c r="C6370" s="82"/>
      <c r="E6370" s="84"/>
      <c r="F6370" s="84"/>
      <c r="G6370" s="84"/>
      <c r="I6370" s="237"/>
      <c r="J6370" s="238"/>
    </row>
    <row r="6371">
      <c r="C6371" s="82"/>
      <c r="E6371" s="84"/>
      <c r="F6371" s="84"/>
      <c r="G6371" s="84"/>
      <c r="I6371" s="237"/>
      <c r="J6371" s="238"/>
    </row>
    <row r="6372">
      <c r="C6372" s="82"/>
      <c r="E6372" s="84"/>
      <c r="F6372" s="84"/>
      <c r="G6372" s="84"/>
      <c r="I6372" s="237"/>
      <c r="J6372" s="238"/>
    </row>
    <row r="6373">
      <c r="C6373" s="82"/>
      <c r="E6373" s="84"/>
      <c r="F6373" s="84"/>
      <c r="G6373" s="84"/>
      <c r="I6373" s="237"/>
      <c r="J6373" s="238"/>
    </row>
    <row r="6374">
      <c r="C6374" s="82"/>
      <c r="E6374" s="84"/>
      <c r="F6374" s="84"/>
      <c r="G6374" s="84"/>
      <c r="I6374" s="237"/>
      <c r="J6374" s="238"/>
    </row>
    <row r="6375">
      <c r="C6375" s="82"/>
      <c r="E6375" s="84"/>
      <c r="F6375" s="84"/>
      <c r="G6375" s="84"/>
      <c r="I6375" s="237"/>
      <c r="J6375" s="238"/>
    </row>
    <row r="6376">
      <c r="C6376" s="82"/>
      <c r="E6376" s="84"/>
      <c r="F6376" s="84"/>
      <c r="G6376" s="84"/>
      <c r="I6376" s="237"/>
      <c r="J6376" s="238"/>
    </row>
    <row r="6377">
      <c r="C6377" s="82"/>
      <c r="E6377" s="84"/>
      <c r="F6377" s="84"/>
      <c r="G6377" s="84"/>
      <c r="I6377" s="237"/>
      <c r="J6377" s="238"/>
    </row>
    <row r="6378">
      <c r="C6378" s="82"/>
      <c r="E6378" s="84"/>
      <c r="F6378" s="84"/>
      <c r="G6378" s="84"/>
      <c r="I6378" s="237"/>
      <c r="J6378" s="238"/>
    </row>
    <row r="6379">
      <c r="C6379" s="82"/>
      <c r="E6379" s="84"/>
      <c r="F6379" s="84"/>
      <c r="G6379" s="84"/>
      <c r="I6379" s="237"/>
      <c r="J6379" s="238"/>
    </row>
    <row r="6380">
      <c r="C6380" s="82"/>
      <c r="E6380" s="84"/>
      <c r="F6380" s="84"/>
      <c r="G6380" s="84"/>
      <c r="I6380" s="237"/>
      <c r="J6380" s="238"/>
    </row>
    <row r="6381">
      <c r="C6381" s="82"/>
      <c r="E6381" s="84"/>
      <c r="F6381" s="84"/>
      <c r="G6381" s="84"/>
      <c r="I6381" s="237"/>
      <c r="J6381" s="238"/>
    </row>
    <row r="6382">
      <c r="C6382" s="82"/>
      <c r="E6382" s="84"/>
      <c r="F6382" s="84"/>
      <c r="G6382" s="84"/>
      <c r="I6382" s="237"/>
      <c r="J6382" s="238"/>
    </row>
    <row r="6383">
      <c r="C6383" s="82"/>
      <c r="E6383" s="84"/>
      <c r="F6383" s="84"/>
      <c r="G6383" s="84"/>
      <c r="I6383" s="237"/>
      <c r="J6383" s="238"/>
    </row>
    <row r="6384">
      <c r="C6384" s="82"/>
      <c r="E6384" s="84"/>
      <c r="F6384" s="84"/>
      <c r="G6384" s="84"/>
      <c r="I6384" s="237"/>
      <c r="J6384" s="238"/>
    </row>
    <row r="6385">
      <c r="C6385" s="82"/>
      <c r="E6385" s="84"/>
      <c r="F6385" s="84"/>
      <c r="G6385" s="84"/>
      <c r="I6385" s="237"/>
      <c r="J6385" s="238"/>
    </row>
    <row r="6386">
      <c r="C6386" s="82"/>
      <c r="E6386" s="84"/>
      <c r="F6386" s="84"/>
      <c r="G6386" s="84"/>
      <c r="I6386" s="237"/>
      <c r="J6386" s="238"/>
    </row>
    <row r="6387">
      <c r="C6387" s="82"/>
      <c r="E6387" s="84"/>
      <c r="F6387" s="84"/>
      <c r="G6387" s="84"/>
      <c r="I6387" s="237"/>
      <c r="J6387" s="238"/>
    </row>
    <row r="6388">
      <c r="C6388" s="82"/>
      <c r="E6388" s="84"/>
      <c r="F6388" s="84"/>
      <c r="G6388" s="84"/>
      <c r="I6388" s="237"/>
      <c r="J6388" s="238"/>
    </row>
    <row r="6389">
      <c r="C6389" s="82"/>
      <c r="E6389" s="84"/>
      <c r="F6389" s="84"/>
      <c r="G6389" s="84"/>
      <c r="I6389" s="237"/>
      <c r="J6389" s="238"/>
    </row>
    <row r="6390">
      <c r="C6390" s="82"/>
      <c r="E6390" s="84"/>
      <c r="F6390" s="84"/>
      <c r="G6390" s="84"/>
      <c r="I6390" s="237"/>
      <c r="J6390" s="238"/>
    </row>
    <row r="6391">
      <c r="C6391" s="82"/>
      <c r="E6391" s="84"/>
      <c r="F6391" s="84"/>
      <c r="G6391" s="84"/>
      <c r="I6391" s="237"/>
      <c r="J6391" s="238"/>
    </row>
    <row r="6392">
      <c r="C6392" s="82"/>
      <c r="E6392" s="84"/>
      <c r="F6392" s="84"/>
      <c r="G6392" s="84"/>
      <c r="I6392" s="237"/>
      <c r="J6392" s="238"/>
    </row>
    <row r="6393">
      <c r="C6393" s="82"/>
      <c r="E6393" s="84"/>
      <c r="F6393" s="84"/>
      <c r="G6393" s="84"/>
      <c r="I6393" s="237"/>
      <c r="J6393" s="238"/>
    </row>
    <row r="6394">
      <c r="C6394" s="82"/>
      <c r="E6394" s="84"/>
      <c r="F6394" s="84"/>
      <c r="G6394" s="84"/>
      <c r="I6394" s="237"/>
      <c r="J6394" s="238"/>
    </row>
    <row r="6395">
      <c r="C6395" s="82"/>
      <c r="E6395" s="84"/>
      <c r="F6395" s="84"/>
      <c r="G6395" s="84"/>
      <c r="I6395" s="237"/>
      <c r="J6395" s="238"/>
    </row>
    <row r="6396">
      <c r="C6396" s="82"/>
      <c r="E6396" s="84"/>
      <c r="F6396" s="84"/>
      <c r="G6396" s="84"/>
      <c r="I6396" s="237"/>
      <c r="J6396" s="238"/>
    </row>
    <row r="6397">
      <c r="C6397" s="82"/>
      <c r="E6397" s="84"/>
      <c r="F6397" s="84"/>
      <c r="G6397" s="84"/>
      <c r="I6397" s="237"/>
      <c r="J6397" s="238"/>
    </row>
    <row r="6398">
      <c r="C6398" s="82"/>
      <c r="E6398" s="84"/>
      <c r="F6398" s="84"/>
      <c r="G6398" s="84"/>
      <c r="I6398" s="237"/>
      <c r="J6398" s="238"/>
    </row>
    <row r="6399">
      <c r="C6399" s="82"/>
      <c r="E6399" s="84"/>
      <c r="F6399" s="84"/>
      <c r="G6399" s="84"/>
      <c r="I6399" s="237"/>
      <c r="J6399" s="238"/>
    </row>
    <row r="6400">
      <c r="C6400" s="82"/>
      <c r="E6400" s="84"/>
      <c r="F6400" s="84"/>
      <c r="G6400" s="84"/>
      <c r="I6400" s="237"/>
      <c r="J6400" s="238"/>
    </row>
    <row r="6401">
      <c r="C6401" s="82"/>
      <c r="E6401" s="84"/>
      <c r="F6401" s="84"/>
      <c r="G6401" s="84"/>
      <c r="I6401" s="237"/>
      <c r="J6401" s="238"/>
    </row>
    <row r="6402">
      <c r="C6402" s="82"/>
      <c r="E6402" s="84"/>
      <c r="F6402" s="84"/>
      <c r="G6402" s="84"/>
      <c r="I6402" s="237"/>
      <c r="J6402" s="238"/>
    </row>
    <row r="6403">
      <c r="C6403" s="82"/>
      <c r="E6403" s="84"/>
      <c r="F6403" s="84"/>
      <c r="G6403" s="84"/>
      <c r="I6403" s="237"/>
      <c r="J6403" s="238"/>
    </row>
    <row r="6404">
      <c r="C6404" s="82"/>
      <c r="E6404" s="84"/>
      <c r="F6404" s="84"/>
      <c r="G6404" s="84"/>
      <c r="I6404" s="237"/>
      <c r="J6404" s="238"/>
    </row>
    <row r="6405">
      <c r="C6405" s="82"/>
      <c r="E6405" s="84"/>
      <c r="F6405" s="84"/>
      <c r="G6405" s="84"/>
      <c r="I6405" s="237"/>
      <c r="J6405" s="238"/>
    </row>
    <row r="6406">
      <c r="C6406" s="82"/>
      <c r="E6406" s="84"/>
      <c r="F6406" s="84"/>
      <c r="G6406" s="84"/>
      <c r="I6406" s="237"/>
      <c r="J6406" s="238"/>
    </row>
    <row r="6407">
      <c r="C6407" s="82"/>
      <c r="E6407" s="84"/>
      <c r="F6407" s="84"/>
      <c r="G6407" s="84"/>
      <c r="I6407" s="237"/>
      <c r="J6407" s="238"/>
    </row>
    <row r="6408">
      <c r="C6408" s="82"/>
      <c r="E6408" s="84"/>
      <c r="F6408" s="84"/>
      <c r="G6408" s="84"/>
      <c r="I6408" s="237"/>
      <c r="J6408" s="238"/>
    </row>
    <row r="6409">
      <c r="C6409" s="82"/>
      <c r="E6409" s="84"/>
      <c r="F6409" s="84"/>
      <c r="G6409" s="84"/>
      <c r="I6409" s="237"/>
      <c r="J6409" s="238"/>
    </row>
    <row r="6410">
      <c r="C6410" s="82"/>
      <c r="E6410" s="84"/>
      <c r="F6410" s="84"/>
      <c r="G6410" s="84"/>
      <c r="I6410" s="237"/>
      <c r="J6410" s="238"/>
    </row>
    <row r="6411">
      <c r="C6411" s="82"/>
      <c r="E6411" s="84"/>
      <c r="F6411" s="84"/>
      <c r="G6411" s="84"/>
      <c r="I6411" s="237"/>
      <c r="J6411" s="238"/>
    </row>
    <row r="6412">
      <c r="C6412" s="82"/>
      <c r="E6412" s="84"/>
      <c r="F6412" s="84"/>
      <c r="G6412" s="84"/>
      <c r="I6412" s="237"/>
      <c r="J6412" s="238"/>
    </row>
    <row r="6413">
      <c r="C6413" s="82"/>
      <c r="E6413" s="84"/>
      <c r="F6413" s="84"/>
      <c r="G6413" s="84"/>
      <c r="I6413" s="237"/>
      <c r="J6413" s="238"/>
    </row>
    <row r="6414">
      <c r="C6414" s="82"/>
      <c r="E6414" s="84"/>
      <c r="F6414" s="84"/>
      <c r="G6414" s="84"/>
      <c r="I6414" s="237"/>
      <c r="J6414" s="238"/>
    </row>
    <row r="6415">
      <c r="C6415" s="82"/>
      <c r="E6415" s="84"/>
      <c r="F6415" s="84"/>
      <c r="G6415" s="84"/>
      <c r="I6415" s="237"/>
      <c r="J6415" s="238"/>
    </row>
    <row r="6416">
      <c r="C6416" s="82"/>
      <c r="E6416" s="84"/>
      <c r="F6416" s="84"/>
      <c r="G6416" s="84"/>
      <c r="I6416" s="237"/>
      <c r="J6416" s="238"/>
    </row>
    <row r="6417">
      <c r="C6417" s="82"/>
      <c r="E6417" s="84"/>
      <c r="F6417" s="84"/>
      <c r="G6417" s="84"/>
      <c r="I6417" s="237"/>
      <c r="J6417" s="238"/>
    </row>
    <row r="6418">
      <c r="C6418" s="82"/>
      <c r="E6418" s="84"/>
      <c r="F6418" s="84"/>
      <c r="G6418" s="84"/>
      <c r="I6418" s="237"/>
      <c r="J6418" s="238"/>
    </row>
    <row r="6419">
      <c r="C6419" s="82"/>
      <c r="E6419" s="84"/>
      <c r="F6419" s="84"/>
      <c r="G6419" s="84"/>
      <c r="I6419" s="237"/>
      <c r="J6419" s="238"/>
    </row>
    <row r="6420">
      <c r="C6420" s="82"/>
      <c r="E6420" s="84"/>
      <c r="F6420" s="84"/>
      <c r="G6420" s="84"/>
      <c r="I6420" s="237"/>
      <c r="J6420" s="238"/>
    </row>
    <row r="6421">
      <c r="C6421" s="82"/>
      <c r="E6421" s="84"/>
      <c r="F6421" s="84"/>
      <c r="G6421" s="84"/>
      <c r="I6421" s="237"/>
      <c r="J6421" s="238"/>
    </row>
    <row r="6422">
      <c r="C6422" s="82"/>
      <c r="E6422" s="84"/>
      <c r="F6422" s="84"/>
      <c r="G6422" s="84"/>
      <c r="I6422" s="237"/>
      <c r="J6422" s="238"/>
    </row>
    <row r="6423">
      <c r="C6423" s="82"/>
      <c r="E6423" s="84"/>
      <c r="F6423" s="84"/>
      <c r="G6423" s="84"/>
      <c r="I6423" s="237"/>
      <c r="J6423" s="238"/>
    </row>
    <row r="6424">
      <c r="C6424" s="82"/>
      <c r="E6424" s="84"/>
      <c r="F6424" s="84"/>
      <c r="G6424" s="84"/>
      <c r="I6424" s="237"/>
      <c r="J6424" s="238"/>
    </row>
    <row r="6425">
      <c r="C6425" s="82"/>
      <c r="E6425" s="84"/>
      <c r="F6425" s="84"/>
      <c r="G6425" s="84"/>
      <c r="I6425" s="237"/>
      <c r="J6425" s="238"/>
    </row>
    <row r="6426">
      <c r="C6426" s="82"/>
      <c r="E6426" s="84"/>
      <c r="F6426" s="84"/>
      <c r="G6426" s="84"/>
      <c r="I6426" s="237"/>
      <c r="J6426" s="238"/>
    </row>
    <row r="6427">
      <c r="C6427" s="82"/>
      <c r="E6427" s="84"/>
      <c r="F6427" s="84"/>
      <c r="G6427" s="84"/>
      <c r="I6427" s="237"/>
      <c r="J6427" s="238"/>
    </row>
    <row r="6428">
      <c r="C6428" s="82"/>
      <c r="E6428" s="84"/>
      <c r="F6428" s="84"/>
      <c r="G6428" s="84"/>
      <c r="I6428" s="237"/>
      <c r="J6428" s="238"/>
    </row>
    <row r="6429">
      <c r="C6429" s="82"/>
      <c r="E6429" s="84"/>
      <c r="F6429" s="84"/>
      <c r="G6429" s="84"/>
      <c r="I6429" s="237"/>
      <c r="J6429" s="238"/>
    </row>
    <row r="6430">
      <c r="C6430" s="82"/>
      <c r="E6430" s="84"/>
      <c r="F6430" s="84"/>
      <c r="G6430" s="84"/>
      <c r="I6430" s="237"/>
      <c r="J6430" s="238"/>
    </row>
    <row r="6431">
      <c r="C6431" s="82"/>
      <c r="E6431" s="84"/>
      <c r="F6431" s="84"/>
      <c r="G6431" s="84"/>
      <c r="I6431" s="237"/>
      <c r="J6431" s="238"/>
    </row>
    <row r="6432">
      <c r="C6432" s="82"/>
      <c r="E6432" s="84"/>
      <c r="F6432" s="84"/>
      <c r="G6432" s="84"/>
      <c r="I6432" s="237"/>
      <c r="J6432" s="238"/>
    </row>
    <row r="6433">
      <c r="C6433" s="82"/>
      <c r="E6433" s="84"/>
      <c r="F6433" s="84"/>
      <c r="G6433" s="84"/>
      <c r="I6433" s="237"/>
      <c r="J6433" s="238"/>
    </row>
    <row r="6434">
      <c r="C6434" s="82"/>
      <c r="E6434" s="84"/>
      <c r="F6434" s="84"/>
      <c r="G6434" s="84"/>
      <c r="I6434" s="237"/>
      <c r="J6434" s="238"/>
    </row>
    <row r="6435">
      <c r="C6435" s="82"/>
      <c r="E6435" s="84"/>
      <c r="F6435" s="84"/>
      <c r="G6435" s="84"/>
      <c r="I6435" s="237"/>
      <c r="J6435" s="238"/>
    </row>
    <row r="6436">
      <c r="C6436" s="82"/>
      <c r="E6436" s="84"/>
      <c r="F6436" s="84"/>
      <c r="G6436" s="84"/>
      <c r="I6436" s="237"/>
      <c r="J6436" s="238"/>
    </row>
    <row r="6437">
      <c r="C6437" s="82"/>
      <c r="E6437" s="84"/>
      <c r="F6437" s="84"/>
      <c r="G6437" s="84"/>
      <c r="I6437" s="237"/>
      <c r="J6437" s="238"/>
    </row>
    <row r="6438">
      <c r="C6438" s="82"/>
      <c r="E6438" s="84"/>
      <c r="F6438" s="84"/>
      <c r="G6438" s="84"/>
      <c r="I6438" s="237"/>
      <c r="J6438" s="238"/>
    </row>
    <row r="6439">
      <c r="C6439" s="82"/>
      <c r="E6439" s="84"/>
      <c r="F6439" s="84"/>
      <c r="G6439" s="84"/>
      <c r="I6439" s="237"/>
      <c r="J6439" s="238"/>
    </row>
    <row r="6440">
      <c r="C6440" s="82"/>
      <c r="E6440" s="84"/>
      <c r="F6440" s="84"/>
      <c r="G6440" s="84"/>
      <c r="I6440" s="237"/>
      <c r="J6440" s="238"/>
    </row>
    <row r="6441">
      <c r="C6441" s="82"/>
      <c r="E6441" s="84"/>
      <c r="F6441" s="84"/>
      <c r="G6441" s="84"/>
      <c r="I6441" s="237"/>
      <c r="J6441" s="238"/>
    </row>
    <row r="6442">
      <c r="C6442" s="82"/>
      <c r="E6442" s="84"/>
      <c r="F6442" s="84"/>
      <c r="G6442" s="84"/>
      <c r="I6442" s="237"/>
      <c r="J6442" s="238"/>
    </row>
    <row r="6443">
      <c r="C6443" s="82"/>
      <c r="E6443" s="84"/>
      <c r="F6443" s="84"/>
      <c r="G6443" s="84"/>
      <c r="I6443" s="237"/>
      <c r="J6443" s="238"/>
    </row>
    <row r="6444">
      <c r="C6444" s="82"/>
      <c r="E6444" s="84"/>
      <c r="F6444" s="84"/>
      <c r="G6444" s="84"/>
      <c r="I6444" s="237"/>
      <c r="J6444" s="238"/>
    </row>
    <row r="6445">
      <c r="C6445" s="82"/>
      <c r="E6445" s="84"/>
      <c r="F6445" s="84"/>
      <c r="G6445" s="84"/>
      <c r="I6445" s="237"/>
      <c r="J6445" s="238"/>
    </row>
    <row r="6446">
      <c r="C6446" s="82"/>
      <c r="E6446" s="84"/>
      <c r="F6446" s="84"/>
      <c r="G6446" s="84"/>
      <c r="I6446" s="237"/>
      <c r="J6446" s="238"/>
    </row>
    <row r="6447">
      <c r="C6447" s="82"/>
      <c r="E6447" s="84"/>
      <c r="F6447" s="84"/>
      <c r="G6447" s="84"/>
      <c r="I6447" s="237"/>
      <c r="J6447" s="238"/>
    </row>
    <row r="6448">
      <c r="C6448" s="82"/>
      <c r="E6448" s="84"/>
      <c r="F6448" s="84"/>
      <c r="G6448" s="84"/>
      <c r="I6448" s="237"/>
      <c r="J6448" s="238"/>
    </row>
    <row r="6449">
      <c r="C6449" s="82"/>
      <c r="E6449" s="84"/>
      <c r="F6449" s="84"/>
      <c r="G6449" s="84"/>
      <c r="I6449" s="237"/>
      <c r="J6449" s="238"/>
    </row>
    <row r="6450">
      <c r="C6450" s="82"/>
      <c r="E6450" s="84"/>
      <c r="F6450" s="84"/>
      <c r="G6450" s="84"/>
      <c r="I6450" s="237"/>
      <c r="J6450" s="238"/>
    </row>
    <row r="6451">
      <c r="C6451" s="82"/>
      <c r="E6451" s="84"/>
      <c r="F6451" s="84"/>
      <c r="G6451" s="84"/>
      <c r="I6451" s="237"/>
      <c r="J6451" s="238"/>
    </row>
    <row r="6452">
      <c r="C6452" s="82"/>
      <c r="E6452" s="84"/>
      <c r="F6452" s="84"/>
      <c r="G6452" s="84"/>
      <c r="I6452" s="237"/>
      <c r="J6452" s="238"/>
    </row>
    <row r="6453">
      <c r="C6453" s="82"/>
      <c r="E6453" s="84"/>
      <c r="F6453" s="84"/>
      <c r="G6453" s="84"/>
      <c r="I6453" s="237"/>
      <c r="J6453" s="238"/>
    </row>
    <row r="6454">
      <c r="C6454" s="82"/>
      <c r="E6454" s="84"/>
      <c r="F6454" s="84"/>
      <c r="G6454" s="84"/>
      <c r="I6454" s="237"/>
      <c r="J6454" s="238"/>
    </row>
    <row r="6455">
      <c r="C6455" s="82"/>
      <c r="E6455" s="84"/>
      <c r="F6455" s="84"/>
      <c r="G6455" s="84"/>
      <c r="I6455" s="237"/>
      <c r="J6455" s="238"/>
    </row>
    <row r="6456">
      <c r="C6456" s="82"/>
      <c r="E6456" s="84"/>
      <c r="F6456" s="84"/>
      <c r="G6456" s="84"/>
      <c r="I6456" s="237"/>
      <c r="J6456" s="238"/>
    </row>
    <row r="6457">
      <c r="C6457" s="82"/>
      <c r="E6457" s="84"/>
      <c r="F6457" s="84"/>
      <c r="G6457" s="84"/>
      <c r="I6457" s="237"/>
      <c r="J6457" s="238"/>
    </row>
    <row r="6458">
      <c r="C6458" s="82"/>
      <c r="E6458" s="84"/>
      <c r="F6458" s="84"/>
      <c r="G6458" s="84"/>
      <c r="I6458" s="237"/>
      <c r="J6458" s="238"/>
    </row>
    <row r="6459">
      <c r="C6459" s="82"/>
      <c r="E6459" s="84"/>
      <c r="F6459" s="84"/>
      <c r="G6459" s="84"/>
      <c r="I6459" s="237"/>
      <c r="J6459" s="238"/>
    </row>
    <row r="6460">
      <c r="C6460" s="82"/>
      <c r="E6460" s="84"/>
      <c r="F6460" s="84"/>
      <c r="G6460" s="84"/>
      <c r="I6460" s="237"/>
      <c r="J6460" s="238"/>
    </row>
    <row r="6461">
      <c r="C6461" s="82"/>
      <c r="E6461" s="84"/>
      <c r="F6461" s="84"/>
      <c r="G6461" s="84"/>
      <c r="I6461" s="237"/>
      <c r="J6461" s="238"/>
    </row>
    <row r="6462">
      <c r="C6462" s="82"/>
      <c r="E6462" s="84"/>
      <c r="F6462" s="84"/>
      <c r="G6462" s="84"/>
      <c r="I6462" s="237"/>
      <c r="J6462" s="238"/>
    </row>
    <row r="6463">
      <c r="C6463" s="82"/>
      <c r="E6463" s="84"/>
      <c r="F6463" s="84"/>
      <c r="G6463" s="84"/>
      <c r="I6463" s="237"/>
      <c r="J6463" s="238"/>
    </row>
    <row r="6464">
      <c r="C6464" s="82"/>
      <c r="E6464" s="84"/>
      <c r="F6464" s="84"/>
      <c r="G6464" s="84"/>
      <c r="I6464" s="237"/>
      <c r="J6464" s="238"/>
    </row>
    <row r="6465">
      <c r="C6465" s="82"/>
      <c r="E6465" s="84"/>
      <c r="F6465" s="84"/>
      <c r="G6465" s="84"/>
      <c r="I6465" s="237"/>
      <c r="J6465" s="238"/>
    </row>
    <row r="6466">
      <c r="C6466" s="82"/>
      <c r="E6466" s="84"/>
      <c r="F6466" s="84"/>
      <c r="G6466" s="84"/>
      <c r="I6466" s="237"/>
      <c r="J6466" s="238"/>
    </row>
    <row r="6467">
      <c r="C6467" s="82"/>
      <c r="E6467" s="84"/>
      <c r="F6467" s="84"/>
      <c r="G6467" s="84"/>
      <c r="I6467" s="237"/>
      <c r="J6467" s="238"/>
    </row>
    <row r="6468">
      <c r="C6468" s="82"/>
      <c r="E6468" s="84"/>
      <c r="F6468" s="84"/>
      <c r="G6468" s="84"/>
      <c r="I6468" s="237"/>
      <c r="J6468" s="238"/>
    </row>
    <row r="6469">
      <c r="C6469" s="82"/>
      <c r="E6469" s="84"/>
      <c r="F6469" s="84"/>
      <c r="G6469" s="84"/>
      <c r="I6469" s="237"/>
      <c r="J6469" s="238"/>
    </row>
    <row r="6470">
      <c r="C6470" s="82"/>
      <c r="E6470" s="84"/>
      <c r="F6470" s="84"/>
      <c r="G6470" s="84"/>
      <c r="I6470" s="237"/>
      <c r="J6470" s="238"/>
    </row>
    <row r="6471">
      <c r="C6471" s="82"/>
      <c r="E6471" s="84"/>
      <c r="F6471" s="84"/>
      <c r="G6471" s="84"/>
      <c r="I6471" s="237"/>
      <c r="J6471" s="238"/>
    </row>
    <row r="6472">
      <c r="C6472" s="82"/>
      <c r="E6472" s="84"/>
      <c r="F6472" s="84"/>
      <c r="G6472" s="84"/>
      <c r="I6472" s="237"/>
      <c r="J6472" s="238"/>
    </row>
    <row r="6473">
      <c r="C6473" s="82"/>
      <c r="E6473" s="84"/>
      <c r="F6473" s="84"/>
      <c r="G6473" s="84"/>
      <c r="I6473" s="237"/>
      <c r="J6473" s="238"/>
    </row>
    <row r="6474">
      <c r="C6474" s="82"/>
      <c r="E6474" s="84"/>
      <c r="F6474" s="84"/>
      <c r="G6474" s="84"/>
      <c r="I6474" s="237"/>
      <c r="J6474" s="238"/>
    </row>
    <row r="6475">
      <c r="C6475" s="82"/>
      <c r="E6475" s="84"/>
      <c r="F6475" s="84"/>
      <c r="G6475" s="84"/>
      <c r="I6475" s="237"/>
      <c r="J6475" s="238"/>
    </row>
    <row r="6476">
      <c r="C6476" s="82"/>
      <c r="E6476" s="84"/>
      <c r="F6476" s="84"/>
      <c r="G6476" s="84"/>
      <c r="I6476" s="237"/>
      <c r="J6476" s="238"/>
    </row>
    <row r="6477">
      <c r="C6477" s="82"/>
      <c r="E6477" s="84"/>
      <c r="F6477" s="84"/>
      <c r="G6477" s="84"/>
      <c r="I6477" s="237"/>
      <c r="J6477" s="238"/>
    </row>
    <row r="6478">
      <c r="C6478" s="82"/>
      <c r="E6478" s="84"/>
      <c r="F6478" s="84"/>
      <c r="G6478" s="84"/>
      <c r="I6478" s="237"/>
      <c r="J6478" s="238"/>
    </row>
    <row r="6479">
      <c r="C6479" s="82"/>
      <c r="E6479" s="84"/>
      <c r="F6479" s="84"/>
      <c r="G6479" s="84"/>
      <c r="I6479" s="237"/>
      <c r="J6479" s="238"/>
    </row>
    <row r="6480">
      <c r="C6480" s="82"/>
      <c r="E6480" s="84"/>
      <c r="F6480" s="84"/>
      <c r="G6480" s="84"/>
      <c r="I6480" s="237"/>
      <c r="J6480" s="238"/>
    </row>
    <row r="6481">
      <c r="C6481" s="82"/>
      <c r="E6481" s="84"/>
      <c r="F6481" s="84"/>
      <c r="G6481" s="84"/>
      <c r="I6481" s="237"/>
      <c r="J6481" s="238"/>
    </row>
    <row r="6482">
      <c r="C6482" s="82"/>
      <c r="E6482" s="84"/>
      <c r="F6482" s="84"/>
      <c r="G6482" s="84"/>
      <c r="I6482" s="237"/>
      <c r="J6482" s="238"/>
    </row>
    <row r="6483">
      <c r="C6483" s="82"/>
      <c r="E6483" s="84"/>
      <c r="F6483" s="84"/>
      <c r="G6483" s="84"/>
      <c r="I6483" s="237"/>
      <c r="J6483" s="238"/>
    </row>
    <row r="6484">
      <c r="C6484" s="82"/>
      <c r="E6484" s="84"/>
      <c r="F6484" s="84"/>
      <c r="G6484" s="84"/>
      <c r="I6484" s="237"/>
      <c r="J6484" s="238"/>
    </row>
    <row r="6485">
      <c r="C6485" s="82"/>
      <c r="E6485" s="84"/>
      <c r="F6485" s="84"/>
      <c r="G6485" s="84"/>
      <c r="I6485" s="237"/>
      <c r="J6485" s="238"/>
    </row>
    <row r="6486">
      <c r="C6486" s="82"/>
      <c r="E6486" s="84"/>
      <c r="F6486" s="84"/>
      <c r="G6486" s="84"/>
      <c r="I6486" s="237"/>
      <c r="J6486" s="238"/>
    </row>
    <row r="6487">
      <c r="C6487" s="82"/>
      <c r="E6487" s="84"/>
      <c r="F6487" s="84"/>
      <c r="G6487" s="84"/>
      <c r="I6487" s="237"/>
      <c r="J6487" s="238"/>
    </row>
    <row r="6488">
      <c r="C6488" s="82"/>
      <c r="E6488" s="84"/>
      <c r="F6488" s="84"/>
      <c r="G6488" s="84"/>
      <c r="I6488" s="237"/>
      <c r="J6488" s="238"/>
    </row>
    <row r="6489">
      <c r="C6489" s="82"/>
      <c r="E6489" s="84"/>
      <c r="F6489" s="84"/>
      <c r="G6489" s="84"/>
      <c r="I6489" s="237"/>
      <c r="J6489" s="238"/>
    </row>
    <row r="6490">
      <c r="C6490" s="82"/>
      <c r="E6490" s="84"/>
      <c r="F6490" s="84"/>
      <c r="G6490" s="84"/>
      <c r="I6490" s="237"/>
      <c r="J6490" s="238"/>
    </row>
    <row r="6491">
      <c r="C6491" s="82"/>
      <c r="E6491" s="84"/>
      <c r="F6491" s="84"/>
      <c r="G6491" s="84"/>
      <c r="I6491" s="237"/>
      <c r="J6491" s="238"/>
    </row>
    <row r="6492">
      <c r="C6492" s="82"/>
      <c r="E6492" s="84"/>
      <c r="F6492" s="84"/>
      <c r="G6492" s="84"/>
      <c r="I6492" s="237"/>
      <c r="J6492" s="238"/>
    </row>
    <row r="6493">
      <c r="C6493" s="82"/>
      <c r="E6493" s="84"/>
      <c r="F6493" s="84"/>
      <c r="G6493" s="84"/>
      <c r="I6493" s="237"/>
      <c r="J6493" s="238"/>
    </row>
    <row r="6494">
      <c r="C6494" s="82"/>
      <c r="E6494" s="84"/>
      <c r="F6494" s="84"/>
      <c r="G6494" s="84"/>
      <c r="I6494" s="237"/>
      <c r="J6494" s="238"/>
    </row>
    <row r="6495">
      <c r="C6495" s="82"/>
      <c r="E6495" s="84"/>
      <c r="F6495" s="84"/>
      <c r="G6495" s="84"/>
      <c r="I6495" s="237"/>
      <c r="J6495" s="238"/>
    </row>
    <row r="6496">
      <c r="C6496" s="82"/>
      <c r="E6496" s="84"/>
      <c r="F6496" s="84"/>
      <c r="G6496" s="84"/>
      <c r="I6496" s="237"/>
      <c r="J6496" s="238"/>
    </row>
    <row r="6497">
      <c r="C6497" s="82"/>
      <c r="E6497" s="84"/>
      <c r="F6497" s="84"/>
      <c r="G6497" s="84"/>
      <c r="I6497" s="237"/>
      <c r="J6497" s="238"/>
    </row>
    <row r="6498">
      <c r="C6498" s="82"/>
      <c r="E6498" s="84"/>
      <c r="F6498" s="84"/>
      <c r="G6498" s="84"/>
      <c r="I6498" s="237"/>
      <c r="J6498" s="238"/>
    </row>
    <row r="6499">
      <c r="C6499" s="82"/>
      <c r="E6499" s="84"/>
      <c r="F6499" s="84"/>
      <c r="G6499" s="84"/>
      <c r="I6499" s="237"/>
      <c r="J6499" s="238"/>
    </row>
    <row r="6500">
      <c r="C6500" s="82"/>
      <c r="E6500" s="84"/>
      <c r="F6500" s="84"/>
      <c r="G6500" s="84"/>
      <c r="I6500" s="237"/>
      <c r="J6500" s="238"/>
    </row>
    <row r="6501">
      <c r="C6501" s="82"/>
      <c r="E6501" s="84"/>
      <c r="F6501" s="84"/>
      <c r="G6501" s="84"/>
      <c r="I6501" s="237"/>
      <c r="J6501" s="238"/>
    </row>
    <row r="6502">
      <c r="C6502" s="82"/>
      <c r="E6502" s="84"/>
      <c r="F6502" s="84"/>
      <c r="G6502" s="84"/>
      <c r="I6502" s="237"/>
      <c r="J6502" s="238"/>
    </row>
    <row r="6503">
      <c r="C6503" s="82"/>
      <c r="E6503" s="84"/>
      <c r="F6503" s="84"/>
      <c r="G6503" s="84"/>
      <c r="I6503" s="237"/>
      <c r="J6503" s="238"/>
    </row>
    <row r="6504">
      <c r="C6504" s="82"/>
      <c r="E6504" s="84"/>
      <c r="F6504" s="84"/>
      <c r="G6504" s="84"/>
      <c r="I6504" s="237"/>
      <c r="J6504" s="238"/>
    </row>
    <row r="6505">
      <c r="C6505" s="82"/>
      <c r="E6505" s="84"/>
      <c r="F6505" s="84"/>
      <c r="G6505" s="84"/>
      <c r="I6505" s="237"/>
      <c r="J6505" s="238"/>
    </row>
    <row r="6506">
      <c r="C6506" s="82"/>
      <c r="E6506" s="84"/>
      <c r="F6506" s="84"/>
      <c r="G6506" s="84"/>
      <c r="I6506" s="237"/>
      <c r="J6506" s="238"/>
    </row>
    <row r="6507">
      <c r="C6507" s="82"/>
      <c r="E6507" s="84"/>
      <c r="F6507" s="84"/>
      <c r="G6507" s="84"/>
      <c r="I6507" s="237"/>
      <c r="J6507" s="238"/>
    </row>
    <row r="6508">
      <c r="C6508" s="82"/>
      <c r="E6508" s="84"/>
      <c r="F6508" s="84"/>
      <c r="G6508" s="84"/>
      <c r="I6508" s="237"/>
      <c r="J6508" s="238"/>
    </row>
    <row r="6509">
      <c r="C6509" s="82"/>
      <c r="E6509" s="84"/>
      <c r="F6509" s="84"/>
      <c r="G6509" s="84"/>
      <c r="I6509" s="237"/>
      <c r="J6509" s="238"/>
    </row>
    <row r="6510">
      <c r="C6510" s="82"/>
      <c r="E6510" s="84"/>
      <c r="F6510" s="84"/>
      <c r="G6510" s="84"/>
      <c r="I6510" s="237"/>
      <c r="J6510" s="238"/>
    </row>
    <row r="6511">
      <c r="C6511" s="82"/>
      <c r="E6511" s="84"/>
      <c r="F6511" s="84"/>
      <c r="G6511" s="84"/>
      <c r="I6511" s="237"/>
      <c r="J6511" s="238"/>
    </row>
    <row r="6512">
      <c r="C6512" s="82"/>
      <c r="E6512" s="84"/>
      <c r="F6512" s="84"/>
      <c r="G6512" s="84"/>
      <c r="I6512" s="237"/>
      <c r="J6512" s="238"/>
    </row>
    <row r="6513">
      <c r="C6513" s="82"/>
      <c r="E6513" s="84"/>
      <c r="F6513" s="84"/>
      <c r="G6513" s="84"/>
      <c r="I6513" s="237"/>
      <c r="J6513" s="238"/>
    </row>
    <row r="6514">
      <c r="C6514" s="82"/>
      <c r="E6514" s="84"/>
      <c r="F6514" s="84"/>
      <c r="G6514" s="84"/>
      <c r="I6514" s="237"/>
      <c r="J6514" s="238"/>
    </row>
    <row r="6515">
      <c r="C6515" s="82"/>
      <c r="E6515" s="84"/>
      <c r="F6515" s="84"/>
      <c r="G6515" s="84"/>
      <c r="I6515" s="237"/>
      <c r="J6515" s="238"/>
    </row>
    <row r="6516">
      <c r="C6516" s="82"/>
      <c r="E6516" s="84"/>
      <c r="F6516" s="84"/>
      <c r="G6516" s="84"/>
      <c r="I6516" s="237"/>
      <c r="J6516" s="238"/>
    </row>
    <row r="6517">
      <c r="C6517" s="82"/>
      <c r="E6517" s="84"/>
      <c r="F6517" s="84"/>
      <c r="G6517" s="84"/>
      <c r="I6517" s="237"/>
      <c r="J6517" s="238"/>
    </row>
    <row r="6518">
      <c r="C6518" s="82"/>
      <c r="E6518" s="84"/>
      <c r="F6518" s="84"/>
      <c r="G6518" s="84"/>
      <c r="I6518" s="237"/>
      <c r="J6518" s="238"/>
    </row>
    <row r="6519">
      <c r="C6519" s="82"/>
      <c r="E6519" s="84"/>
      <c r="F6519" s="84"/>
      <c r="G6519" s="84"/>
      <c r="I6519" s="237"/>
      <c r="J6519" s="238"/>
    </row>
    <row r="6520">
      <c r="C6520" s="82"/>
      <c r="E6520" s="84"/>
      <c r="F6520" s="84"/>
      <c r="G6520" s="84"/>
      <c r="I6520" s="237"/>
      <c r="J6520" s="238"/>
    </row>
    <row r="6521">
      <c r="C6521" s="82"/>
      <c r="E6521" s="84"/>
      <c r="F6521" s="84"/>
      <c r="G6521" s="84"/>
      <c r="I6521" s="237"/>
      <c r="J6521" s="238"/>
    </row>
    <row r="6522">
      <c r="C6522" s="82"/>
      <c r="E6522" s="84"/>
      <c r="F6522" s="84"/>
      <c r="G6522" s="84"/>
      <c r="I6522" s="237"/>
      <c r="J6522" s="238"/>
    </row>
    <row r="6523">
      <c r="C6523" s="82"/>
      <c r="E6523" s="84"/>
      <c r="F6523" s="84"/>
      <c r="G6523" s="84"/>
      <c r="I6523" s="237"/>
      <c r="J6523" s="238"/>
    </row>
    <row r="6524">
      <c r="C6524" s="82"/>
      <c r="E6524" s="84"/>
      <c r="F6524" s="84"/>
      <c r="G6524" s="84"/>
      <c r="I6524" s="237"/>
      <c r="J6524" s="238"/>
    </row>
    <row r="6525">
      <c r="C6525" s="82"/>
      <c r="E6525" s="84"/>
      <c r="F6525" s="84"/>
      <c r="G6525" s="84"/>
      <c r="I6525" s="237"/>
      <c r="J6525" s="238"/>
    </row>
    <row r="6526">
      <c r="C6526" s="82"/>
      <c r="E6526" s="84"/>
      <c r="F6526" s="84"/>
      <c r="G6526" s="84"/>
      <c r="I6526" s="237"/>
      <c r="J6526" s="238"/>
    </row>
    <row r="6527">
      <c r="C6527" s="82"/>
      <c r="E6527" s="84"/>
      <c r="F6527" s="84"/>
      <c r="G6527" s="84"/>
      <c r="I6527" s="237"/>
      <c r="J6527" s="238"/>
    </row>
    <row r="6528">
      <c r="C6528" s="82"/>
      <c r="E6528" s="84"/>
      <c r="F6528" s="84"/>
      <c r="G6528" s="84"/>
      <c r="I6528" s="237"/>
      <c r="J6528" s="238"/>
    </row>
    <row r="6529">
      <c r="C6529" s="82"/>
      <c r="E6529" s="84"/>
      <c r="F6529" s="84"/>
      <c r="G6529" s="84"/>
      <c r="I6529" s="237"/>
      <c r="J6529" s="238"/>
    </row>
    <row r="6530">
      <c r="C6530" s="82"/>
      <c r="E6530" s="84"/>
      <c r="F6530" s="84"/>
      <c r="G6530" s="84"/>
      <c r="I6530" s="237"/>
      <c r="J6530" s="238"/>
    </row>
    <row r="6531">
      <c r="C6531" s="82"/>
      <c r="E6531" s="84"/>
      <c r="F6531" s="84"/>
      <c r="G6531" s="84"/>
      <c r="I6531" s="237"/>
      <c r="J6531" s="238"/>
    </row>
    <row r="6532">
      <c r="C6532" s="82"/>
      <c r="E6532" s="84"/>
      <c r="F6532" s="84"/>
      <c r="G6532" s="84"/>
      <c r="I6532" s="237"/>
      <c r="J6532" s="238"/>
    </row>
    <row r="6533">
      <c r="C6533" s="82"/>
      <c r="E6533" s="84"/>
      <c r="F6533" s="84"/>
      <c r="G6533" s="84"/>
      <c r="I6533" s="237"/>
      <c r="J6533" s="238"/>
    </row>
    <row r="6534">
      <c r="C6534" s="82"/>
      <c r="E6534" s="84"/>
      <c r="F6534" s="84"/>
      <c r="G6534" s="84"/>
      <c r="I6534" s="237"/>
      <c r="J6534" s="238"/>
    </row>
    <row r="6535">
      <c r="C6535" s="82"/>
      <c r="E6535" s="84"/>
      <c r="F6535" s="84"/>
      <c r="G6535" s="84"/>
      <c r="I6535" s="237"/>
      <c r="J6535" s="238"/>
    </row>
    <row r="6536">
      <c r="C6536" s="82"/>
      <c r="E6536" s="84"/>
      <c r="F6536" s="84"/>
      <c r="G6536" s="84"/>
      <c r="I6536" s="237"/>
      <c r="J6536" s="238"/>
    </row>
    <row r="6537">
      <c r="C6537" s="82"/>
      <c r="E6537" s="84"/>
      <c r="F6537" s="84"/>
      <c r="G6537" s="84"/>
      <c r="I6537" s="237"/>
      <c r="J6537" s="238"/>
    </row>
    <row r="6538">
      <c r="C6538" s="82"/>
      <c r="E6538" s="84"/>
      <c r="F6538" s="84"/>
      <c r="G6538" s="84"/>
      <c r="I6538" s="237"/>
      <c r="J6538" s="238"/>
    </row>
    <row r="6539">
      <c r="C6539" s="82"/>
      <c r="E6539" s="84"/>
      <c r="F6539" s="84"/>
      <c r="G6539" s="84"/>
      <c r="I6539" s="237"/>
      <c r="J6539" s="238"/>
    </row>
    <row r="6540">
      <c r="C6540" s="82"/>
      <c r="E6540" s="84"/>
      <c r="F6540" s="84"/>
      <c r="G6540" s="84"/>
      <c r="I6540" s="237"/>
      <c r="J6540" s="238"/>
    </row>
    <row r="6541">
      <c r="C6541" s="82"/>
      <c r="E6541" s="84"/>
      <c r="F6541" s="84"/>
      <c r="G6541" s="84"/>
      <c r="I6541" s="237"/>
      <c r="J6541" s="238"/>
    </row>
    <row r="6542">
      <c r="C6542" s="82"/>
      <c r="E6542" s="84"/>
      <c r="F6542" s="84"/>
      <c r="G6542" s="84"/>
      <c r="I6542" s="237"/>
      <c r="J6542" s="238"/>
    </row>
    <row r="6543">
      <c r="C6543" s="82"/>
      <c r="E6543" s="84"/>
      <c r="F6543" s="84"/>
      <c r="G6543" s="84"/>
      <c r="I6543" s="237"/>
      <c r="J6543" s="238"/>
    </row>
    <row r="6544">
      <c r="C6544" s="82"/>
      <c r="E6544" s="84"/>
      <c r="F6544" s="84"/>
      <c r="G6544" s="84"/>
      <c r="I6544" s="237"/>
      <c r="J6544" s="238"/>
    </row>
    <row r="6545">
      <c r="C6545" s="82"/>
      <c r="E6545" s="84"/>
      <c r="F6545" s="84"/>
      <c r="G6545" s="84"/>
      <c r="I6545" s="237"/>
      <c r="J6545" s="238"/>
    </row>
    <row r="6546">
      <c r="C6546" s="82"/>
      <c r="E6546" s="84"/>
      <c r="F6546" s="84"/>
      <c r="G6546" s="84"/>
      <c r="I6546" s="237"/>
      <c r="J6546" s="238"/>
    </row>
    <row r="6547">
      <c r="C6547" s="82"/>
      <c r="E6547" s="84"/>
      <c r="F6547" s="84"/>
      <c r="G6547" s="84"/>
      <c r="I6547" s="237"/>
      <c r="J6547" s="238"/>
    </row>
    <row r="6548">
      <c r="C6548" s="82"/>
      <c r="E6548" s="84"/>
      <c r="F6548" s="84"/>
      <c r="G6548" s="84"/>
      <c r="I6548" s="237"/>
      <c r="J6548" s="238"/>
    </row>
    <row r="6549">
      <c r="C6549" s="82"/>
      <c r="E6549" s="84"/>
      <c r="F6549" s="84"/>
      <c r="G6549" s="84"/>
      <c r="I6549" s="237"/>
      <c r="J6549" s="238"/>
    </row>
    <row r="6550">
      <c r="C6550" s="82"/>
      <c r="E6550" s="84"/>
      <c r="F6550" s="84"/>
      <c r="G6550" s="84"/>
      <c r="I6550" s="237"/>
      <c r="J6550" s="238"/>
    </row>
    <row r="6551">
      <c r="C6551" s="82"/>
      <c r="E6551" s="84"/>
      <c r="F6551" s="84"/>
      <c r="G6551" s="84"/>
      <c r="I6551" s="237"/>
      <c r="J6551" s="238"/>
    </row>
    <row r="6552">
      <c r="C6552" s="82"/>
      <c r="E6552" s="84"/>
      <c r="F6552" s="84"/>
      <c r="G6552" s="84"/>
      <c r="I6552" s="237"/>
      <c r="J6552" s="238"/>
    </row>
    <row r="6553">
      <c r="C6553" s="82"/>
      <c r="E6553" s="84"/>
      <c r="F6553" s="84"/>
      <c r="G6553" s="84"/>
      <c r="I6553" s="237"/>
      <c r="J6553" s="238"/>
    </row>
    <row r="6554">
      <c r="C6554" s="82"/>
      <c r="E6554" s="84"/>
      <c r="F6554" s="84"/>
      <c r="G6554" s="84"/>
      <c r="I6554" s="237"/>
      <c r="J6554" s="238"/>
    </row>
    <row r="6555">
      <c r="C6555" s="82"/>
      <c r="E6555" s="84"/>
      <c r="F6555" s="84"/>
      <c r="G6555" s="84"/>
      <c r="I6555" s="237"/>
      <c r="J6555" s="238"/>
    </row>
    <row r="6556">
      <c r="C6556" s="82"/>
      <c r="E6556" s="84"/>
      <c r="F6556" s="84"/>
      <c r="G6556" s="84"/>
      <c r="I6556" s="237"/>
      <c r="J6556" s="238"/>
    </row>
    <row r="6557">
      <c r="C6557" s="82"/>
      <c r="E6557" s="84"/>
      <c r="F6557" s="84"/>
      <c r="G6557" s="84"/>
      <c r="I6557" s="237"/>
      <c r="J6557" s="238"/>
    </row>
    <row r="6558">
      <c r="C6558" s="82"/>
      <c r="E6558" s="84"/>
      <c r="F6558" s="84"/>
      <c r="G6558" s="84"/>
      <c r="I6558" s="237"/>
      <c r="J6558" s="238"/>
    </row>
    <row r="6559">
      <c r="C6559" s="82"/>
      <c r="E6559" s="84"/>
      <c r="F6559" s="84"/>
      <c r="G6559" s="84"/>
      <c r="I6559" s="237"/>
      <c r="J6559" s="238"/>
    </row>
    <row r="6560">
      <c r="C6560" s="82"/>
      <c r="E6560" s="84"/>
      <c r="F6560" s="84"/>
      <c r="G6560" s="84"/>
      <c r="I6560" s="237"/>
      <c r="J6560" s="238"/>
    </row>
    <row r="6561">
      <c r="C6561" s="82"/>
      <c r="E6561" s="84"/>
      <c r="F6561" s="84"/>
      <c r="G6561" s="84"/>
      <c r="I6561" s="237"/>
      <c r="J6561" s="238"/>
    </row>
    <row r="6562">
      <c r="C6562" s="82"/>
      <c r="E6562" s="84"/>
      <c r="F6562" s="84"/>
      <c r="G6562" s="84"/>
      <c r="I6562" s="237"/>
      <c r="J6562" s="238"/>
    </row>
    <row r="6563">
      <c r="C6563" s="82"/>
      <c r="E6563" s="84"/>
      <c r="F6563" s="84"/>
      <c r="G6563" s="84"/>
      <c r="I6563" s="237"/>
      <c r="J6563" s="238"/>
    </row>
    <row r="6564">
      <c r="C6564" s="82"/>
      <c r="E6564" s="84"/>
      <c r="F6564" s="84"/>
      <c r="G6564" s="84"/>
      <c r="I6564" s="237"/>
      <c r="J6564" s="238"/>
    </row>
    <row r="6565">
      <c r="C6565" s="82"/>
      <c r="E6565" s="84"/>
      <c r="F6565" s="84"/>
      <c r="G6565" s="84"/>
      <c r="I6565" s="237"/>
      <c r="J6565" s="238"/>
    </row>
    <row r="6566">
      <c r="C6566" s="82"/>
      <c r="E6566" s="84"/>
      <c r="F6566" s="84"/>
      <c r="G6566" s="84"/>
      <c r="I6566" s="237"/>
      <c r="J6566" s="238"/>
    </row>
    <row r="6567">
      <c r="C6567" s="82"/>
      <c r="E6567" s="84"/>
      <c r="F6567" s="84"/>
      <c r="G6567" s="84"/>
      <c r="I6567" s="237"/>
      <c r="J6567" s="238"/>
    </row>
    <row r="6568">
      <c r="C6568" s="82"/>
      <c r="E6568" s="84"/>
      <c r="F6568" s="84"/>
      <c r="G6568" s="84"/>
      <c r="I6568" s="237"/>
      <c r="J6568" s="238"/>
    </row>
    <row r="6569">
      <c r="C6569" s="82"/>
      <c r="E6569" s="84"/>
      <c r="F6569" s="84"/>
      <c r="G6569" s="84"/>
      <c r="I6569" s="237"/>
      <c r="J6569" s="238"/>
    </row>
    <row r="6570">
      <c r="C6570" s="82"/>
      <c r="E6570" s="84"/>
      <c r="F6570" s="84"/>
      <c r="G6570" s="84"/>
      <c r="I6570" s="237"/>
      <c r="J6570" s="238"/>
    </row>
    <row r="6571">
      <c r="C6571" s="82"/>
      <c r="E6571" s="84"/>
      <c r="F6571" s="84"/>
      <c r="G6571" s="84"/>
      <c r="I6571" s="237"/>
      <c r="J6571" s="238"/>
    </row>
    <row r="6572">
      <c r="C6572" s="82"/>
      <c r="E6572" s="84"/>
      <c r="F6572" s="84"/>
      <c r="G6572" s="84"/>
      <c r="I6572" s="237"/>
      <c r="J6572" s="238"/>
    </row>
    <row r="6573">
      <c r="C6573" s="82"/>
      <c r="E6573" s="84"/>
      <c r="F6573" s="84"/>
      <c r="G6573" s="84"/>
      <c r="I6573" s="237"/>
      <c r="J6573" s="238"/>
    </row>
    <row r="6574">
      <c r="C6574" s="82"/>
      <c r="E6574" s="84"/>
      <c r="F6574" s="84"/>
      <c r="G6574" s="84"/>
      <c r="I6574" s="237"/>
      <c r="J6574" s="238"/>
    </row>
    <row r="6575">
      <c r="C6575" s="82"/>
      <c r="E6575" s="84"/>
      <c r="F6575" s="84"/>
      <c r="G6575" s="84"/>
      <c r="I6575" s="237"/>
      <c r="J6575" s="238"/>
    </row>
    <row r="6576">
      <c r="C6576" s="82"/>
      <c r="E6576" s="84"/>
      <c r="F6576" s="84"/>
      <c r="G6576" s="84"/>
      <c r="I6576" s="237"/>
      <c r="J6576" s="238"/>
    </row>
    <row r="6577">
      <c r="C6577" s="82"/>
      <c r="E6577" s="84"/>
      <c r="F6577" s="84"/>
      <c r="G6577" s="84"/>
      <c r="I6577" s="237"/>
      <c r="J6577" s="238"/>
    </row>
    <row r="6578">
      <c r="C6578" s="82"/>
      <c r="E6578" s="84"/>
      <c r="F6578" s="84"/>
      <c r="G6578" s="84"/>
      <c r="I6578" s="237"/>
      <c r="J6578" s="238"/>
    </row>
    <row r="6579">
      <c r="C6579" s="82"/>
      <c r="E6579" s="84"/>
      <c r="F6579" s="84"/>
      <c r="G6579" s="84"/>
      <c r="I6579" s="237"/>
      <c r="J6579" s="238"/>
    </row>
    <row r="6580">
      <c r="C6580" s="82"/>
      <c r="E6580" s="84"/>
      <c r="F6580" s="84"/>
      <c r="G6580" s="84"/>
      <c r="I6580" s="237"/>
      <c r="J6580" s="238"/>
    </row>
    <row r="6581">
      <c r="C6581" s="82"/>
      <c r="E6581" s="84"/>
      <c r="F6581" s="84"/>
      <c r="G6581" s="84"/>
      <c r="I6581" s="237"/>
      <c r="J6581" s="238"/>
    </row>
    <row r="6582">
      <c r="C6582" s="82"/>
      <c r="E6582" s="84"/>
      <c r="F6582" s="84"/>
      <c r="G6582" s="84"/>
      <c r="I6582" s="237"/>
      <c r="J6582" s="238"/>
    </row>
    <row r="6583">
      <c r="C6583" s="82"/>
      <c r="E6583" s="84"/>
      <c r="F6583" s="84"/>
      <c r="G6583" s="84"/>
      <c r="I6583" s="237"/>
      <c r="J6583" s="238"/>
    </row>
    <row r="6584">
      <c r="C6584" s="82"/>
      <c r="E6584" s="84"/>
      <c r="F6584" s="84"/>
      <c r="G6584" s="84"/>
      <c r="I6584" s="237"/>
      <c r="J6584" s="238"/>
    </row>
    <row r="6585">
      <c r="C6585" s="82"/>
      <c r="E6585" s="84"/>
      <c r="F6585" s="84"/>
      <c r="G6585" s="84"/>
      <c r="I6585" s="237"/>
      <c r="J6585" s="238"/>
    </row>
    <row r="6586">
      <c r="C6586" s="82"/>
      <c r="E6586" s="84"/>
      <c r="F6586" s="84"/>
      <c r="G6586" s="84"/>
      <c r="I6586" s="237"/>
      <c r="J6586" s="238"/>
    </row>
    <row r="6587">
      <c r="C6587" s="82"/>
      <c r="E6587" s="84"/>
      <c r="F6587" s="84"/>
      <c r="G6587" s="84"/>
      <c r="I6587" s="237"/>
      <c r="J6587" s="238"/>
    </row>
    <row r="6588">
      <c r="C6588" s="82"/>
      <c r="E6588" s="84"/>
      <c r="F6588" s="84"/>
      <c r="G6588" s="84"/>
      <c r="I6588" s="237"/>
      <c r="J6588" s="238"/>
    </row>
    <row r="6589">
      <c r="C6589" s="82"/>
      <c r="E6589" s="84"/>
      <c r="F6589" s="84"/>
      <c r="G6589" s="84"/>
      <c r="I6589" s="237"/>
      <c r="J6589" s="238"/>
    </row>
    <row r="6590">
      <c r="C6590" s="82"/>
      <c r="E6590" s="84"/>
      <c r="F6590" s="84"/>
      <c r="G6590" s="84"/>
      <c r="I6590" s="237"/>
      <c r="J6590" s="238"/>
    </row>
    <row r="6591">
      <c r="C6591" s="82"/>
      <c r="E6591" s="84"/>
      <c r="F6591" s="84"/>
      <c r="G6591" s="84"/>
      <c r="I6591" s="237"/>
      <c r="J6591" s="238"/>
    </row>
    <row r="6592">
      <c r="C6592" s="82"/>
      <c r="E6592" s="84"/>
      <c r="F6592" s="84"/>
      <c r="G6592" s="84"/>
      <c r="I6592" s="237"/>
      <c r="J6592" s="238"/>
    </row>
    <row r="6593">
      <c r="C6593" s="82"/>
      <c r="E6593" s="84"/>
      <c r="F6593" s="84"/>
      <c r="G6593" s="84"/>
      <c r="I6593" s="237"/>
      <c r="J6593" s="238"/>
    </row>
    <row r="6594">
      <c r="C6594" s="82"/>
      <c r="E6594" s="84"/>
      <c r="F6594" s="84"/>
      <c r="G6594" s="84"/>
      <c r="I6594" s="237"/>
      <c r="J6594" s="238"/>
    </row>
    <row r="6595">
      <c r="C6595" s="82"/>
      <c r="E6595" s="84"/>
      <c r="F6595" s="84"/>
      <c r="G6595" s="84"/>
      <c r="I6595" s="237"/>
      <c r="J6595" s="238"/>
    </row>
    <row r="6596">
      <c r="C6596" s="82"/>
      <c r="E6596" s="84"/>
      <c r="F6596" s="84"/>
      <c r="G6596" s="84"/>
      <c r="I6596" s="237"/>
      <c r="J6596" s="238"/>
    </row>
    <row r="6597">
      <c r="C6597" s="82"/>
      <c r="E6597" s="84"/>
      <c r="F6597" s="84"/>
      <c r="G6597" s="84"/>
      <c r="I6597" s="237"/>
      <c r="J6597" s="238"/>
    </row>
    <row r="6598">
      <c r="C6598" s="82"/>
      <c r="E6598" s="84"/>
      <c r="F6598" s="84"/>
      <c r="G6598" s="84"/>
      <c r="I6598" s="237"/>
      <c r="J6598" s="238"/>
    </row>
    <row r="6599">
      <c r="C6599" s="82"/>
      <c r="E6599" s="84"/>
      <c r="F6599" s="84"/>
      <c r="G6599" s="84"/>
      <c r="I6599" s="237"/>
      <c r="J6599" s="238"/>
    </row>
    <row r="6600">
      <c r="C6600" s="82"/>
      <c r="E6600" s="84"/>
      <c r="F6600" s="84"/>
      <c r="G6600" s="84"/>
      <c r="I6600" s="237"/>
      <c r="J6600" s="238"/>
    </row>
    <row r="6601">
      <c r="C6601" s="82"/>
      <c r="E6601" s="84"/>
      <c r="F6601" s="84"/>
      <c r="G6601" s="84"/>
      <c r="I6601" s="237"/>
      <c r="J6601" s="238"/>
    </row>
    <row r="6602">
      <c r="C6602" s="82"/>
      <c r="E6602" s="84"/>
      <c r="F6602" s="84"/>
      <c r="G6602" s="84"/>
      <c r="I6602" s="237"/>
      <c r="J6602" s="238"/>
    </row>
    <row r="6603">
      <c r="C6603" s="82"/>
      <c r="E6603" s="84"/>
      <c r="F6603" s="84"/>
      <c r="G6603" s="84"/>
      <c r="I6603" s="237"/>
      <c r="J6603" s="238"/>
    </row>
    <row r="6604">
      <c r="C6604" s="82"/>
      <c r="E6604" s="84"/>
      <c r="F6604" s="84"/>
      <c r="G6604" s="84"/>
      <c r="I6604" s="237"/>
      <c r="J6604" s="238"/>
    </row>
    <row r="6605">
      <c r="C6605" s="82"/>
      <c r="E6605" s="84"/>
      <c r="F6605" s="84"/>
      <c r="G6605" s="84"/>
      <c r="I6605" s="237"/>
      <c r="J6605" s="238"/>
    </row>
    <row r="6606">
      <c r="C6606" s="82"/>
      <c r="E6606" s="84"/>
      <c r="F6606" s="84"/>
      <c r="G6606" s="84"/>
      <c r="I6606" s="237"/>
      <c r="J6606" s="238"/>
    </row>
    <row r="6607">
      <c r="C6607" s="82"/>
      <c r="E6607" s="84"/>
      <c r="F6607" s="84"/>
      <c r="G6607" s="84"/>
      <c r="I6607" s="237"/>
      <c r="J6607" s="238"/>
    </row>
    <row r="6608">
      <c r="C6608" s="82"/>
      <c r="E6608" s="84"/>
      <c r="F6608" s="84"/>
      <c r="G6608" s="84"/>
      <c r="I6608" s="237"/>
      <c r="J6608" s="238"/>
    </row>
    <row r="6609">
      <c r="C6609" s="82"/>
      <c r="E6609" s="84"/>
      <c r="F6609" s="84"/>
      <c r="G6609" s="84"/>
      <c r="I6609" s="237"/>
      <c r="J6609" s="238"/>
    </row>
    <row r="6610">
      <c r="C6610" s="82"/>
      <c r="E6610" s="84"/>
      <c r="F6610" s="84"/>
      <c r="G6610" s="84"/>
      <c r="I6610" s="237"/>
      <c r="J6610" s="238"/>
    </row>
    <row r="6611">
      <c r="C6611" s="82"/>
      <c r="E6611" s="84"/>
      <c r="F6611" s="84"/>
      <c r="G6611" s="84"/>
      <c r="I6611" s="237"/>
      <c r="J6611" s="238"/>
    </row>
    <row r="6612">
      <c r="C6612" s="82"/>
      <c r="E6612" s="84"/>
      <c r="F6612" s="84"/>
      <c r="G6612" s="84"/>
      <c r="I6612" s="237"/>
      <c r="J6612" s="238"/>
    </row>
    <row r="6613">
      <c r="C6613" s="82"/>
      <c r="E6613" s="84"/>
      <c r="F6613" s="84"/>
      <c r="G6613" s="84"/>
      <c r="I6613" s="237"/>
      <c r="J6613" s="238"/>
    </row>
    <row r="6614">
      <c r="C6614" s="82"/>
      <c r="E6614" s="84"/>
      <c r="F6614" s="84"/>
      <c r="G6614" s="84"/>
      <c r="I6614" s="237"/>
      <c r="J6614" s="238"/>
    </row>
    <row r="6615">
      <c r="C6615" s="82"/>
      <c r="E6615" s="84"/>
      <c r="F6615" s="84"/>
      <c r="G6615" s="84"/>
      <c r="I6615" s="237"/>
      <c r="J6615" s="238"/>
    </row>
    <row r="6616">
      <c r="C6616" s="82"/>
      <c r="E6616" s="84"/>
      <c r="F6616" s="84"/>
      <c r="G6616" s="84"/>
      <c r="I6616" s="237"/>
      <c r="J6616" s="238"/>
    </row>
    <row r="6617">
      <c r="C6617" s="82"/>
      <c r="E6617" s="84"/>
      <c r="F6617" s="84"/>
      <c r="G6617" s="84"/>
      <c r="I6617" s="237"/>
      <c r="J6617" s="238"/>
    </row>
    <row r="6618">
      <c r="C6618" s="82"/>
      <c r="E6618" s="84"/>
      <c r="F6618" s="84"/>
      <c r="G6618" s="84"/>
      <c r="I6618" s="237"/>
      <c r="J6618" s="238"/>
    </row>
    <row r="6619">
      <c r="C6619" s="82"/>
      <c r="E6619" s="84"/>
      <c r="F6619" s="84"/>
      <c r="G6619" s="84"/>
      <c r="I6619" s="237"/>
      <c r="J6619" s="238"/>
    </row>
    <row r="6620">
      <c r="C6620" s="82"/>
      <c r="E6620" s="84"/>
      <c r="F6620" s="84"/>
      <c r="G6620" s="84"/>
      <c r="I6620" s="237"/>
      <c r="J6620" s="238"/>
    </row>
    <row r="6621">
      <c r="C6621" s="82"/>
      <c r="E6621" s="84"/>
      <c r="F6621" s="84"/>
      <c r="G6621" s="84"/>
      <c r="I6621" s="237"/>
      <c r="J6621" s="238"/>
    </row>
    <row r="6622">
      <c r="C6622" s="82"/>
      <c r="E6622" s="84"/>
      <c r="F6622" s="84"/>
      <c r="G6622" s="84"/>
      <c r="I6622" s="237"/>
      <c r="J6622" s="238"/>
    </row>
    <row r="6623">
      <c r="C6623" s="82"/>
      <c r="E6623" s="84"/>
      <c r="F6623" s="84"/>
      <c r="G6623" s="84"/>
      <c r="I6623" s="237"/>
      <c r="J6623" s="238"/>
    </row>
    <row r="6624">
      <c r="C6624" s="82"/>
      <c r="E6624" s="84"/>
      <c r="F6624" s="84"/>
      <c r="G6624" s="84"/>
      <c r="I6624" s="237"/>
      <c r="J6624" s="238"/>
    </row>
    <row r="6625">
      <c r="C6625" s="82"/>
      <c r="E6625" s="84"/>
      <c r="F6625" s="84"/>
      <c r="G6625" s="84"/>
      <c r="I6625" s="237"/>
      <c r="J6625" s="238"/>
    </row>
    <row r="6626">
      <c r="C6626" s="82"/>
      <c r="E6626" s="84"/>
      <c r="F6626" s="84"/>
      <c r="G6626" s="84"/>
      <c r="I6626" s="237"/>
      <c r="J6626" s="238"/>
    </row>
    <row r="6627">
      <c r="C6627" s="82"/>
      <c r="E6627" s="84"/>
      <c r="F6627" s="84"/>
      <c r="G6627" s="84"/>
      <c r="I6627" s="237"/>
      <c r="J6627" s="238"/>
    </row>
    <row r="6628">
      <c r="C6628" s="82"/>
      <c r="E6628" s="84"/>
      <c r="F6628" s="84"/>
      <c r="G6628" s="84"/>
      <c r="I6628" s="237"/>
      <c r="J6628" s="238"/>
    </row>
    <row r="6629">
      <c r="C6629" s="82"/>
      <c r="E6629" s="84"/>
      <c r="F6629" s="84"/>
      <c r="G6629" s="84"/>
      <c r="I6629" s="237"/>
      <c r="J6629" s="238"/>
    </row>
    <row r="6630">
      <c r="C6630" s="82"/>
      <c r="E6630" s="84"/>
      <c r="F6630" s="84"/>
      <c r="G6630" s="84"/>
      <c r="I6630" s="237"/>
      <c r="J6630" s="238"/>
    </row>
    <row r="6631">
      <c r="C6631" s="82"/>
      <c r="E6631" s="84"/>
      <c r="F6631" s="84"/>
      <c r="G6631" s="84"/>
      <c r="I6631" s="237"/>
      <c r="J6631" s="238"/>
    </row>
    <row r="6632">
      <c r="C6632" s="82"/>
      <c r="E6632" s="84"/>
      <c r="F6632" s="84"/>
      <c r="G6632" s="84"/>
      <c r="I6632" s="237"/>
      <c r="J6632" s="238"/>
    </row>
    <row r="6633">
      <c r="C6633" s="82"/>
      <c r="E6633" s="84"/>
      <c r="F6633" s="84"/>
      <c r="G6633" s="84"/>
      <c r="I6633" s="237"/>
      <c r="J6633" s="238"/>
    </row>
    <row r="6634">
      <c r="C6634" s="82"/>
      <c r="E6634" s="84"/>
      <c r="F6634" s="84"/>
      <c r="G6634" s="84"/>
      <c r="I6634" s="237"/>
      <c r="J6634" s="238"/>
    </row>
    <row r="6635">
      <c r="C6635" s="82"/>
      <c r="E6635" s="84"/>
      <c r="F6635" s="84"/>
      <c r="G6635" s="84"/>
      <c r="I6635" s="237"/>
      <c r="J6635" s="238"/>
    </row>
    <row r="6636">
      <c r="C6636" s="82"/>
      <c r="E6636" s="84"/>
      <c r="F6636" s="84"/>
      <c r="G6636" s="84"/>
      <c r="I6636" s="237"/>
      <c r="J6636" s="238"/>
    </row>
    <row r="6637">
      <c r="C6637" s="82"/>
      <c r="E6637" s="84"/>
      <c r="F6637" s="84"/>
      <c r="G6637" s="84"/>
      <c r="I6637" s="237"/>
      <c r="J6637" s="238"/>
    </row>
    <row r="6638">
      <c r="C6638" s="82"/>
      <c r="E6638" s="84"/>
      <c r="F6638" s="84"/>
      <c r="G6638" s="84"/>
      <c r="I6638" s="237"/>
      <c r="J6638" s="238"/>
    </row>
    <row r="6639">
      <c r="C6639" s="82"/>
      <c r="E6639" s="84"/>
      <c r="F6639" s="84"/>
      <c r="G6639" s="84"/>
      <c r="I6639" s="237"/>
      <c r="J6639" s="238"/>
    </row>
    <row r="6640">
      <c r="C6640" s="82"/>
      <c r="E6640" s="84"/>
      <c r="F6640" s="84"/>
      <c r="G6640" s="84"/>
      <c r="I6640" s="237"/>
      <c r="J6640" s="238"/>
    </row>
    <row r="6641">
      <c r="C6641" s="82"/>
      <c r="E6641" s="84"/>
      <c r="F6641" s="84"/>
      <c r="G6641" s="84"/>
      <c r="I6641" s="237"/>
      <c r="J6641" s="238"/>
    </row>
    <row r="6642">
      <c r="C6642" s="82"/>
      <c r="E6642" s="84"/>
      <c r="F6642" s="84"/>
      <c r="G6642" s="84"/>
      <c r="I6642" s="237"/>
      <c r="J6642" s="238"/>
    </row>
    <row r="6643">
      <c r="C6643" s="82"/>
      <c r="E6643" s="84"/>
      <c r="F6643" s="84"/>
      <c r="G6643" s="84"/>
      <c r="I6643" s="237"/>
      <c r="J6643" s="238"/>
    </row>
    <row r="6644">
      <c r="C6644" s="82"/>
      <c r="E6644" s="84"/>
      <c r="F6644" s="84"/>
      <c r="G6644" s="84"/>
      <c r="I6644" s="237"/>
      <c r="J6644" s="238"/>
    </row>
    <row r="6645">
      <c r="C6645" s="82"/>
      <c r="E6645" s="84"/>
      <c r="F6645" s="84"/>
      <c r="G6645" s="84"/>
      <c r="I6645" s="237"/>
      <c r="J6645" s="238"/>
    </row>
    <row r="6646">
      <c r="C6646" s="82"/>
      <c r="E6646" s="84"/>
      <c r="F6646" s="84"/>
      <c r="G6646" s="84"/>
      <c r="I6646" s="237"/>
      <c r="J6646" s="238"/>
    </row>
    <row r="6647">
      <c r="C6647" s="82"/>
      <c r="E6647" s="84"/>
      <c r="F6647" s="84"/>
      <c r="G6647" s="84"/>
      <c r="I6647" s="237"/>
      <c r="J6647" s="238"/>
    </row>
    <row r="6648">
      <c r="C6648" s="82"/>
      <c r="E6648" s="84"/>
      <c r="F6648" s="84"/>
      <c r="G6648" s="84"/>
      <c r="I6648" s="237"/>
      <c r="J6648" s="238"/>
    </row>
    <row r="6649">
      <c r="C6649" s="82"/>
      <c r="E6649" s="84"/>
      <c r="F6649" s="84"/>
      <c r="G6649" s="84"/>
      <c r="I6649" s="237"/>
      <c r="J6649" s="238"/>
    </row>
    <row r="6650">
      <c r="C6650" s="82"/>
      <c r="E6650" s="84"/>
      <c r="F6650" s="84"/>
      <c r="G6650" s="84"/>
      <c r="I6650" s="237"/>
      <c r="J6650" s="238"/>
    </row>
    <row r="6651">
      <c r="C6651" s="82"/>
      <c r="E6651" s="84"/>
      <c r="F6651" s="84"/>
      <c r="G6651" s="84"/>
      <c r="I6651" s="237"/>
      <c r="J6651" s="238"/>
    </row>
    <row r="6652">
      <c r="C6652" s="82"/>
      <c r="E6652" s="84"/>
      <c r="F6652" s="84"/>
      <c r="G6652" s="84"/>
      <c r="I6652" s="237"/>
      <c r="J6652" s="238"/>
    </row>
    <row r="6653">
      <c r="C6653" s="82"/>
      <c r="E6653" s="84"/>
      <c r="F6653" s="84"/>
      <c r="G6653" s="84"/>
      <c r="I6653" s="237"/>
      <c r="J6653" s="238"/>
    </row>
    <row r="6654">
      <c r="C6654" s="82"/>
      <c r="E6654" s="84"/>
      <c r="F6654" s="84"/>
      <c r="G6654" s="84"/>
      <c r="I6654" s="237"/>
      <c r="J6654" s="238"/>
    </row>
    <row r="6655">
      <c r="C6655" s="82"/>
      <c r="E6655" s="84"/>
      <c r="F6655" s="84"/>
      <c r="G6655" s="84"/>
      <c r="I6655" s="237"/>
      <c r="J6655" s="238"/>
    </row>
    <row r="6656">
      <c r="C6656" s="82"/>
      <c r="E6656" s="84"/>
      <c r="F6656" s="84"/>
      <c r="G6656" s="84"/>
      <c r="I6656" s="237"/>
      <c r="J6656" s="238"/>
    </row>
    <row r="6657">
      <c r="C6657" s="82"/>
      <c r="E6657" s="84"/>
      <c r="F6657" s="84"/>
      <c r="G6657" s="84"/>
      <c r="I6657" s="237"/>
      <c r="J6657" s="238"/>
    </row>
    <row r="6658">
      <c r="C6658" s="82"/>
      <c r="E6658" s="84"/>
      <c r="F6658" s="84"/>
      <c r="G6658" s="84"/>
      <c r="I6658" s="237"/>
      <c r="J6658" s="238"/>
    </row>
    <row r="6659">
      <c r="C6659" s="82"/>
      <c r="E6659" s="84"/>
      <c r="F6659" s="84"/>
      <c r="G6659" s="84"/>
      <c r="I6659" s="237"/>
      <c r="J6659" s="238"/>
    </row>
    <row r="6660">
      <c r="C6660" s="82"/>
      <c r="E6660" s="84"/>
      <c r="F6660" s="84"/>
      <c r="G6660" s="84"/>
      <c r="I6660" s="237"/>
      <c r="J6660" s="238"/>
    </row>
    <row r="6661">
      <c r="C6661" s="82"/>
      <c r="E6661" s="84"/>
      <c r="F6661" s="84"/>
      <c r="G6661" s="84"/>
      <c r="I6661" s="237"/>
      <c r="J6661" s="238"/>
    </row>
    <row r="6662">
      <c r="C6662" s="82"/>
      <c r="E6662" s="84"/>
      <c r="F6662" s="84"/>
      <c r="G6662" s="84"/>
      <c r="I6662" s="237"/>
      <c r="J6662" s="238"/>
    </row>
    <row r="6663">
      <c r="C6663" s="82"/>
      <c r="E6663" s="84"/>
      <c r="F6663" s="84"/>
      <c r="G6663" s="84"/>
      <c r="I6663" s="237"/>
      <c r="J6663" s="238"/>
    </row>
    <row r="6664">
      <c r="C6664" s="82"/>
      <c r="E6664" s="84"/>
      <c r="F6664" s="84"/>
      <c r="G6664" s="84"/>
      <c r="I6664" s="237"/>
      <c r="J6664" s="238"/>
    </row>
    <row r="6665">
      <c r="C6665" s="82"/>
      <c r="E6665" s="84"/>
      <c r="F6665" s="84"/>
      <c r="G6665" s="84"/>
      <c r="I6665" s="237"/>
      <c r="J6665" s="238"/>
    </row>
    <row r="6666">
      <c r="C6666" s="82"/>
      <c r="E6666" s="84"/>
      <c r="F6666" s="84"/>
      <c r="G6666" s="84"/>
      <c r="I6666" s="237"/>
      <c r="J6666" s="238"/>
    </row>
    <row r="6667">
      <c r="C6667" s="82"/>
      <c r="E6667" s="84"/>
      <c r="F6667" s="84"/>
      <c r="G6667" s="84"/>
      <c r="I6667" s="237"/>
      <c r="J6667" s="238"/>
    </row>
    <row r="6668">
      <c r="C6668" s="82"/>
      <c r="E6668" s="84"/>
      <c r="F6668" s="84"/>
      <c r="G6668" s="84"/>
      <c r="I6668" s="237"/>
      <c r="J6668" s="238"/>
    </row>
    <row r="6669">
      <c r="C6669" s="82"/>
      <c r="E6669" s="84"/>
      <c r="F6669" s="84"/>
      <c r="G6669" s="84"/>
      <c r="I6669" s="237"/>
      <c r="J6669" s="238"/>
    </row>
    <row r="6670">
      <c r="C6670" s="82"/>
      <c r="E6670" s="84"/>
      <c r="F6670" s="84"/>
      <c r="G6670" s="84"/>
      <c r="I6670" s="237"/>
      <c r="J6670" s="238"/>
    </row>
    <row r="6671">
      <c r="C6671" s="82"/>
      <c r="E6671" s="84"/>
      <c r="F6671" s="84"/>
      <c r="G6671" s="84"/>
      <c r="I6671" s="237"/>
      <c r="J6671" s="238"/>
    </row>
    <row r="6672">
      <c r="C6672" s="82"/>
      <c r="E6672" s="84"/>
      <c r="F6672" s="84"/>
      <c r="G6672" s="84"/>
      <c r="I6672" s="237"/>
      <c r="J6672" s="238"/>
    </row>
    <row r="6673">
      <c r="C6673" s="82"/>
      <c r="E6673" s="84"/>
      <c r="F6673" s="84"/>
      <c r="G6673" s="84"/>
      <c r="I6673" s="237"/>
      <c r="J6673" s="238"/>
    </row>
    <row r="6674">
      <c r="C6674" s="82"/>
      <c r="E6674" s="84"/>
      <c r="F6674" s="84"/>
      <c r="G6674" s="84"/>
      <c r="I6674" s="237"/>
      <c r="J6674" s="238"/>
    </row>
    <row r="6675">
      <c r="C6675" s="82"/>
      <c r="E6675" s="84"/>
      <c r="F6675" s="84"/>
      <c r="G6675" s="84"/>
      <c r="I6675" s="237"/>
      <c r="J6675" s="238"/>
    </row>
    <row r="6676">
      <c r="C6676" s="82"/>
      <c r="E6676" s="84"/>
      <c r="F6676" s="84"/>
      <c r="G6676" s="84"/>
      <c r="I6676" s="237"/>
      <c r="J6676" s="238"/>
    </row>
    <row r="6677">
      <c r="C6677" s="82"/>
      <c r="E6677" s="84"/>
      <c r="F6677" s="84"/>
      <c r="G6677" s="84"/>
      <c r="I6677" s="237"/>
      <c r="J6677" s="238"/>
    </row>
    <row r="6678">
      <c r="C6678" s="82"/>
      <c r="E6678" s="84"/>
      <c r="F6678" s="84"/>
      <c r="G6678" s="84"/>
      <c r="I6678" s="237"/>
      <c r="J6678" s="238"/>
    </row>
    <row r="6679">
      <c r="C6679" s="82"/>
      <c r="E6679" s="84"/>
      <c r="F6679" s="84"/>
      <c r="G6679" s="84"/>
      <c r="I6679" s="237"/>
      <c r="J6679" s="238"/>
    </row>
    <row r="6680">
      <c r="C6680" s="82"/>
      <c r="E6680" s="84"/>
      <c r="F6680" s="84"/>
      <c r="G6680" s="84"/>
      <c r="I6680" s="237"/>
      <c r="J6680" s="238"/>
    </row>
    <row r="6681">
      <c r="C6681" s="82"/>
      <c r="E6681" s="84"/>
      <c r="F6681" s="84"/>
      <c r="G6681" s="84"/>
      <c r="I6681" s="237"/>
      <c r="J6681" s="238"/>
    </row>
    <row r="6682">
      <c r="C6682" s="82"/>
      <c r="E6682" s="84"/>
      <c r="F6682" s="84"/>
      <c r="G6682" s="84"/>
      <c r="I6682" s="237"/>
      <c r="J6682" s="238"/>
    </row>
    <row r="6683">
      <c r="C6683" s="82"/>
      <c r="E6683" s="84"/>
      <c r="F6683" s="84"/>
      <c r="G6683" s="84"/>
      <c r="I6683" s="237"/>
      <c r="J6683" s="238"/>
    </row>
    <row r="6684">
      <c r="C6684" s="82"/>
      <c r="E6684" s="84"/>
      <c r="F6684" s="84"/>
      <c r="G6684" s="84"/>
      <c r="I6684" s="237"/>
      <c r="J6684" s="238"/>
    </row>
    <row r="6685">
      <c r="C6685" s="82"/>
      <c r="E6685" s="84"/>
      <c r="F6685" s="84"/>
      <c r="G6685" s="84"/>
      <c r="I6685" s="237"/>
      <c r="J6685" s="238"/>
    </row>
    <row r="6686">
      <c r="C6686" s="82"/>
      <c r="E6686" s="84"/>
      <c r="F6686" s="84"/>
      <c r="G6686" s="84"/>
      <c r="I6686" s="237"/>
      <c r="J6686" s="238"/>
    </row>
    <row r="6687">
      <c r="C6687" s="82"/>
      <c r="E6687" s="84"/>
      <c r="F6687" s="84"/>
      <c r="G6687" s="84"/>
      <c r="I6687" s="237"/>
      <c r="J6687" s="238"/>
    </row>
    <row r="6688">
      <c r="C6688" s="82"/>
      <c r="E6688" s="84"/>
      <c r="F6688" s="84"/>
      <c r="G6688" s="84"/>
      <c r="I6688" s="237"/>
      <c r="J6688" s="238"/>
    </row>
    <row r="6689">
      <c r="C6689" s="82"/>
      <c r="E6689" s="84"/>
      <c r="F6689" s="84"/>
      <c r="G6689" s="84"/>
      <c r="I6689" s="237"/>
      <c r="J6689" s="238"/>
    </row>
    <row r="6690">
      <c r="C6690" s="82"/>
      <c r="E6690" s="84"/>
      <c r="F6690" s="84"/>
      <c r="G6690" s="84"/>
      <c r="I6690" s="237"/>
      <c r="J6690" s="238"/>
    </row>
    <row r="6691">
      <c r="C6691" s="82"/>
      <c r="E6691" s="84"/>
      <c r="F6691" s="84"/>
      <c r="G6691" s="84"/>
      <c r="I6691" s="237"/>
      <c r="J6691" s="238"/>
    </row>
    <row r="6692">
      <c r="C6692" s="82"/>
      <c r="E6692" s="84"/>
      <c r="F6692" s="84"/>
      <c r="G6692" s="84"/>
      <c r="I6692" s="237"/>
      <c r="J6692" s="238"/>
    </row>
    <row r="6693">
      <c r="C6693" s="82"/>
      <c r="E6693" s="84"/>
      <c r="F6693" s="84"/>
      <c r="G6693" s="84"/>
      <c r="I6693" s="237"/>
      <c r="J6693" s="238"/>
    </row>
    <row r="6694">
      <c r="C6694" s="82"/>
      <c r="E6694" s="84"/>
      <c r="F6694" s="84"/>
      <c r="G6694" s="84"/>
      <c r="I6694" s="237"/>
      <c r="J6694" s="238"/>
    </row>
    <row r="6695">
      <c r="C6695" s="82"/>
      <c r="E6695" s="84"/>
      <c r="F6695" s="84"/>
      <c r="G6695" s="84"/>
      <c r="I6695" s="237"/>
      <c r="J6695" s="238"/>
    </row>
    <row r="6696">
      <c r="C6696" s="82"/>
      <c r="E6696" s="84"/>
      <c r="F6696" s="84"/>
      <c r="G6696" s="84"/>
      <c r="I6696" s="237"/>
      <c r="J6696" s="238"/>
    </row>
    <row r="6697">
      <c r="C6697" s="82"/>
      <c r="E6697" s="84"/>
      <c r="F6697" s="84"/>
      <c r="G6697" s="84"/>
      <c r="I6697" s="237"/>
      <c r="J6697" s="238"/>
    </row>
    <row r="6698">
      <c r="C6698" s="82"/>
      <c r="E6698" s="84"/>
      <c r="F6698" s="84"/>
      <c r="G6698" s="84"/>
      <c r="I6698" s="237"/>
      <c r="J6698" s="238"/>
    </row>
    <row r="6699">
      <c r="C6699" s="82"/>
      <c r="E6699" s="84"/>
      <c r="F6699" s="84"/>
      <c r="G6699" s="84"/>
      <c r="I6699" s="237"/>
      <c r="J6699" s="238"/>
    </row>
    <row r="6700">
      <c r="C6700" s="82"/>
      <c r="E6700" s="84"/>
      <c r="F6700" s="84"/>
      <c r="G6700" s="84"/>
      <c r="I6700" s="237"/>
      <c r="J6700" s="238"/>
    </row>
    <row r="6701">
      <c r="C6701" s="82"/>
      <c r="E6701" s="84"/>
      <c r="F6701" s="84"/>
      <c r="G6701" s="84"/>
      <c r="I6701" s="237"/>
      <c r="J6701" s="238"/>
    </row>
    <row r="6702">
      <c r="C6702" s="82"/>
      <c r="E6702" s="84"/>
      <c r="F6702" s="84"/>
      <c r="G6702" s="84"/>
      <c r="I6702" s="237"/>
      <c r="J6702" s="238"/>
    </row>
    <row r="6703">
      <c r="C6703" s="82"/>
      <c r="E6703" s="84"/>
      <c r="F6703" s="84"/>
      <c r="G6703" s="84"/>
      <c r="I6703" s="237"/>
      <c r="J6703" s="238"/>
    </row>
    <row r="6704">
      <c r="C6704" s="82"/>
      <c r="E6704" s="84"/>
      <c r="F6704" s="84"/>
      <c r="G6704" s="84"/>
      <c r="I6704" s="237"/>
      <c r="J6704" s="238"/>
    </row>
    <row r="6705">
      <c r="C6705" s="82"/>
      <c r="E6705" s="84"/>
      <c r="F6705" s="84"/>
      <c r="G6705" s="84"/>
      <c r="I6705" s="237"/>
      <c r="J6705" s="238"/>
    </row>
    <row r="6706">
      <c r="C6706" s="82"/>
      <c r="E6706" s="84"/>
      <c r="F6706" s="84"/>
      <c r="G6706" s="84"/>
      <c r="I6706" s="237"/>
      <c r="J6706" s="238"/>
    </row>
    <row r="6707">
      <c r="C6707" s="82"/>
      <c r="E6707" s="84"/>
      <c r="F6707" s="84"/>
      <c r="G6707" s="84"/>
      <c r="I6707" s="237"/>
      <c r="J6707" s="238"/>
    </row>
    <row r="6708">
      <c r="C6708" s="82"/>
      <c r="E6708" s="84"/>
      <c r="F6708" s="84"/>
      <c r="G6708" s="84"/>
      <c r="I6708" s="237"/>
      <c r="J6708" s="238"/>
    </row>
    <row r="6709">
      <c r="C6709" s="82"/>
      <c r="E6709" s="84"/>
      <c r="F6709" s="84"/>
      <c r="G6709" s="84"/>
      <c r="I6709" s="237"/>
      <c r="J6709" s="238"/>
    </row>
    <row r="6710">
      <c r="C6710" s="82"/>
      <c r="E6710" s="84"/>
      <c r="F6710" s="84"/>
      <c r="G6710" s="84"/>
      <c r="I6710" s="237"/>
      <c r="J6710" s="238"/>
    </row>
    <row r="6711">
      <c r="C6711" s="82"/>
      <c r="E6711" s="84"/>
      <c r="F6711" s="84"/>
      <c r="G6711" s="84"/>
      <c r="I6711" s="237"/>
      <c r="J6711" s="238"/>
    </row>
    <row r="6712">
      <c r="C6712" s="82"/>
      <c r="E6712" s="84"/>
      <c r="F6712" s="84"/>
      <c r="G6712" s="84"/>
      <c r="I6712" s="237"/>
      <c r="J6712" s="238"/>
    </row>
    <row r="6713">
      <c r="C6713" s="82"/>
      <c r="E6713" s="84"/>
      <c r="F6713" s="84"/>
      <c r="G6713" s="84"/>
      <c r="I6713" s="237"/>
      <c r="J6713" s="238"/>
    </row>
    <row r="6714">
      <c r="C6714" s="82"/>
      <c r="E6714" s="84"/>
      <c r="F6714" s="84"/>
      <c r="G6714" s="84"/>
      <c r="I6714" s="237"/>
      <c r="J6714" s="238"/>
    </row>
    <row r="6715">
      <c r="C6715" s="82"/>
      <c r="E6715" s="84"/>
      <c r="F6715" s="84"/>
      <c r="G6715" s="84"/>
      <c r="I6715" s="237"/>
      <c r="J6715" s="238"/>
    </row>
    <row r="6716">
      <c r="C6716" s="82"/>
      <c r="E6716" s="84"/>
      <c r="F6716" s="84"/>
      <c r="G6716" s="84"/>
      <c r="I6716" s="237"/>
      <c r="J6716" s="238"/>
    </row>
    <row r="6717">
      <c r="C6717" s="82"/>
      <c r="E6717" s="84"/>
      <c r="F6717" s="84"/>
      <c r="G6717" s="84"/>
      <c r="I6717" s="237"/>
      <c r="J6717" s="238"/>
    </row>
    <row r="6718">
      <c r="C6718" s="82"/>
      <c r="E6718" s="84"/>
      <c r="F6718" s="84"/>
      <c r="G6718" s="84"/>
      <c r="I6718" s="237"/>
      <c r="J6718" s="238"/>
    </row>
    <row r="6719">
      <c r="C6719" s="82"/>
      <c r="E6719" s="84"/>
      <c r="F6719" s="84"/>
      <c r="G6719" s="84"/>
      <c r="I6719" s="237"/>
      <c r="J6719" s="238"/>
    </row>
    <row r="6720">
      <c r="C6720" s="82"/>
      <c r="E6720" s="84"/>
      <c r="F6720" s="84"/>
      <c r="G6720" s="84"/>
      <c r="I6720" s="237"/>
      <c r="J6720" s="238"/>
    </row>
    <row r="6721">
      <c r="C6721" s="82"/>
      <c r="E6721" s="84"/>
      <c r="F6721" s="84"/>
      <c r="G6721" s="84"/>
      <c r="I6721" s="237"/>
      <c r="J6721" s="238"/>
    </row>
    <row r="6722">
      <c r="C6722" s="82"/>
      <c r="E6722" s="84"/>
      <c r="F6722" s="84"/>
      <c r="G6722" s="84"/>
      <c r="I6722" s="237"/>
      <c r="J6722" s="238"/>
    </row>
    <row r="6723">
      <c r="C6723" s="82"/>
      <c r="E6723" s="84"/>
      <c r="F6723" s="84"/>
      <c r="G6723" s="84"/>
      <c r="I6723" s="237"/>
      <c r="J6723" s="238"/>
    </row>
    <row r="6724">
      <c r="C6724" s="82"/>
      <c r="E6724" s="84"/>
      <c r="F6724" s="84"/>
      <c r="G6724" s="84"/>
      <c r="I6724" s="237"/>
      <c r="J6724" s="238"/>
    </row>
    <row r="6725">
      <c r="C6725" s="82"/>
      <c r="E6725" s="84"/>
      <c r="F6725" s="84"/>
      <c r="G6725" s="84"/>
      <c r="I6725" s="237"/>
      <c r="J6725" s="238"/>
    </row>
    <row r="6726">
      <c r="C6726" s="82"/>
      <c r="E6726" s="84"/>
      <c r="F6726" s="84"/>
      <c r="G6726" s="84"/>
      <c r="I6726" s="237"/>
      <c r="J6726" s="238"/>
    </row>
    <row r="6727">
      <c r="C6727" s="82"/>
      <c r="E6727" s="84"/>
      <c r="F6727" s="84"/>
      <c r="G6727" s="84"/>
      <c r="I6727" s="237"/>
      <c r="J6727" s="238"/>
    </row>
    <row r="6728">
      <c r="C6728" s="82"/>
      <c r="E6728" s="84"/>
      <c r="F6728" s="84"/>
      <c r="G6728" s="84"/>
      <c r="I6728" s="237"/>
      <c r="J6728" s="238"/>
    </row>
    <row r="6729">
      <c r="C6729" s="82"/>
      <c r="E6729" s="84"/>
      <c r="F6729" s="84"/>
      <c r="G6729" s="84"/>
      <c r="I6729" s="237"/>
      <c r="J6729" s="238"/>
    </row>
    <row r="6730">
      <c r="C6730" s="82"/>
      <c r="E6730" s="84"/>
      <c r="F6730" s="84"/>
      <c r="G6730" s="84"/>
      <c r="I6730" s="237"/>
      <c r="J6730" s="238"/>
    </row>
    <row r="6731">
      <c r="C6731" s="82"/>
      <c r="E6731" s="84"/>
      <c r="F6731" s="84"/>
      <c r="G6731" s="84"/>
      <c r="I6731" s="237"/>
      <c r="J6731" s="238"/>
    </row>
    <row r="6732">
      <c r="C6732" s="82"/>
      <c r="E6732" s="84"/>
      <c r="F6732" s="84"/>
      <c r="G6732" s="84"/>
      <c r="I6732" s="237"/>
      <c r="J6732" s="238"/>
    </row>
    <row r="6733">
      <c r="C6733" s="82"/>
      <c r="E6733" s="84"/>
      <c r="F6733" s="84"/>
      <c r="G6733" s="84"/>
      <c r="I6733" s="237"/>
      <c r="J6733" s="238"/>
    </row>
    <row r="6734">
      <c r="C6734" s="82"/>
      <c r="E6734" s="84"/>
      <c r="F6734" s="84"/>
      <c r="G6734" s="84"/>
      <c r="I6734" s="237"/>
      <c r="J6734" s="238"/>
    </row>
    <row r="6735">
      <c r="C6735" s="82"/>
      <c r="E6735" s="84"/>
      <c r="F6735" s="84"/>
      <c r="G6735" s="84"/>
      <c r="I6735" s="237"/>
      <c r="J6735" s="238"/>
    </row>
    <row r="6736">
      <c r="C6736" s="82"/>
      <c r="E6736" s="84"/>
      <c r="F6736" s="84"/>
      <c r="G6736" s="84"/>
      <c r="I6736" s="237"/>
      <c r="J6736" s="238"/>
    </row>
    <row r="6737">
      <c r="C6737" s="82"/>
      <c r="E6737" s="84"/>
      <c r="F6737" s="84"/>
      <c r="G6737" s="84"/>
      <c r="I6737" s="237"/>
      <c r="J6737" s="238"/>
    </row>
    <row r="6738">
      <c r="C6738" s="82"/>
      <c r="E6738" s="84"/>
      <c r="F6738" s="84"/>
      <c r="G6738" s="84"/>
      <c r="I6738" s="237"/>
      <c r="J6738" s="238"/>
    </row>
    <row r="6739">
      <c r="C6739" s="82"/>
      <c r="E6739" s="84"/>
      <c r="F6739" s="84"/>
      <c r="G6739" s="84"/>
      <c r="I6739" s="237"/>
      <c r="J6739" s="238"/>
    </row>
    <row r="6740">
      <c r="C6740" s="82"/>
      <c r="E6740" s="84"/>
      <c r="F6740" s="84"/>
      <c r="G6740" s="84"/>
      <c r="I6740" s="237"/>
      <c r="J6740" s="238"/>
    </row>
    <row r="6741">
      <c r="C6741" s="82"/>
      <c r="E6741" s="84"/>
      <c r="F6741" s="84"/>
      <c r="G6741" s="84"/>
      <c r="I6741" s="237"/>
      <c r="J6741" s="238"/>
    </row>
    <row r="6742">
      <c r="C6742" s="82"/>
      <c r="E6742" s="84"/>
      <c r="F6742" s="84"/>
      <c r="G6742" s="84"/>
      <c r="I6742" s="237"/>
      <c r="J6742" s="238"/>
    </row>
    <row r="6743">
      <c r="C6743" s="82"/>
      <c r="E6743" s="84"/>
      <c r="F6743" s="84"/>
      <c r="G6743" s="84"/>
      <c r="I6743" s="237"/>
      <c r="J6743" s="238"/>
    </row>
    <row r="6744">
      <c r="C6744" s="82"/>
      <c r="E6744" s="84"/>
      <c r="F6744" s="84"/>
      <c r="G6744" s="84"/>
      <c r="I6744" s="237"/>
      <c r="J6744" s="238"/>
    </row>
    <row r="6745">
      <c r="C6745" s="82"/>
      <c r="E6745" s="84"/>
      <c r="F6745" s="84"/>
      <c r="G6745" s="84"/>
      <c r="I6745" s="237"/>
      <c r="J6745" s="238"/>
    </row>
    <row r="6746">
      <c r="C6746" s="82"/>
      <c r="E6746" s="84"/>
      <c r="F6746" s="84"/>
      <c r="G6746" s="84"/>
      <c r="I6746" s="237"/>
      <c r="J6746" s="238"/>
    </row>
    <row r="6747">
      <c r="C6747" s="82"/>
      <c r="E6747" s="84"/>
      <c r="F6747" s="84"/>
      <c r="G6747" s="84"/>
      <c r="I6747" s="237"/>
      <c r="J6747" s="238"/>
    </row>
    <row r="6748">
      <c r="C6748" s="82"/>
      <c r="E6748" s="84"/>
      <c r="F6748" s="84"/>
      <c r="G6748" s="84"/>
      <c r="I6748" s="237"/>
      <c r="J6748" s="238"/>
    </row>
    <row r="6749">
      <c r="C6749" s="82"/>
      <c r="E6749" s="84"/>
      <c r="F6749" s="84"/>
      <c r="G6749" s="84"/>
      <c r="I6749" s="237"/>
      <c r="J6749" s="238"/>
    </row>
    <row r="6750">
      <c r="C6750" s="82"/>
      <c r="E6750" s="84"/>
      <c r="F6750" s="84"/>
      <c r="G6750" s="84"/>
      <c r="I6750" s="237"/>
      <c r="J6750" s="238"/>
    </row>
    <row r="6751">
      <c r="C6751" s="82"/>
      <c r="E6751" s="84"/>
      <c r="F6751" s="84"/>
      <c r="G6751" s="84"/>
      <c r="I6751" s="237"/>
      <c r="J6751" s="238"/>
    </row>
    <row r="6752">
      <c r="C6752" s="82"/>
      <c r="E6752" s="84"/>
      <c r="F6752" s="84"/>
      <c r="G6752" s="84"/>
      <c r="I6752" s="237"/>
      <c r="J6752" s="238"/>
    </row>
    <row r="6753">
      <c r="C6753" s="82"/>
      <c r="E6753" s="84"/>
      <c r="F6753" s="84"/>
      <c r="G6753" s="84"/>
      <c r="I6753" s="237"/>
      <c r="J6753" s="238"/>
    </row>
    <row r="6754">
      <c r="C6754" s="82"/>
      <c r="E6754" s="84"/>
      <c r="F6754" s="84"/>
      <c r="G6754" s="84"/>
      <c r="I6754" s="237"/>
      <c r="J6754" s="238"/>
    </row>
    <row r="6755">
      <c r="C6755" s="82"/>
      <c r="E6755" s="84"/>
      <c r="F6755" s="84"/>
      <c r="G6755" s="84"/>
      <c r="I6755" s="237"/>
      <c r="J6755" s="238"/>
    </row>
    <row r="6756">
      <c r="C6756" s="82"/>
      <c r="E6756" s="84"/>
      <c r="F6756" s="84"/>
      <c r="G6756" s="84"/>
      <c r="I6756" s="237"/>
      <c r="J6756" s="238"/>
    </row>
    <row r="6757">
      <c r="C6757" s="82"/>
      <c r="E6757" s="84"/>
      <c r="F6757" s="84"/>
      <c r="G6757" s="84"/>
      <c r="I6757" s="237"/>
      <c r="J6757" s="238"/>
    </row>
    <row r="6758">
      <c r="C6758" s="82"/>
      <c r="E6758" s="84"/>
      <c r="F6758" s="84"/>
      <c r="G6758" s="84"/>
      <c r="I6758" s="237"/>
      <c r="J6758" s="238"/>
    </row>
    <row r="6759">
      <c r="C6759" s="82"/>
      <c r="E6759" s="84"/>
      <c r="F6759" s="84"/>
      <c r="G6759" s="84"/>
      <c r="I6759" s="237"/>
      <c r="J6759" s="238"/>
    </row>
    <row r="6760">
      <c r="C6760" s="82"/>
      <c r="E6760" s="84"/>
      <c r="F6760" s="84"/>
      <c r="G6760" s="84"/>
      <c r="I6760" s="237"/>
      <c r="J6760" s="238"/>
    </row>
    <row r="6761">
      <c r="C6761" s="82"/>
      <c r="E6761" s="84"/>
      <c r="F6761" s="84"/>
      <c r="G6761" s="84"/>
      <c r="I6761" s="237"/>
      <c r="J6761" s="238"/>
    </row>
    <row r="6762">
      <c r="C6762" s="82"/>
      <c r="E6762" s="84"/>
      <c r="F6762" s="84"/>
      <c r="G6762" s="84"/>
      <c r="I6762" s="237"/>
      <c r="J6762" s="238"/>
    </row>
    <row r="6763">
      <c r="C6763" s="82"/>
      <c r="E6763" s="84"/>
      <c r="F6763" s="84"/>
      <c r="G6763" s="84"/>
      <c r="I6763" s="237"/>
      <c r="J6763" s="238"/>
    </row>
    <row r="6764">
      <c r="C6764" s="82"/>
      <c r="E6764" s="84"/>
      <c r="F6764" s="84"/>
      <c r="G6764" s="84"/>
      <c r="I6764" s="237"/>
      <c r="J6764" s="238"/>
    </row>
    <row r="6765">
      <c r="C6765" s="82"/>
      <c r="E6765" s="84"/>
      <c r="F6765" s="84"/>
      <c r="G6765" s="84"/>
      <c r="I6765" s="237"/>
      <c r="J6765" s="238"/>
    </row>
    <row r="6766">
      <c r="C6766" s="82"/>
      <c r="E6766" s="84"/>
      <c r="F6766" s="84"/>
      <c r="G6766" s="84"/>
      <c r="I6766" s="237"/>
      <c r="J6766" s="238"/>
    </row>
    <row r="6767">
      <c r="C6767" s="82"/>
      <c r="E6767" s="84"/>
      <c r="F6767" s="84"/>
      <c r="G6767" s="84"/>
      <c r="I6767" s="237"/>
      <c r="J6767" s="238"/>
    </row>
    <row r="6768">
      <c r="C6768" s="82"/>
      <c r="E6768" s="84"/>
      <c r="F6768" s="84"/>
      <c r="G6768" s="84"/>
      <c r="I6768" s="237"/>
      <c r="J6768" s="238"/>
    </row>
    <row r="6769">
      <c r="C6769" s="82"/>
      <c r="E6769" s="84"/>
      <c r="F6769" s="84"/>
      <c r="G6769" s="84"/>
      <c r="I6769" s="237"/>
      <c r="J6769" s="238"/>
    </row>
    <row r="6770">
      <c r="C6770" s="82"/>
      <c r="E6770" s="84"/>
      <c r="F6770" s="84"/>
      <c r="G6770" s="84"/>
      <c r="I6770" s="237"/>
      <c r="J6770" s="238"/>
    </row>
    <row r="6771">
      <c r="C6771" s="82"/>
      <c r="E6771" s="84"/>
      <c r="F6771" s="84"/>
      <c r="G6771" s="84"/>
      <c r="I6771" s="237"/>
      <c r="J6771" s="238"/>
    </row>
    <row r="6772">
      <c r="C6772" s="82"/>
      <c r="E6772" s="84"/>
      <c r="F6772" s="84"/>
      <c r="G6772" s="84"/>
      <c r="I6772" s="237"/>
      <c r="J6772" s="238"/>
    </row>
    <row r="6773">
      <c r="C6773" s="82"/>
      <c r="E6773" s="84"/>
      <c r="F6773" s="84"/>
      <c r="G6773" s="84"/>
      <c r="I6773" s="237"/>
      <c r="J6773" s="238"/>
    </row>
    <row r="6774">
      <c r="C6774" s="82"/>
      <c r="E6774" s="84"/>
      <c r="F6774" s="84"/>
      <c r="G6774" s="84"/>
      <c r="I6774" s="237"/>
      <c r="J6774" s="238"/>
    </row>
    <row r="6775">
      <c r="C6775" s="82"/>
      <c r="E6775" s="84"/>
      <c r="F6775" s="84"/>
      <c r="G6775" s="84"/>
      <c r="I6775" s="237"/>
      <c r="J6775" s="238"/>
    </row>
    <row r="6776">
      <c r="C6776" s="82"/>
      <c r="E6776" s="84"/>
      <c r="F6776" s="84"/>
      <c r="G6776" s="84"/>
      <c r="I6776" s="237"/>
      <c r="J6776" s="238"/>
    </row>
    <row r="6777">
      <c r="C6777" s="82"/>
      <c r="E6777" s="84"/>
      <c r="F6777" s="84"/>
      <c r="G6777" s="84"/>
      <c r="I6777" s="237"/>
      <c r="J6777" s="238"/>
    </row>
    <row r="6778">
      <c r="C6778" s="82"/>
      <c r="E6778" s="84"/>
      <c r="F6778" s="84"/>
      <c r="G6778" s="84"/>
      <c r="I6778" s="237"/>
      <c r="J6778" s="238"/>
    </row>
    <row r="6779">
      <c r="C6779" s="82"/>
      <c r="E6779" s="84"/>
      <c r="F6779" s="84"/>
      <c r="G6779" s="84"/>
      <c r="I6779" s="237"/>
      <c r="J6779" s="238"/>
    </row>
    <row r="6780">
      <c r="C6780" s="82"/>
      <c r="E6780" s="84"/>
      <c r="F6780" s="84"/>
      <c r="G6780" s="84"/>
      <c r="I6780" s="237"/>
      <c r="J6780" s="238"/>
    </row>
    <row r="6781">
      <c r="C6781" s="82"/>
      <c r="E6781" s="84"/>
      <c r="F6781" s="84"/>
      <c r="G6781" s="84"/>
      <c r="I6781" s="237"/>
      <c r="J6781" s="238"/>
    </row>
    <row r="6782">
      <c r="C6782" s="82"/>
      <c r="E6782" s="84"/>
      <c r="F6782" s="84"/>
      <c r="G6782" s="84"/>
      <c r="I6782" s="237"/>
      <c r="J6782" s="238"/>
    </row>
    <row r="6783">
      <c r="C6783" s="82"/>
      <c r="E6783" s="84"/>
      <c r="F6783" s="84"/>
      <c r="G6783" s="84"/>
      <c r="I6783" s="237"/>
      <c r="J6783" s="238"/>
    </row>
    <row r="6784">
      <c r="C6784" s="82"/>
      <c r="E6784" s="84"/>
      <c r="F6784" s="84"/>
      <c r="G6784" s="84"/>
      <c r="I6784" s="237"/>
      <c r="J6784" s="238"/>
    </row>
    <row r="6785">
      <c r="C6785" s="82"/>
      <c r="E6785" s="84"/>
      <c r="F6785" s="84"/>
      <c r="G6785" s="84"/>
      <c r="I6785" s="237"/>
      <c r="J6785" s="238"/>
    </row>
    <row r="6786">
      <c r="C6786" s="82"/>
      <c r="E6786" s="84"/>
      <c r="F6786" s="84"/>
      <c r="G6786" s="84"/>
      <c r="I6786" s="237"/>
      <c r="J6786" s="238"/>
    </row>
    <row r="6787">
      <c r="C6787" s="82"/>
      <c r="E6787" s="84"/>
      <c r="F6787" s="84"/>
      <c r="G6787" s="84"/>
      <c r="I6787" s="237"/>
      <c r="J6787" s="238"/>
    </row>
    <row r="6788">
      <c r="C6788" s="82"/>
      <c r="E6788" s="84"/>
      <c r="F6788" s="84"/>
      <c r="G6788" s="84"/>
      <c r="I6788" s="237"/>
      <c r="J6788" s="238"/>
    </row>
    <row r="6789">
      <c r="C6789" s="82"/>
      <c r="E6789" s="84"/>
      <c r="F6789" s="84"/>
      <c r="G6789" s="84"/>
      <c r="I6789" s="237"/>
      <c r="J6789" s="238"/>
    </row>
    <row r="6790">
      <c r="C6790" s="82"/>
      <c r="E6790" s="84"/>
      <c r="F6790" s="84"/>
      <c r="G6790" s="84"/>
      <c r="I6790" s="237"/>
      <c r="J6790" s="238"/>
    </row>
    <row r="6791">
      <c r="C6791" s="82"/>
      <c r="E6791" s="84"/>
      <c r="F6791" s="84"/>
      <c r="G6791" s="84"/>
      <c r="I6791" s="237"/>
      <c r="J6791" s="238"/>
    </row>
    <row r="6792">
      <c r="C6792" s="82"/>
      <c r="E6792" s="84"/>
      <c r="F6792" s="84"/>
      <c r="G6792" s="84"/>
      <c r="I6792" s="237"/>
      <c r="J6792" s="238"/>
    </row>
    <row r="6793">
      <c r="C6793" s="82"/>
      <c r="E6793" s="84"/>
      <c r="F6793" s="84"/>
      <c r="G6793" s="84"/>
      <c r="I6793" s="237"/>
      <c r="J6793" s="238"/>
    </row>
    <row r="6794">
      <c r="C6794" s="82"/>
      <c r="E6794" s="84"/>
      <c r="F6794" s="84"/>
      <c r="G6794" s="84"/>
      <c r="I6794" s="237"/>
      <c r="J6794" s="238"/>
    </row>
    <row r="6795">
      <c r="C6795" s="82"/>
      <c r="E6795" s="84"/>
      <c r="F6795" s="84"/>
      <c r="G6795" s="84"/>
      <c r="I6795" s="237"/>
      <c r="J6795" s="238"/>
    </row>
    <row r="6796">
      <c r="C6796" s="82"/>
      <c r="E6796" s="84"/>
      <c r="F6796" s="84"/>
      <c r="G6796" s="84"/>
      <c r="I6796" s="237"/>
      <c r="J6796" s="238"/>
    </row>
    <row r="6797">
      <c r="C6797" s="82"/>
      <c r="E6797" s="84"/>
      <c r="F6797" s="84"/>
      <c r="G6797" s="84"/>
      <c r="I6797" s="237"/>
      <c r="J6797" s="238"/>
    </row>
    <row r="6798">
      <c r="C6798" s="82"/>
      <c r="E6798" s="84"/>
      <c r="F6798" s="84"/>
      <c r="G6798" s="84"/>
      <c r="I6798" s="237"/>
      <c r="J6798" s="238"/>
    </row>
    <row r="6799">
      <c r="C6799" s="82"/>
      <c r="E6799" s="84"/>
      <c r="F6799" s="84"/>
      <c r="G6799" s="84"/>
      <c r="I6799" s="237"/>
      <c r="J6799" s="238"/>
    </row>
    <row r="6800">
      <c r="C6800" s="82"/>
      <c r="E6800" s="84"/>
      <c r="F6800" s="84"/>
      <c r="G6800" s="84"/>
      <c r="I6800" s="237"/>
      <c r="J6800" s="238"/>
    </row>
    <row r="6801">
      <c r="C6801" s="82"/>
      <c r="E6801" s="84"/>
      <c r="F6801" s="84"/>
      <c r="G6801" s="84"/>
      <c r="I6801" s="237"/>
      <c r="J6801" s="238"/>
    </row>
    <row r="6802">
      <c r="C6802" s="82"/>
      <c r="E6802" s="84"/>
      <c r="F6802" s="84"/>
      <c r="G6802" s="84"/>
      <c r="I6802" s="237"/>
      <c r="J6802" s="238"/>
    </row>
    <row r="6803">
      <c r="C6803" s="82"/>
      <c r="E6803" s="84"/>
      <c r="F6803" s="84"/>
      <c r="G6803" s="84"/>
      <c r="I6803" s="237"/>
      <c r="J6803" s="238"/>
    </row>
    <row r="6804">
      <c r="C6804" s="82"/>
      <c r="E6804" s="84"/>
      <c r="F6804" s="84"/>
      <c r="G6804" s="84"/>
      <c r="I6804" s="237"/>
      <c r="J6804" s="238"/>
    </row>
    <row r="6805">
      <c r="C6805" s="82"/>
      <c r="E6805" s="84"/>
      <c r="F6805" s="84"/>
      <c r="G6805" s="84"/>
      <c r="I6805" s="237"/>
      <c r="J6805" s="238"/>
    </row>
    <row r="6806">
      <c r="C6806" s="82"/>
      <c r="E6806" s="84"/>
      <c r="F6806" s="84"/>
      <c r="G6806" s="84"/>
      <c r="I6806" s="237"/>
      <c r="J6806" s="238"/>
    </row>
    <row r="6807">
      <c r="C6807" s="82"/>
      <c r="E6807" s="84"/>
      <c r="F6807" s="84"/>
      <c r="G6807" s="84"/>
      <c r="I6807" s="237"/>
      <c r="J6807" s="238"/>
    </row>
    <row r="6808">
      <c r="C6808" s="82"/>
      <c r="E6808" s="84"/>
      <c r="F6808" s="84"/>
      <c r="G6808" s="84"/>
      <c r="I6808" s="237"/>
      <c r="J6808" s="238"/>
    </row>
    <row r="6809">
      <c r="C6809" s="82"/>
      <c r="E6809" s="84"/>
      <c r="F6809" s="84"/>
      <c r="G6809" s="84"/>
      <c r="I6809" s="237"/>
      <c r="J6809" s="238"/>
    </row>
    <row r="6810">
      <c r="C6810" s="82"/>
      <c r="E6810" s="84"/>
      <c r="F6810" s="84"/>
      <c r="G6810" s="84"/>
      <c r="I6810" s="237"/>
      <c r="J6810" s="238"/>
    </row>
    <row r="6811">
      <c r="C6811" s="82"/>
      <c r="E6811" s="84"/>
      <c r="F6811" s="84"/>
      <c r="G6811" s="84"/>
      <c r="I6811" s="237"/>
      <c r="J6811" s="238"/>
    </row>
    <row r="6812">
      <c r="C6812" s="82"/>
      <c r="E6812" s="84"/>
      <c r="F6812" s="84"/>
      <c r="G6812" s="84"/>
      <c r="I6812" s="237"/>
      <c r="J6812" s="238"/>
    </row>
    <row r="6813">
      <c r="C6813" s="82"/>
      <c r="E6813" s="84"/>
      <c r="F6813" s="84"/>
      <c r="G6813" s="84"/>
      <c r="I6813" s="237"/>
      <c r="J6813" s="238"/>
    </row>
    <row r="6814">
      <c r="C6814" s="82"/>
      <c r="E6814" s="84"/>
      <c r="F6814" s="84"/>
      <c r="G6814" s="84"/>
      <c r="I6814" s="237"/>
      <c r="J6814" s="238"/>
    </row>
    <row r="6815">
      <c r="C6815" s="82"/>
      <c r="E6815" s="84"/>
      <c r="F6815" s="84"/>
      <c r="G6815" s="84"/>
      <c r="I6815" s="237"/>
      <c r="J6815" s="238"/>
    </row>
    <row r="6816">
      <c r="C6816" s="82"/>
      <c r="E6816" s="84"/>
      <c r="F6816" s="84"/>
      <c r="G6816" s="84"/>
      <c r="I6816" s="237"/>
      <c r="J6816" s="238"/>
    </row>
    <row r="6817">
      <c r="C6817" s="82"/>
      <c r="E6817" s="84"/>
      <c r="F6817" s="84"/>
      <c r="G6817" s="84"/>
      <c r="I6817" s="237"/>
      <c r="J6817" s="238"/>
    </row>
    <row r="6818">
      <c r="C6818" s="82"/>
      <c r="E6818" s="84"/>
      <c r="F6818" s="84"/>
      <c r="G6818" s="84"/>
      <c r="I6818" s="237"/>
      <c r="J6818" s="238"/>
    </row>
    <row r="6819">
      <c r="C6819" s="82"/>
      <c r="E6819" s="84"/>
      <c r="F6819" s="84"/>
      <c r="G6819" s="84"/>
      <c r="I6819" s="237"/>
      <c r="J6819" s="238"/>
    </row>
    <row r="6820">
      <c r="C6820" s="82"/>
      <c r="E6820" s="84"/>
      <c r="F6820" s="84"/>
      <c r="G6820" s="84"/>
      <c r="I6820" s="237"/>
      <c r="J6820" s="238"/>
    </row>
    <row r="6821">
      <c r="C6821" s="82"/>
      <c r="E6821" s="84"/>
      <c r="F6821" s="84"/>
      <c r="G6821" s="84"/>
      <c r="I6821" s="237"/>
      <c r="J6821" s="238"/>
    </row>
    <row r="6822">
      <c r="C6822" s="82"/>
      <c r="E6822" s="84"/>
      <c r="F6822" s="84"/>
      <c r="G6822" s="84"/>
      <c r="I6822" s="237"/>
      <c r="J6822" s="238"/>
    </row>
    <row r="6823">
      <c r="C6823" s="82"/>
      <c r="E6823" s="84"/>
      <c r="F6823" s="84"/>
      <c r="G6823" s="84"/>
      <c r="I6823" s="237"/>
      <c r="J6823" s="238"/>
    </row>
    <row r="6824">
      <c r="C6824" s="82"/>
      <c r="E6824" s="84"/>
      <c r="F6824" s="84"/>
      <c r="G6824" s="84"/>
      <c r="I6824" s="237"/>
      <c r="J6824" s="238"/>
    </row>
    <row r="6825">
      <c r="C6825" s="82"/>
      <c r="E6825" s="84"/>
      <c r="F6825" s="84"/>
      <c r="G6825" s="84"/>
      <c r="I6825" s="237"/>
      <c r="J6825" s="238"/>
    </row>
    <row r="6826">
      <c r="C6826" s="82"/>
      <c r="E6826" s="84"/>
      <c r="F6826" s="84"/>
      <c r="G6826" s="84"/>
      <c r="I6826" s="237"/>
      <c r="J6826" s="238"/>
    </row>
    <row r="6827">
      <c r="C6827" s="82"/>
      <c r="E6827" s="84"/>
      <c r="F6827" s="84"/>
      <c r="G6827" s="84"/>
      <c r="I6827" s="237"/>
      <c r="J6827" s="238"/>
    </row>
    <row r="6828">
      <c r="C6828" s="82"/>
      <c r="E6828" s="84"/>
      <c r="F6828" s="84"/>
      <c r="G6828" s="84"/>
      <c r="I6828" s="237"/>
      <c r="J6828" s="238"/>
    </row>
    <row r="6829">
      <c r="C6829" s="82"/>
      <c r="E6829" s="84"/>
      <c r="F6829" s="84"/>
      <c r="G6829" s="84"/>
      <c r="I6829" s="237"/>
      <c r="J6829" s="238"/>
    </row>
    <row r="6830">
      <c r="C6830" s="82"/>
      <c r="E6830" s="84"/>
      <c r="F6830" s="84"/>
      <c r="G6830" s="84"/>
      <c r="I6830" s="237"/>
      <c r="J6830" s="238"/>
    </row>
    <row r="6831">
      <c r="C6831" s="82"/>
      <c r="E6831" s="84"/>
      <c r="F6831" s="84"/>
      <c r="G6831" s="84"/>
      <c r="I6831" s="237"/>
      <c r="J6831" s="238"/>
    </row>
    <row r="6832">
      <c r="C6832" s="82"/>
      <c r="E6832" s="84"/>
      <c r="F6832" s="84"/>
      <c r="G6832" s="84"/>
      <c r="I6832" s="237"/>
      <c r="J6832" s="238"/>
    </row>
    <row r="6833">
      <c r="C6833" s="82"/>
      <c r="E6833" s="84"/>
      <c r="F6833" s="84"/>
      <c r="G6833" s="84"/>
      <c r="I6833" s="237"/>
      <c r="J6833" s="238"/>
    </row>
    <row r="6834">
      <c r="C6834" s="82"/>
      <c r="E6834" s="84"/>
      <c r="F6834" s="84"/>
      <c r="G6834" s="84"/>
      <c r="I6834" s="237"/>
      <c r="J6834" s="238"/>
    </row>
    <row r="6835">
      <c r="C6835" s="82"/>
      <c r="E6835" s="84"/>
      <c r="F6835" s="84"/>
      <c r="G6835" s="84"/>
      <c r="I6835" s="237"/>
      <c r="J6835" s="238"/>
    </row>
    <row r="6836">
      <c r="C6836" s="82"/>
      <c r="E6836" s="84"/>
      <c r="F6836" s="84"/>
      <c r="G6836" s="84"/>
      <c r="I6836" s="237"/>
      <c r="J6836" s="238"/>
    </row>
    <row r="6837">
      <c r="C6837" s="82"/>
      <c r="E6837" s="84"/>
      <c r="F6837" s="84"/>
      <c r="G6837" s="84"/>
      <c r="I6837" s="237"/>
      <c r="J6837" s="238"/>
    </row>
    <row r="6838">
      <c r="C6838" s="82"/>
      <c r="E6838" s="84"/>
      <c r="F6838" s="84"/>
      <c r="G6838" s="84"/>
      <c r="I6838" s="237"/>
      <c r="J6838" s="238"/>
    </row>
    <row r="6839">
      <c r="C6839" s="82"/>
      <c r="E6839" s="84"/>
      <c r="F6839" s="84"/>
      <c r="G6839" s="84"/>
      <c r="I6839" s="237"/>
      <c r="J6839" s="238"/>
    </row>
    <row r="6840">
      <c r="C6840" s="82"/>
      <c r="E6840" s="84"/>
      <c r="F6840" s="84"/>
      <c r="G6840" s="84"/>
      <c r="I6840" s="237"/>
      <c r="J6840" s="238"/>
    </row>
    <row r="6841">
      <c r="C6841" s="82"/>
      <c r="E6841" s="84"/>
      <c r="F6841" s="84"/>
      <c r="G6841" s="84"/>
      <c r="I6841" s="237"/>
      <c r="J6841" s="238"/>
    </row>
    <row r="6842">
      <c r="C6842" s="82"/>
      <c r="E6842" s="84"/>
      <c r="F6842" s="84"/>
      <c r="G6842" s="84"/>
      <c r="I6842" s="237"/>
      <c r="J6842" s="238"/>
    </row>
    <row r="6843">
      <c r="C6843" s="82"/>
      <c r="E6843" s="84"/>
      <c r="F6843" s="84"/>
      <c r="G6843" s="84"/>
      <c r="I6843" s="237"/>
      <c r="J6843" s="238"/>
    </row>
    <row r="6844">
      <c r="C6844" s="82"/>
      <c r="E6844" s="84"/>
      <c r="F6844" s="84"/>
      <c r="G6844" s="84"/>
      <c r="I6844" s="237"/>
      <c r="J6844" s="238"/>
    </row>
    <row r="6845">
      <c r="C6845" s="82"/>
      <c r="E6845" s="84"/>
      <c r="F6845" s="84"/>
      <c r="G6845" s="84"/>
      <c r="I6845" s="237"/>
      <c r="J6845" s="238"/>
    </row>
    <row r="6846">
      <c r="C6846" s="82"/>
      <c r="E6846" s="84"/>
      <c r="F6846" s="84"/>
      <c r="G6846" s="84"/>
      <c r="I6846" s="237"/>
      <c r="J6846" s="238"/>
    </row>
    <row r="6847">
      <c r="C6847" s="82"/>
      <c r="E6847" s="84"/>
      <c r="F6847" s="84"/>
      <c r="G6847" s="84"/>
      <c r="I6847" s="237"/>
      <c r="J6847" s="238"/>
    </row>
    <row r="6848">
      <c r="C6848" s="82"/>
      <c r="E6848" s="84"/>
      <c r="F6848" s="84"/>
      <c r="G6848" s="84"/>
      <c r="I6848" s="237"/>
      <c r="J6848" s="238"/>
    </row>
    <row r="6849">
      <c r="C6849" s="82"/>
      <c r="E6849" s="84"/>
      <c r="F6849" s="84"/>
      <c r="G6849" s="84"/>
      <c r="I6849" s="237"/>
      <c r="J6849" s="238"/>
    </row>
    <row r="6850">
      <c r="C6850" s="82"/>
      <c r="E6850" s="84"/>
      <c r="F6850" s="84"/>
      <c r="G6850" s="84"/>
      <c r="I6850" s="237"/>
      <c r="J6850" s="238"/>
    </row>
    <row r="6851">
      <c r="C6851" s="82"/>
      <c r="E6851" s="84"/>
      <c r="F6851" s="84"/>
      <c r="G6851" s="84"/>
      <c r="I6851" s="237"/>
      <c r="J6851" s="238"/>
    </row>
    <row r="6852">
      <c r="C6852" s="82"/>
      <c r="E6852" s="84"/>
      <c r="F6852" s="84"/>
      <c r="G6852" s="84"/>
      <c r="I6852" s="237"/>
      <c r="J6852" s="238"/>
    </row>
    <row r="6853">
      <c r="C6853" s="82"/>
      <c r="E6853" s="84"/>
      <c r="F6853" s="84"/>
      <c r="G6853" s="84"/>
      <c r="I6853" s="237"/>
      <c r="J6853" s="238"/>
    </row>
    <row r="6854">
      <c r="C6854" s="82"/>
      <c r="E6854" s="84"/>
      <c r="F6854" s="84"/>
      <c r="G6854" s="84"/>
      <c r="I6854" s="237"/>
      <c r="J6854" s="238"/>
    </row>
    <row r="6855">
      <c r="C6855" s="82"/>
      <c r="E6855" s="84"/>
      <c r="F6855" s="84"/>
      <c r="G6855" s="84"/>
      <c r="I6855" s="237"/>
      <c r="J6855" s="238"/>
    </row>
    <row r="6856">
      <c r="C6856" s="82"/>
      <c r="E6856" s="84"/>
      <c r="F6856" s="84"/>
      <c r="G6856" s="84"/>
      <c r="I6856" s="237"/>
      <c r="J6856" s="238"/>
    </row>
    <row r="6857">
      <c r="C6857" s="82"/>
      <c r="E6857" s="84"/>
      <c r="F6857" s="84"/>
      <c r="G6857" s="84"/>
      <c r="I6857" s="237"/>
      <c r="J6857" s="238"/>
    </row>
    <row r="6858">
      <c r="C6858" s="82"/>
      <c r="E6858" s="84"/>
      <c r="F6858" s="84"/>
      <c r="G6858" s="84"/>
      <c r="I6858" s="237"/>
      <c r="J6858" s="238"/>
    </row>
    <row r="6859">
      <c r="C6859" s="82"/>
      <c r="E6859" s="84"/>
      <c r="F6859" s="84"/>
      <c r="G6859" s="84"/>
      <c r="I6859" s="237"/>
      <c r="J6859" s="238"/>
    </row>
    <row r="6860">
      <c r="C6860" s="82"/>
      <c r="E6860" s="84"/>
      <c r="F6860" s="84"/>
      <c r="G6860" s="84"/>
      <c r="I6860" s="237"/>
      <c r="J6860" s="238"/>
    </row>
    <row r="6861">
      <c r="C6861" s="82"/>
      <c r="E6861" s="84"/>
      <c r="F6861" s="84"/>
      <c r="G6861" s="84"/>
      <c r="I6861" s="237"/>
      <c r="J6861" s="238"/>
    </row>
    <row r="6862">
      <c r="C6862" s="82"/>
      <c r="E6862" s="84"/>
      <c r="F6862" s="84"/>
      <c r="G6862" s="84"/>
      <c r="I6862" s="237"/>
      <c r="J6862" s="238"/>
    </row>
    <row r="6863">
      <c r="C6863" s="82"/>
      <c r="E6863" s="84"/>
      <c r="F6863" s="84"/>
      <c r="G6863" s="84"/>
      <c r="I6863" s="237"/>
      <c r="J6863" s="238"/>
    </row>
    <row r="6864">
      <c r="C6864" s="82"/>
      <c r="E6864" s="84"/>
      <c r="F6864" s="84"/>
      <c r="G6864" s="84"/>
      <c r="I6864" s="237"/>
      <c r="J6864" s="238"/>
    </row>
    <row r="6865">
      <c r="C6865" s="82"/>
      <c r="E6865" s="84"/>
      <c r="F6865" s="84"/>
      <c r="G6865" s="84"/>
      <c r="I6865" s="237"/>
      <c r="J6865" s="238"/>
    </row>
    <row r="6866">
      <c r="C6866" s="82"/>
      <c r="E6866" s="84"/>
      <c r="F6866" s="84"/>
      <c r="G6866" s="84"/>
      <c r="I6866" s="237"/>
      <c r="J6866" s="238"/>
    </row>
    <row r="6867">
      <c r="C6867" s="82"/>
      <c r="E6867" s="84"/>
      <c r="F6867" s="84"/>
      <c r="G6867" s="84"/>
      <c r="I6867" s="237"/>
      <c r="J6867" s="238"/>
    </row>
    <row r="6868">
      <c r="C6868" s="82"/>
      <c r="E6868" s="84"/>
      <c r="F6868" s="84"/>
      <c r="G6868" s="84"/>
      <c r="I6868" s="237"/>
      <c r="J6868" s="238"/>
    </row>
    <row r="6869">
      <c r="C6869" s="82"/>
      <c r="E6869" s="84"/>
      <c r="F6869" s="84"/>
      <c r="G6869" s="84"/>
      <c r="I6869" s="237"/>
      <c r="J6869" s="238"/>
    </row>
    <row r="6870">
      <c r="C6870" s="82"/>
      <c r="E6870" s="84"/>
      <c r="F6870" s="84"/>
      <c r="G6870" s="84"/>
      <c r="I6870" s="237"/>
      <c r="J6870" s="238"/>
    </row>
    <row r="6871">
      <c r="C6871" s="82"/>
      <c r="E6871" s="84"/>
      <c r="F6871" s="84"/>
      <c r="G6871" s="84"/>
      <c r="I6871" s="237"/>
      <c r="J6871" s="238"/>
    </row>
    <row r="6872">
      <c r="C6872" s="82"/>
      <c r="E6872" s="84"/>
      <c r="F6872" s="84"/>
      <c r="G6872" s="84"/>
      <c r="I6872" s="237"/>
      <c r="J6872" s="238"/>
    </row>
    <row r="6873">
      <c r="C6873" s="82"/>
      <c r="E6873" s="84"/>
      <c r="F6873" s="84"/>
      <c r="G6873" s="84"/>
      <c r="I6873" s="237"/>
      <c r="J6873" s="238"/>
    </row>
    <row r="6874">
      <c r="C6874" s="82"/>
      <c r="E6874" s="84"/>
      <c r="F6874" s="84"/>
      <c r="G6874" s="84"/>
      <c r="I6874" s="237"/>
      <c r="J6874" s="238"/>
    </row>
    <row r="6875">
      <c r="C6875" s="82"/>
      <c r="E6875" s="84"/>
      <c r="F6875" s="84"/>
      <c r="G6875" s="84"/>
      <c r="I6875" s="237"/>
      <c r="J6875" s="238"/>
    </row>
    <row r="6876">
      <c r="C6876" s="82"/>
      <c r="E6876" s="84"/>
      <c r="F6876" s="84"/>
      <c r="G6876" s="84"/>
      <c r="I6876" s="237"/>
      <c r="J6876" s="238"/>
    </row>
    <row r="6877">
      <c r="C6877" s="82"/>
      <c r="E6877" s="84"/>
      <c r="F6877" s="84"/>
      <c r="G6877" s="84"/>
      <c r="I6877" s="237"/>
      <c r="J6877" s="238"/>
    </row>
    <row r="6878">
      <c r="C6878" s="82"/>
      <c r="E6878" s="84"/>
      <c r="F6878" s="84"/>
      <c r="G6878" s="84"/>
      <c r="I6878" s="237"/>
      <c r="J6878" s="238"/>
    </row>
    <row r="6879">
      <c r="C6879" s="82"/>
      <c r="E6879" s="84"/>
      <c r="F6879" s="84"/>
      <c r="G6879" s="84"/>
      <c r="I6879" s="237"/>
      <c r="J6879" s="238"/>
    </row>
    <row r="6880">
      <c r="C6880" s="82"/>
      <c r="E6880" s="84"/>
      <c r="F6880" s="84"/>
      <c r="G6880" s="84"/>
      <c r="I6880" s="237"/>
      <c r="J6880" s="238"/>
    </row>
    <row r="6881">
      <c r="C6881" s="82"/>
      <c r="E6881" s="84"/>
      <c r="F6881" s="84"/>
      <c r="G6881" s="84"/>
      <c r="I6881" s="237"/>
      <c r="J6881" s="238"/>
    </row>
    <row r="6882">
      <c r="C6882" s="82"/>
      <c r="E6882" s="84"/>
      <c r="F6882" s="84"/>
      <c r="G6882" s="84"/>
      <c r="I6882" s="237"/>
      <c r="J6882" s="238"/>
    </row>
    <row r="6883">
      <c r="C6883" s="82"/>
      <c r="E6883" s="84"/>
      <c r="F6883" s="84"/>
      <c r="G6883" s="84"/>
      <c r="I6883" s="237"/>
      <c r="J6883" s="238"/>
    </row>
    <row r="6884">
      <c r="C6884" s="82"/>
      <c r="E6884" s="84"/>
      <c r="F6884" s="84"/>
      <c r="G6884" s="84"/>
      <c r="I6884" s="237"/>
      <c r="J6884" s="238"/>
    </row>
    <row r="6885">
      <c r="C6885" s="82"/>
      <c r="E6885" s="84"/>
      <c r="F6885" s="84"/>
      <c r="G6885" s="84"/>
      <c r="I6885" s="237"/>
      <c r="J6885" s="238"/>
    </row>
    <row r="6886">
      <c r="C6886" s="82"/>
      <c r="E6886" s="84"/>
      <c r="F6886" s="84"/>
      <c r="G6886" s="84"/>
      <c r="I6886" s="237"/>
      <c r="J6886" s="238"/>
    </row>
    <row r="6887">
      <c r="C6887" s="82"/>
      <c r="E6887" s="84"/>
      <c r="F6887" s="84"/>
      <c r="G6887" s="84"/>
      <c r="I6887" s="237"/>
      <c r="J6887" s="238"/>
    </row>
    <row r="6888">
      <c r="C6888" s="82"/>
      <c r="E6888" s="84"/>
      <c r="F6888" s="84"/>
      <c r="G6888" s="84"/>
      <c r="I6888" s="237"/>
      <c r="J6888" s="238"/>
    </row>
    <row r="6889">
      <c r="C6889" s="82"/>
      <c r="E6889" s="84"/>
      <c r="F6889" s="84"/>
      <c r="G6889" s="84"/>
      <c r="I6889" s="237"/>
      <c r="J6889" s="238"/>
    </row>
    <row r="6890">
      <c r="C6890" s="82"/>
      <c r="E6890" s="84"/>
      <c r="F6890" s="84"/>
      <c r="G6890" s="84"/>
      <c r="I6890" s="237"/>
      <c r="J6890" s="238"/>
    </row>
    <row r="6891">
      <c r="C6891" s="82"/>
      <c r="E6891" s="84"/>
      <c r="F6891" s="84"/>
      <c r="G6891" s="84"/>
      <c r="I6891" s="237"/>
      <c r="J6891" s="238"/>
    </row>
    <row r="6892">
      <c r="C6892" s="82"/>
      <c r="E6892" s="84"/>
      <c r="F6892" s="84"/>
      <c r="G6892" s="84"/>
      <c r="I6892" s="237"/>
      <c r="J6892" s="238"/>
    </row>
    <row r="6893">
      <c r="C6893" s="82"/>
      <c r="E6893" s="84"/>
      <c r="F6893" s="84"/>
      <c r="G6893" s="84"/>
      <c r="I6893" s="237"/>
      <c r="J6893" s="238"/>
    </row>
    <row r="6894">
      <c r="C6894" s="82"/>
      <c r="E6894" s="84"/>
      <c r="F6894" s="84"/>
      <c r="G6894" s="84"/>
      <c r="I6894" s="237"/>
      <c r="J6894" s="238"/>
    </row>
    <row r="6895">
      <c r="C6895" s="82"/>
      <c r="E6895" s="84"/>
      <c r="F6895" s="84"/>
      <c r="G6895" s="84"/>
      <c r="I6895" s="237"/>
      <c r="J6895" s="238"/>
    </row>
    <row r="6896">
      <c r="C6896" s="82"/>
      <c r="E6896" s="84"/>
      <c r="F6896" s="84"/>
      <c r="G6896" s="84"/>
      <c r="I6896" s="237"/>
      <c r="J6896" s="238"/>
    </row>
    <row r="6897">
      <c r="C6897" s="82"/>
      <c r="E6897" s="84"/>
      <c r="F6897" s="84"/>
      <c r="G6897" s="84"/>
      <c r="I6897" s="237"/>
      <c r="J6897" s="238"/>
    </row>
    <row r="6898">
      <c r="C6898" s="82"/>
      <c r="E6898" s="84"/>
      <c r="F6898" s="84"/>
      <c r="G6898" s="84"/>
      <c r="I6898" s="237"/>
      <c r="J6898" s="238"/>
    </row>
    <row r="6899">
      <c r="C6899" s="82"/>
      <c r="E6899" s="84"/>
      <c r="F6899" s="84"/>
      <c r="G6899" s="84"/>
      <c r="I6899" s="237"/>
      <c r="J6899" s="238"/>
    </row>
    <row r="6900">
      <c r="C6900" s="82"/>
      <c r="E6900" s="84"/>
      <c r="F6900" s="84"/>
      <c r="G6900" s="84"/>
      <c r="I6900" s="237"/>
      <c r="J6900" s="238"/>
    </row>
    <row r="6901">
      <c r="C6901" s="82"/>
      <c r="E6901" s="84"/>
      <c r="F6901" s="84"/>
      <c r="G6901" s="84"/>
      <c r="I6901" s="237"/>
      <c r="J6901" s="238"/>
    </row>
    <row r="6902">
      <c r="C6902" s="82"/>
      <c r="E6902" s="84"/>
      <c r="F6902" s="84"/>
      <c r="G6902" s="84"/>
      <c r="I6902" s="237"/>
      <c r="J6902" s="238"/>
    </row>
    <row r="6903">
      <c r="C6903" s="82"/>
      <c r="E6903" s="84"/>
      <c r="F6903" s="84"/>
      <c r="G6903" s="84"/>
      <c r="I6903" s="237"/>
      <c r="J6903" s="238"/>
    </row>
    <row r="6904">
      <c r="C6904" s="82"/>
      <c r="E6904" s="84"/>
      <c r="F6904" s="84"/>
      <c r="G6904" s="84"/>
      <c r="I6904" s="237"/>
      <c r="J6904" s="238"/>
    </row>
    <row r="6905">
      <c r="C6905" s="82"/>
      <c r="E6905" s="84"/>
      <c r="F6905" s="84"/>
      <c r="G6905" s="84"/>
      <c r="I6905" s="237"/>
      <c r="J6905" s="238"/>
    </row>
    <row r="6906">
      <c r="C6906" s="82"/>
      <c r="E6906" s="84"/>
      <c r="F6906" s="84"/>
      <c r="G6906" s="84"/>
      <c r="I6906" s="237"/>
      <c r="J6906" s="238"/>
    </row>
    <row r="6907">
      <c r="C6907" s="82"/>
      <c r="E6907" s="84"/>
      <c r="F6907" s="84"/>
      <c r="G6907" s="84"/>
      <c r="I6907" s="237"/>
      <c r="J6907" s="238"/>
    </row>
    <row r="6908">
      <c r="C6908" s="82"/>
      <c r="E6908" s="84"/>
      <c r="F6908" s="84"/>
      <c r="G6908" s="84"/>
      <c r="I6908" s="237"/>
      <c r="J6908" s="238"/>
    </row>
    <row r="6909">
      <c r="C6909" s="82"/>
      <c r="E6909" s="84"/>
      <c r="F6909" s="84"/>
      <c r="G6909" s="84"/>
      <c r="I6909" s="237"/>
      <c r="J6909" s="238"/>
    </row>
    <row r="6910">
      <c r="C6910" s="82"/>
      <c r="E6910" s="84"/>
      <c r="F6910" s="84"/>
      <c r="G6910" s="84"/>
      <c r="I6910" s="237"/>
      <c r="J6910" s="238"/>
    </row>
    <row r="6911">
      <c r="C6911" s="82"/>
      <c r="E6911" s="84"/>
      <c r="F6911" s="84"/>
      <c r="G6911" s="84"/>
      <c r="I6911" s="237"/>
      <c r="J6911" s="238"/>
    </row>
    <row r="6912">
      <c r="C6912" s="82"/>
      <c r="E6912" s="84"/>
      <c r="F6912" s="84"/>
      <c r="G6912" s="84"/>
      <c r="I6912" s="237"/>
      <c r="J6912" s="238"/>
    </row>
    <row r="6913">
      <c r="C6913" s="82"/>
      <c r="E6913" s="84"/>
      <c r="F6913" s="84"/>
      <c r="G6913" s="84"/>
      <c r="I6913" s="237"/>
      <c r="J6913" s="238"/>
    </row>
    <row r="6914">
      <c r="C6914" s="82"/>
      <c r="E6914" s="84"/>
      <c r="F6914" s="84"/>
      <c r="G6914" s="84"/>
      <c r="I6914" s="237"/>
      <c r="J6914" s="238"/>
    </row>
    <row r="6915">
      <c r="C6915" s="82"/>
      <c r="E6915" s="84"/>
      <c r="F6915" s="84"/>
      <c r="G6915" s="84"/>
      <c r="I6915" s="237"/>
      <c r="J6915" s="238"/>
    </row>
    <row r="6916">
      <c r="C6916" s="82"/>
      <c r="E6916" s="84"/>
      <c r="F6916" s="84"/>
      <c r="G6916" s="84"/>
      <c r="I6916" s="237"/>
      <c r="J6916" s="238"/>
    </row>
    <row r="6917">
      <c r="C6917" s="82"/>
      <c r="E6917" s="84"/>
      <c r="F6917" s="84"/>
      <c r="G6917" s="84"/>
      <c r="I6917" s="237"/>
      <c r="J6917" s="238"/>
    </row>
    <row r="6918">
      <c r="C6918" s="82"/>
      <c r="E6918" s="84"/>
      <c r="F6918" s="84"/>
      <c r="G6918" s="84"/>
      <c r="I6918" s="237"/>
      <c r="J6918" s="238"/>
    </row>
    <row r="6919">
      <c r="C6919" s="82"/>
      <c r="E6919" s="84"/>
      <c r="F6919" s="84"/>
      <c r="G6919" s="84"/>
      <c r="I6919" s="237"/>
      <c r="J6919" s="238"/>
    </row>
    <row r="6920">
      <c r="C6920" s="82"/>
      <c r="E6920" s="84"/>
      <c r="F6920" s="84"/>
      <c r="G6920" s="84"/>
      <c r="I6920" s="237"/>
      <c r="J6920" s="238"/>
    </row>
    <row r="6921">
      <c r="C6921" s="82"/>
      <c r="E6921" s="84"/>
      <c r="F6921" s="84"/>
      <c r="G6921" s="84"/>
      <c r="I6921" s="237"/>
      <c r="J6921" s="238"/>
    </row>
    <row r="6922">
      <c r="C6922" s="82"/>
      <c r="E6922" s="84"/>
      <c r="F6922" s="84"/>
      <c r="G6922" s="84"/>
      <c r="I6922" s="237"/>
      <c r="J6922" s="238"/>
    </row>
    <row r="6923">
      <c r="C6923" s="82"/>
      <c r="E6923" s="84"/>
      <c r="F6923" s="84"/>
      <c r="G6923" s="84"/>
      <c r="I6923" s="237"/>
      <c r="J6923" s="238"/>
    </row>
    <row r="6924">
      <c r="C6924" s="82"/>
      <c r="E6924" s="84"/>
      <c r="F6924" s="84"/>
      <c r="G6924" s="84"/>
      <c r="I6924" s="237"/>
      <c r="J6924" s="238"/>
    </row>
    <row r="6925">
      <c r="C6925" s="82"/>
      <c r="E6925" s="84"/>
      <c r="F6925" s="84"/>
      <c r="G6925" s="84"/>
      <c r="I6925" s="237"/>
      <c r="J6925" s="238"/>
    </row>
    <row r="6926">
      <c r="C6926" s="82"/>
      <c r="E6926" s="84"/>
      <c r="F6926" s="84"/>
      <c r="G6926" s="84"/>
      <c r="I6926" s="237"/>
      <c r="J6926" s="238"/>
    </row>
    <row r="6927">
      <c r="C6927" s="82"/>
      <c r="E6927" s="84"/>
      <c r="F6927" s="84"/>
      <c r="G6927" s="84"/>
      <c r="I6927" s="237"/>
      <c r="J6927" s="238"/>
    </row>
    <row r="6928">
      <c r="C6928" s="82"/>
      <c r="E6928" s="84"/>
      <c r="F6928" s="84"/>
      <c r="G6928" s="84"/>
      <c r="I6928" s="237"/>
      <c r="J6928" s="238"/>
    </row>
    <row r="6929">
      <c r="C6929" s="82"/>
      <c r="E6929" s="84"/>
      <c r="F6929" s="84"/>
      <c r="G6929" s="84"/>
      <c r="I6929" s="237"/>
      <c r="J6929" s="238"/>
    </row>
    <row r="6930">
      <c r="C6930" s="82"/>
      <c r="E6930" s="84"/>
      <c r="F6930" s="84"/>
      <c r="G6930" s="84"/>
      <c r="I6930" s="237"/>
      <c r="J6930" s="238"/>
    </row>
    <row r="6931">
      <c r="C6931" s="82"/>
      <c r="E6931" s="84"/>
      <c r="F6931" s="84"/>
      <c r="G6931" s="84"/>
      <c r="I6931" s="237"/>
      <c r="J6931" s="238"/>
    </row>
    <row r="6932">
      <c r="C6932" s="82"/>
      <c r="E6932" s="84"/>
      <c r="F6932" s="84"/>
      <c r="G6932" s="84"/>
      <c r="I6932" s="237"/>
      <c r="J6932" s="238"/>
    </row>
    <row r="6933">
      <c r="C6933" s="82"/>
      <c r="E6933" s="84"/>
      <c r="F6933" s="84"/>
      <c r="G6933" s="84"/>
      <c r="I6933" s="237"/>
      <c r="J6933" s="238"/>
    </row>
    <row r="6934">
      <c r="C6934" s="82"/>
      <c r="E6934" s="84"/>
      <c r="F6934" s="84"/>
      <c r="G6934" s="84"/>
      <c r="I6934" s="237"/>
      <c r="J6934" s="238"/>
    </row>
    <row r="6935">
      <c r="C6935" s="82"/>
      <c r="E6935" s="84"/>
      <c r="F6935" s="84"/>
      <c r="G6935" s="84"/>
      <c r="I6935" s="237"/>
      <c r="J6935" s="238"/>
    </row>
    <row r="6936">
      <c r="C6936" s="82"/>
      <c r="E6936" s="84"/>
      <c r="F6936" s="84"/>
      <c r="G6936" s="84"/>
      <c r="I6936" s="237"/>
      <c r="J6936" s="238"/>
    </row>
    <row r="6937">
      <c r="C6937" s="82"/>
      <c r="E6937" s="84"/>
      <c r="F6937" s="84"/>
      <c r="G6937" s="84"/>
      <c r="I6937" s="237"/>
      <c r="J6937" s="238"/>
    </row>
    <row r="6938">
      <c r="C6938" s="82"/>
      <c r="E6938" s="84"/>
      <c r="F6938" s="84"/>
      <c r="G6938" s="84"/>
      <c r="I6938" s="237"/>
      <c r="J6938" s="238"/>
    </row>
    <row r="6939">
      <c r="C6939" s="82"/>
      <c r="E6939" s="84"/>
      <c r="F6939" s="84"/>
      <c r="G6939" s="84"/>
      <c r="I6939" s="237"/>
      <c r="J6939" s="238"/>
    </row>
    <row r="6940">
      <c r="C6940" s="82"/>
      <c r="E6940" s="84"/>
      <c r="F6940" s="84"/>
      <c r="G6940" s="84"/>
      <c r="I6940" s="237"/>
      <c r="J6940" s="238"/>
    </row>
    <row r="6941">
      <c r="C6941" s="82"/>
      <c r="E6941" s="84"/>
      <c r="F6941" s="84"/>
      <c r="G6941" s="84"/>
      <c r="I6941" s="237"/>
      <c r="J6941" s="238"/>
    </row>
    <row r="6942">
      <c r="C6942" s="82"/>
      <c r="E6942" s="84"/>
      <c r="F6942" s="84"/>
      <c r="G6942" s="84"/>
      <c r="I6942" s="237"/>
      <c r="J6942" s="238"/>
    </row>
    <row r="6943">
      <c r="C6943" s="82"/>
      <c r="E6943" s="84"/>
      <c r="F6943" s="84"/>
      <c r="G6943" s="84"/>
      <c r="I6943" s="237"/>
      <c r="J6943" s="238"/>
    </row>
    <row r="6944">
      <c r="C6944" s="82"/>
      <c r="E6944" s="84"/>
      <c r="F6944" s="84"/>
      <c r="G6944" s="84"/>
      <c r="I6944" s="237"/>
      <c r="J6944" s="238"/>
    </row>
    <row r="6945">
      <c r="C6945" s="82"/>
      <c r="E6945" s="84"/>
      <c r="F6945" s="84"/>
      <c r="G6945" s="84"/>
      <c r="I6945" s="237"/>
      <c r="J6945" s="238"/>
    </row>
    <row r="6946">
      <c r="C6946" s="82"/>
      <c r="E6946" s="84"/>
      <c r="F6946" s="84"/>
      <c r="G6946" s="84"/>
      <c r="I6946" s="237"/>
      <c r="J6946" s="238"/>
    </row>
    <row r="6947">
      <c r="C6947" s="82"/>
      <c r="E6947" s="84"/>
      <c r="F6947" s="84"/>
      <c r="G6947" s="84"/>
      <c r="I6947" s="237"/>
      <c r="J6947" s="238"/>
    </row>
    <row r="6948">
      <c r="C6948" s="82"/>
      <c r="E6948" s="84"/>
      <c r="F6948" s="84"/>
      <c r="G6948" s="84"/>
      <c r="I6948" s="237"/>
      <c r="J6948" s="238"/>
    </row>
    <row r="6949">
      <c r="C6949" s="82"/>
      <c r="E6949" s="84"/>
      <c r="F6949" s="84"/>
      <c r="G6949" s="84"/>
      <c r="I6949" s="237"/>
      <c r="J6949" s="238"/>
    </row>
    <row r="6950">
      <c r="C6950" s="82"/>
      <c r="E6950" s="84"/>
      <c r="F6950" s="84"/>
      <c r="G6950" s="84"/>
      <c r="I6950" s="237"/>
      <c r="J6950" s="238"/>
    </row>
    <row r="6951">
      <c r="C6951" s="82"/>
      <c r="E6951" s="84"/>
      <c r="F6951" s="84"/>
      <c r="G6951" s="84"/>
      <c r="I6951" s="237"/>
      <c r="J6951" s="238"/>
    </row>
    <row r="6952">
      <c r="C6952" s="82"/>
      <c r="E6952" s="84"/>
      <c r="F6952" s="84"/>
      <c r="G6952" s="84"/>
      <c r="I6952" s="237"/>
      <c r="J6952" s="238"/>
    </row>
    <row r="6953">
      <c r="C6953" s="82"/>
      <c r="E6953" s="84"/>
      <c r="F6953" s="84"/>
      <c r="G6953" s="84"/>
      <c r="I6953" s="237"/>
      <c r="J6953" s="238"/>
    </row>
    <row r="6954">
      <c r="C6954" s="82"/>
      <c r="E6954" s="84"/>
      <c r="F6954" s="84"/>
      <c r="G6954" s="84"/>
      <c r="I6954" s="237"/>
      <c r="J6954" s="238"/>
    </row>
    <row r="6955">
      <c r="C6955" s="82"/>
      <c r="E6955" s="84"/>
      <c r="F6955" s="84"/>
      <c r="G6955" s="84"/>
      <c r="I6955" s="237"/>
      <c r="J6955" s="238"/>
    </row>
    <row r="6956">
      <c r="C6956" s="82"/>
      <c r="E6956" s="84"/>
      <c r="F6956" s="84"/>
      <c r="G6956" s="84"/>
      <c r="I6956" s="237"/>
      <c r="J6956" s="238"/>
    </row>
    <row r="6957">
      <c r="C6957" s="82"/>
      <c r="E6957" s="84"/>
      <c r="F6957" s="84"/>
      <c r="G6957" s="84"/>
      <c r="I6957" s="237"/>
      <c r="J6957" s="238"/>
    </row>
    <row r="6958">
      <c r="C6958" s="82"/>
      <c r="E6958" s="84"/>
      <c r="F6958" s="84"/>
      <c r="G6958" s="84"/>
      <c r="I6958" s="237"/>
      <c r="J6958" s="238"/>
    </row>
    <row r="6959">
      <c r="C6959" s="82"/>
      <c r="E6959" s="84"/>
      <c r="F6959" s="84"/>
      <c r="G6959" s="84"/>
      <c r="I6959" s="237"/>
      <c r="J6959" s="238"/>
    </row>
    <row r="6960">
      <c r="C6960" s="82"/>
      <c r="E6960" s="84"/>
      <c r="F6960" s="84"/>
      <c r="G6960" s="84"/>
      <c r="I6960" s="237"/>
      <c r="J6960" s="238"/>
    </row>
    <row r="6961">
      <c r="C6961" s="82"/>
      <c r="E6961" s="84"/>
      <c r="F6961" s="84"/>
      <c r="G6961" s="84"/>
      <c r="I6961" s="237"/>
      <c r="J6961" s="238"/>
    </row>
    <row r="6962">
      <c r="C6962" s="82"/>
      <c r="E6962" s="84"/>
      <c r="F6962" s="84"/>
      <c r="G6962" s="84"/>
      <c r="I6962" s="237"/>
      <c r="J6962" s="238"/>
    </row>
    <row r="6963">
      <c r="C6963" s="82"/>
      <c r="E6963" s="84"/>
      <c r="F6963" s="84"/>
      <c r="G6963" s="84"/>
      <c r="I6963" s="237"/>
      <c r="J6963" s="238"/>
    </row>
    <row r="6964">
      <c r="C6964" s="82"/>
      <c r="E6964" s="84"/>
      <c r="F6964" s="84"/>
      <c r="G6964" s="84"/>
      <c r="I6964" s="237"/>
      <c r="J6964" s="238"/>
    </row>
    <row r="6965">
      <c r="C6965" s="82"/>
      <c r="E6965" s="84"/>
      <c r="F6965" s="84"/>
      <c r="G6965" s="84"/>
      <c r="I6965" s="237"/>
      <c r="J6965" s="238"/>
    </row>
    <row r="6966">
      <c r="C6966" s="82"/>
      <c r="E6966" s="84"/>
      <c r="F6966" s="84"/>
      <c r="G6966" s="84"/>
      <c r="I6966" s="237"/>
      <c r="J6966" s="238"/>
    </row>
    <row r="6967">
      <c r="C6967" s="82"/>
      <c r="E6967" s="84"/>
      <c r="F6967" s="84"/>
      <c r="G6967" s="84"/>
      <c r="I6967" s="237"/>
      <c r="J6967" s="238"/>
    </row>
    <row r="6968">
      <c r="C6968" s="82"/>
      <c r="E6968" s="84"/>
      <c r="F6968" s="84"/>
      <c r="G6968" s="84"/>
      <c r="I6968" s="237"/>
      <c r="J6968" s="238"/>
    </row>
    <row r="6969">
      <c r="C6969" s="82"/>
      <c r="E6969" s="84"/>
      <c r="F6969" s="84"/>
      <c r="G6969" s="84"/>
      <c r="I6969" s="237"/>
      <c r="J6969" s="238"/>
    </row>
    <row r="6970">
      <c r="C6970" s="82"/>
      <c r="E6970" s="84"/>
      <c r="F6970" s="84"/>
      <c r="G6970" s="84"/>
      <c r="I6970" s="237"/>
      <c r="J6970" s="238"/>
    </row>
    <row r="6971">
      <c r="C6971" s="82"/>
      <c r="E6971" s="84"/>
      <c r="F6971" s="84"/>
      <c r="G6971" s="84"/>
      <c r="I6971" s="237"/>
      <c r="J6971" s="238"/>
    </row>
    <row r="6972">
      <c r="C6972" s="82"/>
      <c r="E6972" s="84"/>
      <c r="F6972" s="84"/>
      <c r="G6972" s="84"/>
      <c r="I6972" s="237"/>
      <c r="J6972" s="238"/>
    </row>
    <row r="6973">
      <c r="C6973" s="82"/>
      <c r="E6973" s="84"/>
      <c r="F6973" s="84"/>
      <c r="G6973" s="84"/>
      <c r="I6973" s="237"/>
      <c r="J6973" s="238"/>
    </row>
    <row r="6974">
      <c r="C6974" s="82"/>
      <c r="E6974" s="84"/>
      <c r="F6974" s="84"/>
      <c r="G6974" s="84"/>
      <c r="I6974" s="237"/>
      <c r="J6974" s="238"/>
    </row>
    <row r="6975">
      <c r="C6975" s="82"/>
      <c r="E6975" s="84"/>
      <c r="F6975" s="84"/>
      <c r="G6975" s="84"/>
      <c r="I6975" s="237"/>
      <c r="J6975" s="238"/>
    </row>
    <row r="6976">
      <c r="C6976" s="82"/>
      <c r="E6976" s="84"/>
      <c r="F6976" s="84"/>
      <c r="G6976" s="84"/>
      <c r="I6976" s="237"/>
      <c r="J6976" s="238"/>
    </row>
    <row r="6977">
      <c r="C6977" s="82"/>
      <c r="E6977" s="84"/>
      <c r="F6977" s="84"/>
      <c r="G6977" s="84"/>
      <c r="I6977" s="237"/>
      <c r="J6977" s="238"/>
    </row>
    <row r="6978">
      <c r="C6978" s="82"/>
      <c r="E6978" s="84"/>
      <c r="F6978" s="84"/>
      <c r="G6978" s="84"/>
      <c r="I6978" s="237"/>
      <c r="J6978" s="238"/>
    </row>
    <row r="6979">
      <c r="C6979" s="82"/>
      <c r="E6979" s="84"/>
      <c r="F6979" s="84"/>
      <c r="G6979" s="84"/>
      <c r="I6979" s="237"/>
      <c r="J6979" s="238"/>
    </row>
    <row r="6980">
      <c r="C6980" s="82"/>
      <c r="E6980" s="84"/>
      <c r="F6980" s="84"/>
      <c r="G6980" s="84"/>
      <c r="I6980" s="237"/>
      <c r="J6980" s="238"/>
    </row>
    <row r="6981">
      <c r="C6981" s="82"/>
      <c r="E6981" s="84"/>
      <c r="F6981" s="84"/>
      <c r="G6981" s="84"/>
      <c r="I6981" s="237"/>
      <c r="J6981" s="238"/>
    </row>
    <row r="6982">
      <c r="C6982" s="82"/>
      <c r="E6982" s="84"/>
      <c r="F6982" s="84"/>
      <c r="G6982" s="84"/>
      <c r="I6982" s="237"/>
      <c r="J6982" s="238"/>
    </row>
    <row r="6983">
      <c r="C6983" s="82"/>
      <c r="E6983" s="84"/>
      <c r="F6983" s="84"/>
      <c r="G6983" s="84"/>
      <c r="I6983" s="237"/>
      <c r="J6983" s="238"/>
    </row>
    <row r="6984">
      <c r="C6984" s="82"/>
      <c r="E6984" s="84"/>
      <c r="F6984" s="84"/>
      <c r="G6984" s="84"/>
      <c r="I6984" s="237"/>
      <c r="J6984" s="238"/>
    </row>
    <row r="6985">
      <c r="C6985" s="82"/>
      <c r="E6985" s="84"/>
      <c r="F6985" s="84"/>
      <c r="G6985" s="84"/>
      <c r="I6985" s="237"/>
      <c r="J6985" s="238"/>
    </row>
    <row r="6986">
      <c r="C6986" s="82"/>
      <c r="E6986" s="84"/>
      <c r="F6986" s="84"/>
      <c r="G6986" s="84"/>
      <c r="I6986" s="237"/>
      <c r="J6986" s="238"/>
    </row>
    <row r="6987">
      <c r="C6987" s="82"/>
      <c r="E6987" s="84"/>
      <c r="F6987" s="84"/>
      <c r="G6987" s="84"/>
      <c r="I6987" s="237"/>
      <c r="J6987" s="238"/>
    </row>
    <row r="6988">
      <c r="C6988" s="82"/>
      <c r="E6988" s="84"/>
      <c r="F6988" s="84"/>
      <c r="G6988" s="84"/>
      <c r="I6988" s="237"/>
      <c r="J6988" s="238"/>
    </row>
    <row r="6989">
      <c r="C6989" s="82"/>
      <c r="E6989" s="84"/>
      <c r="F6989" s="84"/>
      <c r="G6989" s="84"/>
      <c r="I6989" s="237"/>
      <c r="J6989" s="238"/>
    </row>
    <row r="6990">
      <c r="C6990" s="82"/>
      <c r="E6990" s="84"/>
      <c r="F6990" s="84"/>
      <c r="G6990" s="84"/>
      <c r="I6990" s="237"/>
      <c r="J6990" s="238"/>
    </row>
    <row r="6991">
      <c r="C6991" s="82"/>
      <c r="E6991" s="84"/>
      <c r="F6991" s="84"/>
      <c r="G6991" s="84"/>
      <c r="I6991" s="237"/>
      <c r="J6991" s="238"/>
    </row>
    <row r="6992">
      <c r="C6992" s="82"/>
      <c r="E6992" s="84"/>
      <c r="F6992" s="84"/>
      <c r="G6992" s="84"/>
      <c r="I6992" s="237"/>
      <c r="J6992" s="238"/>
    </row>
    <row r="6993">
      <c r="C6993" s="82"/>
      <c r="E6993" s="84"/>
      <c r="F6993" s="84"/>
      <c r="G6993" s="84"/>
      <c r="I6993" s="237"/>
      <c r="J6993" s="238"/>
    </row>
    <row r="6994">
      <c r="C6994" s="82"/>
      <c r="E6994" s="84"/>
      <c r="F6994" s="84"/>
      <c r="G6994" s="84"/>
      <c r="I6994" s="237"/>
      <c r="J6994" s="238"/>
    </row>
    <row r="6995">
      <c r="C6995" s="82"/>
      <c r="E6995" s="84"/>
      <c r="F6995" s="84"/>
      <c r="G6995" s="84"/>
      <c r="I6995" s="237"/>
      <c r="J6995" s="238"/>
    </row>
    <row r="6996">
      <c r="C6996" s="82"/>
      <c r="E6996" s="84"/>
      <c r="F6996" s="84"/>
      <c r="G6996" s="84"/>
      <c r="I6996" s="237"/>
      <c r="J6996" s="238"/>
    </row>
    <row r="6997">
      <c r="C6997" s="82"/>
      <c r="E6997" s="84"/>
      <c r="F6997" s="84"/>
      <c r="G6997" s="84"/>
      <c r="I6997" s="237"/>
      <c r="J6997" s="238"/>
    </row>
    <row r="6998">
      <c r="C6998" s="82"/>
      <c r="E6998" s="84"/>
      <c r="F6998" s="84"/>
      <c r="G6998" s="84"/>
      <c r="I6998" s="237"/>
      <c r="J6998" s="238"/>
    </row>
    <row r="6999">
      <c r="C6999" s="82"/>
      <c r="E6999" s="84"/>
      <c r="F6999" s="84"/>
      <c r="G6999" s="84"/>
      <c r="I6999" s="237"/>
      <c r="J6999" s="238"/>
    </row>
    <row r="7000">
      <c r="C7000" s="82"/>
      <c r="E7000" s="84"/>
      <c r="F7000" s="84"/>
      <c r="G7000" s="84"/>
      <c r="I7000" s="237"/>
      <c r="J7000" s="238"/>
    </row>
    <row r="7001">
      <c r="C7001" s="82"/>
      <c r="E7001" s="84"/>
      <c r="F7001" s="84"/>
      <c r="G7001" s="84"/>
      <c r="I7001" s="237"/>
      <c r="J7001" s="238"/>
    </row>
    <row r="7002">
      <c r="C7002" s="82"/>
      <c r="E7002" s="84"/>
      <c r="F7002" s="84"/>
      <c r="G7002" s="84"/>
      <c r="I7002" s="237"/>
      <c r="J7002" s="238"/>
    </row>
    <row r="7003">
      <c r="C7003" s="82"/>
      <c r="E7003" s="84"/>
      <c r="F7003" s="84"/>
      <c r="G7003" s="84"/>
      <c r="I7003" s="237"/>
      <c r="J7003" s="238"/>
    </row>
    <row r="7004">
      <c r="C7004" s="82"/>
      <c r="E7004" s="84"/>
      <c r="F7004" s="84"/>
      <c r="G7004" s="84"/>
      <c r="I7004" s="237"/>
      <c r="J7004" s="238"/>
    </row>
    <row r="7005">
      <c r="C7005" s="82"/>
      <c r="E7005" s="84"/>
      <c r="F7005" s="84"/>
      <c r="G7005" s="84"/>
      <c r="I7005" s="237"/>
      <c r="J7005" s="238"/>
    </row>
    <row r="7006">
      <c r="C7006" s="82"/>
      <c r="E7006" s="84"/>
      <c r="F7006" s="84"/>
      <c r="G7006" s="84"/>
      <c r="I7006" s="237"/>
      <c r="J7006" s="238"/>
    </row>
    <row r="7007">
      <c r="C7007" s="82"/>
      <c r="E7007" s="84"/>
      <c r="F7007" s="84"/>
      <c r="G7007" s="84"/>
      <c r="I7007" s="237"/>
      <c r="J7007" s="238"/>
    </row>
    <row r="7008">
      <c r="C7008" s="82"/>
      <c r="E7008" s="84"/>
      <c r="F7008" s="84"/>
      <c r="G7008" s="84"/>
      <c r="I7008" s="237"/>
      <c r="J7008" s="238"/>
    </row>
    <row r="7009">
      <c r="C7009" s="82"/>
      <c r="E7009" s="84"/>
      <c r="F7009" s="84"/>
      <c r="G7009" s="84"/>
      <c r="I7009" s="237"/>
      <c r="J7009" s="238"/>
    </row>
    <row r="7010">
      <c r="C7010" s="82"/>
      <c r="E7010" s="84"/>
      <c r="F7010" s="84"/>
      <c r="G7010" s="84"/>
      <c r="I7010" s="237"/>
      <c r="J7010" s="238"/>
    </row>
    <row r="7011">
      <c r="C7011" s="82"/>
      <c r="E7011" s="84"/>
      <c r="F7011" s="84"/>
      <c r="G7011" s="84"/>
      <c r="I7011" s="237"/>
      <c r="J7011" s="238"/>
    </row>
    <row r="7012">
      <c r="C7012" s="82"/>
      <c r="E7012" s="84"/>
      <c r="F7012" s="84"/>
      <c r="G7012" s="84"/>
      <c r="I7012" s="237"/>
      <c r="J7012" s="238"/>
    </row>
    <row r="7013">
      <c r="C7013" s="82"/>
      <c r="E7013" s="84"/>
      <c r="F7013" s="84"/>
      <c r="G7013" s="84"/>
      <c r="I7013" s="237"/>
      <c r="J7013" s="238"/>
    </row>
    <row r="7014">
      <c r="C7014" s="82"/>
      <c r="E7014" s="84"/>
      <c r="F7014" s="84"/>
      <c r="G7014" s="84"/>
      <c r="I7014" s="237"/>
      <c r="J7014" s="238"/>
    </row>
    <row r="7015">
      <c r="C7015" s="82"/>
      <c r="E7015" s="84"/>
      <c r="F7015" s="84"/>
      <c r="G7015" s="84"/>
      <c r="I7015" s="237"/>
      <c r="J7015" s="238"/>
    </row>
    <row r="7016">
      <c r="C7016" s="82"/>
      <c r="E7016" s="84"/>
      <c r="F7016" s="84"/>
      <c r="G7016" s="84"/>
      <c r="I7016" s="237"/>
      <c r="J7016" s="238"/>
    </row>
    <row r="7017">
      <c r="C7017" s="82"/>
      <c r="E7017" s="84"/>
      <c r="F7017" s="84"/>
      <c r="G7017" s="84"/>
      <c r="I7017" s="237"/>
      <c r="J7017" s="238"/>
    </row>
    <row r="7018">
      <c r="C7018" s="82"/>
      <c r="E7018" s="84"/>
      <c r="F7018" s="84"/>
      <c r="G7018" s="84"/>
      <c r="I7018" s="237"/>
      <c r="J7018" s="238"/>
    </row>
    <row r="7019">
      <c r="C7019" s="82"/>
      <c r="E7019" s="84"/>
      <c r="F7019" s="84"/>
      <c r="G7019" s="84"/>
      <c r="I7019" s="237"/>
      <c r="J7019" s="238"/>
    </row>
    <row r="7020">
      <c r="C7020" s="82"/>
      <c r="E7020" s="84"/>
      <c r="F7020" s="84"/>
      <c r="G7020" s="84"/>
      <c r="I7020" s="237"/>
      <c r="J7020" s="238"/>
    </row>
    <row r="7021">
      <c r="C7021" s="82"/>
      <c r="E7021" s="84"/>
      <c r="F7021" s="84"/>
      <c r="G7021" s="84"/>
      <c r="I7021" s="237"/>
      <c r="J7021" s="238"/>
    </row>
    <row r="7022">
      <c r="C7022" s="82"/>
      <c r="E7022" s="84"/>
      <c r="F7022" s="84"/>
      <c r="G7022" s="84"/>
      <c r="I7022" s="237"/>
      <c r="J7022" s="238"/>
    </row>
    <row r="7023">
      <c r="C7023" s="82"/>
      <c r="E7023" s="84"/>
      <c r="F7023" s="84"/>
      <c r="G7023" s="84"/>
      <c r="I7023" s="237"/>
      <c r="J7023" s="238"/>
    </row>
    <row r="7024">
      <c r="C7024" s="82"/>
      <c r="E7024" s="84"/>
      <c r="F7024" s="84"/>
      <c r="G7024" s="84"/>
      <c r="I7024" s="237"/>
      <c r="J7024" s="238"/>
    </row>
    <row r="7025">
      <c r="C7025" s="82"/>
      <c r="E7025" s="84"/>
      <c r="F7025" s="84"/>
      <c r="G7025" s="84"/>
      <c r="I7025" s="237"/>
      <c r="J7025" s="238"/>
    </row>
    <row r="7026">
      <c r="C7026" s="82"/>
      <c r="E7026" s="84"/>
      <c r="F7026" s="84"/>
      <c r="G7026" s="84"/>
      <c r="I7026" s="237"/>
      <c r="J7026" s="238"/>
    </row>
    <row r="7027">
      <c r="C7027" s="82"/>
      <c r="E7027" s="84"/>
      <c r="F7027" s="84"/>
      <c r="G7027" s="84"/>
      <c r="I7027" s="237"/>
      <c r="J7027" s="238"/>
    </row>
    <row r="7028">
      <c r="C7028" s="82"/>
      <c r="E7028" s="84"/>
      <c r="F7028" s="84"/>
      <c r="G7028" s="84"/>
      <c r="I7028" s="237"/>
      <c r="J7028" s="238"/>
    </row>
    <row r="7029">
      <c r="C7029" s="82"/>
      <c r="E7029" s="84"/>
      <c r="F7029" s="84"/>
      <c r="G7029" s="84"/>
      <c r="I7029" s="237"/>
      <c r="J7029" s="238"/>
    </row>
    <row r="7030">
      <c r="C7030" s="82"/>
      <c r="E7030" s="84"/>
      <c r="F7030" s="84"/>
      <c r="G7030" s="84"/>
      <c r="I7030" s="237"/>
      <c r="J7030" s="238"/>
    </row>
    <row r="7031">
      <c r="C7031" s="82"/>
      <c r="E7031" s="84"/>
      <c r="F7031" s="84"/>
      <c r="G7031" s="84"/>
      <c r="I7031" s="237"/>
      <c r="J7031" s="238"/>
    </row>
    <row r="7032">
      <c r="C7032" s="82"/>
      <c r="E7032" s="84"/>
      <c r="F7032" s="84"/>
      <c r="G7032" s="84"/>
      <c r="I7032" s="237"/>
      <c r="J7032" s="238"/>
    </row>
    <row r="7033">
      <c r="C7033" s="82"/>
      <c r="E7033" s="84"/>
      <c r="F7033" s="84"/>
      <c r="G7033" s="84"/>
      <c r="I7033" s="237"/>
      <c r="J7033" s="238"/>
    </row>
    <row r="7034">
      <c r="C7034" s="82"/>
      <c r="E7034" s="84"/>
      <c r="F7034" s="84"/>
      <c r="G7034" s="84"/>
      <c r="I7034" s="237"/>
      <c r="J7034" s="238"/>
    </row>
    <row r="7035">
      <c r="C7035" s="82"/>
      <c r="E7035" s="84"/>
      <c r="F7035" s="84"/>
      <c r="G7035" s="84"/>
      <c r="I7035" s="237"/>
      <c r="J7035" s="238"/>
    </row>
    <row r="7036">
      <c r="C7036" s="82"/>
      <c r="E7036" s="84"/>
      <c r="F7036" s="84"/>
      <c r="G7036" s="84"/>
      <c r="I7036" s="237"/>
      <c r="J7036" s="238"/>
    </row>
    <row r="7037">
      <c r="C7037" s="82"/>
      <c r="E7037" s="84"/>
      <c r="F7037" s="84"/>
      <c r="G7037" s="84"/>
      <c r="I7037" s="237"/>
      <c r="J7037" s="238"/>
    </row>
    <row r="7038">
      <c r="C7038" s="82"/>
      <c r="E7038" s="84"/>
      <c r="F7038" s="84"/>
      <c r="G7038" s="84"/>
      <c r="I7038" s="237"/>
      <c r="J7038" s="238"/>
    </row>
    <row r="7039">
      <c r="C7039" s="82"/>
      <c r="E7039" s="84"/>
      <c r="F7039" s="84"/>
      <c r="G7039" s="84"/>
      <c r="I7039" s="237"/>
      <c r="J7039" s="238"/>
    </row>
    <row r="7040">
      <c r="C7040" s="82"/>
      <c r="E7040" s="84"/>
      <c r="F7040" s="84"/>
      <c r="G7040" s="84"/>
      <c r="I7040" s="237"/>
      <c r="J7040" s="238"/>
    </row>
    <row r="7041">
      <c r="C7041" s="82"/>
      <c r="E7041" s="84"/>
      <c r="F7041" s="84"/>
      <c r="G7041" s="84"/>
      <c r="I7041" s="237"/>
      <c r="J7041" s="238"/>
    </row>
    <row r="7042">
      <c r="C7042" s="82"/>
      <c r="E7042" s="84"/>
      <c r="F7042" s="84"/>
      <c r="G7042" s="84"/>
      <c r="I7042" s="237"/>
      <c r="J7042" s="238"/>
    </row>
    <row r="7043">
      <c r="C7043" s="82"/>
      <c r="E7043" s="84"/>
      <c r="F7043" s="84"/>
      <c r="G7043" s="84"/>
      <c r="I7043" s="237"/>
      <c r="J7043" s="238"/>
    </row>
    <row r="7044">
      <c r="C7044" s="82"/>
      <c r="E7044" s="84"/>
      <c r="F7044" s="84"/>
      <c r="G7044" s="84"/>
      <c r="I7044" s="237"/>
      <c r="J7044" s="238"/>
    </row>
    <row r="7045">
      <c r="C7045" s="82"/>
      <c r="E7045" s="84"/>
      <c r="F7045" s="84"/>
      <c r="G7045" s="84"/>
      <c r="I7045" s="237"/>
      <c r="J7045" s="238"/>
    </row>
    <row r="7046">
      <c r="C7046" s="82"/>
      <c r="E7046" s="84"/>
      <c r="F7046" s="84"/>
      <c r="G7046" s="84"/>
      <c r="I7046" s="237"/>
      <c r="J7046" s="238"/>
    </row>
    <row r="7047">
      <c r="C7047" s="82"/>
      <c r="E7047" s="84"/>
      <c r="F7047" s="84"/>
      <c r="G7047" s="84"/>
      <c r="I7047" s="237"/>
      <c r="J7047" s="238"/>
    </row>
    <row r="7048">
      <c r="C7048" s="82"/>
      <c r="E7048" s="84"/>
      <c r="F7048" s="84"/>
      <c r="G7048" s="84"/>
      <c r="I7048" s="237"/>
      <c r="J7048" s="238"/>
    </row>
    <row r="7049">
      <c r="C7049" s="82"/>
      <c r="E7049" s="84"/>
      <c r="F7049" s="84"/>
      <c r="G7049" s="84"/>
      <c r="I7049" s="237"/>
      <c r="J7049" s="238"/>
    </row>
    <row r="7050">
      <c r="C7050" s="82"/>
      <c r="E7050" s="84"/>
      <c r="F7050" s="84"/>
      <c r="G7050" s="84"/>
      <c r="I7050" s="237"/>
      <c r="J7050" s="238"/>
    </row>
    <row r="7051">
      <c r="C7051" s="82"/>
      <c r="E7051" s="84"/>
      <c r="F7051" s="84"/>
      <c r="G7051" s="84"/>
      <c r="I7051" s="237"/>
      <c r="J7051" s="238"/>
    </row>
    <row r="7052">
      <c r="C7052" s="82"/>
      <c r="E7052" s="84"/>
      <c r="F7052" s="84"/>
      <c r="G7052" s="84"/>
      <c r="I7052" s="237"/>
      <c r="J7052" s="238"/>
    </row>
    <row r="7053">
      <c r="C7053" s="82"/>
      <c r="E7053" s="84"/>
      <c r="F7053" s="84"/>
      <c r="G7053" s="84"/>
      <c r="I7053" s="237"/>
      <c r="J7053" s="238"/>
    </row>
    <row r="7054">
      <c r="C7054" s="82"/>
      <c r="E7054" s="84"/>
      <c r="F7054" s="84"/>
      <c r="G7054" s="84"/>
      <c r="I7054" s="237"/>
      <c r="J7054" s="238"/>
    </row>
    <row r="7055">
      <c r="C7055" s="82"/>
      <c r="E7055" s="84"/>
      <c r="F7055" s="84"/>
      <c r="G7055" s="84"/>
      <c r="I7055" s="237"/>
      <c r="J7055" s="238"/>
    </row>
    <row r="7056">
      <c r="C7056" s="82"/>
      <c r="E7056" s="84"/>
      <c r="F7056" s="84"/>
      <c r="G7056" s="84"/>
      <c r="I7056" s="237"/>
      <c r="J7056" s="238"/>
    </row>
    <row r="7057">
      <c r="C7057" s="82"/>
      <c r="E7057" s="84"/>
      <c r="F7057" s="84"/>
      <c r="G7057" s="84"/>
      <c r="I7057" s="237"/>
      <c r="J7057" s="238"/>
    </row>
    <row r="7058">
      <c r="C7058" s="82"/>
      <c r="E7058" s="84"/>
      <c r="F7058" s="84"/>
      <c r="G7058" s="84"/>
      <c r="I7058" s="237"/>
      <c r="J7058" s="238"/>
    </row>
    <row r="7059">
      <c r="C7059" s="82"/>
      <c r="E7059" s="84"/>
      <c r="F7059" s="84"/>
      <c r="G7059" s="84"/>
      <c r="I7059" s="237"/>
      <c r="J7059" s="238"/>
    </row>
    <row r="7060">
      <c r="C7060" s="82"/>
      <c r="E7060" s="84"/>
      <c r="F7060" s="84"/>
      <c r="G7060" s="84"/>
      <c r="I7060" s="237"/>
      <c r="J7060" s="238"/>
    </row>
    <row r="7061">
      <c r="C7061" s="82"/>
      <c r="E7061" s="84"/>
      <c r="F7061" s="84"/>
      <c r="G7061" s="84"/>
      <c r="I7061" s="237"/>
      <c r="J7061" s="238"/>
    </row>
    <row r="7062">
      <c r="C7062" s="82"/>
      <c r="E7062" s="84"/>
      <c r="F7062" s="84"/>
      <c r="G7062" s="84"/>
      <c r="I7062" s="237"/>
      <c r="J7062" s="238"/>
    </row>
    <row r="7063">
      <c r="C7063" s="82"/>
      <c r="E7063" s="84"/>
      <c r="F7063" s="84"/>
      <c r="G7063" s="84"/>
      <c r="I7063" s="237"/>
      <c r="J7063" s="238"/>
    </row>
    <row r="7064">
      <c r="C7064" s="82"/>
      <c r="E7064" s="84"/>
      <c r="F7064" s="84"/>
      <c r="G7064" s="84"/>
      <c r="I7064" s="237"/>
      <c r="J7064" s="238"/>
    </row>
    <row r="7065">
      <c r="C7065" s="82"/>
      <c r="E7065" s="84"/>
      <c r="F7065" s="84"/>
      <c r="G7065" s="84"/>
      <c r="I7065" s="237"/>
      <c r="J7065" s="238"/>
    </row>
    <row r="7066">
      <c r="C7066" s="82"/>
      <c r="E7066" s="84"/>
      <c r="F7066" s="84"/>
      <c r="G7066" s="84"/>
      <c r="I7066" s="237"/>
      <c r="J7066" s="238"/>
    </row>
    <row r="7067">
      <c r="C7067" s="82"/>
      <c r="E7067" s="84"/>
      <c r="F7067" s="84"/>
      <c r="G7067" s="84"/>
      <c r="I7067" s="237"/>
      <c r="J7067" s="238"/>
    </row>
    <row r="7068">
      <c r="C7068" s="82"/>
      <c r="E7068" s="84"/>
      <c r="F7068" s="84"/>
      <c r="G7068" s="84"/>
      <c r="I7068" s="237"/>
      <c r="J7068" s="238"/>
    </row>
    <row r="7069">
      <c r="C7069" s="82"/>
      <c r="E7069" s="84"/>
      <c r="F7069" s="84"/>
      <c r="G7069" s="84"/>
      <c r="I7069" s="237"/>
      <c r="J7069" s="238"/>
    </row>
    <row r="7070">
      <c r="C7070" s="82"/>
      <c r="E7070" s="84"/>
      <c r="F7070" s="84"/>
      <c r="G7070" s="84"/>
      <c r="I7070" s="237"/>
      <c r="J7070" s="238"/>
    </row>
    <row r="7071">
      <c r="C7071" s="82"/>
      <c r="E7071" s="84"/>
      <c r="F7071" s="84"/>
      <c r="G7071" s="84"/>
      <c r="I7071" s="237"/>
      <c r="J7071" s="238"/>
    </row>
    <row r="7072">
      <c r="C7072" s="82"/>
      <c r="E7072" s="84"/>
      <c r="F7072" s="84"/>
      <c r="G7072" s="84"/>
      <c r="I7072" s="237"/>
      <c r="J7072" s="238"/>
    </row>
    <row r="7073">
      <c r="C7073" s="82"/>
      <c r="E7073" s="84"/>
      <c r="F7073" s="84"/>
      <c r="G7073" s="84"/>
      <c r="I7073" s="237"/>
      <c r="J7073" s="238"/>
    </row>
    <row r="7074">
      <c r="C7074" s="82"/>
      <c r="E7074" s="84"/>
      <c r="F7074" s="84"/>
      <c r="G7074" s="84"/>
      <c r="I7074" s="237"/>
      <c r="J7074" s="238"/>
    </row>
    <row r="7075">
      <c r="C7075" s="82"/>
      <c r="E7075" s="84"/>
      <c r="F7075" s="84"/>
      <c r="G7075" s="84"/>
      <c r="I7075" s="237"/>
      <c r="J7075" s="238"/>
    </row>
    <row r="7076">
      <c r="C7076" s="82"/>
      <c r="E7076" s="84"/>
      <c r="F7076" s="84"/>
      <c r="G7076" s="84"/>
      <c r="I7076" s="237"/>
      <c r="J7076" s="238"/>
    </row>
    <row r="7077">
      <c r="C7077" s="82"/>
      <c r="E7077" s="84"/>
      <c r="F7077" s="84"/>
      <c r="G7077" s="84"/>
      <c r="I7077" s="237"/>
      <c r="J7077" s="238"/>
    </row>
    <row r="7078">
      <c r="C7078" s="82"/>
      <c r="E7078" s="84"/>
      <c r="F7078" s="84"/>
      <c r="G7078" s="84"/>
      <c r="I7078" s="237"/>
      <c r="J7078" s="238"/>
    </row>
    <row r="7079">
      <c r="C7079" s="82"/>
      <c r="E7079" s="84"/>
      <c r="F7079" s="84"/>
      <c r="G7079" s="84"/>
      <c r="I7079" s="237"/>
      <c r="J7079" s="238"/>
    </row>
    <row r="7080">
      <c r="C7080" s="82"/>
      <c r="E7080" s="84"/>
      <c r="F7080" s="84"/>
      <c r="G7080" s="84"/>
      <c r="I7080" s="237"/>
      <c r="J7080" s="238"/>
    </row>
    <row r="7081">
      <c r="C7081" s="82"/>
      <c r="E7081" s="84"/>
      <c r="F7081" s="84"/>
      <c r="G7081" s="84"/>
      <c r="I7081" s="237"/>
      <c r="J7081" s="238"/>
    </row>
    <row r="7082">
      <c r="C7082" s="82"/>
      <c r="E7082" s="84"/>
      <c r="F7082" s="84"/>
      <c r="G7082" s="84"/>
      <c r="I7082" s="237"/>
      <c r="J7082" s="238"/>
    </row>
    <row r="7083">
      <c r="C7083" s="82"/>
      <c r="E7083" s="84"/>
      <c r="F7083" s="84"/>
      <c r="G7083" s="84"/>
      <c r="I7083" s="237"/>
      <c r="J7083" s="238"/>
    </row>
    <row r="7084">
      <c r="C7084" s="82"/>
      <c r="E7084" s="84"/>
      <c r="F7084" s="84"/>
      <c r="G7084" s="84"/>
      <c r="I7084" s="237"/>
      <c r="J7084" s="238"/>
    </row>
    <row r="7085">
      <c r="C7085" s="82"/>
      <c r="E7085" s="84"/>
      <c r="F7085" s="84"/>
      <c r="G7085" s="84"/>
      <c r="I7085" s="237"/>
      <c r="J7085" s="238"/>
    </row>
    <row r="7086">
      <c r="C7086" s="82"/>
      <c r="E7086" s="84"/>
      <c r="F7086" s="84"/>
      <c r="G7086" s="84"/>
      <c r="I7086" s="237"/>
      <c r="J7086" s="238"/>
    </row>
    <row r="7087">
      <c r="C7087" s="82"/>
      <c r="E7087" s="84"/>
      <c r="F7087" s="84"/>
      <c r="G7087" s="84"/>
      <c r="I7087" s="237"/>
      <c r="J7087" s="238"/>
    </row>
    <row r="7088">
      <c r="C7088" s="82"/>
      <c r="E7088" s="84"/>
      <c r="F7088" s="84"/>
      <c r="G7088" s="84"/>
      <c r="I7088" s="237"/>
      <c r="J7088" s="238"/>
    </row>
    <row r="7089">
      <c r="C7089" s="82"/>
      <c r="E7089" s="84"/>
      <c r="F7089" s="84"/>
      <c r="G7089" s="84"/>
      <c r="I7089" s="237"/>
      <c r="J7089" s="238"/>
    </row>
    <row r="7090">
      <c r="C7090" s="82"/>
      <c r="E7090" s="84"/>
      <c r="F7090" s="84"/>
      <c r="G7090" s="84"/>
      <c r="I7090" s="237"/>
      <c r="J7090" s="238"/>
    </row>
    <row r="7091">
      <c r="C7091" s="82"/>
      <c r="E7091" s="84"/>
      <c r="F7091" s="84"/>
      <c r="G7091" s="84"/>
      <c r="I7091" s="237"/>
      <c r="J7091" s="238"/>
    </row>
    <row r="7092">
      <c r="C7092" s="82"/>
      <c r="E7092" s="84"/>
      <c r="F7092" s="84"/>
      <c r="G7092" s="84"/>
      <c r="I7092" s="237"/>
      <c r="J7092" s="238"/>
    </row>
    <row r="7093">
      <c r="C7093" s="82"/>
      <c r="E7093" s="84"/>
      <c r="F7093" s="84"/>
      <c r="G7093" s="84"/>
      <c r="I7093" s="237"/>
      <c r="J7093" s="238"/>
    </row>
    <row r="7094">
      <c r="C7094" s="82"/>
      <c r="E7094" s="84"/>
      <c r="F7094" s="84"/>
      <c r="G7094" s="84"/>
      <c r="I7094" s="237"/>
      <c r="J7094" s="238"/>
    </row>
    <row r="7095">
      <c r="C7095" s="82"/>
      <c r="E7095" s="84"/>
      <c r="F7095" s="84"/>
      <c r="G7095" s="84"/>
      <c r="I7095" s="237"/>
      <c r="J7095" s="238"/>
    </row>
    <row r="7096">
      <c r="C7096" s="82"/>
      <c r="E7096" s="84"/>
      <c r="F7096" s="84"/>
      <c r="G7096" s="84"/>
      <c r="I7096" s="237"/>
      <c r="J7096" s="238"/>
    </row>
    <row r="7097">
      <c r="C7097" s="82"/>
      <c r="E7097" s="84"/>
      <c r="F7097" s="84"/>
      <c r="G7097" s="84"/>
      <c r="I7097" s="237"/>
      <c r="J7097" s="238"/>
    </row>
    <row r="7098">
      <c r="C7098" s="82"/>
      <c r="E7098" s="84"/>
      <c r="F7098" s="84"/>
      <c r="G7098" s="84"/>
      <c r="I7098" s="237"/>
      <c r="J7098" s="238"/>
    </row>
    <row r="7099">
      <c r="C7099" s="82"/>
      <c r="E7099" s="84"/>
      <c r="F7099" s="84"/>
      <c r="G7099" s="84"/>
      <c r="I7099" s="237"/>
      <c r="J7099" s="238"/>
    </row>
    <row r="7100">
      <c r="C7100" s="82"/>
      <c r="E7100" s="84"/>
      <c r="F7100" s="84"/>
      <c r="G7100" s="84"/>
      <c r="I7100" s="237"/>
      <c r="J7100" s="238"/>
    </row>
    <row r="7101">
      <c r="C7101" s="82"/>
      <c r="E7101" s="84"/>
      <c r="F7101" s="84"/>
      <c r="G7101" s="84"/>
      <c r="I7101" s="237"/>
      <c r="J7101" s="238"/>
    </row>
    <row r="7102">
      <c r="C7102" s="82"/>
      <c r="E7102" s="84"/>
      <c r="F7102" s="84"/>
      <c r="G7102" s="84"/>
      <c r="I7102" s="237"/>
      <c r="J7102" s="238"/>
    </row>
    <row r="7103">
      <c r="C7103" s="82"/>
      <c r="E7103" s="84"/>
      <c r="F7103" s="84"/>
      <c r="G7103" s="84"/>
      <c r="I7103" s="237"/>
      <c r="J7103" s="238"/>
    </row>
    <row r="7104">
      <c r="C7104" s="82"/>
      <c r="E7104" s="84"/>
      <c r="F7104" s="84"/>
      <c r="G7104" s="84"/>
      <c r="I7104" s="237"/>
      <c r="J7104" s="238"/>
    </row>
    <row r="7105">
      <c r="C7105" s="82"/>
      <c r="E7105" s="84"/>
      <c r="F7105" s="84"/>
      <c r="G7105" s="84"/>
      <c r="I7105" s="237"/>
      <c r="J7105" s="238"/>
    </row>
    <row r="7106">
      <c r="C7106" s="82"/>
      <c r="E7106" s="84"/>
      <c r="F7106" s="84"/>
      <c r="G7106" s="84"/>
      <c r="I7106" s="237"/>
      <c r="J7106" s="238"/>
    </row>
    <row r="7107">
      <c r="C7107" s="82"/>
      <c r="E7107" s="84"/>
      <c r="F7107" s="84"/>
      <c r="G7107" s="84"/>
      <c r="I7107" s="237"/>
      <c r="J7107" s="238"/>
    </row>
    <row r="7108">
      <c r="C7108" s="82"/>
      <c r="E7108" s="84"/>
      <c r="F7108" s="84"/>
      <c r="G7108" s="84"/>
      <c r="I7108" s="237"/>
      <c r="J7108" s="238"/>
    </row>
    <row r="7109">
      <c r="C7109" s="82"/>
      <c r="E7109" s="84"/>
      <c r="F7109" s="84"/>
      <c r="G7109" s="84"/>
      <c r="I7109" s="237"/>
      <c r="J7109" s="238"/>
    </row>
    <row r="7110">
      <c r="C7110" s="82"/>
      <c r="E7110" s="84"/>
      <c r="F7110" s="84"/>
      <c r="G7110" s="84"/>
      <c r="I7110" s="237"/>
      <c r="J7110" s="238"/>
    </row>
    <row r="7111">
      <c r="C7111" s="82"/>
      <c r="E7111" s="84"/>
      <c r="F7111" s="84"/>
      <c r="G7111" s="84"/>
      <c r="I7111" s="237"/>
      <c r="J7111" s="238"/>
    </row>
    <row r="7112">
      <c r="C7112" s="82"/>
      <c r="E7112" s="84"/>
      <c r="F7112" s="84"/>
      <c r="G7112" s="84"/>
      <c r="I7112" s="237"/>
      <c r="J7112" s="238"/>
    </row>
    <row r="7113">
      <c r="C7113" s="82"/>
      <c r="E7113" s="84"/>
      <c r="F7113" s="84"/>
      <c r="G7113" s="84"/>
      <c r="I7113" s="237"/>
      <c r="J7113" s="238"/>
    </row>
    <row r="7114">
      <c r="C7114" s="82"/>
      <c r="E7114" s="84"/>
      <c r="F7114" s="84"/>
      <c r="G7114" s="84"/>
      <c r="I7114" s="237"/>
      <c r="J7114" s="238"/>
    </row>
    <row r="7115">
      <c r="C7115" s="82"/>
      <c r="E7115" s="84"/>
      <c r="F7115" s="84"/>
      <c r="G7115" s="84"/>
      <c r="I7115" s="237"/>
      <c r="J7115" s="238"/>
    </row>
    <row r="7116">
      <c r="C7116" s="82"/>
      <c r="E7116" s="84"/>
      <c r="F7116" s="84"/>
      <c r="G7116" s="84"/>
      <c r="I7116" s="237"/>
      <c r="J7116" s="238"/>
    </row>
    <row r="7117">
      <c r="C7117" s="82"/>
      <c r="E7117" s="84"/>
      <c r="F7117" s="84"/>
      <c r="G7117" s="84"/>
      <c r="I7117" s="237"/>
      <c r="J7117" s="238"/>
    </row>
    <row r="7118">
      <c r="C7118" s="82"/>
      <c r="E7118" s="84"/>
      <c r="F7118" s="84"/>
      <c r="G7118" s="84"/>
      <c r="I7118" s="237"/>
      <c r="J7118" s="238"/>
    </row>
    <row r="7119">
      <c r="C7119" s="82"/>
      <c r="E7119" s="84"/>
      <c r="F7119" s="84"/>
      <c r="G7119" s="84"/>
      <c r="I7119" s="237"/>
      <c r="J7119" s="238"/>
    </row>
    <row r="7120">
      <c r="C7120" s="82"/>
      <c r="E7120" s="84"/>
      <c r="F7120" s="84"/>
      <c r="G7120" s="84"/>
      <c r="I7120" s="237"/>
      <c r="J7120" s="238"/>
    </row>
    <row r="7121">
      <c r="C7121" s="82"/>
      <c r="E7121" s="84"/>
      <c r="F7121" s="84"/>
      <c r="G7121" s="84"/>
      <c r="I7121" s="237"/>
      <c r="J7121" s="238"/>
    </row>
    <row r="7122">
      <c r="C7122" s="82"/>
      <c r="E7122" s="84"/>
      <c r="F7122" s="84"/>
      <c r="G7122" s="84"/>
      <c r="I7122" s="237"/>
      <c r="J7122" s="238"/>
    </row>
    <row r="7123">
      <c r="C7123" s="82"/>
      <c r="E7123" s="84"/>
      <c r="F7123" s="84"/>
      <c r="G7123" s="84"/>
      <c r="I7123" s="237"/>
      <c r="J7123" s="238"/>
    </row>
    <row r="7124">
      <c r="C7124" s="82"/>
      <c r="E7124" s="84"/>
      <c r="F7124" s="84"/>
      <c r="G7124" s="84"/>
      <c r="I7124" s="237"/>
      <c r="J7124" s="238"/>
    </row>
    <row r="7125">
      <c r="C7125" s="82"/>
      <c r="E7125" s="84"/>
      <c r="F7125" s="84"/>
      <c r="G7125" s="84"/>
      <c r="I7125" s="237"/>
      <c r="J7125" s="238"/>
    </row>
    <row r="7126">
      <c r="C7126" s="82"/>
      <c r="E7126" s="84"/>
      <c r="F7126" s="84"/>
      <c r="G7126" s="84"/>
      <c r="I7126" s="237"/>
      <c r="J7126" s="238"/>
    </row>
    <row r="7127">
      <c r="C7127" s="82"/>
      <c r="E7127" s="84"/>
      <c r="F7127" s="84"/>
      <c r="G7127" s="84"/>
      <c r="I7127" s="237"/>
      <c r="J7127" s="238"/>
    </row>
    <row r="7128">
      <c r="C7128" s="82"/>
      <c r="E7128" s="84"/>
      <c r="F7128" s="84"/>
      <c r="G7128" s="84"/>
      <c r="I7128" s="237"/>
      <c r="J7128" s="238"/>
    </row>
    <row r="7129">
      <c r="C7129" s="82"/>
      <c r="E7129" s="84"/>
      <c r="F7129" s="84"/>
      <c r="G7129" s="84"/>
      <c r="I7129" s="237"/>
      <c r="J7129" s="238"/>
    </row>
    <row r="7130">
      <c r="C7130" s="82"/>
      <c r="E7130" s="84"/>
      <c r="F7130" s="84"/>
      <c r="G7130" s="84"/>
      <c r="I7130" s="237"/>
      <c r="J7130" s="238"/>
    </row>
    <row r="7131">
      <c r="C7131" s="82"/>
      <c r="E7131" s="84"/>
      <c r="F7131" s="84"/>
      <c r="G7131" s="84"/>
      <c r="I7131" s="237"/>
      <c r="J7131" s="238"/>
    </row>
    <row r="7132">
      <c r="C7132" s="82"/>
      <c r="E7132" s="84"/>
      <c r="F7132" s="84"/>
      <c r="G7132" s="84"/>
      <c r="I7132" s="237"/>
      <c r="J7132" s="238"/>
    </row>
    <row r="7133">
      <c r="C7133" s="82"/>
      <c r="E7133" s="84"/>
      <c r="F7133" s="84"/>
      <c r="G7133" s="84"/>
      <c r="I7133" s="237"/>
      <c r="J7133" s="238"/>
    </row>
    <row r="7134">
      <c r="C7134" s="82"/>
      <c r="E7134" s="84"/>
      <c r="F7134" s="84"/>
      <c r="G7134" s="84"/>
      <c r="I7134" s="237"/>
      <c r="J7134" s="238"/>
    </row>
    <row r="7135">
      <c r="C7135" s="82"/>
      <c r="E7135" s="84"/>
      <c r="F7135" s="84"/>
      <c r="G7135" s="84"/>
      <c r="I7135" s="237"/>
      <c r="J7135" s="238"/>
    </row>
    <row r="7136">
      <c r="C7136" s="82"/>
      <c r="E7136" s="84"/>
      <c r="F7136" s="84"/>
      <c r="G7136" s="84"/>
      <c r="I7136" s="237"/>
      <c r="J7136" s="238"/>
    </row>
    <row r="7137">
      <c r="C7137" s="82"/>
      <c r="E7137" s="84"/>
      <c r="F7137" s="84"/>
      <c r="G7137" s="84"/>
      <c r="I7137" s="237"/>
      <c r="J7137" s="238"/>
    </row>
    <row r="7138">
      <c r="C7138" s="82"/>
      <c r="E7138" s="84"/>
      <c r="F7138" s="84"/>
      <c r="G7138" s="84"/>
      <c r="I7138" s="237"/>
      <c r="J7138" s="238"/>
    </row>
    <row r="7139">
      <c r="C7139" s="82"/>
      <c r="E7139" s="84"/>
      <c r="F7139" s="84"/>
      <c r="G7139" s="84"/>
      <c r="I7139" s="237"/>
      <c r="J7139" s="238"/>
    </row>
    <row r="7140">
      <c r="C7140" s="82"/>
      <c r="E7140" s="84"/>
      <c r="F7140" s="84"/>
      <c r="G7140" s="84"/>
      <c r="I7140" s="237"/>
      <c r="J7140" s="238"/>
    </row>
    <row r="7141">
      <c r="C7141" s="82"/>
      <c r="E7141" s="84"/>
      <c r="F7141" s="84"/>
      <c r="G7141" s="84"/>
      <c r="I7141" s="237"/>
      <c r="J7141" s="238"/>
    </row>
    <row r="7142">
      <c r="C7142" s="82"/>
      <c r="E7142" s="84"/>
      <c r="F7142" s="84"/>
      <c r="G7142" s="84"/>
      <c r="I7142" s="237"/>
      <c r="J7142" s="238"/>
    </row>
    <row r="7143">
      <c r="C7143" s="82"/>
      <c r="E7143" s="84"/>
      <c r="F7143" s="84"/>
      <c r="G7143" s="84"/>
      <c r="I7143" s="237"/>
      <c r="J7143" s="238"/>
    </row>
    <row r="7144">
      <c r="C7144" s="82"/>
      <c r="E7144" s="84"/>
      <c r="F7144" s="84"/>
      <c r="G7144" s="84"/>
      <c r="I7144" s="237"/>
      <c r="J7144" s="238"/>
    </row>
    <row r="7145">
      <c r="C7145" s="82"/>
      <c r="E7145" s="84"/>
      <c r="F7145" s="84"/>
      <c r="G7145" s="84"/>
      <c r="I7145" s="237"/>
      <c r="J7145" s="238"/>
    </row>
    <row r="7146">
      <c r="C7146" s="82"/>
      <c r="E7146" s="84"/>
      <c r="F7146" s="84"/>
      <c r="G7146" s="84"/>
      <c r="I7146" s="237"/>
      <c r="J7146" s="238"/>
    </row>
    <row r="7147">
      <c r="C7147" s="82"/>
      <c r="E7147" s="84"/>
      <c r="F7147" s="84"/>
      <c r="G7147" s="84"/>
      <c r="I7147" s="237"/>
      <c r="J7147" s="238"/>
    </row>
    <row r="7148">
      <c r="C7148" s="82"/>
      <c r="E7148" s="84"/>
      <c r="F7148" s="84"/>
      <c r="G7148" s="84"/>
      <c r="I7148" s="237"/>
      <c r="J7148" s="238"/>
    </row>
    <row r="7149">
      <c r="C7149" s="82"/>
      <c r="E7149" s="84"/>
      <c r="F7149" s="84"/>
      <c r="G7149" s="84"/>
      <c r="I7149" s="237"/>
      <c r="J7149" s="238"/>
    </row>
    <row r="7150">
      <c r="C7150" s="82"/>
      <c r="E7150" s="84"/>
      <c r="F7150" s="84"/>
      <c r="G7150" s="84"/>
      <c r="I7150" s="237"/>
      <c r="J7150" s="238"/>
    </row>
    <row r="7151">
      <c r="C7151" s="82"/>
      <c r="E7151" s="84"/>
      <c r="F7151" s="84"/>
      <c r="G7151" s="84"/>
      <c r="I7151" s="237"/>
      <c r="J7151" s="238"/>
    </row>
    <row r="7152">
      <c r="C7152" s="82"/>
      <c r="E7152" s="84"/>
      <c r="F7152" s="84"/>
      <c r="G7152" s="84"/>
      <c r="I7152" s="237"/>
      <c r="J7152" s="238"/>
    </row>
    <row r="7153">
      <c r="C7153" s="82"/>
      <c r="E7153" s="84"/>
      <c r="F7153" s="84"/>
      <c r="G7153" s="84"/>
      <c r="I7153" s="237"/>
      <c r="J7153" s="238"/>
    </row>
    <row r="7154">
      <c r="C7154" s="82"/>
      <c r="E7154" s="84"/>
      <c r="F7154" s="84"/>
      <c r="G7154" s="84"/>
      <c r="I7154" s="237"/>
      <c r="J7154" s="238"/>
    </row>
    <row r="7155">
      <c r="C7155" s="82"/>
      <c r="E7155" s="84"/>
      <c r="F7155" s="84"/>
      <c r="G7155" s="84"/>
      <c r="I7155" s="237"/>
      <c r="J7155" s="238"/>
    </row>
    <row r="7156">
      <c r="C7156" s="82"/>
      <c r="E7156" s="84"/>
      <c r="F7156" s="84"/>
      <c r="G7156" s="84"/>
      <c r="I7156" s="237"/>
      <c r="J7156" s="238"/>
    </row>
    <row r="7157">
      <c r="C7157" s="82"/>
      <c r="E7157" s="84"/>
      <c r="F7157" s="84"/>
      <c r="G7157" s="84"/>
      <c r="I7157" s="237"/>
      <c r="J7157" s="238"/>
    </row>
    <row r="7158">
      <c r="C7158" s="82"/>
      <c r="E7158" s="84"/>
      <c r="F7158" s="84"/>
      <c r="G7158" s="84"/>
      <c r="I7158" s="237"/>
      <c r="J7158" s="238"/>
    </row>
    <row r="7159">
      <c r="C7159" s="82"/>
      <c r="E7159" s="84"/>
      <c r="F7159" s="84"/>
      <c r="G7159" s="84"/>
      <c r="I7159" s="237"/>
      <c r="J7159" s="238"/>
    </row>
    <row r="7160">
      <c r="C7160" s="82"/>
      <c r="E7160" s="84"/>
      <c r="F7160" s="84"/>
      <c r="G7160" s="84"/>
      <c r="I7160" s="237"/>
      <c r="J7160" s="238"/>
    </row>
    <row r="7161">
      <c r="C7161" s="82"/>
      <c r="E7161" s="84"/>
      <c r="F7161" s="84"/>
      <c r="G7161" s="84"/>
      <c r="I7161" s="237"/>
      <c r="J7161" s="238"/>
    </row>
    <row r="7162">
      <c r="C7162" s="82"/>
      <c r="E7162" s="84"/>
      <c r="F7162" s="84"/>
      <c r="G7162" s="84"/>
      <c r="I7162" s="237"/>
      <c r="J7162" s="238"/>
    </row>
    <row r="7163">
      <c r="C7163" s="82"/>
      <c r="E7163" s="84"/>
      <c r="F7163" s="84"/>
      <c r="G7163" s="84"/>
      <c r="I7163" s="237"/>
      <c r="J7163" s="238"/>
    </row>
    <row r="7164">
      <c r="C7164" s="82"/>
      <c r="E7164" s="84"/>
      <c r="F7164" s="84"/>
      <c r="G7164" s="84"/>
      <c r="I7164" s="237"/>
      <c r="J7164" s="238"/>
    </row>
    <row r="7165">
      <c r="C7165" s="82"/>
      <c r="E7165" s="84"/>
      <c r="F7165" s="84"/>
      <c r="G7165" s="84"/>
      <c r="I7165" s="237"/>
      <c r="J7165" s="238"/>
    </row>
    <row r="7166">
      <c r="C7166" s="82"/>
      <c r="E7166" s="84"/>
      <c r="F7166" s="84"/>
      <c r="G7166" s="84"/>
      <c r="I7166" s="237"/>
      <c r="J7166" s="238"/>
    </row>
    <row r="7167">
      <c r="C7167" s="82"/>
      <c r="E7167" s="84"/>
      <c r="F7167" s="84"/>
      <c r="G7167" s="84"/>
      <c r="I7167" s="237"/>
      <c r="J7167" s="238"/>
    </row>
    <row r="7168">
      <c r="C7168" s="82"/>
      <c r="E7168" s="84"/>
      <c r="F7168" s="84"/>
      <c r="G7168" s="84"/>
      <c r="I7168" s="237"/>
      <c r="J7168" s="238"/>
    </row>
    <row r="7169">
      <c r="C7169" s="82"/>
      <c r="E7169" s="84"/>
      <c r="F7169" s="84"/>
      <c r="G7169" s="84"/>
      <c r="I7169" s="237"/>
      <c r="J7169" s="238"/>
    </row>
    <row r="7170">
      <c r="C7170" s="82"/>
      <c r="E7170" s="84"/>
      <c r="F7170" s="84"/>
      <c r="G7170" s="84"/>
      <c r="I7170" s="237"/>
      <c r="J7170" s="238"/>
    </row>
    <row r="7171">
      <c r="C7171" s="82"/>
      <c r="E7171" s="84"/>
      <c r="F7171" s="84"/>
      <c r="G7171" s="84"/>
      <c r="I7171" s="237"/>
      <c r="J7171" s="238"/>
    </row>
    <row r="7172">
      <c r="C7172" s="82"/>
      <c r="E7172" s="84"/>
      <c r="F7172" s="84"/>
      <c r="G7172" s="84"/>
      <c r="I7172" s="237"/>
      <c r="J7172" s="238"/>
    </row>
    <row r="7173">
      <c r="C7173" s="82"/>
      <c r="E7173" s="84"/>
      <c r="F7173" s="84"/>
      <c r="G7173" s="84"/>
      <c r="I7173" s="237"/>
      <c r="J7173" s="238"/>
    </row>
    <row r="7174">
      <c r="C7174" s="82"/>
      <c r="E7174" s="84"/>
      <c r="F7174" s="84"/>
      <c r="G7174" s="84"/>
      <c r="I7174" s="237"/>
      <c r="J7174" s="238"/>
    </row>
    <row r="7175">
      <c r="C7175" s="82"/>
      <c r="E7175" s="84"/>
      <c r="F7175" s="84"/>
      <c r="G7175" s="84"/>
      <c r="I7175" s="237"/>
      <c r="J7175" s="238"/>
    </row>
    <row r="7176">
      <c r="C7176" s="82"/>
      <c r="E7176" s="84"/>
      <c r="F7176" s="84"/>
      <c r="G7176" s="84"/>
      <c r="I7176" s="237"/>
      <c r="J7176" s="238"/>
    </row>
    <row r="7177">
      <c r="C7177" s="82"/>
      <c r="E7177" s="84"/>
      <c r="F7177" s="84"/>
      <c r="G7177" s="84"/>
      <c r="I7177" s="237"/>
      <c r="J7177" s="238"/>
    </row>
    <row r="7178">
      <c r="C7178" s="82"/>
      <c r="E7178" s="84"/>
      <c r="F7178" s="84"/>
      <c r="G7178" s="84"/>
      <c r="I7178" s="237"/>
      <c r="J7178" s="238"/>
    </row>
    <row r="7179">
      <c r="C7179" s="82"/>
      <c r="E7179" s="84"/>
      <c r="F7179" s="84"/>
      <c r="G7179" s="84"/>
      <c r="I7179" s="237"/>
      <c r="J7179" s="238"/>
    </row>
    <row r="7180">
      <c r="C7180" s="82"/>
      <c r="E7180" s="84"/>
      <c r="F7180" s="84"/>
      <c r="G7180" s="84"/>
      <c r="I7180" s="237"/>
      <c r="J7180" s="238"/>
    </row>
    <row r="7181">
      <c r="C7181" s="82"/>
      <c r="E7181" s="84"/>
      <c r="F7181" s="84"/>
      <c r="G7181" s="84"/>
      <c r="I7181" s="237"/>
      <c r="J7181" s="238"/>
    </row>
    <row r="7182">
      <c r="C7182" s="82"/>
      <c r="E7182" s="84"/>
      <c r="F7182" s="84"/>
      <c r="G7182" s="84"/>
      <c r="I7182" s="237"/>
      <c r="J7182" s="238"/>
    </row>
    <row r="7183">
      <c r="C7183" s="82"/>
      <c r="E7183" s="84"/>
      <c r="F7183" s="84"/>
      <c r="G7183" s="84"/>
      <c r="I7183" s="237"/>
      <c r="J7183" s="238"/>
    </row>
    <row r="7184">
      <c r="C7184" s="82"/>
      <c r="E7184" s="84"/>
      <c r="F7184" s="84"/>
      <c r="G7184" s="84"/>
      <c r="I7184" s="237"/>
      <c r="J7184" s="238"/>
    </row>
    <row r="7185">
      <c r="C7185" s="82"/>
      <c r="E7185" s="84"/>
      <c r="F7185" s="84"/>
      <c r="G7185" s="84"/>
      <c r="I7185" s="237"/>
      <c r="J7185" s="238"/>
    </row>
    <row r="7186">
      <c r="C7186" s="82"/>
      <c r="E7186" s="84"/>
      <c r="F7186" s="84"/>
      <c r="G7186" s="84"/>
      <c r="I7186" s="237"/>
      <c r="J7186" s="238"/>
    </row>
    <row r="7187">
      <c r="C7187" s="82"/>
      <c r="E7187" s="84"/>
      <c r="F7187" s="84"/>
      <c r="G7187" s="84"/>
      <c r="I7187" s="237"/>
      <c r="J7187" s="238"/>
    </row>
    <row r="7188">
      <c r="C7188" s="82"/>
      <c r="E7188" s="84"/>
      <c r="F7188" s="84"/>
      <c r="G7188" s="84"/>
      <c r="I7188" s="237"/>
      <c r="J7188" s="238"/>
    </row>
    <row r="7189">
      <c r="C7189" s="82"/>
      <c r="E7189" s="84"/>
      <c r="F7189" s="84"/>
      <c r="G7189" s="84"/>
      <c r="I7189" s="237"/>
      <c r="J7189" s="238"/>
    </row>
    <row r="7190">
      <c r="C7190" s="82"/>
      <c r="E7190" s="84"/>
      <c r="F7190" s="84"/>
      <c r="G7190" s="84"/>
      <c r="I7190" s="237"/>
      <c r="J7190" s="238"/>
    </row>
    <row r="7191">
      <c r="C7191" s="82"/>
      <c r="E7191" s="84"/>
      <c r="F7191" s="84"/>
      <c r="G7191" s="84"/>
      <c r="I7191" s="237"/>
      <c r="J7191" s="238"/>
    </row>
    <row r="7192">
      <c r="C7192" s="82"/>
      <c r="E7192" s="84"/>
      <c r="F7192" s="84"/>
      <c r="G7192" s="84"/>
      <c r="I7192" s="237"/>
      <c r="J7192" s="238"/>
    </row>
    <row r="7193">
      <c r="C7193" s="82"/>
      <c r="E7193" s="84"/>
      <c r="F7193" s="84"/>
      <c r="G7193" s="84"/>
      <c r="I7193" s="237"/>
      <c r="J7193" s="238"/>
    </row>
    <row r="7194">
      <c r="C7194" s="82"/>
      <c r="E7194" s="84"/>
      <c r="F7194" s="84"/>
      <c r="G7194" s="84"/>
      <c r="I7194" s="237"/>
      <c r="J7194" s="238"/>
    </row>
    <row r="7195">
      <c r="C7195" s="82"/>
      <c r="E7195" s="84"/>
      <c r="F7195" s="84"/>
      <c r="G7195" s="84"/>
      <c r="I7195" s="237"/>
      <c r="J7195" s="238"/>
    </row>
    <row r="7196">
      <c r="C7196" s="82"/>
      <c r="E7196" s="84"/>
      <c r="F7196" s="84"/>
      <c r="G7196" s="84"/>
      <c r="I7196" s="237"/>
      <c r="J7196" s="238"/>
    </row>
    <row r="7197">
      <c r="C7197" s="82"/>
      <c r="E7197" s="84"/>
      <c r="F7197" s="84"/>
      <c r="G7197" s="84"/>
      <c r="I7197" s="237"/>
      <c r="J7197" s="238"/>
    </row>
    <row r="7198">
      <c r="C7198" s="82"/>
      <c r="E7198" s="84"/>
      <c r="F7198" s="84"/>
      <c r="G7198" s="84"/>
      <c r="I7198" s="237"/>
      <c r="J7198" s="238"/>
    </row>
    <row r="7199">
      <c r="C7199" s="82"/>
      <c r="E7199" s="84"/>
      <c r="F7199" s="84"/>
      <c r="G7199" s="84"/>
      <c r="I7199" s="237"/>
      <c r="J7199" s="238"/>
    </row>
    <row r="7200">
      <c r="C7200" s="82"/>
      <c r="E7200" s="84"/>
      <c r="F7200" s="84"/>
      <c r="G7200" s="84"/>
      <c r="I7200" s="237"/>
      <c r="J7200" s="238"/>
    </row>
    <row r="7201">
      <c r="C7201" s="82"/>
      <c r="E7201" s="84"/>
      <c r="F7201" s="84"/>
      <c r="G7201" s="84"/>
      <c r="I7201" s="237"/>
      <c r="J7201" s="238"/>
    </row>
    <row r="7202">
      <c r="C7202" s="82"/>
      <c r="E7202" s="84"/>
      <c r="F7202" s="84"/>
      <c r="G7202" s="84"/>
      <c r="I7202" s="237"/>
      <c r="J7202" s="238"/>
    </row>
    <row r="7203">
      <c r="C7203" s="82"/>
      <c r="E7203" s="84"/>
      <c r="F7203" s="84"/>
      <c r="G7203" s="84"/>
      <c r="I7203" s="237"/>
      <c r="J7203" s="238"/>
    </row>
    <row r="7204">
      <c r="C7204" s="82"/>
      <c r="E7204" s="84"/>
      <c r="F7204" s="84"/>
      <c r="G7204" s="84"/>
      <c r="I7204" s="237"/>
      <c r="J7204" s="238"/>
    </row>
    <row r="7205">
      <c r="C7205" s="82"/>
      <c r="E7205" s="84"/>
      <c r="F7205" s="84"/>
      <c r="G7205" s="84"/>
      <c r="I7205" s="237"/>
      <c r="J7205" s="238"/>
    </row>
    <row r="7206">
      <c r="C7206" s="82"/>
      <c r="E7206" s="84"/>
      <c r="F7206" s="84"/>
      <c r="G7206" s="84"/>
      <c r="I7206" s="237"/>
      <c r="J7206" s="238"/>
    </row>
    <row r="7207">
      <c r="C7207" s="82"/>
      <c r="E7207" s="84"/>
      <c r="F7207" s="84"/>
      <c r="G7207" s="84"/>
      <c r="I7207" s="237"/>
      <c r="J7207" s="238"/>
    </row>
    <row r="7208">
      <c r="C7208" s="82"/>
      <c r="E7208" s="84"/>
      <c r="F7208" s="84"/>
      <c r="G7208" s="84"/>
      <c r="I7208" s="237"/>
      <c r="J7208" s="238"/>
    </row>
    <row r="7209">
      <c r="C7209" s="82"/>
      <c r="E7209" s="84"/>
      <c r="F7209" s="84"/>
      <c r="G7209" s="84"/>
      <c r="I7209" s="237"/>
      <c r="J7209" s="238"/>
    </row>
    <row r="7210">
      <c r="C7210" s="82"/>
      <c r="E7210" s="84"/>
      <c r="F7210" s="84"/>
      <c r="G7210" s="84"/>
      <c r="I7210" s="237"/>
      <c r="J7210" s="238"/>
    </row>
    <row r="7211">
      <c r="C7211" s="82"/>
      <c r="E7211" s="84"/>
      <c r="F7211" s="84"/>
      <c r="G7211" s="84"/>
      <c r="I7211" s="237"/>
      <c r="J7211" s="238"/>
    </row>
    <row r="7212">
      <c r="C7212" s="82"/>
      <c r="E7212" s="84"/>
      <c r="F7212" s="84"/>
      <c r="G7212" s="84"/>
      <c r="I7212" s="237"/>
      <c r="J7212" s="238"/>
    </row>
    <row r="7213">
      <c r="C7213" s="82"/>
      <c r="E7213" s="84"/>
      <c r="F7213" s="84"/>
      <c r="G7213" s="84"/>
      <c r="I7213" s="237"/>
      <c r="J7213" s="238"/>
    </row>
    <row r="7214">
      <c r="C7214" s="82"/>
      <c r="E7214" s="84"/>
      <c r="F7214" s="84"/>
      <c r="G7214" s="84"/>
      <c r="I7214" s="237"/>
      <c r="J7214" s="238"/>
    </row>
    <row r="7215">
      <c r="C7215" s="82"/>
      <c r="E7215" s="84"/>
      <c r="F7215" s="84"/>
      <c r="G7215" s="84"/>
      <c r="I7215" s="237"/>
      <c r="J7215" s="238"/>
    </row>
    <row r="7216">
      <c r="C7216" s="82"/>
      <c r="E7216" s="84"/>
      <c r="F7216" s="84"/>
      <c r="G7216" s="84"/>
      <c r="I7216" s="237"/>
      <c r="J7216" s="238"/>
    </row>
    <row r="7217">
      <c r="C7217" s="82"/>
      <c r="E7217" s="84"/>
      <c r="F7217" s="84"/>
      <c r="G7217" s="84"/>
      <c r="I7217" s="237"/>
      <c r="J7217" s="238"/>
    </row>
    <row r="7218">
      <c r="C7218" s="82"/>
      <c r="E7218" s="84"/>
      <c r="F7218" s="84"/>
      <c r="G7218" s="84"/>
      <c r="I7218" s="237"/>
      <c r="J7218" s="238"/>
    </row>
    <row r="7219">
      <c r="C7219" s="82"/>
      <c r="E7219" s="84"/>
      <c r="F7219" s="84"/>
      <c r="G7219" s="84"/>
      <c r="I7219" s="237"/>
      <c r="J7219" s="238"/>
    </row>
    <row r="7220">
      <c r="C7220" s="82"/>
      <c r="E7220" s="84"/>
      <c r="F7220" s="84"/>
      <c r="G7220" s="84"/>
      <c r="I7220" s="237"/>
      <c r="J7220" s="238"/>
    </row>
    <row r="7221">
      <c r="C7221" s="82"/>
      <c r="E7221" s="84"/>
      <c r="F7221" s="84"/>
      <c r="G7221" s="84"/>
      <c r="I7221" s="237"/>
      <c r="J7221" s="238"/>
    </row>
    <row r="7222">
      <c r="C7222" s="82"/>
      <c r="E7222" s="84"/>
      <c r="F7222" s="84"/>
      <c r="G7222" s="84"/>
      <c r="I7222" s="237"/>
      <c r="J7222" s="238"/>
    </row>
    <row r="7223">
      <c r="C7223" s="82"/>
      <c r="E7223" s="84"/>
      <c r="F7223" s="84"/>
      <c r="G7223" s="84"/>
      <c r="I7223" s="237"/>
      <c r="J7223" s="238"/>
    </row>
    <row r="7224">
      <c r="C7224" s="82"/>
      <c r="E7224" s="84"/>
      <c r="F7224" s="84"/>
      <c r="G7224" s="84"/>
      <c r="I7224" s="237"/>
      <c r="J7224" s="238"/>
    </row>
    <row r="7225">
      <c r="C7225" s="82"/>
      <c r="E7225" s="84"/>
      <c r="F7225" s="84"/>
      <c r="G7225" s="84"/>
      <c r="I7225" s="237"/>
      <c r="J7225" s="238"/>
    </row>
    <row r="7226">
      <c r="C7226" s="82"/>
      <c r="E7226" s="84"/>
      <c r="F7226" s="84"/>
      <c r="G7226" s="84"/>
      <c r="I7226" s="237"/>
      <c r="J7226" s="238"/>
    </row>
    <row r="7227">
      <c r="C7227" s="82"/>
      <c r="E7227" s="84"/>
      <c r="F7227" s="84"/>
      <c r="G7227" s="84"/>
      <c r="I7227" s="237"/>
      <c r="J7227" s="238"/>
    </row>
    <row r="7228">
      <c r="C7228" s="82"/>
      <c r="E7228" s="84"/>
      <c r="F7228" s="84"/>
      <c r="G7228" s="84"/>
      <c r="I7228" s="237"/>
      <c r="J7228" s="238"/>
    </row>
    <row r="7229">
      <c r="C7229" s="82"/>
      <c r="E7229" s="84"/>
      <c r="F7229" s="84"/>
      <c r="G7229" s="84"/>
      <c r="I7229" s="237"/>
      <c r="J7229" s="238"/>
    </row>
    <row r="7230">
      <c r="C7230" s="82"/>
      <c r="E7230" s="84"/>
      <c r="F7230" s="84"/>
      <c r="G7230" s="84"/>
      <c r="I7230" s="237"/>
      <c r="J7230" s="238"/>
    </row>
    <row r="7231">
      <c r="C7231" s="82"/>
      <c r="E7231" s="84"/>
      <c r="F7231" s="84"/>
      <c r="G7231" s="84"/>
      <c r="I7231" s="237"/>
      <c r="J7231" s="238"/>
    </row>
    <row r="7232">
      <c r="C7232" s="82"/>
      <c r="E7232" s="84"/>
      <c r="F7232" s="84"/>
      <c r="G7232" s="84"/>
      <c r="I7232" s="237"/>
      <c r="J7232" s="238"/>
    </row>
    <row r="7233">
      <c r="C7233" s="82"/>
      <c r="E7233" s="84"/>
      <c r="F7233" s="84"/>
      <c r="G7233" s="84"/>
      <c r="I7233" s="237"/>
      <c r="J7233" s="238"/>
    </row>
    <row r="7234">
      <c r="C7234" s="82"/>
      <c r="E7234" s="84"/>
      <c r="F7234" s="84"/>
      <c r="G7234" s="84"/>
      <c r="I7234" s="237"/>
      <c r="J7234" s="238"/>
    </row>
    <row r="7235">
      <c r="C7235" s="82"/>
      <c r="E7235" s="84"/>
      <c r="F7235" s="84"/>
      <c r="G7235" s="84"/>
      <c r="I7235" s="237"/>
      <c r="J7235" s="238"/>
    </row>
    <row r="7236">
      <c r="C7236" s="82"/>
      <c r="E7236" s="84"/>
      <c r="F7236" s="84"/>
      <c r="G7236" s="84"/>
      <c r="I7236" s="237"/>
      <c r="J7236" s="238"/>
    </row>
    <row r="7237">
      <c r="C7237" s="82"/>
      <c r="E7237" s="84"/>
      <c r="F7237" s="84"/>
      <c r="G7237" s="84"/>
      <c r="I7237" s="237"/>
      <c r="J7237" s="238"/>
    </row>
    <row r="7238">
      <c r="C7238" s="82"/>
      <c r="E7238" s="84"/>
      <c r="F7238" s="84"/>
      <c r="G7238" s="84"/>
      <c r="I7238" s="237"/>
      <c r="J7238" s="238"/>
    </row>
    <row r="7239">
      <c r="C7239" s="82"/>
      <c r="E7239" s="84"/>
      <c r="F7239" s="84"/>
      <c r="G7239" s="84"/>
      <c r="I7239" s="237"/>
      <c r="J7239" s="238"/>
    </row>
    <row r="7240">
      <c r="C7240" s="82"/>
      <c r="E7240" s="84"/>
      <c r="F7240" s="84"/>
      <c r="G7240" s="84"/>
      <c r="I7240" s="237"/>
      <c r="J7240" s="238"/>
    </row>
    <row r="7241">
      <c r="C7241" s="82"/>
      <c r="E7241" s="84"/>
      <c r="F7241" s="84"/>
      <c r="G7241" s="84"/>
      <c r="I7241" s="237"/>
      <c r="J7241" s="238"/>
    </row>
    <row r="7242">
      <c r="C7242" s="82"/>
      <c r="E7242" s="84"/>
      <c r="F7242" s="84"/>
      <c r="G7242" s="84"/>
      <c r="I7242" s="237"/>
      <c r="J7242" s="238"/>
    </row>
    <row r="7243">
      <c r="C7243" s="82"/>
      <c r="E7243" s="84"/>
      <c r="F7243" s="84"/>
      <c r="G7243" s="84"/>
      <c r="I7243" s="237"/>
      <c r="J7243" s="238"/>
    </row>
    <row r="7244">
      <c r="C7244" s="82"/>
      <c r="E7244" s="84"/>
      <c r="F7244" s="84"/>
      <c r="G7244" s="84"/>
      <c r="I7244" s="237"/>
      <c r="J7244" s="238"/>
    </row>
    <row r="7245">
      <c r="C7245" s="82"/>
      <c r="E7245" s="84"/>
      <c r="F7245" s="84"/>
      <c r="G7245" s="84"/>
      <c r="I7245" s="237"/>
      <c r="J7245" s="238"/>
    </row>
    <row r="7246">
      <c r="C7246" s="82"/>
      <c r="E7246" s="84"/>
      <c r="F7246" s="84"/>
      <c r="G7246" s="84"/>
      <c r="I7246" s="237"/>
      <c r="J7246" s="238"/>
    </row>
    <row r="7247">
      <c r="C7247" s="82"/>
      <c r="E7247" s="84"/>
      <c r="F7247" s="84"/>
      <c r="G7247" s="84"/>
      <c r="I7247" s="237"/>
      <c r="J7247" s="238"/>
    </row>
    <row r="7248">
      <c r="C7248" s="82"/>
      <c r="E7248" s="84"/>
      <c r="F7248" s="84"/>
      <c r="G7248" s="84"/>
      <c r="I7248" s="237"/>
      <c r="J7248" s="238"/>
    </row>
    <row r="7249">
      <c r="C7249" s="82"/>
      <c r="E7249" s="84"/>
      <c r="F7249" s="84"/>
      <c r="G7249" s="84"/>
      <c r="I7249" s="237"/>
      <c r="J7249" s="238"/>
    </row>
    <row r="7250">
      <c r="C7250" s="82"/>
      <c r="E7250" s="84"/>
      <c r="F7250" s="84"/>
      <c r="G7250" s="84"/>
      <c r="I7250" s="237"/>
      <c r="J7250" s="238"/>
    </row>
    <row r="7251">
      <c r="C7251" s="82"/>
      <c r="E7251" s="84"/>
      <c r="F7251" s="84"/>
      <c r="G7251" s="84"/>
      <c r="I7251" s="237"/>
      <c r="J7251" s="238"/>
    </row>
    <row r="7252">
      <c r="C7252" s="82"/>
      <c r="E7252" s="84"/>
      <c r="F7252" s="84"/>
      <c r="G7252" s="84"/>
      <c r="I7252" s="237"/>
      <c r="J7252" s="238"/>
    </row>
    <row r="7253">
      <c r="C7253" s="82"/>
      <c r="E7253" s="84"/>
      <c r="F7253" s="84"/>
      <c r="G7253" s="84"/>
      <c r="I7253" s="237"/>
      <c r="J7253" s="238"/>
    </row>
    <row r="7254">
      <c r="C7254" s="82"/>
      <c r="E7254" s="84"/>
      <c r="F7254" s="84"/>
      <c r="G7254" s="84"/>
      <c r="I7254" s="237"/>
      <c r="J7254" s="238"/>
    </row>
    <row r="7255">
      <c r="C7255" s="82"/>
      <c r="E7255" s="84"/>
      <c r="F7255" s="84"/>
      <c r="G7255" s="84"/>
      <c r="I7255" s="237"/>
      <c r="J7255" s="238"/>
    </row>
    <row r="7256">
      <c r="C7256" s="82"/>
      <c r="E7256" s="84"/>
      <c r="F7256" s="84"/>
      <c r="G7256" s="84"/>
      <c r="I7256" s="237"/>
      <c r="J7256" s="238"/>
    </row>
    <row r="7257">
      <c r="C7257" s="82"/>
      <c r="E7257" s="84"/>
      <c r="F7257" s="84"/>
      <c r="G7257" s="84"/>
      <c r="I7257" s="237"/>
      <c r="J7257" s="238"/>
    </row>
    <row r="7258">
      <c r="C7258" s="82"/>
      <c r="E7258" s="84"/>
      <c r="F7258" s="84"/>
      <c r="G7258" s="84"/>
      <c r="I7258" s="237"/>
      <c r="J7258" s="238"/>
    </row>
    <row r="7259">
      <c r="C7259" s="82"/>
      <c r="E7259" s="84"/>
      <c r="F7259" s="84"/>
      <c r="G7259" s="84"/>
      <c r="I7259" s="237"/>
      <c r="J7259" s="238"/>
    </row>
    <row r="7260">
      <c r="C7260" s="82"/>
      <c r="E7260" s="84"/>
      <c r="F7260" s="84"/>
      <c r="G7260" s="84"/>
      <c r="I7260" s="237"/>
      <c r="J7260" s="238"/>
    </row>
    <row r="7261">
      <c r="C7261" s="82"/>
      <c r="E7261" s="84"/>
      <c r="F7261" s="84"/>
      <c r="G7261" s="84"/>
      <c r="I7261" s="237"/>
      <c r="J7261" s="238"/>
    </row>
    <row r="7262">
      <c r="C7262" s="82"/>
      <c r="E7262" s="84"/>
      <c r="F7262" s="84"/>
      <c r="G7262" s="84"/>
      <c r="I7262" s="237"/>
      <c r="J7262" s="238"/>
    </row>
    <row r="7263">
      <c r="C7263" s="82"/>
      <c r="E7263" s="84"/>
      <c r="F7263" s="84"/>
      <c r="G7263" s="84"/>
      <c r="I7263" s="237"/>
      <c r="J7263" s="238"/>
    </row>
    <row r="7264">
      <c r="C7264" s="82"/>
      <c r="E7264" s="84"/>
      <c r="F7264" s="84"/>
      <c r="G7264" s="84"/>
      <c r="I7264" s="237"/>
      <c r="J7264" s="238"/>
    </row>
    <row r="7265">
      <c r="C7265" s="82"/>
      <c r="E7265" s="84"/>
      <c r="F7265" s="84"/>
      <c r="G7265" s="84"/>
      <c r="I7265" s="237"/>
      <c r="J7265" s="238"/>
    </row>
    <row r="7266">
      <c r="C7266" s="82"/>
      <c r="E7266" s="84"/>
      <c r="F7266" s="84"/>
      <c r="G7266" s="84"/>
      <c r="I7266" s="237"/>
      <c r="J7266" s="238"/>
    </row>
    <row r="7267">
      <c r="C7267" s="82"/>
      <c r="E7267" s="84"/>
      <c r="F7267" s="84"/>
      <c r="G7267" s="84"/>
      <c r="I7267" s="237"/>
      <c r="J7267" s="238"/>
    </row>
    <row r="7268">
      <c r="C7268" s="82"/>
      <c r="E7268" s="84"/>
      <c r="F7268" s="84"/>
      <c r="G7268" s="84"/>
      <c r="I7268" s="237"/>
      <c r="J7268" s="238"/>
    </row>
    <row r="7269">
      <c r="C7269" s="82"/>
      <c r="E7269" s="84"/>
      <c r="F7269" s="84"/>
      <c r="G7269" s="84"/>
      <c r="I7269" s="237"/>
      <c r="J7269" s="238"/>
    </row>
    <row r="7270">
      <c r="C7270" s="82"/>
      <c r="E7270" s="84"/>
      <c r="F7270" s="84"/>
      <c r="G7270" s="84"/>
      <c r="I7270" s="237"/>
      <c r="J7270" s="238"/>
    </row>
    <row r="7271">
      <c r="C7271" s="82"/>
      <c r="E7271" s="84"/>
      <c r="F7271" s="84"/>
      <c r="G7271" s="84"/>
      <c r="I7271" s="237"/>
      <c r="J7271" s="238"/>
    </row>
    <row r="7272">
      <c r="C7272" s="82"/>
      <c r="E7272" s="84"/>
      <c r="F7272" s="84"/>
      <c r="G7272" s="84"/>
      <c r="I7272" s="237"/>
      <c r="J7272" s="238"/>
    </row>
    <row r="7273">
      <c r="C7273" s="82"/>
      <c r="E7273" s="84"/>
      <c r="F7273" s="84"/>
      <c r="G7273" s="84"/>
      <c r="I7273" s="237"/>
      <c r="J7273" s="238"/>
    </row>
    <row r="7274">
      <c r="C7274" s="82"/>
      <c r="E7274" s="84"/>
      <c r="F7274" s="84"/>
      <c r="G7274" s="84"/>
      <c r="I7274" s="237"/>
      <c r="J7274" s="238"/>
    </row>
    <row r="7275">
      <c r="C7275" s="82"/>
      <c r="E7275" s="84"/>
      <c r="F7275" s="84"/>
      <c r="G7275" s="84"/>
      <c r="I7275" s="237"/>
      <c r="J7275" s="238"/>
    </row>
    <row r="7276">
      <c r="C7276" s="82"/>
      <c r="E7276" s="84"/>
      <c r="F7276" s="84"/>
      <c r="G7276" s="84"/>
      <c r="I7276" s="237"/>
      <c r="J7276" s="238"/>
    </row>
    <row r="7277">
      <c r="C7277" s="82"/>
      <c r="E7277" s="84"/>
      <c r="F7277" s="84"/>
      <c r="G7277" s="84"/>
      <c r="I7277" s="237"/>
      <c r="J7277" s="238"/>
    </row>
    <row r="7278">
      <c r="C7278" s="82"/>
      <c r="E7278" s="84"/>
      <c r="F7278" s="84"/>
      <c r="G7278" s="84"/>
      <c r="I7278" s="237"/>
      <c r="J7278" s="238"/>
    </row>
    <row r="7279">
      <c r="C7279" s="82"/>
      <c r="E7279" s="84"/>
      <c r="F7279" s="84"/>
      <c r="G7279" s="84"/>
      <c r="I7279" s="237"/>
      <c r="J7279" s="238"/>
    </row>
    <row r="7280">
      <c r="C7280" s="82"/>
      <c r="E7280" s="84"/>
      <c r="F7280" s="84"/>
      <c r="G7280" s="84"/>
      <c r="I7280" s="237"/>
      <c r="J7280" s="238"/>
    </row>
    <row r="7281">
      <c r="C7281" s="82"/>
      <c r="E7281" s="84"/>
      <c r="F7281" s="84"/>
      <c r="G7281" s="84"/>
      <c r="I7281" s="237"/>
      <c r="J7281" s="238"/>
    </row>
    <row r="7282">
      <c r="C7282" s="82"/>
      <c r="E7282" s="84"/>
      <c r="F7282" s="84"/>
      <c r="G7282" s="84"/>
      <c r="I7282" s="237"/>
      <c r="J7282" s="238"/>
    </row>
    <row r="7283">
      <c r="C7283" s="82"/>
      <c r="E7283" s="84"/>
      <c r="F7283" s="84"/>
      <c r="G7283" s="84"/>
      <c r="I7283" s="237"/>
      <c r="J7283" s="238"/>
    </row>
    <row r="7284">
      <c r="C7284" s="82"/>
      <c r="E7284" s="84"/>
      <c r="F7284" s="84"/>
      <c r="G7284" s="84"/>
      <c r="I7284" s="237"/>
      <c r="J7284" s="238"/>
    </row>
    <row r="7285">
      <c r="C7285" s="82"/>
      <c r="E7285" s="84"/>
      <c r="F7285" s="84"/>
      <c r="G7285" s="84"/>
      <c r="I7285" s="237"/>
      <c r="J7285" s="238"/>
    </row>
    <row r="7286">
      <c r="C7286" s="82"/>
      <c r="E7286" s="84"/>
      <c r="F7286" s="84"/>
      <c r="G7286" s="84"/>
      <c r="I7286" s="237"/>
      <c r="J7286" s="238"/>
    </row>
    <row r="7287">
      <c r="C7287" s="82"/>
      <c r="E7287" s="84"/>
      <c r="F7287" s="84"/>
      <c r="G7287" s="84"/>
      <c r="I7287" s="237"/>
      <c r="J7287" s="238"/>
    </row>
    <row r="7288">
      <c r="C7288" s="82"/>
      <c r="E7288" s="84"/>
      <c r="F7288" s="84"/>
      <c r="G7288" s="84"/>
      <c r="I7288" s="237"/>
      <c r="J7288" s="238"/>
    </row>
    <row r="7289">
      <c r="C7289" s="82"/>
      <c r="E7289" s="84"/>
      <c r="F7289" s="84"/>
      <c r="G7289" s="84"/>
      <c r="I7289" s="237"/>
      <c r="J7289" s="238"/>
    </row>
    <row r="7290">
      <c r="C7290" s="82"/>
      <c r="E7290" s="84"/>
      <c r="F7290" s="84"/>
      <c r="G7290" s="84"/>
      <c r="I7290" s="237"/>
      <c r="J7290" s="238"/>
    </row>
    <row r="7291">
      <c r="C7291" s="82"/>
      <c r="E7291" s="84"/>
      <c r="F7291" s="84"/>
      <c r="G7291" s="84"/>
      <c r="I7291" s="237"/>
      <c r="J7291" s="238"/>
    </row>
    <row r="7292">
      <c r="C7292" s="82"/>
      <c r="E7292" s="84"/>
      <c r="F7292" s="84"/>
      <c r="G7292" s="84"/>
      <c r="I7292" s="237"/>
      <c r="J7292" s="238"/>
    </row>
    <row r="7293">
      <c r="C7293" s="82"/>
      <c r="E7293" s="84"/>
      <c r="F7293" s="84"/>
      <c r="G7293" s="84"/>
      <c r="I7293" s="237"/>
      <c r="J7293" s="238"/>
    </row>
    <row r="7294">
      <c r="C7294" s="82"/>
      <c r="E7294" s="84"/>
      <c r="F7294" s="84"/>
      <c r="G7294" s="84"/>
      <c r="I7294" s="237"/>
      <c r="J7294" s="238"/>
    </row>
    <row r="7295">
      <c r="C7295" s="82"/>
      <c r="E7295" s="84"/>
      <c r="F7295" s="84"/>
      <c r="G7295" s="84"/>
      <c r="I7295" s="237"/>
      <c r="J7295" s="238"/>
    </row>
    <row r="7296">
      <c r="C7296" s="82"/>
      <c r="E7296" s="84"/>
      <c r="F7296" s="84"/>
      <c r="G7296" s="84"/>
      <c r="I7296" s="237"/>
      <c r="J7296" s="238"/>
    </row>
    <row r="7297">
      <c r="C7297" s="82"/>
      <c r="E7297" s="84"/>
      <c r="F7297" s="84"/>
      <c r="G7297" s="84"/>
      <c r="I7297" s="237"/>
      <c r="J7297" s="238"/>
    </row>
    <row r="7298">
      <c r="C7298" s="82"/>
      <c r="E7298" s="84"/>
      <c r="F7298" s="84"/>
      <c r="G7298" s="84"/>
      <c r="I7298" s="237"/>
      <c r="J7298" s="238"/>
    </row>
    <row r="7299">
      <c r="C7299" s="82"/>
      <c r="E7299" s="84"/>
      <c r="F7299" s="84"/>
      <c r="G7299" s="84"/>
      <c r="I7299" s="237"/>
      <c r="J7299" s="238"/>
    </row>
    <row r="7300">
      <c r="C7300" s="82"/>
      <c r="E7300" s="84"/>
      <c r="F7300" s="84"/>
      <c r="G7300" s="84"/>
      <c r="I7300" s="237"/>
      <c r="J7300" s="238"/>
    </row>
    <row r="7301">
      <c r="C7301" s="82"/>
      <c r="E7301" s="84"/>
      <c r="F7301" s="84"/>
      <c r="G7301" s="84"/>
      <c r="I7301" s="237"/>
      <c r="J7301" s="238"/>
    </row>
    <row r="7302">
      <c r="C7302" s="82"/>
      <c r="E7302" s="84"/>
      <c r="F7302" s="84"/>
      <c r="G7302" s="84"/>
      <c r="I7302" s="237"/>
      <c r="J7302" s="238"/>
    </row>
    <row r="7303">
      <c r="C7303" s="82"/>
      <c r="E7303" s="84"/>
      <c r="F7303" s="84"/>
      <c r="G7303" s="84"/>
      <c r="I7303" s="237"/>
      <c r="J7303" s="238"/>
    </row>
    <row r="7304">
      <c r="C7304" s="82"/>
      <c r="E7304" s="84"/>
      <c r="F7304" s="84"/>
      <c r="G7304" s="84"/>
      <c r="I7304" s="237"/>
      <c r="J7304" s="238"/>
    </row>
    <row r="7305">
      <c r="C7305" s="82"/>
      <c r="E7305" s="84"/>
      <c r="F7305" s="84"/>
      <c r="G7305" s="84"/>
      <c r="I7305" s="237"/>
      <c r="J7305" s="238"/>
    </row>
    <row r="7306">
      <c r="C7306" s="82"/>
      <c r="E7306" s="84"/>
      <c r="F7306" s="84"/>
      <c r="G7306" s="84"/>
      <c r="I7306" s="237"/>
      <c r="J7306" s="238"/>
    </row>
    <row r="7307">
      <c r="C7307" s="82"/>
      <c r="E7307" s="84"/>
      <c r="F7307" s="84"/>
      <c r="G7307" s="84"/>
      <c r="I7307" s="237"/>
      <c r="J7307" s="238"/>
    </row>
    <row r="7308">
      <c r="C7308" s="82"/>
      <c r="E7308" s="84"/>
      <c r="F7308" s="84"/>
      <c r="G7308" s="84"/>
      <c r="I7308" s="237"/>
      <c r="J7308" s="238"/>
    </row>
    <row r="7309">
      <c r="C7309" s="82"/>
      <c r="E7309" s="84"/>
      <c r="F7309" s="84"/>
      <c r="G7309" s="84"/>
      <c r="I7309" s="237"/>
      <c r="J7309" s="238"/>
    </row>
    <row r="7310">
      <c r="C7310" s="82"/>
      <c r="E7310" s="84"/>
      <c r="F7310" s="84"/>
      <c r="G7310" s="84"/>
      <c r="I7310" s="237"/>
      <c r="J7310" s="238"/>
    </row>
    <row r="7311">
      <c r="C7311" s="82"/>
      <c r="E7311" s="84"/>
      <c r="F7311" s="84"/>
      <c r="G7311" s="84"/>
      <c r="I7311" s="237"/>
      <c r="J7311" s="238"/>
    </row>
    <row r="7312">
      <c r="C7312" s="82"/>
      <c r="E7312" s="84"/>
      <c r="F7312" s="84"/>
      <c r="G7312" s="84"/>
      <c r="I7312" s="237"/>
      <c r="J7312" s="238"/>
    </row>
    <row r="7313">
      <c r="C7313" s="82"/>
      <c r="E7313" s="84"/>
      <c r="F7313" s="84"/>
      <c r="G7313" s="84"/>
      <c r="I7313" s="237"/>
      <c r="J7313" s="238"/>
    </row>
    <row r="7314">
      <c r="C7314" s="82"/>
      <c r="E7314" s="84"/>
      <c r="F7314" s="84"/>
      <c r="G7314" s="84"/>
      <c r="I7314" s="237"/>
      <c r="J7314" s="238"/>
    </row>
    <row r="7315">
      <c r="C7315" s="82"/>
      <c r="E7315" s="84"/>
      <c r="F7315" s="84"/>
      <c r="G7315" s="84"/>
      <c r="I7315" s="237"/>
      <c r="J7315" s="238"/>
    </row>
    <row r="7316">
      <c r="C7316" s="82"/>
      <c r="E7316" s="84"/>
      <c r="F7316" s="84"/>
      <c r="G7316" s="84"/>
      <c r="I7316" s="237"/>
      <c r="J7316" s="238"/>
    </row>
    <row r="7317">
      <c r="C7317" s="82"/>
      <c r="E7317" s="84"/>
      <c r="F7317" s="84"/>
      <c r="G7317" s="84"/>
      <c r="I7317" s="237"/>
      <c r="J7317" s="238"/>
    </row>
    <row r="7318">
      <c r="C7318" s="82"/>
      <c r="E7318" s="84"/>
      <c r="F7318" s="84"/>
      <c r="G7318" s="84"/>
      <c r="I7318" s="237"/>
      <c r="J7318" s="238"/>
    </row>
    <row r="7319">
      <c r="C7319" s="82"/>
      <c r="E7319" s="84"/>
      <c r="F7319" s="84"/>
      <c r="G7319" s="84"/>
      <c r="I7319" s="237"/>
      <c r="J7319" s="238"/>
    </row>
    <row r="7320">
      <c r="C7320" s="82"/>
      <c r="E7320" s="84"/>
      <c r="F7320" s="84"/>
      <c r="G7320" s="84"/>
      <c r="I7320" s="237"/>
      <c r="J7320" s="238"/>
    </row>
    <row r="7321">
      <c r="C7321" s="82"/>
      <c r="E7321" s="84"/>
      <c r="F7321" s="84"/>
      <c r="G7321" s="84"/>
      <c r="I7321" s="237"/>
      <c r="J7321" s="238"/>
    </row>
    <row r="7322">
      <c r="C7322" s="82"/>
      <c r="E7322" s="84"/>
      <c r="F7322" s="84"/>
      <c r="G7322" s="84"/>
      <c r="I7322" s="237"/>
      <c r="J7322" s="238"/>
    </row>
    <row r="7323">
      <c r="C7323" s="82"/>
      <c r="E7323" s="84"/>
      <c r="F7323" s="84"/>
      <c r="G7323" s="84"/>
      <c r="I7323" s="237"/>
      <c r="J7323" s="238"/>
    </row>
    <row r="7324">
      <c r="C7324" s="82"/>
      <c r="E7324" s="84"/>
      <c r="F7324" s="84"/>
      <c r="G7324" s="84"/>
      <c r="I7324" s="237"/>
      <c r="J7324" s="238"/>
    </row>
    <row r="7325">
      <c r="C7325" s="82"/>
      <c r="E7325" s="84"/>
      <c r="F7325" s="84"/>
      <c r="G7325" s="84"/>
      <c r="I7325" s="237"/>
      <c r="J7325" s="238"/>
    </row>
    <row r="7326">
      <c r="C7326" s="82"/>
      <c r="E7326" s="84"/>
      <c r="F7326" s="84"/>
      <c r="G7326" s="84"/>
      <c r="I7326" s="237"/>
      <c r="J7326" s="238"/>
    </row>
    <row r="7327">
      <c r="C7327" s="82"/>
      <c r="E7327" s="84"/>
      <c r="F7327" s="84"/>
      <c r="G7327" s="84"/>
      <c r="I7327" s="237"/>
      <c r="J7327" s="238"/>
    </row>
    <row r="7328">
      <c r="C7328" s="82"/>
      <c r="E7328" s="84"/>
      <c r="F7328" s="84"/>
      <c r="G7328" s="84"/>
      <c r="I7328" s="237"/>
      <c r="J7328" s="238"/>
    </row>
    <row r="7329">
      <c r="C7329" s="82"/>
      <c r="E7329" s="84"/>
      <c r="F7329" s="84"/>
      <c r="G7329" s="84"/>
      <c r="I7329" s="237"/>
      <c r="J7329" s="238"/>
    </row>
    <row r="7330">
      <c r="C7330" s="82"/>
      <c r="E7330" s="84"/>
      <c r="F7330" s="84"/>
      <c r="G7330" s="84"/>
      <c r="I7330" s="237"/>
      <c r="J7330" s="238"/>
    </row>
    <row r="7331">
      <c r="C7331" s="82"/>
      <c r="E7331" s="84"/>
      <c r="F7331" s="84"/>
      <c r="G7331" s="84"/>
      <c r="I7331" s="237"/>
      <c r="J7331" s="238"/>
    </row>
    <row r="7332">
      <c r="C7332" s="82"/>
      <c r="E7332" s="84"/>
      <c r="F7332" s="84"/>
      <c r="G7332" s="84"/>
      <c r="I7332" s="237"/>
      <c r="J7332" s="238"/>
    </row>
    <row r="7333">
      <c r="C7333" s="82"/>
      <c r="E7333" s="84"/>
      <c r="F7333" s="84"/>
      <c r="G7333" s="84"/>
      <c r="I7333" s="237"/>
      <c r="J7333" s="238"/>
    </row>
    <row r="7334">
      <c r="C7334" s="82"/>
      <c r="E7334" s="84"/>
      <c r="F7334" s="84"/>
      <c r="G7334" s="84"/>
      <c r="I7334" s="237"/>
      <c r="J7334" s="238"/>
    </row>
    <row r="7335">
      <c r="C7335" s="82"/>
      <c r="E7335" s="84"/>
      <c r="F7335" s="84"/>
      <c r="G7335" s="84"/>
      <c r="I7335" s="237"/>
      <c r="J7335" s="238"/>
    </row>
    <row r="7336">
      <c r="C7336" s="82"/>
      <c r="E7336" s="84"/>
      <c r="F7336" s="84"/>
      <c r="G7336" s="84"/>
      <c r="I7336" s="237"/>
      <c r="J7336" s="238"/>
    </row>
    <row r="7337">
      <c r="C7337" s="82"/>
      <c r="E7337" s="84"/>
      <c r="F7337" s="84"/>
      <c r="G7337" s="84"/>
      <c r="I7337" s="237"/>
      <c r="J7337" s="238"/>
    </row>
    <row r="7338">
      <c r="C7338" s="82"/>
      <c r="E7338" s="84"/>
      <c r="F7338" s="84"/>
      <c r="G7338" s="84"/>
      <c r="I7338" s="237"/>
      <c r="J7338" s="238"/>
    </row>
    <row r="7339">
      <c r="C7339" s="82"/>
      <c r="E7339" s="84"/>
      <c r="F7339" s="84"/>
      <c r="G7339" s="84"/>
      <c r="I7339" s="237"/>
      <c r="J7339" s="238"/>
    </row>
    <row r="7340">
      <c r="C7340" s="82"/>
      <c r="E7340" s="84"/>
      <c r="F7340" s="84"/>
      <c r="G7340" s="84"/>
      <c r="I7340" s="237"/>
      <c r="J7340" s="238"/>
    </row>
    <row r="7341">
      <c r="C7341" s="82"/>
      <c r="E7341" s="84"/>
      <c r="F7341" s="84"/>
      <c r="G7341" s="84"/>
      <c r="I7341" s="237"/>
      <c r="J7341" s="238"/>
    </row>
    <row r="7342">
      <c r="C7342" s="82"/>
      <c r="E7342" s="84"/>
      <c r="F7342" s="84"/>
      <c r="G7342" s="84"/>
      <c r="I7342" s="237"/>
      <c r="J7342" s="238"/>
    </row>
    <row r="7343">
      <c r="C7343" s="82"/>
      <c r="E7343" s="84"/>
      <c r="F7343" s="84"/>
      <c r="G7343" s="84"/>
      <c r="I7343" s="237"/>
      <c r="J7343" s="238"/>
    </row>
    <row r="7344">
      <c r="C7344" s="82"/>
      <c r="E7344" s="84"/>
      <c r="F7344" s="84"/>
      <c r="G7344" s="84"/>
      <c r="I7344" s="237"/>
      <c r="J7344" s="238"/>
    </row>
    <row r="7345">
      <c r="C7345" s="82"/>
      <c r="E7345" s="84"/>
      <c r="F7345" s="84"/>
      <c r="G7345" s="84"/>
      <c r="I7345" s="237"/>
      <c r="J7345" s="238"/>
    </row>
    <row r="7346">
      <c r="C7346" s="82"/>
      <c r="E7346" s="84"/>
      <c r="F7346" s="84"/>
      <c r="G7346" s="84"/>
      <c r="I7346" s="237"/>
      <c r="J7346" s="238"/>
    </row>
    <row r="7347">
      <c r="C7347" s="82"/>
      <c r="E7347" s="84"/>
      <c r="F7347" s="84"/>
      <c r="G7347" s="84"/>
      <c r="I7347" s="237"/>
      <c r="J7347" s="238"/>
    </row>
    <row r="7348">
      <c r="C7348" s="82"/>
      <c r="E7348" s="84"/>
      <c r="F7348" s="84"/>
      <c r="G7348" s="84"/>
      <c r="I7348" s="237"/>
      <c r="J7348" s="238"/>
    </row>
    <row r="7349">
      <c r="C7349" s="82"/>
      <c r="E7349" s="84"/>
      <c r="F7349" s="84"/>
      <c r="G7349" s="84"/>
      <c r="I7349" s="237"/>
      <c r="J7349" s="238"/>
    </row>
    <row r="7350">
      <c r="C7350" s="82"/>
      <c r="E7350" s="84"/>
      <c r="F7350" s="84"/>
      <c r="G7350" s="84"/>
      <c r="I7350" s="237"/>
      <c r="J7350" s="238"/>
    </row>
    <row r="7351">
      <c r="C7351" s="82"/>
      <c r="E7351" s="84"/>
      <c r="F7351" s="84"/>
      <c r="G7351" s="84"/>
      <c r="I7351" s="237"/>
      <c r="J7351" s="238"/>
    </row>
    <row r="7352">
      <c r="C7352" s="82"/>
      <c r="E7352" s="84"/>
      <c r="F7352" s="84"/>
      <c r="G7352" s="84"/>
      <c r="I7352" s="237"/>
      <c r="J7352" s="238"/>
    </row>
    <row r="7353">
      <c r="C7353" s="82"/>
      <c r="E7353" s="84"/>
      <c r="F7353" s="84"/>
      <c r="G7353" s="84"/>
      <c r="I7353" s="237"/>
      <c r="J7353" s="238"/>
    </row>
    <row r="7354">
      <c r="C7354" s="82"/>
      <c r="E7354" s="84"/>
      <c r="F7354" s="84"/>
      <c r="G7354" s="84"/>
      <c r="I7354" s="237"/>
      <c r="J7354" s="238"/>
    </row>
    <row r="7355">
      <c r="C7355" s="82"/>
      <c r="E7355" s="84"/>
      <c r="F7355" s="84"/>
      <c r="G7355" s="84"/>
      <c r="I7355" s="237"/>
      <c r="J7355" s="238"/>
    </row>
    <row r="7356">
      <c r="C7356" s="82"/>
      <c r="E7356" s="84"/>
      <c r="F7356" s="84"/>
      <c r="G7356" s="84"/>
      <c r="I7356" s="237"/>
      <c r="J7356" s="238"/>
    </row>
    <row r="7357">
      <c r="C7357" s="82"/>
      <c r="E7357" s="84"/>
      <c r="F7357" s="84"/>
      <c r="G7357" s="84"/>
      <c r="I7357" s="237"/>
      <c r="J7357" s="238"/>
    </row>
    <row r="7358">
      <c r="C7358" s="82"/>
      <c r="E7358" s="84"/>
      <c r="F7358" s="84"/>
      <c r="G7358" s="84"/>
      <c r="I7358" s="237"/>
      <c r="J7358" s="238"/>
    </row>
    <row r="7359">
      <c r="C7359" s="82"/>
      <c r="E7359" s="84"/>
      <c r="F7359" s="84"/>
      <c r="G7359" s="84"/>
      <c r="I7359" s="237"/>
      <c r="J7359" s="238"/>
    </row>
    <row r="7360">
      <c r="C7360" s="82"/>
      <c r="E7360" s="84"/>
      <c r="F7360" s="84"/>
      <c r="G7360" s="84"/>
      <c r="I7360" s="237"/>
      <c r="J7360" s="238"/>
    </row>
    <row r="7361">
      <c r="C7361" s="82"/>
      <c r="E7361" s="84"/>
      <c r="F7361" s="84"/>
      <c r="G7361" s="84"/>
      <c r="I7361" s="237"/>
      <c r="J7361" s="238"/>
    </row>
    <row r="7362">
      <c r="C7362" s="82"/>
      <c r="E7362" s="84"/>
      <c r="F7362" s="84"/>
      <c r="G7362" s="84"/>
      <c r="I7362" s="237"/>
      <c r="J7362" s="238"/>
    </row>
    <row r="7363">
      <c r="C7363" s="82"/>
      <c r="E7363" s="84"/>
      <c r="F7363" s="84"/>
      <c r="G7363" s="84"/>
      <c r="I7363" s="237"/>
      <c r="J7363" s="238"/>
    </row>
    <row r="7364">
      <c r="C7364" s="82"/>
      <c r="E7364" s="84"/>
      <c r="F7364" s="84"/>
      <c r="G7364" s="84"/>
      <c r="I7364" s="237"/>
      <c r="J7364" s="238"/>
    </row>
    <row r="7365">
      <c r="C7365" s="82"/>
      <c r="E7365" s="84"/>
      <c r="F7365" s="84"/>
      <c r="G7365" s="84"/>
      <c r="I7365" s="237"/>
      <c r="J7365" s="238"/>
    </row>
    <row r="7366">
      <c r="C7366" s="82"/>
      <c r="E7366" s="84"/>
      <c r="F7366" s="84"/>
      <c r="G7366" s="84"/>
      <c r="I7366" s="237"/>
      <c r="J7366" s="238"/>
    </row>
    <row r="7367">
      <c r="C7367" s="82"/>
      <c r="E7367" s="84"/>
      <c r="F7367" s="84"/>
      <c r="G7367" s="84"/>
      <c r="I7367" s="237"/>
      <c r="J7367" s="238"/>
    </row>
    <row r="7368">
      <c r="C7368" s="82"/>
      <c r="E7368" s="84"/>
      <c r="F7368" s="84"/>
      <c r="G7368" s="84"/>
      <c r="I7368" s="237"/>
      <c r="J7368" s="238"/>
    </row>
    <row r="7369">
      <c r="C7369" s="82"/>
      <c r="E7369" s="84"/>
      <c r="F7369" s="84"/>
      <c r="G7369" s="84"/>
      <c r="I7369" s="237"/>
      <c r="J7369" s="238"/>
    </row>
    <row r="7370">
      <c r="C7370" s="82"/>
      <c r="E7370" s="84"/>
      <c r="F7370" s="84"/>
      <c r="G7370" s="84"/>
      <c r="I7370" s="237"/>
      <c r="J7370" s="238"/>
    </row>
    <row r="7371">
      <c r="C7371" s="82"/>
      <c r="E7371" s="84"/>
      <c r="F7371" s="84"/>
      <c r="G7371" s="84"/>
      <c r="I7371" s="237"/>
      <c r="J7371" s="238"/>
    </row>
    <row r="7372">
      <c r="C7372" s="82"/>
      <c r="E7372" s="84"/>
      <c r="F7372" s="84"/>
      <c r="G7372" s="84"/>
      <c r="I7372" s="237"/>
      <c r="J7372" s="238"/>
    </row>
    <row r="7373">
      <c r="C7373" s="82"/>
      <c r="E7373" s="84"/>
      <c r="F7373" s="84"/>
      <c r="G7373" s="84"/>
      <c r="I7373" s="237"/>
      <c r="J7373" s="238"/>
    </row>
    <row r="7374">
      <c r="C7374" s="82"/>
      <c r="E7374" s="84"/>
      <c r="F7374" s="84"/>
      <c r="G7374" s="84"/>
      <c r="I7374" s="237"/>
      <c r="J7374" s="238"/>
    </row>
    <row r="7375">
      <c r="C7375" s="82"/>
      <c r="E7375" s="84"/>
      <c r="F7375" s="84"/>
      <c r="G7375" s="84"/>
      <c r="I7375" s="237"/>
      <c r="J7375" s="238"/>
    </row>
    <row r="7376">
      <c r="C7376" s="82"/>
      <c r="E7376" s="84"/>
      <c r="F7376" s="84"/>
      <c r="G7376" s="84"/>
      <c r="I7376" s="237"/>
      <c r="J7376" s="238"/>
    </row>
    <row r="7377">
      <c r="C7377" s="82"/>
      <c r="E7377" s="84"/>
      <c r="F7377" s="84"/>
      <c r="G7377" s="84"/>
      <c r="I7377" s="237"/>
      <c r="J7377" s="238"/>
    </row>
    <row r="7378">
      <c r="C7378" s="82"/>
      <c r="E7378" s="84"/>
      <c r="F7378" s="84"/>
      <c r="G7378" s="84"/>
      <c r="I7378" s="237"/>
      <c r="J7378" s="238"/>
    </row>
    <row r="7379">
      <c r="C7379" s="82"/>
      <c r="E7379" s="84"/>
      <c r="F7379" s="84"/>
      <c r="G7379" s="84"/>
      <c r="I7379" s="237"/>
      <c r="J7379" s="238"/>
    </row>
    <row r="7380">
      <c r="C7380" s="82"/>
      <c r="E7380" s="84"/>
      <c r="F7380" s="84"/>
      <c r="G7380" s="84"/>
      <c r="I7380" s="237"/>
      <c r="J7380" s="238"/>
    </row>
    <row r="7381">
      <c r="C7381" s="82"/>
      <c r="E7381" s="84"/>
      <c r="F7381" s="84"/>
      <c r="G7381" s="84"/>
      <c r="I7381" s="237"/>
      <c r="J7381" s="238"/>
    </row>
    <row r="7382">
      <c r="C7382" s="82"/>
      <c r="E7382" s="84"/>
      <c r="F7382" s="84"/>
      <c r="G7382" s="84"/>
      <c r="I7382" s="237"/>
      <c r="J7382" s="238"/>
    </row>
    <row r="7383">
      <c r="C7383" s="82"/>
      <c r="E7383" s="84"/>
      <c r="F7383" s="84"/>
      <c r="G7383" s="84"/>
      <c r="I7383" s="237"/>
      <c r="J7383" s="238"/>
    </row>
    <row r="7384">
      <c r="C7384" s="82"/>
      <c r="E7384" s="84"/>
      <c r="F7384" s="84"/>
      <c r="G7384" s="84"/>
      <c r="I7384" s="237"/>
      <c r="J7384" s="238"/>
    </row>
    <row r="7385">
      <c r="C7385" s="82"/>
      <c r="E7385" s="84"/>
      <c r="F7385" s="84"/>
      <c r="G7385" s="84"/>
      <c r="I7385" s="237"/>
      <c r="J7385" s="238"/>
    </row>
    <row r="7386">
      <c r="C7386" s="82"/>
      <c r="E7386" s="84"/>
      <c r="F7386" s="84"/>
      <c r="G7386" s="84"/>
      <c r="I7386" s="237"/>
      <c r="J7386" s="238"/>
    </row>
    <row r="7387">
      <c r="C7387" s="82"/>
      <c r="E7387" s="84"/>
      <c r="F7387" s="84"/>
      <c r="G7387" s="84"/>
      <c r="I7387" s="237"/>
      <c r="J7387" s="238"/>
    </row>
    <row r="7388">
      <c r="C7388" s="82"/>
      <c r="E7388" s="84"/>
      <c r="F7388" s="84"/>
      <c r="G7388" s="84"/>
      <c r="I7388" s="237"/>
      <c r="J7388" s="238"/>
    </row>
    <row r="7389">
      <c r="C7389" s="82"/>
      <c r="E7389" s="84"/>
      <c r="F7389" s="84"/>
      <c r="G7389" s="84"/>
      <c r="I7389" s="237"/>
      <c r="J7389" s="238"/>
    </row>
    <row r="7390">
      <c r="C7390" s="82"/>
      <c r="E7390" s="84"/>
      <c r="F7390" s="84"/>
      <c r="G7390" s="84"/>
      <c r="I7390" s="237"/>
      <c r="J7390" s="238"/>
    </row>
    <row r="7391">
      <c r="C7391" s="82"/>
      <c r="E7391" s="84"/>
      <c r="F7391" s="84"/>
      <c r="G7391" s="84"/>
      <c r="I7391" s="237"/>
      <c r="J7391" s="238"/>
    </row>
    <row r="7392">
      <c r="C7392" s="82"/>
      <c r="E7392" s="84"/>
      <c r="F7392" s="84"/>
      <c r="G7392" s="84"/>
      <c r="I7392" s="237"/>
      <c r="J7392" s="238"/>
    </row>
    <row r="7393">
      <c r="C7393" s="82"/>
      <c r="E7393" s="84"/>
      <c r="F7393" s="84"/>
      <c r="G7393" s="84"/>
      <c r="I7393" s="237"/>
      <c r="J7393" s="238"/>
    </row>
    <row r="7394">
      <c r="C7394" s="82"/>
      <c r="E7394" s="84"/>
      <c r="F7394" s="84"/>
      <c r="G7394" s="84"/>
      <c r="I7394" s="237"/>
      <c r="J7394" s="238"/>
    </row>
    <row r="7395">
      <c r="C7395" s="82"/>
      <c r="E7395" s="84"/>
      <c r="F7395" s="84"/>
      <c r="G7395" s="84"/>
      <c r="I7395" s="237"/>
      <c r="J7395" s="238"/>
    </row>
    <row r="7396">
      <c r="C7396" s="82"/>
      <c r="E7396" s="84"/>
      <c r="F7396" s="84"/>
      <c r="G7396" s="84"/>
      <c r="I7396" s="237"/>
      <c r="J7396" s="238"/>
    </row>
    <row r="7397">
      <c r="C7397" s="82"/>
      <c r="E7397" s="84"/>
      <c r="F7397" s="84"/>
      <c r="G7397" s="84"/>
      <c r="I7397" s="237"/>
      <c r="J7397" s="238"/>
    </row>
    <row r="7398">
      <c r="C7398" s="82"/>
      <c r="E7398" s="84"/>
      <c r="F7398" s="84"/>
      <c r="G7398" s="84"/>
      <c r="I7398" s="237"/>
      <c r="J7398" s="238"/>
    </row>
    <row r="7399">
      <c r="C7399" s="82"/>
      <c r="E7399" s="84"/>
      <c r="F7399" s="84"/>
      <c r="G7399" s="84"/>
      <c r="I7399" s="237"/>
      <c r="J7399" s="238"/>
    </row>
    <row r="7400">
      <c r="C7400" s="82"/>
      <c r="E7400" s="84"/>
      <c r="F7400" s="84"/>
      <c r="G7400" s="84"/>
      <c r="I7400" s="237"/>
      <c r="J7400" s="238"/>
    </row>
    <row r="7401">
      <c r="C7401" s="82"/>
      <c r="E7401" s="84"/>
      <c r="F7401" s="84"/>
      <c r="G7401" s="84"/>
      <c r="I7401" s="237"/>
      <c r="J7401" s="238"/>
    </row>
    <row r="7402">
      <c r="C7402" s="82"/>
      <c r="E7402" s="84"/>
      <c r="F7402" s="84"/>
      <c r="G7402" s="84"/>
      <c r="I7402" s="237"/>
      <c r="J7402" s="238"/>
    </row>
    <row r="7403">
      <c r="C7403" s="82"/>
      <c r="E7403" s="84"/>
      <c r="F7403" s="84"/>
      <c r="G7403" s="84"/>
      <c r="I7403" s="237"/>
      <c r="J7403" s="238"/>
    </row>
    <row r="7404">
      <c r="C7404" s="82"/>
      <c r="E7404" s="84"/>
      <c r="F7404" s="84"/>
      <c r="G7404" s="84"/>
      <c r="I7404" s="237"/>
      <c r="J7404" s="238"/>
    </row>
    <row r="7405">
      <c r="C7405" s="82"/>
      <c r="E7405" s="84"/>
      <c r="F7405" s="84"/>
      <c r="G7405" s="84"/>
      <c r="I7405" s="237"/>
      <c r="J7405" s="238"/>
    </row>
    <row r="7406">
      <c r="C7406" s="82"/>
      <c r="E7406" s="84"/>
      <c r="F7406" s="84"/>
      <c r="G7406" s="84"/>
      <c r="I7406" s="237"/>
      <c r="J7406" s="238"/>
    </row>
    <row r="7407">
      <c r="C7407" s="82"/>
      <c r="E7407" s="84"/>
      <c r="F7407" s="84"/>
      <c r="G7407" s="84"/>
      <c r="I7407" s="237"/>
      <c r="J7407" s="238"/>
    </row>
    <row r="7408">
      <c r="C7408" s="82"/>
      <c r="E7408" s="84"/>
      <c r="F7408" s="84"/>
      <c r="G7408" s="84"/>
      <c r="I7408" s="237"/>
      <c r="J7408" s="238"/>
    </row>
    <row r="7409">
      <c r="C7409" s="82"/>
      <c r="E7409" s="84"/>
      <c r="F7409" s="84"/>
      <c r="G7409" s="84"/>
      <c r="I7409" s="237"/>
      <c r="J7409" s="238"/>
    </row>
    <row r="7410">
      <c r="C7410" s="82"/>
      <c r="E7410" s="84"/>
      <c r="F7410" s="84"/>
      <c r="G7410" s="84"/>
      <c r="I7410" s="237"/>
      <c r="J7410" s="238"/>
    </row>
    <row r="7411">
      <c r="C7411" s="82"/>
      <c r="E7411" s="84"/>
      <c r="F7411" s="84"/>
      <c r="G7411" s="84"/>
      <c r="I7411" s="237"/>
      <c r="J7411" s="238"/>
    </row>
    <row r="7412">
      <c r="C7412" s="82"/>
      <c r="E7412" s="84"/>
      <c r="F7412" s="84"/>
      <c r="G7412" s="84"/>
      <c r="I7412" s="237"/>
      <c r="J7412" s="238"/>
    </row>
    <row r="7413">
      <c r="C7413" s="82"/>
      <c r="E7413" s="84"/>
      <c r="F7413" s="84"/>
      <c r="G7413" s="84"/>
      <c r="I7413" s="237"/>
      <c r="J7413" s="238"/>
    </row>
    <row r="7414">
      <c r="C7414" s="82"/>
      <c r="E7414" s="84"/>
      <c r="F7414" s="84"/>
      <c r="G7414" s="84"/>
      <c r="I7414" s="237"/>
      <c r="J7414" s="238"/>
    </row>
    <row r="7415">
      <c r="C7415" s="82"/>
      <c r="E7415" s="84"/>
      <c r="F7415" s="84"/>
      <c r="G7415" s="84"/>
      <c r="I7415" s="237"/>
      <c r="J7415" s="238"/>
    </row>
    <row r="7416">
      <c r="C7416" s="82"/>
      <c r="E7416" s="84"/>
      <c r="F7416" s="84"/>
      <c r="G7416" s="84"/>
      <c r="I7416" s="237"/>
      <c r="J7416" s="238"/>
    </row>
    <row r="7417">
      <c r="C7417" s="82"/>
      <c r="E7417" s="84"/>
      <c r="F7417" s="84"/>
      <c r="G7417" s="84"/>
      <c r="I7417" s="237"/>
      <c r="J7417" s="238"/>
    </row>
    <row r="7418">
      <c r="C7418" s="82"/>
      <c r="E7418" s="84"/>
      <c r="F7418" s="84"/>
      <c r="G7418" s="84"/>
      <c r="I7418" s="237"/>
      <c r="J7418" s="238"/>
    </row>
    <row r="7419">
      <c r="C7419" s="82"/>
      <c r="E7419" s="84"/>
      <c r="F7419" s="84"/>
      <c r="G7419" s="84"/>
      <c r="I7419" s="237"/>
      <c r="J7419" s="238"/>
    </row>
    <row r="7420">
      <c r="C7420" s="82"/>
      <c r="E7420" s="84"/>
      <c r="F7420" s="84"/>
      <c r="G7420" s="84"/>
      <c r="I7420" s="237"/>
      <c r="J7420" s="238"/>
    </row>
    <row r="7421">
      <c r="C7421" s="82"/>
      <c r="E7421" s="84"/>
      <c r="F7421" s="84"/>
      <c r="G7421" s="84"/>
      <c r="I7421" s="237"/>
      <c r="J7421" s="238"/>
    </row>
    <row r="7422">
      <c r="C7422" s="82"/>
      <c r="E7422" s="84"/>
      <c r="F7422" s="84"/>
      <c r="G7422" s="84"/>
      <c r="I7422" s="237"/>
      <c r="J7422" s="238"/>
    </row>
    <row r="7423">
      <c r="C7423" s="82"/>
      <c r="E7423" s="84"/>
      <c r="F7423" s="84"/>
      <c r="G7423" s="84"/>
      <c r="I7423" s="237"/>
      <c r="J7423" s="238"/>
    </row>
    <row r="7424">
      <c r="C7424" s="82"/>
      <c r="E7424" s="84"/>
      <c r="F7424" s="84"/>
      <c r="G7424" s="84"/>
      <c r="I7424" s="237"/>
      <c r="J7424" s="238"/>
    </row>
    <row r="7425">
      <c r="C7425" s="82"/>
      <c r="E7425" s="84"/>
      <c r="F7425" s="84"/>
      <c r="G7425" s="84"/>
      <c r="I7425" s="237"/>
      <c r="J7425" s="238"/>
    </row>
    <row r="7426">
      <c r="C7426" s="82"/>
      <c r="E7426" s="84"/>
      <c r="F7426" s="84"/>
      <c r="G7426" s="84"/>
      <c r="I7426" s="237"/>
      <c r="J7426" s="238"/>
    </row>
    <row r="7427">
      <c r="C7427" s="82"/>
      <c r="E7427" s="84"/>
      <c r="F7427" s="84"/>
      <c r="G7427" s="84"/>
      <c r="I7427" s="237"/>
      <c r="J7427" s="238"/>
    </row>
    <row r="7428">
      <c r="C7428" s="82"/>
      <c r="E7428" s="84"/>
      <c r="F7428" s="84"/>
      <c r="G7428" s="84"/>
      <c r="I7428" s="237"/>
      <c r="J7428" s="238"/>
    </row>
    <row r="7429">
      <c r="C7429" s="82"/>
      <c r="E7429" s="84"/>
      <c r="F7429" s="84"/>
      <c r="G7429" s="84"/>
      <c r="I7429" s="237"/>
      <c r="J7429" s="238"/>
    </row>
    <row r="7430">
      <c r="C7430" s="82"/>
      <c r="E7430" s="84"/>
      <c r="F7430" s="84"/>
      <c r="G7430" s="84"/>
      <c r="I7430" s="237"/>
      <c r="J7430" s="238"/>
    </row>
    <row r="7431">
      <c r="C7431" s="82"/>
      <c r="E7431" s="84"/>
      <c r="F7431" s="84"/>
      <c r="G7431" s="84"/>
      <c r="I7431" s="237"/>
      <c r="J7431" s="238"/>
    </row>
    <row r="7432">
      <c r="C7432" s="82"/>
      <c r="E7432" s="84"/>
      <c r="F7432" s="84"/>
      <c r="G7432" s="84"/>
      <c r="I7432" s="237"/>
      <c r="J7432" s="238"/>
    </row>
    <row r="7433">
      <c r="C7433" s="82"/>
      <c r="E7433" s="84"/>
      <c r="F7433" s="84"/>
      <c r="G7433" s="84"/>
      <c r="I7433" s="237"/>
      <c r="J7433" s="238"/>
    </row>
    <row r="7434">
      <c r="C7434" s="82"/>
      <c r="E7434" s="84"/>
      <c r="F7434" s="84"/>
      <c r="G7434" s="84"/>
      <c r="I7434" s="237"/>
      <c r="J7434" s="238"/>
    </row>
    <row r="7435">
      <c r="C7435" s="82"/>
      <c r="E7435" s="84"/>
      <c r="F7435" s="84"/>
      <c r="G7435" s="84"/>
      <c r="I7435" s="237"/>
      <c r="J7435" s="238"/>
    </row>
    <row r="7436">
      <c r="C7436" s="82"/>
      <c r="E7436" s="84"/>
      <c r="F7436" s="84"/>
      <c r="G7436" s="84"/>
      <c r="I7436" s="237"/>
      <c r="J7436" s="238"/>
    </row>
    <row r="7437">
      <c r="C7437" s="82"/>
      <c r="E7437" s="84"/>
      <c r="F7437" s="84"/>
      <c r="G7437" s="84"/>
      <c r="I7437" s="237"/>
      <c r="J7437" s="238"/>
    </row>
    <row r="7438">
      <c r="C7438" s="82"/>
      <c r="E7438" s="84"/>
      <c r="F7438" s="84"/>
      <c r="G7438" s="84"/>
      <c r="I7438" s="237"/>
      <c r="J7438" s="238"/>
    </row>
    <row r="7439">
      <c r="C7439" s="82"/>
      <c r="E7439" s="84"/>
      <c r="F7439" s="84"/>
      <c r="G7439" s="84"/>
      <c r="I7439" s="237"/>
      <c r="J7439" s="238"/>
    </row>
    <row r="7440">
      <c r="C7440" s="82"/>
      <c r="E7440" s="84"/>
      <c r="F7440" s="84"/>
      <c r="G7440" s="84"/>
      <c r="I7440" s="237"/>
      <c r="J7440" s="238"/>
    </row>
    <row r="7441">
      <c r="C7441" s="82"/>
      <c r="E7441" s="84"/>
      <c r="F7441" s="84"/>
      <c r="G7441" s="84"/>
      <c r="I7441" s="237"/>
      <c r="J7441" s="238"/>
    </row>
    <row r="7442">
      <c r="C7442" s="82"/>
      <c r="E7442" s="84"/>
      <c r="F7442" s="84"/>
      <c r="G7442" s="84"/>
      <c r="I7442" s="237"/>
      <c r="J7442" s="238"/>
    </row>
    <row r="7443">
      <c r="C7443" s="82"/>
      <c r="E7443" s="84"/>
      <c r="F7443" s="84"/>
      <c r="G7443" s="84"/>
      <c r="I7443" s="237"/>
      <c r="J7443" s="238"/>
    </row>
    <row r="7444">
      <c r="C7444" s="82"/>
      <c r="E7444" s="84"/>
      <c r="F7444" s="84"/>
      <c r="G7444" s="84"/>
      <c r="I7444" s="237"/>
      <c r="J7444" s="238"/>
    </row>
    <row r="7445">
      <c r="C7445" s="82"/>
      <c r="E7445" s="84"/>
      <c r="F7445" s="84"/>
      <c r="G7445" s="84"/>
      <c r="I7445" s="237"/>
      <c r="J7445" s="238"/>
    </row>
    <row r="7446">
      <c r="C7446" s="82"/>
      <c r="E7446" s="84"/>
      <c r="F7446" s="84"/>
      <c r="G7446" s="84"/>
      <c r="I7446" s="237"/>
      <c r="J7446" s="238"/>
    </row>
    <row r="7447">
      <c r="C7447" s="82"/>
      <c r="E7447" s="84"/>
      <c r="F7447" s="84"/>
      <c r="G7447" s="84"/>
      <c r="I7447" s="237"/>
      <c r="J7447" s="238"/>
    </row>
    <row r="7448">
      <c r="C7448" s="82"/>
      <c r="E7448" s="84"/>
      <c r="F7448" s="84"/>
      <c r="G7448" s="84"/>
      <c r="I7448" s="237"/>
      <c r="J7448" s="238"/>
    </row>
    <row r="7449">
      <c r="C7449" s="82"/>
      <c r="E7449" s="84"/>
      <c r="F7449" s="84"/>
      <c r="G7449" s="84"/>
      <c r="I7449" s="237"/>
      <c r="J7449" s="238"/>
    </row>
    <row r="7450">
      <c r="C7450" s="82"/>
      <c r="E7450" s="84"/>
      <c r="F7450" s="84"/>
      <c r="G7450" s="84"/>
      <c r="I7450" s="237"/>
      <c r="J7450" s="238"/>
    </row>
    <row r="7451">
      <c r="C7451" s="82"/>
      <c r="E7451" s="84"/>
      <c r="F7451" s="84"/>
      <c r="G7451" s="84"/>
      <c r="I7451" s="237"/>
      <c r="J7451" s="238"/>
    </row>
    <row r="7452">
      <c r="C7452" s="82"/>
      <c r="E7452" s="84"/>
      <c r="F7452" s="84"/>
      <c r="G7452" s="84"/>
      <c r="I7452" s="237"/>
      <c r="J7452" s="238"/>
    </row>
    <row r="7453">
      <c r="C7453" s="82"/>
      <c r="E7453" s="84"/>
      <c r="F7453" s="84"/>
      <c r="G7453" s="84"/>
      <c r="I7453" s="237"/>
      <c r="J7453" s="238"/>
    </row>
    <row r="7454">
      <c r="C7454" s="82"/>
      <c r="E7454" s="84"/>
      <c r="F7454" s="84"/>
      <c r="G7454" s="84"/>
      <c r="I7454" s="237"/>
      <c r="J7454" s="238"/>
    </row>
    <row r="7455">
      <c r="C7455" s="82"/>
      <c r="E7455" s="84"/>
      <c r="F7455" s="84"/>
      <c r="G7455" s="84"/>
      <c r="I7455" s="237"/>
      <c r="J7455" s="238"/>
    </row>
    <row r="7456">
      <c r="C7456" s="82"/>
      <c r="E7456" s="84"/>
      <c r="F7456" s="84"/>
      <c r="G7456" s="84"/>
      <c r="I7456" s="237"/>
      <c r="J7456" s="238"/>
    </row>
    <row r="7457">
      <c r="C7457" s="82"/>
      <c r="E7457" s="84"/>
      <c r="F7457" s="84"/>
      <c r="G7457" s="84"/>
      <c r="I7457" s="237"/>
      <c r="J7457" s="238"/>
    </row>
    <row r="7458">
      <c r="C7458" s="82"/>
      <c r="E7458" s="84"/>
      <c r="F7458" s="84"/>
      <c r="G7458" s="84"/>
      <c r="I7458" s="237"/>
      <c r="J7458" s="238"/>
    </row>
    <row r="7459">
      <c r="C7459" s="82"/>
      <c r="E7459" s="84"/>
      <c r="F7459" s="84"/>
      <c r="G7459" s="84"/>
      <c r="I7459" s="237"/>
      <c r="J7459" s="238"/>
    </row>
    <row r="7460">
      <c r="C7460" s="82"/>
      <c r="E7460" s="84"/>
      <c r="F7460" s="84"/>
      <c r="G7460" s="84"/>
      <c r="I7460" s="237"/>
      <c r="J7460" s="238"/>
    </row>
    <row r="7461">
      <c r="C7461" s="82"/>
      <c r="E7461" s="84"/>
      <c r="F7461" s="84"/>
      <c r="G7461" s="84"/>
      <c r="I7461" s="237"/>
      <c r="J7461" s="238"/>
    </row>
    <row r="7462">
      <c r="C7462" s="82"/>
      <c r="E7462" s="84"/>
      <c r="F7462" s="84"/>
      <c r="G7462" s="84"/>
      <c r="I7462" s="237"/>
      <c r="J7462" s="238"/>
    </row>
    <row r="7463">
      <c r="C7463" s="82"/>
      <c r="E7463" s="84"/>
      <c r="F7463" s="84"/>
      <c r="G7463" s="84"/>
      <c r="I7463" s="237"/>
      <c r="J7463" s="238"/>
    </row>
    <row r="7464">
      <c r="C7464" s="82"/>
      <c r="E7464" s="84"/>
      <c r="F7464" s="84"/>
      <c r="G7464" s="84"/>
      <c r="I7464" s="237"/>
      <c r="J7464" s="238"/>
    </row>
    <row r="7465">
      <c r="C7465" s="82"/>
      <c r="E7465" s="84"/>
      <c r="F7465" s="84"/>
      <c r="G7465" s="84"/>
      <c r="I7465" s="237"/>
      <c r="J7465" s="238"/>
    </row>
    <row r="7466">
      <c r="C7466" s="82"/>
      <c r="E7466" s="84"/>
      <c r="F7466" s="84"/>
      <c r="G7466" s="84"/>
      <c r="I7466" s="237"/>
      <c r="J7466" s="238"/>
    </row>
    <row r="7467">
      <c r="C7467" s="82"/>
      <c r="E7467" s="84"/>
      <c r="F7467" s="84"/>
      <c r="G7467" s="84"/>
      <c r="I7467" s="237"/>
      <c r="J7467" s="238"/>
    </row>
    <row r="7468">
      <c r="C7468" s="82"/>
      <c r="E7468" s="84"/>
      <c r="F7468" s="84"/>
      <c r="G7468" s="84"/>
      <c r="I7468" s="237"/>
      <c r="J7468" s="238"/>
    </row>
    <row r="7469">
      <c r="C7469" s="82"/>
      <c r="E7469" s="84"/>
      <c r="F7469" s="84"/>
      <c r="G7469" s="84"/>
      <c r="I7469" s="237"/>
      <c r="J7469" s="238"/>
    </row>
    <row r="7470">
      <c r="C7470" s="82"/>
      <c r="E7470" s="84"/>
      <c r="F7470" s="84"/>
      <c r="G7470" s="84"/>
      <c r="I7470" s="237"/>
      <c r="J7470" s="238"/>
    </row>
    <row r="7471">
      <c r="C7471" s="82"/>
      <c r="E7471" s="84"/>
      <c r="F7471" s="84"/>
      <c r="G7471" s="84"/>
      <c r="I7471" s="237"/>
      <c r="J7471" s="238"/>
    </row>
    <row r="7472">
      <c r="C7472" s="82"/>
      <c r="E7472" s="84"/>
      <c r="F7472" s="84"/>
      <c r="G7472" s="84"/>
      <c r="I7472" s="237"/>
      <c r="J7472" s="238"/>
    </row>
    <row r="7473">
      <c r="C7473" s="82"/>
      <c r="E7473" s="84"/>
      <c r="F7473" s="84"/>
      <c r="G7473" s="84"/>
      <c r="I7473" s="237"/>
      <c r="J7473" s="238"/>
    </row>
    <row r="7474">
      <c r="C7474" s="82"/>
      <c r="E7474" s="84"/>
      <c r="F7474" s="84"/>
      <c r="G7474" s="84"/>
      <c r="I7474" s="237"/>
      <c r="J7474" s="238"/>
    </row>
    <row r="7475">
      <c r="C7475" s="82"/>
      <c r="E7475" s="84"/>
      <c r="F7475" s="84"/>
      <c r="G7475" s="84"/>
      <c r="I7475" s="237"/>
      <c r="J7475" s="238"/>
    </row>
    <row r="7476">
      <c r="C7476" s="82"/>
      <c r="E7476" s="84"/>
      <c r="F7476" s="84"/>
      <c r="G7476" s="84"/>
      <c r="I7476" s="237"/>
      <c r="J7476" s="238"/>
    </row>
    <row r="7477">
      <c r="C7477" s="82"/>
      <c r="E7477" s="84"/>
      <c r="F7477" s="84"/>
      <c r="G7477" s="84"/>
      <c r="I7477" s="237"/>
      <c r="J7477" s="238"/>
    </row>
    <row r="7478">
      <c r="C7478" s="82"/>
      <c r="E7478" s="84"/>
      <c r="F7478" s="84"/>
      <c r="G7478" s="84"/>
      <c r="I7478" s="237"/>
      <c r="J7478" s="238"/>
    </row>
    <row r="7479">
      <c r="C7479" s="82"/>
      <c r="E7479" s="84"/>
      <c r="F7479" s="84"/>
      <c r="G7479" s="84"/>
      <c r="I7479" s="237"/>
      <c r="J7479" s="238"/>
    </row>
    <row r="7480">
      <c r="C7480" s="82"/>
      <c r="E7480" s="84"/>
      <c r="F7480" s="84"/>
      <c r="G7480" s="84"/>
      <c r="I7480" s="237"/>
      <c r="J7480" s="238"/>
    </row>
    <row r="7481">
      <c r="C7481" s="82"/>
      <c r="E7481" s="84"/>
      <c r="F7481" s="84"/>
      <c r="G7481" s="84"/>
      <c r="I7481" s="237"/>
      <c r="J7481" s="238"/>
    </row>
    <row r="7482">
      <c r="C7482" s="82"/>
      <c r="E7482" s="84"/>
      <c r="F7482" s="84"/>
      <c r="G7482" s="84"/>
      <c r="I7482" s="237"/>
      <c r="J7482" s="238"/>
    </row>
    <row r="7483">
      <c r="C7483" s="82"/>
      <c r="E7483" s="84"/>
      <c r="F7483" s="84"/>
      <c r="G7483" s="84"/>
      <c r="I7483" s="237"/>
      <c r="J7483" s="238"/>
    </row>
    <row r="7484">
      <c r="C7484" s="82"/>
      <c r="E7484" s="84"/>
      <c r="F7484" s="84"/>
      <c r="G7484" s="84"/>
      <c r="I7484" s="237"/>
      <c r="J7484" s="238"/>
    </row>
    <row r="7485">
      <c r="C7485" s="82"/>
      <c r="E7485" s="84"/>
      <c r="F7485" s="84"/>
      <c r="G7485" s="84"/>
      <c r="I7485" s="237"/>
      <c r="J7485" s="238"/>
    </row>
    <row r="7486">
      <c r="C7486" s="82"/>
      <c r="E7486" s="84"/>
      <c r="F7486" s="84"/>
      <c r="G7486" s="84"/>
      <c r="I7486" s="237"/>
      <c r="J7486" s="238"/>
    </row>
    <row r="7487">
      <c r="C7487" s="82"/>
      <c r="E7487" s="84"/>
      <c r="F7487" s="84"/>
      <c r="G7487" s="84"/>
      <c r="I7487" s="237"/>
      <c r="J7487" s="238"/>
    </row>
    <row r="7488">
      <c r="C7488" s="82"/>
      <c r="E7488" s="84"/>
      <c r="F7488" s="84"/>
      <c r="G7488" s="84"/>
      <c r="I7488" s="237"/>
      <c r="J7488" s="238"/>
    </row>
    <row r="7489">
      <c r="C7489" s="82"/>
      <c r="E7489" s="84"/>
      <c r="F7489" s="84"/>
      <c r="G7489" s="84"/>
      <c r="I7489" s="237"/>
      <c r="J7489" s="238"/>
    </row>
    <row r="7490">
      <c r="C7490" s="82"/>
      <c r="E7490" s="84"/>
      <c r="F7490" s="84"/>
      <c r="G7490" s="84"/>
      <c r="I7490" s="237"/>
      <c r="J7490" s="238"/>
    </row>
    <row r="7491">
      <c r="C7491" s="82"/>
      <c r="E7491" s="84"/>
      <c r="F7491" s="84"/>
      <c r="G7491" s="84"/>
      <c r="I7491" s="237"/>
      <c r="J7491" s="238"/>
    </row>
    <row r="7492">
      <c r="C7492" s="82"/>
      <c r="E7492" s="84"/>
      <c r="F7492" s="84"/>
      <c r="G7492" s="84"/>
      <c r="I7492" s="237"/>
      <c r="J7492" s="238"/>
    </row>
    <row r="7493">
      <c r="C7493" s="82"/>
      <c r="E7493" s="84"/>
      <c r="F7493" s="84"/>
      <c r="G7493" s="84"/>
      <c r="I7493" s="237"/>
      <c r="J7493" s="238"/>
    </row>
    <row r="7494">
      <c r="C7494" s="82"/>
      <c r="E7494" s="84"/>
      <c r="F7494" s="84"/>
      <c r="G7494" s="84"/>
      <c r="I7494" s="237"/>
      <c r="J7494" s="238"/>
    </row>
    <row r="7495">
      <c r="C7495" s="82"/>
      <c r="E7495" s="84"/>
      <c r="F7495" s="84"/>
      <c r="G7495" s="84"/>
      <c r="I7495" s="237"/>
      <c r="J7495" s="238"/>
    </row>
    <row r="7496">
      <c r="C7496" s="82"/>
      <c r="E7496" s="84"/>
      <c r="F7496" s="84"/>
      <c r="G7496" s="84"/>
      <c r="I7496" s="237"/>
      <c r="J7496" s="238"/>
    </row>
    <row r="7497">
      <c r="C7497" s="82"/>
      <c r="E7497" s="84"/>
      <c r="F7497" s="84"/>
      <c r="G7497" s="84"/>
      <c r="I7497" s="237"/>
      <c r="J7497" s="238"/>
    </row>
    <row r="7498">
      <c r="C7498" s="82"/>
      <c r="E7498" s="84"/>
      <c r="F7498" s="84"/>
      <c r="G7498" s="84"/>
      <c r="I7498" s="237"/>
      <c r="J7498" s="238"/>
    </row>
    <row r="7499">
      <c r="C7499" s="82"/>
      <c r="E7499" s="84"/>
      <c r="F7499" s="84"/>
      <c r="G7499" s="84"/>
      <c r="I7499" s="237"/>
      <c r="J7499" s="238"/>
    </row>
    <row r="7500">
      <c r="C7500" s="82"/>
      <c r="E7500" s="84"/>
      <c r="F7500" s="84"/>
      <c r="G7500" s="84"/>
      <c r="I7500" s="237"/>
      <c r="J7500" s="238"/>
    </row>
    <row r="7501">
      <c r="C7501" s="82"/>
      <c r="E7501" s="84"/>
      <c r="F7501" s="84"/>
      <c r="G7501" s="84"/>
      <c r="I7501" s="237"/>
      <c r="J7501" s="238"/>
    </row>
    <row r="7502">
      <c r="C7502" s="82"/>
      <c r="E7502" s="84"/>
      <c r="F7502" s="84"/>
      <c r="G7502" s="84"/>
      <c r="I7502" s="237"/>
      <c r="J7502" s="238"/>
    </row>
    <row r="7503">
      <c r="C7503" s="82"/>
      <c r="E7503" s="84"/>
      <c r="F7503" s="84"/>
      <c r="G7503" s="84"/>
      <c r="I7503" s="237"/>
      <c r="J7503" s="238"/>
    </row>
    <row r="7504">
      <c r="C7504" s="82"/>
      <c r="E7504" s="84"/>
      <c r="F7504" s="84"/>
      <c r="G7504" s="84"/>
      <c r="I7504" s="237"/>
      <c r="J7504" s="238"/>
    </row>
    <row r="7505">
      <c r="C7505" s="82"/>
      <c r="E7505" s="84"/>
      <c r="F7505" s="84"/>
      <c r="G7505" s="84"/>
      <c r="I7505" s="237"/>
      <c r="J7505" s="238"/>
    </row>
    <row r="7506">
      <c r="C7506" s="82"/>
      <c r="E7506" s="84"/>
      <c r="F7506" s="84"/>
      <c r="G7506" s="84"/>
      <c r="I7506" s="237"/>
      <c r="J7506" s="238"/>
    </row>
    <row r="7507">
      <c r="C7507" s="82"/>
      <c r="E7507" s="84"/>
      <c r="F7507" s="84"/>
      <c r="G7507" s="84"/>
      <c r="I7507" s="237"/>
      <c r="J7507" s="238"/>
    </row>
    <row r="7508">
      <c r="C7508" s="82"/>
      <c r="E7508" s="84"/>
      <c r="F7508" s="84"/>
      <c r="G7508" s="84"/>
      <c r="I7508" s="237"/>
      <c r="J7508" s="238"/>
    </row>
    <row r="7509">
      <c r="C7509" s="82"/>
      <c r="E7509" s="84"/>
      <c r="F7509" s="84"/>
      <c r="G7509" s="84"/>
      <c r="I7509" s="237"/>
      <c r="J7509" s="238"/>
    </row>
    <row r="7510">
      <c r="C7510" s="82"/>
      <c r="E7510" s="84"/>
      <c r="F7510" s="84"/>
      <c r="G7510" s="84"/>
      <c r="I7510" s="237"/>
      <c r="J7510" s="238"/>
    </row>
    <row r="7511">
      <c r="C7511" s="82"/>
      <c r="E7511" s="84"/>
      <c r="F7511" s="84"/>
      <c r="G7511" s="84"/>
      <c r="I7511" s="237"/>
      <c r="J7511" s="238"/>
    </row>
    <row r="7512">
      <c r="C7512" s="82"/>
      <c r="E7512" s="84"/>
      <c r="F7512" s="84"/>
      <c r="G7512" s="84"/>
      <c r="I7512" s="237"/>
      <c r="J7512" s="238"/>
    </row>
    <row r="7513">
      <c r="C7513" s="82"/>
      <c r="E7513" s="84"/>
      <c r="F7513" s="84"/>
      <c r="G7513" s="84"/>
      <c r="I7513" s="237"/>
      <c r="J7513" s="238"/>
    </row>
    <row r="7514">
      <c r="C7514" s="82"/>
      <c r="E7514" s="84"/>
      <c r="F7514" s="84"/>
      <c r="G7514" s="84"/>
      <c r="I7514" s="237"/>
      <c r="J7514" s="238"/>
    </row>
    <row r="7515">
      <c r="C7515" s="82"/>
      <c r="E7515" s="84"/>
      <c r="F7515" s="84"/>
      <c r="G7515" s="84"/>
      <c r="I7515" s="237"/>
      <c r="J7515" s="238"/>
    </row>
    <row r="7516">
      <c r="C7516" s="82"/>
      <c r="E7516" s="84"/>
      <c r="F7516" s="84"/>
      <c r="G7516" s="84"/>
      <c r="I7516" s="237"/>
      <c r="J7516" s="238"/>
    </row>
    <row r="7517">
      <c r="C7517" s="82"/>
      <c r="E7517" s="84"/>
      <c r="F7517" s="84"/>
      <c r="G7517" s="84"/>
      <c r="I7517" s="237"/>
      <c r="J7517" s="238"/>
    </row>
    <row r="7518">
      <c r="C7518" s="82"/>
      <c r="E7518" s="84"/>
      <c r="F7518" s="84"/>
      <c r="G7518" s="84"/>
      <c r="I7518" s="237"/>
      <c r="J7518" s="238"/>
    </row>
    <row r="7519">
      <c r="C7519" s="82"/>
      <c r="E7519" s="84"/>
      <c r="F7519" s="84"/>
      <c r="G7519" s="84"/>
      <c r="I7519" s="237"/>
      <c r="J7519" s="238"/>
    </row>
    <row r="7520">
      <c r="C7520" s="82"/>
      <c r="E7520" s="84"/>
      <c r="F7520" s="84"/>
      <c r="G7520" s="84"/>
      <c r="I7520" s="237"/>
      <c r="J7520" s="238"/>
    </row>
    <row r="7521">
      <c r="C7521" s="82"/>
      <c r="E7521" s="84"/>
      <c r="F7521" s="84"/>
      <c r="G7521" s="84"/>
      <c r="I7521" s="237"/>
      <c r="J7521" s="238"/>
    </row>
    <row r="7522">
      <c r="C7522" s="82"/>
      <c r="E7522" s="84"/>
      <c r="F7522" s="84"/>
      <c r="G7522" s="84"/>
      <c r="I7522" s="237"/>
      <c r="J7522" s="238"/>
    </row>
    <row r="7523">
      <c r="C7523" s="82"/>
      <c r="E7523" s="84"/>
      <c r="F7523" s="84"/>
      <c r="G7523" s="84"/>
      <c r="I7523" s="237"/>
      <c r="J7523" s="238"/>
    </row>
    <row r="7524">
      <c r="C7524" s="82"/>
      <c r="E7524" s="84"/>
      <c r="F7524" s="84"/>
      <c r="G7524" s="84"/>
      <c r="I7524" s="237"/>
      <c r="J7524" s="238"/>
    </row>
    <row r="7525">
      <c r="C7525" s="82"/>
      <c r="E7525" s="84"/>
      <c r="F7525" s="84"/>
      <c r="G7525" s="84"/>
      <c r="I7525" s="237"/>
      <c r="J7525" s="238"/>
    </row>
    <row r="7526">
      <c r="C7526" s="82"/>
      <c r="E7526" s="84"/>
      <c r="F7526" s="84"/>
      <c r="G7526" s="84"/>
      <c r="I7526" s="237"/>
      <c r="J7526" s="238"/>
    </row>
    <row r="7527">
      <c r="C7527" s="82"/>
      <c r="E7527" s="84"/>
      <c r="F7527" s="84"/>
      <c r="G7527" s="84"/>
      <c r="I7527" s="237"/>
      <c r="J7527" s="238"/>
    </row>
    <row r="7528">
      <c r="C7528" s="82"/>
      <c r="E7528" s="84"/>
      <c r="F7528" s="84"/>
      <c r="G7528" s="84"/>
      <c r="I7528" s="237"/>
      <c r="J7528" s="238"/>
    </row>
    <row r="7529">
      <c r="C7529" s="82"/>
      <c r="E7529" s="84"/>
      <c r="F7529" s="84"/>
      <c r="G7529" s="84"/>
      <c r="I7529" s="237"/>
      <c r="J7529" s="238"/>
    </row>
    <row r="7530">
      <c r="C7530" s="82"/>
      <c r="E7530" s="84"/>
      <c r="F7530" s="84"/>
      <c r="G7530" s="84"/>
      <c r="I7530" s="237"/>
      <c r="J7530" s="238"/>
    </row>
    <row r="7531">
      <c r="C7531" s="82"/>
      <c r="E7531" s="84"/>
      <c r="F7531" s="84"/>
      <c r="G7531" s="84"/>
      <c r="I7531" s="237"/>
      <c r="J7531" s="238"/>
    </row>
    <row r="7532">
      <c r="C7532" s="82"/>
      <c r="E7532" s="84"/>
      <c r="F7532" s="84"/>
      <c r="G7532" s="84"/>
      <c r="I7532" s="237"/>
      <c r="J7532" s="238"/>
    </row>
    <row r="7533">
      <c r="C7533" s="82"/>
      <c r="E7533" s="84"/>
      <c r="F7533" s="84"/>
      <c r="G7533" s="84"/>
      <c r="I7533" s="237"/>
      <c r="J7533" s="238"/>
    </row>
    <row r="7534">
      <c r="C7534" s="82"/>
      <c r="E7534" s="84"/>
      <c r="F7534" s="84"/>
      <c r="G7534" s="84"/>
      <c r="I7534" s="237"/>
      <c r="J7534" s="238"/>
    </row>
    <row r="7535">
      <c r="C7535" s="82"/>
      <c r="E7535" s="84"/>
      <c r="F7535" s="84"/>
      <c r="G7535" s="84"/>
      <c r="I7535" s="237"/>
      <c r="J7535" s="238"/>
    </row>
    <row r="7536">
      <c r="C7536" s="82"/>
      <c r="E7536" s="84"/>
      <c r="F7536" s="84"/>
      <c r="G7536" s="84"/>
      <c r="I7536" s="237"/>
      <c r="J7536" s="238"/>
    </row>
    <row r="7537">
      <c r="C7537" s="82"/>
      <c r="E7537" s="84"/>
      <c r="F7537" s="84"/>
      <c r="G7537" s="84"/>
      <c r="I7537" s="237"/>
      <c r="J7537" s="238"/>
    </row>
    <row r="7538">
      <c r="C7538" s="82"/>
      <c r="E7538" s="84"/>
      <c r="F7538" s="84"/>
      <c r="G7538" s="84"/>
      <c r="I7538" s="237"/>
      <c r="J7538" s="238"/>
    </row>
    <row r="7539">
      <c r="C7539" s="82"/>
      <c r="E7539" s="84"/>
      <c r="F7539" s="84"/>
      <c r="G7539" s="84"/>
      <c r="I7539" s="237"/>
      <c r="J7539" s="238"/>
    </row>
    <row r="7540">
      <c r="C7540" s="82"/>
      <c r="E7540" s="84"/>
      <c r="F7540" s="84"/>
      <c r="G7540" s="84"/>
      <c r="I7540" s="237"/>
      <c r="J7540" s="238"/>
    </row>
    <row r="7541">
      <c r="C7541" s="82"/>
      <c r="E7541" s="84"/>
      <c r="F7541" s="84"/>
      <c r="G7541" s="84"/>
      <c r="I7541" s="237"/>
      <c r="J7541" s="238"/>
    </row>
    <row r="7542">
      <c r="C7542" s="82"/>
      <c r="E7542" s="84"/>
      <c r="F7542" s="84"/>
      <c r="G7542" s="84"/>
      <c r="I7542" s="237"/>
      <c r="J7542" s="238"/>
    </row>
    <row r="7543">
      <c r="C7543" s="82"/>
      <c r="E7543" s="84"/>
      <c r="F7543" s="84"/>
      <c r="G7543" s="84"/>
      <c r="I7543" s="237"/>
      <c r="J7543" s="238"/>
    </row>
    <row r="7544">
      <c r="C7544" s="82"/>
      <c r="E7544" s="84"/>
      <c r="F7544" s="84"/>
      <c r="G7544" s="84"/>
      <c r="I7544" s="237"/>
      <c r="J7544" s="238"/>
    </row>
    <row r="7545">
      <c r="C7545" s="82"/>
      <c r="E7545" s="84"/>
      <c r="F7545" s="84"/>
      <c r="G7545" s="84"/>
      <c r="I7545" s="237"/>
      <c r="J7545" s="238"/>
    </row>
    <row r="7546">
      <c r="C7546" s="82"/>
      <c r="E7546" s="84"/>
      <c r="F7546" s="84"/>
      <c r="G7546" s="84"/>
      <c r="I7546" s="237"/>
      <c r="J7546" s="238"/>
    </row>
    <row r="7547">
      <c r="C7547" s="82"/>
      <c r="E7547" s="84"/>
      <c r="F7547" s="84"/>
      <c r="G7547" s="84"/>
      <c r="I7547" s="237"/>
      <c r="J7547" s="238"/>
    </row>
    <row r="7548">
      <c r="C7548" s="82"/>
      <c r="E7548" s="84"/>
      <c r="F7548" s="84"/>
      <c r="G7548" s="84"/>
      <c r="I7548" s="237"/>
      <c r="J7548" s="238"/>
    </row>
    <row r="7549">
      <c r="C7549" s="82"/>
      <c r="E7549" s="84"/>
      <c r="F7549" s="84"/>
      <c r="G7549" s="84"/>
      <c r="I7549" s="237"/>
      <c r="J7549" s="238"/>
    </row>
    <row r="7550">
      <c r="C7550" s="82"/>
      <c r="E7550" s="84"/>
      <c r="F7550" s="84"/>
      <c r="G7550" s="84"/>
      <c r="I7550" s="237"/>
      <c r="J7550" s="238"/>
    </row>
    <row r="7551">
      <c r="C7551" s="82"/>
      <c r="E7551" s="84"/>
      <c r="F7551" s="84"/>
      <c r="G7551" s="84"/>
      <c r="I7551" s="237"/>
      <c r="J7551" s="238"/>
    </row>
    <row r="7552">
      <c r="C7552" s="82"/>
      <c r="E7552" s="84"/>
      <c r="F7552" s="84"/>
      <c r="G7552" s="84"/>
      <c r="I7552" s="237"/>
      <c r="J7552" s="238"/>
    </row>
    <row r="7553">
      <c r="C7553" s="82"/>
      <c r="E7553" s="84"/>
      <c r="F7553" s="84"/>
      <c r="G7553" s="84"/>
      <c r="I7553" s="237"/>
      <c r="J7553" s="238"/>
    </row>
    <row r="7554">
      <c r="C7554" s="82"/>
      <c r="E7554" s="84"/>
      <c r="F7554" s="84"/>
      <c r="G7554" s="84"/>
      <c r="I7554" s="237"/>
      <c r="J7554" s="238"/>
    </row>
    <row r="7555">
      <c r="C7555" s="82"/>
      <c r="E7555" s="84"/>
      <c r="F7555" s="84"/>
      <c r="G7555" s="84"/>
      <c r="I7555" s="237"/>
      <c r="J7555" s="238"/>
    </row>
    <row r="7556">
      <c r="C7556" s="82"/>
      <c r="E7556" s="84"/>
      <c r="F7556" s="84"/>
      <c r="G7556" s="84"/>
      <c r="I7556" s="237"/>
      <c r="J7556" s="238"/>
    </row>
    <row r="7557">
      <c r="C7557" s="82"/>
      <c r="E7557" s="84"/>
      <c r="F7557" s="84"/>
      <c r="G7557" s="84"/>
      <c r="I7557" s="237"/>
      <c r="J7557" s="238"/>
    </row>
    <row r="7558">
      <c r="C7558" s="82"/>
      <c r="E7558" s="84"/>
      <c r="F7558" s="84"/>
      <c r="G7558" s="84"/>
      <c r="I7558" s="237"/>
      <c r="J7558" s="238"/>
    </row>
    <row r="7559">
      <c r="C7559" s="82"/>
      <c r="E7559" s="84"/>
      <c r="F7559" s="84"/>
      <c r="G7559" s="84"/>
      <c r="I7559" s="237"/>
      <c r="J7559" s="238"/>
    </row>
    <row r="7560">
      <c r="C7560" s="82"/>
      <c r="E7560" s="84"/>
      <c r="F7560" s="84"/>
      <c r="G7560" s="84"/>
      <c r="I7560" s="237"/>
      <c r="J7560" s="238"/>
    </row>
    <row r="7561">
      <c r="C7561" s="82"/>
      <c r="E7561" s="84"/>
      <c r="F7561" s="84"/>
      <c r="G7561" s="84"/>
      <c r="I7561" s="237"/>
      <c r="J7561" s="238"/>
    </row>
    <row r="7562">
      <c r="C7562" s="82"/>
      <c r="E7562" s="84"/>
      <c r="F7562" s="84"/>
      <c r="G7562" s="84"/>
      <c r="I7562" s="237"/>
      <c r="J7562" s="238"/>
    </row>
    <row r="7563">
      <c r="C7563" s="82"/>
      <c r="E7563" s="84"/>
      <c r="F7563" s="84"/>
      <c r="G7563" s="84"/>
      <c r="I7563" s="237"/>
      <c r="J7563" s="238"/>
    </row>
    <row r="7564">
      <c r="C7564" s="82"/>
      <c r="E7564" s="84"/>
      <c r="F7564" s="84"/>
      <c r="G7564" s="84"/>
      <c r="I7564" s="237"/>
      <c r="J7564" s="238"/>
    </row>
    <row r="7565">
      <c r="C7565" s="82"/>
      <c r="E7565" s="84"/>
      <c r="F7565" s="84"/>
      <c r="G7565" s="84"/>
      <c r="I7565" s="237"/>
      <c r="J7565" s="238"/>
    </row>
    <row r="7566">
      <c r="C7566" s="82"/>
      <c r="E7566" s="84"/>
      <c r="F7566" s="84"/>
      <c r="G7566" s="84"/>
      <c r="I7566" s="237"/>
      <c r="J7566" s="238"/>
    </row>
    <row r="7567">
      <c r="C7567" s="82"/>
      <c r="E7567" s="84"/>
      <c r="F7567" s="84"/>
      <c r="G7567" s="84"/>
      <c r="I7567" s="237"/>
      <c r="J7567" s="238"/>
    </row>
    <row r="7568">
      <c r="C7568" s="82"/>
      <c r="E7568" s="84"/>
      <c r="F7568" s="84"/>
      <c r="G7568" s="84"/>
      <c r="I7568" s="237"/>
      <c r="J7568" s="238"/>
    </row>
    <row r="7569">
      <c r="C7569" s="82"/>
      <c r="E7569" s="84"/>
      <c r="F7569" s="84"/>
      <c r="G7569" s="84"/>
      <c r="I7569" s="237"/>
      <c r="J7569" s="238"/>
    </row>
    <row r="7570">
      <c r="C7570" s="82"/>
      <c r="E7570" s="84"/>
      <c r="F7570" s="84"/>
      <c r="G7570" s="84"/>
      <c r="I7570" s="237"/>
      <c r="J7570" s="238"/>
    </row>
    <row r="7571">
      <c r="C7571" s="82"/>
      <c r="E7571" s="84"/>
      <c r="F7571" s="84"/>
      <c r="G7571" s="84"/>
      <c r="I7571" s="237"/>
      <c r="J7571" s="238"/>
    </row>
    <row r="7572">
      <c r="C7572" s="82"/>
      <c r="E7572" s="84"/>
      <c r="F7572" s="84"/>
      <c r="G7572" s="84"/>
      <c r="I7572" s="237"/>
      <c r="J7572" s="238"/>
    </row>
    <row r="7573">
      <c r="C7573" s="82"/>
      <c r="E7573" s="84"/>
      <c r="F7573" s="84"/>
      <c r="G7573" s="84"/>
      <c r="I7573" s="237"/>
      <c r="J7573" s="238"/>
    </row>
    <row r="7574">
      <c r="C7574" s="82"/>
      <c r="E7574" s="84"/>
      <c r="F7574" s="84"/>
      <c r="G7574" s="84"/>
      <c r="I7574" s="237"/>
      <c r="J7574" s="238"/>
    </row>
    <row r="7575">
      <c r="C7575" s="82"/>
      <c r="E7575" s="84"/>
      <c r="F7575" s="84"/>
      <c r="G7575" s="84"/>
      <c r="I7575" s="237"/>
      <c r="J7575" s="238"/>
    </row>
    <row r="7576">
      <c r="C7576" s="82"/>
      <c r="E7576" s="84"/>
      <c r="F7576" s="84"/>
      <c r="G7576" s="84"/>
      <c r="I7576" s="237"/>
      <c r="J7576" s="238"/>
    </row>
    <row r="7577">
      <c r="C7577" s="82"/>
      <c r="E7577" s="84"/>
      <c r="F7577" s="84"/>
      <c r="G7577" s="84"/>
      <c r="I7577" s="237"/>
      <c r="J7577" s="238"/>
    </row>
    <row r="7578">
      <c r="C7578" s="82"/>
      <c r="E7578" s="84"/>
      <c r="F7578" s="84"/>
      <c r="G7578" s="84"/>
      <c r="I7578" s="237"/>
      <c r="J7578" s="238"/>
    </row>
    <row r="7579">
      <c r="C7579" s="82"/>
      <c r="E7579" s="84"/>
      <c r="F7579" s="84"/>
      <c r="G7579" s="84"/>
      <c r="I7579" s="237"/>
      <c r="J7579" s="238"/>
    </row>
    <row r="7580">
      <c r="C7580" s="82"/>
      <c r="E7580" s="84"/>
      <c r="F7580" s="84"/>
      <c r="G7580" s="84"/>
      <c r="I7580" s="237"/>
      <c r="J7580" s="238"/>
    </row>
    <row r="7581">
      <c r="C7581" s="82"/>
      <c r="E7581" s="84"/>
      <c r="F7581" s="84"/>
      <c r="G7581" s="84"/>
      <c r="I7581" s="237"/>
      <c r="J7581" s="238"/>
    </row>
    <row r="7582">
      <c r="C7582" s="82"/>
      <c r="E7582" s="84"/>
      <c r="F7582" s="84"/>
      <c r="G7582" s="84"/>
      <c r="I7582" s="237"/>
      <c r="J7582" s="238"/>
    </row>
    <row r="7583">
      <c r="C7583" s="82"/>
      <c r="E7583" s="84"/>
      <c r="F7583" s="84"/>
      <c r="G7583" s="84"/>
      <c r="I7583" s="237"/>
      <c r="J7583" s="238"/>
    </row>
    <row r="7584">
      <c r="C7584" s="82"/>
      <c r="E7584" s="84"/>
      <c r="F7584" s="84"/>
      <c r="G7584" s="84"/>
      <c r="I7584" s="237"/>
      <c r="J7584" s="238"/>
    </row>
    <row r="7585">
      <c r="C7585" s="82"/>
      <c r="E7585" s="84"/>
      <c r="F7585" s="84"/>
      <c r="G7585" s="84"/>
      <c r="I7585" s="237"/>
      <c r="J7585" s="238"/>
    </row>
    <row r="7586">
      <c r="C7586" s="82"/>
      <c r="E7586" s="84"/>
      <c r="F7586" s="84"/>
      <c r="G7586" s="84"/>
      <c r="I7586" s="237"/>
      <c r="J7586" s="238"/>
    </row>
    <row r="7587">
      <c r="C7587" s="82"/>
      <c r="E7587" s="84"/>
      <c r="F7587" s="84"/>
      <c r="G7587" s="84"/>
      <c r="I7587" s="237"/>
      <c r="J7587" s="238"/>
    </row>
    <row r="7588">
      <c r="C7588" s="82"/>
      <c r="E7588" s="84"/>
      <c r="F7588" s="84"/>
      <c r="G7588" s="84"/>
      <c r="I7588" s="237"/>
      <c r="J7588" s="238"/>
    </row>
    <row r="7589">
      <c r="C7589" s="82"/>
      <c r="E7589" s="84"/>
      <c r="F7589" s="84"/>
      <c r="G7589" s="84"/>
      <c r="I7589" s="237"/>
      <c r="J7589" s="238"/>
    </row>
    <row r="7590">
      <c r="C7590" s="82"/>
      <c r="E7590" s="84"/>
      <c r="F7590" s="84"/>
      <c r="G7590" s="84"/>
      <c r="I7590" s="237"/>
      <c r="J7590" s="238"/>
    </row>
    <row r="7591">
      <c r="C7591" s="82"/>
      <c r="E7591" s="84"/>
      <c r="F7591" s="84"/>
      <c r="G7591" s="84"/>
      <c r="I7591" s="237"/>
      <c r="J7591" s="238"/>
    </row>
    <row r="7592">
      <c r="C7592" s="82"/>
      <c r="E7592" s="84"/>
      <c r="F7592" s="84"/>
      <c r="G7592" s="84"/>
      <c r="I7592" s="237"/>
      <c r="J7592" s="238"/>
    </row>
    <row r="7593">
      <c r="C7593" s="82"/>
      <c r="E7593" s="84"/>
      <c r="F7593" s="84"/>
      <c r="G7593" s="84"/>
      <c r="I7593" s="237"/>
      <c r="J7593" s="238"/>
    </row>
    <row r="7594">
      <c r="C7594" s="82"/>
      <c r="E7594" s="84"/>
      <c r="F7594" s="84"/>
      <c r="G7594" s="84"/>
      <c r="I7594" s="237"/>
      <c r="J7594" s="238"/>
    </row>
    <row r="7595">
      <c r="C7595" s="82"/>
      <c r="E7595" s="84"/>
      <c r="F7595" s="84"/>
      <c r="G7595" s="84"/>
      <c r="I7595" s="237"/>
      <c r="J7595" s="238"/>
    </row>
    <row r="7596">
      <c r="C7596" s="82"/>
      <c r="E7596" s="84"/>
      <c r="F7596" s="84"/>
      <c r="G7596" s="84"/>
      <c r="I7596" s="237"/>
      <c r="J7596" s="238"/>
    </row>
    <row r="7597">
      <c r="C7597" s="82"/>
      <c r="E7597" s="84"/>
      <c r="F7597" s="84"/>
      <c r="G7597" s="84"/>
      <c r="I7597" s="237"/>
      <c r="J7597" s="238"/>
    </row>
    <row r="7598">
      <c r="C7598" s="82"/>
      <c r="E7598" s="84"/>
      <c r="F7598" s="84"/>
      <c r="G7598" s="84"/>
      <c r="I7598" s="237"/>
      <c r="J7598" s="238"/>
    </row>
    <row r="7599">
      <c r="C7599" s="82"/>
      <c r="E7599" s="84"/>
      <c r="F7599" s="84"/>
      <c r="G7599" s="84"/>
      <c r="I7599" s="237"/>
      <c r="J7599" s="238"/>
    </row>
    <row r="7600">
      <c r="C7600" s="82"/>
      <c r="E7600" s="84"/>
      <c r="F7600" s="84"/>
      <c r="G7600" s="84"/>
      <c r="I7600" s="237"/>
      <c r="J7600" s="238"/>
    </row>
    <row r="7601">
      <c r="C7601" s="82"/>
      <c r="E7601" s="84"/>
      <c r="F7601" s="84"/>
      <c r="G7601" s="84"/>
      <c r="I7601" s="237"/>
      <c r="J7601" s="238"/>
    </row>
    <row r="7602">
      <c r="C7602" s="82"/>
      <c r="E7602" s="84"/>
      <c r="F7602" s="84"/>
      <c r="G7602" s="84"/>
      <c r="I7602" s="237"/>
      <c r="J7602" s="238"/>
    </row>
    <row r="7603">
      <c r="C7603" s="82"/>
      <c r="E7603" s="84"/>
      <c r="F7603" s="84"/>
      <c r="G7603" s="84"/>
      <c r="I7603" s="237"/>
      <c r="J7603" s="238"/>
    </row>
    <row r="7604">
      <c r="C7604" s="82"/>
      <c r="E7604" s="84"/>
      <c r="F7604" s="84"/>
      <c r="G7604" s="84"/>
      <c r="I7604" s="237"/>
      <c r="J7604" s="238"/>
    </row>
    <row r="7605">
      <c r="C7605" s="82"/>
      <c r="E7605" s="84"/>
      <c r="F7605" s="84"/>
      <c r="G7605" s="84"/>
      <c r="I7605" s="237"/>
      <c r="J7605" s="238"/>
    </row>
    <row r="7606">
      <c r="C7606" s="82"/>
      <c r="E7606" s="84"/>
      <c r="F7606" s="84"/>
      <c r="G7606" s="84"/>
      <c r="I7606" s="237"/>
      <c r="J7606" s="238"/>
    </row>
    <row r="7607">
      <c r="C7607" s="82"/>
      <c r="E7607" s="84"/>
      <c r="F7607" s="84"/>
      <c r="G7607" s="84"/>
      <c r="I7607" s="237"/>
      <c r="J7607" s="238"/>
    </row>
    <row r="7608">
      <c r="C7608" s="82"/>
      <c r="E7608" s="84"/>
      <c r="F7608" s="84"/>
      <c r="G7608" s="84"/>
      <c r="I7608" s="237"/>
      <c r="J7608" s="238"/>
    </row>
    <row r="7609">
      <c r="C7609" s="82"/>
      <c r="E7609" s="84"/>
      <c r="F7609" s="84"/>
      <c r="G7609" s="84"/>
      <c r="I7609" s="237"/>
      <c r="J7609" s="238"/>
    </row>
    <row r="7610">
      <c r="C7610" s="82"/>
      <c r="E7610" s="84"/>
      <c r="F7610" s="84"/>
      <c r="G7610" s="84"/>
      <c r="I7610" s="237"/>
      <c r="J7610" s="238"/>
    </row>
    <row r="7611">
      <c r="C7611" s="82"/>
      <c r="E7611" s="84"/>
      <c r="F7611" s="84"/>
      <c r="G7611" s="84"/>
      <c r="I7611" s="237"/>
      <c r="J7611" s="238"/>
    </row>
    <row r="7612">
      <c r="C7612" s="82"/>
      <c r="E7612" s="84"/>
      <c r="F7612" s="84"/>
      <c r="G7612" s="84"/>
      <c r="I7612" s="237"/>
      <c r="J7612" s="238"/>
    </row>
    <row r="7613">
      <c r="C7613" s="82"/>
      <c r="E7613" s="84"/>
      <c r="F7613" s="84"/>
      <c r="G7613" s="84"/>
      <c r="I7613" s="237"/>
      <c r="J7613" s="238"/>
    </row>
    <row r="7614">
      <c r="C7614" s="82"/>
      <c r="E7614" s="84"/>
      <c r="F7614" s="84"/>
      <c r="G7614" s="84"/>
      <c r="I7614" s="237"/>
      <c r="J7614" s="238"/>
    </row>
    <row r="7615">
      <c r="C7615" s="82"/>
      <c r="E7615" s="84"/>
      <c r="F7615" s="84"/>
      <c r="G7615" s="84"/>
      <c r="I7615" s="237"/>
      <c r="J7615" s="238"/>
    </row>
    <row r="7616">
      <c r="C7616" s="82"/>
      <c r="E7616" s="84"/>
      <c r="F7616" s="84"/>
      <c r="G7616" s="84"/>
      <c r="I7616" s="237"/>
      <c r="J7616" s="238"/>
    </row>
    <row r="7617">
      <c r="C7617" s="82"/>
      <c r="E7617" s="84"/>
      <c r="F7617" s="84"/>
      <c r="G7617" s="84"/>
      <c r="I7617" s="237"/>
      <c r="J7617" s="238"/>
    </row>
    <row r="7618">
      <c r="C7618" s="82"/>
      <c r="E7618" s="84"/>
      <c r="F7618" s="84"/>
      <c r="G7618" s="84"/>
      <c r="I7618" s="237"/>
      <c r="J7618" s="238"/>
    </row>
    <row r="7619">
      <c r="C7619" s="82"/>
      <c r="E7619" s="84"/>
      <c r="F7619" s="84"/>
      <c r="G7619" s="84"/>
      <c r="I7619" s="237"/>
      <c r="J7619" s="238"/>
    </row>
    <row r="7620">
      <c r="C7620" s="82"/>
      <c r="E7620" s="84"/>
      <c r="F7620" s="84"/>
      <c r="G7620" s="84"/>
      <c r="I7620" s="237"/>
      <c r="J7620" s="238"/>
    </row>
    <row r="7621">
      <c r="C7621" s="82"/>
      <c r="E7621" s="84"/>
      <c r="F7621" s="84"/>
      <c r="G7621" s="84"/>
      <c r="I7621" s="237"/>
      <c r="J7621" s="238"/>
    </row>
    <row r="7622">
      <c r="C7622" s="82"/>
      <c r="E7622" s="84"/>
      <c r="F7622" s="84"/>
      <c r="G7622" s="84"/>
      <c r="I7622" s="237"/>
      <c r="J7622" s="238"/>
    </row>
    <row r="7623">
      <c r="C7623" s="82"/>
      <c r="E7623" s="84"/>
      <c r="F7623" s="84"/>
      <c r="G7623" s="84"/>
      <c r="I7623" s="237"/>
      <c r="J7623" s="238"/>
    </row>
    <row r="7624">
      <c r="C7624" s="82"/>
      <c r="E7624" s="84"/>
      <c r="F7624" s="84"/>
      <c r="G7624" s="84"/>
      <c r="I7624" s="237"/>
      <c r="J7624" s="238"/>
    </row>
    <row r="7625">
      <c r="C7625" s="82"/>
      <c r="E7625" s="84"/>
      <c r="F7625" s="84"/>
      <c r="G7625" s="84"/>
      <c r="I7625" s="237"/>
      <c r="J7625" s="238"/>
    </row>
    <row r="7626">
      <c r="C7626" s="82"/>
      <c r="E7626" s="84"/>
      <c r="F7626" s="84"/>
      <c r="G7626" s="84"/>
      <c r="I7626" s="237"/>
      <c r="J7626" s="238"/>
    </row>
    <row r="7627">
      <c r="C7627" s="82"/>
      <c r="E7627" s="84"/>
      <c r="F7627" s="84"/>
      <c r="G7627" s="84"/>
      <c r="I7627" s="237"/>
      <c r="J7627" s="238"/>
    </row>
    <row r="7628">
      <c r="C7628" s="82"/>
      <c r="E7628" s="84"/>
      <c r="F7628" s="84"/>
      <c r="G7628" s="84"/>
      <c r="I7628" s="237"/>
      <c r="J7628" s="238"/>
    </row>
    <row r="7629">
      <c r="C7629" s="82"/>
      <c r="E7629" s="84"/>
      <c r="F7629" s="84"/>
      <c r="G7629" s="84"/>
      <c r="I7629" s="237"/>
      <c r="J7629" s="238"/>
    </row>
    <row r="7630">
      <c r="C7630" s="82"/>
      <c r="E7630" s="84"/>
      <c r="F7630" s="84"/>
      <c r="G7630" s="84"/>
      <c r="I7630" s="237"/>
      <c r="J7630" s="238"/>
    </row>
    <row r="7631">
      <c r="C7631" s="82"/>
      <c r="E7631" s="84"/>
      <c r="F7631" s="84"/>
      <c r="G7631" s="84"/>
      <c r="I7631" s="237"/>
      <c r="J7631" s="238"/>
    </row>
    <row r="7632">
      <c r="C7632" s="82"/>
      <c r="E7632" s="84"/>
      <c r="F7632" s="84"/>
      <c r="G7632" s="84"/>
      <c r="I7632" s="237"/>
      <c r="J7632" s="238"/>
    </row>
    <row r="7633">
      <c r="C7633" s="82"/>
      <c r="E7633" s="84"/>
      <c r="F7633" s="84"/>
      <c r="G7633" s="84"/>
      <c r="I7633" s="237"/>
      <c r="J7633" s="238"/>
    </row>
    <row r="7634">
      <c r="C7634" s="82"/>
      <c r="E7634" s="84"/>
      <c r="F7634" s="84"/>
      <c r="G7634" s="84"/>
      <c r="I7634" s="237"/>
      <c r="J7634" s="238"/>
    </row>
    <row r="7635">
      <c r="C7635" s="82"/>
      <c r="E7635" s="84"/>
      <c r="F7635" s="84"/>
      <c r="G7635" s="84"/>
      <c r="I7635" s="237"/>
      <c r="J7635" s="238"/>
    </row>
    <row r="7636">
      <c r="C7636" s="82"/>
      <c r="E7636" s="84"/>
      <c r="F7636" s="84"/>
      <c r="G7636" s="84"/>
      <c r="I7636" s="237"/>
      <c r="J7636" s="238"/>
    </row>
    <row r="7637">
      <c r="C7637" s="82"/>
      <c r="E7637" s="84"/>
      <c r="F7637" s="84"/>
      <c r="G7637" s="84"/>
      <c r="I7637" s="237"/>
      <c r="J7637" s="238"/>
    </row>
    <row r="7638">
      <c r="C7638" s="82"/>
      <c r="E7638" s="84"/>
      <c r="F7638" s="84"/>
      <c r="G7638" s="84"/>
      <c r="I7638" s="237"/>
      <c r="J7638" s="238"/>
    </row>
    <row r="7639">
      <c r="C7639" s="82"/>
      <c r="E7639" s="84"/>
      <c r="F7639" s="84"/>
      <c r="G7639" s="84"/>
      <c r="I7639" s="237"/>
      <c r="J7639" s="238"/>
    </row>
    <row r="7640">
      <c r="C7640" s="82"/>
      <c r="E7640" s="84"/>
      <c r="F7640" s="84"/>
      <c r="G7640" s="84"/>
      <c r="I7640" s="237"/>
      <c r="J7640" s="238"/>
    </row>
    <row r="7641">
      <c r="C7641" s="82"/>
      <c r="E7641" s="84"/>
      <c r="F7641" s="84"/>
      <c r="G7641" s="84"/>
      <c r="I7641" s="237"/>
      <c r="J7641" s="238"/>
    </row>
    <row r="7642">
      <c r="C7642" s="82"/>
      <c r="E7642" s="84"/>
      <c r="F7642" s="84"/>
      <c r="G7642" s="84"/>
      <c r="I7642" s="237"/>
      <c r="J7642" s="238"/>
    </row>
    <row r="7643">
      <c r="C7643" s="82"/>
      <c r="E7643" s="84"/>
      <c r="F7643" s="84"/>
      <c r="G7643" s="84"/>
      <c r="I7643" s="237"/>
      <c r="J7643" s="238"/>
    </row>
    <row r="7644">
      <c r="C7644" s="82"/>
      <c r="E7644" s="84"/>
      <c r="F7644" s="84"/>
      <c r="G7644" s="84"/>
      <c r="I7644" s="237"/>
      <c r="J7644" s="238"/>
    </row>
    <row r="7645">
      <c r="C7645" s="82"/>
      <c r="E7645" s="84"/>
      <c r="F7645" s="84"/>
      <c r="G7645" s="84"/>
      <c r="I7645" s="237"/>
      <c r="J7645" s="238"/>
    </row>
    <row r="7646">
      <c r="C7646" s="82"/>
      <c r="E7646" s="84"/>
      <c r="F7646" s="84"/>
      <c r="G7646" s="84"/>
      <c r="I7646" s="237"/>
      <c r="J7646" s="238"/>
    </row>
    <row r="7647">
      <c r="C7647" s="82"/>
      <c r="E7647" s="84"/>
      <c r="F7647" s="84"/>
      <c r="G7647" s="84"/>
      <c r="I7647" s="237"/>
      <c r="J7647" s="238"/>
    </row>
    <row r="7648">
      <c r="C7648" s="82"/>
      <c r="E7648" s="84"/>
      <c r="F7648" s="84"/>
      <c r="G7648" s="84"/>
      <c r="I7648" s="237"/>
      <c r="J7648" s="238"/>
    </row>
    <row r="7649">
      <c r="C7649" s="82"/>
      <c r="E7649" s="84"/>
      <c r="F7649" s="84"/>
      <c r="G7649" s="84"/>
      <c r="I7649" s="237"/>
      <c r="J7649" s="238"/>
    </row>
    <row r="7650">
      <c r="C7650" s="82"/>
      <c r="E7650" s="84"/>
      <c r="F7650" s="84"/>
      <c r="G7650" s="84"/>
      <c r="I7650" s="237"/>
      <c r="J7650" s="238"/>
    </row>
    <row r="7651">
      <c r="C7651" s="82"/>
      <c r="E7651" s="84"/>
      <c r="F7651" s="84"/>
      <c r="G7651" s="84"/>
      <c r="I7651" s="237"/>
      <c r="J7651" s="238"/>
    </row>
    <row r="7652">
      <c r="C7652" s="82"/>
      <c r="E7652" s="84"/>
      <c r="F7652" s="84"/>
      <c r="G7652" s="84"/>
      <c r="I7652" s="237"/>
      <c r="J7652" s="238"/>
    </row>
    <row r="7653">
      <c r="C7653" s="82"/>
      <c r="E7653" s="84"/>
      <c r="F7653" s="84"/>
      <c r="G7653" s="84"/>
      <c r="I7653" s="237"/>
      <c r="J7653" s="238"/>
    </row>
    <row r="7654">
      <c r="C7654" s="82"/>
      <c r="E7654" s="84"/>
      <c r="F7654" s="84"/>
      <c r="G7654" s="84"/>
      <c r="I7654" s="237"/>
      <c r="J7654" s="238"/>
    </row>
    <row r="7655">
      <c r="C7655" s="82"/>
      <c r="E7655" s="84"/>
      <c r="F7655" s="84"/>
      <c r="G7655" s="84"/>
      <c r="I7655" s="237"/>
      <c r="J7655" s="238"/>
    </row>
    <row r="7656">
      <c r="C7656" s="82"/>
      <c r="E7656" s="84"/>
      <c r="F7656" s="84"/>
      <c r="G7656" s="84"/>
      <c r="I7656" s="237"/>
      <c r="J7656" s="238"/>
    </row>
    <row r="7657">
      <c r="C7657" s="82"/>
      <c r="E7657" s="84"/>
      <c r="F7657" s="84"/>
      <c r="G7657" s="84"/>
      <c r="I7657" s="237"/>
      <c r="J7657" s="238"/>
    </row>
    <row r="7658">
      <c r="C7658" s="82"/>
      <c r="E7658" s="84"/>
      <c r="F7658" s="84"/>
      <c r="G7658" s="84"/>
      <c r="I7658" s="237"/>
      <c r="J7658" s="238"/>
    </row>
    <row r="7659">
      <c r="C7659" s="82"/>
      <c r="E7659" s="84"/>
      <c r="F7659" s="84"/>
      <c r="G7659" s="84"/>
      <c r="I7659" s="237"/>
      <c r="J7659" s="238"/>
    </row>
    <row r="7660">
      <c r="C7660" s="82"/>
      <c r="E7660" s="84"/>
      <c r="F7660" s="84"/>
      <c r="G7660" s="84"/>
      <c r="I7660" s="237"/>
      <c r="J7660" s="238"/>
    </row>
    <row r="7661">
      <c r="C7661" s="82"/>
      <c r="E7661" s="84"/>
      <c r="F7661" s="84"/>
      <c r="G7661" s="84"/>
      <c r="I7661" s="237"/>
      <c r="J7661" s="238"/>
    </row>
    <row r="7662">
      <c r="C7662" s="82"/>
      <c r="E7662" s="84"/>
      <c r="F7662" s="84"/>
      <c r="G7662" s="84"/>
      <c r="I7662" s="237"/>
      <c r="J7662" s="238"/>
    </row>
    <row r="7663">
      <c r="C7663" s="82"/>
      <c r="E7663" s="84"/>
      <c r="F7663" s="84"/>
      <c r="G7663" s="84"/>
      <c r="I7663" s="237"/>
      <c r="J7663" s="238"/>
    </row>
    <row r="7664">
      <c r="C7664" s="82"/>
      <c r="E7664" s="84"/>
      <c r="F7664" s="84"/>
      <c r="G7664" s="84"/>
      <c r="I7664" s="237"/>
      <c r="J7664" s="238"/>
    </row>
    <row r="7665">
      <c r="C7665" s="82"/>
      <c r="E7665" s="84"/>
      <c r="F7665" s="84"/>
      <c r="G7665" s="84"/>
      <c r="I7665" s="237"/>
      <c r="J7665" s="238"/>
    </row>
    <row r="7666">
      <c r="C7666" s="82"/>
      <c r="E7666" s="84"/>
      <c r="F7666" s="84"/>
      <c r="G7666" s="84"/>
      <c r="I7666" s="237"/>
      <c r="J7666" s="238"/>
    </row>
    <row r="7667">
      <c r="C7667" s="82"/>
      <c r="E7667" s="84"/>
      <c r="F7667" s="84"/>
      <c r="G7667" s="84"/>
      <c r="I7667" s="237"/>
      <c r="J7667" s="238"/>
    </row>
    <row r="7668">
      <c r="C7668" s="82"/>
      <c r="E7668" s="84"/>
      <c r="F7668" s="84"/>
      <c r="G7668" s="84"/>
      <c r="I7668" s="237"/>
      <c r="J7668" s="238"/>
    </row>
    <row r="7669">
      <c r="C7669" s="82"/>
      <c r="E7669" s="84"/>
      <c r="F7669" s="84"/>
      <c r="G7669" s="84"/>
      <c r="I7669" s="237"/>
      <c r="J7669" s="238"/>
    </row>
    <row r="7670">
      <c r="C7670" s="82"/>
      <c r="E7670" s="84"/>
      <c r="F7670" s="84"/>
      <c r="G7670" s="84"/>
      <c r="I7670" s="237"/>
      <c r="J7670" s="238"/>
    </row>
    <row r="7671">
      <c r="C7671" s="82"/>
      <c r="E7671" s="84"/>
      <c r="F7671" s="84"/>
      <c r="G7671" s="84"/>
      <c r="I7671" s="237"/>
      <c r="J7671" s="238"/>
    </row>
    <row r="7672">
      <c r="C7672" s="82"/>
      <c r="E7672" s="84"/>
      <c r="F7672" s="84"/>
      <c r="G7672" s="84"/>
      <c r="I7672" s="237"/>
      <c r="J7672" s="238"/>
    </row>
    <row r="7673">
      <c r="C7673" s="82"/>
      <c r="E7673" s="84"/>
      <c r="F7673" s="84"/>
      <c r="G7673" s="84"/>
      <c r="I7673" s="237"/>
      <c r="J7673" s="238"/>
    </row>
    <row r="7674">
      <c r="C7674" s="82"/>
      <c r="E7674" s="84"/>
      <c r="F7674" s="84"/>
      <c r="G7674" s="84"/>
      <c r="I7674" s="237"/>
      <c r="J7674" s="238"/>
    </row>
    <row r="7675">
      <c r="C7675" s="82"/>
      <c r="E7675" s="84"/>
      <c r="F7675" s="84"/>
      <c r="G7675" s="84"/>
      <c r="I7675" s="237"/>
      <c r="J7675" s="238"/>
    </row>
    <row r="7676">
      <c r="C7676" s="82"/>
      <c r="E7676" s="84"/>
      <c r="F7676" s="84"/>
      <c r="G7676" s="84"/>
      <c r="I7676" s="237"/>
      <c r="J7676" s="238"/>
    </row>
    <row r="7677">
      <c r="C7677" s="82"/>
      <c r="E7677" s="84"/>
      <c r="F7677" s="84"/>
      <c r="G7677" s="84"/>
      <c r="I7677" s="237"/>
      <c r="J7677" s="238"/>
    </row>
    <row r="7678">
      <c r="C7678" s="82"/>
      <c r="E7678" s="84"/>
      <c r="F7678" s="84"/>
      <c r="G7678" s="84"/>
      <c r="I7678" s="237"/>
      <c r="J7678" s="238"/>
    </row>
    <row r="7679">
      <c r="C7679" s="82"/>
      <c r="E7679" s="84"/>
      <c r="F7679" s="84"/>
      <c r="G7679" s="84"/>
      <c r="I7679" s="237"/>
      <c r="J7679" s="238"/>
    </row>
    <row r="7680">
      <c r="C7680" s="82"/>
      <c r="E7680" s="84"/>
      <c r="F7680" s="84"/>
      <c r="G7680" s="84"/>
      <c r="I7680" s="237"/>
      <c r="J7680" s="238"/>
    </row>
    <row r="7681">
      <c r="C7681" s="82"/>
      <c r="E7681" s="84"/>
      <c r="F7681" s="84"/>
      <c r="G7681" s="84"/>
      <c r="I7681" s="237"/>
      <c r="J7681" s="238"/>
    </row>
    <row r="7682">
      <c r="C7682" s="82"/>
      <c r="E7682" s="84"/>
      <c r="F7682" s="84"/>
      <c r="G7682" s="84"/>
      <c r="I7682" s="237"/>
      <c r="J7682" s="238"/>
    </row>
    <row r="7683">
      <c r="C7683" s="82"/>
      <c r="E7683" s="84"/>
      <c r="F7683" s="84"/>
      <c r="G7683" s="84"/>
      <c r="I7683" s="237"/>
      <c r="J7683" s="238"/>
    </row>
    <row r="7684">
      <c r="C7684" s="82"/>
      <c r="E7684" s="84"/>
      <c r="F7684" s="84"/>
      <c r="G7684" s="84"/>
      <c r="I7684" s="237"/>
      <c r="J7684" s="238"/>
    </row>
    <row r="7685">
      <c r="C7685" s="82"/>
      <c r="E7685" s="84"/>
      <c r="F7685" s="84"/>
      <c r="G7685" s="84"/>
      <c r="I7685" s="237"/>
      <c r="J7685" s="238"/>
    </row>
    <row r="7686">
      <c r="C7686" s="82"/>
      <c r="E7686" s="84"/>
      <c r="F7686" s="84"/>
      <c r="G7686" s="84"/>
      <c r="I7686" s="237"/>
      <c r="J7686" s="238"/>
    </row>
    <row r="7687">
      <c r="C7687" s="82"/>
      <c r="E7687" s="84"/>
      <c r="F7687" s="84"/>
      <c r="G7687" s="84"/>
      <c r="I7687" s="237"/>
      <c r="J7687" s="238"/>
    </row>
    <row r="7688">
      <c r="C7688" s="82"/>
      <c r="E7688" s="84"/>
      <c r="F7688" s="84"/>
      <c r="G7688" s="84"/>
      <c r="I7688" s="237"/>
      <c r="J7688" s="238"/>
    </row>
    <row r="7689">
      <c r="C7689" s="82"/>
      <c r="E7689" s="84"/>
      <c r="F7689" s="84"/>
      <c r="G7689" s="84"/>
      <c r="I7689" s="237"/>
      <c r="J7689" s="238"/>
    </row>
    <row r="7690">
      <c r="C7690" s="82"/>
      <c r="E7690" s="84"/>
      <c r="F7690" s="84"/>
      <c r="G7690" s="84"/>
      <c r="I7690" s="237"/>
      <c r="J7690" s="238"/>
    </row>
    <row r="7691">
      <c r="C7691" s="82"/>
      <c r="E7691" s="84"/>
      <c r="F7691" s="84"/>
      <c r="G7691" s="84"/>
      <c r="I7691" s="237"/>
      <c r="J7691" s="238"/>
    </row>
    <row r="7692">
      <c r="C7692" s="82"/>
      <c r="E7692" s="84"/>
      <c r="F7692" s="84"/>
      <c r="G7692" s="84"/>
      <c r="I7692" s="237"/>
      <c r="J7692" s="238"/>
    </row>
    <row r="7693">
      <c r="C7693" s="82"/>
      <c r="E7693" s="84"/>
      <c r="F7693" s="84"/>
      <c r="G7693" s="84"/>
      <c r="I7693" s="237"/>
      <c r="J7693" s="238"/>
    </row>
    <row r="7694">
      <c r="C7694" s="82"/>
      <c r="E7694" s="84"/>
      <c r="F7694" s="84"/>
      <c r="G7694" s="84"/>
      <c r="I7694" s="237"/>
      <c r="J7694" s="238"/>
    </row>
    <row r="7695">
      <c r="C7695" s="82"/>
      <c r="E7695" s="84"/>
      <c r="F7695" s="84"/>
      <c r="G7695" s="84"/>
      <c r="I7695" s="237"/>
      <c r="J7695" s="238"/>
    </row>
    <row r="7696">
      <c r="C7696" s="82"/>
      <c r="E7696" s="84"/>
      <c r="F7696" s="84"/>
      <c r="G7696" s="84"/>
      <c r="I7696" s="237"/>
      <c r="J7696" s="238"/>
    </row>
    <row r="7697">
      <c r="C7697" s="82"/>
      <c r="E7697" s="84"/>
      <c r="F7697" s="84"/>
      <c r="G7697" s="84"/>
      <c r="I7697" s="237"/>
      <c r="J7697" s="238"/>
    </row>
    <row r="7698">
      <c r="C7698" s="82"/>
      <c r="E7698" s="84"/>
      <c r="F7698" s="84"/>
      <c r="G7698" s="84"/>
      <c r="I7698" s="237"/>
      <c r="J7698" s="238"/>
    </row>
    <row r="7699">
      <c r="C7699" s="82"/>
      <c r="E7699" s="84"/>
      <c r="F7699" s="84"/>
      <c r="G7699" s="84"/>
      <c r="I7699" s="237"/>
      <c r="J7699" s="238"/>
    </row>
    <row r="7700">
      <c r="C7700" s="82"/>
      <c r="E7700" s="84"/>
      <c r="F7700" s="84"/>
      <c r="G7700" s="84"/>
      <c r="I7700" s="237"/>
      <c r="J7700" s="238"/>
    </row>
    <row r="7701">
      <c r="C7701" s="82"/>
      <c r="E7701" s="84"/>
      <c r="F7701" s="84"/>
      <c r="G7701" s="84"/>
      <c r="I7701" s="237"/>
      <c r="J7701" s="238"/>
    </row>
    <row r="7702">
      <c r="C7702" s="82"/>
      <c r="E7702" s="84"/>
      <c r="F7702" s="84"/>
      <c r="G7702" s="84"/>
      <c r="I7702" s="237"/>
      <c r="J7702" s="238"/>
    </row>
    <row r="7703">
      <c r="C7703" s="82"/>
      <c r="E7703" s="84"/>
      <c r="F7703" s="84"/>
      <c r="G7703" s="84"/>
      <c r="I7703" s="237"/>
      <c r="J7703" s="238"/>
    </row>
    <row r="7704">
      <c r="C7704" s="82"/>
      <c r="E7704" s="84"/>
      <c r="F7704" s="84"/>
      <c r="G7704" s="84"/>
      <c r="I7704" s="237"/>
      <c r="J7704" s="238"/>
    </row>
    <row r="7705">
      <c r="C7705" s="82"/>
      <c r="E7705" s="84"/>
      <c r="F7705" s="84"/>
      <c r="G7705" s="84"/>
      <c r="I7705" s="237"/>
      <c r="J7705" s="238"/>
    </row>
    <row r="7706">
      <c r="C7706" s="82"/>
      <c r="E7706" s="84"/>
      <c r="F7706" s="84"/>
      <c r="G7706" s="84"/>
      <c r="I7706" s="237"/>
      <c r="J7706" s="238"/>
    </row>
    <row r="7707">
      <c r="C7707" s="82"/>
      <c r="E7707" s="84"/>
      <c r="F7707" s="84"/>
      <c r="G7707" s="84"/>
      <c r="I7707" s="237"/>
      <c r="J7707" s="238"/>
    </row>
    <row r="7708">
      <c r="C7708" s="82"/>
      <c r="E7708" s="84"/>
      <c r="F7708" s="84"/>
      <c r="G7708" s="84"/>
      <c r="I7708" s="237"/>
      <c r="J7708" s="238"/>
    </row>
    <row r="7709">
      <c r="C7709" s="82"/>
      <c r="E7709" s="84"/>
      <c r="F7709" s="84"/>
      <c r="G7709" s="84"/>
      <c r="I7709" s="237"/>
      <c r="J7709" s="238"/>
    </row>
    <row r="7710">
      <c r="C7710" s="82"/>
      <c r="E7710" s="84"/>
      <c r="F7710" s="84"/>
      <c r="G7710" s="84"/>
      <c r="I7710" s="237"/>
      <c r="J7710" s="238"/>
    </row>
    <row r="7711">
      <c r="C7711" s="82"/>
      <c r="E7711" s="84"/>
      <c r="F7711" s="84"/>
      <c r="G7711" s="84"/>
      <c r="I7711" s="237"/>
      <c r="J7711" s="238"/>
    </row>
    <row r="7712">
      <c r="C7712" s="82"/>
      <c r="E7712" s="84"/>
      <c r="F7712" s="84"/>
      <c r="G7712" s="84"/>
      <c r="I7712" s="237"/>
      <c r="J7712" s="238"/>
    </row>
    <row r="7713">
      <c r="C7713" s="82"/>
      <c r="E7713" s="84"/>
      <c r="F7713" s="84"/>
      <c r="G7713" s="84"/>
      <c r="I7713" s="237"/>
      <c r="J7713" s="238"/>
    </row>
    <row r="7714">
      <c r="C7714" s="82"/>
      <c r="E7714" s="84"/>
      <c r="F7714" s="84"/>
      <c r="G7714" s="84"/>
      <c r="I7714" s="237"/>
      <c r="J7714" s="238"/>
    </row>
    <row r="7715">
      <c r="C7715" s="82"/>
      <c r="E7715" s="84"/>
      <c r="F7715" s="84"/>
      <c r="G7715" s="84"/>
      <c r="I7715" s="237"/>
      <c r="J7715" s="238"/>
    </row>
    <row r="7716">
      <c r="C7716" s="82"/>
      <c r="E7716" s="84"/>
      <c r="F7716" s="84"/>
      <c r="G7716" s="84"/>
      <c r="I7716" s="237"/>
      <c r="J7716" s="238"/>
    </row>
    <row r="7717">
      <c r="C7717" s="82"/>
      <c r="E7717" s="84"/>
      <c r="F7717" s="84"/>
      <c r="G7717" s="84"/>
      <c r="I7717" s="237"/>
      <c r="J7717" s="238"/>
    </row>
    <row r="7718">
      <c r="C7718" s="82"/>
      <c r="E7718" s="84"/>
      <c r="F7718" s="84"/>
      <c r="G7718" s="84"/>
      <c r="I7718" s="237"/>
      <c r="J7718" s="238"/>
    </row>
    <row r="7719">
      <c r="C7719" s="82"/>
      <c r="E7719" s="84"/>
      <c r="F7719" s="84"/>
      <c r="G7719" s="84"/>
      <c r="I7719" s="237"/>
      <c r="J7719" s="238"/>
    </row>
    <row r="7720">
      <c r="C7720" s="82"/>
      <c r="E7720" s="84"/>
      <c r="F7720" s="84"/>
      <c r="G7720" s="84"/>
      <c r="I7720" s="237"/>
      <c r="J7720" s="238"/>
    </row>
    <row r="7721">
      <c r="C7721" s="82"/>
      <c r="E7721" s="84"/>
      <c r="F7721" s="84"/>
      <c r="G7721" s="84"/>
      <c r="I7721" s="237"/>
      <c r="J7721" s="238"/>
    </row>
    <row r="7722">
      <c r="C7722" s="82"/>
      <c r="E7722" s="84"/>
      <c r="F7722" s="84"/>
      <c r="G7722" s="84"/>
      <c r="I7722" s="237"/>
      <c r="J7722" s="238"/>
    </row>
    <row r="7723">
      <c r="C7723" s="82"/>
      <c r="E7723" s="84"/>
      <c r="F7723" s="84"/>
      <c r="G7723" s="84"/>
      <c r="I7723" s="237"/>
      <c r="J7723" s="238"/>
    </row>
    <row r="7724">
      <c r="C7724" s="82"/>
      <c r="E7724" s="84"/>
      <c r="F7724" s="84"/>
      <c r="G7724" s="84"/>
      <c r="I7724" s="237"/>
      <c r="J7724" s="238"/>
    </row>
    <row r="7725">
      <c r="C7725" s="82"/>
      <c r="E7725" s="84"/>
      <c r="F7725" s="84"/>
      <c r="G7725" s="84"/>
      <c r="I7725" s="237"/>
      <c r="J7725" s="238"/>
    </row>
    <row r="7726">
      <c r="C7726" s="82"/>
      <c r="E7726" s="84"/>
      <c r="F7726" s="84"/>
      <c r="G7726" s="84"/>
      <c r="I7726" s="237"/>
      <c r="J7726" s="238"/>
    </row>
    <row r="7727">
      <c r="C7727" s="82"/>
      <c r="E7727" s="84"/>
      <c r="F7727" s="84"/>
      <c r="G7727" s="84"/>
      <c r="I7727" s="237"/>
      <c r="J7727" s="238"/>
    </row>
    <row r="7728">
      <c r="C7728" s="82"/>
      <c r="E7728" s="84"/>
      <c r="F7728" s="84"/>
      <c r="G7728" s="84"/>
      <c r="I7728" s="237"/>
      <c r="J7728" s="238"/>
    </row>
    <row r="7729">
      <c r="C7729" s="82"/>
      <c r="E7729" s="84"/>
      <c r="F7729" s="84"/>
      <c r="G7729" s="84"/>
      <c r="I7729" s="237"/>
      <c r="J7729" s="238"/>
    </row>
    <row r="7730">
      <c r="C7730" s="82"/>
      <c r="E7730" s="84"/>
      <c r="F7730" s="84"/>
      <c r="G7730" s="84"/>
      <c r="I7730" s="237"/>
      <c r="J7730" s="238"/>
    </row>
    <row r="7731">
      <c r="C7731" s="82"/>
      <c r="E7731" s="84"/>
      <c r="F7731" s="84"/>
      <c r="G7731" s="84"/>
      <c r="I7731" s="237"/>
      <c r="J7731" s="238"/>
    </row>
    <row r="7732">
      <c r="C7732" s="82"/>
      <c r="E7732" s="84"/>
      <c r="F7732" s="84"/>
      <c r="G7732" s="84"/>
      <c r="I7732" s="237"/>
      <c r="J7732" s="238"/>
    </row>
    <row r="7733">
      <c r="C7733" s="82"/>
      <c r="E7733" s="84"/>
      <c r="F7733" s="84"/>
      <c r="G7733" s="84"/>
      <c r="I7733" s="237"/>
      <c r="J7733" s="238"/>
    </row>
    <row r="7734">
      <c r="C7734" s="82"/>
      <c r="E7734" s="84"/>
      <c r="F7734" s="84"/>
      <c r="G7734" s="84"/>
      <c r="I7734" s="237"/>
      <c r="J7734" s="238"/>
    </row>
    <row r="7735">
      <c r="C7735" s="82"/>
      <c r="E7735" s="84"/>
      <c r="F7735" s="84"/>
      <c r="G7735" s="84"/>
      <c r="I7735" s="237"/>
      <c r="J7735" s="238"/>
    </row>
    <row r="7736">
      <c r="C7736" s="82"/>
      <c r="E7736" s="84"/>
      <c r="F7736" s="84"/>
      <c r="G7736" s="84"/>
      <c r="I7736" s="237"/>
      <c r="J7736" s="238"/>
    </row>
    <row r="7737">
      <c r="C7737" s="82"/>
      <c r="E7737" s="84"/>
      <c r="F7737" s="84"/>
      <c r="G7737" s="84"/>
      <c r="I7737" s="237"/>
      <c r="J7737" s="238"/>
    </row>
    <row r="7738">
      <c r="C7738" s="82"/>
      <c r="E7738" s="84"/>
      <c r="F7738" s="84"/>
      <c r="G7738" s="84"/>
      <c r="I7738" s="237"/>
      <c r="J7738" s="238"/>
    </row>
    <row r="7739">
      <c r="C7739" s="82"/>
      <c r="E7739" s="84"/>
      <c r="F7739" s="84"/>
      <c r="G7739" s="84"/>
      <c r="I7739" s="237"/>
      <c r="J7739" s="238"/>
    </row>
    <row r="7740">
      <c r="C7740" s="82"/>
      <c r="E7740" s="84"/>
      <c r="F7740" s="84"/>
      <c r="G7740" s="84"/>
      <c r="I7740" s="237"/>
      <c r="J7740" s="238"/>
    </row>
    <row r="7741">
      <c r="C7741" s="82"/>
      <c r="E7741" s="84"/>
      <c r="F7741" s="84"/>
      <c r="G7741" s="84"/>
      <c r="I7741" s="237"/>
      <c r="J7741" s="238"/>
    </row>
    <row r="7742">
      <c r="C7742" s="82"/>
      <c r="E7742" s="84"/>
      <c r="F7742" s="84"/>
      <c r="G7742" s="84"/>
      <c r="I7742" s="237"/>
      <c r="J7742" s="238"/>
    </row>
    <row r="7743">
      <c r="C7743" s="82"/>
      <c r="E7743" s="84"/>
      <c r="F7743" s="84"/>
      <c r="G7743" s="84"/>
      <c r="I7743" s="237"/>
      <c r="J7743" s="238"/>
    </row>
    <row r="7744">
      <c r="C7744" s="82"/>
      <c r="E7744" s="84"/>
      <c r="F7744" s="84"/>
      <c r="G7744" s="84"/>
      <c r="I7744" s="237"/>
      <c r="J7744" s="238"/>
    </row>
    <row r="7745">
      <c r="C7745" s="82"/>
      <c r="E7745" s="84"/>
      <c r="F7745" s="84"/>
      <c r="G7745" s="84"/>
      <c r="I7745" s="237"/>
      <c r="J7745" s="238"/>
    </row>
    <row r="7746">
      <c r="C7746" s="82"/>
      <c r="E7746" s="84"/>
      <c r="F7746" s="84"/>
      <c r="G7746" s="84"/>
      <c r="I7746" s="237"/>
      <c r="J7746" s="238"/>
    </row>
    <row r="7747">
      <c r="C7747" s="82"/>
      <c r="E7747" s="84"/>
      <c r="F7747" s="84"/>
      <c r="G7747" s="84"/>
      <c r="I7747" s="237"/>
      <c r="J7747" s="238"/>
    </row>
    <row r="7748">
      <c r="C7748" s="82"/>
      <c r="E7748" s="84"/>
      <c r="F7748" s="84"/>
      <c r="G7748" s="84"/>
      <c r="I7748" s="237"/>
      <c r="J7748" s="238"/>
    </row>
    <row r="7749">
      <c r="C7749" s="82"/>
      <c r="E7749" s="84"/>
      <c r="F7749" s="84"/>
      <c r="G7749" s="84"/>
      <c r="I7749" s="237"/>
      <c r="J7749" s="238"/>
    </row>
    <row r="7750">
      <c r="C7750" s="82"/>
      <c r="E7750" s="84"/>
      <c r="F7750" s="84"/>
      <c r="G7750" s="84"/>
      <c r="I7750" s="237"/>
      <c r="J7750" s="238"/>
    </row>
    <row r="7751">
      <c r="C7751" s="82"/>
      <c r="E7751" s="84"/>
      <c r="F7751" s="84"/>
      <c r="G7751" s="84"/>
      <c r="I7751" s="237"/>
      <c r="J7751" s="238"/>
    </row>
    <row r="7752">
      <c r="C7752" s="82"/>
      <c r="E7752" s="84"/>
      <c r="F7752" s="84"/>
      <c r="G7752" s="84"/>
      <c r="I7752" s="237"/>
      <c r="J7752" s="238"/>
    </row>
    <row r="7753">
      <c r="C7753" s="82"/>
      <c r="E7753" s="84"/>
      <c r="F7753" s="84"/>
      <c r="G7753" s="84"/>
      <c r="I7753" s="237"/>
      <c r="J7753" s="238"/>
    </row>
    <row r="7754">
      <c r="C7754" s="82"/>
      <c r="E7754" s="84"/>
      <c r="F7754" s="84"/>
      <c r="G7754" s="84"/>
      <c r="I7754" s="237"/>
      <c r="J7754" s="238"/>
    </row>
    <row r="7755">
      <c r="C7755" s="82"/>
      <c r="E7755" s="84"/>
      <c r="F7755" s="84"/>
      <c r="G7755" s="84"/>
      <c r="I7755" s="237"/>
      <c r="J7755" s="238"/>
    </row>
    <row r="7756">
      <c r="C7756" s="82"/>
      <c r="E7756" s="84"/>
      <c r="F7756" s="84"/>
      <c r="G7756" s="84"/>
      <c r="I7756" s="237"/>
      <c r="J7756" s="238"/>
    </row>
    <row r="7757">
      <c r="C7757" s="82"/>
      <c r="E7757" s="84"/>
      <c r="F7757" s="84"/>
      <c r="G7757" s="84"/>
      <c r="I7757" s="237"/>
      <c r="J7757" s="238"/>
    </row>
    <row r="7758">
      <c r="C7758" s="82"/>
      <c r="E7758" s="84"/>
      <c r="F7758" s="84"/>
      <c r="G7758" s="84"/>
      <c r="I7758" s="237"/>
      <c r="J7758" s="238"/>
    </row>
    <row r="7759">
      <c r="C7759" s="82"/>
      <c r="E7759" s="84"/>
      <c r="F7759" s="84"/>
      <c r="G7759" s="84"/>
      <c r="I7759" s="237"/>
      <c r="J7759" s="238"/>
    </row>
    <row r="7760">
      <c r="C7760" s="82"/>
      <c r="E7760" s="84"/>
      <c r="F7760" s="84"/>
      <c r="G7760" s="84"/>
      <c r="I7760" s="237"/>
      <c r="J7760" s="238"/>
    </row>
    <row r="7761">
      <c r="C7761" s="82"/>
      <c r="E7761" s="84"/>
      <c r="F7761" s="84"/>
      <c r="G7761" s="84"/>
      <c r="I7761" s="237"/>
      <c r="J7761" s="238"/>
    </row>
    <row r="7762">
      <c r="C7762" s="82"/>
      <c r="E7762" s="84"/>
      <c r="F7762" s="84"/>
      <c r="G7762" s="84"/>
      <c r="I7762" s="237"/>
      <c r="J7762" s="238"/>
    </row>
    <row r="7763">
      <c r="C7763" s="82"/>
      <c r="E7763" s="84"/>
      <c r="F7763" s="84"/>
      <c r="G7763" s="84"/>
      <c r="I7763" s="237"/>
      <c r="J7763" s="238"/>
    </row>
    <row r="7764">
      <c r="C7764" s="82"/>
      <c r="E7764" s="84"/>
      <c r="F7764" s="84"/>
      <c r="G7764" s="84"/>
      <c r="I7764" s="237"/>
      <c r="J7764" s="238"/>
    </row>
    <row r="7765">
      <c r="C7765" s="82"/>
      <c r="E7765" s="84"/>
      <c r="F7765" s="84"/>
      <c r="G7765" s="84"/>
      <c r="I7765" s="237"/>
      <c r="J7765" s="238"/>
    </row>
    <row r="7766">
      <c r="C7766" s="82"/>
      <c r="E7766" s="84"/>
      <c r="F7766" s="84"/>
      <c r="G7766" s="84"/>
      <c r="I7766" s="237"/>
      <c r="J7766" s="238"/>
    </row>
    <row r="7767">
      <c r="C7767" s="82"/>
      <c r="E7767" s="84"/>
      <c r="F7767" s="84"/>
      <c r="G7767" s="84"/>
      <c r="I7767" s="237"/>
      <c r="J7767" s="238"/>
    </row>
    <row r="7768">
      <c r="C7768" s="82"/>
      <c r="E7768" s="84"/>
      <c r="F7768" s="84"/>
      <c r="G7768" s="84"/>
      <c r="I7768" s="237"/>
      <c r="J7768" s="238"/>
    </row>
    <row r="7769">
      <c r="C7769" s="82"/>
      <c r="E7769" s="84"/>
      <c r="F7769" s="84"/>
      <c r="G7769" s="84"/>
      <c r="I7769" s="237"/>
      <c r="J7769" s="238"/>
    </row>
    <row r="7770">
      <c r="C7770" s="82"/>
      <c r="E7770" s="84"/>
      <c r="F7770" s="84"/>
      <c r="G7770" s="84"/>
      <c r="I7770" s="237"/>
      <c r="J7770" s="238"/>
    </row>
    <row r="7771">
      <c r="C7771" s="82"/>
      <c r="E7771" s="84"/>
      <c r="F7771" s="84"/>
      <c r="G7771" s="84"/>
      <c r="I7771" s="237"/>
      <c r="J7771" s="238"/>
    </row>
    <row r="7772">
      <c r="C7772" s="82"/>
      <c r="E7772" s="84"/>
      <c r="F7772" s="84"/>
      <c r="G7772" s="84"/>
      <c r="I7772" s="237"/>
      <c r="J7772" s="238"/>
    </row>
    <row r="7773">
      <c r="C7773" s="82"/>
      <c r="E7773" s="84"/>
      <c r="F7773" s="84"/>
      <c r="G7773" s="84"/>
      <c r="I7773" s="237"/>
      <c r="J7773" s="238"/>
    </row>
    <row r="7774">
      <c r="C7774" s="82"/>
      <c r="E7774" s="84"/>
      <c r="F7774" s="84"/>
      <c r="G7774" s="84"/>
      <c r="I7774" s="237"/>
      <c r="J7774" s="238"/>
    </row>
    <row r="7775">
      <c r="C7775" s="82"/>
      <c r="E7775" s="84"/>
      <c r="F7775" s="84"/>
      <c r="G7775" s="84"/>
      <c r="I7775" s="237"/>
      <c r="J7775" s="238"/>
    </row>
    <row r="7776">
      <c r="C7776" s="82"/>
      <c r="E7776" s="84"/>
      <c r="F7776" s="84"/>
      <c r="G7776" s="84"/>
      <c r="I7776" s="237"/>
      <c r="J7776" s="238"/>
    </row>
    <row r="7777">
      <c r="C7777" s="82"/>
      <c r="E7777" s="84"/>
      <c r="F7777" s="84"/>
      <c r="G7777" s="84"/>
      <c r="I7777" s="237"/>
      <c r="J7777" s="238"/>
    </row>
    <row r="7778">
      <c r="C7778" s="82"/>
      <c r="E7778" s="84"/>
      <c r="F7778" s="84"/>
      <c r="G7778" s="84"/>
      <c r="I7778" s="237"/>
      <c r="J7778" s="238"/>
    </row>
    <row r="7779">
      <c r="C7779" s="82"/>
      <c r="E7779" s="84"/>
      <c r="F7779" s="84"/>
      <c r="G7779" s="84"/>
      <c r="I7779" s="237"/>
      <c r="J7779" s="238"/>
    </row>
    <row r="7780">
      <c r="C7780" s="82"/>
      <c r="E7780" s="84"/>
      <c r="F7780" s="84"/>
      <c r="G7780" s="84"/>
      <c r="I7780" s="237"/>
      <c r="J7780" s="238"/>
    </row>
    <row r="7781">
      <c r="C7781" s="82"/>
      <c r="E7781" s="84"/>
      <c r="F7781" s="84"/>
      <c r="G7781" s="84"/>
      <c r="I7781" s="237"/>
      <c r="J7781" s="238"/>
    </row>
    <row r="7782">
      <c r="C7782" s="82"/>
      <c r="E7782" s="84"/>
      <c r="F7782" s="84"/>
      <c r="G7782" s="84"/>
      <c r="I7782" s="237"/>
      <c r="J7782" s="238"/>
    </row>
    <row r="7783">
      <c r="C7783" s="82"/>
      <c r="E7783" s="84"/>
      <c r="F7783" s="84"/>
      <c r="G7783" s="84"/>
      <c r="I7783" s="237"/>
      <c r="J7783" s="238"/>
    </row>
    <row r="7784">
      <c r="C7784" s="82"/>
      <c r="E7784" s="84"/>
      <c r="F7784" s="84"/>
      <c r="G7784" s="84"/>
      <c r="I7784" s="237"/>
      <c r="J7784" s="238"/>
    </row>
    <row r="7785">
      <c r="C7785" s="82"/>
      <c r="E7785" s="84"/>
      <c r="F7785" s="84"/>
      <c r="G7785" s="84"/>
      <c r="I7785" s="237"/>
      <c r="J7785" s="238"/>
    </row>
    <row r="7786">
      <c r="C7786" s="82"/>
      <c r="E7786" s="84"/>
      <c r="F7786" s="84"/>
      <c r="G7786" s="84"/>
      <c r="I7786" s="237"/>
      <c r="J7786" s="238"/>
    </row>
    <row r="7787">
      <c r="C7787" s="82"/>
      <c r="E7787" s="84"/>
      <c r="F7787" s="84"/>
      <c r="G7787" s="84"/>
      <c r="I7787" s="237"/>
      <c r="J7787" s="238"/>
    </row>
    <row r="7788">
      <c r="C7788" s="82"/>
      <c r="E7788" s="84"/>
      <c r="F7788" s="84"/>
      <c r="G7788" s="84"/>
      <c r="I7788" s="237"/>
      <c r="J7788" s="238"/>
    </row>
    <row r="7789">
      <c r="C7789" s="82"/>
      <c r="E7789" s="84"/>
      <c r="F7789" s="84"/>
      <c r="G7789" s="84"/>
      <c r="I7789" s="237"/>
      <c r="J7789" s="238"/>
    </row>
    <row r="7790">
      <c r="C7790" s="82"/>
      <c r="E7790" s="84"/>
      <c r="F7790" s="84"/>
      <c r="G7790" s="84"/>
      <c r="I7790" s="237"/>
      <c r="J7790" s="238"/>
    </row>
    <row r="7791">
      <c r="C7791" s="82"/>
      <c r="E7791" s="84"/>
      <c r="F7791" s="84"/>
      <c r="G7791" s="84"/>
      <c r="I7791" s="237"/>
      <c r="J7791" s="238"/>
    </row>
    <row r="7792">
      <c r="C7792" s="82"/>
      <c r="E7792" s="84"/>
      <c r="F7792" s="84"/>
      <c r="G7792" s="84"/>
      <c r="I7792" s="237"/>
      <c r="J7792" s="238"/>
    </row>
    <row r="7793">
      <c r="C7793" s="82"/>
      <c r="E7793" s="84"/>
      <c r="F7793" s="84"/>
      <c r="G7793" s="84"/>
      <c r="I7793" s="237"/>
      <c r="J7793" s="238"/>
    </row>
    <row r="7794">
      <c r="C7794" s="82"/>
      <c r="E7794" s="84"/>
      <c r="F7794" s="84"/>
      <c r="G7794" s="84"/>
      <c r="I7794" s="237"/>
      <c r="J7794" s="238"/>
    </row>
    <row r="7795">
      <c r="C7795" s="82"/>
      <c r="E7795" s="84"/>
      <c r="F7795" s="84"/>
      <c r="G7795" s="84"/>
      <c r="I7795" s="237"/>
      <c r="J7795" s="238"/>
    </row>
    <row r="7796">
      <c r="C7796" s="82"/>
      <c r="E7796" s="84"/>
      <c r="F7796" s="84"/>
      <c r="G7796" s="84"/>
      <c r="I7796" s="237"/>
      <c r="J7796" s="238"/>
    </row>
    <row r="7797">
      <c r="C7797" s="82"/>
      <c r="E7797" s="84"/>
      <c r="F7797" s="84"/>
      <c r="G7797" s="84"/>
      <c r="I7797" s="237"/>
      <c r="J7797" s="238"/>
    </row>
    <row r="7798">
      <c r="C7798" s="82"/>
      <c r="E7798" s="84"/>
      <c r="F7798" s="84"/>
      <c r="G7798" s="84"/>
      <c r="I7798" s="237"/>
      <c r="J7798" s="238"/>
    </row>
    <row r="7799">
      <c r="C7799" s="82"/>
      <c r="E7799" s="84"/>
      <c r="F7799" s="84"/>
      <c r="G7799" s="84"/>
      <c r="I7799" s="237"/>
      <c r="J7799" s="238"/>
    </row>
    <row r="7800">
      <c r="C7800" s="82"/>
      <c r="E7800" s="84"/>
      <c r="F7800" s="84"/>
      <c r="G7800" s="84"/>
      <c r="I7800" s="237"/>
      <c r="J7800" s="238"/>
    </row>
    <row r="7801">
      <c r="C7801" s="82"/>
      <c r="E7801" s="84"/>
      <c r="F7801" s="84"/>
      <c r="G7801" s="84"/>
      <c r="I7801" s="237"/>
      <c r="J7801" s="238"/>
    </row>
    <row r="7802">
      <c r="C7802" s="82"/>
      <c r="E7802" s="84"/>
      <c r="F7802" s="84"/>
      <c r="G7802" s="84"/>
      <c r="I7802" s="237"/>
      <c r="J7802" s="238"/>
    </row>
    <row r="7803">
      <c r="C7803" s="82"/>
      <c r="E7803" s="84"/>
      <c r="F7803" s="84"/>
      <c r="G7803" s="84"/>
      <c r="I7803" s="237"/>
      <c r="J7803" s="238"/>
    </row>
    <row r="7804">
      <c r="C7804" s="82"/>
      <c r="E7804" s="84"/>
      <c r="F7804" s="84"/>
      <c r="G7804" s="84"/>
      <c r="I7804" s="237"/>
      <c r="J7804" s="238"/>
    </row>
    <row r="7805">
      <c r="C7805" s="82"/>
      <c r="E7805" s="84"/>
      <c r="F7805" s="84"/>
      <c r="G7805" s="84"/>
      <c r="I7805" s="237"/>
      <c r="J7805" s="238"/>
    </row>
    <row r="7806">
      <c r="C7806" s="82"/>
      <c r="E7806" s="84"/>
      <c r="F7806" s="84"/>
      <c r="G7806" s="84"/>
      <c r="I7806" s="237"/>
      <c r="J7806" s="238"/>
    </row>
    <row r="7807">
      <c r="C7807" s="82"/>
      <c r="E7807" s="84"/>
      <c r="F7807" s="84"/>
      <c r="G7807" s="84"/>
      <c r="I7807" s="237"/>
      <c r="J7807" s="238"/>
    </row>
    <row r="7808">
      <c r="C7808" s="82"/>
      <c r="E7808" s="84"/>
      <c r="F7808" s="84"/>
      <c r="G7808" s="84"/>
      <c r="I7808" s="237"/>
      <c r="J7808" s="238"/>
    </row>
    <row r="7809">
      <c r="C7809" s="82"/>
      <c r="E7809" s="84"/>
      <c r="F7809" s="84"/>
      <c r="G7809" s="84"/>
      <c r="I7809" s="237"/>
      <c r="J7809" s="238"/>
    </row>
    <row r="7810">
      <c r="C7810" s="82"/>
      <c r="E7810" s="84"/>
      <c r="F7810" s="84"/>
      <c r="G7810" s="84"/>
      <c r="I7810" s="237"/>
      <c r="J7810" s="238"/>
    </row>
    <row r="7811">
      <c r="C7811" s="82"/>
      <c r="E7811" s="84"/>
      <c r="F7811" s="84"/>
      <c r="G7811" s="84"/>
      <c r="I7811" s="237"/>
      <c r="J7811" s="238"/>
    </row>
    <row r="7812">
      <c r="C7812" s="82"/>
      <c r="E7812" s="84"/>
      <c r="F7812" s="84"/>
      <c r="G7812" s="84"/>
      <c r="I7812" s="237"/>
      <c r="J7812" s="238"/>
    </row>
    <row r="7813">
      <c r="C7813" s="82"/>
      <c r="E7813" s="84"/>
      <c r="F7813" s="84"/>
      <c r="G7813" s="84"/>
      <c r="I7813" s="237"/>
      <c r="J7813" s="238"/>
    </row>
    <row r="7814">
      <c r="C7814" s="82"/>
      <c r="E7814" s="84"/>
      <c r="F7814" s="84"/>
      <c r="G7814" s="84"/>
      <c r="I7814" s="237"/>
      <c r="J7814" s="238"/>
    </row>
    <row r="7815">
      <c r="C7815" s="82"/>
      <c r="E7815" s="84"/>
      <c r="F7815" s="84"/>
      <c r="G7815" s="84"/>
      <c r="I7815" s="237"/>
      <c r="J7815" s="238"/>
    </row>
    <row r="7816">
      <c r="C7816" s="82"/>
      <c r="E7816" s="84"/>
      <c r="F7816" s="84"/>
      <c r="G7816" s="84"/>
      <c r="I7816" s="237"/>
      <c r="J7816" s="238"/>
    </row>
    <row r="7817">
      <c r="C7817" s="82"/>
      <c r="E7817" s="84"/>
      <c r="F7817" s="84"/>
      <c r="G7817" s="84"/>
      <c r="I7817" s="237"/>
      <c r="J7817" s="238"/>
    </row>
    <row r="7818">
      <c r="C7818" s="82"/>
      <c r="E7818" s="84"/>
      <c r="F7818" s="84"/>
      <c r="G7818" s="84"/>
      <c r="I7818" s="237"/>
      <c r="J7818" s="238"/>
    </row>
    <row r="7819">
      <c r="C7819" s="82"/>
      <c r="E7819" s="84"/>
      <c r="F7819" s="84"/>
      <c r="G7819" s="84"/>
      <c r="I7819" s="237"/>
      <c r="J7819" s="238"/>
    </row>
    <row r="7820">
      <c r="C7820" s="82"/>
      <c r="E7820" s="84"/>
      <c r="F7820" s="84"/>
      <c r="G7820" s="84"/>
      <c r="I7820" s="237"/>
      <c r="J7820" s="238"/>
    </row>
    <row r="7821">
      <c r="C7821" s="82"/>
      <c r="E7821" s="84"/>
      <c r="F7821" s="84"/>
      <c r="G7821" s="84"/>
      <c r="I7821" s="237"/>
      <c r="J7821" s="238"/>
    </row>
    <row r="7822">
      <c r="C7822" s="82"/>
      <c r="E7822" s="84"/>
      <c r="F7822" s="84"/>
      <c r="G7822" s="84"/>
      <c r="I7822" s="237"/>
      <c r="J7822" s="238"/>
    </row>
    <row r="7823">
      <c r="C7823" s="82"/>
      <c r="E7823" s="84"/>
      <c r="F7823" s="84"/>
      <c r="G7823" s="84"/>
      <c r="I7823" s="237"/>
      <c r="J7823" s="238"/>
    </row>
    <row r="7824">
      <c r="C7824" s="82"/>
      <c r="E7824" s="84"/>
      <c r="F7824" s="84"/>
      <c r="G7824" s="84"/>
      <c r="I7824" s="237"/>
      <c r="J7824" s="238"/>
    </row>
    <row r="7825">
      <c r="C7825" s="82"/>
      <c r="E7825" s="84"/>
      <c r="F7825" s="84"/>
      <c r="G7825" s="84"/>
      <c r="I7825" s="237"/>
      <c r="J7825" s="238"/>
    </row>
    <row r="7826">
      <c r="C7826" s="82"/>
      <c r="E7826" s="84"/>
      <c r="F7826" s="84"/>
      <c r="G7826" s="84"/>
      <c r="I7826" s="237"/>
      <c r="J7826" s="238"/>
    </row>
    <row r="7827">
      <c r="C7827" s="82"/>
      <c r="E7827" s="84"/>
      <c r="F7827" s="84"/>
      <c r="G7827" s="84"/>
      <c r="I7827" s="237"/>
      <c r="J7827" s="238"/>
    </row>
    <row r="7828">
      <c r="C7828" s="82"/>
      <c r="E7828" s="84"/>
      <c r="F7828" s="84"/>
      <c r="G7828" s="84"/>
      <c r="I7828" s="237"/>
      <c r="J7828" s="238"/>
    </row>
    <row r="7829">
      <c r="C7829" s="82"/>
      <c r="E7829" s="84"/>
      <c r="F7829" s="84"/>
      <c r="G7829" s="84"/>
      <c r="I7829" s="237"/>
      <c r="J7829" s="238"/>
    </row>
    <row r="7830">
      <c r="C7830" s="82"/>
      <c r="E7830" s="84"/>
      <c r="F7830" s="84"/>
      <c r="G7830" s="84"/>
      <c r="I7830" s="237"/>
      <c r="J7830" s="238"/>
    </row>
    <row r="7831">
      <c r="C7831" s="82"/>
      <c r="E7831" s="84"/>
      <c r="F7831" s="84"/>
      <c r="G7831" s="84"/>
      <c r="I7831" s="237"/>
      <c r="J7831" s="238"/>
    </row>
    <row r="7832">
      <c r="C7832" s="82"/>
      <c r="E7832" s="84"/>
      <c r="F7832" s="84"/>
      <c r="G7832" s="84"/>
      <c r="I7832" s="237"/>
      <c r="J7832" s="238"/>
    </row>
    <row r="7833">
      <c r="C7833" s="82"/>
      <c r="E7833" s="84"/>
      <c r="F7833" s="84"/>
      <c r="G7833" s="84"/>
      <c r="I7833" s="237"/>
      <c r="J7833" s="238"/>
    </row>
    <row r="7834">
      <c r="C7834" s="82"/>
      <c r="E7834" s="84"/>
      <c r="F7834" s="84"/>
      <c r="G7834" s="84"/>
      <c r="I7834" s="237"/>
      <c r="J7834" s="238"/>
    </row>
    <row r="7835">
      <c r="C7835" s="82"/>
      <c r="E7835" s="84"/>
      <c r="F7835" s="84"/>
      <c r="G7835" s="84"/>
      <c r="I7835" s="237"/>
      <c r="J7835" s="238"/>
    </row>
    <row r="7836">
      <c r="C7836" s="82"/>
      <c r="E7836" s="84"/>
      <c r="F7836" s="84"/>
      <c r="G7836" s="84"/>
      <c r="I7836" s="237"/>
      <c r="J7836" s="238"/>
    </row>
    <row r="7837">
      <c r="C7837" s="82"/>
      <c r="E7837" s="84"/>
      <c r="F7837" s="84"/>
      <c r="G7837" s="84"/>
      <c r="I7837" s="237"/>
      <c r="J7837" s="238"/>
    </row>
    <row r="7838">
      <c r="C7838" s="82"/>
      <c r="E7838" s="84"/>
      <c r="F7838" s="84"/>
      <c r="G7838" s="84"/>
      <c r="I7838" s="237"/>
      <c r="J7838" s="238"/>
    </row>
    <row r="7839">
      <c r="C7839" s="82"/>
      <c r="E7839" s="84"/>
      <c r="F7839" s="84"/>
      <c r="G7839" s="84"/>
      <c r="I7839" s="237"/>
      <c r="J7839" s="238"/>
    </row>
    <row r="7840">
      <c r="C7840" s="82"/>
      <c r="E7840" s="84"/>
      <c r="F7840" s="84"/>
      <c r="G7840" s="84"/>
      <c r="I7840" s="237"/>
      <c r="J7840" s="238"/>
    </row>
    <row r="7841">
      <c r="C7841" s="82"/>
      <c r="E7841" s="84"/>
      <c r="F7841" s="84"/>
      <c r="G7841" s="84"/>
      <c r="I7841" s="237"/>
      <c r="J7841" s="238"/>
    </row>
    <row r="7842">
      <c r="C7842" s="82"/>
      <c r="E7842" s="84"/>
      <c r="F7842" s="84"/>
      <c r="G7842" s="84"/>
      <c r="I7842" s="237"/>
      <c r="J7842" s="238"/>
    </row>
    <row r="7843">
      <c r="C7843" s="82"/>
      <c r="E7843" s="84"/>
      <c r="F7843" s="84"/>
      <c r="G7843" s="84"/>
      <c r="I7843" s="237"/>
      <c r="J7843" s="238"/>
    </row>
    <row r="7844">
      <c r="C7844" s="82"/>
      <c r="E7844" s="84"/>
      <c r="F7844" s="84"/>
      <c r="G7844" s="84"/>
      <c r="I7844" s="237"/>
      <c r="J7844" s="238"/>
    </row>
    <row r="7845">
      <c r="C7845" s="82"/>
      <c r="E7845" s="84"/>
      <c r="F7845" s="84"/>
      <c r="G7845" s="84"/>
      <c r="I7845" s="237"/>
      <c r="J7845" s="238"/>
    </row>
    <row r="7846">
      <c r="C7846" s="82"/>
      <c r="E7846" s="84"/>
      <c r="F7846" s="84"/>
      <c r="G7846" s="84"/>
      <c r="I7846" s="237"/>
      <c r="J7846" s="238"/>
    </row>
    <row r="7847">
      <c r="C7847" s="82"/>
      <c r="E7847" s="84"/>
      <c r="F7847" s="84"/>
      <c r="G7847" s="84"/>
      <c r="I7847" s="237"/>
      <c r="J7847" s="238"/>
    </row>
    <row r="7848">
      <c r="C7848" s="82"/>
      <c r="E7848" s="84"/>
      <c r="F7848" s="84"/>
      <c r="G7848" s="84"/>
      <c r="I7848" s="237"/>
      <c r="J7848" s="238"/>
    </row>
    <row r="7849">
      <c r="C7849" s="82"/>
      <c r="E7849" s="84"/>
      <c r="F7849" s="84"/>
      <c r="G7849" s="84"/>
      <c r="I7849" s="237"/>
      <c r="J7849" s="238"/>
    </row>
    <row r="7850">
      <c r="C7850" s="82"/>
      <c r="E7850" s="84"/>
      <c r="F7850" s="84"/>
      <c r="G7850" s="84"/>
      <c r="I7850" s="237"/>
      <c r="J7850" s="238"/>
    </row>
    <row r="7851">
      <c r="C7851" s="82"/>
      <c r="E7851" s="84"/>
      <c r="F7851" s="84"/>
      <c r="G7851" s="84"/>
      <c r="I7851" s="237"/>
      <c r="J7851" s="238"/>
    </row>
    <row r="7852">
      <c r="C7852" s="82"/>
      <c r="E7852" s="84"/>
      <c r="F7852" s="84"/>
      <c r="G7852" s="84"/>
      <c r="I7852" s="237"/>
      <c r="J7852" s="238"/>
    </row>
    <row r="7853">
      <c r="C7853" s="82"/>
      <c r="E7853" s="84"/>
      <c r="F7853" s="84"/>
      <c r="G7853" s="84"/>
      <c r="I7853" s="237"/>
      <c r="J7853" s="238"/>
    </row>
    <row r="7854">
      <c r="C7854" s="82"/>
      <c r="E7854" s="84"/>
      <c r="F7854" s="84"/>
      <c r="G7854" s="84"/>
      <c r="I7854" s="237"/>
      <c r="J7854" s="238"/>
    </row>
    <row r="7855">
      <c r="C7855" s="82"/>
      <c r="E7855" s="84"/>
      <c r="F7855" s="84"/>
      <c r="G7855" s="84"/>
      <c r="I7855" s="237"/>
      <c r="J7855" s="238"/>
    </row>
    <row r="7856">
      <c r="C7856" s="82"/>
      <c r="E7856" s="84"/>
      <c r="F7856" s="84"/>
      <c r="G7856" s="84"/>
      <c r="I7856" s="237"/>
      <c r="J7856" s="238"/>
    </row>
    <row r="7857">
      <c r="C7857" s="82"/>
      <c r="E7857" s="84"/>
      <c r="F7857" s="84"/>
      <c r="G7857" s="84"/>
      <c r="I7857" s="237"/>
      <c r="J7857" s="238"/>
    </row>
    <row r="7858">
      <c r="C7858" s="82"/>
      <c r="E7858" s="84"/>
      <c r="F7858" s="84"/>
      <c r="G7858" s="84"/>
      <c r="I7858" s="237"/>
      <c r="J7858" s="238"/>
    </row>
    <row r="7859">
      <c r="C7859" s="82"/>
      <c r="E7859" s="84"/>
      <c r="F7859" s="84"/>
      <c r="G7859" s="84"/>
      <c r="I7859" s="237"/>
      <c r="J7859" s="238"/>
    </row>
    <row r="7860">
      <c r="C7860" s="82"/>
      <c r="E7860" s="84"/>
      <c r="F7860" s="84"/>
      <c r="G7860" s="84"/>
      <c r="I7860" s="237"/>
      <c r="J7860" s="238"/>
    </row>
    <row r="7861">
      <c r="C7861" s="82"/>
      <c r="E7861" s="84"/>
      <c r="F7861" s="84"/>
      <c r="G7861" s="84"/>
      <c r="I7861" s="237"/>
      <c r="J7861" s="238"/>
    </row>
    <row r="7862">
      <c r="C7862" s="82"/>
      <c r="E7862" s="84"/>
      <c r="F7862" s="84"/>
      <c r="G7862" s="84"/>
      <c r="I7862" s="237"/>
      <c r="J7862" s="238"/>
    </row>
    <row r="7863">
      <c r="C7863" s="82"/>
      <c r="E7863" s="84"/>
      <c r="F7863" s="84"/>
      <c r="G7863" s="84"/>
      <c r="I7863" s="237"/>
      <c r="J7863" s="238"/>
    </row>
    <row r="7864">
      <c r="C7864" s="82"/>
      <c r="E7864" s="84"/>
      <c r="F7864" s="84"/>
      <c r="G7864" s="84"/>
      <c r="I7864" s="237"/>
      <c r="J7864" s="238"/>
    </row>
    <row r="7865">
      <c r="C7865" s="82"/>
      <c r="E7865" s="84"/>
      <c r="F7865" s="84"/>
      <c r="G7865" s="84"/>
      <c r="I7865" s="237"/>
      <c r="J7865" s="238"/>
    </row>
    <row r="7866">
      <c r="C7866" s="82"/>
      <c r="E7866" s="84"/>
      <c r="F7866" s="84"/>
      <c r="G7866" s="84"/>
      <c r="I7866" s="237"/>
      <c r="J7866" s="238"/>
    </row>
    <row r="7867">
      <c r="C7867" s="82"/>
      <c r="E7867" s="84"/>
      <c r="F7867" s="84"/>
      <c r="G7867" s="84"/>
      <c r="I7867" s="237"/>
      <c r="J7867" s="238"/>
    </row>
    <row r="7868">
      <c r="C7868" s="82"/>
      <c r="E7868" s="84"/>
      <c r="F7868" s="84"/>
      <c r="G7868" s="84"/>
      <c r="I7868" s="237"/>
      <c r="J7868" s="238"/>
    </row>
    <row r="7869">
      <c r="C7869" s="82"/>
      <c r="E7869" s="84"/>
      <c r="F7869" s="84"/>
      <c r="G7869" s="84"/>
      <c r="I7869" s="237"/>
      <c r="J7869" s="238"/>
    </row>
    <row r="7870">
      <c r="C7870" s="82"/>
      <c r="E7870" s="84"/>
      <c r="F7870" s="84"/>
      <c r="G7870" s="84"/>
      <c r="I7870" s="237"/>
      <c r="J7870" s="238"/>
    </row>
    <row r="7871">
      <c r="C7871" s="82"/>
      <c r="E7871" s="84"/>
      <c r="F7871" s="84"/>
      <c r="G7871" s="84"/>
      <c r="I7871" s="237"/>
      <c r="J7871" s="238"/>
    </row>
    <row r="7872">
      <c r="C7872" s="82"/>
      <c r="E7872" s="84"/>
      <c r="F7872" s="84"/>
      <c r="G7872" s="84"/>
      <c r="I7872" s="237"/>
      <c r="J7872" s="238"/>
    </row>
    <row r="7873">
      <c r="C7873" s="82"/>
      <c r="E7873" s="84"/>
      <c r="F7873" s="84"/>
      <c r="G7873" s="84"/>
      <c r="I7873" s="237"/>
      <c r="J7873" s="238"/>
    </row>
    <row r="7874">
      <c r="C7874" s="82"/>
      <c r="E7874" s="84"/>
      <c r="F7874" s="84"/>
      <c r="G7874" s="84"/>
      <c r="I7874" s="237"/>
      <c r="J7874" s="238"/>
    </row>
    <row r="7875">
      <c r="C7875" s="82"/>
      <c r="E7875" s="84"/>
      <c r="F7875" s="84"/>
      <c r="G7875" s="84"/>
      <c r="I7875" s="237"/>
      <c r="J7875" s="238"/>
    </row>
    <row r="7876">
      <c r="C7876" s="82"/>
      <c r="E7876" s="84"/>
      <c r="F7876" s="84"/>
      <c r="G7876" s="84"/>
      <c r="I7876" s="237"/>
      <c r="J7876" s="238"/>
    </row>
    <row r="7877">
      <c r="C7877" s="82"/>
      <c r="E7877" s="84"/>
      <c r="F7877" s="84"/>
      <c r="G7877" s="84"/>
      <c r="I7877" s="237"/>
      <c r="J7877" s="238"/>
    </row>
    <row r="7878">
      <c r="C7878" s="82"/>
      <c r="E7878" s="84"/>
      <c r="F7878" s="84"/>
      <c r="G7878" s="84"/>
      <c r="I7878" s="237"/>
      <c r="J7878" s="238"/>
    </row>
    <row r="7879">
      <c r="C7879" s="82"/>
      <c r="E7879" s="84"/>
      <c r="F7879" s="84"/>
      <c r="G7879" s="84"/>
      <c r="I7879" s="237"/>
      <c r="J7879" s="238"/>
    </row>
    <row r="7880">
      <c r="C7880" s="82"/>
      <c r="E7880" s="84"/>
      <c r="F7880" s="84"/>
      <c r="G7880" s="84"/>
      <c r="I7880" s="237"/>
      <c r="J7880" s="238"/>
    </row>
    <row r="7881">
      <c r="C7881" s="82"/>
      <c r="E7881" s="84"/>
      <c r="F7881" s="84"/>
      <c r="G7881" s="84"/>
      <c r="I7881" s="237"/>
      <c r="J7881" s="238"/>
    </row>
    <row r="7882">
      <c r="C7882" s="82"/>
      <c r="E7882" s="84"/>
      <c r="F7882" s="84"/>
      <c r="G7882" s="84"/>
      <c r="I7882" s="237"/>
      <c r="J7882" s="238"/>
    </row>
    <row r="7883">
      <c r="C7883" s="82"/>
      <c r="E7883" s="84"/>
      <c r="F7883" s="84"/>
      <c r="G7883" s="84"/>
      <c r="I7883" s="237"/>
      <c r="J7883" s="238"/>
    </row>
    <row r="7884">
      <c r="C7884" s="82"/>
      <c r="E7884" s="84"/>
      <c r="F7884" s="84"/>
      <c r="G7884" s="84"/>
      <c r="I7884" s="237"/>
      <c r="J7884" s="238"/>
    </row>
    <row r="7885">
      <c r="C7885" s="82"/>
      <c r="E7885" s="84"/>
      <c r="F7885" s="84"/>
      <c r="G7885" s="84"/>
      <c r="I7885" s="237"/>
      <c r="J7885" s="238"/>
    </row>
    <row r="7886">
      <c r="C7886" s="82"/>
      <c r="E7886" s="84"/>
      <c r="F7886" s="84"/>
      <c r="G7886" s="84"/>
      <c r="I7886" s="237"/>
      <c r="J7886" s="238"/>
    </row>
    <row r="7887">
      <c r="C7887" s="82"/>
      <c r="E7887" s="84"/>
      <c r="F7887" s="84"/>
      <c r="G7887" s="84"/>
      <c r="I7887" s="237"/>
      <c r="J7887" s="238"/>
    </row>
    <row r="7888">
      <c r="C7888" s="82"/>
      <c r="E7888" s="84"/>
      <c r="F7888" s="84"/>
      <c r="G7888" s="84"/>
      <c r="I7888" s="237"/>
      <c r="J7888" s="238"/>
    </row>
    <row r="7889">
      <c r="C7889" s="82"/>
      <c r="E7889" s="84"/>
      <c r="F7889" s="84"/>
      <c r="G7889" s="84"/>
      <c r="I7889" s="237"/>
      <c r="J7889" s="238"/>
    </row>
    <row r="7890">
      <c r="C7890" s="82"/>
      <c r="E7890" s="84"/>
      <c r="F7890" s="84"/>
      <c r="G7890" s="84"/>
      <c r="I7890" s="237"/>
      <c r="J7890" s="238"/>
    </row>
    <row r="7891">
      <c r="C7891" s="82"/>
      <c r="E7891" s="84"/>
      <c r="F7891" s="84"/>
      <c r="G7891" s="84"/>
      <c r="I7891" s="237"/>
      <c r="J7891" s="238"/>
    </row>
    <row r="7892">
      <c r="C7892" s="82"/>
      <c r="E7892" s="84"/>
      <c r="F7892" s="84"/>
      <c r="G7892" s="84"/>
      <c r="I7892" s="237"/>
      <c r="J7892" s="238"/>
    </row>
    <row r="7893">
      <c r="C7893" s="82"/>
      <c r="E7893" s="84"/>
      <c r="F7893" s="84"/>
      <c r="G7893" s="84"/>
      <c r="I7893" s="237"/>
      <c r="J7893" s="238"/>
    </row>
    <row r="7894">
      <c r="C7894" s="82"/>
      <c r="E7894" s="84"/>
      <c r="F7894" s="84"/>
      <c r="G7894" s="84"/>
      <c r="I7894" s="237"/>
      <c r="J7894" s="238"/>
    </row>
    <row r="7895">
      <c r="C7895" s="82"/>
      <c r="E7895" s="84"/>
      <c r="F7895" s="84"/>
      <c r="G7895" s="84"/>
      <c r="I7895" s="237"/>
      <c r="J7895" s="238"/>
    </row>
    <row r="7896">
      <c r="C7896" s="82"/>
      <c r="E7896" s="84"/>
      <c r="F7896" s="84"/>
      <c r="G7896" s="84"/>
      <c r="I7896" s="237"/>
      <c r="J7896" s="238"/>
    </row>
    <row r="7897">
      <c r="C7897" s="82"/>
      <c r="E7897" s="84"/>
      <c r="F7897" s="84"/>
      <c r="G7897" s="84"/>
      <c r="I7897" s="237"/>
      <c r="J7897" s="238"/>
    </row>
    <row r="7898">
      <c r="C7898" s="82"/>
      <c r="E7898" s="84"/>
      <c r="F7898" s="84"/>
      <c r="G7898" s="84"/>
      <c r="I7898" s="237"/>
      <c r="J7898" s="238"/>
    </row>
    <row r="7899">
      <c r="C7899" s="82"/>
      <c r="E7899" s="84"/>
      <c r="F7899" s="84"/>
      <c r="G7899" s="84"/>
      <c r="I7899" s="237"/>
      <c r="J7899" s="238"/>
    </row>
    <row r="7900">
      <c r="C7900" s="82"/>
      <c r="E7900" s="84"/>
      <c r="F7900" s="84"/>
      <c r="G7900" s="84"/>
      <c r="I7900" s="237"/>
      <c r="J7900" s="238"/>
    </row>
    <row r="7901">
      <c r="C7901" s="82"/>
      <c r="E7901" s="84"/>
      <c r="F7901" s="84"/>
      <c r="G7901" s="84"/>
      <c r="I7901" s="237"/>
      <c r="J7901" s="238"/>
    </row>
    <row r="7902">
      <c r="C7902" s="82"/>
      <c r="E7902" s="84"/>
      <c r="F7902" s="84"/>
      <c r="G7902" s="84"/>
      <c r="I7902" s="237"/>
      <c r="J7902" s="238"/>
    </row>
    <row r="7903">
      <c r="C7903" s="82"/>
      <c r="E7903" s="84"/>
      <c r="F7903" s="84"/>
      <c r="G7903" s="84"/>
      <c r="I7903" s="237"/>
      <c r="J7903" s="238"/>
    </row>
    <row r="7904">
      <c r="C7904" s="82"/>
      <c r="E7904" s="84"/>
      <c r="F7904" s="84"/>
      <c r="G7904" s="84"/>
      <c r="I7904" s="237"/>
      <c r="J7904" s="238"/>
    </row>
    <row r="7905">
      <c r="C7905" s="82"/>
      <c r="E7905" s="84"/>
      <c r="F7905" s="84"/>
      <c r="G7905" s="84"/>
      <c r="I7905" s="237"/>
      <c r="J7905" s="238"/>
    </row>
    <row r="7906">
      <c r="C7906" s="82"/>
      <c r="E7906" s="84"/>
      <c r="F7906" s="84"/>
      <c r="G7906" s="84"/>
      <c r="I7906" s="237"/>
      <c r="J7906" s="238"/>
    </row>
    <row r="7907">
      <c r="C7907" s="82"/>
      <c r="E7907" s="84"/>
      <c r="F7907" s="84"/>
      <c r="G7907" s="84"/>
      <c r="I7907" s="237"/>
      <c r="J7907" s="238"/>
    </row>
    <row r="7908">
      <c r="C7908" s="82"/>
      <c r="E7908" s="84"/>
      <c r="F7908" s="84"/>
      <c r="G7908" s="84"/>
      <c r="I7908" s="237"/>
      <c r="J7908" s="238"/>
    </row>
    <row r="7909">
      <c r="C7909" s="82"/>
      <c r="E7909" s="84"/>
      <c r="F7909" s="84"/>
      <c r="G7909" s="84"/>
      <c r="I7909" s="237"/>
      <c r="J7909" s="238"/>
    </row>
    <row r="7910">
      <c r="C7910" s="82"/>
      <c r="E7910" s="84"/>
      <c r="F7910" s="84"/>
      <c r="G7910" s="84"/>
      <c r="I7910" s="237"/>
      <c r="J7910" s="238"/>
    </row>
    <row r="7911">
      <c r="C7911" s="82"/>
      <c r="E7911" s="84"/>
      <c r="F7911" s="84"/>
      <c r="G7911" s="84"/>
      <c r="I7911" s="237"/>
      <c r="J7911" s="238"/>
    </row>
    <row r="7912">
      <c r="C7912" s="82"/>
      <c r="E7912" s="84"/>
      <c r="F7912" s="84"/>
      <c r="G7912" s="84"/>
      <c r="I7912" s="237"/>
      <c r="J7912" s="238"/>
    </row>
    <row r="7913">
      <c r="C7913" s="82"/>
      <c r="E7913" s="84"/>
      <c r="F7913" s="84"/>
      <c r="G7913" s="84"/>
      <c r="I7913" s="237"/>
      <c r="J7913" s="238"/>
    </row>
    <row r="7914">
      <c r="C7914" s="82"/>
      <c r="E7914" s="84"/>
      <c r="F7914" s="84"/>
      <c r="G7914" s="84"/>
      <c r="I7914" s="237"/>
      <c r="J7914" s="238"/>
    </row>
    <row r="7915">
      <c r="C7915" s="82"/>
      <c r="E7915" s="84"/>
      <c r="F7915" s="84"/>
      <c r="G7915" s="84"/>
      <c r="I7915" s="237"/>
      <c r="J7915" s="238"/>
    </row>
    <row r="7916">
      <c r="C7916" s="82"/>
      <c r="E7916" s="84"/>
      <c r="F7916" s="84"/>
      <c r="G7916" s="84"/>
      <c r="I7916" s="237"/>
      <c r="J7916" s="238"/>
    </row>
    <row r="7917">
      <c r="C7917" s="82"/>
      <c r="E7917" s="84"/>
      <c r="F7917" s="84"/>
      <c r="G7917" s="84"/>
      <c r="I7917" s="237"/>
      <c r="J7917" s="238"/>
    </row>
    <row r="7918">
      <c r="C7918" s="82"/>
      <c r="E7918" s="84"/>
      <c r="F7918" s="84"/>
      <c r="G7918" s="84"/>
      <c r="I7918" s="237"/>
      <c r="J7918" s="238"/>
    </row>
    <row r="7919">
      <c r="C7919" s="82"/>
      <c r="E7919" s="84"/>
      <c r="F7919" s="84"/>
      <c r="G7919" s="84"/>
      <c r="I7919" s="237"/>
      <c r="J7919" s="238"/>
    </row>
    <row r="7920">
      <c r="C7920" s="82"/>
      <c r="E7920" s="84"/>
      <c r="F7920" s="84"/>
      <c r="G7920" s="84"/>
      <c r="I7920" s="237"/>
      <c r="J7920" s="238"/>
    </row>
    <row r="7921">
      <c r="C7921" s="82"/>
      <c r="E7921" s="84"/>
      <c r="F7921" s="84"/>
      <c r="G7921" s="84"/>
      <c r="I7921" s="237"/>
      <c r="J7921" s="238"/>
    </row>
    <row r="7922">
      <c r="C7922" s="82"/>
      <c r="E7922" s="84"/>
      <c r="F7922" s="84"/>
      <c r="G7922" s="84"/>
      <c r="I7922" s="237"/>
      <c r="J7922" s="238"/>
    </row>
    <row r="7923">
      <c r="C7923" s="82"/>
      <c r="E7923" s="84"/>
      <c r="F7923" s="84"/>
      <c r="G7923" s="84"/>
      <c r="I7923" s="237"/>
      <c r="J7923" s="238"/>
    </row>
    <row r="7924">
      <c r="C7924" s="82"/>
      <c r="E7924" s="84"/>
      <c r="F7924" s="84"/>
      <c r="G7924" s="84"/>
      <c r="I7924" s="237"/>
      <c r="J7924" s="238"/>
    </row>
    <row r="7925">
      <c r="C7925" s="82"/>
      <c r="E7925" s="84"/>
      <c r="F7925" s="84"/>
      <c r="G7925" s="84"/>
      <c r="I7925" s="237"/>
      <c r="J7925" s="238"/>
    </row>
    <row r="7926">
      <c r="C7926" s="82"/>
      <c r="E7926" s="84"/>
      <c r="F7926" s="84"/>
      <c r="G7926" s="84"/>
      <c r="I7926" s="237"/>
      <c r="J7926" s="238"/>
    </row>
    <row r="7927">
      <c r="C7927" s="82"/>
      <c r="E7927" s="84"/>
      <c r="F7927" s="84"/>
      <c r="G7927" s="84"/>
      <c r="I7927" s="237"/>
      <c r="J7927" s="238"/>
    </row>
    <row r="7928">
      <c r="C7928" s="82"/>
      <c r="E7928" s="84"/>
      <c r="F7928" s="84"/>
      <c r="G7928" s="84"/>
      <c r="I7928" s="237"/>
      <c r="J7928" s="238"/>
    </row>
    <row r="7929">
      <c r="C7929" s="82"/>
      <c r="E7929" s="84"/>
      <c r="F7929" s="84"/>
      <c r="G7929" s="84"/>
      <c r="I7929" s="237"/>
      <c r="J7929" s="238"/>
    </row>
    <row r="7930">
      <c r="C7930" s="82"/>
      <c r="E7930" s="84"/>
      <c r="F7930" s="84"/>
      <c r="G7930" s="84"/>
      <c r="I7930" s="237"/>
      <c r="J7930" s="238"/>
    </row>
    <row r="7931">
      <c r="C7931" s="82"/>
      <c r="E7931" s="84"/>
      <c r="F7931" s="84"/>
      <c r="G7931" s="84"/>
      <c r="I7931" s="237"/>
      <c r="J7931" s="238"/>
    </row>
    <row r="7932">
      <c r="C7932" s="82"/>
      <c r="E7932" s="84"/>
      <c r="F7932" s="84"/>
      <c r="G7932" s="84"/>
      <c r="I7932" s="237"/>
      <c r="J7932" s="238"/>
    </row>
    <row r="7933">
      <c r="C7933" s="82"/>
      <c r="E7933" s="84"/>
      <c r="F7933" s="84"/>
      <c r="G7933" s="84"/>
      <c r="I7933" s="237"/>
      <c r="J7933" s="238"/>
    </row>
    <row r="7934">
      <c r="C7934" s="82"/>
      <c r="E7934" s="84"/>
      <c r="F7934" s="84"/>
      <c r="G7934" s="84"/>
      <c r="I7934" s="237"/>
      <c r="J7934" s="238"/>
    </row>
    <row r="7935">
      <c r="C7935" s="82"/>
      <c r="E7935" s="84"/>
      <c r="F7935" s="84"/>
      <c r="G7935" s="84"/>
      <c r="I7935" s="237"/>
      <c r="J7935" s="238"/>
    </row>
    <row r="7936">
      <c r="C7936" s="82"/>
      <c r="E7936" s="84"/>
      <c r="F7936" s="84"/>
      <c r="G7936" s="84"/>
      <c r="I7936" s="237"/>
      <c r="J7936" s="238"/>
    </row>
    <row r="7937">
      <c r="C7937" s="82"/>
      <c r="E7937" s="84"/>
      <c r="F7937" s="84"/>
      <c r="G7937" s="84"/>
      <c r="I7937" s="237"/>
      <c r="J7937" s="238"/>
    </row>
    <row r="7938">
      <c r="C7938" s="82"/>
      <c r="E7938" s="84"/>
      <c r="F7938" s="84"/>
      <c r="G7938" s="84"/>
      <c r="I7938" s="237"/>
      <c r="J7938" s="238"/>
    </row>
    <row r="7939">
      <c r="C7939" s="82"/>
      <c r="E7939" s="84"/>
      <c r="F7939" s="84"/>
      <c r="G7939" s="84"/>
      <c r="I7939" s="237"/>
      <c r="J7939" s="238"/>
    </row>
    <row r="7940">
      <c r="C7940" s="82"/>
      <c r="E7940" s="84"/>
      <c r="F7940" s="84"/>
      <c r="G7940" s="84"/>
      <c r="I7940" s="237"/>
      <c r="J7940" s="238"/>
    </row>
    <row r="7941">
      <c r="C7941" s="82"/>
      <c r="E7941" s="84"/>
      <c r="F7941" s="84"/>
      <c r="G7941" s="84"/>
      <c r="I7941" s="237"/>
      <c r="J7941" s="238"/>
    </row>
    <row r="7942">
      <c r="C7942" s="82"/>
      <c r="E7942" s="84"/>
      <c r="F7942" s="84"/>
      <c r="G7942" s="84"/>
      <c r="I7942" s="237"/>
      <c r="J7942" s="238"/>
    </row>
    <row r="7943">
      <c r="C7943" s="82"/>
      <c r="E7943" s="84"/>
      <c r="F7943" s="84"/>
      <c r="G7943" s="84"/>
      <c r="I7943" s="237"/>
      <c r="J7943" s="238"/>
    </row>
    <row r="7944">
      <c r="C7944" s="82"/>
      <c r="E7944" s="84"/>
      <c r="F7944" s="84"/>
      <c r="G7944" s="84"/>
      <c r="I7944" s="237"/>
      <c r="J7944" s="238"/>
    </row>
    <row r="7945">
      <c r="C7945" s="82"/>
      <c r="E7945" s="84"/>
      <c r="F7945" s="84"/>
      <c r="G7945" s="84"/>
      <c r="I7945" s="237"/>
      <c r="J7945" s="238"/>
    </row>
    <row r="7946">
      <c r="C7946" s="82"/>
      <c r="E7946" s="84"/>
      <c r="F7946" s="84"/>
      <c r="G7946" s="84"/>
      <c r="I7946" s="237"/>
      <c r="J7946" s="238"/>
    </row>
    <row r="7947">
      <c r="C7947" s="82"/>
      <c r="E7947" s="84"/>
      <c r="F7947" s="84"/>
      <c r="G7947" s="84"/>
      <c r="I7947" s="237"/>
      <c r="J7947" s="238"/>
    </row>
    <row r="7948">
      <c r="C7948" s="82"/>
      <c r="E7948" s="84"/>
      <c r="F7948" s="84"/>
      <c r="G7948" s="84"/>
      <c r="I7948" s="237"/>
      <c r="J7948" s="238"/>
    </row>
    <row r="7949">
      <c r="C7949" s="82"/>
      <c r="E7949" s="84"/>
      <c r="F7949" s="84"/>
      <c r="G7949" s="84"/>
      <c r="I7949" s="237"/>
      <c r="J7949" s="238"/>
    </row>
    <row r="7950">
      <c r="C7950" s="82"/>
      <c r="E7950" s="84"/>
      <c r="F7950" s="84"/>
      <c r="G7950" s="84"/>
      <c r="I7950" s="237"/>
      <c r="J7950" s="238"/>
    </row>
    <row r="7951">
      <c r="C7951" s="82"/>
      <c r="E7951" s="84"/>
      <c r="F7951" s="84"/>
      <c r="G7951" s="84"/>
      <c r="I7951" s="237"/>
      <c r="J7951" s="238"/>
    </row>
    <row r="7952">
      <c r="C7952" s="82"/>
      <c r="E7952" s="84"/>
      <c r="F7952" s="84"/>
      <c r="G7952" s="84"/>
      <c r="I7952" s="237"/>
      <c r="J7952" s="238"/>
    </row>
    <row r="7953">
      <c r="C7953" s="82"/>
      <c r="E7953" s="84"/>
      <c r="F7953" s="84"/>
      <c r="G7953" s="84"/>
      <c r="I7953" s="237"/>
      <c r="J7953" s="238"/>
    </row>
    <row r="7954">
      <c r="C7954" s="82"/>
      <c r="E7954" s="84"/>
      <c r="F7954" s="84"/>
      <c r="G7954" s="84"/>
      <c r="I7954" s="237"/>
      <c r="J7954" s="238"/>
    </row>
    <row r="7955">
      <c r="C7955" s="82"/>
      <c r="E7955" s="84"/>
      <c r="F7955" s="84"/>
      <c r="G7955" s="84"/>
      <c r="I7955" s="237"/>
      <c r="J7955" s="238"/>
    </row>
    <row r="7956">
      <c r="C7956" s="82"/>
      <c r="E7956" s="84"/>
      <c r="F7956" s="84"/>
      <c r="G7956" s="84"/>
      <c r="I7956" s="237"/>
      <c r="J7956" s="238"/>
    </row>
    <row r="7957">
      <c r="C7957" s="82"/>
      <c r="E7957" s="84"/>
      <c r="F7957" s="84"/>
      <c r="G7957" s="84"/>
      <c r="I7957" s="237"/>
      <c r="J7957" s="238"/>
    </row>
    <row r="7958">
      <c r="C7958" s="82"/>
      <c r="E7958" s="84"/>
      <c r="F7958" s="84"/>
      <c r="G7958" s="84"/>
      <c r="I7958" s="237"/>
      <c r="J7958" s="238"/>
    </row>
    <row r="7959">
      <c r="C7959" s="82"/>
      <c r="E7959" s="84"/>
      <c r="F7959" s="84"/>
      <c r="G7959" s="84"/>
      <c r="I7959" s="237"/>
      <c r="J7959" s="238"/>
    </row>
    <row r="7960">
      <c r="C7960" s="82"/>
      <c r="E7960" s="84"/>
      <c r="F7960" s="84"/>
      <c r="G7960" s="84"/>
      <c r="I7960" s="237"/>
      <c r="J7960" s="238"/>
    </row>
    <row r="7961">
      <c r="C7961" s="82"/>
      <c r="E7961" s="84"/>
      <c r="F7961" s="84"/>
      <c r="G7961" s="84"/>
      <c r="I7961" s="237"/>
      <c r="J7961" s="238"/>
    </row>
    <row r="7962">
      <c r="C7962" s="82"/>
      <c r="E7962" s="84"/>
      <c r="F7962" s="84"/>
      <c r="G7962" s="84"/>
      <c r="I7962" s="237"/>
      <c r="J7962" s="238"/>
    </row>
    <row r="7963">
      <c r="C7963" s="82"/>
      <c r="E7963" s="84"/>
      <c r="F7963" s="84"/>
      <c r="G7963" s="84"/>
      <c r="I7963" s="237"/>
      <c r="J7963" s="238"/>
    </row>
    <row r="7964">
      <c r="C7964" s="82"/>
      <c r="E7964" s="84"/>
      <c r="F7964" s="84"/>
      <c r="G7964" s="84"/>
      <c r="I7964" s="237"/>
      <c r="J7964" s="238"/>
    </row>
    <row r="7965">
      <c r="C7965" s="82"/>
      <c r="E7965" s="84"/>
      <c r="F7965" s="84"/>
      <c r="G7965" s="84"/>
      <c r="I7965" s="237"/>
      <c r="J7965" s="238"/>
    </row>
    <row r="7966">
      <c r="C7966" s="82"/>
      <c r="E7966" s="84"/>
      <c r="F7966" s="84"/>
      <c r="G7966" s="84"/>
      <c r="I7966" s="237"/>
      <c r="J7966" s="238"/>
    </row>
    <row r="7967">
      <c r="C7967" s="82"/>
      <c r="E7967" s="84"/>
      <c r="F7967" s="84"/>
      <c r="G7967" s="84"/>
      <c r="I7967" s="237"/>
      <c r="J7967" s="238"/>
    </row>
    <row r="7968">
      <c r="C7968" s="82"/>
      <c r="E7968" s="84"/>
      <c r="F7968" s="84"/>
      <c r="G7968" s="84"/>
      <c r="I7968" s="237"/>
      <c r="J7968" s="238"/>
    </row>
    <row r="7969">
      <c r="C7969" s="82"/>
      <c r="E7969" s="84"/>
      <c r="F7969" s="84"/>
      <c r="G7969" s="84"/>
      <c r="I7969" s="237"/>
      <c r="J7969" s="238"/>
    </row>
    <row r="7970">
      <c r="C7970" s="82"/>
      <c r="E7970" s="84"/>
      <c r="F7970" s="84"/>
      <c r="G7970" s="84"/>
      <c r="I7970" s="237"/>
      <c r="J7970" s="238"/>
    </row>
    <row r="7971">
      <c r="C7971" s="82"/>
      <c r="E7971" s="84"/>
      <c r="F7971" s="84"/>
      <c r="G7971" s="84"/>
      <c r="I7971" s="237"/>
      <c r="J7971" s="238"/>
    </row>
    <row r="7972">
      <c r="C7972" s="82"/>
      <c r="E7972" s="84"/>
      <c r="F7972" s="84"/>
      <c r="G7972" s="84"/>
      <c r="I7972" s="237"/>
      <c r="J7972" s="238"/>
    </row>
    <row r="7973">
      <c r="C7973" s="82"/>
      <c r="E7973" s="84"/>
      <c r="F7973" s="84"/>
      <c r="G7973" s="84"/>
      <c r="I7973" s="237"/>
      <c r="J7973" s="238"/>
    </row>
    <row r="7974">
      <c r="C7974" s="82"/>
      <c r="E7974" s="84"/>
      <c r="F7974" s="84"/>
      <c r="G7974" s="84"/>
      <c r="I7974" s="237"/>
      <c r="J7974" s="238"/>
    </row>
    <row r="7975">
      <c r="C7975" s="82"/>
      <c r="E7975" s="84"/>
      <c r="F7975" s="84"/>
      <c r="G7975" s="84"/>
      <c r="I7975" s="237"/>
      <c r="J7975" s="238"/>
    </row>
    <row r="7976">
      <c r="C7976" s="82"/>
      <c r="E7976" s="84"/>
      <c r="F7976" s="84"/>
      <c r="G7976" s="84"/>
      <c r="I7976" s="237"/>
      <c r="J7976" s="238"/>
    </row>
    <row r="7977">
      <c r="C7977" s="82"/>
      <c r="E7977" s="84"/>
      <c r="F7977" s="84"/>
      <c r="G7977" s="84"/>
      <c r="I7977" s="237"/>
      <c r="J7977" s="238"/>
    </row>
    <row r="7978">
      <c r="C7978" s="82"/>
      <c r="E7978" s="84"/>
      <c r="F7978" s="84"/>
      <c r="G7978" s="84"/>
      <c r="I7978" s="237"/>
      <c r="J7978" s="238"/>
    </row>
    <row r="7979">
      <c r="C7979" s="82"/>
      <c r="E7979" s="84"/>
      <c r="F7979" s="84"/>
      <c r="G7979" s="84"/>
      <c r="I7979" s="237"/>
      <c r="J7979" s="238"/>
    </row>
    <row r="7980">
      <c r="C7980" s="82"/>
      <c r="E7980" s="84"/>
      <c r="F7980" s="84"/>
      <c r="G7980" s="84"/>
      <c r="I7980" s="237"/>
      <c r="J7980" s="238"/>
    </row>
    <row r="7981">
      <c r="C7981" s="82"/>
      <c r="E7981" s="84"/>
      <c r="F7981" s="84"/>
      <c r="G7981" s="84"/>
      <c r="I7981" s="237"/>
      <c r="J7981" s="238"/>
    </row>
    <row r="7982">
      <c r="C7982" s="82"/>
      <c r="E7982" s="84"/>
      <c r="F7982" s="84"/>
      <c r="G7982" s="84"/>
      <c r="I7982" s="237"/>
      <c r="J7982" s="238"/>
    </row>
    <row r="7983">
      <c r="C7983" s="82"/>
      <c r="E7983" s="84"/>
      <c r="F7983" s="84"/>
      <c r="G7983" s="84"/>
      <c r="I7983" s="237"/>
      <c r="J7983" s="238"/>
    </row>
    <row r="7984">
      <c r="C7984" s="82"/>
      <c r="E7984" s="84"/>
      <c r="F7984" s="84"/>
      <c r="G7984" s="84"/>
      <c r="I7984" s="237"/>
      <c r="J7984" s="238"/>
    </row>
    <row r="7985">
      <c r="C7985" s="82"/>
      <c r="E7985" s="84"/>
      <c r="F7985" s="84"/>
      <c r="G7985" s="84"/>
      <c r="I7985" s="237"/>
      <c r="J7985" s="238"/>
    </row>
    <row r="7986">
      <c r="C7986" s="82"/>
      <c r="E7986" s="84"/>
      <c r="F7986" s="84"/>
      <c r="G7986" s="84"/>
      <c r="I7986" s="237"/>
      <c r="J7986" s="238"/>
    </row>
    <row r="7987">
      <c r="C7987" s="82"/>
      <c r="E7987" s="84"/>
      <c r="F7987" s="84"/>
      <c r="G7987" s="84"/>
      <c r="I7987" s="237"/>
      <c r="J7987" s="238"/>
    </row>
    <row r="7988">
      <c r="C7988" s="82"/>
      <c r="E7988" s="84"/>
      <c r="F7988" s="84"/>
      <c r="G7988" s="84"/>
      <c r="I7988" s="237"/>
      <c r="J7988" s="238"/>
    </row>
    <row r="7989">
      <c r="C7989" s="82"/>
      <c r="E7989" s="84"/>
      <c r="F7989" s="84"/>
      <c r="G7989" s="84"/>
      <c r="I7989" s="237"/>
      <c r="J7989" s="238"/>
    </row>
    <row r="7990">
      <c r="C7990" s="82"/>
      <c r="E7990" s="84"/>
      <c r="F7990" s="84"/>
      <c r="G7990" s="84"/>
      <c r="I7990" s="237"/>
      <c r="J7990" s="238"/>
    </row>
    <row r="7991">
      <c r="C7991" s="82"/>
      <c r="E7991" s="84"/>
      <c r="F7991" s="84"/>
      <c r="G7991" s="84"/>
      <c r="I7991" s="237"/>
      <c r="J7991" s="238"/>
    </row>
    <row r="7992">
      <c r="C7992" s="82"/>
      <c r="E7992" s="84"/>
      <c r="F7992" s="84"/>
      <c r="G7992" s="84"/>
      <c r="I7992" s="237"/>
      <c r="J7992" s="238"/>
    </row>
    <row r="7993">
      <c r="C7993" s="82"/>
      <c r="E7993" s="84"/>
      <c r="F7993" s="84"/>
      <c r="G7993" s="84"/>
      <c r="I7993" s="237"/>
      <c r="J7993" s="238"/>
    </row>
    <row r="7994">
      <c r="C7994" s="82"/>
      <c r="E7994" s="84"/>
      <c r="F7994" s="84"/>
      <c r="G7994" s="84"/>
      <c r="I7994" s="237"/>
      <c r="J7994" s="238"/>
    </row>
    <row r="7995">
      <c r="C7995" s="82"/>
      <c r="E7995" s="84"/>
      <c r="F7995" s="84"/>
      <c r="G7995" s="84"/>
      <c r="I7995" s="237"/>
      <c r="J7995" s="238"/>
    </row>
    <row r="7996">
      <c r="C7996" s="82"/>
      <c r="E7996" s="84"/>
      <c r="F7996" s="84"/>
      <c r="G7996" s="84"/>
      <c r="I7996" s="237"/>
      <c r="J7996" s="238"/>
    </row>
    <row r="7997">
      <c r="C7997" s="82"/>
      <c r="E7997" s="84"/>
      <c r="F7997" s="84"/>
      <c r="G7997" s="84"/>
      <c r="I7997" s="237"/>
      <c r="J7997" s="238"/>
    </row>
    <row r="7998">
      <c r="C7998" s="82"/>
      <c r="E7998" s="84"/>
      <c r="F7998" s="84"/>
      <c r="G7998" s="84"/>
      <c r="I7998" s="237"/>
      <c r="J7998" s="238"/>
    </row>
    <row r="7999">
      <c r="C7999" s="82"/>
      <c r="E7999" s="84"/>
      <c r="F7999" s="84"/>
      <c r="G7999" s="84"/>
      <c r="I7999" s="237"/>
      <c r="J7999" s="238"/>
    </row>
    <row r="8000">
      <c r="C8000" s="82"/>
      <c r="E8000" s="84"/>
      <c r="F8000" s="84"/>
      <c r="G8000" s="84"/>
      <c r="I8000" s="237"/>
      <c r="J8000" s="238"/>
    </row>
    <row r="8001">
      <c r="C8001" s="82"/>
      <c r="E8001" s="84"/>
      <c r="F8001" s="84"/>
      <c r="G8001" s="84"/>
      <c r="I8001" s="237"/>
      <c r="J8001" s="238"/>
    </row>
    <row r="8002">
      <c r="C8002" s="82"/>
      <c r="E8002" s="84"/>
      <c r="F8002" s="84"/>
      <c r="G8002" s="84"/>
      <c r="I8002" s="237"/>
      <c r="J8002" s="238"/>
    </row>
    <row r="8003">
      <c r="C8003" s="82"/>
      <c r="E8003" s="84"/>
      <c r="F8003" s="84"/>
      <c r="G8003" s="84"/>
      <c r="I8003" s="237"/>
      <c r="J8003" s="238"/>
    </row>
    <row r="8004">
      <c r="C8004" s="82"/>
      <c r="E8004" s="84"/>
      <c r="F8004" s="84"/>
      <c r="G8004" s="84"/>
      <c r="I8004" s="237"/>
      <c r="J8004" s="238"/>
    </row>
    <row r="8005">
      <c r="C8005" s="82"/>
      <c r="E8005" s="84"/>
      <c r="F8005" s="84"/>
      <c r="G8005" s="84"/>
      <c r="I8005" s="237"/>
      <c r="J8005" s="238"/>
    </row>
    <row r="8006">
      <c r="C8006" s="82"/>
      <c r="E8006" s="84"/>
      <c r="F8006" s="84"/>
      <c r="G8006" s="84"/>
      <c r="I8006" s="237"/>
      <c r="J8006" s="238"/>
    </row>
    <row r="8007">
      <c r="C8007" s="82"/>
      <c r="E8007" s="84"/>
      <c r="F8007" s="84"/>
      <c r="G8007" s="84"/>
      <c r="I8007" s="237"/>
      <c r="J8007" s="238"/>
    </row>
    <row r="8008">
      <c r="C8008" s="82"/>
      <c r="E8008" s="84"/>
      <c r="F8008" s="84"/>
      <c r="G8008" s="84"/>
      <c r="I8008" s="237"/>
      <c r="J8008" s="238"/>
    </row>
    <row r="8009">
      <c r="C8009" s="82"/>
      <c r="E8009" s="84"/>
      <c r="F8009" s="84"/>
      <c r="G8009" s="84"/>
      <c r="I8009" s="237"/>
      <c r="J8009" s="238"/>
    </row>
    <row r="8010">
      <c r="C8010" s="82"/>
      <c r="E8010" s="84"/>
      <c r="F8010" s="84"/>
      <c r="G8010" s="84"/>
      <c r="I8010" s="237"/>
      <c r="J8010" s="238"/>
    </row>
    <row r="8011">
      <c r="C8011" s="82"/>
      <c r="E8011" s="84"/>
      <c r="F8011" s="84"/>
      <c r="G8011" s="84"/>
      <c r="I8011" s="237"/>
      <c r="J8011" s="238"/>
    </row>
    <row r="8012">
      <c r="C8012" s="82"/>
      <c r="E8012" s="84"/>
      <c r="F8012" s="84"/>
      <c r="G8012" s="84"/>
      <c r="I8012" s="237"/>
      <c r="J8012" s="238"/>
    </row>
    <row r="8013">
      <c r="C8013" s="82"/>
      <c r="E8013" s="84"/>
      <c r="F8013" s="84"/>
      <c r="G8013" s="84"/>
      <c r="I8013" s="237"/>
      <c r="J8013" s="238"/>
    </row>
    <row r="8014">
      <c r="C8014" s="82"/>
      <c r="E8014" s="84"/>
      <c r="F8014" s="84"/>
      <c r="G8014" s="84"/>
      <c r="I8014" s="237"/>
      <c r="J8014" s="238"/>
    </row>
    <row r="8015">
      <c r="C8015" s="82"/>
      <c r="E8015" s="84"/>
      <c r="F8015" s="84"/>
      <c r="G8015" s="84"/>
      <c r="I8015" s="237"/>
      <c r="J8015" s="238"/>
    </row>
    <row r="8016">
      <c r="C8016" s="82"/>
      <c r="E8016" s="84"/>
      <c r="F8016" s="84"/>
      <c r="G8016" s="84"/>
      <c r="I8016" s="237"/>
      <c r="J8016" s="238"/>
    </row>
    <row r="8017">
      <c r="C8017" s="82"/>
      <c r="E8017" s="84"/>
      <c r="F8017" s="84"/>
      <c r="G8017" s="84"/>
      <c r="I8017" s="237"/>
      <c r="J8017" s="238"/>
    </row>
    <row r="8018">
      <c r="C8018" s="82"/>
      <c r="E8018" s="84"/>
      <c r="F8018" s="84"/>
      <c r="G8018" s="84"/>
      <c r="I8018" s="237"/>
      <c r="J8018" s="238"/>
    </row>
    <row r="8019">
      <c r="C8019" s="82"/>
      <c r="E8019" s="84"/>
      <c r="F8019" s="84"/>
      <c r="G8019" s="84"/>
      <c r="I8019" s="237"/>
      <c r="J8019" s="238"/>
    </row>
    <row r="8020">
      <c r="C8020" s="82"/>
      <c r="E8020" s="84"/>
      <c r="F8020" s="84"/>
      <c r="G8020" s="84"/>
      <c r="I8020" s="237"/>
      <c r="J8020" s="238"/>
    </row>
    <row r="8021">
      <c r="C8021" s="82"/>
      <c r="E8021" s="84"/>
      <c r="F8021" s="84"/>
      <c r="G8021" s="84"/>
      <c r="I8021" s="237"/>
      <c r="J8021" s="238"/>
    </row>
    <row r="8022">
      <c r="C8022" s="82"/>
      <c r="E8022" s="84"/>
      <c r="F8022" s="84"/>
      <c r="G8022" s="84"/>
      <c r="I8022" s="237"/>
      <c r="J8022" s="238"/>
    </row>
    <row r="8023">
      <c r="C8023" s="82"/>
      <c r="E8023" s="84"/>
      <c r="F8023" s="84"/>
      <c r="G8023" s="84"/>
      <c r="I8023" s="237"/>
      <c r="J8023" s="238"/>
    </row>
    <row r="8024">
      <c r="C8024" s="82"/>
      <c r="E8024" s="84"/>
      <c r="F8024" s="84"/>
      <c r="G8024" s="84"/>
      <c r="I8024" s="237"/>
      <c r="J8024" s="238"/>
    </row>
    <row r="8025">
      <c r="C8025" s="82"/>
      <c r="E8025" s="84"/>
      <c r="F8025" s="84"/>
      <c r="G8025" s="84"/>
      <c r="I8025" s="237"/>
      <c r="J8025" s="238"/>
    </row>
    <row r="8026">
      <c r="C8026" s="82"/>
      <c r="E8026" s="84"/>
      <c r="F8026" s="84"/>
      <c r="G8026" s="84"/>
      <c r="I8026" s="237"/>
      <c r="J8026" s="238"/>
    </row>
    <row r="8027">
      <c r="C8027" s="82"/>
      <c r="E8027" s="84"/>
      <c r="F8027" s="84"/>
      <c r="G8027" s="84"/>
      <c r="I8027" s="237"/>
      <c r="J8027" s="238"/>
    </row>
    <row r="8028">
      <c r="C8028" s="82"/>
      <c r="E8028" s="84"/>
      <c r="F8028" s="84"/>
      <c r="G8028" s="84"/>
      <c r="I8028" s="237"/>
      <c r="J8028" s="238"/>
    </row>
    <row r="8029">
      <c r="C8029" s="82"/>
      <c r="E8029" s="84"/>
      <c r="F8029" s="84"/>
      <c r="G8029" s="84"/>
      <c r="I8029" s="237"/>
      <c r="J8029" s="238"/>
    </row>
    <row r="8030">
      <c r="C8030" s="82"/>
      <c r="E8030" s="84"/>
      <c r="F8030" s="84"/>
      <c r="G8030" s="84"/>
      <c r="I8030" s="237"/>
      <c r="J8030" s="238"/>
    </row>
    <row r="8031">
      <c r="C8031" s="82"/>
      <c r="E8031" s="84"/>
      <c r="F8031" s="84"/>
      <c r="G8031" s="84"/>
      <c r="I8031" s="237"/>
      <c r="J8031" s="238"/>
    </row>
    <row r="8032">
      <c r="C8032" s="82"/>
      <c r="E8032" s="84"/>
      <c r="F8032" s="84"/>
      <c r="G8032" s="84"/>
      <c r="I8032" s="237"/>
      <c r="J8032" s="238"/>
    </row>
    <row r="8033">
      <c r="C8033" s="82"/>
      <c r="E8033" s="84"/>
      <c r="F8033" s="84"/>
      <c r="G8033" s="84"/>
      <c r="I8033" s="237"/>
      <c r="J8033" s="238"/>
    </row>
    <row r="8034">
      <c r="C8034" s="82"/>
      <c r="E8034" s="84"/>
      <c r="F8034" s="84"/>
      <c r="G8034" s="84"/>
      <c r="I8034" s="237"/>
      <c r="J8034" s="238"/>
    </row>
    <row r="8035">
      <c r="C8035" s="82"/>
      <c r="E8035" s="84"/>
      <c r="F8035" s="84"/>
      <c r="G8035" s="84"/>
      <c r="I8035" s="237"/>
      <c r="J8035" s="238"/>
    </row>
    <row r="8036">
      <c r="C8036" s="82"/>
      <c r="E8036" s="84"/>
      <c r="F8036" s="84"/>
      <c r="G8036" s="84"/>
      <c r="I8036" s="237"/>
      <c r="J8036" s="238"/>
    </row>
    <row r="8037">
      <c r="C8037" s="82"/>
      <c r="E8037" s="84"/>
      <c r="F8037" s="84"/>
      <c r="G8037" s="84"/>
      <c r="I8037" s="237"/>
      <c r="J8037" s="238"/>
    </row>
    <row r="8038">
      <c r="C8038" s="82"/>
      <c r="E8038" s="84"/>
      <c r="F8038" s="84"/>
      <c r="G8038" s="84"/>
      <c r="I8038" s="237"/>
      <c r="J8038" s="238"/>
    </row>
    <row r="8039">
      <c r="C8039" s="82"/>
      <c r="E8039" s="84"/>
      <c r="F8039" s="84"/>
      <c r="G8039" s="84"/>
      <c r="I8039" s="237"/>
      <c r="J8039" s="238"/>
    </row>
    <row r="8040">
      <c r="C8040" s="82"/>
      <c r="E8040" s="84"/>
      <c r="F8040" s="84"/>
      <c r="G8040" s="84"/>
      <c r="I8040" s="237"/>
      <c r="J8040" s="238"/>
    </row>
    <row r="8041">
      <c r="C8041" s="82"/>
      <c r="E8041" s="84"/>
      <c r="F8041" s="84"/>
      <c r="G8041" s="84"/>
      <c r="I8041" s="237"/>
      <c r="J8041" s="238"/>
    </row>
    <row r="8042">
      <c r="C8042" s="82"/>
      <c r="E8042" s="84"/>
      <c r="F8042" s="84"/>
      <c r="G8042" s="84"/>
      <c r="I8042" s="237"/>
      <c r="J8042" s="238"/>
    </row>
    <row r="8043">
      <c r="C8043" s="82"/>
      <c r="E8043" s="84"/>
      <c r="F8043" s="84"/>
      <c r="G8043" s="84"/>
      <c r="I8043" s="237"/>
      <c r="J8043" s="238"/>
    </row>
    <row r="8044">
      <c r="C8044" s="82"/>
      <c r="E8044" s="84"/>
      <c r="F8044" s="84"/>
      <c r="G8044" s="84"/>
      <c r="I8044" s="237"/>
      <c r="J8044" s="238"/>
    </row>
    <row r="8045">
      <c r="C8045" s="82"/>
      <c r="E8045" s="84"/>
      <c r="F8045" s="84"/>
      <c r="G8045" s="84"/>
      <c r="I8045" s="237"/>
      <c r="J8045" s="238"/>
    </row>
    <row r="8046">
      <c r="C8046" s="82"/>
      <c r="E8046" s="84"/>
      <c r="F8046" s="84"/>
      <c r="G8046" s="84"/>
      <c r="I8046" s="237"/>
      <c r="J8046" s="238"/>
    </row>
    <row r="8047">
      <c r="C8047" s="82"/>
      <c r="E8047" s="84"/>
      <c r="F8047" s="84"/>
      <c r="G8047" s="84"/>
      <c r="I8047" s="237"/>
      <c r="J8047" s="238"/>
    </row>
    <row r="8048">
      <c r="C8048" s="82"/>
      <c r="E8048" s="84"/>
      <c r="F8048" s="84"/>
      <c r="G8048" s="84"/>
      <c r="I8048" s="237"/>
      <c r="J8048" s="238"/>
    </row>
    <row r="8049">
      <c r="C8049" s="82"/>
      <c r="E8049" s="84"/>
      <c r="F8049" s="84"/>
      <c r="G8049" s="84"/>
      <c r="I8049" s="237"/>
      <c r="J8049" s="238"/>
    </row>
    <row r="8050">
      <c r="C8050" s="82"/>
      <c r="E8050" s="84"/>
      <c r="F8050" s="84"/>
      <c r="G8050" s="84"/>
      <c r="I8050" s="237"/>
      <c r="J8050" s="238"/>
    </row>
    <row r="8051">
      <c r="C8051" s="82"/>
      <c r="E8051" s="84"/>
      <c r="F8051" s="84"/>
      <c r="G8051" s="84"/>
      <c r="I8051" s="237"/>
      <c r="J8051" s="238"/>
    </row>
    <row r="8052">
      <c r="C8052" s="82"/>
      <c r="E8052" s="84"/>
      <c r="F8052" s="84"/>
      <c r="G8052" s="84"/>
      <c r="I8052" s="237"/>
      <c r="J8052" s="238"/>
    </row>
    <row r="8053">
      <c r="C8053" s="82"/>
      <c r="E8053" s="84"/>
      <c r="F8053" s="84"/>
      <c r="G8053" s="84"/>
      <c r="I8053" s="237"/>
      <c r="J8053" s="238"/>
    </row>
    <row r="8054">
      <c r="C8054" s="82"/>
      <c r="E8054" s="84"/>
      <c r="F8054" s="84"/>
      <c r="G8054" s="84"/>
      <c r="I8054" s="237"/>
      <c r="J8054" s="238"/>
    </row>
    <row r="8055">
      <c r="C8055" s="82"/>
      <c r="E8055" s="84"/>
      <c r="F8055" s="84"/>
      <c r="G8055" s="84"/>
      <c r="I8055" s="237"/>
      <c r="J8055" s="238"/>
    </row>
    <row r="8056">
      <c r="C8056" s="82"/>
      <c r="E8056" s="84"/>
      <c r="F8056" s="84"/>
      <c r="G8056" s="84"/>
      <c r="I8056" s="237"/>
      <c r="J8056" s="238"/>
    </row>
    <row r="8057">
      <c r="C8057" s="82"/>
      <c r="E8057" s="84"/>
      <c r="F8057" s="84"/>
      <c r="G8057" s="84"/>
      <c r="I8057" s="237"/>
      <c r="J8057" s="238"/>
    </row>
    <row r="8058">
      <c r="C8058" s="82"/>
      <c r="E8058" s="84"/>
      <c r="F8058" s="84"/>
      <c r="G8058" s="84"/>
      <c r="I8058" s="237"/>
      <c r="J8058" s="238"/>
    </row>
    <row r="8059">
      <c r="C8059" s="82"/>
      <c r="E8059" s="84"/>
      <c r="F8059" s="84"/>
      <c r="G8059" s="84"/>
      <c r="I8059" s="237"/>
      <c r="J8059" s="238"/>
    </row>
    <row r="8060">
      <c r="C8060" s="82"/>
      <c r="E8060" s="84"/>
      <c r="F8060" s="84"/>
      <c r="G8060" s="84"/>
      <c r="I8060" s="237"/>
      <c r="J8060" s="238"/>
    </row>
    <row r="8061">
      <c r="C8061" s="82"/>
      <c r="E8061" s="84"/>
      <c r="F8061" s="84"/>
      <c r="G8061" s="84"/>
      <c r="I8061" s="237"/>
      <c r="J8061" s="238"/>
    </row>
    <row r="8062">
      <c r="C8062" s="82"/>
      <c r="E8062" s="84"/>
      <c r="F8062" s="84"/>
      <c r="G8062" s="84"/>
      <c r="I8062" s="237"/>
      <c r="J8062" s="238"/>
    </row>
    <row r="8063">
      <c r="C8063" s="82"/>
      <c r="E8063" s="84"/>
      <c r="F8063" s="84"/>
      <c r="G8063" s="84"/>
      <c r="I8063" s="237"/>
      <c r="J8063" s="238"/>
    </row>
    <row r="8064">
      <c r="C8064" s="82"/>
      <c r="E8064" s="84"/>
      <c r="F8064" s="84"/>
      <c r="G8064" s="84"/>
      <c r="I8064" s="237"/>
      <c r="J8064" s="238"/>
    </row>
    <row r="8065">
      <c r="C8065" s="82"/>
      <c r="E8065" s="84"/>
      <c r="F8065" s="84"/>
      <c r="G8065" s="84"/>
      <c r="I8065" s="237"/>
      <c r="J8065" s="238"/>
    </row>
    <row r="8066">
      <c r="C8066" s="82"/>
      <c r="E8066" s="84"/>
      <c r="F8066" s="84"/>
      <c r="G8066" s="84"/>
      <c r="I8066" s="237"/>
      <c r="J8066" s="238"/>
    </row>
    <row r="8067">
      <c r="C8067" s="82"/>
      <c r="E8067" s="84"/>
      <c r="F8067" s="84"/>
      <c r="G8067" s="84"/>
      <c r="I8067" s="237"/>
      <c r="J8067" s="238"/>
    </row>
    <row r="8068">
      <c r="C8068" s="82"/>
      <c r="E8068" s="84"/>
      <c r="F8068" s="84"/>
      <c r="G8068" s="84"/>
      <c r="I8068" s="237"/>
      <c r="J8068" s="238"/>
    </row>
    <row r="8069">
      <c r="C8069" s="82"/>
      <c r="E8069" s="84"/>
      <c r="F8069" s="84"/>
      <c r="G8069" s="84"/>
      <c r="I8069" s="237"/>
      <c r="J8069" s="238"/>
    </row>
    <row r="8070">
      <c r="C8070" s="82"/>
      <c r="E8070" s="84"/>
      <c r="F8070" s="84"/>
      <c r="G8070" s="84"/>
      <c r="I8070" s="237"/>
      <c r="J8070" s="238"/>
    </row>
    <row r="8071">
      <c r="C8071" s="82"/>
      <c r="E8071" s="84"/>
      <c r="F8071" s="84"/>
      <c r="G8071" s="84"/>
      <c r="I8071" s="237"/>
      <c r="J8071" s="238"/>
    </row>
    <row r="8072">
      <c r="C8072" s="82"/>
      <c r="E8072" s="84"/>
      <c r="F8072" s="84"/>
      <c r="G8072" s="84"/>
      <c r="I8072" s="237"/>
      <c r="J8072" s="238"/>
    </row>
    <row r="8073">
      <c r="C8073" s="82"/>
      <c r="E8073" s="84"/>
      <c r="F8073" s="84"/>
      <c r="G8073" s="84"/>
      <c r="I8073" s="237"/>
      <c r="J8073" s="238"/>
    </row>
    <row r="8074">
      <c r="C8074" s="82"/>
      <c r="E8074" s="84"/>
      <c r="F8074" s="84"/>
      <c r="G8074" s="84"/>
      <c r="I8074" s="237"/>
      <c r="J8074" s="238"/>
    </row>
    <row r="8075">
      <c r="C8075" s="82"/>
      <c r="E8075" s="84"/>
      <c r="F8075" s="84"/>
      <c r="G8075" s="84"/>
      <c r="I8075" s="237"/>
      <c r="J8075" s="238"/>
    </row>
    <row r="8076">
      <c r="C8076" s="82"/>
      <c r="E8076" s="84"/>
      <c r="F8076" s="84"/>
      <c r="G8076" s="84"/>
      <c r="I8076" s="237"/>
      <c r="J8076" s="238"/>
    </row>
    <row r="8077">
      <c r="C8077" s="82"/>
      <c r="E8077" s="84"/>
      <c r="F8077" s="84"/>
      <c r="G8077" s="84"/>
      <c r="I8077" s="237"/>
      <c r="J8077" s="238"/>
    </row>
    <row r="8078">
      <c r="C8078" s="82"/>
      <c r="E8078" s="84"/>
      <c r="F8078" s="84"/>
      <c r="G8078" s="84"/>
      <c r="I8078" s="237"/>
      <c r="J8078" s="238"/>
    </row>
    <row r="8079">
      <c r="C8079" s="82"/>
      <c r="E8079" s="84"/>
      <c r="F8079" s="84"/>
      <c r="G8079" s="84"/>
      <c r="I8079" s="237"/>
      <c r="J8079" s="238"/>
    </row>
    <row r="8080">
      <c r="C8080" s="82"/>
      <c r="E8080" s="84"/>
      <c r="F8080" s="84"/>
      <c r="G8080" s="84"/>
      <c r="I8080" s="237"/>
      <c r="J8080" s="238"/>
    </row>
    <row r="8081">
      <c r="C8081" s="82"/>
      <c r="E8081" s="84"/>
      <c r="F8081" s="84"/>
      <c r="G8081" s="84"/>
      <c r="I8081" s="237"/>
      <c r="J8081" s="238"/>
    </row>
    <row r="8082">
      <c r="C8082" s="82"/>
      <c r="E8082" s="84"/>
      <c r="F8082" s="84"/>
      <c r="G8082" s="84"/>
      <c r="I8082" s="237"/>
      <c r="J8082" s="238"/>
    </row>
    <row r="8083">
      <c r="C8083" s="82"/>
      <c r="E8083" s="84"/>
      <c r="F8083" s="84"/>
      <c r="G8083" s="84"/>
      <c r="I8083" s="237"/>
      <c r="J8083" s="238"/>
    </row>
    <row r="8084">
      <c r="C8084" s="82"/>
      <c r="E8084" s="84"/>
      <c r="F8084" s="84"/>
      <c r="G8084" s="84"/>
      <c r="I8084" s="237"/>
      <c r="J8084" s="238"/>
    </row>
    <row r="8085">
      <c r="C8085" s="82"/>
      <c r="E8085" s="84"/>
      <c r="F8085" s="84"/>
      <c r="G8085" s="84"/>
      <c r="I8085" s="237"/>
      <c r="J8085" s="238"/>
    </row>
    <row r="8086">
      <c r="C8086" s="82"/>
      <c r="E8086" s="84"/>
      <c r="F8086" s="84"/>
      <c r="G8086" s="84"/>
      <c r="I8086" s="237"/>
      <c r="J8086" s="238"/>
    </row>
    <row r="8087">
      <c r="C8087" s="82"/>
      <c r="E8087" s="84"/>
      <c r="F8087" s="84"/>
      <c r="G8087" s="84"/>
      <c r="I8087" s="237"/>
      <c r="J8087" s="238"/>
    </row>
    <row r="8088">
      <c r="C8088" s="82"/>
      <c r="E8088" s="84"/>
      <c r="F8088" s="84"/>
      <c r="G8088" s="84"/>
      <c r="I8088" s="237"/>
      <c r="J8088" s="238"/>
    </row>
    <row r="8089">
      <c r="C8089" s="82"/>
      <c r="E8089" s="84"/>
      <c r="F8089" s="84"/>
      <c r="G8089" s="84"/>
      <c r="I8089" s="237"/>
      <c r="J8089" s="238"/>
    </row>
    <row r="8090">
      <c r="C8090" s="82"/>
      <c r="E8090" s="84"/>
      <c r="F8090" s="84"/>
      <c r="G8090" s="84"/>
      <c r="I8090" s="237"/>
      <c r="J8090" s="238"/>
    </row>
    <row r="8091">
      <c r="C8091" s="82"/>
      <c r="E8091" s="84"/>
      <c r="F8091" s="84"/>
      <c r="G8091" s="84"/>
      <c r="I8091" s="237"/>
      <c r="J8091" s="238"/>
    </row>
    <row r="8092">
      <c r="C8092" s="82"/>
      <c r="E8092" s="84"/>
      <c r="F8092" s="84"/>
      <c r="G8092" s="84"/>
      <c r="I8092" s="237"/>
      <c r="J8092" s="238"/>
    </row>
    <row r="8093">
      <c r="C8093" s="82"/>
      <c r="E8093" s="84"/>
      <c r="F8093" s="84"/>
      <c r="G8093" s="84"/>
      <c r="I8093" s="237"/>
      <c r="J8093" s="238"/>
    </row>
    <row r="8094">
      <c r="C8094" s="82"/>
      <c r="E8094" s="84"/>
      <c r="F8094" s="84"/>
      <c r="G8094" s="84"/>
      <c r="I8094" s="237"/>
      <c r="J8094" s="238"/>
    </row>
    <row r="8095">
      <c r="C8095" s="82"/>
      <c r="E8095" s="84"/>
      <c r="F8095" s="84"/>
      <c r="G8095" s="84"/>
      <c r="I8095" s="237"/>
      <c r="J8095" s="238"/>
    </row>
    <row r="8096">
      <c r="C8096" s="82"/>
      <c r="E8096" s="84"/>
      <c r="F8096" s="84"/>
      <c r="G8096" s="84"/>
      <c r="I8096" s="237"/>
      <c r="J8096" s="238"/>
    </row>
    <row r="8097">
      <c r="C8097" s="82"/>
      <c r="E8097" s="84"/>
      <c r="F8097" s="84"/>
      <c r="G8097" s="84"/>
      <c r="I8097" s="237"/>
      <c r="J8097" s="238"/>
    </row>
    <row r="8098">
      <c r="C8098" s="82"/>
      <c r="E8098" s="84"/>
      <c r="F8098" s="84"/>
      <c r="G8098" s="84"/>
      <c r="I8098" s="237"/>
      <c r="J8098" s="238"/>
    </row>
    <row r="8099">
      <c r="C8099" s="82"/>
      <c r="E8099" s="84"/>
      <c r="F8099" s="84"/>
      <c r="G8099" s="84"/>
      <c r="I8099" s="237"/>
      <c r="J8099" s="238"/>
    </row>
    <row r="8100">
      <c r="C8100" s="82"/>
      <c r="E8100" s="84"/>
      <c r="F8100" s="84"/>
      <c r="G8100" s="84"/>
      <c r="I8100" s="237"/>
      <c r="J8100" s="238"/>
    </row>
    <row r="8101">
      <c r="C8101" s="82"/>
      <c r="E8101" s="84"/>
      <c r="F8101" s="84"/>
      <c r="G8101" s="84"/>
      <c r="I8101" s="237"/>
      <c r="J8101" s="238"/>
    </row>
    <row r="8102">
      <c r="C8102" s="82"/>
      <c r="E8102" s="84"/>
      <c r="F8102" s="84"/>
      <c r="G8102" s="84"/>
      <c r="I8102" s="237"/>
      <c r="J8102" s="238"/>
    </row>
    <row r="8103">
      <c r="C8103" s="82"/>
      <c r="E8103" s="84"/>
      <c r="F8103" s="84"/>
      <c r="G8103" s="84"/>
      <c r="I8103" s="237"/>
      <c r="J8103" s="238"/>
    </row>
    <row r="8104">
      <c r="C8104" s="82"/>
      <c r="E8104" s="84"/>
      <c r="F8104" s="84"/>
      <c r="G8104" s="84"/>
      <c r="I8104" s="237"/>
      <c r="J8104" s="238"/>
    </row>
    <row r="8105">
      <c r="C8105" s="82"/>
      <c r="E8105" s="84"/>
      <c r="F8105" s="84"/>
      <c r="G8105" s="84"/>
      <c r="I8105" s="237"/>
      <c r="J8105" s="238"/>
    </row>
    <row r="8106">
      <c r="C8106" s="82"/>
      <c r="E8106" s="84"/>
      <c r="F8106" s="84"/>
      <c r="G8106" s="84"/>
      <c r="I8106" s="237"/>
      <c r="J8106" s="238"/>
    </row>
    <row r="8107">
      <c r="C8107" s="82"/>
      <c r="E8107" s="84"/>
      <c r="F8107" s="84"/>
      <c r="G8107" s="84"/>
      <c r="I8107" s="237"/>
      <c r="J8107" s="238"/>
    </row>
    <row r="8108">
      <c r="C8108" s="82"/>
      <c r="E8108" s="84"/>
      <c r="F8108" s="84"/>
      <c r="G8108" s="84"/>
      <c r="I8108" s="237"/>
      <c r="J8108" s="238"/>
    </row>
    <row r="8109">
      <c r="C8109" s="82"/>
      <c r="E8109" s="84"/>
      <c r="F8109" s="84"/>
      <c r="G8109" s="84"/>
      <c r="I8109" s="237"/>
      <c r="J8109" s="238"/>
    </row>
    <row r="8110">
      <c r="C8110" s="82"/>
      <c r="E8110" s="84"/>
      <c r="F8110" s="84"/>
      <c r="G8110" s="84"/>
      <c r="I8110" s="237"/>
      <c r="J8110" s="238"/>
    </row>
    <row r="8111">
      <c r="C8111" s="82"/>
      <c r="E8111" s="84"/>
      <c r="F8111" s="84"/>
      <c r="G8111" s="84"/>
      <c r="I8111" s="237"/>
      <c r="J8111" s="238"/>
    </row>
    <row r="8112">
      <c r="C8112" s="82"/>
      <c r="E8112" s="84"/>
      <c r="F8112" s="84"/>
      <c r="G8112" s="84"/>
      <c r="I8112" s="237"/>
      <c r="J8112" s="238"/>
    </row>
    <row r="8113">
      <c r="C8113" s="82"/>
      <c r="E8113" s="84"/>
      <c r="F8113" s="84"/>
      <c r="G8113" s="84"/>
      <c r="I8113" s="237"/>
      <c r="J8113" s="238"/>
    </row>
    <row r="8114">
      <c r="C8114" s="82"/>
      <c r="E8114" s="84"/>
      <c r="F8114" s="84"/>
      <c r="G8114" s="84"/>
      <c r="I8114" s="237"/>
      <c r="J8114" s="238"/>
    </row>
    <row r="8115">
      <c r="C8115" s="82"/>
      <c r="E8115" s="84"/>
      <c r="F8115" s="84"/>
      <c r="G8115" s="84"/>
      <c r="I8115" s="237"/>
      <c r="J8115" s="238"/>
    </row>
    <row r="8116">
      <c r="C8116" s="82"/>
      <c r="E8116" s="84"/>
      <c r="F8116" s="84"/>
      <c r="G8116" s="84"/>
      <c r="I8116" s="237"/>
      <c r="J8116" s="238"/>
    </row>
    <row r="8117">
      <c r="C8117" s="82"/>
      <c r="E8117" s="84"/>
      <c r="F8117" s="84"/>
      <c r="G8117" s="84"/>
      <c r="I8117" s="237"/>
      <c r="J8117" s="238"/>
    </row>
    <row r="8118">
      <c r="C8118" s="82"/>
      <c r="E8118" s="84"/>
      <c r="F8118" s="84"/>
      <c r="G8118" s="84"/>
      <c r="I8118" s="237"/>
      <c r="J8118" s="238"/>
    </row>
    <row r="8119">
      <c r="C8119" s="82"/>
      <c r="E8119" s="84"/>
      <c r="F8119" s="84"/>
      <c r="G8119" s="84"/>
      <c r="I8119" s="237"/>
      <c r="J8119" s="238"/>
    </row>
    <row r="8120">
      <c r="C8120" s="82"/>
      <c r="E8120" s="84"/>
      <c r="F8120" s="84"/>
      <c r="G8120" s="84"/>
      <c r="I8120" s="237"/>
      <c r="J8120" s="238"/>
    </row>
    <row r="8121">
      <c r="C8121" s="82"/>
      <c r="E8121" s="84"/>
      <c r="F8121" s="84"/>
      <c r="G8121" s="84"/>
      <c r="I8121" s="237"/>
      <c r="J8121" s="238"/>
    </row>
    <row r="8122">
      <c r="C8122" s="82"/>
      <c r="E8122" s="84"/>
      <c r="F8122" s="84"/>
      <c r="G8122" s="84"/>
      <c r="I8122" s="237"/>
      <c r="J8122" s="238"/>
    </row>
    <row r="8123">
      <c r="C8123" s="82"/>
      <c r="E8123" s="84"/>
      <c r="F8123" s="84"/>
      <c r="G8123" s="84"/>
      <c r="I8123" s="237"/>
      <c r="J8123" s="238"/>
    </row>
    <row r="8124">
      <c r="C8124" s="82"/>
      <c r="E8124" s="84"/>
      <c r="F8124" s="84"/>
      <c r="G8124" s="84"/>
      <c r="I8124" s="237"/>
      <c r="J8124" s="238"/>
    </row>
    <row r="8125">
      <c r="C8125" s="82"/>
      <c r="E8125" s="84"/>
      <c r="F8125" s="84"/>
      <c r="G8125" s="84"/>
      <c r="I8125" s="237"/>
      <c r="J8125" s="238"/>
    </row>
    <row r="8126">
      <c r="C8126" s="82"/>
      <c r="E8126" s="84"/>
      <c r="F8126" s="84"/>
      <c r="G8126" s="84"/>
      <c r="I8126" s="237"/>
      <c r="J8126" s="238"/>
    </row>
    <row r="8127">
      <c r="C8127" s="82"/>
      <c r="E8127" s="84"/>
      <c r="F8127" s="84"/>
      <c r="G8127" s="84"/>
      <c r="I8127" s="237"/>
      <c r="J8127" s="238"/>
    </row>
    <row r="8128">
      <c r="C8128" s="82"/>
      <c r="E8128" s="84"/>
      <c r="F8128" s="84"/>
      <c r="G8128" s="84"/>
      <c r="I8128" s="237"/>
      <c r="J8128" s="238"/>
    </row>
    <row r="8129">
      <c r="C8129" s="82"/>
      <c r="E8129" s="84"/>
      <c r="F8129" s="84"/>
      <c r="G8129" s="84"/>
      <c r="I8129" s="237"/>
      <c r="J8129" s="238"/>
    </row>
    <row r="8130">
      <c r="C8130" s="82"/>
      <c r="E8130" s="84"/>
      <c r="F8130" s="84"/>
      <c r="G8130" s="84"/>
      <c r="I8130" s="237"/>
      <c r="J8130" s="238"/>
    </row>
    <row r="8131">
      <c r="C8131" s="82"/>
      <c r="E8131" s="84"/>
      <c r="F8131" s="84"/>
      <c r="G8131" s="84"/>
      <c r="I8131" s="237"/>
      <c r="J8131" s="238"/>
    </row>
    <row r="8132">
      <c r="C8132" s="82"/>
      <c r="E8132" s="84"/>
      <c r="F8132" s="84"/>
      <c r="G8132" s="84"/>
      <c r="I8132" s="237"/>
      <c r="J8132" s="238"/>
    </row>
    <row r="8133">
      <c r="C8133" s="82"/>
      <c r="E8133" s="84"/>
      <c r="F8133" s="84"/>
      <c r="G8133" s="84"/>
      <c r="I8133" s="237"/>
      <c r="J8133" s="238"/>
    </row>
    <row r="8134">
      <c r="C8134" s="82"/>
      <c r="E8134" s="84"/>
      <c r="F8134" s="84"/>
      <c r="G8134" s="84"/>
      <c r="I8134" s="237"/>
      <c r="J8134" s="238"/>
    </row>
    <row r="8135">
      <c r="C8135" s="82"/>
      <c r="E8135" s="84"/>
      <c r="F8135" s="84"/>
      <c r="G8135" s="84"/>
      <c r="I8135" s="237"/>
      <c r="J8135" s="238"/>
    </row>
    <row r="8136">
      <c r="C8136" s="82"/>
      <c r="E8136" s="84"/>
      <c r="F8136" s="84"/>
      <c r="G8136" s="84"/>
      <c r="I8136" s="237"/>
      <c r="J8136" s="238"/>
    </row>
    <row r="8137">
      <c r="C8137" s="82"/>
      <c r="E8137" s="84"/>
      <c r="F8137" s="84"/>
      <c r="G8137" s="84"/>
      <c r="I8137" s="237"/>
      <c r="J8137" s="238"/>
    </row>
    <row r="8138">
      <c r="C8138" s="82"/>
      <c r="E8138" s="84"/>
      <c r="F8138" s="84"/>
      <c r="G8138" s="84"/>
      <c r="I8138" s="237"/>
      <c r="J8138" s="238"/>
    </row>
    <row r="8139">
      <c r="C8139" s="82"/>
      <c r="E8139" s="84"/>
      <c r="F8139" s="84"/>
      <c r="G8139" s="84"/>
      <c r="I8139" s="237"/>
      <c r="J8139" s="238"/>
    </row>
    <row r="8140">
      <c r="C8140" s="82"/>
      <c r="E8140" s="84"/>
      <c r="F8140" s="84"/>
      <c r="G8140" s="84"/>
      <c r="I8140" s="237"/>
      <c r="J8140" s="238"/>
    </row>
    <row r="8141">
      <c r="C8141" s="82"/>
      <c r="E8141" s="84"/>
      <c r="F8141" s="84"/>
      <c r="G8141" s="84"/>
      <c r="I8141" s="237"/>
      <c r="J8141" s="238"/>
    </row>
    <row r="8142">
      <c r="C8142" s="82"/>
      <c r="E8142" s="84"/>
      <c r="F8142" s="84"/>
      <c r="G8142" s="84"/>
      <c r="I8142" s="237"/>
      <c r="J8142" s="238"/>
    </row>
    <row r="8143">
      <c r="C8143" s="82"/>
      <c r="E8143" s="84"/>
      <c r="F8143" s="84"/>
      <c r="G8143" s="84"/>
      <c r="I8143" s="237"/>
      <c r="J8143" s="238"/>
    </row>
    <row r="8144">
      <c r="C8144" s="82"/>
      <c r="E8144" s="84"/>
      <c r="F8144" s="84"/>
      <c r="G8144" s="84"/>
      <c r="I8144" s="237"/>
      <c r="J8144" s="238"/>
    </row>
    <row r="8145">
      <c r="C8145" s="82"/>
      <c r="E8145" s="84"/>
      <c r="F8145" s="84"/>
      <c r="G8145" s="84"/>
      <c r="I8145" s="237"/>
      <c r="J8145" s="238"/>
    </row>
    <row r="8146">
      <c r="C8146" s="82"/>
      <c r="E8146" s="84"/>
      <c r="F8146" s="84"/>
      <c r="G8146" s="84"/>
      <c r="I8146" s="237"/>
      <c r="J8146" s="238"/>
    </row>
    <row r="8147">
      <c r="C8147" s="82"/>
      <c r="E8147" s="84"/>
      <c r="F8147" s="84"/>
      <c r="G8147" s="84"/>
      <c r="I8147" s="237"/>
      <c r="J8147" s="238"/>
    </row>
    <row r="8148">
      <c r="C8148" s="82"/>
      <c r="E8148" s="84"/>
      <c r="F8148" s="84"/>
      <c r="G8148" s="84"/>
      <c r="I8148" s="237"/>
      <c r="J8148" s="238"/>
    </row>
    <row r="8149">
      <c r="C8149" s="82"/>
      <c r="E8149" s="84"/>
      <c r="F8149" s="84"/>
      <c r="G8149" s="84"/>
      <c r="I8149" s="237"/>
      <c r="J8149" s="238"/>
    </row>
    <row r="8150">
      <c r="C8150" s="82"/>
      <c r="E8150" s="84"/>
      <c r="F8150" s="84"/>
      <c r="G8150" s="84"/>
      <c r="I8150" s="237"/>
      <c r="J8150" s="238"/>
    </row>
    <row r="8151">
      <c r="C8151" s="82"/>
      <c r="E8151" s="84"/>
      <c r="F8151" s="84"/>
      <c r="G8151" s="84"/>
      <c r="I8151" s="237"/>
      <c r="J8151" s="238"/>
    </row>
    <row r="8152">
      <c r="C8152" s="82"/>
      <c r="E8152" s="84"/>
      <c r="F8152" s="84"/>
      <c r="G8152" s="84"/>
      <c r="I8152" s="237"/>
      <c r="J8152" s="238"/>
    </row>
    <row r="8153">
      <c r="C8153" s="82"/>
      <c r="E8153" s="84"/>
      <c r="F8153" s="84"/>
      <c r="G8153" s="84"/>
      <c r="I8153" s="237"/>
      <c r="J8153" s="238"/>
    </row>
    <row r="8154">
      <c r="C8154" s="82"/>
      <c r="E8154" s="84"/>
      <c r="F8154" s="84"/>
      <c r="G8154" s="84"/>
      <c r="I8154" s="237"/>
      <c r="J8154" s="238"/>
    </row>
    <row r="8155">
      <c r="C8155" s="82"/>
      <c r="E8155" s="84"/>
      <c r="F8155" s="84"/>
      <c r="G8155" s="84"/>
      <c r="I8155" s="237"/>
      <c r="J8155" s="238"/>
    </row>
    <row r="8156">
      <c r="C8156" s="82"/>
      <c r="E8156" s="84"/>
      <c r="F8156" s="84"/>
      <c r="G8156" s="84"/>
      <c r="I8156" s="237"/>
      <c r="J8156" s="238"/>
    </row>
    <row r="8157">
      <c r="C8157" s="82"/>
      <c r="E8157" s="84"/>
      <c r="F8157" s="84"/>
      <c r="G8157" s="84"/>
      <c r="I8157" s="237"/>
      <c r="J8157" s="238"/>
    </row>
    <row r="8158">
      <c r="C8158" s="82"/>
      <c r="E8158" s="84"/>
      <c r="F8158" s="84"/>
      <c r="G8158" s="84"/>
      <c r="I8158" s="237"/>
      <c r="J8158" s="238"/>
    </row>
    <row r="8159">
      <c r="C8159" s="82"/>
      <c r="E8159" s="84"/>
      <c r="F8159" s="84"/>
      <c r="G8159" s="84"/>
      <c r="I8159" s="237"/>
      <c r="J8159" s="238"/>
    </row>
    <row r="8160">
      <c r="C8160" s="82"/>
      <c r="E8160" s="84"/>
      <c r="F8160" s="84"/>
      <c r="G8160" s="84"/>
      <c r="I8160" s="237"/>
      <c r="J8160" s="238"/>
    </row>
    <row r="8161">
      <c r="C8161" s="82"/>
      <c r="E8161" s="84"/>
      <c r="F8161" s="84"/>
      <c r="G8161" s="84"/>
      <c r="I8161" s="237"/>
      <c r="J8161" s="238"/>
    </row>
    <row r="8162">
      <c r="C8162" s="82"/>
      <c r="E8162" s="84"/>
      <c r="F8162" s="84"/>
      <c r="G8162" s="84"/>
      <c r="I8162" s="237"/>
      <c r="J8162" s="238"/>
    </row>
    <row r="8163">
      <c r="C8163" s="82"/>
      <c r="E8163" s="84"/>
      <c r="F8163" s="84"/>
      <c r="G8163" s="84"/>
      <c r="I8163" s="237"/>
      <c r="J8163" s="238"/>
    </row>
    <row r="8164">
      <c r="C8164" s="82"/>
      <c r="E8164" s="84"/>
      <c r="F8164" s="84"/>
      <c r="G8164" s="84"/>
      <c r="I8164" s="237"/>
      <c r="J8164" s="238"/>
    </row>
    <row r="8165">
      <c r="C8165" s="82"/>
      <c r="E8165" s="84"/>
      <c r="F8165" s="84"/>
      <c r="G8165" s="84"/>
      <c r="I8165" s="237"/>
      <c r="J8165" s="238"/>
    </row>
    <row r="8166">
      <c r="C8166" s="82"/>
      <c r="E8166" s="84"/>
      <c r="F8166" s="84"/>
      <c r="G8166" s="84"/>
      <c r="I8166" s="237"/>
      <c r="J8166" s="238"/>
    </row>
    <row r="8167">
      <c r="C8167" s="82"/>
      <c r="E8167" s="84"/>
      <c r="F8167" s="84"/>
      <c r="G8167" s="84"/>
      <c r="I8167" s="237"/>
      <c r="J8167" s="238"/>
    </row>
    <row r="8168">
      <c r="C8168" s="82"/>
      <c r="E8168" s="84"/>
      <c r="F8168" s="84"/>
      <c r="G8168" s="84"/>
      <c r="I8168" s="237"/>
      <c r="J8168" s="238"/>
    </row>
    <row r="8169">
      <c r="C8169" s="82"/>
      <c r="E8169" s="84"/>
      <c r="F8169" s="84"/>
      <c r="G8169" s="84"/>
      <c r="I8169" s="237"/>
      <c r="J8169" s="238"/>
    </row>
    <row r="8170">
      <c r="C8170" s="82"/>
      <c r="E8170" s="84"/>
      <c r="F8170" s="84"/>
      <c r="G8170" s="84"/>
      <c r="I8170" s="237"/>
      <c r="J8170" s="238"/>
    </row>
    <row r="8171">
      <c r="C8171" s="82"/>
      <c r="E8171" s="84"/>
      <c r="F8171" s="84"/>
      <c r="G8171" s="84"/>
      <c r="I8171" s="237"/>
      <c r="J8171" s="238"/>
    </row>
    <row r="8172">
      <c r="C8172" s="82"/>
      <c r="E8172" s="84"/>
      <c r="F8172" s="84"/>
      <c r="G8172" s="84"/>
      <c r="I8172" s="237"/>
      <c r="J8172" s="238"/>
    </row>
    <row r="8173">
      <c r="C8173" s="82"/>
      <c r="E8173" s="84"/>
      <c r="F8173" s="84"/>
      <c r="G8173" s="84"/>
      <c r="I8173" s="237"/>
      <c r="J8173" s="238"/>
    </row>
    <row r="8174">
      <c r="C8174" s="82"/>
      <c r="E8174" s="84"/>
      <c r="F8174" s="84"/>
      <c r="G8174" s="84"/>
      <c r="I8174" s="237"/>
      <c r="J8174" s="238"/>
    </row>
    <row r="8175">
      <c r="C8175" s="82"/>
      <c r="E8175" s="84"/>
      <c r="F8175" s="84"/>
      <c r="G8175" s="84"/>
      <c r="I8175" s="237"/>
      <c r="J8175" s="238"/>
    </row>
    <row r="8176">
      <c r="C8176" s="82"/>
      <c r="E8176" s="84"/>
      <c r="F8176" s="84"/>
      <c r="G8176" s="84"/>
      <c r="I8176" s="237"/>
      <c r="J8176" s="238"/>
    </row>
    <row r="8177">
      <c r="C8177" s="82"/>
      <c r="E8177" s="84"/>
      <c r="F8177" s="84"/>
      <c r="G8177" s="84"/>
      <c r="I8177" s="237"/>
      <c r="J8177" s="238"/>
    </row>
    <row r="8178">
      <c r="C8178" s="82"/>
      <c r="E8178" s="84"/>
      <c r="F8178" s="84"/>
      <c r="G8178" s="84"/>
      <c r="I8178" s="237"/>
      <c r="J8178" s="238"/>
    </row>
    <row r="8179">
      <c r="C8179" s="82"/>
      <c r="E8179" s="84"/>
      <c r="F8179" s="84"/>
      <c r="G8179" s="84"/>
      <c r="I8179" s="237"/>
      <c r="J8179" s="238"/>
    </row>
    <row r="8180">
      <c r="C8180" s="82"/>
      <c r="E8180" s="84"/>
      <c r="F8180" s="84"/>
      <c r="G8180" s="84"/>
      <c r="I8180" s="237"/>
      <c r="J8180" s="238"/>
    </row>
    <row r="8181">
      <c r="C8181" s="82"/>
      <c r="E8181" s="84"/>
      <c r="F8181" s="84"/>
      <c r="G8181" s="84"/>
      <c r="I8181" s="237"/>
      <c r="J8181" s="238"/>
    </row>
    <row r="8182">
      <c r="C8182" s="82"/>
      <c r="E8182" s="84"/>
      <c r="F8182" s="84"/>
      <c r="G8182" s="84"/>
      <c r="I8182" s="237"/>
      <c r="J8182" s="238"/>
    </row>
    <row r="8183">
      <c r="C8183" s="82"/>
      <c r="E8183" s="84"/>
      <c r="F8183" s="84"/>
      <c r="G8183" s="84"/>
      <c r="I8183" s="237"/>
      <c r="J8183" s="238"/>
    </row>
    <row r="8184">
      <c r="C8184" s="82"/>
      <c r="E8184" s="84"/>
      <c r="F8184" s="84"/>
      <c r="G8184" s="84"/>
      <c r="I8184" s="237"/>
      <c r="J8184" s="238"/>
    </row>
    <row r="8185">
      <c r="C8185" s="82"/>
      <c r="E8185" s="84"/>
      <c r="F8185" s="84"/>
      <c r="G8185" s="84"/>
      <c r="I8185" s="237"/>
      <c r="J8185" s="238"/>
    </row>
    <row r="8186">
      <c r="C8186" s="82"/>
      <c r="E8186" s="84"/>
      <c r="F8186" s="84"/>
      <c r="G8186" s="84"/>
      <c r="I8186" s="237"/>
      <c r="J8186" s="238"/>
    </row>
    <row r="8187">
      <c r="C8187" s="82"/>
      <c r="E8187" s="84"/>
      <c r="F8187" s="84"/>
      <c r="G8187" s="84"/>
      <c r="I8187" s="237"/>
      <c r="J8187" s="238"/>
    </row>
    <row r="8188">
      <c r="C8188" s="82"/>
      <c r="E8188" s="84"/>
      <c r="F8188" s="84"/>
      <c r="G8188" s="84"/>
      <c r="I8188" s="237"/>
      <c r="J8188" s="238"/>
    </row>
    <row r="8189">
      <c r="C8189" s="82"/>
      <c r="E8189" s="84"/>
      <c r="F8189" s="84"/>
      <c r="G8189" s="84"/>
      <c r="I8189" s="237"/>
      <c r="J8189" s="238"/>
    </row>
    <row r="8190">
      <c r="C8190" s="82"/>
      <c r="E8190" s="84"/>
      <c r="F8190" s="84"/>
      <c r="G8190" s="84"/>
      <c r="I8190" s="237"/>
      <c r="J8190" s="238"/>
    </row>
    <row r="8191">
      <c r="C8191" s="82"/>
      <c r="E8191" s="84"/>
      <c r="F8191" s="84"/>
      <c r="G8191" s="84"/>
      <c r="I8191" s="237"/>
      <c r="J8191" s="238"/>
    </row>
    <row r="8192">
      <c r="C8192" s="82"/>
      <c r="E8192" s="84"/>
      <c r="F8192" s="84"/>
      <c r="G8192" s="84"/>
      <c r="I8192" s="237"/>
      <c r="J8192" s="238"/>
    </row>
    <row r="8193">
      <c r="C8193" s="82"/>
      <c r="E8193" s="84"/>
      <c r="F8193" s="84"/>
      <c r="G8193" s="84"/>
      <c r="I8193" s="237"/>
      <c r="J8193" s="238"/>
    </row>
    <row r="8194">
      <c r="C8194" s="82"/>
      <c r="E8194" s="84"/>
      <c r="F8194" s="84"/>
      <c r="G8194" s="84"/>
      <c r="I8194" s="237"/>
      <c r="J8194" s="238"/>
    </row>
    <row r="8195">
      <c r="C8195" s="82"/>
      <c r="E8195" s="84"/>
      <c r="F8195" s="84"/>
      <c r="G8195" s="84"/>
      <c r="I8195" s="237"/>
      <c r="J8195" s="238"/>
    </row>
    <row r="8196">
      <c r="C8196" s="82"/>
      <c r="E8196" s="84"/>
      <c r="F8196" s="84"/>
      <c r="G8196" s="84"/>
      <c r="I8196" s="237"/>
      <c r="J8196" s="238"/>
    </row>
    <row r="8197">
      <c r="C8197" s="82"/>
      <c r="E8197" s="84"/>
      <c r="F8197" s="84"/>
      <c r="G8197" s="84"/>
      <c r="I8197" s="237"/>
      <c r="J8197" s="238"/>
    </row>
    <row r="8198">
      <c r="C8198" s="82"/>
      <c r="E8198" s="84"/>
      <c r="F8198" s="84"/>
      <c r="G8198" s="84"/>
      <c r="I8198" s="237"/>
      <c r="J8198" s="238"/>
    </row>
    <row r="8199">
      <c r="C8199" s="82"/>
      <c r="E8199" s="84"/>
      <c r="F8199" s="84"/>
      <c r="G8199" s="84"/>
      <c r="I8199" s="237"/>
      <c r="J8199" s="238"/>
    </row>
    <row r="8200">
      <c r="C8200" s="82"/>
      <c r="E8200" s="84"/>
      <c r="F8200" s="84"/>
      <c r="G8200" s="84"/>
      <c r="I8200" s="237"/>
      <c r="J8200" s="238"/>
    </row>
    <row r="8201">
      <c r="C8201" s="82"/>
      <c r="E8201" s="84"/>
      <c r="F8201" s="84"/>
      <c r="G8201" s="84"/>
      <c r="I8201" s="237"/>
      <c r="J8201" s="238"/>
    </row>
    <row r="8202">
      <c r="C8202" s="82"/>
      <c r="E8202" s="84"/>
      <c r="F8202" s="84"/>
      <c r="G8202" s="84"/>
      <c r="I8202" s="237"/>
      <c r="J8202" s="238"/>
    </row>
    <row r="8203">
      <c r="C8203" s="82"/>
      <c r="E8203" s="84"/>
      <c r="F8203" s="84"/>
      <c r="G8203" s="84"/>
      <c r="I8203" s="237"/>
      <c r="J8203" s="238"/>
    </row>
    <row r="8204">
      <c r="C8204" s="82"/>
      <c r="E8204" s="84"/>
      <c r="F8204" s="84"/>
      <c r="G8204" s="84"/>
      <c r="I8204" s="237"/>
      <c r="J8204" s="238"/>
    </row>
    <row r="8205">
      <c r="C8205" s="82"/>
      <c r="E8205" s="84"/>
      <c r="F8205" s="84"/>
      <c r="G8205" s="84"/>
      <c r="I8205" s="237"/>
      <c r="J8205" s="238"/>
    </row>
    <row r="8206">
      <c r="C8206" s="82"/>
      <c r="E8206" s="84"/>
      <c r="F8206" s="84"/>
      <c r="G8206" s="84"/>
      <c r="I8206" s="237"/>
      <c r="J8206" s="238"/>
    </row>
    <row r="8207">
      <c r="C8207" s="82"/>
      <c r="E8207" s="84"/>
      <c r="F8207" s="84"/>
      <c r="G8207" s="84"/>
      <c r="I8207" s="237"/>
      <c r="J8207" s="238"/>
    </row>
    <row r="8208">
      <c r="C8208" s="82"/>
      <c r="E8208" s="84"/>
      <c r="F8208" s="84"/>
      <c r="G8208" s="84"/>
      <c r="I8208" s="237"/>
      <c r="J8208" s="238"/>
    </row>
    <row r="8209">
      <c r="C8209" s="82"/>
      <c r="E8209" s="84"/>
      <c r="F8209" s="84"/>
      <c r="G8209" s="84"/>
      <c r="I8209" s="237"/>
      <c r="J8209" s="238"/>
    </row>
    <row r="8210">
      <c r="C8210" s="82"/>
      <c r="E8210" s="84"/>
      <c r="F8210" s="84"/>
      <c r="G8210" s="84"/>
      <c r="I8210" s="237"/>
      <c r="J8210" s="238"/>
    </row>
    <row r="8211">
      <c r="C8211" s="82"/>
      <c r="E8211" s="84"/>
      <c r="F8211" s="84"/>
      <c r="G8211" s="84"/>
      <c r="I8211" s="237"/>
      <c r="J8211" s="238"/>
    </row>
    <row r="8212">
      <c r="C8212" s="82"/>
      <c r="E8212" s="84"/>
      <c r="F8212" s="84"/>
      <c r="G8212" s="84"/>
      <c r="I8212" s="237"/>
      <c r="J8212" s="238"/>
    </row>
    <row r="8213">
      <c r="C8213" s="82"/>
      <c r="E8213" s="84"/>
      <c r="F8213" s="84"/>
      <c r="G8213" s="84"/>
      <c r="I8213" s="237"/>
      <c r="J8213" s="238"/>
    </row>
    <row r="8214">
      <c r="C8214" s="82"/>
      <c r="E8214" s="84"/>
      <c r="F8214" s="84"/>
      <c r="G8214" s="84"/>
      <c r="I8214" s="237"/>
      <c r="J8214" s="238"/>
    </row>
    <row r="8215">
      <c r="C8215" s="82"/>
      <c r="E8215" s="84"/>
      <c r="F8215" s="84"/>
      <c r="G8215" s="84"/>
      <c r="I8215" s="237"/>
      <c r="J8215" s="238"/>
    </row>
    <row r="8216">
      <c r="C8216" s="82"/>
      <c r="E8216" s="84"/>
      <c r="F8216" s="84"/>
      <c r="G8216" s="84"/>
      <c r="I8216" s="237"/>
      <c r="J8216" s="238"/>
    </row>
    <row r="8217">
      <c r="C8217" s="82"/>
      <c r="E8217" s="84"/>
      <c r="F8217" s="84"/>
      <c r="G8217" s="84"/>
      <c r="I8217" s="237"/>
      <c r="J8217" s="238"/>
    </row>
    <row r="8218">
      <c r="C8218" s="82"/>
      <c r="E8218" s="84"/>
      <c r="F8218" s="84"/>
      <c r="G8218" s="84"/>
      <c r="I8218" s="237"/>
      <c r="J8218" s="238"/>
    </row>
    <row r="8219">
      <c r="C8219" s="82"/>
      <c r="E8219" s="84"/>
      <c r="F8219" s="84"/>
      <c r="G8219" s="84"/>
      <c r="I8219" s="237"/>
      <c r="J8219" s="238"/>
    </row>
    <row r="8220">
      <c r="C8220" s="82"/>
      <c r="E8220" s="84"/>
      <c r="F8220" s="84"/>
      <c r="G8220" s="84"/>
      <c r="I8220" s="237"/>
      <c r="J8220" s="238"/>
    </row>
    <row r="8221">
      <c r="C8221" s="82"/>
      <c r="E8221" s="84"/>
      <c r="F8221" s="84"/>
      <c r="G8221" s="84"/>
      <c r="I8221" s="237"/>
      <c r="J8221" s="238"/>
    </row>
    <row r="8222">
      <c r="C8222" s="82"/>
      <c r="E8222" s="84"/>
      <c r="F8222" s="84"/>
      <c r="G8222" s="84"/>
      <c r="I8222" s="237"/>
      <c r="J8222" s="238"/>
    </row>
    <row r="8223">
      <c r="C8223" s="82"/>
      <c r="E8223" s="84"/>
      <c r="F8223" s="84"/>
      <c r="G8223" s="84"/>
      <c r="I8223" s="237"/>
      <c r="J8223" s="238"/>
    </row>
    <row r="8224">
      <c r="C8224" s="82"/>
      <c r="E8224" s="84"/>
      <c r="F8224" s="84"/>
      <c r="G8224" s="84"/>
      <c r="I8224" s="237"/>
      <c r="J8224" s="238"/>
    </row>
    <row r="8225">
      <c r="C8225" s="82"/>
      <c r="E8225" s="84"/>
      <c r="F8225" s="84"/>
      <c r="G8225" s="84"/>
      <c r="I8225" s="237"/>
      <c r="J8225" s="238"/>
    </row>
    <row r="8226">
      <c r="C8226" s="82"/>
      <c r="E8226" s="84"/>
      <c r="F8226" s="84"/>
      <c r="G8226" s="84"/>
      <c r="I8226" s="237"/>
      <c r="J8226" s="238"/>
    </row>
    <row r="8227">
      <c r="C8227" s="82"/>
      <c r="E8227" s="84"/>
      <c r="F8227" s="84"/>
      <c r="G8227" s="84"/>
      <c r="I8227" s="237"/>
      <c r="J8227" s="238"/>
    </row>
    <row r="8228">
      <c r="C8228" s="82"/>
      <c r="E8228" s="84"/>
      <c r="F8228" s="84"/>
      <c r="G8228" s="84"/>
      <c r="I8228" s="237"/>
      <c r="J8228" s="238"/>
    </row>
    <row r="8229">
      <c r="C8229" s="82"/>
      <c r="E8229" s="84"/>
      <c r="F8229" s="84"/>
      <c r="G8229" s="84"/>
      <c r="I8229" s="237"/>
      <c r="J8229" s="238"/>
    </row>
    <row r="8230">
      <c r="C8230" s="82"/>
      <c r="E8230" s="84"/>
      <c r="F8230" s="84"/>
      <c r="G8230" s="84"/>
      <c r="I8230" s="237"/>
      <c r="J8230" s="238"/>
    </row>
    <row r="8231">
      <c r="C8231" s="82"/>
      <c r="E8231" s="84"/>
      <c r="F8231" s="84"/>
      <c r="G8231" s="84"/>
      <c r="I8231" s="237"/>
      <c r="J8231" s="238"/>
    </row>
    <row r="8232">
      <c r="C8232" s="82"/>
      <c r="E8232" s="84"/>
      <c r="F8232" s="84"/>
      <c r="G8232" s="84"/>
      <c r="I8232" s="237"/>
      <c r="J8232" s="238"/>
    </row>
    <row r="8233">
      <c r="C8233" s="82"/>
      <c r="E8233" s="84"/>
      <c r="F8233" s="84"/>
      <c r="G8233" s="84"/>
      <c r="I8233" s="237"/>
      <c r="J8233" s="238"/>
    </row>
    <row r="8234">
      <c r="C8234" s="82"/>
      <c r="E8234" s="84"/>
      <c r="F8234" s="84"/>
      <c r="G8234" s="84"/>
      <c r="I8234" s="237"/>
      <c r="J8234" s="238"/>
    </row>
    <row r="8235">
      <c r="C8235" s="82"/>
      <c r="E8235" s="84"/>
      <c r="F8235" s="84"/>
      <c r="G8235" s="84"/>
      <c r="I8235" s="237"/>
      <c r="J8235" s="238"/>
    </row>
    <row r="8236">
      <c r="C8236" s="82"/>
      <c r="E8236" s="84"/>
      <c r="F8236" s="84"/>
      <c r="G8236" s="84"/>
      <c r="I8236" s="237"/>
      <c r="J8236" s="238"/>
    </row>
    <row r="8237">
      <c r="C8237" s="82"/>
      <c r="E8237" s="84"/>
      <c r="F8237" s="84"/>
      <c r="G8237" s="84"/>
      <c r="I8237" s="237"/>
      <c r="J8237" s="238"/>
    </row>
    <row r="8238">
      <c r="C8238" s="82"/>
      <c r="E8238" s="84"/>
      <c r="F8238" s="84"/>
      <c r="G8238" s="84"/>
      <c r="I8238" s="237"/>
      <c r="J8238" s="238"/>
    </row>
    <row r="8239">
      <c r="C8239" s="82"/>
      <c r="E8239" s="84"/>
      <c r="F8239" s="84"/>
      <c r="G8239" s="84"/>
      <c r="I8239" s="237"/>
      <c r="J8239" s="238"/>
    </row>
    <row r="8240">
      <c r="C8240" s="82"/>
      <c r="E8240" s="84"/>
      <c r="F8240" s="84"/>
      <c r="G8240" s="84"/>
      <c r="I8240" s="237"/>
      <c r="J8240" s="238"/>
    </row>
    <row r="8241">
      <c r="C8241" s="82"/>
      <c r="E8241" s="84"/>
      <c r="F8241" s="84"/>
      <c r="G8241" s="84"/>
      <c r="I8241" s="237"/>
      <c r="J8241" s="238"/>
    </row>
    <row r="8242">
      <c r="C8242" s="82"/>
      <c r="E8242" s="84"/>
      <c r="F8242" s="84"/>
      <c r="G8242" s="84"/>
      <c r="I8242" s="237"/>
      <c r="J8242" s="238"/>
    </row>
    <row r="8243">
      <c r="C8243" s="82"/>
      <c r="E8243" s="84"/>
      <c r="F8243" s="84"/>
      <c r="G8243" s="84"/>
      <c r="I8243" s="237"/>
      <c r="J8243" s="238"/>
    </row>
    <row r="8244">
      <c r="C8244" s="82"/>
      <c r="E8244" s="84"/>
      <c r="F8244" s="84"/>
      <c r="G8244" s="84"/>
      <c r="I8244" s="237"/>
      <c r="J8244" s="238"/>
    </row>
    <row r="8245">
      <c r="C8245" s="82"/>
      <c r="E8245" s="84"/>
      <c r="F8245" s="84"/>
      <c r="G8245" s="84"/>
      <c r="I8245" s="237"/>
      <c r="J8245" s="238"/>
    </row>
    <row r="8246">
      <c r="C8246" s="82"/>
      <c r="E8246" s="84"/>
      <c r="F8246" s="84"/>
      <c r="G8246" s="84"/>
      <c r="I8246" s="237"/>
      <c r="J8246" s="238"/>
    </row>
    <row r="8247">
      <c r="C8247" s="82"/>
      <c r="E8247" s="84"/>
      <c r="F8247" s="84"/>
      <c r="G8247" s="84"/>
      <c r="I8247" s="237"/>
      <c r="J8247" s="238"/>
    </row>
    <row r="8248">
      <c r="C8248" s="82"/>
      <c r="E8248" s="84"/>
      <c r="F8248" s="84"/>
      <c r="G8248" s="84"/>
      <c r="I8248" s="237"/>
      <c r="J8248" s="238"/>
    </row>
    <row r="8249">
      <c r="C8249" s="82"/>
      <c r="E8249" s="84"/>
      <c r="F8249" s="84"/>
      <c r="G8249" s="84"/>
      <c r="I8249" s="237"/>
      <c r="J8249" s="238"/>
    </row>
    <row r="8250">
      <c r="C8250" s="82"/>
      <c r="E8250" s="84"/>
      <c r="F8250" s="84"/>
      <c r="G8250" s="84"/>
      <c r="I8250" s="237"/>
      <c r="J8250" s="238"/>
    </row>
    <row r="8251">
      <c r="C8251" s="82"/>
      <c r="E8251" s="84"/>
      <c r="F8251" s="84"/>
      <c r="G8251" s="84"/>
      <c r="I8251" s="237"/>
      <c r="J8251" s="238"/>
    </row>
    <row r="8252">
      <c r="C8252" s="82"/>
      <c r="E8252" s="84"/>
      <c r="F8252" s="84"/>
      <c r="G8252" s="84"/>
      <c r="I8252" s="237"/>
      <c r="J8252" s="238"/>
    </row>
    <row r="8253">
      <c r="C8253" s="82"/>
      <c r="E8253" s="84"/>
      <c r="F8253" s="84"/>
      <c r="G8253" s="84"/>
      <c r="I8253" s="237"/>
      <c r="J8253" s="238"/>
    </row>
    <row r="8254">
      <c r="C8254" s="82"/>
      <c r="E8254" s="84"/>
      <c r="F8254" s="84"/>
      <c r="G8254" s="84"/>
      <c r="I8254" s="237"/>
      <c r="J8254" s="238"/>
    </row>
    <row r="8255">
      <c r="C8255" s="82"/>
      <c r="E8255" s="84"/>
      <c r="F8255" s="84"/>
      <c r="G8255" s="84"/>
      <c r="I8255" s="237"/>
      <c r="J8255" s="238"/>
    </row>
    <row r="8256">
      <c r="C8256" s="82"/>
      <c r="E8256" s="84"/>
      <c r="F8256" s="84"/>
      <c r="G8256" s="84"/>
      <c r="I8256" s="237"/>
      <c r="J8256" s="238"/>
    </row>
    <row r="8257">
      <c r="C8257" s="82"/>
      <c r="E8257" s="84"/>
      <c r="F8257" s="84"/>
      <c r="G8257" s="84"/>
      <c r="I8257" s="237"/>
      <c r="J8257" s="238"/>
    </row>
    <row r="8258">
      <c r="C8258" s="82"/>
      <c r="E8258" s="84"/>
      <c r="F8258" s="84"/>
      <c r="G8258" s="84"/>
      <c r="I8258" s="237"/>
      <c r="J8258" s="238"/>
    </row>
    <row r="8259">
      <c r="C8259" s="82"/>
      <c r="E8259" s="84"/>
      <c r="F8259" s="84"/>
      <c r="G8259" s="84"/>
      <c r="I8259" s="237"/>
      <c r="J8259" s="238"/>
    </row>
    <row r="8260">
      <c r="C8260" s="82"/>
      <c r="E8260" s="84"/>
      <c r="F8260" s="84"/>
      <c r="G8260" s="84"/>
      <c r="I8260" s="237"/>
      <c r="J8260" s="238"/>
    </row>
    <row r="8261">
      <c r="C8261" s="82"/>
      <c r="E8261" s="84"/>
      <c r="F8261" s="84"/>
      <c r="G8261" s="84"/>
      <c r="I8261" s="237"/>
      <c r="J8261" s="238"/>
    </row>
    <row r="8262">
      <c r="C8262" s="82"/>
      <c r="E8262" s="84"/>
      <c r="F8262" s="84"/>
      <c r="G8262" s="84"/>
      <c r="I8262" s="237"/>
      <c r="J8262" s="238"/>
    </row>
    <row r="8263">
      <c r="C8263" s="82"/>
      <c r="E8263" s="84"/>
      <c r="F8263" s="84"/>
      <c r="G8263" s="84"/>
      <c r="I8263" s="237"/>
      <c r="J8263" s="238"/>
    </row>
    <row r="8264">
      <c r="C8264" s="82"/>
      <c r="E8264" s="84"/>
      <c r="F8264" s="84"/>
      <c r="G8264" s="84"/>
      <c r="I8264" s="237"/>
      <c r="J8264" s="238"/>
    </row>
    <row r="8265">
      <c r="C8265" s="82"/>
      <c r="E8265" s="84"/>
      <c r="F8265" s="84"/>
      <c r="G8265" s="84"/>
      <c r="I8265" s="237"/>
      <c r="J8265" s="238"/>
    </row>
    <row r="8266">
      <c r="C8266" s="82"/>
      <c r="E8266" s="84"/>
      <c r="F8266" s="84"/>
      <c r="G8266" s="84"/>
      <c r="I8266" s="237"/>
      <c r="J8266" s="238"/>
    </row>
    <row r="8267">
      <c r="C8267" s="82"/>
      <c r="E8267" s="84"/>
      <c r="F8267" s="84"/>
      <c r="G8267" s="84"/>
      <c r="I8267" s="237"/>
      <c r="J8267" s="238"/>
    </row>
    <row r="8268">
      <c r="C8268" s="82"/>
      <c r="E8268" s="84"/>
      <c r="F8268" s="84"/>
      <c r="G8268" s="84"/>
      <c r="I8268" s="237"/>
      <c r="J8268" s="238"/>
    </row>
    <row r="8269">
      <c r="C8269" s="82"/>
      <c r="E8269" s="84"/>
      <c r="F8269" s="84"/>
      <c r="G8269" s="84"/>
      <c r="I8269" s="237"/>
      <c r="J8269" s="238"/>
    </row>
    <row r="8270">
      <c r="C8270" s="82"/>
      <c r="E8270" s="84"/>
      <c r="F8270" s="84"/>
      <c r="G8270" s="84"/>
      <c r="I8270" s="237"/>
      <c r="J8270" s="238"/>
    </row>
    <row r="8271">
      <c r="C8271" s="82"/>
      <c r="E8271" s="84"/>
      <c r="F8271" s="84"/>
      <c r="G8271" s="84"/>
      <c r="I8271" s="237"/>
      <c r="J8271" s="238"/>
    </row>
    <row r="8272">
      <c r="C8272" s="82"/>
      <c r="E8272" s="84"/>
      <c r="F8272" s="84"/>
      <c r="G8272" s="84"/>
      <c r="I8272" s="237"/>
      <c r="J8272" s="238"/>
    </row>
    <row r="8273">
      <c r="C8273" s="82"/>
      <c r="E8273" s="84"/>
      <c r="F8273" s="84"/>
      <c r="G8273" s="84"/>
      <c r="I8273" s="237"/>
      <c r="J8273" s="238"/>
    </row>
    <row r="8274">
      <c r="C8274" s="82"/>
      <c r="E8274" s="84"/>
      <c r="F8274" s="84"/>
      <c r="G8274" s="84"/>
      <c r="I8274" s="237"/>
      <c r="J8274" s="238"/>
    </row>
    <row r="8275">
      <c r="C8275" s="82"/>
      <c r="E8275" s="84"/>
      <c r="F8275" s="84"/>
      <c r="G8275" s="84"/>
      <c r="I8275" s="237"/>
      <c r="J8275" s="238"/>
    </row>
    <row r="8276">
      <c r="C8276" s="82"/>
      <c r="E8276" s="84"/>
      <c r="F8276" s="84"/>
      <c r="G8276" s="84"/>
      <c r="I8276" s="237"/>
      <c r="J8276" s="238"/>
    </row>
    <row r="8277">
      <c r="C8277" s="82"/>
      <c r="E8277" s="84"/>
      <c r="F8277" s="84"/>
      <c r="G8277" s="84"/>
      <c r="I8277" s="237"/>
      <c r="J8277" s="238"/>
    </row>
    <row r="8278">
      <c r="C8278" s="82"/>
      <c r="E8278" s="84"/>
      <c r="F8278" s="84"/>
      <c r="G8278" s="84"/>
      <c r="I8278" s="237"/>
      <c r="J8278" s="238"/>
    </row>
    <row r="8279">
      <c r="C8279" s="82"/>
      <c r="E8279" s="84"/>
      <c r="F8279" s="84"/>
      <c r="G8279" s="84"/>
      <c r="I8279" s="237"/>
      <c r="J8279" s="238"/>
    </row>
    <row r="8280">
      <c r="C8280" s="82"/>
      <c r="E8280" s="84"/>
      <c r="F8280" s="84"/>
      <c r="G8280" s="84"/>
      <c r="I8280" s="237"/>
      <c r="J8280" s="238"/>
    </row>
    <row r="8281">
      <c r="C8281" s="82"/>
      <c r="E8281" s="84"/>
      <c r="F8281" s="84"/>
      <c r="G8281" s="84"/>
      <c r="I8281" s="237"/>
      <c r="J8281" s="238"/>
    </row>
    <row r="8282">
      <c r="C8282" s="82"/>
      <c r="E8282" s="84"/>
      <c r="F8282" s="84"/>
      <c r="G8282" s="84"/>
      <c r="I8282" s="237"/>
      <c r="J8282" s="238"/>
    </row>
    <row r="8283">
      <c r="C8283" s="82"/>
      <c r="E8283" s="84"/>
      <c r="F8283" s="84"/>
      <c r="G8283" s="84"/>
      <c r="I8283" s="237"/>
      <c r="J8283" s="238"/>
    </row>
    <row r="8284">
      <c r="C8284" s="82"/>
      <c r="E8284" s="84"/>
      <c r="F8284" s="84"/>
      <c r="G8284" s="84"/>
      <c r="I8284" s="237"/>
      <c r="J8284" s="238"/>
    </row>
    <row r="8285">
      <c r="C8285" s="82"/>
      <c r="E8285" s="84"/>
      <c r="F8285" s="84"/>
      <c r="G8285" s="84"/>
      <c r="I8285" s="237"/>
      <c r="J8285" s="238"/>
    </row>
    <row r="8286">
      <c r="C8286" s="82"/>
      <c r="E8286" s="84"/>
      <c r="F8286" s="84"/>
      <c r="G8286" s="84"/>
      <c r="I8286" s="237"/>
      <c r="J8286" s="238"/>
    </row>
    <row r="8287">
      <c r="C8287" s="82"/>
      <c r="E8287" s="84"/>
      <c r="F8287" s="84"/>
      <c r="G8287" s="84"/>
      <c r="I8287" s="237"/>
      <c r="J8287" s="238"/>
    </row>
    <row r="8288">
      <c r="C8288" s="82"/>
      <c r="E8288" s="84"/>
      <c r="F8288" s="84"/>
      <c r="G8288" s="84"/>
      <c r="I8288" s="237"/>
      <c r="J8288" s="238"/>
    </row>
    <row r="8289">
      <c r="C8289" s="82"/>
      <c r="E8289" s="84"/>
      <c r="F8289" s="84"/>
      <c r="G8289" s="84"/>
      <c r="I8289" s="237"/>
      <c r="J8289" s="238"/>
    </row>
    <row r="8290">
      <c r="C8290" s="82"/>
      <c r="E8290" s="84"/>
      <c r="F8290" s="84"/>
      <c r="G8290" s="84"/>
      <c r="I8290" s="237"/>
      <c r="J8290" s="238"/>
    </row>
    <row r="8291">
      <c r="C8291" s="82"/>
      <c r="E8291" s="84"/>
      <c r="F8291" s="84"/>
      <c r="G8291" s="84"/>
      <c r="I8291" s="237"/>
      <c r="J8291" s="238"/>
    </row>
    <row r="8292">
      <c r="C8292" s="82"/>
      <c r="E8292" s="84"/>
      <c r="F8292" s="84"/>
      <c r="G8292" s="84"/>
      <c r="I8292" s="237"/>
      <c r="J8292" s="238"/>
    </row>
    <row r="8293">
      <c r="C8293" s="82"/>
      <c r="E8293" s="84"/>
      <c r="F8293" s="84"/>
      <c r="G8293" s="84"/>
      <c r="I8293" s="237"/>
      <c r="J8293" s="238"/>
    </row>
    <row r="8294">
      <c r="C8294" s="82"/>
      <c r="E8294" s="84"/>
      <c r="F8294" s="84"/>
      <c r="G8294" s="84"/>
      <c r="I8294" s="237"/>
      <c r="J8294" s="238"/>
    </row>
    <row r="8295">
      <c r="C8295" s="82"/>
      <c r="E8295" s="84"/>
      <c r="F8295" s="84"/>
      <c r="G8295" s="84"/>
      <c r="I8295" s="237"/>
      <c r="J8295" s="238"/>
    </row>
    <row r="8296">
      <c r="C8296" s="82"/>
      <c r="E8296" s="84"/>
      <c r="F8296" s="84"/>
      <c r="G8296" s="84"/>
      <c r="I8296" s="237"/>
      <c r="J8296" s="238"/>
    </row>
    <row r="8297">
      <c r="C8297" s="82"/>
      <c r="E8297" s="84"/>
      <c r="F8297" s="84"/>
      <c r="G8297" s="84"/>
      <c r="I8297" s="237"/>
      <c r="J8297" s="238"/>
    </row>
    <row r="8298">
      <c r="C8298" s="82"/>
      <c r="E8298" s="84"/>
      <c r="F8298" s="84"/>
      <c r="G8298" s="84"/>
      <c r="I8298" s="237"/>
      <c r="J8298" s="238"/>
    </row>
    <row r="8299">
      <c r="C8299" s="82"/>
      <c r="E8299" s="84"/>
      <c r="F8299" s="84"/>
      <c r="G8299" s="84"/>
      <c r="I8299" s="237"/>
      <c r="J8299" s="238"/>
    </row>
    <row r="8300">
      <c r="C8300" s="82"/>
      <c r="E8300" s="84"/>
      <c r="F8300" s="84"/>
      <c r="G8300" s="84"/>
      <c r="I8300" s="237"/>
      <c r="J8300" s="238"/>
    </row>
    <row r="8301">
      <c r="C8301" s="82"/>
      <c r="E8301" s="84"/>
      <c r="F8301" s="84"/>
      <c r="G8301" s="84"/>
      <c r="I8301" s="237"/>
      <c r="J8301" s="238"/>
    </row>
    <row r="8302">
      <c r="C8302" s="82"/>
      <c r="E8302" s="84"/>
      <c r="F8302" s="84"/>
      <c r="G8302" s="84"/>
      <c r="I8302" s="237"/>
      <c r="J8302" s="238"/>
    </row>
    <row r="8303">
      <c r="C8303" s="82"/>
      <c r="E8303" s="84"/>
      <c r="F8303" s="84"/>
      <c r="G8303" s="84"/>
      <c r="I8303" s="237"/>
      <c r="J8303" s="238"/>
    </row>
    <row r="8304">
      <c r="C8304" s="82"/>
      <c r="E8304" s="84"/>
      <c r="F8304" s="84"/>
      <c r="G8304" s="84"/>
      <c r="I8304" s="237"/>
      <c r="J8304" s="238"/>
    </row>
    <row r="8305">
      <c r="C8305" s="82"/>
      <c r="E8305" s="84"/>
      <c r="F8305" s="84"/>
      <c r="G8305" s="84"/>
      <c r="I8305" s="237"/>
      <c r="J8305" s="238"/>
    </row>
    <row r="8306">
      <c r="C8306" s="82"/>
      <c r="E8306" s="84"/>
      <c r="F8306" s="84"/>
      <c r="G8306" s="84"/>
      <c r="I8306" s="237"/>
      <c r="J8306" s="238"/>
    </row>
    <row r="8307">
      <c r="C8307" s="82"/>
      <c r="E8307" s="84"/>
      <c r="F8307" s="84"/>
      <c r="G8307" s="84"/>
      <c r="I8307" s="237"/>
      <c r="J8307" s="238"/>
    </row>
    <row r="8308">
      <c r="C8308" s="82"/>
      <c r="E8308" s="84"/>
      <c r="F8308" s="84"/>
      <c r="G8308" s="84"/>
      <c r="I8308" s="237"/>
      <c r="J8308" s="238"/>
    </row>
    <row r="8309">
      <c r="C8309" s="82"/>
      <c r="E8309" s="84"/>
      <c r="F8309" s="84"/>
      <c r="G8309" s="84"/>
      <c r="I8309" s="237"/>
      <c r="J8309" s="238"/>
    </row>
    <row r="8310">
      <c r="C8310" s="82"/>
      <c r="E8310" s="84"/>
      <c r="F8310" s="84"/>
      <c r="G8310" s="84"/>
      <c r="I8310" s="237"/>
      <c r="J8310" s="238"/>
    </row>
    <row r="8311">
      <c r="C8311" s="82"/>
      <c r="E8311" s="84"/>
      <c r="F8311" s="84"/>
      <c r="G8311" s="84"/>
      <c r="I8311" s="237"/>
      <c r="J8311" s="238"/>
    </row>
    <row r="8312">
      <c r="C8312" s="82"/>
      <c r="E8312" s="84"/>
      <c r="F8312" s="84"/>
      <c r="G8312" s="84"/>
      <c r="I8312" s="237"/>
      <c r="J8312" s="238"/>
    </row>
    <row r="8313">
      <c r="C8313" s="82"/>
      <c r="E8313" s="84"/>
      <c r="F8313" s="84"/>
      <c r="G8313" s="84"/>
      <c r="I8313" s="237"/>
      <c r="J8313" s="238"/>
    </row>
    <row r="8314">
      <c r="C8314" s="82"/>
      <c r="E8314" s="84"/>
      <c r="F8314" s="84"/>
      <c r="G8314" s="84"/>
      <c r="I8314" s="237"/>
      <c r="J8314" s="238"/>
    </row>
    <row r="8315">
      <c r="C8315" s="82"/>
      <c r="E8315" s="84"/>
      <c r="F8315" s="84"/>
      <c r="G8315" s="84"/>
      <c r="I8315" s="237"/>
      <c r="J8315" s="238"/>
    </row>
    <row r="8316">
      <c r="C8316" s="82"/>
      <c r="E8316" s="84"/>
      <c r="F8316" s="84"/>
      <c r="G8316" s="84"/>
      <c r="I8316" s="237"/>
      <c r="J8316" s="238"/>
    </row>
    <row r="8317">
      <c r="C8317" s="82"/>
      <c r="E8317" s="84"/>
      <c r="F8317" s="84"/>
      <c r="G8317" s="84"/>
      <c r="I8317" s="237"/>
      <c r="J8317" s="238"/>
    </row>
    <row r="8318">
      <c r="C8318" s="82"/>
      <c r="E8318" s="84"/>
      <c r="F8318" s="84"/>
      <c r="G8318" s="84"/>
      <c r="I8318" s="237"/>
      <c r="J8318" s="238"/>
    </row>
    <row r="8319">
      <c r="C8319" s="82"/>
      <c r="E8319" s="84"/>
      <c r="F8319" s="84"/>
      <c r="G8319" s="84"/>
      <c r="I8319" s="237"/>
      <c r="J8319" s="238"/>
    </row>
    <row r="8320">
      <c r="C8320" s="82"/>
      <c r="E8320" s="84"/>
      <c r="F8320" s="84"/>
      <c r="G8320" s="84"/>
      <c r="I8320" s="237"/>
      <c r="J8320" s="238"/>
    </row>
    <row r="8321">
      <c r="C8321" s="82"/>
      <c r="E8321" s="84"/>
      <c r="F8321" s="84"/>
      <c r="G8321" s="84"/>
      <c r="I8321" s="237"/>
      <c r="J8321" s="238"/>
    </row>
    <row r="8322">
      <c r="C8322" s="82"/>
      <c r="E8322" s="84"/>
      <c r="F8322" s="84"/>
      <c r="G8322" s="84"/>
      <c r="I8322" s="237"/>
      <c r="J8322" s="238"/>
    </row>
    <row r="8323">
      <c r="C8323" s="82"/>
      <c r="E8323" s="84"/>
      <c r="F8323" s="84"/>
      <c r="G8323" s="84"/>
      <c r="I8323" s="237"/>
      <c r="J8323" s="238"/>
    </row>
    <row r="8324">
      <c r="C8324" s="82"/>
      <c r="E8324" s="84"/>
      <c r="F8324" s="84"/>
      <c r="G8324" s="84"/>
      <c r="I8324" s="237"/>
      <c r="J8324" s="238"/>
    </row>
    <row r="8325">
      <c r="C8325" s="82"/>
      <c r="E8325" s="84"/>
      <c r="F8325" s="84"/>
      <c r="G8325" s="84"/>
      <c r="I8325" s="237"/>
      <c r="J8325" s="238"/>
    </row>
    <row r="8326">
      <c r="C8326" s="82"/>
      <c r="E8326" s="84"/>
      <c r="F8326" s="84"/>
      <c r="G8326" s="84"/>
      <c r="I8326" s="237"/>
      <c r="J8326" s="238"/>
    </row>
    <row r="8327">
      <c r="C8327" s="82"/>
      <c r="E8327" s="84"/>
      <c r="F8327" s="84"/>
      <c r="G8327" s="84"/>
      <c r="I8327" s="237"/>
      <c r="J8327" s="238"/>
    </row>
    <row r="8328">
      <c r="C8328" s="82"/>
      <c r="E8328" s="84"/>
      <c r="F8328" s="84"/>
      <c r="G8328" s="84"/>
      <c r="I8328" s="237"/>
      <c r="J8328" s="238"/>
    </row>
    <row r="8329">
      <c r="C8329" s="82"/>
      <c r="E8329" s="84"/>
      <c r="F8329" s="84"/>
      <c r="G8329" s="84"/>
      <c r="I8329" s="237"/>
      <c r="J8329" s="238"/>
    </row>
    <row r="8330">
      <c r="C8330" s="82"/>
      <c r="E8330" s="84"/>
      <c r="F8330" s="84"/>
      <c r="G8330" s="84"/>
      <c r="I8330" s="237"/>
      <c r="J8330" s="238"/>
    </row>
    <row r="8331">
      <c r="C8331" s="82"/>
      <c r="E8331" s="84"/>
      <c r="F8331" s="84"/>
      <c r="G8331" s="84"/>
      <c r="I8331" s="237"/>
      <c r="J8331" s="238"/>
    </row>
    <row r="8332">
      <c r="C8332" s="82"/>
      <c r="E8332" s="84"/>
      <c r="F8332" s="84"/>
      <c r="G8332" s="84"/>
      <c r="I8332" s="237"/>
      <c r="J8332" s="238"/>
    </row>
    <row r="8333">
      <c r="C8333" s="82"/>
      <c r="E8333" s="84"/>
      <c r="F8333" s="84"/>
      <c r="G8333" s="84"/>
      <c r="I8333" s="237"/>
      <c r="J8333" s="238"/>
    </row>
    <row r="8334">
      <c r="C8334" s="82"/>
      <c r="E8334" s="84"/>
      <c r="F8334" s="84"/>
      <c r="G8334" s="84"/>
      <c r="I8334" s="237"/>
      <c r="J8334" s="238"/>
    </row>
    <row r="8335">
      <c r="C8335" s="82"/>
      <c r="E8335" s="84"/>
      <c r="F8335" s="84"/>
      <c r="G8335" s="84"/>
      <c r="I8335" s="237"/>
      <c r="J8335" s="238"/>
    </row>
    <row r="8336">
      <c r="C8336" s="82"/>
      <c r="E8336" s="84"/>
      <c r="F8336" s="84"/>
      <c r="G8336" s="84"/>
      <c r="I8336" s="237"/>
      <c r="J8336" s="238"/>
    </row>
    <row r="8337">
      <c r="C8337" s="82"/>
      <c r="E8337" s="84"/>
      <c r="F8337" s="84"/>
      <c r="G8337" s="84"/>
      <c r="I8337" s="237"/>
      <c r="J8337" s="238"/>
    </row>
    <row r="8338">
      <c r="C8338" s="82"/>
      <c r="E8338" s="84"/>
      <c r="F8338" s="84"/>
      <c r="G8338" s="84"/>
      <c r="I8338" s="237"/>
      <c r="J8338" s="238"/>
    </row>
    <row r="8339">
      <c r="C8339" s="82"/>
      <c r="E8339" s="84"/>
      <c r="F8339" s="84"/>
      <c r="G8339" s="84"/>
      <c r="I8339" s="237"/>
      <c r="J8339" s="238"/>
    </row>
    <row r="8340">
      <c r="C8340" s="82"/>
      <c r="E8340" s="84"/>
      <c r="F8340" s="84"/>
      <c r="G8340" s="84"/>
      <c r="I8340" s="237"/>
      <c r="J8340" s="238"/>
    </row>
    <row r="8341">
      <c r="C8341" s="82"/>
      <c r="E8341" s="84"/>
      <c r="F8341" s="84"/>
      <c r="G8341" s="84"/>
      <c r="I8341" s="237"/>
      <c r="J8341" s="238"/>
    </row>
    <row r="8342">
      <c r="C8342" s="82"/>
      <c r="E8342" s="84"/>
      <c r="F8342" s="84"/>
      <c r="G8342" s="84"/>
      <c r="I8342" s="237"/>
      <c r="J8342" s="238"/>
    </row>
    <row r="8343">
      <c r="C8343" s="82"/>
      <c r="E8343" s="84"/>
      <c r="F8343" s="84"/>
      <c r="G8343" s="84"/>
      <c r="I8343" s="237"/>
      <c r="J8343" s="238"/>
    </row>
    <row r="8344">
      <c r="C8344" s="82"/>
      <c r="E8344" s="84"/>
      <c r="F8344" s="84"/>
      <c r="G8344" s="84"/>
      <c r="I8344" s="237"/>
      <c r="J8344" s="238"/>
    </row>
    <row r="8345">
      <c r="C8345" s="82"/>
      <c r="E8345" s="84"/>
      <c r="F8345" s="84"/>
      <c r="G8345" s="84"/>
      <c r="I8345" s="237"/>
      <c r="J8345" s="238"/>
    </row>
    <row r="8346">
      <c r="C8346" s="82"/>
      <c r="E8346" s="84"/>
      <c r="F8346" s="84"/>
      <c r="G8346" s="84"/>
      <c r="I8346" s="237"/>
      <c r="J8346" s="238"/>
    </row>
    <row r="8347">
      <c r="C8347" s="82"/>
      <c r="E8347" s="84"/>
      <c r="F8347" s="84"/>
      <c r="G8347" s="84"/>
      <c r="I8347" s="237"/>
      <c r="J8347" s="238"/>
    </row>
    <row r="8348">
      <c r="C8348" s="82"/>
      <c r="E8348" s="84"/>
      <c r="F8348" s="84"/>
      <c r="G8348" s="84"/>
      <c r="I8348" s="237"/>
      <c r="J8348" s="238"/>
    </row>
    <row r="8349">
      <c r="C8349" s="82"/>
      <c r="E8349" s="84"/>
      <c r="F8349" s="84"/>
      <c r="G8349" s="84"/>
      <c r="I8349" s="237"/>
      <c r="J8349" s="238"/>
    </row>
    <row r="8350">
      <c r="C8350" s="82"/>
      <c r="E8350" s="84"/>
      <c r="F8350" s="84"/>
      <c r="G8350" s="84"/>
      <c r="I8350" s="237"/>
      <c r="J8350" s="238"/>
    </row>
    <row r="8351">
      <c r="C8351" s="82"/>
      <c r="E8351" s="84"/>
      <c r="F8351" s="84"/>
      <c r="G8351" s="84"/>
      <c r="I8351" s="237"/>
      <c r="J8351" s="238"/>
    </row>
    <row r="8352">
      <c r="C8352" s="82"/>
      <c r="E8352" s="84"/>
      <c r="F8352" s="84"/>
      <c r="G8352" s="84"/>
      <c r="I8352" s="237"/>
      <c r="J8352" s="238"/>
    </row>
    <row r="8353">
      <c r="C8353" s="82"/>
      <c r="E8353" s="84"/>
      <c r="F8353" s="84"/>
      <c r="G8353" s="84"/>
      <c r="I8353" s="237"/>
      <c r="J8353" s="238"/>
    </row>
    <row r="8354">
      <c r="C8354" s="82"/>
      <c r="E8354" s="84"/>
      <c r="F8354" s="84"/>
      <c r="G8354" s="84"/>
      <c r="I8354" s="237"/>
      <c r="J8354" s="238"/>
    </row>
    <row r="8355">
      <c r="C8355" s="82"/>
      <c r="E8355" s="84"/>
      <c r="F8355" s="84"/>
      <c r="G8355" s="84"/>
      <c r="I8355" s="237"/>
      <c r="J8355" s="238"/>
    </row>
    <row r="8356">
      <c r="C8356" s="82"/>
      <c r="E8356" s="84"/>
      <c r="F8356" s="84"/>
      <c r="G8356" s="84"/>
      <c r="I8356" s="237"/>
      <c r="J8356" s="238"/>
    </row>
    <row r="8357">
      <c r="C8357" s="82"/>
      <c r="E8357" s="84"/>
      <c r="F8357" s="84"/>
      <c r="G8357" s="84"/>
      <c r="I8357" s="237"/>
      <c r="J8357" s="238"/>
    </row>
    <row r="8358">
      <c r="C8358" s="82"/>
      <c r="E8358" s="84"/>
      <c r="F8358" s="84"/>
      <c r="G8358" s="84"/>
      <c r="I8358" s="237"/>
      <c r="J8358" s="238"/>
    </row>
    <row r="8359">
      <c r="C8359" s="82"/>
      <c r="E8359" s="84"/>
      <c r="F8359" s="84"/>
      <c r="G8359" s="84"/>
      <c r="I8359" s="237"/>
      <c r="J8359" s="238"/>
    </row>
    <row r="8360">
      <c r="C8360" s="82"/>
      <c r="E8360" s="84"/>
      <c r="F8360" s="84"/>
      <c r="G8360" s="84"/>
      <c r="I8360" s="237"/>
      <c r="J8360" s="238"/>
    </row>
    <row r="8361">
      <c r="C8361" s="82"/>
      <c r="E8361" s="84"/>
      <c r="F8361" s="84"/>
      <c r="G8361" s="84"/>
      <c r="I8361" s="237"/>
      <c r="J8361" s="238"/>
    </row>
    <row r="8362">
      <c r="C8362" s="82"/>
      <c r="E8362" s="84"/>
      <c r="F8362" s="84"/>
      <c r="G8362" s="84"/>
      <c r="I8362" s="237"/>
      <c r="J8362" s="238"/>
    </row>
    <row r="8363">
      <c r="C8363" s="82"/>
      <c r="E8363" s="84"/>
      <c r="F8363" s="84"/>
      <c r="G8363" s="84"/>
      <c r="I8363" s="237"/>
      <c r="J8363" s="238"/>
    </row>
    <row r="8364">
      <c r="C8364" s="82"/>
      <c r="E8364" s="84"/>
      <c r="F8364" s="84"/>
      <c r="G8364" s="84"/>
      <c r="I8364" s="237"/>
      <c r="J8364" s="238"/>
    </row>
    <row r="8365">
      <c r="C8365" s="82"/>
      <c r="E8365" s="84"/>
      <c r="F8365" s="84"/>
      <c r="G8365" s="84"/>
      <c r="I8365" s="237"/>
      <c r="J8365" s="238"/>
    </row>
    <row r="8366">
      <c r="C8366" s="82"/>
      <c r="E8366" s="84"/>
      <c r="F8366" s="84"/>
      <c r="G8366" s="84"/>
      <c r="I8366" s="237"/>
      <c r="J8366" s="238"/>
    </row>
    <row r="8367">
      <c r="C8367" s="82"/>
      <c r="E8367" s="84"/>
      <c r="F8367" s="84"/>
      <c r="G8367" s="84"/>
      <c r="I8367" s="237"/>
      <c r="J8367" s="238"/>
    </row>
    <row r="8368">
      <c r="C8368" s="82"/>
      <c r="E8368" s="84"/>
      <c r="F8368" s="84"/>
      <c r="G8368" s="84"/>
      <c r="I8368" s="237"/>
      <c r="J8368" s="238"/>
    </row>
    <row r="8369">
      <c r="C8369" s="82"/>
      <c r="E8369" s="84"/>
      <c r="F8369" s="84"/>
      <c r="G8369" s="84"/>
      <c r="I8369" s="237"/>
      <c r="J8369" s="238"/>
    </row>
    <row r="8370">
      <c r="C8370" s="82"/>
      <c r="E8370" s="84"/>
      <c r="F8370" s="84"/>
      <c r="G8370" s="84"/>
      <c r="I8370" s="237"/>
      <c r="J8370" s="238"/>
    </row>
    <row r="8371">
      <c r="C8371" s="82"/>
      <c r="E8371" s="84"/>
      <c r="F8371" s="84"/>
      <c r="G8371" s="84"/>
      <c r="I8371" s="237"/>
      <c r="J8371" s="238"/>
    </row>
    <row r="8372">
      <c r="C8372" s="82"/>
      <c r="E8372" s="84"/>
      <c r="F8372" s="84"/>
      <c r="G8372" s="84"/>
      <c r="I8372" s="237"/>
      <c r="J8372" s="238"/>
    </row>
    <row r="8373">
      <c r="C8373" s="82"/>
      <c r="E8373" s="84"/>
      <c r="F8373" s="84"/>
      <c r="G8373" s="84"/>
      <c r="I8373" s="237"/>
      <c r="J8373" s="238"/>
    </row>
    <row r="8374">
      <c r="C8374" s="82"/>
      <c r="E8374" s="84"/>
      <c r="F8374" s="84"/>
      <c r="G8374" s="84"/>
      <c r="I8374" s="237"/>
      <c r="J8374" s="238"/>
    </row>
    <row r="8375">
      <c r="C8375" s="82"/>
      <c r="E8375" s="84"/>
      <c r="F8375" s="84"/>
      <c r="G8375" s="84"/>
      <c r="I8375" s="237"/>
      <c r="J8375" s="238"/>
    </row>
    <row r="8376">
      <c r="C8376" s="82"/>
      <c r="E8376" s="84"/>
      <c r="F8376" s="84"/>
      <c r="G8376" s="84"/>
      <c r="I8376" s="237"/>
      <c r="J8376" s="238"/>
    </row>
    <row r="8377">
      <c r="C8377" s="82"/>
      <c r="E8377" s="84"/>
      <c r="F8377" s="84"/>
      <c r="G8377" s="84"/>
      <c r="I8377" s="237"/>
      <c r="J8377" s="238"/>
    </row>
    <row r="8378">
      <c r="C8378" s="82"/>
      <c r="E8378" s="84"/>
      <c r="F8378" s="84"/>
      <c r="G8378" s="84"/>
      <c r="I8378" s="237"/>
      <c r="J8378" s="238"/>
    </row>
    <row r="8379">
      <c r="C8379" s="82"/>
      <c r="E8379" s="84"/>
      <c r="F8379" s="84"/>
      <c r="G8379" s="84"/>
      <c r="I8379" s="237"/>
      <c r="J8379" s="238"/>
    </row>
    <row r="8380">
      <c r="C8380" s="82"/>
      <c r="E8380" s="84"/>
      <c r="F8380" s="84"/>
      <c r="G8380" s="84"/>
      <c r="I8380" s="237"/>
      <c r="J8380" s="238"/>
    </row>
    <row r="8381">
      <c r="C8381" s="82"/>
      <c r="E8381" s="84"/>
      <c r="F8381" s="84"/>
      <c r="G8381" s="84"/>
      <c r="I8381" s="237"/>
      <c r="J8381" s="238"/>
    </row>
    <row r="8382">
      <c r="C8382" s="82"/>
      <c r="E8382" s="84"/>
      <c r="F8382" s="84"/>
      <c r="G8382" s="84"/>
      <c r="I8382" s="237"/>
      <c r="J8382" s="238"/>
    </row>
    <row r="8383">
      <c r="C8383" s="82"/>
      <c r="E8383" s="84"/>
      <c r="F8383" s="84"/>
      <c r="G8383" s="84"/>
      <c r="I8383" s="237"/>
      <c r="J8383" s="238"/>
    </row>
    <row r="8384">
      <c r="C8384" s="82"/>
      <c r="E8384" s="84"/>
      <c r="F8384" s="84"/>
      <c r="G8384" s="84"/>
      <c r="I8384" s="237"/>
      <c r="J8384" s="238"/>
    </row>
    <row r="8385">
      <c r="C8385" s="82"/>
      <c r="E8385" s="84"/>
      <c r="F8385" s="84"/>
      <c r="G8385" s="84"/>
      <c r="I8385" s="237"/>
      <c r="J8385" s="238"/>
    </row>
    <row r="8386">
      <c r="C8386" s="82"/>
      <c r="E8386" s="84"/>
      <c r="F8386" s="84"/>
      <c r="G8386" s="84"/>
      <c r="I8386" s="237"/>
      <c r="J8386" s="238"/>
    </row>
    <row r="8387">
      <c r="C8387" s="82"/>
      <c r="E8387" s="84"/>
      <c r="F8387" s="84"/>
      <c r="G8387" s="84"/>
      <c r="I8387" s="237"/>
      <c r="J8387" s="238"/>
    </row>
    <row r="8388">
      <c r="C8388" s="82"/>
      <c r="E8388" s="84"/>
      <c r="F8388" s="84"/>
      <c r="G8388" s="84"/>
      <c r="I8388" s="237"/>
      <c r="J8388" s="238"/>
    </row>
    <row r="8389">
      <c r="C8389" s="82"/>
      <c r="E8389" s="84"/>
      <c r="F8389" s="84"/>
      <c r="G8389" s="84"/>
      <c r="I8389" s="237"/>
      <c r="J8389" s="238"/>
    </row>
    <row r="8390">
      <c r="C8390" s="82"/>
      <c r="E8390" s="84"/>
      <c r="F8390" s="84"/>
      <c r="G8390" s="84"/>
      <c r="I8390" s="237"/>
      <c r="J8390" s="238"/>
    </row>
    <row r="8391">
      <c r="C8391" s="82"/>
      <c r="E8391" s="84"/>
      <c r="F8391" s="84"/>
      <c r="G8391" s="84"/>
      <c r="I8391" s="237"/>
      <c r="J8391" s="238"/>
    </row>
    <row r="8392">
      <c r="C8392" s="82"/>
      <c r="E8392" s="84"/>
      <c r="F8392" s="84"/>
      <c r="G8392" s="84"/>
      <c r="I8392" s="237"/>
      <c r="J8392" s="238"/>
    </row>
    <row r="8393">
      <c r="C8393" s="82"/>
      <c r="E8393" s="84"/>
      <c r="F8393" s="84"/>
      <c r="G8393" s="84"/>
      <c r="I8393" s="237"/>
      <c r="J8393" s="238"/>
    </row>
    <row r="8394">
      <c r="C8394" s="82"/>
      <c r="E8394" s="84"/>
      <c r="F8394" s="84"/>
      <c r="G8394" s="84"/>
      <c r="I8394" s="237"/>
      <c r="J8394" s="238"/>
    </row>
    <row r="8395">
      <c r="C8395" s="82"/>
      <c r="E8395" s="84"/>
      <c r="F8395" s="84"/>
      <c r="G8395" s="84"/>
      <c r="I8395" s="237"/>
      <c r="J8395" s="238"/>
    </row>
    <row r="8396">
      <c r="C8396" s="82"/>
      <c r="E8396" s="84"/>
      <c r="F8396" s="84"/>
      <c r="G8396" s="84"/>
      <c r="I8396" s="237"/>
      <c r="J8396" s="238"/>
    </row>
    <row r="8397">
      <c r="C8397" s="82"/>
      <c r="E8397" s="84"/>
      <c r="F8397" s="84"/>
      <c r="G8397" s="84"/>
      <c r="I8397" s="237"/>
      <c r="J8397" s="238"/>
    </row>
    <row r="8398">
      <c r="C8398" s="82"/>
      <c r="E8398" s="84"/>
      <c r="F8398" s="84"/>
      <c r="G8398" s="84"/>
      <c r="I8398" s="237"/>
      <c r="J8398" s="238"/>
    </row>
    <row r="8399">
      <c r="C8399" s="82"/>
      <c r="E8399" s="84"/>
      <c r="F8399" s="84"/>
      <c r="G8399" s="84"/>
      <c r="I8399" s="237"/>
      <c r="J8399" s="238"/>
    </row>
    <row r="8400">
      <c r="C8400" s="82"/>
      <c r="E8400" s="84"/>
      <c r="F8400" s="84"/>
      <c r="G8400" s="84"/>
      <c r="I8400" s="237"/>
      <c r="J8400" s="238"/>
    </row>
    <row r="8401">
      <c r="C8401" s="82"/>
      <c r="E8401" s="84"/>
      <c r="F8401" s="84"/>
      <c r="G8401" s="84"/>
      <c r="I8401" s="237"/>
      <c r="J8401" s="238"/>
    </row>
    <row r="8402">
      <c r="C8402" s="82"/>
      <c r="E8402" s="84"/>
      <c r="F8402" s="84"/>
      <c r="G8402" s="84"/>
      <c r="I8402" s="237"/>
      <c r="J8402" s="238"/>
    </row>
    <row r="8403">
      <c r="C8403" s="82"/>
      <c r="E8403" s="84"/>
      <c r="F8403" s="84"/>
      <c r="G8403" s="84"/>
      <c r="I8403" s="237"/>
      <c r="J8403" s="238"/>
    </row>
    <row r="8404">
      <c r="C8404" s="82"/>
      <c r="E8404" s="84"/>
      <c r="F8404" s="84"/>
      <c r="G8404" s="84"/>
      <c r="I8404" s="237"/>
      <c r="J8404" s="238"/>
    </row>
    <row r="8405">
      <c r="C8405" s="82"/>
      <c r="E8405" s="84"/>
      <c r="F8405" s="84"/>
      <c r="G8405" s="84"/>
      <c r="I8405" s="237"/>
      <c r="J8405" s="238"/>
    </row>
    <row r="8406">
      <c r="C8406" s="82"/>
      <c r="E8406" s="84"/>
      <c r="F8406" s="84"/>
      <c r="G8406" s="84"/>
      <c r="I8406" s="237"/>
      <c r="J8406" s="238"/>
    </row>
    <row r="8407">
      <c r="C8407" s="82"/>
      <c r="E8407" s="84"/>
      <c r="F8407" s="84"/>
      <c r="G8407" s="84"/>
      <c r="I8407" s="237"/>
      <c r="J8407" s="238"/>
    </row>
    <row r="8408">
      <c r="C8408" s="82"/>
      <c r="E8408" s="84"/>
      <c r="F8408" s="84"/>
      <c r="G8408" s="84"/>
      <c r="I8408" s="237"/>
      <c r="J8408" s="238"/>
    </row>
    <row r="8409">
      <c r="C8409" s="82"/>
      <c r="E8409" s="84"/>
      <c r="F8409" s="84"/>
      <c r="G8409" s="84"/>
      <c r="I8409" s="237"/>
      <c r="J8409" s="238"/>
    </row>
    <row r="8410">
      <c r="C8410" s="82"/>
      <c r="E8410" s="84"/>
      <c r="F8410" s="84"/>
      <c r="G8410" s="84"/>
      <c r="I8410" s="237"/>
      <c r="J8410" s="238"/>
    </row>
    <row r="8411">
      <c r="C8411" s="82"/>
      <c r="E8411" s="84"/>
      <c r="F8411" s="84"/>
      <c r="G8411" s="84"/>
      <c r="I8411" s="237"/>
      <c r="J8411" s="238"/>
    </row>
    <row r="8412">
      <c r="C8412" s="82"/>
      <c r="E8412" s="84"/>
      <c r="F8412" s="84"/>
      <c r="G8412" s="84"/>
      <c r="I8412" s="237"/>
      <c r="J8412" s="238"/>
    </row>
    <row r="8413">
      <c r="C8413" s="82"/>
      <c r="E8413" s="84"/>
      <c r="F8413" s="84"/>
      <c r="G8413" s="84"/>
      <c r="I8413" s="237"/>
      <c r="J8413" s="238"/>
    </row>
    <row r="8414">
      <c r="C8414" s="82"/>
      <c r="E8414" s="84"/>
      <c r="F8414" s="84"/>
      <c r="G8414" s="84"/>
      <c r="I8414" s="237"/>
      <c r="J8414" s="238"/>
    </row>
    <row r="8415">
      <c r="C8415" s="82"/>
      <c r="E8415" s="84"/>
      <c r="F8415" s="84"/>
      <c r="G8415" s="84"/>
      <c r="I8415" s="237"/>
      <c r="J8415" s="238"/>
    </row>
    <row r="8416">
      <c r="C8416" s="82"/>
      <c r="E8416" s="84"/>
      <c r="F8416" s="84"/>
      <c r="G8416" s="84"/>
      <c r="I8416" s="237"/>
      <c r="J8416" s="238"/>
    </row>
    <row r="8417">
      <c r="C8417" s="82"/>
      <c r="E8417" s="84"/>
      <c r="F8417" s="84"/>
      <c r="G8417" s="84"/>
      <c r="I8417" s="237"/>
      <c r="J8417" s="238"/>
    </row>
    <row r="8418">
      <c r="C8418" s="82"/>
      <c r="E8418" s="84"/>
      <c r="F8418" s="84"/>
      <c r="G8418" s="84"/>
      <c r="I8418" s="237"/>
      <c r="J8418" s="238"/>
    </row>
    <row r="8419">
      <c r="C8419" s="82"/>
      <c r="E8419" s="84"/>
      <c r="F8419" s="84"/>
      <c r="G8419" s="84"/>
      <c r="I8419" s="237"/>
      <c r="J8419" s="238"/>
    </row>
    <row r="8420">
      <c r="C8420" s="82"/>
      <c r="E8420" s="84"/>
      <c r="F8420" s="84"/>
      <c r="G8420" s="84"/>
      <c r="I8420" s="237"/>
      <c r="J8420" s="238"/>
    </row>
    <row r="8421">
      <c r="C8421" s="82"/>
      <c r="E8421" s="84"/>
      <c r="F8421" s="84"/>
      <c r="G8421" s="84"/>
      <c r="I8421" s="237"/>
      <c r="J8421" s="238"/>
    </row>
    <row r="8422">
      <c r="C8422" s="82"/>
      <c r="E8422" s="84"/>
      <c r="F8422" s="84"/>
      <c r="G8422" s="84"/>
      <c r="I8422" s="237"/>
      <c r="J8422" s="238"/>
    </row>
    <row r="8423">
      <c r="C8423" s="82"/>
      <c r="E8423" s="84"/>
      <c r="F8423" s="84"/>
      <c r="G8423" s="84"/>
      <c r="I8423" s="237"/>
      <c r="J8423" s="238"/>
    </row>
    <row r="8424">
      <c r="C8424" s="82"/>
      <c r="E8424" s="84"/>
      <c r="F8424" s="84"/>
      <c r="G8424" s="84"/>
      <c r="I8424" s="237"/>
      <c r="J8424" s="238"/>
    </row>
    <row r="8425">
      <c r="C8425" s="82"/>
      <c r="E8425" s="84"/>
      <c r="F8425" s="84"/>
      <c r="G8425" s="84"/>
      <c r="I8425" s="237"/>
      <c r="J8425" s="238"/>
    </row>
    <row r="8426">
      <c r="C8426" s="82"/>
      <c r="E8426" s="84"/>
      <c r="F8426" s="84"/>
      <c r="G8426" s="84"/>
      <c r="I8426" s="237"/>
      <c r="J8426" s="238"/>
    </row>
    <row r="8427">
      <c r="C8427" s="82"/>
      <c r="E8427" s="84"/>
      <c r="F8427" s="84"/>
      <c r="G8427" s="84"/>
      <c r="I8427" s="237"/>
      <c r="J8427" s="238"/>
    </row>
    <row r="8428">
      <c r="C8428" s="82"/>
      <c r="E8428" s="84"/>
      <c r="F8428" s="84"/>
      <c r="G8428" s="84"/>
      <c r="I8428" s="237"/>
      <c r="J8428" s="238"/>
    </row>
    <row r="8429">
      <c r="C8429" s="82"/>
      <c r="E8429" s="84"/>
      <c r="F8429" s="84"/>
      <c r="G8429" s="84"/>
      <c r="I8429" s="237"/>
      <c r="J8429" s="238"/>
    </row>
    <row r="8430">
      <c r="C8430" s="82"/>
      <c r="E8430" s="84"/>
      <c r="F8430" s="84"/>
      <c r="G8430" s="84"/>
      <c r="I8430" s="237"/>
      <c r="J8430" s="238"/>
    </row>
    <row r="8431">
      <c r="C8431" s="82"/>
      <c r="E8431" s="84"/>
      <c r="F8431" s="84"/>
      <c r="G8431" s="84"/>
      <c r="I8431" s="237"/>
      <c r="J8431" s="238"/>
    </row>
    <row r="8432">
      <c r="C8432" s="82"/>
      <c r="E8432" s="84"/>
      <c r="F8432" s="84"/>
      <c r="G8432" s="84"/>
      <c r="I8432" s="237"/>
      <c r="J8432" s="238"/>
    </row>
    <row r="8433">
      <c r="C8433" s="82"/>
      <c r="E8433" s="84"/>
      <c r="F8433" s="84"/>
      <c r="G8433" s="84"/>
      <c r="I8433" s="237"/>
      <c r="J8433" s="238"/>
    </row>
    <row r="8434">
      <c r="C8434" s="82"/>
      <c r="E8434" s="84"/>
      <c r="F8434" s="84"/>
      <c r="G8434" s="84"/>
      <c r="I8434" s="237"/>
      <c r="J8434" s="238"/>
    </row>
    <row r="8435">
      <c r="C8435" s="82"/>
      <c r="E8435" s="84"/>
      <c r="F8435" s="84"/>
      <c r="G8435" s="84"/>
      <c r="I8435" s="237"/>
      <c r="J8435" s="238"/>
    </row>
    <row r="8436">
      <c r="C8436" s="82"/>
      <c r="E8436" s="84"/>
      <c r="F8436" s="84"/>
      <c r="G8436" s="84"/>
      <c r="I8436" s="237"/>
      <c r="J8436" s="238"/>
    </row>
    <row r="8437">
      <c r="C8437" s="82"/>
      <c r="E8437" s="84"/>
      <c r="F8437" s="84"/>
      <c r="G8437" s="84"/>
      <c r="I8437" s="237"/>
      <c r="J8437" s="238"/>
    </row>
    <row r="8438">
      <c r="C8438" s="82"/>
      <c r="E8438" s="84"/>
      <c r="F8438" s="84"/>
      <c r="G8438" s="84"/>
      <c r="I8438" s="237"/>
      <c r="J8438" s="238"/>
    </row>
    <row r="8439">
      <c r="C8439" s="82"/>
      <c r="E8439" s="84"/>
      <c r="F8439" s="84"/>
      <c r="G8439" s="84"/>
      <c r="I8439" s="237"/>
      <c r="J8439" s="238"/>
    </row>
    <row r="8440">
      <c r="C8440" s="82"/>
      <c r="E8440" s="84"/>
      <c r="F8440" s="84"/>
      <c r="G8440" s="84"/>
      <c r="I8440" s="237"/>
      <c r="J8440" s="238"/>
    </row>
    <row r="8441">
      <c r="C8441" s="82"/>
      <c r="E8441" s="84"/>
      <c r="F8441" s="84"/>
      <c r="G8441" s="84"/>
      <c r="I8441" s="237"/>
      <c r="J8441" s="238"/>
    </row>
    <row r="8442">
      <c r="C8442" s="82"/>
      <c r="E8442" s="84"/>
      <c r="F8442" s="84"/>
      <c r="G8442" s="84"/>
      <c r="I8442" s="237"/>
      <c r="J8442" s="238"/>
    </row>
    <row r="8443">
      <c r="C8443" s="82"/>
      <c r="E8443" s="84"/>
      <c r="F8443" s="84"/>
      <c r="G8443" s="84"/>
      <c r="I8443" s="237"/>
      <c r="J8443" s="238"/>
    </row>
    <row r="8444">
      <c r="C8444" s="82"/>
      <c r="E8444" s="84"/>
      <c r="F8444" s="84"/>
      <c r="G8444" s="84"/>
      <c r="I8444" s="237"/>
      <c r="J8444" s="238"/>
    </row>
    <row r="8445">
      <c r="C8445" s="82"/>
      <c r="E8445" s="84"/>
      <c r="F8445" s="84"/>
      <c r="G8445" s="84"/>
      <c r="I8445" s="237"/>
      <c r="J8445" s="238"/>
    </row>
    <row r="8446">
      <c r="C8446" s="82"/>
      <c r="E8446" s="84"/>
      <c r="F8446" s="84"/>
      <c r="G8446" s="84"/>
      <c r="I8446" s="237"/>
      <c r="J8446" s="238"/>
    </row>
    <row r="8447">
      <c r="C8447" s="82"/>
      <c r="E8447" s="84"/>
      <c r="F8447" s="84"/>
      <c r="G8447" s="84"/>
      <c r="I8447" s="237"/>
      <c r="J8447" s="238"/>
    </row>
    <row r="8448">
      <c r="C8448" s="82"/>
      <c r="E8448" s="84"/>
      <c r="F8448" s="84"/>
      <c r="G8448" s="84"/>
      <c r="I8448" s="237"/>
      <c r="J8448" s="238"/>
    </row>
    <row r="8449">
      <c r="C8449" s="82"/>
      <c r="E8449" s="84"/>
      <c r="F8449" s="84"/>
      <c r="G8449" s="84"/>
      <c r="I8449" s="237"/>
      <c r="J8449" s="238"/>
    </row>
    <row r="8450">
      <c r="C8450" s="82"/>
      <c r="E8450" s="84"/>
      <c r="F8450" s="84"/>
      <c r="G8450" s="84"/>
      <c r="I8450" s="237"/>
      <c r="J8450" s="238"/>
    </row>
    <row r="8451">
      <c r="C8451" s="82"/>
      <c r="E8451" s="84"/>
      <c r="F8451" s="84"/>
      <c r="G8451" s="84"/>
      <c r="I8451" s="237"/>
      <c r="J8451" s="238"/>
    </row>
    <row r="8452">
      <c r="C8452" s="82"/>
      <c r="E8452" s="84"/>
      <c r="F8452" s="84"/>
      <c r="G8452" s="84"/>
      <c r="I8452" s="237"/>
      <c r="J8452" s="238"/>
    </row>
    <row r="8453">
      <c r="C8453" s="82"/>
      <c r="E8453" s="84"/>
      <c r="F8453" s="84"/>
      <c r="G8453" s="84"/>
      <c r="I8453" s="237"/>
      <c r="J8453" s="238"/>
    </row>
    <row r="8454">
      <c r="C8454" s="82"/>
      <c r="E8454" s="84"/>
      <c r="F8454" s="84"/>
      <c r="G8454" s="84"/>
      <c r="I8454" s="237"/>
      <c r="J8454" s="238"/>
    </row>
    <row r="8455">
      <c r="C8455" s="82"/>
      <c r="E8455" s="84"/>
      <c r="F8455" s="84"/>
      <c r="G8455" s="84"/>
      <c r="I8455" s="237"/>
      <c r="J8455" s="238"/>
    </row>
    <row r="8456">
      <c r="C8456" s="82"/>
      <c r="E8456" s="84"/>
      <c r="F8456" s="84"/>
      <c r="G8456" s="84"/>
      <c r="I8456" s="237"/>
      <c r="J8456" s="238"/>
    </row>
    <row r="8457">
      <c r="C8457" s="82"/>
      <c r="E8457" s="84"/>
      <c r="F8457" s="84"/>
      <c r="G8457" s="84"/>
      <c r="I8457" s="237"/>
      <c r="J8457" s="238"/>
    </row>
    <row r="8458">
      <c r="C8458" s="82"/>
      <c r="E8458" s="84"/>
      <c r="F8458" s="84"/>
      <c r="G8458" s="84"/>
      <c r="I8458" s="237"/>
      <c r="J8458" s="238"/>
    </row>
    <row r="8459">
      <c r="C8459" s="82"/>
      <c r="E8459" s="84"/>
      <c r="F8459" s="84"/>
      <c r="G8459" s="84"/>
      <c r="I8459" s="237"/>
      <c r="J8459" s="238"/>
    </row>
    <row r="8460">
      <c r="C8460" s="82"/>
      <c r="E8460" s="84"/>
      <c r="F8460" s="84"/>
      <c r="G8460" s="84"/>
      <c r="I8460" s="237"/>
      <c r="J8460" s="238"/>
    </row>
    <row r="8461">
      <c r="C8461" s="82"/>
      <c r="E8461" s="84"/>
      <c r="F8461" s="84"/>
      <c r="G8461" s="84"/>
      <c r="I8461" s="237"/>
      <c r="J8461" s="238"/>
    </row>
    <row r="8462">
      <c r="C8462" s="82"/>
      <c r="E8462" s="84"/>
      <c r="F8462" s="84"/>
      <c r="G8462" s="84"/>
      <c r="I8462" s="237"/>
      <c r="J8462" s="238"/>
    </row>
    <row r="8463">
      <c r="C8463" s="82"/>
      <c r="E8463" s="84"/>
      <c r="F8463" s="84"/>
      <c r="G8463" s="84"/>
      <c r="I8463" s="237"/>
      <c r="J8463" s="238"/>
    </row>
    <row r="8464">
      <c r="C8464" s="82"/>
      <c r="E8464" s="84"/>
      <c r="F8464" s="84"/>
      <c r="G8464" s="84"/>
      <c r="I8464" s="237"/>
      <c r="J8464" s="238"/>
    </row>
    <row r="8465">
      <c r="C8465" s="82"/>
      <c r="E8465" s="84"/>
      <c r="F8465" s="84"/>
      <c r="G8465" s="84"/>
      <c r="I8465" s="237"/>
      <c r="J8465" s="238"/>
    </row>
    <row r="8466">
      <c r="C8466" s="82"/>
      <c r="E8466" s="84"/>
      <c r="F8466" s="84"/>
      <c r="G8466" s="84"/>
      <c r="I8466" s="237"/>
      <c r="J8466" s="238"/>
    </row>
    <row r="8467">
      <c r="C8467" s="82"/>
      <c r="E8467" s="84"/>
      <c r="F8467" s="84"/>
      <c r="G8467" s="84"/>
      <c r="I8467" s="237"/>
      <c r="J8467" s="238"/>
    </row>
    <row r="8468">
      <c r="C8468" s="82"/>
      <c r="E8468" s="84"/>
      <c r="F8468" s="84"/>
      <c r="G8468" s="84"/>
      <c r="I8468" s="237"/>
      <c r="J8468" s="238"/>
    </row>
    <row r="8469">
      <c r="C8469" s="82"/>
      <c r="E8469" s="84"/>
      <c r="F8469" s="84"/>
      <c r="G8469" s="84"/>
      <c r="I8469" s="237"/>
      <c r="J8469" s="238"/>
    </row>
    <row r="8470">
      <c r="C8470" s="82"/>
      <c r="E8470" s="84"/>
      <c r="F8470" s="84"/>
      <c r="G8470" s="84"/>
      <c r="I8470" s="237"/>
      <c r="J8470" s="238"/>
    </row>
    <row r="8471">
      <c r="C8471" s="82"/>
      <c r="E8471" s="84"/>
      <c r="F8471" s="84"/>
      <c r="G8471" s="84"/>
      <c r="I8471" s="237"/>
      <c r="J8471" s="238"/>
    </row>
    <row r="8472">
      <c r="C8472" s="82"/>
      <c r="E8472" s="84"/>
      <c r="F8472" s="84"/>
      <c r="G8472" s="84"/>
      <c r="I8472" s="237"/>
      <c r="J8472" s="238"/>
    </row>
    <row r="8473">
      <c r="C8473" s="82"/>
      <c r="E8473" s="84"/>
      <c r="F8473" s="84"/>
      <c r="G8473" s="84"/>
      <c r="I8473" s="237"/>
      <c r="J8473" s="238"/>
    </row>
    <row r="8474">
      <c r="C8474" s="82"/>
      <c r="E8474" s="84"/>
      <c r="F8474" s="84"/>
      <c r="G8474" s="84"/>
      <c r="I8474" s="237"/>
      <c r="J8474" s="238"/>
    </row>
    <row r="8475">
      <c r="C8475" s="82"/>
      <c r="E8475" s="84"/>
      <c r="F8475" s="84"/>
      <c r="G8475" s="84"/>
      <c r="I8475" s="237"/>
      <c r="J8475" s="238"/>
    </row>
    <row r="8476">
      <c r="C8476" s="82"/>
      <c r="E8476" s="84"/>
      <c r="F8476" s="84"/>
      <c r="G8476" s="84"/>
      <c r="I8476" s="237"/>
      <c r="J8476" s="238"/>
    </row>
    <row r="8477">
      <c r="C8477" s="82"/>
      <c r="E8477" s="84"/>
      <c r="F8477" s="84"/>
      <c r="G8477" s="84"/>
      <c r="I8477" s="237"/>
      <c r="J8477" s="238"/>
    </row>
    <row r="8478">
      <c r="C8478" s="82"/>
      <c r="E8478" s="84"/>
      <c r="F8478" s="84"/>
      <c r="G8478" s="84"/>
      <c r="I8478" s="237"/>
      <c r="J8478" s="238"/>
    </row>
    <row r="8479">
      <c r="C8479" s="82"/>
      <c r="E8479" s="84"/>
      <c r="F8479" s="84"/>
      <c r="G8479" s="84"/>
      <c r="I8479" s="237"/>
      <c r="J8479" s="238"/>
    </row>
    <row r="8480">
      <c r="C8480" s="82"/>
      <c r="E8480" s="84"/>
      <c r="F8480" s="84"/>
      <c r="G8480" s="84"/>
      <c r="I8480" s="237"/>
      <c r="J8480" s="238"/>
    </row>
    <row r="8481">
      <c r="C8481" s="82"/>
      <c r="E8481" s="84"/>
      <c r="F8481" s="84"/>
      <c r="G8481" s="84"/>
      <c r="I8481" s="237"/>
      <c r="J8481" s="238"/>
    </row>
    <row r="8482">
      <c r="C8482" s="82"/>
      <c r="E8482" s="84"/>
      <c r="F8482" s="84"/>
      <c r="G8482" s="84"/>
      <c r="I8482" s="237"/>
      <c r="J8482" s="238"/>
    </row>
    <row r="8483">
      <c r="C8483" s="82"/>
      <c r="E8483" s="84"/>
      <c r="F8483" s="84"/>
      <c r="G8483" s="84"/>
      <c r="I8483" s="237"/>
      <c r="J8483" s="238"/>
    </row>
    <row r="8484">
      <c r="C8484" s="82"/>
      <c r="E8484" s="84"/>
      <c r="F8484" s="84"/>
      <c r="G8484" s="84"/>
      <c r="I8484" s="237"/>
      <c r="J8484" s="238"/>
    </row>
    <row r="8485">
      <c r="C8485" s="82"/>
      <c r="E8485" s="84"/>
      <c r="F8485" s="84"/>
      <c r="G8485" s="84"/>
      <c r="I8485" s="237"/>
      <c r="J8485" s="238"/>
    </row>
    <row r="8486">
      <c r="C8486" s="82"/>
      <c r="E8486" s="84"/>
      <c r="F8486" s="84"/>
      <c r="G8486" s="84"/>
      <c r="I8486" s="237"/>
      <c r="J8486" s="238"/>
    </row>
    <row r="8487">
      <c r="C8487" s="82"/>
      <c r="E8487" s="84"/>
      <c r="F8487" s="84"/>
      <c r="G8487" s="84"/>
      <c r="I8487" s="237"/>
      <c r="J8487" s="238"/>
    </row>
    <row r="8488">
      <c r="C8488" s="82"/>
      <c r="E8488" s="84"/>
      <c r="F8488" s="84"/>
      <c r="G8488" s="84"/>
      <c r="I8488" s="237"/>
      <c r="J8488" s="238"/>
    </row>
    <row r="8489">
      <c r="C8489" s="82"/>
      <c r="E8489" s="84"/>
      <c r="F8489" s="84"/>
      <c r="G8489" s="84"/>
      <c r="I8489" s="237"/>
      <c r="J8489" s="238"/>
    </row>
    <row r="8490">
      <c r="C8490" s="82"/>
      <c r="E8490" s="84"/>
      <c r="F8490" s="84"/>
      <c r="G8490" s="84"/>
      <c r="I8490" s="237"/>
      <c r="J8490" s="238"/>
    </row>
    <row r="8491">
      <c r="C8491" s="82"/>
      <c r="E8491" s="84"/>
      <c r="F8491" s="84"/>
      <c r="G8491" s="84"/>
      <c r="I8491" s="237"/>
      <c r="J8491" s="238"/>
    </row>
    <row r="8492">
      <c r="C8492" s="82"/>
      <c r="E8492" s="84"/>
      <c r="F8492" s="84"/>
      <c r="G8492" s="84"/>
      <c r="I8492" s="237"/>
      <c r="J8492" s="238"/>
    </row>
    <row r="8493">
      <c r="C8493" s="82"/>
      <c r="E8493" s="84"/>
      <c r="F8493" s="84"/>
      <c r="G8493" s="84"/>
      <c r="I8493" s="237"/>
      <c r="J8493" s="238"/>
    </row>
    <row r="8494">
      <c r="C8494" s="82"/>
      <c r="E8494" s="84"/>
      <c r="F8494" s="84"/>
      <c r="G8494" s="84"/>
      <c r="I8494" s="237"/>
      <c r="J8494" s="238"/>
    </row>
    <row r="8495">
      <c r="C8495" s="82"/>
      <c r="E8495" s="84"/>
      <c r="F8495" s="84"/>
      <c r="G8495" s="84"/>
      <c r="I8495" s="237"/>
      <c r="J8495" s="238"/>
    </row>
    <row r="8496">
      <c r="C8496" s="82"/>
      <c r="E8496" s="84"/>
      <c r="F8496" s="84"/>
      <c r="G8496" s="84"/>
      <c r="I8496" s="237"/>
      <c r="J8496" s="238"/>
    </row>
    <row r="8497">
      <c r="C8497" s="82"/>
      <c r="E8497" s="84"/>
      <c r="F8497" s="84"/>
      <c r="G8497" s="84"/>
      <c r="I8497" s="237"/>
      <c r="J8497" s="238"/>
    </row>
    <row r="8498">
      <c r="C8498" s="82"/>
      <c r="E8498" s="84"/>
      <c r="F8498" s="84"/>
      <c r="G8498" s="84"/>
      <c r="I8498" s="237"/>
      <c r="J8498" s="238"/>
    </row>
    <row r="8499">
      <c r="C8499" s="82"/>
      <c r="E8499" s="84"/>
      <c r="F8499" s="84"/>
      <c r="G8499" s="84"/>
      <c r="I8499" s="237"/>
      <c r="J8499" s="238"/>
    </row>
    <row r="8500">
      <c r="C8500" s="82"/>
      <c r="E8500" s="84"/>
      <c r="F8500" s="84"/>
      <c r="G8500" s="84"/>
      <c r="I8500" s="237"/>
      <c r="J8500" s="238"/>
    </row>
    <row r="8501">
      <c r="C8501" s="82"/>
      <c r="E8501" s="84"/>
      <c r="F8501" s="84"/>
      <c r="G8501" s="84"/>
      <c r="I8501" s="237"/>
      <c r="J8501" s="238"/>
    </row>
    <row r="8502">
      <c r="C8502" s="82"/>
      <c r="E8502" s="84"/>
      <c r="F8502" s="84"/>
      <c r="G8502" s="84"/>
      <c r="I8502" s="237"/>
      <c r="J8502" s="238"/>
    </row>
    <row r="8503">
      <c r="C8503" s="82"/>
      <c r="E8503" s="84"/>
      <c r="F8503" s="84"/>
      <c r="G8503" s="84"/>
      <c r="I8503" s="237"/>
      <c r="J8503" s="238"/>
    </row>
    <row r="8504">
      <c r="C8504" s="82"/>
      <c r="E8504" s="84"/>
      <c r="F8504" s="84"/>
      <c r="G8504" s="84"/>
      <c r="I8504" s="237"/>
      <c r="J8504" s="238"/>
    </row>
    <row r="8505">
      <c r="C8505" s="82"/>
      <c r="E8505" s="84"/>
      <c r="F8505" s="84"/>
      <c r="G8505" s="84"/>
      <c r="I8505" s="237"/>
      <c r="J8505" s="238"/>
    </row>
    <row r="8506">
      <c r="C8506" s="82"/>
      <c r="E8506" s="84"/>
      <c r="F8506" s="84"/>
      <c r="G8506" s="84"/>
      <c r="I8506" s="237"/>
      <c r="J8506" s="238"/>
    </row>
    <row r="8507">
      <c r="C8507" s="82"/>
      <c r="E8507" s="84"/>
      <c r="F8507" s="84"/>
      <c r="G8507" s="84"/>
      <c r="I8507" s="237"/>
      <c r="J8507" s="238"/>
    </row>
    <row r="8508">
      <c r="C8508" s="82"/>
      <c r="E8508" s="84"/>
      <c r="F8508" s="84"/>
      <c r="G8508" s="84"/>
      <c r="I8508" s="237"/>
      <c r="J8508" s="238"/>
    </row>
    <row r="8509">
      <c r="C8509" s="82"/>
      <c r="E8509" s="84"/>
      <c r="F8509" s="84"/>
      <c r="G8509" s="84"/>
      <c r="I8509" s="237"/>
      <c r="J8509" s="238"/>
    </row>
    <row r="8510">
      <c r="C8510" s="82"/>
      <c r="E8510" s="84"/>
      <c r="F8510" s="84"/>
      <c r="G8510" s="84"/>
      <c r="I8510" s="237"/>
      <c r="J8510" s="238"/>
    </row>
    <row r="8511">
      <c r="C8511" s="82"/>
      <c r="E8511" s="84"/>
      <c r="F8511" s="84"/>
      <c r="G8511" s="84"/>
      <c r="I8511" s="237"/>
      <c r="J8511" s="238"/>
    </row>
    <row r="8512">
      <c r="C8512" s="82"/>
      <c r="E8512" s="84"/>
      <c r="F8512" s="84"/>
      <c r="G8512" s="84"/>
      <c r="I8512" s="237"/>
      <c r="J8512" s="238"/>
    </row>
    <row r="8513">
      <c r="C8513" s="82"/>
      <c r="E8513" s="84"/>
      <c r="F8513" s="84"/>
      <c r="G8513" s="84"/>
      <c r="I8513" s="237"/>
      <c r="J8513" s="238"/>
    </row>
    <row r="8514">
      <c r="C8514" s="82"/>
      <c r="E8514" s="84"/>
      <c r="F8514" s="84"/>
      <c r="G8514" s="84"/>
      <c r="I8514" s="237"/>
      <c r="J8514" s="238"/>
    </row>
    <row r="8515">
      <c r="C8515" s="82"/>
      <c r="E8515" s="84"/>
      <c r="F8515" s="84"/>
      <c r="G8515" s="84"/>
      <c r="I8515" s="237"/>
      <c r="J8515" s="238"/>
    </row>
    <row r="8516">
      <c r="C8516" s="82"/>
      <c r="E8516" s="84"/>
      <c r="F8516" s="84"/>
      <c r="G8516" s="84"/>
      <c r="I8516" s="237"/>
      <c r="J8516" s="238"/>
    </row>
    <row r="8517">
      <c r="C8517" s="82"/>
      <c r="E8517" s="84"/>
      <c r="F8517" s="84"/>
      <c r="G8517" s="84"/>
      <c r="I8517" s="237"/>
      <c r="J8517" s="238"/>
    </row>
    <row r="8518">
      <c r="C8518" s="82"/>
      <c r="E8518" s="84"/>
      <c r="F8518" s="84"/>
      <c r="G8518" s="84"/>
      <c r="I8518" s="237"/>
      <c r="J8518" s="238"/>
    </row>
    <row r="8519">
      <c r="C8519" s="82"/>
      <c r="E8519" s="84"/>
      <c r="F8519" s="84"/>
      <c r="G8519" s="84"/>
      <c r="I8519" s="237"/>
      <c r="J8519" s="238"/>
    </row>
    <row r="8520">
      <c r="C8520" s="82"/>
      <c r="E8520" s="84"/>
      <c r="F8520" s="84"/>
      <c r="G8520" s="84"/>
      <c r="I8520" s="237"/>
      <c r="J8520" s="238"/>
    </row>
    <row r="8521">
      <c r="C8521" s="82"/>
      <c r="E8521" s="84"/>
      <c r="F8521" s="84"/>
      <c r="G8521" s="84"/>
      <c r="I8521" s="237"/>
      <c r="J8521" s="238"/>
    </row>
    <row r="8522">
      <c r="C8522" s="82"/>
      <c r="E8522" s="84"/>
      <c r="F8522" s="84"/>
      <c r="G8522" s="84"/>
      <c r="I8522" s="237"/>
      <c r="J8522" s="238"/>
    </row>
    <row r="8523">
      <c r="C8523" s="82"/>
      <c r="E8523" s="84"/>
      <c r="F8523" s="84"/>
      <c r="G8523" s="84"/>
      <c r="I8523" s="237"/>
      <c r="J8523" s="238"/>
    </row>
    <row r="8524">
      <c r="C8524" s="82"/>
      <c r="E8524" s="84"/>
      <c r="F8524" s="84"/>
      <c r="G8524" s="84"/>
      <c r="I8524" s="237"/>
      <c r="J8524" s="238"/>
    </row>
    <row r="8525">
      <c r="C8525" s="82"/>
      <c r="E8525" s="84"/>
      <c r="F8525" s="84"/>
      <c r="G8525" s="84"/>
      <c r="I8525" s="237"/>
      <c r="J8525" s="238"/>
    </row>
    <row r="8526">
      <c r="C8526" s="82"/>
      <c r="E8526" s="84"/>
      <c r="F8526" s="84"/>
      <c r="G8526" s="84"/>
      <c r="I8526" s="237"/>
      <c r="J8526" s="238"/>
    </row>
    <row r="8527">
      <c r="C8527" s="82"/>
      <c r="E8527" s="84"/>
      <c r="F8527" s="84"/>
      <c r="G8527" s="84"/>
      <c r="I8527" s="237"/>
      <c r="J8527" s="238"/>
    </row>
    <row r="8528">
      <c r="C8528" s="82"/>
      <c r="E8528" s="84"/>
      <c r="F8528" s="84"/>
      <c r="G8528" s="84"/>
      <c r="I8528" s="237"/>
      <c r="J8528" s="238"/>
    </row>
    <row r="8529">
      <c r="C8529" s="82"/>
      <c r="E8529" s="84"/>
      <c r="F8529" s="84"/>
      <c r="G8529" s="84"/>
      <c r="I8529" s="237"/>
      <c r="J8529" s="238"/>
    </row>
    <row r="8530">
      <c r="C8530" s="82"/>
      <c r="E8530" s="84"/>
      <c r="F8530" s="84"/>
      <c r="G8530" s="84"/>
      <c r="I8530" s="237"/>
      <c r="J8530" s="238"/>
    </row>
    <row r="8531">
      <c r="C8531" s="82"/>
      <c r="E8531" s="84"/>
      <c r="F8531" s="84"/>
      <c r="G8531" s="84"/>
      <c r="I8531" s="237"/>
      <c r="J8531" s="238"/>
    </row>
    <row r="8532">
      <c r="C8532" s="82"/>
      <c r="E8532" s="84"/>
      <c r="F8532" s="84"/>
      <c r="G8532" s="84"/>
      <c r="I8532" s="237"/>
      <c r="J8532" s="238"/>
    </row>
    <row r="8533">
      <c r="C8533" s="82"/>
      <c r="E8533" s="84"/>
      <c r="F8533" s="84"/>
      <c r="G8533" s="84"/>
      <c r="I8533" s="237"/>
      <c r="J8533" s="238"/>
    </row>
    <row r="8534">
      <c r="C8534" s="82"/>
      <c r="E8534" s="84"/>
      <c r="F8534" s="84"/>
      <c r="G8534" s="84"/>
      <c r="I8534" s="237"/>
      <c r="J8534" s="238"/>
    </row>
    <row r="8535">
      <c r="C8535" s="82"/>
      <c r="E8535" s="84"/>
      <c r="F8535" s="84"/>
      <c r="G8535" s="84"/>
      <c r="I8535" s="237"/>
      <c r="J8535" s="238"/>
    </row>
    <row r="8536">
      <c r="C8536" s="82"/>
      <c r="E8536" s="84"/>
      <c r="F8536" s="84"/>
      <c r="G8536" s="84"/>
      <c r="I8536" s="237"/>
      <c r="J8536" s="238"/>
    </row>
    <row r="8537">
      <c r="C8537" s="82"/>
      <c r="E8537" s="84"/>
      <c r="F8537" s="84"/>
      <c r="G8537" s="84"/>
      <c r="I8537" s="237"/>
      <c r="J8537" s="238"/>
    </row>
    <row r="8538">
      <c r="C8538" s="82"/>
      <c r="E8538" s="84"/>
      <c r="F8538" s="84"/>
      <c r="G8538" s="84"/>
      <c r="I8538" s="237"/>
      <c r="J8538" s="238"/>
    </row>
    <row r="8539">
      <c r="C8539" s="82"/>
      <c r="E8539" s="84"/>
      <c r="F8539" s="84"/>
      <c r="G8539" s="84"/>
      <c r="I8539" s="237"/>
      <c r="J8539" s="238"/>
    </row>
    <row r="8540">
      <c r="C8540" s="82"/>
      <c r="E8540" s="84"/>
      <c r="F8540" s="84"/>
      <c r="G8540" s="84"/>
      <c r="I8540" s="237"/>
      <c r="J8540" s="238"/>
    </row>
    <row r="8541">
      <c r="C8541" s="82"/>
      <c r="E8541" s="84"/>
      <c r="F8541" s="84"/>
      <c r="G8541" s="84"/>
      <c r="I8541" s="237"/>
      <c r="J8541" s="238"/>
    </row>
    <row r="8542">
      <c r="C8542" s="82"/>
      <c r="E8542" s="84"/>
      <c r="F8542" s="84"/>
      <c r="G8542" s="84"/>
      <c r="I8542" s="237"/>
      <c r="J8542" s="238"/>
    </row>
    <row r="8543">
      <c r="C8543" s="82"/>
      <c r="E8543" s="84"/>
      <c r="F8543" s="84"/>
      <c r="G8543" s="84"/>
      <c r="I8543" s="237"/>
      <c r="J8543" s="238"/>
    </row>
    <row r="8544">
      <c r="C8544" s="82"/>
      <c r="E8544" s="84"/>
      <c r="F8544" s="84"/>
      <c r="G8544" s="84"/>
      <c r="I8544" s="237"/>
      <c r="J8544" s="238"/>
    </row>
    <row r="8545">
      <c r="C8545" s="82"/>
      <c r="E8545" s="84"/>
      <c r="F8545" s="84"/>
      <c r="G8545" s="84"/>
      <c r="I8545" s="237"/>
      <c r="J8545" s="238"/>
    </row>
    <row r="8546">
      <c r="C8546" s="82"/>
      <c r="E8546" s="84"/>
      <c r="F8546" s="84"/>
      <c r="G8546" s="84"/>
      <c r="I8546" s="237"/>
      <c r="J8546" s="238"/>
    </row>
    <row r="8547">
      <c r="C8547" s="82"/>
      <c r="E8547" s="84"/>
      <c r="F8547" s="84"/>
      <c r="G8547" s="84"/>
      <c r="I8547" s="237"/>
      <c r="J8547" s="238"/>
    </row>
    <row r="8548">
      <c r="C8548" s="82"/>
      <c r="E8548" s="84"/>
      <c r="F8548" s="84"/>
      <c r="G8548" s="84"/>
      <c r="I8548" s="237"/>
      <c r="J8548" s="238"/>
    </row>
    <row r="8549">
      <c r="C8549" s="82"/>
      <c r="E8549" s="84"/>
      <c r="F8549" s="84"/>
      <c r="G8549" s="84"/>
      <c r="I8549" s="237"/>
      <c r="J8549" s="238"/>
    </row>
    <row r="8550">
      <c r="C8550" s="82"/>
      <c r="E8550" s="84"/>
      <c r="F8550" s="84"/>
      <c r="G8550" s="84"/>
      <c r="I8550" s="237"/>
      <c r="J8550" s="238"/>
    </row>
    <row r="8551">
      <c r="C8551" s="82"/>
      <c r="E8551" s="84"/>
      <c r="F8551" s="84"/>
      <c r="G8551" s="84"/>
      <c r="I8551" s="237"/>
      <c r="J8551" s="238"/>
    </row>
    <row r="8552">
      <c r="C8552" s="82"/>
      <c r="E8552" s="84"/>
      <c r="F8552" s="84"/>
      <c r="G8552" s="84"/>
      <c r="I8552" s="237"/>
      <c r="J8552" s="238"/>
    </row>
    <row r="8553">
      <c r="C8553" s="82"/>
      <c r="E8553" s="84"/>
      <c r="F8553" s="84"/>
      <c r="G8553" s="84"/>
      <c r="I8553" s="237"/>
      <c r="J8553" s="238"/>
    </row>
    <row r="8554">
      <c r="C8554" s="82"/>
      <c r="E8554" s="84"/>
      <c r="F8554" s="84"/>
      <c r="G8554" s="84"/>
      <c r="I8554" s="237"/>
      <c r="J8554" s="238"/>
    </row>
    <row r="8555">
      <c r="C8555" s="82"/>
      <c r="E8555" s="84"/>
      <c r="F8555" s="84"/>
      <c r="G8555" s="84"/>
      <c r="I8555" s="237"/>
      <c r="J8555" s="238"/>
    </row>
    <row r="8556">
      <c r="C8556" s="82"/>
      <c r="E8556" s="84"/>
      <c r="F8556" s="84"/>
      <c r="G8556" s="84"/>
      <c r="I8556" s="237"/>
      <c r="J8556" s="238"/>
    </row>
    <row r="8557">
      <c r="C8557" s="82"/>
      <c r="E8557" s="84"/>
      <c r="F8557" s="84"/>
      <c r="G8557" s="84"/>
      <c r="I8557" s="237"/>
      <c r="J8557" s="238"/>
    </row>
    <row r="8558">
      <c r="C8558" s="82"/>
      <c r="E8558" s="84"/>
      <c r="F8558" s="84"/>
      <c r="G8558" s="84"/>
      <c r="I8558" s="237"/>
      <c r="J8558" s="238"/>
    </row>
    <row r="8559">
      <c r="C8559" s="82"/>
      <c r="E8559" s="84"/>
      <c r="F8559" s="84"/>
      <c r="G8559" s="84"/>
      <c r="I8559" s="237"/>
      <c r="J8559" s="238"/>
    </row>
    <row r="8560">
      <c r="C8560" s="82"/>
      <c r="E8560" s="84"/>
      <c r="F8560" s="84"/>
      <c r="G8560" s="84"/>
      <c r="I8560" s="237"/>
      <c r="J8560" s="238"/>
    </row>
    <row r="8561">
      <c r="C8561" s="82"/>
      <c r="E8561" s="84"/>
      <c r="F8561" s="84"/>
      <c r="G8561" s="84"/>
      <c r="I8561" s="237"/>
      <c r="J8561" s="238"/>
    </row>
    <row r="8562">
      <c r="C8562" s="82"/>
      <c r="E8562" s="84"/>
      <c r="F8562" s="84"/>
      <c r="G8562" s="84"/>
      <c r="I8562" s="237"/>
      <c r="J8562" s="238"/>
    </row>
    <row r="8563">
      <c r="C8563" s="82"/>
      <c r="E8563" s="84"/>
      <c r="F8563" s="84"/>
      <c r="G8563" s="84"/>
      <c r="I8563" s="237"/>
      <c r="J8563" s="238"/>
    </row>
    <row r="8564">
      <c r="C8564" s="82"/>
      <c r="E8564" s="84"/>
      <c r="F8564" s="84"/>
      <c r="G8564" s="84"/>
      <c r="I8564" s="237"/>
      <c r="J8564" s="238"/>
    </row>
    <row r="8565">
      <c r="C8565" s="82"/>
      <c r="E8565" s="84"/>
      <c r="F8565" s="84"/>
      <c r="G8565" s="84"/>
      <c r="I8565" s="237"/>
      <c r="J8565" s="238"/>
    </row>
    <row r="8566">
      <c r="C8566" s="82"/>
      <c r="E8566" s="84"/>
      <c r="F8566" s="84"/>
      <c r="G8566" s="84"/>
      <c r="I8566" s="237"/>
      <c r="J8566" s="238"/>
    </row>
    <row r="8567">
      <c r="C8567" s="82"/>
      <c r="E8567" s="84"/>
      <c r="F8567" s="84"/>
      <c r="G8567" s="84"/>
      <c r="I8567" s="237"/>
      <c r="J8567" s="238"/>
    </row>
    <row r="8568">
      <c r="C8568" s="82"/>
      <c r="E8568" s="84"/>
      <c r="F8568" s="84"/>
      <c r="G8568" s="84"/>
      <c r="I8568" s="237"/>
      <c r="J8568" s="238"/>
    </row>
    <row r="8569">
      <c r="C8569" s="82"/>
      <c r="E8569" s="84"/>
      <c r="F8569" s="84"/>
      <c r="G8569" s="84"/>
      <c r="I8569" s="237"/>
      <c r="J8569" s="238"/>
    </row>
    <row r="8570">
      <c r="C8570" s="82"/>
      <c r="E8570" s="84"/>
      <c r="F8570" s="84"/>
      <c r="G8570" s="84"/>
      <c r="I8570" s="237"/>
      <c r="J8570" s="238"/>
    </row>
    <row r="8571">
      <c r="C8571" s="82"/>
      <c r="E8571" s="84"/>
      <c r="F8571" s="84"/>
      <c r="G8571" s="84"/>
      <c r="I8571" s="237"/>
      <c r="J8571" s="238"/>
    </row>
    <row r="8572">
      <c r="C8572" s="82"/>
      <c r="E8572" s="84"/>
      <c r="F8572" s="84"/>
      <c r="G8572" s="84"/>
      <c r="I8572" s="237"/>
      <c r="J8572" s="238"/>
    </row>
    <row r="8573">
      <c r="C8573" s="82"/>
      <c r="E8573" s="84"/>
      <c r="F8573" s="84"/>
      <c r="G8573" s="84"/>
      <c r="I8573" s="237"/>
      <c r="J8573" s="238"/>
    </row>
    <row r="8574">
      <c r="C8574" s="82"/>
      <c r="E8574" s="84"/>
      <c r="F8574" s="84"/>
      <c r="G8574" s="84"/>
      <c r="I8574" s="237"/>
      <c r="J8574" s="238"/>
    </row>
    <row r="8575">
      <c r="C8575" s="82"/>
      <c r="E8575" s="84"/>
      <c r="F8575" s="84"/>
      <c r="G8575" s="84"/>
      <c r="I8575" s="237"/>
      <c r="J8575" s="238"/>
    </row>
    <row r="8576">
      <c r="C8576" s="82"/>
      <c r="E8576" s="84"/>
      <c r="F8576" s="84"/>
      <c r="G8576" s="84"/>
      <c r="I8576" s="237"/>
      <c r="J8576" s="238"/>
    </row>
    <row r="8577">
      <c r="C8577" s="82"/>
      <c r="E8577" s="84"/>
      <c r="F8577" s="84"/>
      <c r="G8577" s="84"/>
      <c r="I8577" s="237"/>
      <c r="J8577" s="238"/>
    </row>
    <row r="8578">
      <c r="C8578" s="82"/>
      <c r="E8578" s="84"/>
      <c r="F8578" s="84"/>
      <c r="G8578" s="84"/>
      <c r="I8578" s="237"/>
      <c r="J8578" s="238"/>
    </row>
    <row r="8579">
      <c r="C8579" s="82"/>
      <c r="E8579" s="84"/>
      <c r="F8579" s="84"/>
      <c r="G8579" s="84"/>
      <c r="I8579" s="237"/>
      <c r="J8579" s="238"/>
    </row>
    <row r="8580">
      <c r="C8580" s="82"/>
      <c r="E8580" s="84"/>
      <c r="F8580" s="84"/>
      <c r="G8580" s="84"/>
      <c r="I8580" s="237"/>
      <c r="J8580" s="238"/>
    </row>
    <row r="8581">
      <c r="C8581" s="82"/>
      <c r="E8581" s="84"/>
      <c r="F8581" s="84"/>
      <c r="G8581" s="84"/>
      <c r="I8581" s="237"/>
      <c r="J8581" s="238"/>
    </row>
    <row r="8582">
      <c r="C8582" s="82"/>
      <c r="E8582" s="84"/>
      <c r="F8582" s="84"/>
      <c r="G8582" s="84"/>
      <c r="I8582" s="237"/>
      <c r="J8582" s="238"/>
    </row>
    <row r="8583">
      <c r="C8583" s="82"/>
      <c r="E8583" s="84"/>
      <c r="F8583" s="84"/>
      <c r="G8583" s="84"/>
      <c r="I8583" s="237"/>
      <c r="J8583" s="238"/>
    </row>
    <row r="8584">
      <c r="C8584" s="82"/>
      <c r="E8584" s="84"/>
      <c r="F8584" s="84"/>
      <c r="G8584" s="84"/>
      <c r="I8584" s="237"/>
      <c r="J8584" s="238"/>
    </row>
    <row r="8585">
      <c r="C8585" s="82"/>
      <c r="E8585" s="84"/>
      <c r="F8585" s="84"/>
      <c r="G8585" s="84"/>
      <c r="I8585" s="237"/>
      <c r="J8585" s="238"/>
    </row>
    <row r="8586">
      <c r="C8586" s="82"/>
      <c r="E8586" s="84"/>
      <c r="F8586" s="84"/>
      <c r="G8586" s="84"/>
      <c r="I8586" s="237"/>
      <c r="J8586" s="238"/>
    </row>
    <row r="8587">
      <c r="C8587" s="82"/>
      <c r="E8587" s="84"/>
      <c r="F8587" s="84"/>
      <c r="G8587" s="84"/>
      <c r="I8587" s="237"/>
      <c r="J8587" s="238"/>
    </row>
    <row r="8588">
      <c r="C8588" s="82"/>
      <c r="E8588" s="84"/>
      <c r="F8588" s="84"/>
      <c r="G8588" s="84"/>
      <c r="I8588" s="237"/>
      <c r="J8588" s="238"/>
    </row>
    <row r="8589">
      <c r="C8589" s="82"/>
      <c r="E8589" s="84"/>
      <c r="F8589" s="84"/>
      <c r="G8589" s="84"/>
      <c r="I8589" s="237"/>
      <c r="J8589" s="238"/>
    </row>
    <row r="8590">
      <c r="C8590" s="82"/>
      <c r="E8590" s="84"/>
      <c r="F8590" s="84"/>
      <c r="G8590" s="84"/>
      <c r="I8590" s="237"/>
      <c r="J8590" s="238"/>
    </row>
    <row r="8591">
      <c r="C8591" s="82"/>
      <c r="E8591" s="84"/>
      <c r="F8591" s="84"/>
      <c r="G8591" s="84"/>
      <c r="I8591" s="237"/>
      <c r="J8591" s="238"/>
    </row>
    <row r="8592">
      <c r="C8592" s="82"/>
      <c r="E8592" s="84"/>
      <c r="F8592" s="84"/>
      <c r="G8592" s="84"/>
      <c r="I8592" s="237"/>
      <c r="J8592" s="238"/>
    </row>
    <row r="8593">
      <c r="C8593" s="82"/>
      <c r="E8593" s="84"/>
      <c r="F8593" s="84"/>
      <c r="G8593" s="84"/>
      <c r="I8593" s="237"/>
      <c r="J8593" s="238"/>
    </row>
    <row r="8594">
      <c r="C8594" s="82"/>
      <c r="E8594" s="84"/>
      <c r="F8594" s="84"/>
      <c r="G8594" s="84"/>
      <c r="I8594" s="237"/>
      <c r="J8594" s="238"/>
    </row>
    <row r="8595">
      <c r="C8595" s="82"/>
      <c r="E8595" s="84"/>
      <c r="F8595" s="84"/>
      <c r="G8595" s="84"/>
      <c r="I8595" s="237"/>
      <c r="J8595" s="238"/>
    </row>
    <row r="8596">
      <c r="C8596" s="82"/>
      <c r="E8596" s="84"/>
      <c r="F8596" s="84"/>
      <c r="G8596" s="84"/>
      <c r="I8596" s="237"/>
      <c r="J8596" s="238"/>
    </row>
    <row r="8597">
      <c r="C8597" s="82"/>
      <c r="E8597" s="84"/>
      <c r="F8597" s="84"/>
      <c r="G8597" s="84"/>
      <c r="I8597" s="237"/>
      <c r="J8597" s="238"/>
    </row>
    <row r="8598">
      <c r="C8598" s="82"/>
      <c r="E8598" s="84"/>
      <c r="F8598" s="84"/>
      <c r="G8598" s="84"/>
      <c r="I8598" s="237"/>
      <c r="J8598" s="238"/>
    </row>
    <row r="8599">
      <c r="C8599" s="82"/>
      <c r="E8599" s="84"/>
      <c r="F8599" s="84"/>
      <c r="G8599" s="84"/>
      <c r="I8599" s="237"/>
      <c r="J8599" s="238"/>
    </row>
    <row r="8600">
      <c r="C8600" s="82"/>
      <c r="E8600" s="84"/>
      <c r="F8600" s="84"/>
      <c r="G8600" s="84"/>
      <c r="I8600" s="237"/>
      <c r="J8600" s="238"/>
    </row>
    <row r="8601">
      <c r="C8601" s="82"/>
      <c r="E8601" s="84"/>
      <c r="F8601" s="84"/>
      <c r="G8601" s="84"/>
      <c r="I8601" s="237"/>
      <c r="J8601" s="238"/>
    </row>
    <row r="8602">
      <c r="C8602" s="82"/>
      <c r="E8602" s="84"/>
      <c r="F8602" s="84"/>
      <c r="G8602" s="84"/>
      <c r="I8602" s="237"/>
      <c r="J8602" s="238"/>
    </row>
    <row r="8603">
      <c r="C8603" s="82"/>
      <c r="E8603" s="84"/>
      <c r="F8603" s="84"/>
      <c r="G8603" s="84"/>
      <c r="I8603" s="237"/>
      <c r="J8603" s="238"/>
    </row>
    <row r="8604">
      <c r="C8604" s="82"/>
      <c r="E8604" s="84"/>
      <c r="F8604" s="84"/>
      <c r="G8604" s="84"/>
      <c r="I8604" s="237"/>
      <c r="J8604" s="238"/>
    </row>
    <row r="8605">
      <c r="C8605" s="82"/>
      <c r="E8605" s="84"/>
      <c r="F8605" s="84"/>
      <c r="G8605" s="84"/>
      <c r="I8605" s="237"/>
      <c r="J8605" s="238"/>
    </row>
    <row r="8606">
      <c r="C8606" s="82"/>
      <c r="E8606" s="84"/>
      <c r="F8606" s="84"/>
      <c r="G8606" s="84"/>
      <c r="I8606" s="237"/>
      <c r="J8606" s="238"/>
    </row>
    <row r="8607">
      <c r="C8607" s="82"/>
      <c r="E8607" s="84"/>
      <c r="F8607" s="84"/>
      <c r="G8607" s="84"/>
      <c r="I8607" s="237"/>
      <c r="J8607" s="238"/>
    </row>
    <row r="8608">
      <c r="C8608" s="82"/>
      <c r="E8608" s="84"/>
      <c r="F8608" s="84"/>
      <c r="G8608" s="84"/>
      <c r="I8608" s="237"/>
      <c r="J8608" s="238"/>
    </row>
    <row r="8609">
      <c r="C8609" s="82"/>
      <c r="E8609" s="84"/>
      <c r="F8609" s="84"/>
      <c r="G8609" s="84"/>
      <c r="I8609" s="237"/>
      <c r="J8609" s="238"/>
    </row>
    <row r="8610">
      <c r="C8610" s="82"/>
      <c r="E8610" s="84"/>
      <c r="F8610" s="84"/>
      <c r="G8610" s="84"/>
      <c r="I8610" s="237"/>
      <c r="J8610" s="238"/>
    </row>
    <row r="8611">
      <c r="C8611" s="82"/>
      <c r="E8611" s="84"/>
      <c r="F8611" s="84"/>
      <c r="G8611" s="84"/>
      <c r="I8611" s="237"/>
      <c r="J8611" s="238"/>
    </row>
    <row r="8612">
      <c r="C8612" s="82"/>
      <c r="E8612" s="84"/>
      <c r="F8612" s="84"/>
      <c r="G8612" s="84"/>
      <c r="I8612" s="237"/>
      <c r="J8612" s="238"/>
    </row>
    <row r="8613">
      <c r="C8613" s="82"/>
      <c r="E8613" s="84"/>
      <c r="F8613" s="84"/>
      <c r="G8613" s="84"/>
      <c r="I8613" s="237"/>
      <c r="J8613" s="238"/>
    </row>
    <row r="8614">
      <c r="C8614" s="82"/>
      <c r="E8614" s="84"/>
      <c r="F8614" s="84"/>
      <c r="G8614" s="84"/>
      <c r="I8614" s="237"/>
      <c r="J8614" s="238"/>
    </row>
    <row r="8615">
      <c r="C8615" s="82"/>
      <c r="E8615" s="84"/>
      <c r="F8615" s="84"/>
      <c r="G8615" s="84"/>
      <c r="I8615" s="237"/>
      <c r="J8615" s="238"/>
    </row>
    <row r="8616">
      <c r="C8616" s="82"/>
      <c r="E8616" s="84"/>
      <c r="F8616" s="84"/>
      <c r="G8616" s="84"/>
      <c r="I8616" s="237"/>
      <c r="J8616" s="238"/>
    </row>
    <row r="8617">
      <c r="C8617" s="82"/>
      <c r="E8617" s="84"/>
      <c r="F8617" s="84"/>
      <c r="G8617" s="84"/>
      <c r="I8617" s="237"/>
      <c r="J8617" s="238"/>
    </row>
    <row r="8618">
      <c r="C8618" s="82"/>
      <c r="E8618" s="84"/>
      <c r="F8618" s="84"/>
      <c r="G8618" s="84"/>
      <c r="I8618" s="237"/>
      <c r="J8618" s="238"/>
    </row>
    <row r="8619">
      <c r="C8619" s="82"/>
      <c r="E8619" s="84"/>
      <c r="F8619" s="84"/>
      <c r="G8619" s="84"/>
      <c r="I8619" s="237"/>
      <c r="J8619" s="238"/>
    </row>
    <row r="8620">
      <c r="C8620" s="82"/>
      <c r="E8620" s="84"/>
      <c r="F8620" s="84"/>
      <c r="G8620" s="84"/>
      <c r="I8620" s="237"/>
      <c r="J8620" s="238"/>
    </row>
    <row r="8621">
      <c r="C8621" s="82"/>
      <c r="E8621" s="84"/>
      <c r="F8621" s="84"/>
      <c r="G8621" s="84"/>
      <c r="I8621" s="237"/>
      <c r="J8621" s="238"/>
    </row>
    <row r="8622">
      <c r="C8622" s="82"/>
      <c r="E8622" s="84"/>
      <c r="F8622" s="84"/>
      <c r="G8622" s="84"/>
      <c r="I8622" s="237"/>
      <c r="J8622" s="238"/>
    </row>
    <row r="8623">
      <c r="C8623" s="82"/>
      <c r="E8623" s="84"/>
      <c r="F8623" s="84"/>
      <c r="G8623" s="84"/>
      <c r="I8623" s="237"/>
      <c r="J8623" s="238"/>
    </row>
    <row r="8624">
      <c r="C8624" s="82"/>
      <c r="E8624" s="84"/>
      <c r="F8624" s="84"/>
      <c r="G8624" s="84"/>
      <c r="I8624" s="237"/>
      <c r="J8624" s="238"/>
    </row>
    <row r="8625">
      <c r="C8625" s="82"/>
      <c r="E8625" s="84"/>
      <c r="F8625" s="84"/>
      <c r="G8625" s="84"/>
      <c r="I8625" s="237"/>
      <c r="J8625" s="238"/>
    </row>
    <row r="8626">
      <c r="C8626" s="82"/>
      <c r="E8626" s="84"/>
      <c r="F8626" s="84"/>
      <c r="G8626" s="84"/>
      <c r="I8626" s="237"/>
      <c r="J8626" s="238"/>
    </row>
    <row r="8627">
      <c r="C8627" s="82"/>
      <c r="E8627" s="84"/>
      <c r="F8627" s="84"/>
      <c r="G8627" s="84"/>
      <c r="I8627" s="237"/>
      <c r="J8627" s="238"/>
    </row>
    <row r="8628">
      <c r="C8628" s="82"/>
      <c r="E8628" s="84"/>
      <c r="F8628" s="84"/>
      <c r="G8628" s="84"/>
      <c r="I8628" s="237"/>
      <c r="J8628" s="238"/>
    </row>
    <row r="8629">
      <c r="C8629" s="82"/>
      <c r="E8629" s="84"/>
      <c r="F8629" s="84"/>
      <c r="G8629" s="84"/>
      <c r="I8629" s="237"/>
      <c r="J8629" s="238"/>
    </row>
    <row r="8630">
      <c r="C8630" s="82"/>
      <c r="E8630" s="84"/>
      <c r="F8630" s="84"/>
      <c r="G8630" s="84"/>
      <c r="I8630" s="237"/>
      <c r="J8630" s="238"/>
    </row>
    <row r="8631">
      <c r="C8631" s="82"/>
      <c r="E8631" s="84"/>
      <c r="F8631" s="84"/>
      <c r="G8631" s="84"/>
      <c r="I8631" s="237"/>
      <c r="J8631" s="238"/>
    </row>
    <row r="8632">
      <c r="C8632" s="82"/>
      <c r="E8632" s="84"/>
      <c r="F8632" s="84"/>
      <c r="G8632" s="84"/>
      <c r="I8632" s="237"/>
      <c r="J8632" s="238"/>
    </row>
    <row r="8633">
      <c r="C8633" s="82"/>
      <c r="E8633" s="84"/>
      <c r="F8633" s="84"/>
      <c r="G8633" s="84"/>
      <c r="I8633" s="237"/>
      <c r="J8633" s="238"/>
    </row>
    <row r="8634">
      <c r="C8634" s="82"/>
      <c r="E8634" s="84"/>
      <c r="F8634" s="84"/>
      <c r="G8634" s="84"/>
      <c r="I8634" s="237"/>
      <c r="J8634" s="238"/>
    </row>
    <row r="8635">
      <c r="C8635" s="82"/>
      <c r="E8635" s="84"/>
      <c r="F8635" s="84"/>
      <c r="G8635" s="84"/>
      <c r="I8635" s="237"/>
      <c r="J8635" s="238"/>
    </row>
    <row r="8636">
      <c r="C8636" s="82"/>
      <c r="E8636" s="84"/>
      <c r="F8636" s="84"/>
      <c r="G8636" s="84"/>
      <c r="I8636" s="237"/>
      <c r="J8636" s="238"/>
    </row>
    <row r="8637">
      <c r="C8637" s="82"/>
      <c r="E8637" s="84"/>
      <c r="F8637" s="84"/>
      <c r="G8637" s="84"/>
      <c r="I8637" s="237"/>
      <c r="J8637" s="238"/>
    </row>
    <row r="8638">
      <c r="C8638" s="82"/>
      <c r="E8638" s="84"/>
      <c r="F8638" s="84"/>
      <c r="G8638" s="84"/>
      <c r="I8638" s="237"/>
      <c r="J8638" s="238"/>
    </row>
    <row r="8639">
      <c r="C8639" s="82"/>
      <c r="E8639" s="84"/>
      <c r="F8639" s="84"/>
      <c r="G8639" s="84"/>
      <c r="I8639" s="237"/>
      <c r="J8639" s="238"/>
    </row>
    <row r="8640">
      <c r="C8640" s="82"/>
      <c r="E8640" s="84"/>
      <c r="F8640" s="84"/>
      <c r="G8640" s="84"/>
      <c r="I8640" s="237"/>
      <c r="J8640" s="238"/>
    </row>
    <row r="8641">
      <c r="C8641" s="82"/>
      <c r="E8641" s="84"/>
      <c r="F8641" s="84"/>
      <c r="G8641" s="84"/>
      <c r="I8641" s="237"/>
      <c r="J8641" s="238"/>
    </row>
    <row r="8642">
      <c r="C8642" s="82"/>
      <c r="E8642" s="84"/>
      <c r="F8642" s="84"/>
      <c r="G8642" s="84"/>
      <c r="I8642" s="237"/>
      <c r="J8642" s="238"/>
    </row>
    <row r="8643">
      <c r="C8643" s="82"/>
      <c r="E8643" s="84"/>
      <c r="F8643" s="84"/>
      <c r="G8643" s="84"/>
      <c r="I8643" s="237"/>
      <c r="J8643" s="238"/>
    </row>
    <row r="8644">
      <c r="C8644" s="82"/>
      <c r="E8644" s="84"/>
      <c r="F8644" s="84"/>
      <c r="G8644" s="84"/>
      <c r="I8644" s="237"/>
      <c r="J8644" s="238"/>
    </row>
    <row r="8645">
      <c r="C8645" s="82"/>
      <c r="E8645" s="84"/>
      <c r="F8645" s="84"/>
      <c r="G8645" s="84"/>
      <c r="I8645" s="237"/>
      <c r="J8645" s="238"/>
    </row>
    <row r="8646">
      <c r="C8646" s="82"/>
      <c r="E8646" s="84"/>
      <c r="F8646" s="84"/>
      <c r="G8646" s="84"/>
      <c r="I8646" s="237"/>
      <c r="J8646" s="238"/>
    </row>
    <row r="8647">
      <c r="C8647" s="82"/>
      <c r="E8647" s="84"/>
      <c r="F8647" s="84"/>
      <c r="G8647" s="84"/>
      <c r="I8647" s="237"/>
      <c r="J8647" s="238"/>
    </row>
    <row r="8648">
      <c r="C8648" s="82"/>
      <c r="E8648" s="84"/>
      <c r="F8648" s="84"/>
      <c r="G8648" s="84"/>
      <c r="I8648" s="237"/>
      <c r="J8648" s="238"/>
    </row>
    <row r="8649">
      <c r="C8649" s="82"/>
      <c r="E8649" s="84"/>
      <c r="F8649" s="84"/>
      <c r="G8649" s="84"/>
      <c r="I8649" s="237"/>
      <c r="J8649" s="238"/>
    </row>
    <row r="8650">
      <c r="C8650" s="82"/>
      <c r="E8650" s="84"/>
      <c r="F8650" s="84"/>
      <c r="G8650" s="84"/>
      <c r="I8650" s="237"/>
      <c r="J8650" s="238"/>
    </row>
    <row r="8651">
      <c r="C8651" s="82"/>
      <c r="E8651" s="84"/>
      <c r="F8651" s="84"/>
      <c r="G8651" s="84"/>
      <c r="I8651" s="237"/>
      <c r="J8651" s="238"/>
    </row>
    <row r="8652">
      <c r="C8652" s="82"/>
      <c r="E8652" s="84"/>
      <c r="F8652" s="84"/>
      <c r="G8652" s="84"/>
      <c r="I8652" s="237"/>
      <c r="J8652" s="238"/>
    </row>
    <row r="8653">
      <c r="C8653" s="82"/>
      <c r="E8653" s="84"/>
      <c r="F8653" s="84"/>
      <c r="G8653" s="84"/>
      <c r="I8653" s="237"/>
      <c r="J8653" s="238"/>
    </row>
    <row r="8654">
      <c r="C8654" s="82"/>
      <c r="E8654" s="84"/>
      <c r="F8654" s="84"/>
      <c r="G8654" s="84"/>
      <c r="I8654" s="237"/>
      <c r="J8654" s="238"/>
    </row>
    <row r="8655">
      <c r="C8655" s="82"/>
      <c r="E8655" s="84"/>
      <c r="F8655" s="84"/>
      <c r="G8655" s="84"/>
      <c r="I8655" s="237"/>
      <c r="J8655" s="238"/>
    </row>
    <row r="8656">
      <c r="C8656" s="82"/>
      <c r="E8656" s="84"/>
      <c r="F8656" s="84"/>
      <c r="G8656" s="84"/>
      <c r="I8656" s="237"/>
      <c r="J8656" s="238"/>
    </row>
    <row r="8657">
      <c r="C8657" s="82"/>
      <c r="E8657" s="84"/>
      <c r="F8657" s="84"/>
      <c r="G8657" s="84"/>
      <c r="I8657" s="237"/>
      <c r="J8657" s="238"/>
    </row>
    <row r="8658">
      <c r="C8658" s="82"/>
      <c r="E8658" s="84"/>
      <c r="F8658" s="84"/>
      <c r="G8658" s="84"/>
      <c r="I8658" s="237"/>
      <c r="J8658" s="238"/>
    </row>
    <row r="8659">
      <c r="C8659" s="82"/>
      <c r="E8659" s="84"/>
      <c r="F8659" s="84"/>
      <c r="G8659" s="84"/>
      <c r="I8659" s="237"/>
      <c r="J8659" s="238"/>
    </row>
    <row r="8660">
      <c r="C8660" s="82"/>
      <c r="E8660" s="84"/>
      <c r="F8660" s="84"/>
      <c r="G8660" s="84"/>
      <c r="I8660" s="237"/>
      <c r="J8660" s="238"/>
    </row>
    <row r="8661">
      <c r="C8661" s="82"/>
      <c r="E8661" s="84"/>
      <c r="F8661" s="84"/>
      <c r="G8661" s="84"/>
      <c r="I8661" s="237"/>
      <c r="J8661" s="238"/>
    </row>
    <row r="8662">
      <c r="C8662" s="82"/>
      <c r="E8662" s="84"/>
      <c r="F8662" s="84"/>
      <c r="G8662" s="84"/>
      <c r="I8662" s="237"/>
      <c r="J8662" s="238"/>
    </row>
    <row r="8663">
      <c r="C8663" s="82"/>
      <c r="E8663" s="84"/>
      <c r="F8663" s="84"/>
      <c r="G8663" s="84"/>
      <c r="I8663" s="237"/>
      <c r="J8663" s="238"/>
    </row>
    <row r="8664">
      <c r="C8664" s="82"/>
      <c r="E8664" s="84"/>
      <c r="F8664" s="84"/>
      <c r="G8664" s="84"/>
      <c r="I8664" s="237"/>
      <c r="J8664" s="238"/>
    </row>
    <row r="8665">
      <c r="C8665" s="82"/>
      <c r="E8665" s="84"/>
      <c r="F8665" s="84"/>
      <c r="G8665" s="84"/>
      <c r="I8665" s="237"/>
      <c r="J8665" s="238"/>
    </row>
    <row r="8666">
      <c r="C8666" s="82"/>
      <c r="E8666" s="84"/>
      <c r="F8666" s="84"/>
      <c r="G8666" s="84"/>
      <c r="I8666" s="237"/>
      <c r="J8666" s="238"/>
    </row>
    <row r="8667">
      <c r="C8667" s="82"/>
      <c r="E8667" s="84"/>
      <c r="F8667" s="84"/>
      <c r="G8667" s="84"/>
      <c r="I8667" s="237"/>
      <c r="J8667" s="238"/>
    </row>
    <row r="8668">
      <c r="C8668" s="82"/>
      <c r="E8668" s="84"/>
      <c r="F8668" s="84"/>
      <c r="G8668" s="84"/>
      <c r="I8668" s="237"/>
      <c r="J8668" s="238"/>
    </row>
    <row r="8669">
      <c r="C8669" s="82"/>
      <c r="E8669" s="84"/>
      <c r="F8669" s="84"/>
      <c r="G8669" s="84"/>
      <c r="I8669" s="237"/>
      <c r="J8669" s="238"/>
    </row>
    <row r="8670">
      <c r="C8670" s="82"/>
      <c r="E8670" s="84"/>
      <c r="F8670" s="84"/>
      <c r="G8670" s="84"/>
      <c r="I8670" s="237"/>
      <c r="J8670" s="238"/>
    </row>
    <row r="8671">
      <c r="C8671" s="82"/>
      <c r="E8671" s="84"/>
      <c r="F8671" s="84"/>
      <c r="G8671" s="84"/>
      <c r="I8671" s="237"/>
      <c r="J8671" s="238"/>
    </row>
    <row r="8672">
      <c r="C8672" s="82"/>
      <c r="E8672" s="84"/>
      <c r="F8672" s="84"/>
      <c r="G8672" s="84"/>
      <c r="I8672" s="237"/>
      <c r="J8672" s="238"/>
    </row>
    <row r="8673">
      <c r="C8673" s="82"/>
      <c r="E8673" s="84"/>
      <c r="F8673" s="84"/>
      <c r="G8673" s="84"/>
      <c r="I8673" s="237"/>
      <c r="J8673" s="238"/>
    </row>
    <row r="8674">
      <c r="C8674" s="82"/>
      <c r="E8674" s="84"/>
      <c r="F8674" s="84"/>
      <c r="G8674" s="84"/>
      <c r="I8674" s="237"/>
      <c r="J8674" s="238"/>
    </row>
    <row r="8675">
      <c r="C8675" s="82"/>
      <c r="E8675" s="84"/>
      <c r="F8675" s="84"/>
      <c r="G8675" s="84"/>
      <c r="I8675" s="237"/>
      <c r="J8675" s="238"/>
    </row>
    <row r="8676">
      <c r="C8676" s="82"/>
      <c r="E8676" s="84"/>
      <c r="F8676" s="84"/>
      <c r="G8676" s="84"/>
      <c r="I8676" s="237"/>
      <c r="J8676" s="238"/>
    </row>
    <row r="8677">
      <c r="C8677" s="82"/>
      <c r="E8677" s="84"/>
      <c r="F8677" s="84"/>
      <c r="G8677" s="84"/>
      <c r="I8677" s="237"/>
      <c r="J8677" s="238"/>
    </row>
    <row r="8678">
      <c r="C8678" s="82"/>
      <c r="E8678" s="84"/>
      <c r="F8678" s="84"/>
      <c r="G8678" s="84"/>
      <c r="I8678" s="237"/>
      <c r="J8678" s="238"/>
    </row>
    <row r="8679">
      <c r="C8679" s="82"/>
      <c r="E8679" s="84"/>
      <c r="F8679" s="84"/>
      <c r="G8679" s="84"/>
      <c r="I8679" s="237"/>
      <c r="J8679" s="238"/>
    </row>
    <row r="8680">
      <c r="C8680" s="82"/>
      <c r="E8680" s="84"/>
      <c r="F8680" s="84"/>
      <c r="G8680" s="84"/>
      <c r="I8680" s="237"/>
      <c r="J8680" s="238"/>
    </row>
    <row r="8681">
      <c r="C8681" s="82"/>
      <c r="E8681" s="84"/>
      <c r="F8681" s="84"/>
      <c r="G8681" s="84"/>
      <c r="I8681" s="237"/>
      <c r="J8681" s="238"/>
    </row>
    <row r="8682">
      <c r="C8682" s="82"/>
      <c r="E8682" s="84"/>
      <c r="F8682" s="84"/>
      <c r="G8682" s="84"/>
      <c r="I8682" s="237"/>
      <c r="J8682" s="238"/>
    </row>
    <row r="8683">
      <c r="C8683" s="82"/>
      <c r="E8683" s="84"/>
      <c r="F8683" s="84"/>
      <c r="G8683" s="84"/>
      <c r="I8683" s="237"/>
      <c r="J8683" s="238"/>
    </row>
    <row r="8684">
      <c r="C8684" s="82"/>
      <c r="E8684" s="84"/>
      <c r="F8684" s="84"/>
      <c r="G8684" s="84"/>
      <c r="I8684" s="237"/>
      <c r="J8684" s="238"/>
    </row>
    <row r="8685">
      <c r="C8685" s="82"/>
      <c r="E8685" s="84"/>
      <c r="F8685" s="84"/>
      <c r="G8685" s="84"/>
      <c r="I8685" s="237"/>
      <c r="J8685" s="238"/>
    </row>
    <row r="8686">
      <c r="C8686" s="82"/>
      <c r="E8686" s="84"/>
      <c r="F8686" s="84"/>
      <c r="G8686" s="84"/>
      <c r="I8686" s="237"/>
      <c r="J8686" s="238"/>
    </row>
    <row r="8687">
      <c r="C8687" s="82"/>
      <c r="E8687" s="84"/>
      <c r="F8687" s="84"/>
      <c r="G8687" s="84"/>
      <c r="I8687" s="237"/>
      <c r="J8687" s="238"/>
    </row>
    <row r="8688">
      <c r="C8688" s="82"/>
      <c r="E8688" s="84"/>
      <c r="F8688" s="84"/>
      <c r="G8688" s="84"/>
      <c r="I8688" s="237"/>
      <c r="J8688" s="238"/>
    </row>
    <row r="8689">
      <c r="C8689" s="82"/>
      <c r="E8689" s="84"/>
      <c r="F8689" s="84"/>
      <c r="G8689" s="84"/>
      <c r="I8689" s="237"/>
      <c r="J8689" s="238"/>
    </row>
    <row r="8690">
      <c r="C8690" s="82"/>
      <c r="E8690" s="84"/>
      <c r="F8690" s="84"/>
      <c r="G8690" s="84"/>
      <c r="I8690" s="237"/>
      <c r="J8690" s="238"/>
    </row>
    <row r="8691">
      <c r="C8691" s="82"/>
      <c r="E8691" s="84"/>
      <c r="F8691" s="84"/>
      <c r="G8691" s="84"/>
      <c r="I8691" s="237"/>
      <c r="J8691" s="238"/>
    </row>
    <row r="8692">
      <c r="C8692" s="82"/>
      <c r="E8692" s="84"/>
      <c r="F8692" s="84"/>
      <c r="G8692" s="84"/>
      <c r="I8692" s="237"/>
      <c r="J8692" s="238"/>
    </row>
    <row r="8693">
      <c r="C8693" s="82"/>
      <c r="E8693" s="84"/>
      <c r="F8693" s="84"/>
      <c r="G8693" s="84"/>
      <c r="I8693" s="237"/>
      <c r="J8693" s="238"/>
    </row>
    <row r="8694">
      <c r="C8694" s="82"/>
      <c r="E8694" s="84"/>
      <c r="F8694" s="84"/>
      <c r="G8694" s="84"/>
      <c r="I8694" s="237"/>
      <c r="J8694" s="238"/>
    </row>
    <row r="8695">
      <c r="C8695" s="82"/>
      <c r="E8695" s="84"/>
      <c r="F8695" s="84"/>
      <c r="G8695" s="84"/>
      <c r="I8695" s="237"/>
      <c r="J8695" s="238"/>
    </row>
    <row r="8696">
      <c r="C8696" s="82"/>
      <c r="E8696" s="84"/>
      <c r="F8696" s="84"/>
      <c r="G8696" s="84"/>
      <c r="I8696" s="237"/>
      <c r="J8696" s="238"/>
    </row>
    <row r="8697">
      <c r="C8697" s="82"/>
      <c r="E8697" s="84"/>
      <c r="F8697" s="84"/>
      <c r="G8697" s="84"/>
      <c r="I8697" s="237"/>
      <c r="J8697" s="238"/>
    </row>
    <row r="8698">
      <c r="C8698" s="82"/>
      <c r="E8698" s="84"/>
      <c r="F8698" s="84"/>
      <c r="G8698" s="84"/>
      <c r="I8698" s="237"/>
      <c r="J8698" s="238"/>
    </row>
    <row r="8699">
      <c r="C8699" s="82"/>
      <c r="E8699" s="84"/>
      <c r="F8699" s="84"/>
      <c r="G8699" s="84"/>
      <c r="I8699" s="237"/>
      <c r="J8699" s="238"/>
    </row>
    <row r="8700">
      <c r="C8700" s="82"/>
      <c r="E8700" s="84"/>
      <c r="F8700" s="84"/>
      <c r="G8700" s="84"/>
      <c r="I8700" s="237"/>
      <c r="J8700" s="238"/>
    </row>
    <row r="8701">
      <c r="C8701" s="82"/>
      <c r="E8701" s="84"/>
      <c r="F8701" s="84"/>
      <c r="G8701" s="84"/>
      <c r="I8701" s="237"/>
      <c r="J8701" s="238"/>
    </row>
    <row r="8702">
      <c r="C8702" s="82"/>
      <c r="E8702" s="84"/>
      <c r="F8702" s="84"/>
      <c r="G8702" s="84"/>
      <c r="I8702" s="237"/>
      <c r="J8702" s="238"/>
    </row>
    <row r="8703">
      <c r="C8703" s="82"/>
      <c r="E8703" s="84"/>
      <c r="F8703" s="84"/>
      <c r="G8703" s="84"/>
      <c r="I8703" s="237"/>
      <c r="J8703" s="238"/>
    </row>
    <row r="8704">
      <c r="C8704" s="82"/>
      <c r="E8704" s="84"/>
      <c r="F8704" s="84"/>
      <c r="G8704" s="84"/>
      <c r="I8704" s="237"/>
      <c r="J8704" s="238"/>
    </row>
    <row r="8705">
      <c r="C8705" s="82"/>
      <c r="E8705" s="84"/>
      <c r="F8705" s="84"/>
      <c r="G8705" s="84"/>
      <c r="I8705" s="237"/>
      <c r="J8705" s="238"/>
    </row>
    <row r="8706">
      <c r="C8706" s="82"/>
      <c r="E8706" s="84"/>
      <c r="F8706" s="84"/>
      <c r="G8706" s="84"/>
      <c r="I8706" s="237"/>
      <c r="J8706" s="238"/>
    </row>
    <row r="8707">
      <c r="C8707" s="82"/>
      <c r="E8707" s="84"/>
      <c r="F8707" s="84"/>
      <c r="G8707" s="84"/>
      <c r="I8707" s="237"/>
      <c r="J8707" s="238"/>
    </row>
    <row r="8708">
      <c r="C8708" s="82"/>
      <c r="E8708" s="84"/>
      <c r="F8708" s="84"/>
      <c r="G8708" s="84"/>
      <c r="I8708" s="237"/>
      <c r="J8708" s="238"/>
    </row>
    <row r="8709">
      <c r="C8709" s="82"/>
      <c r="E8709" s="84"/>
      <c r="F8709" s="84"/>
      <c r="G8709" s="84"/>
      <c r="I8709" s="237"/>
      <c r="J8709" s="238"/>
    </row>
    <row r="8710">
      <c r="C8710" s="82"/>
      <c r="E8710" s="84"/>
      <c r="F8710" s="84"/>
      <c r="G8710" s="84"/>
      <c r="I8710" s="237"/>
      <c r="J8710" s="238"/>
    </row>
    <row r="8711">
      <c r="C8711" s="82"/>
      <c r="E8711" s="84"/>
      <c r="F8711" s="84"/>
      <c r="G8711" s="84"/>
      <c r="I8711" s="237"/>
      <c r="J8711" s="238"/>
    </row>
    <row r="8712">
      <c r="C8712" s="82"/>
      <c r="E8712" s="84"/>
      <c r="F8712" s="84"/>
      <c r="G8712" s="84"/>
      <c r="I8712" s="237"/>
      <c r="J8712" s="238"/>
    </row>
    <row r="8713">
      <c r="C8713" s="82"/>
      <c r="E8713" s="84"/>
      <c r="F8713" s="84"/>
      <c r="G8713" s="84"/>
      <c r="I8713" s="237"/>
      <c r="J8713" s="238"/>
    </row>
    <row r="8714">
      <c r="C8714" s="82"/>
      <c r="E8714" s="84"/>
      <c r="F8714" s="84"/>
      <c r="G8714" s="84"/>
      <c r="I8714" s="237"/>
      <c r="J8714" s="238"/>
    </row>
    <row r="8715">
      <c r="C8715" s="82"/>
      <c r="E8715" s="84"/>
      <c r="F8715" s="84"/>
      <c r="G8715" s="84"/>
      <c r="I8715" s="237"/>
      <c r="J8715" s="238"/>
    </row>
    <row r="8716">
      <c r="C8716" s="82"/>
      <c r="E8716" s="84"/>
      <c r="F8716" s="84"/>
      <c r="G8716" s="84"/>
      <c r="I8716" s="237"/>
      <c r="J8716" s="238"/>
    </row>
    <row r="8717">
      <c r="C8717" s="82"/>
      <c r="E8717" s="84"/>
      <c r="F8717" s="84"/>
      <c r="G8717" s="84"/>
      <c r="I8717" s="237"/>
      <c r="J8717" s="238"/>
    </row>
    <row r="8718">
      <c r="C8718" s="82"/>
      <c r="E8718" s="84"/>
      <c r="F8718" s="84"/>
      <c r="G8718" s="84"/>
      <c r="I8718" s="237"/>
      <c r="J8718" s="238"/>
    </row>
    <row r="8719">
      <c r="C8719" s="82"/>
      <c r="E8719" s="84"/>
      <c r="F8719" s="84"/>
      <c r="G8719" s="84"/>
      <c r="I8719" s="237"/>
      <c r="J8719" s="238"/>
    </row>
    <row r="8720">
      <c r="C8720" s="82"/>
      <c r="E8720" s="84"/>
      <c r="F8720" s="84"/>
      <c r="G8720" s="84"/>
      <c r="I8720" s="237"/>
      <c r="J8720" s="238"/>
    </row>
    <row r="8721">
      <c r="C8721" s="82"/>
      <c r="E8721" s="84"/>
      <c r="F8721" s="84"/>
      <c r="G8721" s="84"/>
      <c r="I8721" s="237"/>
      <c r="J8721" s="238"/>
    </row>
    <row r="8722">
      <c r="C8722" s="82"/>
      <c r="E8722" s="84"/>
      <c r="F8722" s="84"/>
      <c r="G8722" s="84"/>
      <c r="I8722" s="237"/>
      <c r="J8722" s="238"/>
    </row>
    <row r="8723">
      <c r="C8723" s="82"/>
      <c r="E8723" s="84"/>
      <c r="F8723" s="84"/>
      <c r="G8723" s="84"/>
      <c r="I8723" s="237"/>
      <c r="J8723" s="238"/>
    </row>
    <row r="8724">
      <c r="C8724" s="82"/>
      <c r="E8724" s="84"/>
      <c r="F8724" s="84"/>
      <c r="G8724" s="84"/>
      <c r="I8724" s="237"/>
      <c r="J8724" s="238"/>
    </row>
    <row r="8725">
      <c r="C8725" s="82"/>
      <c r="E8725" s="84"/>
      <c r="F8725" s="84"/>
      <c r="G8725" s="84"/>
      <c r="I8725" s="237"/>
      <c r="J8725" s="238"/>
    </row>
    <row r="8726">
      <c r="C8726" s="82"/>
      <c r="E8726" s="84"/>
      <c r="F8726" s="84"/>
      <c r="G8726" s="84"/>
      <c r="I8726" s="237"/>
      <c r="J8726" s="238"/>
    </row>
    <row r="8727">
      <c r="C8727" s="82"/>
      <c r="E8727" s="84"/>
      <c r="F8727" s="84"/>
      <c r="G8727" s="84"/>
      <c r="I8727" s="237"/>
      <c r="J8727" s="238"/>
    </row>
    <row r="8728">
      <c r="C8728" s="82"/>
      <c r="E8728" s="84"/>
      <c r="F8728" s="84"/>
      <c r="G8728" s="84"/>
      <c r="I8728" s="237"/>
      <c r="J8728" s="238"/>
    </row>
    <row r="8729">
      <c r="C8729" s="82"/>
      <c r="E8729" s="84"/>
      <c r="F8729" s="84"/>
      <c r="G8729" s="84"/>
      <c r="I8729" s="237"/>
      <c r="J8729" s="238"/>
    </row>
    <row r="8730">
      <c r="C8730" s="82"/>
      <c r="E8730" s="84"/>
      <c r="F8730" s="84"/>
      <c r="G8730" s="84"/>
      <c r="I8730" s="237"/>
      <c r="J8730" s="238"/>
    </row>
    <row r="8731">
      <c r="C8731" s="82"/>
      <c r="E8731" s="84"/>
      <c r="F8731" s="84"/>
      <c r="G8731" s="84"/>
      <c r="I8731" s="237"/>
      <c r="J8731" s="238"/>
    </row>
    <row r="8732">
      <c r="C8732" s="82"/>
      <c r="E8732" s="84"/>
      <c r="F8732" s="84"/>
      <c r="G8732" s="84"/>
      <c r="I8732" s="237"/>
      <c r="J8732" s="238"/>
    </row>
    <row r="8733">
      <c r="C8733" s="82"/>
      <c r="E8733" s="84"/>
      <c r="F8733" s="84"/>
      <c r="G8733" s="84"/>
      <c r="I8733" s="237"/>
      <c r="J8733" s="238"/>
    </row>
    <row r="8734">
      <c r="C8734" s="82"/>
      <c r="E8734" s="84"/>
      <c r="F8734" s="84"/>
      <c r="G8734" s="84"/>
      <c r="I8734" s="237"/>
      <c r="J8734" s="238"/>
    </row>
    <row r="8735">
      <c r="C8735" s="82"/>
      <c r="E8735" s="84"/>
      <c r="F8735" s="84"/>
      <c r="G8735" s="84"/>
      <c r="I8735" s="237"/>
      <c r="J8735" s="238"/>
    </row>
    <row r="8736">
      <c r="C8736" s="82"/>
      <c r="E8736" s="84"/>
      <c r="F8736" s="84"/>
      <c r="G8736" s="84"/>
      <c r="I8736" s="237"/>
      <c r="J8736" s="238"/>
    </row>
    <row r="8737">
      <c r="C8737" s="82"/>
      <c r="E8737" s="84"/>
      <c r="F8737" s="84"/>
      <c r="G8737" s="84"/>
      <c r="I8737" s="237"/>
      <c r="J8737" s="238"/>
    </row>
    <row r="8738">
      <c r="C8738" s="82"/>
      <c r="E8738" s="84"/>
      <c r="F8738" s="84"/>
      <c r="G8738" s="84"/>
      <c r="I8738" s="237"/>
      <c r="J8738" s="238"/>
    </row>
    <row r="8739">
      <c r="C8739" s="82"/>
      <c r="E8739" s="84"/>
      <c r="F8739" s="84"/>
      <c r="G8739" s="84"/>
      <c r="I8739" s="237"/>
      <c r="J8739" s="238"/>
    </row>
    <row r="8740">
      <c r="C8740" s="82"/>
      <c r="E8740" s="84"/>
      <c r="F8740" s="84"/>
      <c r="G8740" s="84"/>
      <c r="I8740" s="237"/>
      <c r="J8740" s="238"/>
    </row>
    <row r="8741">
      <c r="C8741" s="82"/>
      <c r="E8741" s="84"/>
      <c r="F8741" s="84"/>
      <c r="G8741" s="84"/>
      <c r="I8741" s="237"/>
      <c r="J8741" s="238"/>
    </row>
    <row r="8742">
      <c r="C8742" s="82"/>
      <c r="E8742" s="84"/>
      <c r="F8742" s="84"/>
      <c r="G8742" s="84"/>
      <c r="I8742" s="237"/>
      <c r="J8742" s="238"/>
    </row>
    <row r="8743">
      <c r="C8743" s="82"/>
      <c r="E8743" s="84"/>
      <c r="F8743" s="84"/>
      <c r="G8743" s="84"/>
      <c r="I8743" s="237"/>
      <c r="J8743" s="238"/>
    </row>
    <row r="8744">
      <c r="C8744" s="82"/>
      <c r="E8744" s="84"/>
      <c r="F8744" s="84"/>
      <c r="G8744" s="84"/>
      <c r="I8744" s="237"/>
      <c r="J8744" s="238"/>
    </row>
    <row r="8745">
      <c r="C8745" s="82"/>
      <c r="E8745" s="84"/>
      <c r="F8745" s="84"/>
      <c r="G8745" s="84"/>
      <c r="I8745" s="237"/>
      <c r="J8745" s="238"/>
    </row>
    <row r="8746">
      <c r="C8746" s="82"/>
      <c r="E8746" s="84"/>
      <c r="F8746" s="84"/>
      <c r="G8746" s="84"/>
      <c r="I8746" s="237"/>
      <c r="J8746" s="238"/>
    </row>
    <row r="8747">
      <c r="C8747" s="82"/>
      <c r="E8747" s="84"/>
      <c r="F8747" s="84"/>
      <c r="G8747" s="84"/>
      <c r="I8747" s="237"/>
      <c r="J8747" s="238"/>
    </row>
    <row r="8748">
      <c r="C8748" s="82"/>
      <c r="E8748" s="84"/>
      <c r="F8748" s="84"/>
      <c r="G8748" s="84"/>
      <c r="I8748" s="237"/>
      <c r="J8748" s="238"/>
    </row>
    <row r="8749">
      <c r="C8749" s="82"/>
      <c r="E8749" s="84"/>
      <c r="F8749" s="84"/>
      <c r="G8749" s="84"/>
      <c r="I8749" s="237"/>
      <c r="J8749" s="238"/>
    </row>
    <row r="8750">
      <c r="C8750" s="82"/>
      <c r="E8750" s="84"/>
      <c r="F8750" s="84"/>
      <c r="G8750" s="84"/>
      <c r="I8750" s="237"/>
      <c r="J8750" s="238"/>
    </row>
    <row r="8751">
      <c r="C8751" s="82"/>
      <c r="E8751" s="84"/>
      <c r="F8751" s="84"/>
      <c r="G8751" s="84"/>
      <c r="I8751" s="237"/>
      <c r="J8751" s="238"/>
    </row>
    <row r="8752">
      <c r="C8752" s="82"/>
      <c r="E8752" s="84"/>
      <c r="F8752" s="84"/>
      <c r="G8752" s="84"/>
      <c r="I8752" s="237"/>
      <c r="J8752" s="238"/>
    </row>
    <row r="8753">
      <c r="C8753" s="82"/>
      <c r="E8753" s="84"/>
      <c r="F8753" s="84"/>
      <c r="G8753" s="84"/>
      <c r="I8753" s="237"/>
      <c r="J8753" s="238"/>
    </row>
    <row r="8754">
      <c r="C8754" s="82"/>
      <c r="E8754" s="84"/>
      <c r="F8754" s="84"/>
      <c r="G8754" s="84"/>
      <c r="I8754" s="237"/>
      <c r="J8754" s="238"/>
    </row>
    <row r="8755">
      <c r="C8755" s="82"/>
      <c r="E8755" s="84"/>
      <c r="F8755" s="84"/>
      <c r="G8755" s="84"/>
      <c r="I8755" s="237"/>
      <c r="J8755" s="238"/>
    </row>
    <row r="8756">
      <c r="C8756" s="82"/>
      <c r="E8756" s="84"/>
      <c r="F8756" s="84"/>
      <c r="G8756" s="84"/>
      <c r="I8756" s="237"/>
      <c r="J8756" s="238"/>
    </row>
    <row r="8757">
      <c r="C8757" s="82"/>
      <c r="E8757" s="84"/>
      <c r="F8757" s="84"/>
      <c r="G8757" s="84"/>
      <c r="I8757" s="237"/>
      <c r="J8757" s="238"/>
    </row>
    <row r="8758">
      <c r="C8758" s="82"/>
      <c r="E8758" s="84"/>
      <c r="F8758" s="84"/>
      <c r="G8758" s="84"/>
      <c r="I8758" s="237"/>
      <c r="J8758" s="238"/>
    </row>
    <row r="8759">
      <c r="C8759" s="82"/>
      <c r="E8759" s="84"/>
      <c r="F8759" s="84"/>
      <c r="G8759" s="84"/>
      <c r="I8759" s="237"/>
      <c r="J8759" s="238"/>
    </row>
    <row r="8760">
      <c r="C8760" s="82"/>
      <c r="E8760" s="84"/>
      <c r="F8760" s="84"/>
      <c r="G8760" s="84"/>
      <c r="I8760" s="237"/>
      <c r="J8760" s="238"/>
    </row>
    <row r="8761">
      <c r="C8761" s="82"/>
      <c r="E8761" s="84"/>
      <c r="F8761" s="84"/>
      <c r="G8761" s="84"/>
      <c r="I8761" s="237"/>
      <c r="J8761" s="238"/>
    </row>
    <row r="8762">
      <c r="C8762" s="82"/>
      <c r="E8762" s="84"/>
      <c r="F8762" s="84"/>
      <c r="G8762" s="84"/>
      <c r="I8762" s="237"/>
      <c r="J8762" s="238"/>
    </row>
    <row r="8763">
      <c r="C8763" s="82"/>
      <c r="E8763" s="84"/>
      <c r="F8763" s="84"/>
      <c r="G8763" s="84"/>
      <c r="I8763" s="237"/>
      <c r="J8763" s="238"/>
    </row>
    <row r="8764">
      <c r="C8764" s="82"/>
      <c r="E8764" s="84"/>
      <c r="F8764" s="84"/>
      <c r="G8764" s="84"/>
      <c r="I8764" s="237"/>
      <c r="J8764" s="238"/>
    </row>
    <row r="8765">
      <c r="C8765" s="82"/>
      <c r="E8765" s="84"/>
      <c r="F8765" s="84"/>
      <c r="G8765" s="84"/>
      <c r="I8765" s="237"/>
      <c r="J8765" s="238"/>
    </row>
    <row r="8766">
      <c r="C8766" s="82"/>
      <c r="E8766" s="84"/>
      <c r="F8766" s="84"/>
      <c r="G8766" s="84"/>
      <c r="I8766" s="237"/>
      <c r="J8766" s="238"/>
    </row>
    <row r="8767">
      <c r="C8767" s="82"/>
      <c r="E8767" s="84"/>
      <c r="F8767" s="84"/>
      <c r="G8767" s="84"/>
      <c r="I8767" s="237"/>
      <c r="J8767" s="238"/>
    </row>
    <row r="8768">
      <c r="C8768" s="82"/>
      <c r="E8768" s="84"/>
      <c r="F8768" s="84"/>
      <c r="G8768" s="84"/>
      <c r="I8768" s="237"/>
      <c r="J8768" s="238"/>
    </row>
    <row r="8769">
      <c r="C8769" s="82"/>
      <c r="E8769" s="84"/>
      <c r="F8769" s="84"/>
      <c r="G8769" s="84"/>
      <c r="I8769" s="237"/>
      <c r="J8769" s="238"/>
    </row>
    <row r="8770">
      <c r="C8770" s="82"/>
      <c r="E8770" s="84"/>
      <c r="F8770" s="84"/>
      <c r="G8770" s="84"/>
      <c r="I8770" s="237"/>
      <c r="J8770" s="238"/>
    </row>
    <row r="8771">
      <c r="C8771" s="82"/>
      <c r="E8771" s="84"/>
      <c r="F8771" s="84"/>
      <c r="G8771" s="84"/>
      <c r="I8771" s="237"/>
      <c r="J8771" s="238"/>
    </row>
    <row r="8772">
      <c r="C8772" s="82"/>
      <c r="E8772" s="84"/>
      <c r="F8772" s="84"/>
      <c r="G8772" s="84"/>
      <c r="I8772" s="237"/>
      <c r="J8772" s="238"/>
    </row>
    <row r="8773">
      <c r="C8773" s="82"/>
      <c r="E8773" s="84"/>
      <c r="F8773" s="84"/>
      <c r="G8773" s="84"/>
      <c r="I8773" s="237"/>
      <c r="J8773" s="238"/>
    </row>
    <row r="8774">
      <c r="C8774" s="82"/>
      <c r="E8774" s="84"/>
      <c r="F8774" s="84"/>
      <c r="G8774" s="84"/>
      <c r="I8774" s="237"/>
      <c r="J8774" s="238"/>
    </row>
    <row r="8775">
      <c r="C8775" s="82"/>
      <c r="E8775" s="84"/>
      <c r="F8775" s="84"/>
      <c r="G8775" s="84"/>
      <c r="I8775" s="237"/>
      <c r="J8775" s="238"/>
    </row>
    <row r="8776">
      <c r="C8776" s="82"/>
      <c r="E8776" s="84"/>
      <c r="F8776" s="84"/>
      <c r="G8776" s="84"/>
      <c r="I8776" s="237"/>
      <c r="J8776" s="238"/>
    </row>
    <row r="8777">
      <c r="C8777" s="82"/>
      <c r="E8777" s="84"/>
      <c r="F8777" s="84"/>
      <c r="G8777" s="84"/>
      <c r="I8777" s="237"/>
      <c r="J8777" s="238"/>
    </row>
    <row r="8778">
      <c r="C8778" s="82"/>
      <c r="E8778" s="84"/>
      <c r="F8778" s="84"/>
      <c r="G8778" s="84"/>
      <c r="I8778" s="237"/>
      <c r="J8778" s="238"/>
    </row>
    <row r="8779">
      <c r="C8779" s="82"/>
      <c r="E8779" s="84"/>
      <c r="F8779" s="84"/>
      <c r="G8779" s="84"/>
      <c r="I8779" s="237"/>
      <c r="J8779" s="238"/>
    </row>
    <row r="8780">
      <c r="C8780" s="82"/>
      <c r="E8780" s="84"/>
      <c r="F8780" s="84"/>
      <c r="G8780" s="84"/>
      <c r="I8780" s="237"/>
      <c r="J8780" s="238"/>
    </row>
    <row r="8781">
      <c r="C8781" s="82"/>
      <c r="E8781" s="84"/>
      <c r="F8781" s="84"/>
      <c r="G8781" s="84"/>
      <c r="I8781" s="237"/>
      <c r="J8781" s="238"/>
    </row>
    <row r="8782">
      <c r="C8782" s="82"/>
      <c r="E8782" s="84"/>
      <c r="F8782" s="84"/>
      <c r="G8782" s="84"/>
      <c r="I8782" s="237"/>
      <c r="J8782" s="238"/>
    </row>
    <row r="8783">
      <c r="C8783" s="82"/>
      <c r="E8783" s="84"/>
      <c r="F8783" s="84"/>
      <c r="G8783" s="84"/>
      <c r="I8783" s="237"/>
      <c r="J8783" s="238"/>
    </row>
    <row r="8784">
      <c r="C8784" s="82"/>
      <c r="E8784" s="84"/>
      <c r="F8784" s="84"/>
      <c r="G8784" s="84"/>
      <c r="I8784" s="237"/>
      <c r="J8784" s="238"/>
    </row>
    <row r="8785">
      <c r="C8785" s="82"/>
      <c r="E8785" s="84"/>
      <c r="F8785" s="84"/>
      <c r="G8785" s="84"/>
      <c r="I8785" s="237"/>
      <c r="J8785" s="238"/>
    </row>
    <row r="8786">
      <c r="C8786" s="82"/>
      <c r="E8786" s="84"/>
      <c r="F8786" s="84"/>
      <c r="G8786" s="84"/>
      <c r="I8786" s="237"/>
      <c r="J8786" s="238"/>
    </row>
    <row r="8787">
      <c r="C8787" s="82"/>
      <c r="E8787" s="84"/>
      <c r="F8787" s="84"/>
      <c r="G8787" s="84"/>
      <c r="I8787" s="237"/>
      <c r="J8787" s="238"/>
    </row>
    <row r="8788">
      <c r="C8788" s="82"/>
      <c r="E8788" s="84"/>
      <c r="F8788" s="84"/>
      <c r="G8788" s="84"/>
      <c r="I8788" s="237"/>
      <c r="J8788" s="238"/>
    </row>
    <row r="8789">
      <c r="C8789" s="82"/>
      <c r="E8789" s="84"/>
      <c r="F8789" s="84"/>
      <c r="G8789" s="84"/>
      <c r="I8789" s="237"/>
      <c r="J8789" s="238"/>
    </row>
    <row r="8790">
      <c r="C8790" s="82"/>
      <c r="E8790" s="84"/>
      <c r="F8790" s="84"/>
      <c r="G8790" s="84"/>
      <c r="I8790" s="237"/>
      <c r="J8790" s="238"/>
    </row>
    <row r="8791">
      <c r="C8791" s="82"/>
      <c r="E8791" s="84"/>
      <c r="F8791" s="84"/>
      <c r="G8791" s="84"/>
      <c r="I8791" s="237"/>
      <c r="J8791" s="238"/>
    </row>
    <row r="8792">
      <c r="C8792" s="82"/>
      <c r="E8792" s="84"/>
      <c r="F8792" s="84"/>
      <c r="G8792" s="84"/>
      <c r="I8792" s="237"/>
      <c r="J8792" s="238"/>
    </row>
    <row r="8793">
      <c r="C8793" s="82"/>
      <c r="E8793" s="84"/>
      <c r="F8793" s="84"/>
      <c r="G8793" s="84"/>
      <c r="I8793" s="237"/>
      <c r="J8793" s="238"/>
    </row>
    <row r="8794">
      <c r="C8794" s="82"/>
      <c r="E8794" s="84"/>
      <c r="F8794" s="84"/>
      <c r="G8794" s="84"/>
      <c r="I8794" s="237"/>
      <c r="J8794" s="238"/>
    </row>
    <row r="8795">
      <c r="C8795" s="82"/>
      <c r="E8795" s="84"/>
      <c r="F8795" s="84"/>
      <c r="G8795" s="84"/>
      <c r="I8795" s="237"/>
      <c r="J8795" s="238"/>
    </row>
    <row r="8796">
      <c r="C8796" s="82"/>
      <c r="E8796" s="84"/>
      <c r="F8796" s="84"/>
      <c r="G8796" s="84"/>
      <c r="I8796" s="237"/>
      <c r="J8796" s="238"/>
    </row>
    <row r="8797">
      <c r="C8797" s="82"/>
      <c r="E8797" s="84"/>
      <c r="F8797" s="84"/>
      <c r="G8797" s="84"/>
      <c r="I8797" s="237"/>
      <c r="J8797" s="238"/>
    </row>
    <row r="8798">
      <c r="C8798" s="82"/>
      <c r="E8798" s="84"/>
      <c r="F8798" s="84"/>
      <c r="G8798" s="84"/>
      <c r="I8798" s="237"/>
      <c r="J8798" s="238"/>
    </row>
    <row r="8799">
      <c r="C8799" s="82"/>
      <c r="E8799" s="84"/>
      <c r="F8799" s="84"/>
      <c r="G8799" s="84"/>
      <c r="I8799" s="237"/>
      <c r="J8799" s="238"/>
    </row>
    <row r="8800">
      <c r="C8800" s="82"/>
      <c r="E8800" s="84"/>
      <c r="F8800" s="84"/>
      <c r="G8800" s="84"/>
      <c r="I8800" s="237"/>
      <c r="J8800" s="238"/>
    </row>
    <row r="8801">
      <c r="C8801" s="82"/>
      <c r="E8801" s="84"/>
      <c r="F8801" s="84"/>
      <c r="G8801" s="84"/>
      <c r="I8801" s="237"/>
      <c r="J8801" s="238"/>
    </row>
    <row r="8802">
      <c r="C8802" s="82"/>
      <c r="E8802" s="84"/>
      <c r="F8802" s="84"/>
      <c r="G8802" s="84"/>
      <c r="I8802" s="237"/>
      <c r="J8802" s="238"/>
    </row>
    <row r="8803">
      <c r="C8803" s="82"/>
      <c r="E8803" s="84"/>
      <c r="F8803" s="84"/>
      <c r="G8803" s="84"/>
      <c r="I8803" s="237"/>
      <c r="J8803" s="238"/>
    </row>
    <row r="8804">
      <c r="C8804" s="82"/>
      <c r="E8804" s="84"/>
      <c r="F8804" s="84"/>
      <c r="G8804" s="84"/>
      <c r="I8804" s="237"/>
      <c r="J8804" s="238"/>
    </row>
    <row r="8805">
      <c r="C8805" s="82"/>
      <c r="E8805" s="84"/>
      <c r="F8805" s="84"/>
      <c r="G8805" s="84"/>
      <c r="I8805" s="237"/>
      <c r="J8805" s="238"/>
    </row>
    <row r="8806">
      <c r="C8806" s="82"/>
      <c r="E8806" s="84"/>
      <c r="F8806" s="84"/>
      <c r="G8806" s="84"/>
      <c r="I8806" s="237"/>
      <c r="J8806" s="238"/>
    </row>
    <row r="8807">
      <c r="C8807" s="82"/>
      <c r="E8807" s="84"/>
      <c r="F8807" s="84"/>
      <c r="G8807" s="84"/>
      <c r="I8807" s="237"/>
      <c r="J8807" s="238"/>
    </row>
    <row r="8808">
      <c r="C8808" s="82"/>
      <c r="E8808" s="84"/>
      <c r="F8808" s="84"/>
      <c r="G8808" s="84"/>
      <c r="I8808" s="237"/>
      <c r="J8808" s="238"/>
    </row>
    <row r="8809">
      <c r="C8809" s="82"/>
      <c r="E8809" s="84"/>
      <c r="F8809" s="84"/>
      <c r="G8809" s="84"/>
      <c r="I8809" s="237"/>
      <c r="J8809" s="238"/>
    </row>
    <row r="8810">
      <c r="C8810" s="82"/>
      <c r="E8810" s="84"/>
      <c r="F8810" s="84"/>
      <c r="G8810" s="84"/>
      <c r="I8810" s="237"/>
      <c r="J8810" s="238"/>
    </row>
    <row r="8811">
      <c r="C8811" s="82"/>
      <c r="E8811" s="84"/>
      <c r="F8811" s="84"/>
      <c r="G8811" s="84"/>
      <c r="I8811" s="237"/>
      <c r="J8811" s="238"/>
    </row>
    <row r="8812">
      <c r="C8812" s="82"/>
      <c r="E8812" s="84"/>
      <c r="F8812" s="84"/>
      <c r="G8812" s="84"/>
      <c r="I8812" s="237"/>
      <c r="J8812" s="238"/>
    </row>
    <row r="8813">
      <c r="C8813" s="82"/>
      <c r="E8813" s="84"/>
      <c r="F8813" s="84"/>
      <c r="G8813" s="84"/>
      <c r="I8813" s="237"/>
      <c r="J8813" s="238"/>
    </row>
    <row r="8814">
      <c r="C8814" s="82"/>
      <c r="E8814" s="84"/>
      <c r="F8814" s="84"/>
      <c r="G8814" s="84"/>
      <c r="I8814" s="237"/>
      <c r="J8814" s="238"/>
    </row>
    <row r="8815">
      <c r="C8815" s="82"/>
      <c r="E8815" s="84"/>
      <c r="F8815" s="84"/>
      <c r="G8815" s="84"/>
      <c r="I8815" s="237"/>
      <c r="J8815" s="238"/>
    </row>
    <row r="8816">
      <c r="C8816" s="82"/>
      <c r="E8816" s="84"/>
      <c r="F8816" s="84"/>
      <c r="G8816" s="84"/>
      <c r="I8816" s="237"/>
      <c r="J8816" s="238"/>
    </row>
    <row r="8817">
      <c r="C8817" s="82"/>
      <c r="E8817" s="84"/>
      <c r="F8817" s="84"/>
      <c r="G8817" s="84"/>
      <c r="I8817" s="237"/>
      <c r="J8817" s="238"/>
    </row>
    <row r="8818">
      <c r="C8818" s="82"/>
      <c r="E8818" s="84"/>
      <c r="F8818" s="84"/>
      <c r="G8818" s="84"/>
      <c r="I8818" s="237"/>
      <c r="J8818" s="238"/>
    </row>
    <row r="8819">
      <c r="C8819" s="82"/>
      <c r="E8819" s="84"/>
      <c r="F8819" s="84"/>
      <c r="G8819" s="84"/>
      <c r="I8819" s="237"/>
      <c r="J8819" s="238"/>
    </row>
    <row r="8820">
      <c r="C8820" s="82"/>
      <c r="E8820" s="84"/>
      <c r="F8820" s="84"/>
      <c r="G8820" s="84"/>
      <c r="I8820" s="237"/>
      <c r="J8820" s="238"/>
    </row>
    <row r="8821">
      <c r="C8821" s="82"/>
      <c r="E8821" s="84"/>
      <c r="F8821" s="84"/>
      <c r="G8821" s="84"/>
      <c r="I8821" s="237"/>
      <c r="J8821" s="238"/>
    </row>
    <row r="8822">
      <c r="C8822" s="82"/>
      <c r="E8822" s="84"/>
      <c r="F8822" s="84"/>
      <c r="G8822" s="84"/>
      <c r="I8822" s="237"/>
      <c r="J8822" s="238"/>
    </row>
    <row r="8823">
      <c r="C8823" s="82"/>
      <c r="E8823" s="84"/>
      <c r="F8823" s="84"/>
      <c r="G8823" s="84"/>
      <c r="I8823" s="237"/>
      <c r="J8823" s="238"/>
    </row>
    <row r="8824">
      <c r="C8824" s="82"/>
      <c r="E8824" s="84"/>
      <c r="F8824" s="84"/>
      <c r="G8824" s="84"/>
      <c r="I8824" s="237"/>
      <c r="J8824" s="238"/>
    </row>
    <row r="8825">
      <c r="C8825" s="82"/>
      <c r="E8825" s="84"/>
      <c r="F8825" s="84"/>
      <c r="G8825" s="84"/>
      <c r="I8825" s="237"/>
      <c r="J8825" s="238"/>
    </row>
    <row r="8826">
      <c r="C8826" s="82"/>
      <c r="E8826" s="84"/>
      <c r="F8826" s="84"/>
      <c r="G8826" s="84"/>
      <c r="I8826" s="237"/>
      <c r="J8826" s="238"/>
    </row>
    <row r="8827">
      <c r="C8827" s="82"/>
      <c r="E8827" s="84"/>
      <c r="F8827" s="84"/>
      <c r="G8827" s="84"/>
      <c r="I8827" s="237"/>
      <c r="J8827" s="238"/>
    </row>
    <row r="8828">
      <c r="C8828" s="82"/>
      <c r="E8828" s="84"/>
      <c r="F8828" s="84"/>
      <c r="G8828" s="84"/>
      <c r="I8828" s="237"/>
      <c r="J8828" s="238"/>
    </row>
    <row r="8829">
      <c r="C8829" s="82"/>
      <c r="E8829" s="84"/>
      <c r="F8829" s="84"/>
      <c r="G8829" s="84"/>
      <c r="I8829" s="237"/>
      <c r="J8829" s="238"/>
    </row>
    <row r="8830">
      <c r="C8830" s="82"/>
      <c r="E8830" s="84"/>
      <c r="F8830" s="84"/>
      <c r="G8830" s="84"/>
      <c r="I8830" s="237"/>
      <c r="J8830" s="238"/>
    </row>
    <row r="8831">
      <c r="C8831" s="82"/>
      <c r="E8831" s="84"/>
      <c r="F8831" s="84"/>
      <c r="G8831" s="84"/>
      <c r="I8831" s="237"/>
      <c r="J8831" s="238"/>
    </row>
    <row r="8832">
      <c r="C8832" s="82"/>
      <c r="E8832" s="84"/>
      <c r="F8832" s="84"/>
      <c r="G8832" s="84"/>
      <c r="I8832" s="237"/>
      <c r="J8832" s="238"/>
    </row>
    <row r="8833">
      <c r="C8833" s="82"/>
      <c r="E8833" s="84"/>
      <c r="F8833" s="84"/>
      <c r="G8833" s="84"/>
      <c r="I8833" s="237"/>
      <c r="J8833" s="238"/>
    </row>
    <row r="8834">
      <c r="C8834" s="82"/>
      <c r="E8834" s="84"/>
      <c r="F8834" s="84"/>
      <c r="G8834" s="84"/>
      <c r="I8834" s="237"/>
      <c r="J8834" s="238"/>
    </row>
    <row r="8835">
      <c r="C8835" s="82"/>
      <c r="E8835" s="84"/>
      <c r="F8835" s="84"/>
      <c r="G8835" s="84"/>
      <c r="I8835" s="237"/>
      <c r="J8835" s="238"/>
    </row>
    <row r="8836">
      <c r="C8836" s="82"/>
      <c r="E8836" s="84"/>
      <c r="F8836" s="84"/>
      <c r="G8836" s="84"/>
      <c r="I8836" s="237"/>
      <c r="J8836" s="238"/>
    </row>
    <row r="8837">
      <c r="C8837" s="82"/>
      <c r="E8837" s="84"/>
      <c r="F8837" s="84"/>
      <c r="G8837" s="84"/>
      <c r="I8837" s="237"/>
      <c r="J8837" s="238"/>
    </row>
    <row r="8838">
      <c r="C8838" s="82"/>
      <c r="E8838" s="84"/>
      <c r="F8838" s="84"/>
      <c r="G8838" s="84"/>
      <c r="I8838" s="237"/>
      <c r="J8838" s="238"/>
    </row>
    <row r="8839">
      <c r="C8839" s="82"/>
      <c r="E8839" s="84"/>
      <c r="F8839" s="84"/>
      <c r="G8839" s="84"/>
      <c r="I8839" s="237"/>
      <c r="J8839" s="238"/>
    </row>
    <row r="8840">
      <c r="C8840" s="82"/>
      <c r="E8840" s="84"/>
      <c r="F8840" s="84"/>
      <c r="G8840" s="84"/>
      <c r="I8840" s="237"/>
      <c r="J8840" s="238"/>
    </row>
    <row r="8841">
      <c r="C8841" s="82"/>
      <c r="E8841" s="84"/>
      <c r="F8841" s="84"/>
      <c r="G8841" s="84"/>
      <c r="I8841" s="237"/>
      <c r="J8841" s="238"/>
    </row>
    <row r="8842">
      <c r="C8842" s="82"/>
      <c r="E8842" s="84"/>
      <c r="F8842" s="84"/>
      <c r="G8842" s="84"/>
      <c r="I8842" s="237"/>
      <c r="J8842" s="238"/>
    </row>
    <row r="8843">
      <c r="C8843" s="82"/>
      <c r="E8843" s="84"/>
      <c r="F8843" s="84"/>
      <c r="G8843" s="84"/>
      <c r="I8843" s="237"/>
      <c r="J8843" s="238"/>
    </row>
    <row r="8844">
      <c r="C8844" s="82"/>
      <c r="E8844" s="84"/>
      <c r="F8844" s="84"/>
      <c r="G8844" s="84"/>
      <c r="I8844" s="237"/>
      <c r="J8844" s="238"/>
    </row>
    <row r="8845">
      <c r="C8845" s="82"/>
      <c r="E8845" s="84"/>
      <c r="F8845" s="84"/>
      <c r="G8845" s="84"/>
      <c r="I8845" s="237"/>
      <c r="J8845" s="238"/>
    </row>
    <row r="8846">
      <c r="C8846" s="82"/>
      <c r="E8846" s="84"/>
      <c r="F8846" s="84"/>
      <c r="G8846" s="84"/>
      <c r="I8846" s="237"/>
      <c r="J8846" s="238"/>
    </row>
    <row r="8847">
      <c r="C8847" s="82"/>
      <c r="E8847" s="84"/>
      <c r="F8847" s="84"/>
      <c r="G8847" s="84"/>
      <c r="I8847" s="237"/>
      <c r="J8847" s="238"/>
    </row>
    <row r="8848">
      <c r="C8848" s="82"/>
      <c r="E8848" s="84"/>
      <c r="F8848" s="84"/>
      <c r="G8848" s="84"/>
      <c r="I8848" s="237"/>
      <c r="J8848" s="238"/>
    </row>
    <row r="8849">
      <c r="C8849" s="82"/>
      <c r="E8849" s="84"/>
      <c r="F8849" s="84"/>
      <c r="G8849" s="84"/>
      <c r="I8849" s="237"/>
      <c r="J8849" s="238"/>
    </row>
    <row r="8850">
      <c r="C8850" s="82"/>
      <c r="E8850" s="84"/>
      <c r="F8850" s="84"/>
      <c r="G8850" s="84"/>
      <c r="I8850" s="237"/>
      <c r="J8850" s="238"/>
    </row>
    <row r="8851">
      <c r="C8851" s="82"/>
      <c r="E8851" s="84"/>
      <c r="F8851" s="84"/>
      <c r="G8851" s="84"/>
      <c r="I8851" s="237"/>
      <c r="J8851" s="238"/>
    </row>
    <row r="8852">
      <c r="C8852" s="82"/>
      <c r="E8852" s="84"/>
      <c r="F8852" s="84"/>
      <c r="G8852" s="84"/>
      <c r="I8852" s="237"/>
      <c r="J8852" s="238"/>
    </row>
    <row r="8853">
      <c r="C8853" s="82"/>
      <c r="E8853" s="84"/>
      <c r="F8853" s="84"/>
      <c r="G8853" s="84"/>
      <c r="I8853" s="237"/>
      <c r="J8853" s="238"/>
    </row>
    <row r="8854">
      <c r="C8854" s="82"/>
      <c r="E8854" s="84"/>
      <c r="F8854" s="84"/>
      <c r="G8854" s="84"/>
      <c r="I8854" s="237"/>
      <c r="J8854" s="238"/>
    </row>
    <row r="8855">
      <c r="C8855" s="82"/>
      <c r="E8855" s="84"/>
      <c r="F8855" s="84"/>
      <c r="G8855" s="84"/>
      <c r="I8855" s="237"/>
      <c r="J8855" s="238"/>
    </row>
    <row r="8856">
      <c r="C8856" s="82"/>
      <c r="E8856" s="84"/>
      <c r="F8856" s="84"/>
      <c r="G8856" s="84"/>
      <c r="I8856" s="237"/>
      <c r="J8856" s="238"/>
    </row>
    <row r="8857">
      <c r="C8857" s="82"/>
      <c r="E8857" s="84"/>
      <c r="F8857" s="84"/>
      <c r="G8857" s="84"/>
      <c r="I8857" s="237"/>
      <c r="J8857" s="238"/>
    </row>
    <row r="8858">
      <c r="C8858" s="82"/>
      <c r="E8858" s="84"/>
      <c r="F8858" s="84"/>
      <c r="G8858" s="84"/>
      <c r="I8858" s="237"/>
      <c r="J8858" s="238"/>
    </row>
    <row r="8859">
      <c r="C8859" s="82"/>
      <c r="E8859" s="84"/>
      <c r="F8859" s="84"/>
      <c r="G8859" s="84"/>
      <c r="I8859" s="237"/>
      <c r="J8859" s="238"/>
    </row>
    <row r="8860">
      <c r="C8860" s="82"/>
      <c r="E8860" s="84"/>
      <c r="F8860" s="84"/>
      <c r="G8860" s="84"/>
      <c r="I8860" s="237"/>
      <c r="J8860" s="238"/>
    </row>
    <row r="8861">
      <c r="C8861" s="82"/>
      <c r="E8861" s="84"/>
      <c r="F8861" s="84"/>
      <c r="G8861" s="84"/>
      <c r="I8861" s="237"/>
      <c r="J8861" s="238"/>
    </row>
    <row r="8862">
      <c r="C8862" s="82"/>
      <c r="E8862" s="84"/>
      <c r="F8862" s="84"/>
      <c r="G8862" s="84"/>
      <c r="I8862" s="237"/>
      <c r="J8862" s="238"/>
    </row>
    <row r="8863">
      <c r="C8863" s="82"/>
      <c r="E8863" s="84"/>
      <c r="F8863" s="84"/>
      <c r="G8863" s="84"/>
      <c r="I8863" s="237"/>
      <c r="J8863" s="238"/>
    </row>
    <row r="8864">
      <c r="C8864" s="82"/>
      <c r="E8864" s="84"/>
      <c r="F8864" s="84"/>
      <c r="G8864" s="84"/>
      <c r="I8864" s="237"/>
      <c r="J8864" s="238"/>
    </row>
    <row r="8865">
      <c r="C8865" s="82"/>
      <c r="E8865" s="84"/>
      <c r="F8865" s="84"/>
      <c r="G8865" s="84"/>
      <c r="I8865" s="237"/>
      <c r="J8865" s="238"/>
    </row>
    <row r="8866">
      <c r="C8866" s="82"/>
      <c r="E8866" s="84"/>
      <c r="F8866" s="84"/>
      <c r="G8866" s="84"/>
      <c r="I8866" s="237"/>
      <c r="J8866" s="238"/>
    </row>
    <row r="8867">
      <c r="C8867" s="82"/>
      <c r="E8867" s="84"/>
      <c r="F8867" s="84"/>
      <c r="G8867" s="84"/>
      <c r="I8867" s="237"/>
      <c r="J8867" s="238"/>
    </row>
    <row r="8868">
      <c r="C8868" s="82"/>
      <c r="E8868" s="84"/>
      <c r="F8868" s="84"/>
      <c r="G8868" s="84"/>
      <c r="I8868" s="237"/>
      <c r="J8868" s="238"/>
    </row>
    <row r="8869">
      <c r="C8869" s="82"/>
      <c r="E8869" s="84"/>
      <c r="F8869" s="84"/>
      <c r="G8869" s="84"/>
      <c r="I8869" s="237"/>
      <c r="J8869" s="238"/>
    </row>
    <row r="8870">
      <c r="C8870" s="82"/>
      <c r="E8870" s="84"/>
      <c r="F8870" s="84"/>
      <c r="G8870" s="84"/>
      <c r="I8870" s="237"/>
      <c r="J8870" s="238"/>
    </row>
    <row r="8871">
      <c r="C8871" s="82"/>
      <c r="E8871" s="84"/>
      <c r="F8871" s="84"/>
      <c r="G8871" s="84"/>
      <c r="I8871" s="237"/>
      <c r="J8871" s="238"/>
    </row>
    <row r="8872">
      <c r="C8872" s="82"/>
      <c r="E8872" s="84"/>
      <c r="F8872" s="84"/>
      <c r="G8872" s="84"/>
      <c r="I8872" s="237"/>
      <c r="J8872" s="238"/>
    </row>
    <row r="8873">
      <c r="C8873" s="82"/>
      <c r="E8873" s="84"/>
      <c r="F8873" s="84"/>
      <c r="G8873" s="84"/>
      <c r="I8873" s="237"/>
      <c r="J8873" s="238"/>
    </row>
    <row r="8874">
      <c r="C8874" s="82"/>
      <c r="E8874" s="84"/>
      <c r="F8874" s="84"/>
      <c r="G8874" s="84"/>
      <c r="I8874" s="237"/>
      <c r="J8874" s="238"/>
    </row>
    <row r="8875">
      <c r="C8875" s="82"/>
      <c r="E8875" s="84"/>
      <c r="F8875" s="84"/>
      <c r="G8875" s="84"/>
      <c r="I8875" s="237"/>
      <c r="J8875" s="238"/>
    </row>
    <row r="8876">
      <c r="C8876" s="82"/>
      <c r="E8876" s="84"/>
      <c r="F8876" s="84"/>
      <c r="G8876" s="84"/>
      <c r="I8876" s="237"/>
      <c r="J8876" s="238"/>
    </row>
    <row r="8877">
      <c r="C8877" s="82"/>
      <c r="E8877" s="84"/>
      <c r="F8877" s="84"/>
      <c r="G8877" s="84"/>
      <c r="I8877" s="237"/>
      <c r="J8877" s="238"/>
    </row>
    <row r="8878">
      <c r="C8878" s="82"/>
      <c r="E8878" s="84"/>
      <c r="F8878" s="84"/>
      <c r="G8878" s="84"/>
      <c r="I8878" s="237"/>
      <c r="J8878" s="238"/>
    </row>
    <row r="8879">
      <c r="C8879" s="82"/>
      <c r="E8879" s="84"/>
      <c r="F8879" s="84"/>
      <c r="G8879" s="84"/>
      <c r="I8879" s="237"/>
      <c r="J8879" s="238"/>
    </row>
    <row r="8880">
      <c r="C8880" s="82"/>
      <c r="E8880" s="84"/>
      <c r="F8880" s="84"/>
      <c r="G8880" s="84"/>
      <c r="I8880" s="237"/>
      <c r="J8880" s="238"/>
    </row>
    <row r="8881">
      <c r="C8881" s="82"/>
      <c r="E8881" s="84"/>
      <c r="F8881" s="84"/>
      <c r="G8881" s="84"/>
      <c r="I8881" s="237"/>
      <c r="J8881" s="238"/>
    </row>
    <row r="8882">
      <c r="C8882" s="82"/>
      <c r="E8882" s="84"/>
      <c r="F8882" s="84"/>
      <c r="G8882" s="84"/>
      <c r="I8882" s="237"/>
      <c r="J8882" s="238"/>
    </row>
    <row r="8883">
      <c r="C8883" s="82"/>
      <c r="E8883" s="84"/>
      <c r="F8883" s="84"/>
      <c r="G8883" s="84"/>
      <c r="I8883" s="237"/>
      <c r="J8883" s="238"/>
    </row>
    <row r="8884">
      <c r="C8884" s="82"/>
      <c r="E8884" s="84"/>
      <c r="F8884" s="84"/>
      <c r="G8884" s="84"/>
      <c r="I8884" s="237"/>
      <c r="J8884" s="238"/>
    </row>
    <row r="8885">
      <c r="C8885" s="82"/>
      <c r="E8885" s="84"/>
      <c r="F8885" s="84"/>
      <c r="G8885" s="84"/>
      <c r="I8885" s="237"/>
      <c r="J8885" s="238"/>
    </row>
    <row r="8886">
      <c r="C8886" s="82"/>
      <c r="E8886" s="84"/>
      <c r="F8886" s="84"/>
      <c r="G8886" s="84"/>
      <c r="I8886" s="237"/>
      <c r="J8886" s="238"/>
    </row>
    <row r="8887">
      <c r="C8887" s="82"/>
      <c r="E8887" s="84"/>
      <c r="F8887" s="84"/>
      <c r="G8887" s="84"/>
      <c r="I8887" s="237"/>
      <c r="J8887" s="238"/>
    </row>
    <row r="8888">
      <c r="C8888" s="82"/>
      <c r="E8888" s="84"/>
      <c r="F8888" s="84"/>
      <c r="G8888" s="84"/>
      <c r="I8888" s="237"/>
      <c r="J8888" s="238"/>
    </row>
    <row r="8889">
      <c r="C8889" s="82"/>
      <c r="E8889" s="84"/>
      <c r="F8889" s="84"/>
      <c r="G8889" s="84"/>
      <c r="I8889" s="237"/>
      <c r="J8889" s="238"/>
    </row>
    <row r="8890">
      <c r="C8890" s="82"/>
      <c r="E8890" s="84"/>
      <c r="F8890" s="84"/>
      <c r="G8890" s="84"/>
      <c r="I8890" s="237"/>
      <c r="J8890" s="238"/>
    </row>
    <row r="8891">
      <c r="C8891" s="82"/>
      <c r="E8891" s="84"/>
      <c r="F8891" s="84"/>
      <c r="G8891" s="84"/>
      <c r="I8891" s="237"/>
      <c r="J8891" s="238"/>
    </row>
    <row r="8892">
      <c r="C8892" s="82"/>
      <c r="E8892" s="84"/>
      <c r="F8892" s="84"/>
      <c r="G8892" s="84"/>
      <c r="I8892" s="237"/>
      <c r="J8892" s="238"/>
    </row>
    <row r="8893">
      <c r="C8893" s="82"/>
      <c r="E8893" s="84"/>
      <c r="F8893" s="84"/>
      <c r="G8893" s="84"/>
      <c r="I8893" s="237"/>
      <c r="J8893" s="238"/>
    </row>
    <row r="8894">
      <c r="C8894" s="82"/>
      <c r="E8894" s="84"/>
      <c r="F8894" s="84"/>
      <c r="G8894" s="84"/>
      <c r="I8894" s="237"/>
      <c r="J8894" s="238"/>
    </row>
    <row r="8895">
      <c r="C8895" s="82"/>
      <c r="E8895" s="84"/>
      <c r="F8895" s="84"/>
      <c r="G8895" s="84"/>
      <c r="I8895" s="237"/>
      <c r="J8895" s="238"/>
    </row>
    <row r="8896">
      <c r="C8896" s="82"/>
      <c r="E8896" s="84"/>
      <c r="F8896" s="84"/>
      <c r="G8896" s="84"/>
      <c r="I8896" s="237"/>
      <c r="J8896" s="238"/>
    </row>
    <row r="8897">
      <c r="C8897" s="82"/>
      <c r="E8897" s="84"/>
      <c r="F8897" s="84"/>
      <c r="G8897" s="84"/>
      <c r="I8897" s="237"/>
      <c r="J8897" s="238"/>
    </row>
    <row r="8898">
      <c r="C8898" s="82"/>
      <c r="E8898" s="84"/>
      <c r="F8898" s="84"/>
      <c r="G8898" s="84"/>
      <c r="I8898" s="237"/>
      <c r="J8898" s="238"/>
    </row>
    <row r="8899">
      <c r="C8899" s="82"/>
      <c r="E8899" s="84"/>
      <c r="F8899" s="84"/>
      <c r="G8899" s="84"/>
      <c r="I8899" s="237"/>
      <c r="J8899" s="238"/>
    </row>
    <row r="8900">
      <c r="C8900" s="82"/>
      <c r="E8900" s="84"/>
      <c r="F8900" s="84"/>
      <c r="G8900" s="84"/>
      <c r="I8900" s="237"/>
      <c r="J8900" s="238"/>
    </row>
    <row r="8901">
      <c r="C8901" s="82"/>
      <c r="E8901" s="84"/>
      <c r="F8901" s="84"/>
      <c r="G8901" s="84"/>
      <c r="I8901" s="237"/>
      <c r="J8901" s="238"/>
    </row>
    <row r="8902">
      <c r="C8902" s="82"/>
      <c r="E8902" s="84"/>
      <c r="F8902" s="84"/>
      <c r="G8902" s="84"/>
      <c r="I8902" s="237"/>
      <c r="J8902" s="238"/>
    </row>
    <row r="8903">
      <c r="C8903" s="82"/>
      <c r="E8903" s="84"/>
      <c r="F8903" s="84"/>
      <c r="G8903" s="84"/>
      <c r="I8903" s="237"/>
      <c r="J8903" s="238"/>
    </row>
    <row r="8904">
      <c r="C8904" s="82"/>
      <c r="E8904" s="84"/>
      <c r="F8904" s="84"/>
      <c r="G8904" s="84"/>
      <c r="I8904" s="237"/>
      <c r="J8904" s="238"/>
    </row>
    <row r="8905">
      <c r="C8905" s="82"/>
      <c r="E8905" s="84"/>
      <c r="F8905" s="84"/>
      <c r="G8905" s="84"/>
      <c r="I8905" s="237"/>
      <c r="J8905" s="238"/>
    </row>
    <row r="8906">
      <c r="C8906" s="82"/>
      <c r="E8906" s="84"/>
      <c r="F8906" s="84"/>
      <c r="G8906" s="84"/>
      <c r="I8906" s="237"/>
      <c r="J8906" s="238"/>
    </row>
    <row r="8907">
      <c r="C8907" s="82"/>
      <c r="E8907" s="84"/>
      <c r="F8907" s="84"/>
      <c r="G8907" s="84"/>
      <c r="I8907" s="237"/>
      <c r="J8907" s="238"/>
    </row>
    <row r="8908">
      <c r="C8908" s="82"/>
      <c r="E8908" s="84"/>
      <c r="F8908" s="84"/>
      <c r="G8908" s="84"/>
      <c r="I8908" s="237"/>
      <c r="J8908" s="238"/>
    </row>
    <row r="8909">
      <c r="C8909" s="82"/>
      <c r="E8909" s="84"/>
      <c r="F8909" s="84"/>
      <c r="G8909" s="84"/>
      <c r="I8909" s="237"/>
      <c r="J8909" s="238"/>
    </row>
    <row r="8910">
      <c r="C8910" s="82"/>
      <c r="E8910" s="84"/>
      <c r="F8910" s="84"/>
      <c r="G8910" s="84"/>
      <c r="I8910" s="237"/>
      <c r="J8910" s="238"/>
    </row>
    <row r="8911">
      <c r="C8911" s="82"/>
      <c r="E8911" s="84"/>
      <c r="F8911" s="84"/>
      <c r="G8911" s="84"/>
      <c r="I8911" s="237"/>
      <c r="J8911" s="238"/>
    </row>
    <row r="8912">
      <c r="C8912" s="82"/>
      <c r="E8912" s="84"/>
      <c r="F8912" s="84"/>
      <c r="G8912" s="84"/>
      <c r="I8912" s="237"/>
      <c r="J8912" s="238"/>
    </row>
    <row r="8913">
      <c r="C8913" s="82"/>
      <c r="E8913" s="84"/>
      <c r="F8913" s="84"/>
      <c r="G8913" s="84"/>
      <c r="I8913" s="237"/>
      <c r="J8913" s="238"/>
    </row>
    <row r="8914">
      <c r="C8914" s="82"/>
      <c r="E8914" s="84"/>
      <c r="F8914" s="84"/>
      <c r="G8914" s="84"/>
      <c r="I8914" s="237"/>
      <c r="J8914" s="238"/>
    </row>
    <row r="8915">
      <c r="C8915" s="82"/>
      <c r="E8915" s="84"/>
      <c r="F8915" s="84"/>
      <c r="G8915" s="84"/>
      <c r="I8915" s="237"/>
      <c r="J8915" s="238"/>
    </row>
    <row r="8916">
      <c r="C8916" s="82"/>
      <c r="E8916" s="84"/>
      <c r="F8916" s="84"/>
      <c r="G8916" s="84"/>
      <c r="I8916" s="237"/>
      <c r="J8916" s="238"/>
    </row>
    <row r="8917">
      <c r="C8917" s="82"/>
      <c r="E8917" s="84"/>
      <c r="F8917" s="84"/>
      <c r="G8917" s="84"/>
      <c r="I8917" s="237"/>
      <c r="J8917" s="238"/>
    </row>
    <row r="8918">
      <c r="C8918" s="82"/>
      <c r="E8918" s="84"/>
      <c r="F8918" s="84"/>
      <c r="G8918" s="84"/>
      <c r="I8918" s="237"/>
      <c r="J8918" s="238"/>
    </row>
    <row r="8919">
      <c r="C8919" s="82"/>
      <c r="E8919" s="84"/>
      <c r="F8919" s="84"/>
      <c r="G8919" s="84"/>
      <c r="I8919" s="237"/>
      <c r="J8919" s="238"/>
    </row>
    <row r="8920">
      <c r="C8920" s="82"/>
      <c r="E8920" s="84"/>
      <c r="F8920" s="84"/>
      <c r="G8920" s="84"/>
      <c r="I8920" s="237"/>
      <c r="J8920" s="238"/>
    </row>
    <row r="8921">
      <c r="C8921" s="82"/>
      <c r="E8921" s="84"/>
      <c r="F8921" s="84"/>
      <c r="G8921" s="84"/>
      <c r="I8921" s="237"/>
      <c r="J8921" s="238"/>
    </row>
    <row r="8922">
      <c r="C8922" s="82"/>
      <c r="E8922" s="84"/>
      <c r="F8922" s="84"/>
      <c r="G8922" s="84"/>
      <c r="I8922" s="237"/>
      <c r="J8922" s="238"/>
    </row>
    <row r="8923">
      <c r="C8923" s="82"/>
      <c r="E8923" s="84"/>
      <c r="F8923" s="84"/>
      <c r="G8923" s="84"/>
      <c r="I8923" s="237"/>
      <c r="J8923" s="238"/>
    </row>
    <row r="8924">
      <c r="C8924" s="82"/>
      <c r="E8924" s="84"/>
      <c r="F8924" s="84"/>
      <c r="G8924" s="84"/>
      <c r="I8924" s="237"/>
      <c r="J8924" s="238"/>
    </row>
    <row r="8925">
      <c r="C8925" s="82"/>
      <c r="E8925" s="84"/>
      <c r="F8925" s="84"/>
      <c r="G8925" s="84"/>
      <c r="I8925" s="237"/>
      <c r="J8925" s="238"/>
    </row>
    <row r="8926">
      <c r="C8926" s="82"/>
      <c r="E8926" s="84"/>
      <c r="F8926" s="84"/>
      <c r="G8926" s="84"/>
      <c r="I8926" s="237"/>
      <c r="J8926" s="238"/>
    </row>
    <row r="8927">
      <c r="C8927" s="82"/>
      <c r="E8927" s="84"/>
      <c r="F8927" s="84"/>
      <c r="G8927" s="84"/>
      <c r="I8927" s="237"/>
      <c r="J8927" s="238"/>
    </row>
    <row r="8928">
      <c r="C8928" s="82"/>
      <c r="E8928" s="84"/>
      <c r="F8928" s="84"/>
      <c r="G8928" s="84"/>
      <c r="I8928" s="237"/>
      <c r="J8928" s="238"/>
    </row>
    <row r="8929">
      <c r="C8929" s="82"/>
      <c r="E8929" s="84"/>
      <c r="F8929" s="84"/>
      <c r="G8929" s="84"/>
      <c r="I8929" s="237"/>
      <c r="J8929" s="238"/>
    </row>
    <row r="8930">
      <c r="C8930" s="82"/>
      <c r="E8930" s="84"/>
      <c r="F8930" s="84"/>
      <c r="G8930" s="84"/>
      <c r="I8930" s="237"/>
      <c r="J8930" s="238"/>
    </row>
    <row r="8931">
      <c r="C8931" s="82"/>
      <c r="E8931" s="84"/>
      <c r="F8931" s="84"/>
      <c r="G8931" s="84"/>
      <c r="I8931" s="237"/>
      <c r="J8931" s="238"/>
    </row>
    <row r="8932">
      <c r="C8932" s="82"/>
      <c r="E8932" s="84"/>
      <c r="F8932" s="84"/>
      <c r="G8932" s="84"/>
      <c r="I8932" s="237"/>
      <c r="J8932" s="238"/>
    </row>
    <row r="8933">
      <c r="C8933" s="82"/>
      <c r="E8933" s="84"/>
      <c r="F8933" s="84"/>
      <c r="G8933" s="84"/>
      <c r="I8933" s="237"/>
      <c r="J8933" s="238"/>
    </row>
    <row r="8934">
      <c r="C8934" s="82"/>
      <c r="E8934" s="84"/>
      <c r="F8934" s="84"/>
      <c r="G8934" s="84"/>
      <c r="I8934" s="237"/>
      <c r="J8934" s="238"/>
    </row>
    <row r="8935">
      <c r="C8935" s="82"/>
      <c r="E8935" s="84"/>
      <c r="F8935" s="84"/>
      <c r="G8935" s="84"/>
      <c r="I8935" s="237"/>
      <c r="J8935" s="238"/>
    </row>
    <row r="8936">
      <c r="C8936" s="82"/>
      <c r="E8936" s="84"/>
      <c r="F8936" s="84"/>
      <c r="G8936" s="84"/>
      <c r="I8936" s="237"/>
      <c r="J8936" s="238"/>
    </row>
    <row r="8937">
      <c r="C8937" s="82"/>
      <c r="E8937" s="84"/>
      <c r="F8937" s="84"/>
      <c r="G8937" s="84"/>
      <c r="I8937" s="237"/>
      <c r="J8937" s="238"/>
    </row>
    <row r="8938">
      <c r="C8938" s="82"/>
      <c r="E8938" s="84"/>
      <c r="F8938" s="84"/>
      <c r="G8938" s="84"/>
      <c r="I8938" s="237"/>
      <c r="J8938" s="238"/>
    </row>
    <row r="8939">
      <c r="C8939" s="82"/>
      <c r="E8939" s="84"/>
      <c r="F8939" s="84"/>
      <c r="G8939" s="84"/>
      <c r="I8939" s="237"/>
      <c r="J8939" s="238"/>
    </row>
    <row r="8940">
      <c r="C8940" s="82"/>
      <c r="E8940" s="84"/>
      <c r="F8940" s="84"/>
      <c r="G8940" s="84"/>
      <c r="I8940" s="237"/>
      <c r="J8940" s="238"/>
    </row>
    <row r="8941">
      <c r="C8941" s="82"/>
      <c r="E8941" s="84"/>
      <c r="F8941" s="84"/>
      <c r="G8941" s="84"/>
      <c r="I8941" s="237"/>
      <c r="J8941" s="238"/>
    </row>
    <row r="8942">
      <c r="C8942" s="82"/>
      <c r="E8942" s="84"/>
      <c r="F8942" s="84"/>
      <c r="G8942" s="84"/>
      <c r="I8942" s="237"/>
      <c r="J8942" s="238"/>
    </row>
    <row r="8943">
      <c r="C8943" s="82"/>
      <c r="E8943" s="84"/>
      <c r="F8943" s="84"/>
      <c r="G8943" s="84"/>
      <c r="I8943" s="237"/>
      <c r="J8943" s="238"/>
    </row>
    <row r="8944">
      <c r="C8944" s="82"/>
      <c r="E8944" s="84"/>
      <c r="F8944" s="84"/>
      <c r="G8944" s="84"/>
      <c r="I8944" s="237"/>
      <c r="J8944" s="238"/>
    </row>
    <row r="8945">
      <c r="C8945" s="82"/>
      <c r="E8945" s="84"/>
      <c r="F8945" s="84"/>
      <c r="G8945" s="84"/>
      <c r="I8945" s="237"/>
      <c r="J8945" s="238"/>
    </row>
    <row r="8946">
      <c r="C8946" s="82"/>
      <c r="E8946" s="84"/>
      <c r="F8946" s="84"/>
      <c r="G8946" s="84"/>
      <c r="I8946" s="237"/>
      <c r="J8946" s="238"/>
    </row>
    <row r="8947">
      <c r="C8947" s="82"/>
      <c r="E8947" s="84"/>
      <c r="F8947" s="84"/>
      <c r="G8947" s="84"/>
      <c r="I8947" s="237"/>
      <c r="J8947" s="238"/>
    </row>
    <row r="8948">
      <c r="C8948" s="82"/>
      <c r="E8948" s="84"/>
      <c r="F8948" s="84"/>
      <c r="G8948" s="84"/>
      <c r="I8948" s="237"/>
      <c r="J8948" s="238"/>
    </row>
    <row r="8949">
      <c r="C8949" s="82"/>
      <c r="E8949" s="84"/>
      <c r="F8949" s="84"/>
      <c r="G8949" s="84"/>
      <c r="I8949" s="237"/>
      <c r="J8949" s="238"/>
    </row>
    <row r="8950">
      <c r="C8950" s="82"/>
      <c r="E8950" s="84"/>
      <c r="F8950" s="84"/>
      <c r="G8950" s="84"/>
      <c r="I8950" s="237"/>
      <c r="J8950" s="238"/>
    </row>
    <row r="8951">
      <c r="C8951" s="82"/>
      <c r="E8951" s="84"/>
      <c r="F8951" s="84"/>
      <c r="G8951" s="84"/>
      <c r="I8951" s="237"/>
      <c r="J8951" s="238"/>
    </row>
    <row r="8952">
      <c r="C8952" s="82"/>
      <c r="E8952" s="84"/>
      <c r="F8952" s="84"/>
      <c r="G8952" s="84"/>
      <c r="I8952" s="237"/>
      <c r="J8952" s="238"/>
    </row>
    <row r="8953">
      <c r="C8953" s="82"/>
      <c r="E8953" s="84"/>
      <c r="F8953" s="84"/>
      <c r="G8953" s="84"/>
      <c r="I8953" s="237"/>
      <c r="J8953" s="238"/>
    </row>
    <row r="8954">
      <c r="C8954" s="82"/>
      <c r="E8954" s="84"/>
      <c r="F8954" s="84"/>
      <c r="G8954" s="84"/>
      <c r="I8954" s="237"/>
      <c r="J8954" s="238"/>
    </row>
    <row r="8955">
      <c r="C8955" s="82"/>
      <c r="E8955" s="84"/>
      <c r="F8955" s="84"/>
      <c r="G8955" s="84"/>
      <c r="I8955" s="237"/>
      <c r="J8955" s="238"/>
    </row>
    <row r="8956">
      <c r="C8956" s="82"/>
      <c r="E8956" s="84"/>
      <c r="F8956" s="84"/>
      <c r="G8956" s="84"/>
      <c r="I8956" s="237"/>
      <c r="J8956" s="238"/>
    </row>
    <row r="8957">
      <c r="C8957" s="82"/>
      <c r="E8957" s="84"/>
      <c r="F8957" s="84"/>
      <c r="G8957" s="84"/>
      <c r="I8957" s="237"/>
      <c r="J8957" s="238"/>
    </row>
    <row r="8958">
      <c r="C8958" s="82"/>
      <c r="E8958" s="84"/>
      <c r="F8958" s="84"/>
      <c r="G8958" s="84"/>
      <c r="I8958" s="237"/>
      <c r="J8958" s="238"/>
    </row>
    <row r="8959">
      <c r="C8959" s="82"/>
      <c r="E8959" s="84"/>
      <c r="F8959" s="84"/>
      <c r="G8959" s="84"/>
      <c r="I8959" s="237"/>
      <c r="J8959" s="238"/>
    </row>
    <row r="8960">
      <c r="C8960" s="82"/>
      <c r="E8960" s="84"/>
      <c r="F8960" s="84"/>
      <c r="G8960" s="84"/>
      <c r="I8960" s="237"/>
      <c r="J8960" s="238"/>
    </row>
    <row r="8961">
      <c r="C8961" s="82"/>
      <c r="E8961" s="84"/>
      <c r="F8961" s="84"/>
      <c r="G8961" s="84"/>
      <c r="I8961" s="237"/>
      <c r="J8961" s="238"/>
    </row>
    <row r="8962">
      <c r="C8962" s="82"/>
      <c r="E8962" s="84"/>
      <c r="F8962" s="84"/>
      <c r="G8962" s="84"/>
      <c r="I8962" s="237"/>
      <c r="J8962" s="238"/>
    </row>
    <row r="8963">
      <c r="C8963" s="82"/>
      <c r="E8963" s="84"/>
      <c r="F8963" s="84"/>
      <c r="G8963" s="84"/>
      <c r="I8963" s="237"/>
      <c r="J8963" s="238"/>
    </row>
    <row r="8964">
      <c r="C8964" s="82"/>
      <c r="E8964" s="84"/>
      <c r="F8964" s="84"/>
      <c r="G8964" s="84"/>
      <c r="I8964" s="237"/>
      <c r="J8964" s="238"/>
    </row>
    <row r="8965">
      <c r="C8965" s="82"/>
      <c r="E8965" s="84"/>
      <c r="F8965" s="84"/>
      <c r="G8965" s="84"/>
      <c r="I8965" s="237"/>
      <c r="J8965" s="238"/>
    </row>
    <row r="8966">
      <c r="C8966" s="82"/>
      <c r="E8966" s="84"/>
      <c r="F8966" s="84"/>
      <c r="G8966" s="84"/>
      <c r="I8966" s="237"/>
      <c r="J8966" s="238"/>
    </row>
    <row r="8967">
      <c r="C8967" s="82"/>
      <c r="E8967" s="84"/>
      <c r="F8967" s="84"/>
      <c r="G8967" s="84"/>
      <c r="I8967" s="237"/>
      <c r="J8967" s="238"/>
    </row>
    <row r="8968">
      <c r="C8968" s="82"/>
      <c r="E8968" s="84"/>
      <c r="F8968" s="84"/>
      <c r="G8968" s="84"/>
      <c r="I8968" s="237"/>
      <c r="J8968" s="238"/>
    </row>
    <row r="8969">
      <c r="C8969" s="82"/>
      <c r="E8969" s="84"/>
      <c r="F8969" s="84"/>
      <c r="G8969" s="84"/>
      <c r="I8969" s="237"/>
      <c r="J8969" s="238"/>
    </row>
    <row r="8970">
      <c r="C8970" s="82"/>
      <c r="E8970" s="84"/>
      <c r="F8970" s="84"/>
      <c r="G8970" s="84"/>
      <c r="I8970" s="237"/>
      <c r="J8970" s="238"/>
    </row>
    <row r="8971">
      <c r="C8971" s="82"/>
      <c r="E8971" s="84"/>
      <c r="F8971" s="84"/>
      <c r="G8971" s="84"/>
      <c r="I8971" s="237"/>
      <c r="J8971" s="238"/>
    </row>
    <row r="8972">
      <c r="C8972" s="82"/>
      <c r="E8972" s="84"/>
      <c r="F8972" s="84"/>
      <c r="G8972" s="84"/>
      <c r="I8972" s="237"/>
      <c r="J8972" s="238"/>
    </row>
    <row r="8973">
      <c r="C8973" s="82"/>
      <c r="E8973" s="84"/>
      <c r="F8973" s="84"/>
      <c r="G8973" s="84"/>
      <c r="I8973" s="237"/>
      <c r="J8973" s="238"/>
    </row>
    <row r="8974">
      <c r="C8974" s="82"/>
      <c r="E8974" s="84"/>
      <c r="F8974" s="84"/>
      <c r="G8974" s="84"/>
      <c r="I8974" s="237"/>
      <c r="J8974" s="238"/>
    </row>
    <row r="8975">
      <c r="C8975" s="82"/>
      <c r="E8975" s="84"/>
      <c r="F8975" s="84"/>
      <c r="G8975" s="84"/>
      <c r="I8975" s="237"/>
      <c r="J8975" s="238"/>
    </row>
    <row r="8976">
      <c r="C8976" s="82"/>
      <c r="E8976" s="84"/>
      <c r="F8976" s="84"/>
      <c r="G8976" s="84"/>
      <c r="I8976" s="237"/>
      <c r="J8976" s="238"/>
    </row>
    <row r="8977">
      <c r="C8977" s="82"/>
      <c r="E8977" s="84"/>
      <c r="F8977" s="84"/>
      <c r="G8977" s="84"/>
      <c r="I8977" s="237"/>
      <c r="J8977" s="238"/>
    </row>
    <row r="8978">
      <c r="C8978" s="82"/>
      <c r="E8978" s="84"/>
      <c r="F8978" s="84"/>
      <c r="G8978" s="84"/>
      <c r="I8978" s="237"/>
      <c r="J8978" s="238"/>
    </row>
    <row r="8979">
      <c r="C8979" s="82"/>
      <c r="E8979" s="84"/>
      <c r="F8979" s="84"/>
      <c r="G8979" s="84"/>
      <c r="I8979" s="237"/>
      <c r="J8979" s="238"/>
    </row>
    <row r="8980">
      <c r="C8980" s="82"/>
      <c r="E8980" s="84"/>
      <c r="F8980" s="84"/>
      <c r="G8980" s="84"/>
      <c r="I8980" s="237"/>
      <c r="J8980" s="238"/>
    </row>
    <row r="8981">
      <c r="C8981" s="82"/>
      <c r="E8981" s="84"/>
      <c r="F8981" s="84"/>
      <c r="G8981" s="84"/>
      <c r="I8981" s="237"/>
      <c r="J8981" s="238"/>
    </row>
    <row r="8982">
      <c r="C8982" s="82"/>
      <c r="E8982" s="84"/>
      <c r="F8982" s="84"/>
      <c r="G8982" s="84"/>
      <c r="I8982" s="237"/>
      <c r="J8982" s="238"/>
    </row>
    <row r="8983">
      <c r="C8983" s="82"/>
      <c r="E8983" s="84"/>
      <c r="F8983" s="84"/>
      <c r="G8983" s="84"/>
      <c r="I8983" s="237"/>
      <c r="J8983" s="238"/>
    </row>
    <row r="8984">
      <c r="C8984" s="82"/>
      <c r="E8984" s="84"/>
      <c r="F8984" s="84"/>
      <c r="G8984" s="84"/>
      <c r="I8984" s="237"/>
      <c r="J8984" s="238"/>
    </row>
    <row r="8985">
      <c r="C8985" s="82"/>
      <c r="E8985" s="84"/>
      <c r="F8985" s="84"/>
      <c r="G8985" s="84"/>
      <c r="I8985" s="237"/>
      <c r="J8985" s="238"/>
    </row>
    <row r="8986">
      <c r="C8986" s="82"/>
      <c r="E8986" s="84"/>
      <c r="F8986" s="84"/>
      <c r="G8986" s="84"/>
      <c r="I8986" s="237"/>
      <c r="J8986" s="238"/>
    </row>
    <row r="8987">
      <c r="C8987" s="82"/>
      <c r="E8987" s="84"/>
      <c r="F8987" s="84"/>
      <c r="G8987" s="84"/>
      <c r="I8987" s="237"/>
      <c r="J8987" s="238"/>
    </row>
    <row r="8988">
      <c r="C8988" s="82"/>
      <c r="E8988" s="84"/>
      <c r="F8988" s="84"/>
      <c r="G8988" s="84"/>
      <c r="I8988" s="237"/>
      <c r="J8988" s="238"/>
    </row>
    <row r="8989">
      <c r="C8989" s="82"/>
      <c r="E8989" s="84"/>
      <c r="F8989" s="84"/>
      <c r="G8989" s="84"/>
      <c r="I8989" s="237"/>
      <c r="J8989" s="238"/>
    </row>
    <row r="8990">
      <c r="C8990" s="82"/>
      <c r="E8990" s="84"/>
      <c r="F8990" s="84"/>
      <c r="G8990" s="84"/>
      <c r="I8990" s="237"/>
      <c r="J8990" s="238"/>
    </row>
    <row r="8991">
      <c r="C8991" s="82"/>
      <c r="E8991" s="84"/>
      <c r="F8991" s="84"/>
      <c r="G8991" s="84"/>
      <c r="I8991" s="237"/>
      <c r="J8991" s="238"/>
    </row>
    <row r="8992">
      <c r="C8992" s="82"/>
      <c r="E8992" s="84"/>
      <c r="F8992" s="84"/>
      <c r="G8992" s="84"/>
      <c r="I8992" s="237"/>
      <c r="J8992" s="238"/>
    </row>
    <row r="8993">
      <c r="C8993" s="82"/>
      <c r="E8993" s="84"/>
      <c r="F8993" s="84"/>
      <c r="G8993" s="84"/>
      <c r="I8993" s="237"/>
      <c r="J8993" s="238"/>
    </row>
    <row r="8994">
      <c r="C8994" s="82"/>
      <c r="E8994" s="84"/>
      <c r="F8994" s="84"/>
      <c r="G8994" s="84"/>
      <c r="I8994" s="237"/>
      <c r="J8994" s="238"/>
    </row>
    <row r="8995">
      <c r="C8995" s="82"/>
      <c r="E8995" s="84"/>
      <c r="F8995" s="84"/>
      <c r="G8995" s="84"/>
      <c r="I8995" s="237"/>
      <c r="J8995" s="238"/>
    </row>
    <row r="8996">
      <c r="C8996" s="82"/>
      <c r="E8996" s="84"/>
      <c r="F8996" s="84"/>
      <c r="G8996" s="84"/>
      <c r="I8996" s="237"/>
      <c r="J8996" s="238"/>
    </row>
    <row r="8997">
      <c r="C8997" s="82"/>
      <c r="E8997" s="84"/>
      <c r="F8997" s="84"/>
      <c r="G8997" s="84"/>
      <c r="I8997" s="237"/>
      <c r="J8997" s="238"/>
    </row>
    <row r="8998">
      <c r="C8998" s="82"/>
      <c r="E8998" s="84"/>
      <c r="F8998" s="84"/>
      <c r="G8998" s="84"/>
      <c r="I8998" s="237"/>
      <c r="J8998" s="238"/>
    </row>
    <row r="8999">
      <c r="C8999" s="82"/>
      <c r="E8999" s="84"/>
      <c r="F8999" s="84"/>
      <c r="G8999" s="84"/>
      <c r="I8999" s="237"/>
      <c r="J8999" s="238"/>
    </row>
    <row r="9000">
      <c r="C9000" s="82"/>
      <c r="E9000" s="84"/>
      <c r="F9000" s="84"/>
      <c r="G9000" s="84"/>
      <c r="I9000" s="237"/>
      <c r="J9000" s="238"/>
    </row>
    <row r="9001">
      <c r="C9001" s="82"/>
      <c r="E9001" s="84"/>
      <c r="F9001" s="84"/>
      <c r="G9001" s="84"/>
      <c r="I9001" s="237"/>
      <c r="J9001" s="238"/>
    </row>
    <row r="9002">
      <c r="C9002" s="82"/>
      <c r="E9002" s="84"/>
      <c r="F9002" s="84"/>
      <c r="G9002" s="84"/>
      <c r="I9002" s="237"/>
      <c r="J9002" s="238"/>
    </row>
    <row r="9003">
      <c r="C9003" s="82"/>
      <c r="E9003" s="84"/>
      <c r="F9003" s="84"/>
      <c r="G9003" s="84"/>
      <c r="I9003" s="237"/>
      <c r="J9003" s="238"/>
    </row>
    <row r="9004">
      <c r="C9004" s="82"/>
      <c r="E9004" s="84"/>
      <c r="F9004" s="84"/>
      <c r="G9004" s="84"/>
      <c r="I9004" s="237"/>
      <c r="J9004" s="238"/>
    </row>
    <row r="9005">
      <c r="C9005" s="82"/>
      <c r="E9005" s="84"/>
      <c r="F9005" s="84"/>
      <c r="G9005" s="84"/>
      <c r="I9005" s="237"/>
      <c r="J9005" s="238"/>
    </row>
    <row r="9006">
      <c r="C9006" s="82"/>
      <c r="E9006" s="84"/>
      <c r="F9006" s="84"/>
      <c r="G9006" s="84"/>
      <c r="I9006" s="237"/>
      <c r="J9006" s="238"/>
    </row>
    <row r="9007">
      <c r="C9007" s="82"/>
      <c r="E9007" s="84"/>
      <c r="F9007" s="84"/>
      <c r="G9007" s="84"/>
      <c r="I9007" s="237"/>
      <c r="J9007" s="238"/>
    </row>
    <row r="9008">
      <c r="C9008" s="82"/>
      <c r="E9008" s="84"/>
      <c r="F9008" s="84"/>
      <c r="G9008" s="84"/>
      <c r="I9008" s="237"/>
      <c r="J9008" s="238"/>
    </row>
    <row r="9009">
      <c r="C9009" s="82"/>
      <c r="E9009" s="84"/>
      <c r="F9009" s="84"/>
      <c r="G9009" s="84"/>
      <c r="I9009" s="237"/>
      <c r="J9009" s="238"/>
    </row>
    <row r="9010">
      <c r="C9010" s="82"/>
      <c r="E9010" s="84"/>
      <c r="F9010" s="84"/>
      <c r="G9010" s="84"/>
      <c r="I9010" s="237"/>
      <c r="J9010" s="238"/>
    </row>
    <row r="9011">
      <c r="C9011" s="82"/>
      <c r="E9011" s="84"/>
      <c r="F9011" s="84"/>
      <c r="G9011" s="84"/>
      <c r="I9011" s="237"/>
      <c r="J9011" s="238"/>
    </row>
    <row r="9012">
      <c r="C9012" s="82"/>
      <c r="E9012" s="84"/>
      <c r="F9012" s="84"/>
      <c r="G9012" s="84"/>
      <c r="I9012" s="237"/>
      <c r="J9012" s="238"/>
    </row>
    <row r="9013">
      <c r="C9013" s="82"/>
      <c r="E9013" s="84"/>
      <c r="F9013" s="84"/>
      <c r="G9013" s="84"/>
      <c r="I9013" s="237"/>
      <c r="J9013" s="238"/>
    </row>
    <row r="9014">
      <c r="C9014" s="82"/>
      <c r="E9014" s="84"/>
      <c r="F9014" s="84"/>
      <c r="G9014" s="84"/>
      <c r="I9014" s="237"/>
      <c r="J9014" s="238"/>
    </row>
    <row r="9015">
      <c r="C9015" s="82"/>
      <c r="E9015" s="84"/>
      <c r="F9015" s="84"/>
      <c r="G9015" s="84"/>
      <c r="I9015" s="237"/>
      <c r="J9015" s="238"/>
    </row>
    <row r="9016">
      <c r="C9016" s="82"/>
      <c r="E9016" s="84"/>
      <c r="F9016" s="84"/>
      <c r="G9016" s="84"/>
      <c r="I9016" s="237"/>
      <c r="J9016" s="238"/>
    </row>
    <row r="9017">
      <c r="C9017" s="82"/>
      <c r="E9017" s="84"/>
      <c r="F9017" s="84"/>
      <c r="G9017" s="84"/>
      <c r="I9017" s="237"/>
      <c r="J9017" s="238"/>
    </row>
    <row r="9018">
      <c r="C9018" s="82"/>
      <c r="E9018" s="84"/>
      <c r="F9018" s="84"/>
      <c r="G9018" s="84"/>
      <c r="I9018" s="237"/>
      <c r="J9018" s="238"/>
    </row>
    <row r="9019">
      <c r="C9019" s="82"/>
      <c r="E9019" s="84"/>
      <c r="F9019" s="84"/>
      <c r="G9019" s="84"/>
      <c r="I9019" s="237"/>
      <c r="J9019" s="238"/>
    </row>
    <row r="9020">
      <c r="C9020" s="82"/>
      <c r="E9020" s="84"/>
      <c r="F9020" s="84"/>
      <c r="G9020" s="84"/>
      <c r="I9020" s="237"/>
      <c r="J9020" s="238"/>
    </row>
    <row r="9021">
      <c r="C9021" s="82"/>
      <c r="E9021" s="84"/>
      <c r="F9021" s="84"/>
      <c r="G9021" s="84"/>
      <c r="I9021" s="237"/>
      <c r="J9021" s="238"/>
    </row>
    <row r="9022">
      <c r="C9022" s="82"/>
      <c r="E9022" s="84"/>
      <c r="F9022" s="84"/>
      <c r="G9022" s="84"/>
      <c r="I9022" s="237"/>
      <c r="J9022" s="238"/>
    </row>
    <row r="9023">
      <c r="C9023" s="82"/>
      <c r="E9023" s="84"/>
      <c r="F9023" s="84"/>
      <c r="G9023" s="84"/>
      <c r="I9023" s="237"/>
      <c r="J9023" s="238"/>
    </row>
    <row r="9024">
      <c r="C9024" s="82"/>
      <c r="E9024" s="84"/>
      <c r="F9024" s="84"/>
      <c r="G9024" s="84"/>
      <c r="I9024" s="237"/>
      <c r="J9024" s="238"/>
    </row>
    <row r="9025">
      <c r="C9025" s="82"/>
      <c r="E9025" s="84"/>
      <c r="F9025" s="84"/>
      <c r="G9025" s="84"/>
      <c r="I9025" s="237"/>
      <c r="J9025" s="238"/>
    </row>
    <row r="9026">
      <c r="C9026" s="82"/>
      <c r="E9026" s="84"/>
      <c r="F9026" s="84"/>
      <c r="G9026" s="84"/>
      <c r="I9026" s="237"/>
      <c r="J9026" s="238"/>
    </row>
    <row r="9027">
      <c r="C9027" s="82"/>
      <c r="E9027" s="84"/>
      <c r="F9027" s="84"/>
      <c r="G9027" s="84"/>
      <c r="I9027" s="237"/>
      <c r="J9027" s="238"/>
    </row>
    <row r="9028">
      <c r="C9028" s="82"/>
      <c r="E9028" s="84"/>
      <c r="F9028" s="84"/>
      <c r="G9028" s="84"/>
      <c r="I9028" s="237"/>
      <c r="J9028" s="238"/>
    </row>
    <row r="9029">
      <c r="C9029" s="82"/>
      <c r="E9029" s="84"/>
      <c r="F9029" s="84"/>
      <c r="G9029" s="84"/>
      <c r="I9029" s="237"/>
      <c r="J9029" s="238"/>
    </row>
    <row r="9030">
      <c r="C9030" s="82"/>
      <c r="E9030" s="84"/>
      <c r="F9030" s="84"/>
      <c r="G9030" s="84"/>
      <c r="I9030" s="237"/>
      <c r="J9030" s="238"/>
    </row>
    <row r="9031">
      <c r="C9031" s="82"/>
      <c r="E9031" s="84"/>
      <c r="F9031" s="84"/>
      <c r="G9031" s="84"/>
      <c r="I9031" s="237"/>
      <c r="J9031" s="238"/>
    </row>
    <row r="9032">
      <c r="C9032" s="82"/>
      <c r="E9032" s="84"/>
      <c r="F9032" s="84"/>
      <c r="G9032" s="84"/>
      <c r="I9032" s="237"/>
      <c r="J9032" s="238"/>
    </row>
    <row r="9033">
      <c r="C9033" s="82"/>
      <c r="E9033" s="84"/>
      <c r="F9033" s="84"/>
      <c r="G9033" s="84"/>
      <c r="I9033" s="237"/>
      <c r="J9033" s="238"/>
    </row>
    <row r="9034">
      <c r="C9034" s="82"/>
      <c r="E9034" s="84"/>
      <c r="F9034" s="84"/>
      <c r="G9034" s="84"/>
      <c r="I9034" s="237"/>
      <c r="J9034" s="238"/>
    </row>
    <row r="9035">
      <c r="C9035" s="82"/>
      <c r="E9035" s="84"/>
      <c r="F9035" s="84"/>
      <c r="G9035" s="84"/>
      <c r="I9035" s="237"/>
      <c r="J9035" s="238"/>
    </row>
    <row r="9036">
      <c r="C9036" s="82"/>
      <c r="E9036" s="84"/>
      <c r="F9036" s="84"/>
      <c r="G9036" s="84"/>
      <c r="I9036" s="237"/>
      <c r="J9036" s="238"/>
    </row>
    <row r="9037">
      <c r="C9037" s="82"/>
      <c r="E9037" s="84"/>
      <c r="F9037" s="84"/>
      <c r="G9037" s="84"/>
      <c r="I9037" s="237"/>
      <c r="J9037" s="238"/>
    </row>
    <row r="9038">
      <c r="C9038" s="82"/>
      <c r="E9038" s="84"/>
      <c r="F9038" s="84"/>
      <c r="G9038" s="84"/>
      <c r="I9038" s="237"/>
      <c r="J9038" s="238"/>
    </row>
    <row r="9039">
      <c r="C9039" s="82"/>
      <c r="E9039" s="84"/>
      <c r="F9039" s="84"/>
      <c r="G9039" s="84"/>
      <c r="I9039" s="237"/>
      <c r="J9039" s="238"/>
    </row>
    <row r="9040">
      <c r="C9040" s="82"/>
      <c r="E9040" s="84"/>
      <c r="F9040" s="84"/>
      <c r="G9040" s="84"/>
      <c r="I9040" s="237"/>
      <c r="J9040" s="238"/>
    </row>
    <row r="9041">
      <c r="C9041" s="82"/>
      <c r="E9041" s="84"/>
      <c r="F9041" s="84"/>
      <c r="G9041" s="84"/>
      <c r="I9041" s="237"/>
      <c r="J9041" s="238"/>
    </row>
    <row r="9042">
      <c r="C9042" s="82"/>
      <c r="E9042" s="84"/>
      <c r="F9042" s="84"/>
      <c r="G9042" s="84"/>
      <c r="I9042" s="237"/>
      <c r="J9042" s="238"/>
    </row>
    <row r="9043">
      <c r="C9043" s="82"/>
      <c r="E9043" s="84"/>
      <c r="F9043" s="84"/>
      <c r="G9043" s="84"/>
      <c r="I9043" s="237"/>
      <c r="J9043" s="238"/>
    </row>
    <row r="9044">
      <c r="C9044" s="82"/>
      <c r="E9044" s="84"/>
      <c r="F9044" s="84"/>
      <c r="G9044" s="84"/>
      <c r="I9044" s="237"/>
      <c r="J9044" s="238"/>
    </row>
    <row r="9045">
      <c r="C9045" s="82"/>
      <c r="E9045" s="84"/>
      <c r="F9045" s="84"/>
      <c r="G9045" s="84"/>
      <c r="I9045" s="237"/>
      <c r="J9045" s="238"/>
    </row>
    <row r="9046">
      <c r="C9046" s="82"/>
      <c r="E9046" s="84"/>
      <c r="F9046" s="84"/>
      <c r="G9046" s="84"/>
      <c r="I9046" s="237"/>
      <c r="J9046" s="238"/>
    </row>
    <row r="9047">
      <c r="C9047" s="82"/>
      <c r="E9047" s="84"/>
      <c r="F9047" s="84"/>
      <c r="G9047" s="84"/>
      <c r="I9047" s="237"/>
      <c r="J9047" s="238"/>
    </row>
    <row r="9048">
      <c r="C9048" s="82"/>
      <c r="E9048" s="84"/>
      <c r="F9048" s="84"/>
      <c r="G9048" s="84"/>
      <c r="I9048" s="237"/>
      <c r="J9048" s="238"/>
    </row>
    <row r="9049">
      <c r="C9049" s="82"/>
      <c r="E9049" s="84"/>
      <c r="F9049" s="84"/>
      <c r="G9049" s="84"/>
      <c r="I9049" s="237"/>
      <c r="J9049" s="238"/>
    </row>
    <row r="9050">
      <c r="C9050" s="82"/>
      <c r="E9050" s="84"/>
      <c r="F9050" s="84"/>
      <c r="G9050" s="84"/>
      <c r="I9050" s="237"/>
      <c r="J9050" s="238"/>
    </row>
    <row r="9051">
      <c r="C9051" s="82"/>
      <c r="E9051" s="84"/>
      <c r="F9051" s="84"/>
      <c r="G9051" s="84"/>
      <c r="I9051" s="237"/>
      <c r="J9051" s="238"/>
    </row>
    <row r="9052">
      <c r="C9052" s="82"/>
      <c r="E9052" s="84"/>
      <c r="F9052" s="84"/>
      <c r="G9052" s="84"/>
      <c r="I9052" s="237"/>
      <c r="J9052" s="238"/>
    </row>
    <row r="9053">
      <c r="C9053" s="82"/>
      <c r="E9053" s="84"/>
      <c r="F9053" s="84"/>
      <c r="G9053" s="84"/>
      <c r="I9053" s="237"/>
      <c r="J9053" s="238"/>
    </row>
    <row r="9054">
      <c r="C9054" s="82"/>
      <c r="E9054" s="84"/>
      <c r="F9054" s="84"/>
      <c r="G9054" s="84"/>
      <c r="I9054" s="237"/>
      <c r="J9054" s="238"/>
    </row>
    <row r="9055">
      <c r="C9055" s="82"/>
      <c r="E9055" s="84"/>
      <c r="F9055" s="84"/>
      <c r="G9055" s="84"/>
      <c r="I9055" s="237"/>
      <c r="J9055" s="238"/>
    </row>
    <row r="9056">
      <c r="C9056" s="82"/>
      <c r="E9056" s="84"/>
      <c r="F9056" s="84"/>
      <c r="G9056" s="84"/>
      <c r="I9056" s="237"/>
      <c r="J9056" s="238"/>
    </row>
    <row r="9057">
      <c r="C9057" s="82"/>
      <c r="E9057" s="84"/>
      <c r="F9057" s="84"/>
      <c r="G9057" s="84"/>
      <c r="I9057" s="237"/>
      <c r="J9057" s="238"/>
    </row>
    <row r="9058">
      <c r="C9058" s="82"/>
      <c r="E9058" s="84"/>
      <c r="F9058" s="84"/>
      <c r="G9058" s="84"/>
      <c r="I9058" s="237"/>
      <c r="J9058" s="238"/>
    </row>
    <row r="9059">
      <c r="C9059" s="82"/>
      <c r="E9059" s="84"/>
      <c r="F9059" s="84"/>
      <c r="G9059" s="84"/>
      <c r="I9059" s="237"/>
      <c r="J9059" s="238"/>
    </row>
    <row r="9060">
      <c r="C9060" s="82"/>
      <c r="E9060" s="84"/>
      <c r="F9060" s="84"/>
      <c r="G9060" s="84"/>
      <c r="I9060" s="237"/>
      <c r="J9060" s="238"/>
    </row>
    <row r="9061">
      <c r="C9061" s="82"/>
      <c r="E9061" s="84"/>
      <c r="F9061" s="84"/>
      <c r="G9061" s="84"/>
      <c r="I9061" s="237"/>
      <c r="J9061" s="238"/>
    </row>
    <row r="9062">
      <c r="C9062" s="82"/>
      <c r="E9062" s="84"/>
      <c r="F9062" s="84"/>
      <c r="G9062" s="84"/>
      <c r="I9062" s="237"/>
      <c r="J9062" s="238"/>
    </row>
    <row r="9063">
      <c r="C9063" s="82"/>
      <c r="E9063" s="84"/>
      <c r="F9063" s="84"/>
      <c r="G9063" s="84"/>
      <c r="I9063" s="237"/>
      <c r="J9063" s="238"/>
    </row>
    <row r="9064">
      <c r="C9064" s="82"/>
      <c r="E9064" s="84"/>
      <c r="F9064" s="84"/>
      <c r="G9064" s="84"/>
      <c r="I9064" s="237"/>
      <c r="J9064" s="238"/>
    </row>
    <row r="9065">
      <c r="C9065" s="82"/>
      <c r="E9065" s="84"/>
      <c r="F9065" s="84"/>
      <c r="G9065" s="84"/>
      <c r="I9065" s="237"/>
      <c r="J9065" s="238"/>
    </row>
    <row r="9066">
      <c r="C9066" s="82"/>
      <c r="E9066" s="84"/>
      <c r="F9066" s="84"/>
      <c r="G9066" s="84"/>
      <c r="I9066" s="237"/>
      <c r="J9066" s="238"/>
    </row>
    <row r="9067">
      <c r="C9067" s="82"/>
      <c r="E9067" s="84"/>
      <c r="F9067" s="84"/>
      <c r="G9067" s="84"/>
      <c r="I9067" s="237"/>
      <c r="J9067" s="238"/>
    </row>
    <row r="9068">
      <c r="C9068" s="82"/>
      <c r="E9068" s="84"/>
      <c r="F9068" s="84"/>
      <c r="G9068" s="84"/>
      <c r="I9068" s="237"/>
      <c r="J9068" s="238"/>
    </row>
    <row r="9069">
      <c r="C9069" s="82"/>
      <c r="E9069" s="84"/>
      <c r="F9069" s="84"/>
      <c r="G9069" s="84"/>
      <c r="I9069" s="237"/>
      <c r="J9069" s="238"/>
    </row>
    <row r="9070">
      <c r="C9070" s="82"/>
      <c r="E9070" s="84"/>
      <c r="F9070" s="84"/>
      <c r="G9070" s="84"/>
      <c r="I9070" s="237"/>
      <c r="J9070" s="238"/>
    </row>
    <row r="9071">
      <c r="C9071" s="82"/>
      <c r="E9071" s="84"/>
      <c r="F9071" s="84"/>
      <c r="G9071" s="84"/>
      <c r="I9071" s="237"/>
      <c r="J9071" s="238"/>
    </row>
    <row r="9072">
      <c r="C9072" s="82"/>
      <c r="E9072" s="84"/>
      <c r="F9072" s="84"/>
      <c r="G9072" s="84"/>
      <c r="I9072" s="237"/>
      <c r="J9072" s="238"/>
    </row>
    <row r="9073">
      <c r="C9073" s="82"/>
      <c r="E9073" s="84"/>
      <c r="F9073" s="84"/>
      <c r="G9073" s="84"/>
      <c r="I9073" s="237"/>
      <c r="J9073" s="238"/>
    </row>
    <row r="9074">
      <c r="C9074" s="82"/>
      <c r="E9074" s="84"/>
      <c r="F9074" s="84"/>
      <c r="G9074" s="84"/>
      <c r="I9074" s="237"/>
      <c r="J9074" s="238"/>
    </row>
    <row r="9075">
      <c r="C9075" s="82"/>
      <c r="E9075" s="84"/>
      <c r="F9075" s="84"/>
      <c r="G9075" s="84"/>
      <c r="I9075" s="237"/>
      <c r="J9075" s="238"/>
    </row>
    <row r="9076">
      <c r="C9076" s="82"/>
      <c r="E9076" s="84"/>
      <c r="F9076" s="84"/>
      <c r="G9076" s="84"/>
      <c r="I9076" s="237"/>
      <c r="J9076" s="238"/>
    </row>
    <row r="9077">
      <c r="C9077" s="82"/>
      <c r="E9077" s="84"/>
      <c r="F9077" s="84"/>
      <c r="G9077" s="84"/>
      <c r="I9077" s="237"/>
      <c r="J9077" s="238"/>
    </row>
    <row r="9078">
      <c r="C9078" s="82"/>
      <c r="E9078" s="84"/>
      <c r="F9078" s="84"/>
      <c r="G9078" s="84"/>
      <c r="I9078" s="237"/>
      <c r="J9078" s="238"/>
    </row>
    <row r="9079">
      <c r="C9079" s="82"/>
      <c r="E9079" s="84"/>
      <c r="F9079" s="84"/>
      <c r="G9079" s="84"/>
      <c r="I9079" s="237"/>
      <c r="J9079" s="238"/>
    </row>
    <row r="9080">
      <c r="C9080" s="82"/>
      <c r="E9080" s="84"/>
      <c r="F9080" s="84"/>
      <c r="G9080" s="84"/>
      <c r="I9080" s="237"/>
      <c r="J9080" s="238"/>
    </row>
    <row r="9081">
      <c r="C9081" s="82"/>
      <c r="E9081" s="84"/>
      <c r="F9081" s="84"/>
      <c r="G9081" s="84"/>
      <c r="I9081" s="237"/>
      <c r="J9081" s="238"/>
    </row>
    <row r="9082">
      <c r="C9082" s="82"/>
      <c r="E9082" s="84"/>
      <c r="F9082" s="84"/>
      <c r="G9082" s="84"/>
      <c r="I9082" s="237"/>
      <c r="J9082" s="238"/>
    </row>
    <row r="9083">
      <c r="C9083" s="82"/>
      <c r="E9083" s="84"/>
      <c r="F9083" s="84"/>
      <c r="G9083" s="84"/>
      <c r="I9083" s="237"/>
      <c r="J9083" s="238"/>
    </row>
    <row r="9084">
      <c r="C9084" s="82"/>
      <c r="E9084" s="84"/>
      <c r="F9084" s="84"/>
      <c r="G9084" s="84"/>
      <c r="I9084" s="237"/>
      <c r="J9084" s="238"/>
    </row>
    <row r="9085">
      <c r="C9085" s="82"/>
      <c r="E9085" s="84"/>
      <c r="F9085" s="84"/>
      <c r="G9085" s="84"/>
      <c r="I9085" s="237"/>
      <c r="J9085" s="238"/>
    </row>
    <row r="9086">
      <c r="C9086" s="82"/>
      <c r="E9086" s="84"/>
      <c r="F9086" s="84"/>
      <c r="G9086" s="84"/>
      <c r="I9086" s="237"/>
      <c r="J9086" s="238"/>
    </row>
    <row r="9087">
      <c r="C9087" s="82"/>
      <c r="E9087" s="84"/>
      <c r="F9087" s="84"/>
      <c r="G9087" s="84"/>
      <c r="I9087" s="237"/>
      <c r="J9087" s="238"/>
    </row>
    <row r="9088">
      <c r="C9088" s="82"/>
      <c r="E9088" s="84"/>
      <c r="F9088" s="84"/>
      <c r="G9088" s="84"/>
      <c r="I9088" s="237"/>
      <c r="J9088" s="238"/>
    </row>
    <row r="9089">
      <c r="C9089" s="82"/>
      <c r="E9089" s="84"/>
      <c r="F9089" s="84"/>
      <c r="G9089" s="84"/>
      <c r="I9089" s="237"/>
      <c r="J9089" s="238"/>
    </row>
    <row r="9090">
      <c r="C9090" s="82"/>
      <c r="E9090" s="84"/>
      <c r="F9090" s="84"/>
      <c r="G9090" s="84"/>
      <c r="I9090" s="237"/>
      <c r="J9090" s="238"/>
    </row>
    <row r="9091">
      <c r="C9091" s="82"/>
      <c r="E9091" s="84"/>
      <c r="F9091" s="84"/>
      <c r="G9091" s="84"/>
      <c r="I9091" s="237"/>
      <c r="J9091" s="238"/>
    </row>
    <row r="9092">
      <c r="C9092" s="82"/>
      <c r="E9092" s="84"/>
      <c r="F9092" s="84"/>
      <c r="G9092" s="84"/>
      <c r="I9092" s="237"/>
      <c r="J9092" s="238"/>
    </row>
    <row r="9093">
      <c r="C9093" s="82"/>
      <c r="E9093" s="84"/>
      <c r="F9093" s="84"/>
      <c r="G9093" s="84"/>
      <c r="I9093" s="237"/>
      <c r="J9093" s="238"/>
    </row>
    <row r="9094">
      <c r="C9094" s="82"/>
      <c r="E9094" s="84"/>
      <c r="F9094" s="84"/>
      <c r="G9094" s="84"/>
      <c r="I9094" s="237"/>
      <c r="J9094" s="238"/>
    </row>
    <row r="9095">
      <c r="C9095" s="82"/>
      <c r="E9095" s="84"/>
      <c r="F9095" s="84"/>
      <c r="G9095" s="84"/>
      <c r="I9095" s="237"/>
      <c r="J9095" s="238"/>
    </row>
    <row r="9096">
      <c r="C9096" s="82"/>
      <c r="E9096" s="84"/>
      <c r="F9096" s="84"/>
      <c r="G9096" s="84"/>
      <c r="I9096" s="237"/>
      <c r="J9096" s="238"/>
    </row>
    <row r="9097">
      <c r="C9097" s="82"/>
      <c r="E9097" s="84"/>
      <c r="F9097" s="84"/>
      <c r="G9097" s="84"/>
      <c r="I9097" s="237"/>
      <c r="J9097" s="238"/>
    </row>
    <row r="9098">
      <c r="C9098" s="82"/>
      <c r="E9098" s="84"/>
      <c r="F9098" s="84"/>
      <c r="G9098" s="84"/>
      <c r="I9098" s="237"/>
      <c r="J9098" s="238"/>
    </row>
    <row r="9099">
      <c r="C9099" s="82"/>
      <c r="E9099" s="84"/>
      <c r="F9099" s="84"/>
      <c r="G9099" s="84"/>
      <c r="I9099" s="237"/>
      <c r="J9099" s="238"/>
    </row>
    <row r="9100">
      <c r="C9100" s="82"/>
      <c r="E9100" s="84"/>
      <c r="F9100" s="84"/>
      <c r="G9100" s="84"/>
      <c r="I9100" s="237"/>
      <c r="J9100" s="238"/>
    </row>
    <row r="9101">
      <c r="C9101" s="82"/>
      <c r="E9101" s="84"/>
      <c r="F9101" s="84"/>
      <c r="G9101" s="84"/>
      <c r="I9101" s="237"/>
      <c r="J9101" s="238"/>
    </row>
    <row r="9102">
      <c r="C9102" s="82"/>
      <c r="E9102" s="84"/>
      <c r="F9102" s="84"/>
      <c r="G9102" s="84"/>
      <c r="I9102" s="237"/>
      <c r="J9102" s="238"/>
    </row>
    <row r="9103">
      <c r="C9103" s="82"/>
      <c r="E9103" s="84"/>
      <c r="F9103" s="84"/>
      <c r="G9103" s="84"/>
      <c r="I9103" s="237"/>
      <c r="J9103" s="238"/>
    </row>
    <row r="9104">
      <c r="C9104" s="82"/>
      <c r="E9104" s="84"/>
      <c r="F9104" s="84"/>
      <c r="G9104" s="84"/>
      <c r="I9104" s="237"/>
      <c r="J9104" s="238"/>
    </row>
    <row r="9105">
      <c r="C9105" s="82"/>
      <c r="E9105" s="84"/>
      <c r="F9105" s="84"/>
      <c r="G9105" s="84"/>
      <c r="I9105" s="237"/>
      <c r="J9105" s="238"/>
    </row>
    <row r="9106">
      <c r="C9106" s="82"/>
      <c r="E9106" s="84"/>
      <c r="F9106" s="84"/>
      <c r="G9106" s="84"/>
      <c r="I9106" s="237"/>
      <c r="J9106" s="238"/>
    </row>
    <row r="9107">
      <c r="C9107" s="82"/>
      <c r="E9107" s="84"/>
      <c r="F9107" s="84"/>
      <c r="G9107" s="84"/>
      <c r="I9107" s="237"/>
      <c r="J9107" s="238"/>
    </row>
    <row r="9108">
      <c r="C9108" s="82"/>
      <c r="E9108" s="84"/>
      <c r="F9108" s="84"/>
      <c r="G9108" s="84"/>
      <c r="I9108" s="237"/>
      <c r="J9108" s="238"/>
    </row>
    <row r="9109">
      <c r="C9109" s="82"/>
      <c r="E9109" s="84"/>
      <c r="F9109" s="84"/>
      <c r="G9109" s="84"/>
      <c r="I9109" s="237"/>
      <c r="J9109" s="238"/>
    </row>
    <row r="9110">
      <c r="C9110" s="82"/>
      <c r="E9110" s="84"/>
      <c r="F9110" s="84"/>
      <c r="G9110" s="84"/>
      <c r="I9110" s="237"/>
      <c r="J9110" s="238"/>
    </row>
    <row r="9111">
      <c r="C9111" s="82"/>
      <c r="E9111" s="84"/>
      <c r="F9111" s="84"/>
      <c r="G9111" s="84"/>
      <c r="I9111" s="237"/>
      <c r="J9111" s="238"/>
    </row>
    <row r="9112">
      <c r="C9112" s="82"/>
      <c r="E9112" s="84"/>
      <c r="F9112" s="84"/>
      <c r="G9112" s="84"/>
      <c r="I9112" s="237"/>
      <c r="J9112" s="238"/>
    </row>
    <row r="9113">
      <c r="C9113" s="82"/>
      <c r="E9113" s="84"/>
      <c r="F9113" s="84"/>
      <c r="G9113" s="84"/>
      <c r="I9113" s="237"/>
      <c r="J9113" s="238"/>
    </row>
    <row r="9114">
      <c r="C9114" s="82"/>
      <c r="E9114" s="84"/>
      <c r="F9114" s="84"/>
      <c r="G9114" s="84"/>
      <c r="I9114" s="237"/>
      <c r="J9114" s="238"/>
    </row>
    <row r="9115">
      <c r="C9115" s="82"/>
      <c r="E9115" s="84"/>
      <c r="F9115" s="84"/>
      <c r="G9115" s="84"/>
      <c r="I9115" s="237"/>
      <c r="J9115" s="238"/>
    </row>
    <row r="9116">
      <c r="C9116" s="82"/>
      <c r="E9116" s="84"/>
      <c r="F9116" s="84"/>
      <c r="G9116" s="84"/>
      <c r="I9116" s="237"/>
      <c r="J9116" s="238"/>
    </row>
    <row r="9117">
      <c r="C9117" s="82"/>
      <c r="E9117" s="84"/>
      <c r="F9117" s="84"/>
      <c r="G9117" s="84"/>
      <c r="I9117" s="237"/>
      <c r="J9117" s="238"/>
    </row>
    <row r="9118">
      <c r="C9118" s="82"/>
      <c r="E9118" s="84"/>
      <c r="F9118" s="84"/>
      <c r="G9118" s="84"/>
      <c r="I9118" s="237"/>
      <c r="J9118" s="238"/>
    </row>
    <row r="9119">
      <c r="C9119" s="82"/>
      <c r="E9119" s="84"/>
      <c r="F9119" s="84"/>
      <c r="G9119" s="84"/>
      <c r="I9119" s="237"/>
      <c r="J9119" s="238"/>
    </row>
    <row r="9120">
      <c r="C9120" s="82"/>
      <c r="E9120" s="84"/>
      <c r="F9120" s="84"/>
      <c r="G9120" s="84"/>
      <c r="I9120" s="237"/>
      <c r="J9120" s="238"/>
    </row>
    <row r="9121">
      <c r="C9121" s="82"/>
      <c r="E9121" s="84"/>
      <c r="F9121" s="84"/>
      <c r="G9121" s="84"/>
      <c r="I9121" s="237"/>
      <c r="J9121" s="238"/>
    </row>
    <row r="9122">
      <c r="C9122" s="82"/>
      <c r="E9122" s="84"/>
      <c r="F9122" s="84"/>
      <c r="G9122" s="84"/>
      <c r="I9122" s="237"/>
      <c r="J9122" s="238"/>
    </row>
    <row r="9123">
      <c r="C9123" s="82"/>
      <c r="E9123" s="84"/>
      <c r="F9123" s="84"/>
      <c r="G9123" s="84"/>
      <c r="I9123" s="237"/>
      <c r="J9123" s="238"/>
    </row>
    <row r="9124">
      <c r="C9124" s="82"/>
      <c r="E9124" s="84"/>
      <c r="F9124" s="84"/>
      <c r="G9124" s="84"/>
      <c r="I9124" s="237"/>
      <c r="J9124" s="238"/>
    </row>
    <row r="9125">
      <c r="C9125" s="82"/>
      <c r="E9125" s="84"/>
      <c r="F9125" s="84"/>
      <c r="G9125" s="84"/>
      <c r="I9125" s="237"/>
      <c r="J9125" s="238"/>
    </row>
    <row r="9126">
      <c r="C9126" s="82"/>
      <c r="E9126" s="84"/>
      <c r="F9126" s="84"/>
      <c r="G9126" s="84"/>
      <c r="I9126" s="237"/>
      <c r="J9126" s="238"/>
    </row>
    <row r="9127">
      <c r="C9127" s="82"/>
      <c r="E9127" s="84"/>
      <c r="F9127" s="84"/>
      <c r="G9127" s="84"/>
      <c r="I9127" s="237"/>
      <c r="J9127" s="238"/>
    </row>
    <row r="9128">
      <c r="C9128" s="82"/>
      <c r="E9128" s="84"/>
      <c r="F9128" s="84"/>
      <c r="G9128" s="84"/>
      <c r="I9128" s="237"/>
      <c r="J9128" s="238"/>
    </row>
    <row r="9129">
      <c r="C9129" s="82"/>
      <c r="E9129" s="84"/>
      <c r="F9129" s="84"/>
      <c r="G9129" s="84"/>
      <c r="I9129" s="237"/>
      <c r="J9129" s="238"/>
    </row>
    <row r="9130">
      <c r="C9130" s="82"/>
      <c r="E9130" s="84"/>
      <c r="F9130" s="84"/>
      <c r="G9130" s="84"/>
      <c r="I9130" s="237"/>
      <c r="J9130" s="238"/>
    </row>
    <row r="9131">
      <c r="C9131" s="82"/>
      <c r="E9131" s="84"/>
      <c r="F9131" s="84"/>
      <c r="G9131" s="84"/>
      <c r="I9131" s="237"/>
      <c r="J9131" s="238"/>
    </row>
    <row r="9132">
      <c r="C9132" s="82"/>
      <c r="E9132" s="84"/>
      <c r="F9132" s="84"/>
      <c r="G9132" s="84"/>
      <c r="I9132" s="237"/>
      <c r="J9132" s="238"/>
    </row>
    <row r="9133">
      <c r="C9133" s="82"/>
      <c r="E9133" s="84"/>
      <c r="F9133" s="84"/>
      <c r="G9133" s="84"/>
      <c r="I9133" s="237"/>
      <c r="J9133" s="238"/>
    </row>
    <row r="9134">
      <c r="C9134" s="82"/>
      <c r="E9134" s="84"/>
      <c r="F9134" s="84"/>
      <c r="G9134" s="84"/>
      <c r="I9134" s="237"/>
      <c r="J9134" s="238"/>
    </row>
    <row r="9135">
      <c r="C9135" s="82"/>
      <c r="E9135" s="84"/>
      <c r="F9135" s="84"/>
      <c r="G9135" s="84"/>
      <c r="I9135" s="237"/>
      <c r="J9135" s="238"/>
    </row>
    <row r="9136">
      <c r="C9136" s="82"/>
      <c r="E9136" s="84"/>
      <c r="F9136" s="84"/>
      <c r="G9136" s="84"/>
      <c r="I9136" s="237"/>
      <c r="J9136" s="238"/>
    </row>
    <row r="9137">
      <c r="C9137" s="82"/>
      <c r="E9137" s="84"/>
      <c r="F9137" s="84"/>
      <c r="G9137" s="84"/>
      <c r="I9137" s="237"/>
      <c r="J9137" s="238"/>
    </row>
    <row r="9138">
      <c r="C9138" s="82"/>
      <c r="E9138" s="84"/>
      <c r="F9138" s="84"/>
      <c r="G9138" s="84"/>
      <c r="I9138" s="237"/>
      <c r="J9138" s="238"/>
    </row>
    <row r="9139">
      <c r="C9139" s="82"/>
      <c r="E9139" s="84"/>
      <c r="F9139" s="84"/>
      <c r="G9139" s="84"/>
      <c r="I9139" s="237"/>
      <c r="J9139" s="238"/>
    </row>
    <row r="9140">
      <c r="C9140" s="82"/>
      <c r="E9140" s="84"/>
      <c r="F9140" s="84"/>
      <c r="G9140" s="84"/>
      <c r="I9140" s="237"/>
      <c r="J9140" s="238"/>
    </row>
    <row r="9141">
      <c r="C9141" s="82"/>
      <c r="E9141" s="84"/>
      <c r="F9141" s="84"/>
      <c r="G9141" s="84"/>
      <c r="I9141" s="237"/>
      <c r="J9141" s="238"/>
    </row>
    <row r="9142">
      <c r="C9142" s="82"/>
      <c r="E9142" s="84"/>
      <c r="F9142" s="84"/>
      <c r="G9142" s="84"/>
      <c r="I9142" s="237"/>
      <c r="J9142" s="238"/>
    </row>
    <row r="9143">
      <c r="C9143" s="82"/>
      <c r="E9143" s="84"/>
      <c r="F9143" s="84"/>
      <c r="G9143" s="84"/>
      <c r="I9143" s="237"/>
      <c r="J9143" s="238"/>
    </row>
    <row r="9144">
      <c r="C9144" s="82"/>
      <c r="E9144" s="84"/>
      <c r="F9144" s="84"/>
      <c r="G9144" s="84"/>
      <c r="I9144" s="237"/>
      <c r="J9144" s="238"/>
    </row>
    <row r="9145">
      <c r="C9145" s="82"/>
      <c r="E9145" s="84"/>
      <c r="F9145" s="84"/>
      <c r="G9145" s="84"/>
      <c r="I9145" s="237"/>
      <c r="J9145" s="238"/>
    </row>
    <row r="9146">
      <c r="C9146" s="82"/>
      <c r="E9146" s="84"/>
      <c r="F9146" s="84"/>
      <c r="G9146" s="84"/>
      <c r="I9146" s="237"/>
      <c r="J9146" s="238"/>
    </row>
    <row r="9147">
      <c r="C9147" s="82"/>
      <c r="E9147" s="84"/>
      <c r="F9147" s="84"/>
      <c r="G9147" s="84"/>
      <c r="I9147" s="237"/>
      <c r="J9147" s="238"/>
    </row>
    <row r="9148">
      <c r="C9148" s="82"/>
      <c r="E9148" s="84"/>
      <c r="F9148" s="84"/>
      <c r="G9148" s="84"/>
      <c r="I9148" s="237"/>
      <c r="J9148" s="238"/>
    </row>
    <row r="9149">
      <c r="C9149" s="82"/>
      <c r="E9149" s="84"/>
      <c r="F9149" s="84"/>
      <c r="G9149" s="84"/>
      <c r="I9149" s="237"/>
      <c r="J9149" s="238"/>
    </row>
    <row r="9150">
      <c r="C9150" s="82"/>
      <c r="E9150" s="84"/>
      <c r="F9150" s="84"/>
      <c r="G9150" s="84"/>
      <c r="I9150" s="237"/>
      <c r="J9150" s="238"/>
    </row>
    <row r="9151">
      <c r="C9151" s="82"/>
      <c r="E9151" s="84"/>
      <c r="F9151" s="84"/>
      <c r="G9151" s="84"/>
      <c r="I9151" s="237"/>
      <c r="J9151" s="238"/>
    </row>
    <row r="9152">
      <c r="C9152" s="82"/>
      <c r="E9152" s="84"/>
      <c r="F9152" s="84"/>
      <c r="G9152" s="84"/>
      <c r="I9152" s="237"/>
      <c r="J9152" s="238"/>
    </row>
    <row r="9153">
      <c r="C9153" s="82"/>
      <c r="E9153" s="84"/>
      <c r="F9153" s="84"/>
      <c r="G9153" s="84"/>
      <c r="I9153" s="237"/>
      <c r="J9153" s="238"/>
    </row>
    <row r="9154">
      <c r="C9154" s="82"/>
      <c r="E9154" s="84"/>
      <c r="F9154" s="84"/>
      <c r="G9154" s="84"/>
      <c r="I9154" s="237"/>
      <c r="J9154" s="238"/>
    </row>
    <row r="9155">
      <c r="C9155" s="82"/>
      <c r="E9155" s="84"/>
      <c r="F9155" s="84"/>
      <c r="G9155" s="84"/>
      <c r="I9155" s="237"/>
      <c r="J9155" s="238"/>
    </row>
    <row r="9156">
      <c r="C9156" s="82"/>
      <c r="E9156" s="84"/>
      <c r="F9156" s="84"/>
      <c r="G9156" s="84"/>
      <c r="I9156" s="237"/>
      <c r="J9156" s="238"/>
    </row>
    <row r="9157">
      <c r="C9157" s="82"/>
      <c r="E9157" s="84"/>
      <c r="F9157" s="84"/>
      <c r="G9157" s="84"/>
      <c r="I9157" s="237"/>
      <c r="J9157" s="238"/>
    </row>
    <row r="9158">
      <c r="C9158" s="82"/>
      <c r="E9158" s="84"/>
      <c r="F9158" s="84"/>
      <c r="G9158" s="84"/>
      <c r="I9158" s="237"/>
      <c r="J9158" s="238"/>
    </row>
    <row r="9159">
      <c r="C9159" s="82"/>
      <c r="E9159" s="84"/>
      <c r="F9159" s="84"/>
      <c r="G9159" s="84"/>
      <c r="I9159" s="237"/>
      <c r="J9159" s="238"/>
    </row>
    <row r="9160">
      <c r="C9160" s="82"/>
      <c r="E9160" s="84"/>
      <c r="F9160" s="84"/>
      <c r="G9160" s="84"/>
      <c r="I9160" s="237"/>
      <c r="J9160" s="238"/>
    </row>
    <row r="9161">
      <c r="C9161" s="82"/>
      <c r="E9161" s="84"/>
      <c r="F9161" s="84"/>
      <c r="G9161" s="84"/>
      <c r="I9161" s="237"/>
      <c r="J9161" s="238"/>
    </row>
    <row r="9162">
      <c r="C9162" s="82"/>
      <c r="E9162" s="84"/>
      <c r="F9162" s="84"/>
      <c r="G9162" s="84"/>
      <c r="I9162" s="237"/>
      <c r="J9162" s="238"/>
    </row>
    <row r="9163">
      <c r="C9163" s="82"/>
      <c r="E9163" s="84"/>
      <c r="F9163" s="84"/>
      <c r="G9163" s="84"/>
      <c r="I9163" s="237"/>
      <c r="J9163" s="238"/>
    </row>
    <row r="9164">
      <c r="C9164" s="82"/>
      <c r="E9164" s="84"/>
      <c r="F9164" s="84"/>
      <c r="G9164" s="84"/>
      <c r="I9164" s="237"/>
      <c r="J9164" s="238"/>
    </row>
    <row r="9165">
      <c r="C9165" s="82"/>
      <c r="E9165" s="84"/>
      <c r="F9165" s="84"/>
      <c r="G9165" s="84"/>
      <c r="I9165" s="237"/>
      <c r="J9165" s="238"/>
    </row>
    <row r="9166">
      <c r="C9166" s="82"/>
      <c r="E9166" s="84"/>
      <c r="F9166" s="84"/>
      <c r="G9166" s="84"/>
      <c r="I9166" s="237"/>
      <c r="J9166" s="238"/>
    </row>
    <row r="9167">
      <c r="C9167" s="82"/>
      <c r="E9167" s="84"/>
      <c r="F9167" s="84"/>
      <c r="G9167" s="84"/>
      <c r="I9167" s="237"/>
      <c r="J9167" s="238"/>
    </row>
    <row r="9168">
      <c r="C9168" s="82"/>
      <c r="E9168" s="84"/>
      <c r="F9168" s="84"/>
      <c r="G9168" s="84"/>
      <c r="I9168" s="237"/>
      <c r="J9168" s="238"/>
    </row>
    <row r="9169">
      <c r="C9169" s="82"/>
      <c r="E9169" s="84"/>
      <c r="F9169" s="84"/>
      <c r="G9169" s="84"/>
      <c r="I9169" s="237"/>
      <c r="J9169" s="238"/>
    </row>
    <row r="9170">
      <c r="C9170" s="82"/>
      <c r="E9170" s="84"/>
      <c r="F9170" s="84"/>
      <c r="G9170" s="84"/>
      <c r="I9170" s="237"/>
      <c r="J9170" s="238"/>
    </row>
    <row r="9171">
      <c r="C9171" s="82"/>
      <c r="E9171" s="84"/>
      <c r="F9171" s="84"/>
      <c r="G9171" s="84"/>
      <c r="I9171" s="237"/>
      <c r="J9171" s="238"/>
    </row>
    <row r="9172">
      <c r="C9172" s="82"/>
      <c r="E9172" s="84"/>
      <c r="F9172" s="84"/>
      <c r="G9172" s="84"/>
      <c r="I9172" s="237"/>
      <c r="J9172" s="238"/>
    </row>
    <row r="9173">
      <c r="C9173" s="82"/>
      <c r="E9173" s="84"/>
      <c r="F9173" s="84"/>
      <c r="G9173" s="84"/>
      <c r="I9173" s="237"/>
      <c r="J9173" s="238"/>
    </row>
    <row r="9174">
      <c r="C9174" s="82"/>
      <c r="E9174" s="84"/>
      <c r="F9174" s="84"/>
      <c r="G9174" s="84"/>
      <c r="I9174" s="237"/>
      <c r="J9174" s="238"/>
    </row>
    <row r="9175">
      <c r="C9175" s="82"/>
      <c r="E9175" s="84"/>
      <c r="F9175" s="84"/>
      <c r="G9175" s="84"/>
      <c r="I9175" s="237"/>
      <c r="J9175" s="238"/>
    </row>
    <row r="9176">
      <c r="C9176" s="82"/>
      <c r="E9176" s="84"/>
      <c r="F9176" s="84"/>
      <c r="G9176" s="84"/>
      <c r="I9176" s="237"/>
      <c r="J9176" s="238"/>
    </row>
    <row r="9177">
      <c r="C9177" s="82"/>
      <c r="E9177" s="84"/>
      <c r="F9177" s="84"/>
      <c r="G9177" s="84"/>
      <c r="I9177" s="237"/>
      <c r="J9177" s="238"/>
    </row>
    <row r="9178">
      <c r="C9178" s="82"/>
      <c r="E9178" s="84"/>
      <c r="F9178" s="84"/>
      <c r="G9178" s="84"/>
      <c r="I9178" s="237"/>
      <c r="J9178" s="238"/>
    </row>
    <row r="9179">
      <c r="C9179" s="82"/>
      <c r="E9179" s="84"/>
      <c r="F9179" s="84"/>
      <c r="G9179" s="84"/>
      <c r="I9179" s="237"/>
      <c r="J9179" s="238"/>
    </row>
    <row r="9180">
      <c r="C9180" s="82"/>
      <c r="E9180" s="84"/>
      <c r="F9180" s="84"/>
      <c r="G9180" s="84"/>
      <c r="I9180" s="237"/>
      <c r="J9180" s="238"/>
    </row>
    <row r="9181">
      <c r="C9181" s="82"/>
      <c r="E9181" s="84"/>
      <c r="F9181" s="84"/>
      <c r="G9181" s="84"/>
      <c r="I9181" s="237"/>
      <c r="J9181" s="238"/>
    </row>
    <row r="9182">
      <c r="C9182" s="82"/>
      <c r="E9182" s="84"/>
      <c r="F9182" s="84"/>
      <c r="G9182" s="84"/>
      <c r="I9182" s="237"/>
      <c r="J9182" s="238"/>
    </row>
    <row r="9183">
      <c r="C9183" s="82"/>
      <c r="E9183" s="84"/>
      <c r="F9183" s="84"/>
      <c r="G9183" s="84"/>
      <c r="I9183" s="237"/>
      <c r="J9183" s="238"/>
    </row>
    <row r="9184">
      <c r="C9184" s="82"/>
      <c r="E9184" s="84"/>
      <c r="F9184" s="84"/>
      <c r="G9184" s="84"/>
      <c r="I9184" s="237"/>
      <c r="J9184" s="238"/>
    </row>
    <row r="9185">
      <c r="C9185" s="82"/>
      <c r="E9185" s="84"/>
      <c r="F9185" s="84"/>
      <c r="G9185" s="84"/>
      <c r="I9185" s="237"/>
      <c r="J9185" s="238"/>
    </row>
    <row r="9186">
      <c r="C9186" s="82"/>
      <c r="E9186" s="84"/>
      <c r="F9186" s="84"/>
      <c r="G9186" s="84"/>
      <c r="I9186" s="237"/>
      <c r="J9186" s="238"/>
    </row>
    <row r="9187">
      <c r="C9187" s="82"/>
      <c r="E9187" s="84"/>
      <c r="F9187" s="84"/>
      <c r="G9187" s="84"/>
      <c r="I9187" s="237"/>
      <c r="J9187" s="238"/>
    </row>
    <row r="9188">
      <c r="C9188" s="82"/>
      <c r="E9188" s="84"/>
      <c r="F9188" s="84"/>
      <c r="G9188" s="84"/>
      <c r="I9188" s="237"/>
      <c r="J9188" s="238"/>
    </row>
    <row r="9189">
      <c r="C9189" s="82"/>
      <c r="E9189" s="84"/>
      <c r="F9189" s="84"/>
      <c r="G9189" s="84"/>
      <c r="I9189" s="237"/>
      <c r="J9189" s="238"/>
    </row>
    <row r="9190">
      <c r="C9190" s="82"/>
      <c r="E9190" s="84"/>
      <c r="F9190" s="84"/>
      <c r="G9190" s="84"/>
      <c r="I9190" s="237"/>
      <c r="J9190" s="238"/>
    </row>
    <row r="9191">
      <c r="C9191" s="82"/>
      <c r="E9191" s="84"/>
      <c r="F9191" s="84"/>
      <c r="G9191" s="84"/>
      <c r="I9191" s="237"/>
      <c r="J9191" s="238"/>
    </row>
    <row r="9192">
      <c r="C9192" s="82"/>
      <c r="E9192" s="84"/>
      <c r="F9192" s="84"/>
      <c r="G9192" s="84"/>
      <c r="I9192" s="237"/>
      <c r="J9192" s="238"/>
    </row>
    <row r="9193">
      <c r="C9193" s="82"/>
      <c r="E9193" s="84"/>
      <c r="F9193" s="84"/>
      <c r="G9193" s="84"/>
      <c r="I9193" s="237"/>
      <c r="J9193" s="238"/>
    </row>
    <row r="9194">
      <c r="C9194" s="82"/>
      <c r="E9194" s="84"/>
      <c r="F9194" s="84"/>
      <c r="G9194" s="84"/>
      <c r="I9194" s="237"/>
      <c r="J9194" s="238"/>
    </row>
    <row r="9195">
      <c r="C9195" s="82"/>
      <c r="E9195" s="84"/>
      <c r="F9195" s="84"/>
      <c r="G9195" s="84"/>
      <c r="I9195" s="237"/>
      <c r="J9195" s="238"/>
    </row>
    <row r="9196">
      <c r="C9196" s="82"/>
      <c r="E9196" s="84"/>
      <c r="F9196" s="84"/>
      <c r="G9196" s="84"/>
      <c r="I9196" s="237"/>
      <c r="J9196" s="238"/>
    </row>
    <row r="9197">
      <c r="C9197" s="82"/>
      <c r="E9197" s="84"/>
      <c r="F9197" s="84"/>
      <c r="G9197" s="84"/>
      <c r="I9197" s="237"/>
      <c r="J9197" s="238"/>
    </row>
    <row r="9198">
      <c r="C9198" s="82"/>
      <c r="E9198" s="84"/>
      <c r="F9198" s="84"/>
      <c r="G9198" s="84"/>
      <c r="I9198" s="237"/>
      <c r="J9198" s="238"/>
    </row>
    <row r="9199">
      <c r="C9199" s="82"/>
      <c r="E9199" s="84"/>
      <c r="F9199" s="84"/>
      <c r="G9199" s="84"/>
      <c r="I9199" s="237"/>
      <c r="J9199" s="238"/>
    </row>
    <row r="9200">
      <c r="C9200" s="82"/>
      <c r="E9200" s="84"/>
      <c r="F9200" s="84"/>
      <c r="G9200" s="84"/>
      <c r="I9200" s="237"/>
      <c r="J9200" s="238"/>
    </row>
    <row r="9201">
      <c r="C9201" s="82"/>
      <c r="E9201" s="84"/>
      <c r="F9201" s="84"/>
      <c r="G9201" s="84"/>
      <c r="I9201" s="237"/>
      <c r="J9201" s="238"/>
    </row>
    <row r="9202">
      <c r="C9202" s="82"/>
      <c r="E9202" s="84"/>
      <c r="F9202" s="84"/>
      <c r="G9202" s="84"/>
      <c r="I9202" s="237"/>
      <c r="J9202" s="238"/>
    </row>
    <row r="9203">
      <c r="C9203" s="82"/>
      <c r="E9203" s="84"/>
      <c r="F9203" s="84"/>
      <c r="G9203" s="84"/>
      <c r="I9203" s="237"/>
      <c r="J9203" s="238"/>
    </row>
    <row r="9204">
      <c r="C9204" s="82"/>
      <c r="E9204" s="84"/>
      <c r="F9204" s="84"/>
      <c r="G9204" s="84"/>
      <c r="I9204" s="237"/>
      <c r="J9204" s="238"/>
    </row>
    <row r="9205">
      <c r="C9205" s="82"/>
      <c r="E9205" s="84"/>
      <c r="F9205" s="84"/>
      <c r="G9205" s="84"/>
      <c r="I9205" s="237"/>
      <c r="J9205" s="238"/>
    </row>
    <row r="9206">
      <c r="C9206" s="82"/>
      <c r="E9206" s="84"/>
      <c r="F9206" s="84"/>
      <c r="G9206" s="84"/>
      <c r="I9206" s="237"/>
      <c r="J9206" s="238"/>
    </row>
    <row r="9207">
      <c r="C9207" s="82"/>
      <c r="E9207" s="84"/>
      <c r="F9207" s="84"/>
      <c r="G9207" s="84"/>
      <c r="I9207" s="237"/>
      <c r="J9207" s="238"/>
    </row>
    <row r="9208">
      <c r="C9208" s="82"/>
      <c r="E9208" s="84"/>
      <c r="F9208" s="84"/>
      <c r="G9208" s="84"/>
      <c r="I9208" s="237"/>
      <c r="J9208" s="238"/>
    </row>
    <row r="9209">
      <c r="C9209" s="82"/>
      <c r="E9209" s="84"/>
      <c r="F9209" s="84"/>
      <c r="G9209" s="84"/>
      <c r="I9209" s="237"/>
      <c r="J9209" s="238"/>
    </row>
    <row r="9210">
      <c r="C9210" s="82"/>
      <c r="E9210" s="84"/>
      <c r="F9210" s="84"/>
      <c r="G9210" s="84"/>
      <c r="I9210" s="237"/>
      <c r="J9210" s="238"/>
    </row>
    <row r="9211">
      <c r="C9211" s="82"/>
      <c r="E9211" s="84"/>
      <c r="F9211" s="84"/>
      <c r="G9211" s="84"/>
      <c r="I9211" s="237"/>
      <c r="J9211" s="238"/>
    </row>
    <row r="9212">
      <c r="C9212" s="82"/>
      <c r="E9212" s="84"/>
      <c r="F9212" s="84"/>
      <c r="G9212" s="84"/>
      <c r="I9212" s="237"/>
      <c r="J9212" s="238"/>
    </row>
    <row r="9213">
      <c r="C9213" s="82"/>
      <c r="E9213" s="84"/>
      <c r="F9213" s="84"/>
      <c r="G9213" s="84"/>
      <c r="I9213" s="237"/>
      <c r="J9213" s="238"/>
    </row>
    <row r="9214">
      <c r="C9214" s="82"/>
      <c r="E9214" s="84"/>
      <c r="F9214" s="84"/>
      <c r="G9214" s="84"/>
      <c r="I9214" s="237"/>
      <c r="J9214" s="238"/>
    </row>
    <row r="9215">
      <c r="C9215" s="82"/>
      <c r="E9215" s="84"/>
      <c r="F9215" s="84"/>
      <c r="G9215" s="84"/>
      <c r="I9215" s="237"/>
      <c r="J9215" s="238"/>
    </row>
    <row r="9216">
      <c r="C9216" s="82"/>
      <c r="E9216" s="84"/>
      <c r="F9216" s="84"/>
      <c r="G9216" s="84"/>
      <c r="I9216" s="237"/>
      <c r="J9216" s="238"/>
    </row>
    <row r="9217">
      <c r="C9217" s="82"/>
      <c r="E9217" s="84"/>
      <c r="F9217" s="84"/>
      <c r="G9217" s="84"/>
      <c r="I9217" s="237"/>
      <c r="J9217" s="238"/>
    </row>
    <row r="9218">
      <c r="C9218" s="82"/>
      <c r="E9218" s="84"/>
      <c r="F9218" s="84"/>
      <c r="G9218" s="84"/>
      <c r="I9218" s="237"/>
      <c r="J9218" s="238"/>
    </row>
    <row r="9219">
      <c r="C9219" s="82"/>
      <c r="E9219" s="84"/>
      <c r="F9219" s="84"/>
      <c r="G9219" s="84"/>
      <c r="I9219" s="237"/>
      <c r="J9219" s="238"/>
    </row>
    <row r="9220">
      <c r="C9220" s="82"/>
      <c r="E9220" s="84"/>
      <c r="F9220" s="84"/>
      <c r="G9220" s="84"/>
      <c r="I9220" s="237"/>
      <c r="J9220" s="238"/>
    </row>
    <row r="9221">
      <c r="C9221" s="82"/>
      <c r="E9221" s="84"/>
      <c r="F9221" s="84"/>
      <c r="G9221" s="84"/>
      <c r="I9221" s="237"/>
      <c r="J9221" s="238"/>
    </row>
    <row r="9222">
      <c r="C9222" s="82"/>
      <c r="E9222" s="84"/>
      <c r="F9222" s="84"/>
      <c r="G9222" s="84"/>
      <c r="I9222" s="237"/>
      <c r="J9222" s="238"/>
    </row>
    <row r="9223">
      <c r="C9223" s="82"/>
      <c r="E9223" s="84"/>
      <c r="F9223" s="84"/>
      <c r="G9223" s="84"/>
      <c r="I9223" s="237"/>
      <c r="J9223" s="238"/>
    </row>
    <row r="9224">
      <c r="C9224" s="82"/>
      <c r="E9224" s="84"/>
      <c r="F9224" s="84"/>
      <c r="G9224" s="84"/>
      <c r="I9224" s="237"/>
      <c r="J9224" s="238"/>
    </row>
    <row r="9225">
      <c r="C9225" s="82"/>
      <c r="E9225" s="84"/>
      <c r="F9225" s="84"/>
      <c r="G9225" s="84"/>
      <c r="I9225" s="237"/>
      <c r="J9225" s="238"/>
    </row>
    <row r="9226">
      <c r="C9226" s="82"/>
      <c r="E9226" s="84"/>
      <c r="F9226" s="84"/>
      <c r="G9226" s="84"/>
      <c r="I9226" s="237"/>
      <c r="J9226" s="238"/>
    </row>
    <row r="9227">
      <c r="C9227" s="82"/>
      <c r="E9227" s="84"/>
      <c r="F9227" s="84"/>
      <c r="G9227" s="84"/>
      <c r="I9227" s="237"/>
      <c r="J9227" s="238"/>
    </row>
    <row r="9228">
      <c r="C9228" s="82"/>
      <c r="E9228" s="84"/>
      <c r="F9228" s="84"/>
      <c r="G9228" s="84"/>
      <c r="I9228" s="237"/>
      <c r="J9228" s="238"/>
    </row>
    <row r="9229">
      <c r="C9229" s="82"/>
      <c r="E9229" s="84"/>
      <c r="F9229" s="84"/>
      <c r="G9229" s="84"/>
      <c r="I9229" s="237"/>
      <c r="J9229" s="238"/>
    </row>
    <row r="9230">
      <c r="C9230" s="82"/>
      <c r="E9230" s="84"/>
      <c r="F9230" s="84"/>
      <c r="G9230" s="84"/>
      <c r="I9230" s="237"/>
      <c r="J9230" s="238"/>
    </row>
    <row r="9231">
      <c r="C9231" s="82"/>
      <c r="E9231" s="84"/>
      <c r="F9231" s="84"/>
      <c r="G9231" s="84"/>
      <c r="I9231" s="237"/>
      <c r="J9231" s="238"/>
    </row>
    <row r="9232">
      <c r="C9232" s="82"/>
      <c r="E9232" s="84"/>
      <c r="F9232" s="84"/>
      <c r="G9232" s="84"/>
      <c r="I9232" s="237"/>
      <c r="J9232" s="238"/>
    </row>
    <row r="9233">
      <c r="C9233" s="82"/>
      <c r="E9233" s="84"/>
      <c r="F9233" s="84"/>
      <c r="G9233" s="84"/>
      <c r="I9233" s="237"/>
      <c r="J9233" s="238"/>
    </row>
    <row r="9234">
      <c r="C9234" s="82"/>
      <c r="E9234" s="84"/>
      <c r="F9234" s="84"/>
      <c r="G9234" s="84"/>
      <c r="I9234" s="237"/>
      <c r="J9234" s="238"/>
    </row>
    <row r="9235">
      <c r="C9235" s="82"/>
      <c r="E9235" s="84"/>
      <c r="F9235" s="84"/>
      <c r="G9235" s="84"/>
      <c r="I9235" s="237"/>
      <c r="J9235" s="238"/>
    </row>
    <row r="9236">
      <c r="C9236" s="82"/>
      <c r="E9236" s="84"/>
      <c r="F9236" s="84"/>
      <c r="G9236" s="84"/>
      <c r="I9236" s="237"/>
      <c r="J9236" s="238"/>
    </row>
    <row r="9237">
      <c r="C9237" s="82"/>
      <c r="E9237" s="84"/>
      <c r="F9237" s="84"/>
      <c r="G9237" s="84"/>
      <c r="I9237" s="237"/>
      <c r="J9237" s="238"/>
    </row>
    <row r="9238">
      <c r="C9238" s="82"/>
      <c r="E9238" s="84"/>
      <c r="F9238" s="84"/>
      <c r="G9238" s="84"/>
      <c r="I9238" s="237"/>
      <c r="J9238" s="238"/>
    </row>
    <row r="9239">
      <c r="C9239" s="82"/>
      <c r="E9239" s="84"/>
      <c r="F9239" s="84"/>
      <c r="G9239" s="84"/>
      <c r="I9239" s="237"/>
      <c r="J9239" s="238"/>
    </row>
    <row r="9240">
      <c r="C9240" s="82"/>
      <c r="E9240" s="84"/>
      <c r="F9240" s="84"/>
      <c r="G9240" s="84"/>
      <c r="I9240" s="237"/>
      <c r="J9240" s="238"/>
    </row>
    <row r="9241">
      <c r="C9241" s="82"/>
      <c r="E9241" s="84"/>
      <c r="F9241" s="84"/>
      <c r="G9241" s="84"/>
      <c r="I9241" s="237"/>
      <c r="J9241" s="238"/>
    </row>
    <row r="9242">
      <c r="C9242" s="82"/>
      <c r="E9242" s="84"/>
      <c r="F9242" s="84"/>
      <c r="G9242" s="84"/>
      <c r="I9242" s="237"/>
      <c r="J9242" s="238"/>
    </row>
    <row r="9243">
      <c r="C9243" s="82"/>
      <c r="E9243" s="84"/>
      <c r="F9243" s="84"/>
      <c r="G9243" s="84"/>
      <c r="I9243" s="237"/>
      <c r="J9243" s="238"/>
    </row>
    <row r="9244">
      <c r="C9244" s="82"/>
      <c r="E9244" s="84"/>
      <c r="F9244" s="84"/>
      <c r="G9244" s="84"/>
      <c r="I9244" s="237"/>
      <c r="J9244" s="238"/>
    </row>
    <row r="9245">
      <c r="C9245" s="82"/>
      <c r="E9245" s="84"/>
      <c r="F9245" s="84"/>
      <c r="G9245" s="84"/>
      <c r="I9245" s="237"/>
      <c r="J9245" s="238"/>
    </row>
    <row r="9246">
      <c r="C9246" s="82"/>
      <c r="E9246" s="84"/>
      <c r="F9246" s="84"/>
      <c r="G9246" s="84"/>
      <c r="I9246" s="237"/>
      <c r="J9246" s="238"/>
    </row>
    <row r="9247">
      <c r="C9247" s="82"/>
      <c r="E9247" s="84"/>
      <c r="F9247" s="84"/>
      <c r="G9247" s="84"/>
      <c r="I9247" s="237"/>
      <c r="J9247" s="238"/>
    </row>
    <row r="9248">
      <c r="C9248" s="82"/>
      <c r="E9248" s="84"/>
      <c r="F9248" s="84"/>
      <c r="G9248" s="84"/>
      <c r="I9248" s="237"/>
      <c r="J9248" s="238"/>
    </row>
    <row r="9249">
      <c r="C9249" s="82"/>
      <c r="E9249" s="84"/>
      <c r="F9249" s="84"/>
      <c r="G9249" s="84"/>
      <c r="I9249" s="237"/>
      <c r="J9249" s="238"/>
    </row>
    <row r="9250">
      <c r="C9250" s="82"/>
      <c r="E9250" s="84"/>
      <c r="F9250" s="84"/>
      <c r="G9250" s="84"/>
      <c r="I9250" s="237"/>
      <c r="J9250" s="238"/>
    </row>
    <row r="9251">
      <c r="C9251" s="82"/>
      <c r="E9251" s="84"/>
      <c r="F9251" s="84"/>
      <c r="G9251" s="84"/>
      <c r="I9251" s="237"/>
      <c r="J9251" s="238"/>
    </row>
    <row r="9252">
      <c r="C9252" s="82"/>
      <c r="E9252" s="84"/>
      <c r="F9252" s="84"/>
      <c r="G9252" s="84"/>
      <c r="I9252" s="237"/>
      <c r="J9252" s="238"/>
    </row>
    <row r="9253">
      <c r="C9253" s="82"/>
      <c r="E9253" s="84"/>
      <c r="F9253" s="84"/>
      <c r="G9253" s="84"/>
      <c r="I9253" s="237"/>
      <c r="J9253" s="238"/>
    </row>
    <row r="9254">
      <c r="C9254" s="82"/>
      <c r="E9254" s="84"/>
      <c r="F9254" s="84"/>
      <c r="G9254" s="84"/>
      <c r="I9254" s="237"/>
      <c r="J9254" s="238"/>
    </row>
    <row r="9255">
      <c r="C9255" s="82"/>
      <c r="E9255" s="84"/>
      <c r="F9255" s="84"/>
      <c r="G9255" s="84"/>
      <c r="I9255" s="237"/>
      <c r="J9255" s="238"/>
    </row>
    <row r="9256">
      <c r="C9256" s="82"/>
      <c r="E9256" s="84"/>
      <c r="F9256" s="84"/>
      <c r="G9256" s="84"/>
      <c r="I9256" s="237"/>
      <c r="J9256" s="238"/>
    </row>
    <row r="9257">
      <c r="C9257" s="82"/>
      <c r="E9257" s="84"/>
      <c r="F9257" s="84"/>
      <c r="G9257" s="84"/>
      <c r="I9257" s="237"/>
      <c r="J9257" s="238"/>
    </row>
    <row r="9258">
      <c r="C9258" s="82"/>
      <c r="E9258" s="84"/>
      <c r="F9258" s="84"/>
      <c r="G9258" s="84"/>
      <c r="I9258" s="237"/>
      <c r="J9258" s="238"/>
    </row>
    <row r="9259">
      <c r="C9259" s="82"/>
      <c r="E9259" s="84"/>
      <c r="F9259" s="84"/>
      <c r="G9259" s="84"/>
      <c r="I9259" s="237"/>
      <c r="J9259" s="238"/>
    </row>
    <row r="9260">
      <c r="C9260" s="82"/>
      <c r="E9260" s="84"/>
      <c r="F9260" s="84"/>
      <c r="G9260" s="84"/>
      <c r="I9260" s="237"/>
      <c r="J9260" s="238"/>
    </row>
    <row r="9261">
      <c r="C9261" s="82"/>
      <c r="E9261" s="84"/>
      <c r="F9261" s="84"/>
      <c r="G9261" s="84"/>
      <c r="I9261" s="237"/>
      <c r="J9261" s="238"/>
    </row>
    <row r="9262">
      <c r="C9262" s="82"/>
      <c r="E9262" s="84"/>
      <c r="F9262" s="84"/>
      <c r="G9262" s="84"/>
      <c r="I9262" s="237"/>
      <c r="J9262" s="238"/>
    </row>
    <row r="9263">
      <c r="C9263" s="82"/>
      <c r="E9263" s="84"/>
      <c r="F9263" s="84"/>
      <c r="G9263" s="84"/>
      <c r="I9263" s="237"/>
      <c r="J9263" s="238"/>
    </row>
    <row r="9264">
      <c r="C9264" s="82"/>
      <c r="E9264" s="84"/>
      <c r="F9264" s="84"/>
      <c r="G9264" s="84"/>
      <c r="I9264" s="237"/>
      <c r="J9264" s="238"/>
    </row>
    <row r="9265">
      <c r="C9265" s="82"/>
      <c r="E9265" s="84"/>
      <c r="F9265" s="84"/>
      <c r="G9265" s="84"/>
      <c r="I9265" s="237"/>
      <c r="J9265" s="238"/>
    </row>
    <row r="9266">
      <c r="C9266" s="82"/>
      <c r="E9266" s="84"/>
      <c r="F9266" s="84"/>
      <c r="G9266" s="84"/>
      <c r="I9266" s="237"/>
      <c r="J9266" s="238"/>
    </row>
    <row r="9267">
      <c r="C9267" s="82"/>
      <c r="E9267" s="84"/>
      <c r="F9267" s="84"/>
      <c r="G9267" s="84"/>
      <c r="I9267" s="237"/>
      <c r="J9267" s="238"/>
    </row>
    <row r="9268">
      <c r="C9268" s="82"/>
      <c r="E9268" s="84"/>
      <c r="F9268" s="84"/>
      <c r="G9268" s="84"/>
      <c r="I9268" s="237"/>
      <c r="J9268" s="238"/>
    </row>
    <row r="9269">
      <c r="C9269" s="82"/>
      <c r="E9269" s="84"/>
      <c r="F9269" s="84"/>
      <c r="G9269" s="84"/>
      <c r="I9269" s="237"/>
      <c r="J9269" s="238"/>
    </row>
    <row r="9270">
      <c r="C9270" s="82"/>
      <c r="E9270" s="84"/>
      <c r="F9270" s="84"/>
      <c r="G9270" s="84"/>
      <c r="I9270" s="237"/>
      <c r="J9270" s="238"/>
    </row>
    <row r="9271">
      <c r="C9271" s="82"/>
      <c r="E9271" s="84"/>
      <c r="F9271" s="84"/>
      <c r="G9271" s="84"/>
      <c r="I9271" s="237"/>
      <c r="J9271" s="238"/>
    </row>
    <row r="9272">
      <c r="C9272" s="82"/>
      <c r="E9272" s="84"/>
      <c r="F9272" s="84"/>
      <c r="G9272" s="84"/>
      <c r="I9272" s="237"/>
      <c r="J9272" s="238"/>
    </row>
    <row r="9273">
      <c r="C9273" s="82"/>
      <c r="E9273" s="84"/>
      <c r="F9273" s="84"/>
      <c r="G9273" s="84"/>
      <c r="I9273" s="237"/>
      <c r="J9273" s="238"/>
    </row>
    <row r="9274">
      <c r="C9274" s="82"/>
      <c r="E9274" s="84"/>
      <c r="F9274" s="84"/>
      <c r="G9274" s="84"/>
      <c r="I9274" s="237"/>
      <c r="J9274" s="238"/>
    </row>
    <row r="9275">
      <c r="C9275" s="82"/>
      <c r="E9275" s="84"/>
      <c r="F9275" s="84"/>
      <c r="G9275" s="84"/>
      <c r="I9275" s="237"/>
      <c r="J9275" s="238"/>
    </row>
    <row r="9276">
      <c r="C9276" s="82"/>
      <c r="E9276" s="84"/>
      <c r="F9276" s="84"/>
      <c r="G9276" s="84"/>
      <c r="I9276" s="237"/>
      <c r="J9276" s="238"/>
    </row>
    <row r="9277">
      <c r="C9277" s="82"/>
      <c r="E9277" s="84"/>
      <c r="F9277" s="84"/>
      <c r="G9277" s="84"/>
      <c r="I9277" s="237"/>
      <c r="J9277" s="238"/>
    </row>
    <row r="9278">
      <c r="C9278" s="82"/>
      <c r="E9278" s="84"/>
      <c r="F9278" s="84"/>
      <c r="G9278" s="84"/>
      <c r="I9278" s="237"/>
      <c r="J9278" s="238"/>
    </row>
    <row r="9279">
      <c r="C9279" s="82"/>
      <c r="E9279" s="84"/>
      <c r="F9279" s="84"/>
      <c r="G9279" s="84"/>
      <c r="I9279" s="237"/>
      <c r="J9279" s="238"/>
    </row>
    <row r="9280">
      <c r="C9280" s="82"/>
      <c r="E9280" s="84"/>
      <c r="F9280" s="84"/>
      <c r="G9280" s="84"/>
      <c r="I9280" s="237"/>
      <c r="J9280" s="238"/>
    </row>
    <row r="9281">
      <c r="C9281" s="82"/>
      <c r="E9281" s="84"/>
      <c r="F9281" s="84"/>
      <c r="G9281" s="84"/>
      <c r="I9281" s="237"/>
      <c r="J9281" s="238"/>
    </row>
    <row r="9282">
      <c r="C9282" s="82"/>
      <c r="E9282" s="84"/>
      <c r="F9282" s="84"/>
      <c r="G9282" s="84"/>
      <c r="I9282" s="237"/>
      <c r="J9282" s="238"/>
    </row>
    <row r="9283">
      <c r="C9283" s="82"/>
      <c r="E9283" s="84"/>
      <c r="F9283" s="84"/>
      <c r="G9283" s="84"/>
      <c r="I9283" s="237"/>
      <c r="J9283" s="238"/>
    </row>
    <row r="9284">
      <c r="C9284" s="82"/>
      <c r="E9284" s="84"/>
      <c r="F9284" s="84"/>
      <c r="G9284" s="84"/>
      <c r="I9284" s="237"/>
      <c r="J9284" s="238"/>
    </row>
    <row r="9285">
      <c r="C9285" s="82"/>
      <c r="E9285" s="84"/>
      <c r="F9285" s="84"/>
      <c r="G9285" s="84"/>
      <c r="I9285" s="237"/>
      <c r="J9285" s="238"/>
    </row>
    <row r="9286">
      <c r="C9286" s="82"/>
      <c r="E9286" s="84"/>
      <c r="F9286" s="84"/>
      <c r="G9286" s="84"/>
      <c r="I9286" s="237"/>
      <c r="J9286" s="238"/>
    </row>
    <row r="9287">
      <c r="C9287" s="82"/>
      <c r="E9287" s="84"/>
      <c r="F9287" s="84"/>
      <c r="G9287" s="84"/>
      <c r="I9287" s="237"/>
      <c r="J9287" s="238"/>
    </row>
    <row r="9288">
      <c r="C9288" s="82"/>
      <c r="E9288" s="84"/>
      <c r="F9288" s="84"/>
      <c r="G9288" s="84"/>
      <c r="I9288" s="237"/>
      <c r="J9288" s="238"/>
    </row>
    <row r="9289">
      <c r="C9289" s="82"/>
      <c r="E9289" s="84"/>
      <c r="F9289" s="84"/>
      <c r="G9289" s="84"/>
      <c r="I9289" s="237"/>
      <c r="J9289" s="238"/>
    </row>
    <row r="9290">
      <c r="C9290" s="82"/>
      <c r="E9290" s="84"/>
      <c r="F9290" s="84"/>
      <c r="G9290" s="84"/>
      <c r="I9290" s="237"/>
      <c r="J9290" s="238"/>
    </row>
    <row r="9291">
      <c r="C9291" s="82"/>
      <c r="E9291" s="84"/>
      <c r="F9291" s="84"/>
      <c r="G9291" s="84"/>
      <c r="I9291" s="237"/>
      <c r="J9291" s="238"/>
    </row>
    <row r="9292">
      <c r="C9292" s="82"/>
      <c r="E9292" s="84"/>
      <c r="F9292" s="84"/>
      <c r="G9292" s="84"/>
      <c r="I9292" s="237"/>
      <c r="J9292" s="238"/>
    </row>
    <row r="9293">
      <c r="C9293" s="82"/>
      <c r="E9293" s="84"/>
      <c r="F9293" s="84"/>
      <c r="G9293" s="84"/>
      <c r="I9293" s="237"/>
      <c r="J9293" s="238"/>
    </row>
    <row r="9294">
      <c r="C9294" s="82"/>
      <c r="E9294" s="84"/>
      <c r="F9294" s="84"/>
      <c r="G9294" s="84"/>
      <c r="I9294" s="237"/>
      <c r="J9294" s="238"/>
    </row>
    <row r="9295">
      <c r="C9295" s="82"/>
      <c r="E9295" s="84"/>
      <c r="F9295" s="84"/>
      <c r="G9295" s="84"/>
      <c r="I9295" s="237"/>
      <c r="J9295" s="238"/>
    </row>
    <row r="9296">
      <c r="C9296" s="82"/>
      <c r="E9296" s="84"/>
      <c r="F9296" s="84"/>
      <c r="G9296" s="84"/>
      <c r="I9296" s="237"/>
      <c r="J9296" s="238"/>
    </row>
    <row r="9297">
      <c r="C9297" s="82"/>
      <c r="E9297" s="84"/>
      <c r="F9297" s="84"/>
      <c r="G9297" s="84"/>
      <c r="I9297" s="237"/>
      <c r="J9297" s="238"/>
    </row>
    <row r="9298">
      <c r="C9298" s="82"/>
      <c r="E9298" s="84"/>
      <c r="F9298" s="84"/>
      <c r="G9298" s="84"/>
      <c r="I9298" s="237"/>
      <c r="J9298" s="238"/>
    </row>
    <row r="9299">
      <c r="C9299" s="82"/>
      <c r="E9299" s="84"/>
      <c r="F9299" s="84"/>
      <c r="G9299" s="84"/>
      <c r="I9299" s="237"/>
      <c r="J9299" s="238"/>
    </row>
    <row r="9300">
      <c r="C9300" s="82"/>
      <c r="E9300" s="84"/>
      <c r="F9300" s="84"/>
      <c r="G9300" s="84"/>
      <c r="I9300" s="237"/>
      <c r="J9300" s="238"/>
    </row>
    <row r="9301">
      <c r="C9301" s="82"/>
      <c r="E9301" s="84"/>
      <c r="F9301" s="84"/>
      <c r="G9301" s="84"/>
      <c r="I9301" s="237"/>
      <c r="J9301" s="238"/>
    </row>
    <row r="9302">
      <c r="C9302" s="82"/>
      <c r="E9302" s="84"/>
      <c r="F9302" s="84"/>
      <c r="G9302" s="84"/>
      <c r="I9302" s="237"/>
      <c r="J9302" s="238"/>
    </row>
    <row r="9303">
      <c r="C9303" s="82"/>
      <c r="E9303" s="84"/>
      <c r="F9303" s="84"/>
      <c r="G9303" s="84"/>
      <c r="I9303" s="237"/>
      <c r="J9303" s="238"/>
    </row>
    <row r="9304">
      <c r="C9304" s="82"/>
      <c r="E9304" s="84"/>
      <c r="F9304" s="84"/>
      <c r="G9304" s="84"/>
      <c r="I9304" s="237"/>
      <c r="J9304" s="238"/>
    </row>
    <row r="9305">
      <c r="C9305" s="82"/>
      <c r="E9305" s="84"/>
      <c r="F9305" s="84"/>
      <c r="G9305" s="84"/>
      <c r="I9305" s="237"/>
      <c r="J9305" s="238"/>
    </row>
    <row r="9306">
      <c r="C9306" s="82"/>
      <c r="E9306" s="84"/>
      <c r="F9306" s="84"/>
      <c r="G9306" s="84"/>
      <c r="I9306" s="237"/>
      <c r="J9306" s="238"/>
    </row>
    <row r="9307">
      <c r="C9307" s="82"/>
      <c r="E9307" s="84"/>
      <c r="F9307" s="84"/>
      <c r="G9307" s="84"/>
      <c r="I9307" s="237"/>
      <c r="J9307" s="238"/>
    </row>
    <row r="9308">
      <c r="C9308" s="82"/>
      <c r="E9308" s="84"/>
      <c r="F9308" s="84"/>
      <c r="G9308" s="84"/>
      <c r="I9308" s="237"/>
      <c r="J9308" s="238"/>
    </row>
    <row r="9309">
      <c r="C9309" s="82"/>
      <c r="E9309" s="84"/>
      <c r="F9309" s="84"/>
      <c r="G9309" s="84"/>
      <c r="I9309" s="237"/>
      <c r="J9309" s="238"/>
    </row>
    <row r="9310">
      <c r="C9310" s="82"/>
      <c r="E9310" s="84"/>
      <c r="F9310" s="84"/>
      <c r="G9310" s="84"/>
      <c r="I9310" s="237"/>
      <c r="J9310" s="238"/>
    </row>
    <row r="9311">
      <c r="C9311" s="82"/>
      <c r="E9311" s="84"/>
      <c r="F9311" s="84"/>
      <c r="G9311" s="84"/>
      <c r="I9311" s="237"/>
      <c r="J9311" s="238"/>
    </row>
    <row r="9312">
      <c r="C9312" s="82"/>
      <c r="E9312" s="84"/>
      <c r="F9312" s="84"/>
      <c r="G9312" s="84"/>
      <c r="I9312" s="237"/>
      <c r="J9312" s="238"/>
    </row>
    <row r="9313">
      <c r="C9313" s="82"/>
      <c r="E9313" s="84"/>
      <c r="F9313" s="84"/>
      <c r="G9313" s="84"/>
      <c r="I9313" s="237"/>
      <c r="J9313" s="238"/>
    </row>
    <row r="9314">
      <c r="C9314" s="82"/>
      <c r="E9314" s="84"/>
      <c r="F9314" s="84"/>
      <c r="G9314" s="84"/>
      <c r="I9314" s="237"/>
      <c r="J9314" s="238"/>
    </row>
    <row r="9315">
      <c r="C9315" s="82"/>
      <c r="E9315" s="84"/>
      <c r="F9315" s="84"/>
      <c r="G9315" s="84"/>
      <c r="I9315" s="237"/>
      <c r="J9315" s="238"/>
    </row>
    <row r="9316">
      <c r="C9316" s="82"/>
      <c r="E9316" s="84"/>
      <c r="F9316" s="84"/>
      <c r="G9316" s="84"/>
      <c r="I9316" s="237"/>
      <c r="J9316" s="238"/>
    </row>
    <row r="9317">
      <c r="C9317" s="82"/>
      <c r="E9317" s="84"/>
      <c r="F9317" s="84"/>
      <c r="G9317" s="84"/>
      <c r="I9317" s="237"/>
      <c r="J9317" s="238"/>
    </row>
    <row r="9318">
      <c r="C9318" s="82"/>
      <c r="E9318" s="84"/>
      <c r="F9318" s="84"/>
      <c r="G9318" s="84"/>
      <c r="I9318" s="237"/>
      <c r="J9318" s="238"/>
    </row>
    <row r="9319">
      <c r="C9319" s="82"/>
      <c r="E9319" s="84"/>
      <c r="F9319" s="84"/>
      <c r="G9319" s="84"/>
      <c r="I9319" s="237"/>
      <c r="J9319" s="238"/>
    </row>
    <row r="9320">
      <c r="C9320" s="82"/>
      <c r="E9320" s="84"/>
      <c r="F9320" s="84"/>
      <c r="G9320" s="84"/>
      <c r="I9320" s="237"/>
      <c r="J9320" s="238"/>
    </row>
    <row r="9321">
      <c r="C9321" s="82"/>
      <c r="E9321" s="84"/>
      <c r="F9321" s="84"/>
      <c r="G9321" s="84"/>
      <c r="I9321" s="237"/>
      <c r="J9321" s="238"/>
    </row>
    <row r="9322">
      <c r="C9322" s="82"/>
      <c r="E9322" s="84"/>
      <c r="F9322" s="84"/>
      <c r="G9322" s="84"/>
      <c r="I9322" s="237"/>
      <c r="J9322" s="238"/>
    </row>
    <row r="9323">
      <c r="C9323" s="82"/>
      <c r="E9323" s="84"/>
      <c r="F9323" s="84"/>
      <c r="G9323" s="84"/>
      <c r="I9323" s="237"/>
      <c r="J9323" s="238"/>
    </row>
    <row r="9324">
      <c r="C9324" s="82"/>
      <c r="E9324" s="84"/>
      <c r="F9324" s="84"/>
      <c r="G9324" s="84"/>
      <c r="I9324" s="237"/>
      <c r="J9324" s="238"/>
    </row>
    <row r="9325">
      <c r="C9325" s="82"/>
      <c r="E9325" s="84"/>
      <c r="F9325" s="84"/>
      <c r="G9325" s="84"/>
      <c r="I9325" s="237"/>
      <c r="J9325" s="238"/>
    </row>
    <row r="9326">
      <c r="C9326" s="82"/>
      <c r="E9326" s="84"/>
      <c r="F9326" s="84"/>
      <c r="G9326" s="84"/>
      <c r="I9326" s="237"/>
      <c r="J9326" s="238"/>
    </row>
    <row r="9327">
      <c r="C9327" s="82"/>
      <c r="E9327" s="84"/>
      <c r="F9327" s="84"/>
      <c r="G9327" s="84"/>
      <c r="I9327" s="237"/>
      <c r="J9327" s="238"/>
    </row>
    <row r="9328">
      <c r="C9328" s="82"/>
      <c r="E9328" s="84"/>
      <c r="F9328" s="84"/>
      <c r="G9328" s="84"/>
      <c r="I9328" s="237"/>
      <c r="J9328" s="238"/>
    </row>
    <row r="9329">
      <c r="C9329" s="82"/>
      <c r="E9329" s="84"/>
      <c r="F9329" s="84"/>
      <c r="G9329" s="84"/>
      <c r="I9329" s="237"/>
      <c r="J9329" s="238"/>
    </row>
    <row r="9330">
      <c r="C9330" s="82"/>
      <c r="E9330" s="84"/>
      <c r="F9330" s="84"/>
      <c r="G9330" s="84"/>
      <c r="I9330" s="237"/>
      <c r="J9330" s="238"/>
    </row>
    <row r="9331">
      <c r="C9331" s="82"/>
      <c r="E9331" s="84"/>
      <c r="F9331" s="84"/>
      <c r="G9331" s="84"/>
      <c r="I9331" s="237"/>
      <c r="J9331" s="238"/>
    </row>
    <row r="9332">
      <c r="C9332" s="82"/>
      <c r="E9332" s="84"/>
      <c r="F9332" s="84"/>
      <c r="G9332" s="84"/>
      <c r="I9332" s="237"/>
      <c r="J9332" s="238"/>
    </row>
    <row r="9333">
      <c r="C9333" s="82"/>
      <c r="E9333" s="84"/>
      <c r="F9333" s="84"/>
      <c r="G9333" s="84"/>
      <c r="I9333" s="237"/>
      <c r="J9333" s="238"/>
    </row>
    <row r="9334">
      <c r="C9334" s="82"/>
      <c r="E9334" s="84"/>
      <c r="F9334" s="84"/>
      <c r="G9334" s="84"/>
      <c r="I9334" s="237"/>
      <c r="J9334" s="238"/>
    </row>
    <row r="9335">
      <c r="C9335" s="82"/>
      <c r="E9335" s="84"/>
      <c r="F9335" s="84"/>
      <c r="G9335" s="84"/>
      <c r="I9335" s="237"/>
      <c r="J9335" s="238"/>
    </row>
    <row r="9336">
      <c r="C9336" s="82"/>
      <c r="E9336" s="84"/>
      <c r="F9336" s="84"/>
      <c r="G9336" s="84"/>
      <c r="I9336" s="237"/>
      <c r="J9336" s="238"/>
    </row>
    <row r="9337">
      <c r="C9337" s="82"/>
      <c r="E9337" s="84"/>
      <c r="F9337" s="84"/>
      <c r="G9337" s="84"/>
      <c r="I9337" s="237"/>
      <c r="J9337" s="238"/>
    </row>
    <row r="9338">
      <c r="C9338" s="82"/>
      <c r="E9338" s="84"/>
      <c r="F9338" s="84"/>
      <c r="G9338" s="84"/>
      <c r="I9338" s="237"/>
      <c r="J9338" s="238"/>
    </row>
    <row r="9339">
      <c r="C9339" s="82"/>
      <c r="E9339" s="84"/>
      <c r="F9339" s="84"/>
      <c r="G9339" s="84"/>
      <c r="I9339" s="237"/>
      <c r="J9339" s="238"/>
    </row>
    <row r="9340">
      <c r="C9340" s="82"/>
      <c r="E9340" s="84"/>
      <c r="F9340" s="84"/>
      <c r="G9340" s="84"/>
      <c r="I9340" s="237"/>
      <c r="J9340" s="238"/>
    </row>
    <row r="9341">
      <c r="C9341" s="82"/>
      <c r="E9341" s="84"/>
      <c r="F9341" s="84"/>
      <c r="G9341" s="84"/>
      <c r="I9341" s="237"/>
      <c r="J9341" s="238"/>
    </row>
    <row r="9342">
      <c r="C9342" s="82"/>
      <c r="E9342" s="84"/>
      <c r="F9342" s="84"/>
      <c r="G9342" s="84"/>
      <c r="I9342" s="237"/>
      <c r="J9342" s="238"/>
    </row>
    <row r="9343">
      <c r="C9343" s="82"/>
      <c r="E9343" s="84"/>
      <c r="F9343" s="84"/>
      <c r="G9343" s="84"/>
      <c r="I9343" s="237"/>
      <c r="J9343" s="238"/>
    </row>
    <row r="9344">
      <c r="C9344" s="82"/>
      <c r="E9344" s="84"/>
      <c r="F9344" s="84"/>
      <c r="G9344" s="84"/>
      <c r="I9344" s="237"/>
      <c r="J9344" s="238"/>
    </row>
    <row r="9345">
      <c r="C9345" s="82"/>
      <c r="E9345" s="84"/>
      <c r="F9345" s="84"/>
      <c r="G9345" s="84"/>
      <c r="I9345" s="237"/>
      <c r="J9345" s="238"/>
    </row>
    <row r="9346">
      <c r="C9346" s="82"/>
      <c r="E9346" s="84"/>
      <c r="F9346" s="84"/>
      <c r="G9346" s="84"/>
      <c r="I9346" s="237"/>
      <c r="J9346" s="238"/>
    </row>
    <row r="9347">
      <c r="C9347" s="82"/>
      <c r="E9347" s="84"/>
      <c r="F9347" s="84"/>
      <c r="G9347" s="84"/>
      <c r="I9347" s="237"/>
      <c r="J9347" s="238"/>
    </row>
    <row r="9348">
      <c r="C9348" s="82"/>
      <c r="E9348" s="84"/>
      <c r="F9348" s="84"/>
      <c r="G9348" s="84"/>
      <c r="I9348" s="237"/>
      <c r="J9348" s="238"/>
    </row>
    <row r="9349">
      <c r="C9349" s="82"/>
      <c r="E9349" s="84"/>
      <c r="F9349" s="84"/>
      <c r="G9349" s="84"/>
      <c r="I9349" s="237"/>
      <c r="J9349" s="238"/>
    </row>
    <row r="9350">
      <c r="C9350" s="82"/>
      <c r="E9350" s="84"/>
      <c r="F9350" s="84"/>
      <c r="G9350" s="84"/>
      <c r="I9350" s="237"/>
      <c r="J9350" s="238"/>
    </row>
    <row r="9351">
      <c r="C9351" s="82"/>
      <c r="E9351" s="84"/>
      <c r="F9351" s="84"/>
      <c r="G9351" s="84"/>
      <c r="I9351" s="237"/>
      <c r="J9351" s="238"/>
    </row>
    <row r="9352">
      <c r="C9352" s="82"/>
      <c r="E9352" s="84"/>
      <c r="F9352" s="84"/>
      <c r="G9352" s="84"/>
      <c r="I9352" s="237"/>
      <c r="J9352" s="238"/>
    </row>
    <row r="9353">
      <c r="C9353" s="82"/>
      <c r="E9353" s="84"/>
      <c r="F9353" s="84"/>
      <c r="G9353" s="84"/>
      <c r="I9353" s="237"/>
      <c r="J9353" s="238"/>
    </row>
    <row r="9354">
      <c r="C9354" s="82"/>
      <c r="E9354" s="84"/>
      <c r="F9354" s="84"/>
      <c r="G9354" s="84"/>
      <c r="I9354" s="237"/>
      <c r="J9354" s="238"/>
    </row>
    <row r="9355">
      <c r="C9355" s="82"/>
      <c r="E9355" s="84"/>
      <c r="F9355" s="84"/>
      <c r="G9355" s="84"/>
      <c r="I9355" s="237"/>
      <c r="J9355" s="238"/>
    </row>
    <row r="9356">
      <c r="C9356" s="82"/>
      <c r="E9356" s="84"/>
      <c r="F9356" s="84"/>
      <c r="G9356" s="84"/>
      <c r="I9356" s="237"/>
      <c r="J9356" s="238"/>
    </row>
    <row r="9357">
      <c r="C9357" s="82"/>
      <c r="E9357" s="84"/>
      <c r="F9357" s="84"/>
      <c r="G9357" s="84"/>
      <c r="I9357" s="237"/>
      <c r="J9357" s="238"/>
    </row>
    <row r="9358">
      <c r="C9358" s="82"/>
      <c r="E9358" s="84"/>
      <c r="F9358" s="84"/>
      <c r="G9358" s="84"/>
      <c r="I9358" s="237"/>
      <c r="J9358" s="238"/>
    </row>
    <row r="9359">
      <c r="C9359" s="82"/>
      <c r="E9359" s="84"/>
      <c r="F9359" s="84"/>
      <c r="G9359" s="84"/>
      <c r="I9359" s="237"/>
      <c r="J9359" s="238"/>
    </row>
    <row r="9360">
      <c r="C9360" s="82"/>
      <c r="E9360" s="84"/>
      <c r="F9360" s="84"/>
      <c r="G9360" s="84"/>
      <c r="I9360" s="237"/>
      <c r="J9360" s="238"/>
    </row>
    <row r="9361">
      <c r="C9361" s="82"/>
      <c r="E9361" s="84"/>
      <c r="F9361" s="84"/>
      <c r="G9361" s="84"/>
      <c r="I9361" s="237"/>
      <c r="J9361" s="238"/>
    </row>
    <row r="9362">
      <c r="C9362" s="82"/>
      <c r="E9362" s="84"/>
      <c r="F9362" s="84"/>
      <c r="G9362" s="84"/>
      <c r="I9362" s="237"/>
      <c r="J9362" s="238"/>
    </row>
    <row r="9363">
      <c r="C9363" s="82"/>
      <c r="E9363" s="84"/>
      <c r="F9363" s="84"/>
      <c r="G9363" s="84"/>
      <c r="I9363" s="237"/>
      <c r="J9363" s="238"/>
    </row>
    <row r="9364">
      <c r="C9364" s="82"/>
      <c r="E9364" s="84"/>
      <c r="F9364" s="84"/>
      <c r="G9364" s="84"/>
      <c r="I9364" s="237"/>
      <c r="J9364" s="238"/>
    </row>
    <row r="9365">
      <c r="C9365" s="82"/>
      <c r="E9365" s="84"/>
      <c r="F9365" s="84"/>
      <c r="G9365" s="84"/>
      <c r="I9365" s="237"/>
      <c r="J9365" s="238"/>
    </row>
    <row r="9366">
      <c r="C9366" s="82"/>
      <c r="E9366" s="84"/>
      <c r="F9366" s="84"/>
      <c r="G9366" s="84"/>
      <c r="I9366" s="237"/>
      <c r="J9366" s="238"/>
    </row>
    <row r="9367">
      <c r="C9367" s="82"/>
      <c r="E9367" s="84"/>
      <c r="F9367" s="84"/>
      <c r="G9367" s="84"/>
      <c r="I9367" s="237"/>
      <c r="J9367" s="238"/>
    </row>
    <row r="9368">
      <c r="C9368" s="82"/>
      <c r="E9368" s="84"/>
      <c r="F9368" s="84"/>
      <c r="G9368" s="84"/>
      <c r="I9368" s="237"/>
      <c r="J9368" s="238"/>
    </row>
    <row r="9369">
      <c r="C9369" s="82"/>
      <c r="E9369" s="84"/>
      <c r="F9369" s="84"/>
      <c r="G9369" s="84"/>
      <c r="I9369" s="237"/>
      <c r="J9369" s="238"/>
    </row>
    <row r="9370">
      <c r="C9370" s="82"/>
      <c r="E9370" s="84"/>
      <c r="F9370" s="84"/>
      <c r="G9370" s="84"/>
      <c r="I9370" s="237"/>
      <c r="J9370" s="238"/>
    </row>
    <row r="9371">
      <c r="C9371" s="82"/>
      <c r="E9371" s="84"/>
      <c r="F9371" s="84"/>
      <c r="G9371" s="84"/>
      <c r="I9371" s="237"/>
      <c r="J9371" s="238"/>
    </row>
    <row r="9372">
      <c r="C9372" s="82"/>
      <c r="E9372" s="84"/>
      <c r="F9372" s="84"/>
      <c r="G9372" s="84"/>
      <c r="I9372" s="237"/>
      <c r="J9372" s="238"/>
    </row>
    <row r="9373">
      <c r="C9373" s="82"/>
      <c r="E9373" s="84"/>
      <c r="F9373" s="84"/>
      <c r="G9373" s="84"/>
      <c r="I9373" s="237"/>
      <c r="J9373" s="238"/>
    </row>
    <row r="9374">
      <c r="C9374" s="82"/>
      <c r="E9374" s="84"/>
      <c r="F9374" s="84"/>
      <c r="G9374" s="84"/>
      <c r="I9374" s="237"/>
      <c r="J9374" s="238"/>
    </row>
    <row r="9375">
      <c r="C9375" s="82"/>
      <c r="E9375" s="84"/>
      <c r="F9375" s="84"/>
      <c r="G9375" s="84"/>
      <c r="I9375" s="237"/>
      <c r="J9375" s="238"/>
    </row>
    <row r="9376">
      <c r="C9376" s="82"/>
      <c r="E9376" s="84"/>
      <c r="F9376" s="84"/>
      <c r="G9376" s="84"/>
      <c r="I9376" s="237"/>
      <c r="J9376" s="238"/>
    </row>
    <row r="9377">
      <c r="C9377" s="82"/>
      <c r="E9377" s="84"/>
      <c r="F9377" s="84"/>
      <c r="G9377" s="84"/>
      <c r="I9377" s="237"/>
      <c r="J9377" s="238"/>
    </row>
    <row r="9378">
      <c r="C9378" s="82"/>
      <c r="E9378" s="84"/>
      <c r="F9378" s="84"/>
      <c r="G9378" s="84"/>
      <c r="I9378" s="237"/>
      <c r="J9378" s="238"/>
    </row>
    <row r="9379">
      <c r="C9379" s="82"/>
      <c r="E9379" s="84"/>
      <c r="F9379" s="84"/>
      <c r="G9379" s="84"/>
      <c r="I9379" s="237"/>
      <c r="J9379" s="238"/>
    </row>
    <row r="9380">
      <c r="C9380" s="82"/>
      <c r="E9380" s="84"/>
      <c r="F9380" s="84"/>
      <c r="G9380" s="84"/>
      <c r="I9380" s="237"/>
      <c r="J9380" s="238"/>
    </row>
    <row r="9381">
      <c r="C9381" s="82"/>
      <c r="E9381" s="84"/>
      <c r="F9381" s="84"/>
      <c r="G9381" s="84"/>
      <c r="I9381" s="237"/>
      <c r="J9381" s="238"/>
    </row>
    <row r="9382">
      <c r="C9382" s="82"/>
      <c r="E9382" s="84"/>
      <c r="F9382" s="84"/>
      <c r="G9382" s="84"/>
      <c r="I9382" s="237"/>
      <c r="J9382" s="238"/>
    </row>
    <row r="9383">
      <c r="C9383" s="82"/>
      <c r="E9383" s="84"/>
      <c r="F9383" s="84"/>
      <c r="G9383" s="84"/>
      <c r="I9383" s="237"/>
      <c r="J9383" s="238"/>
    </row>
    <row r="9384">
      <c r="C9384" s="82"/>
      <c r="E9384" s="84"/>
      <c r="F9384" s="84"/>
      <c r="G9384" s="84"/>
      <c r="I9384" s="237"/>
      <c r="J9384" s="238"/>
    </row>
    <row r="9385">
      <c r="C9385" s="82"/>
      <c r="E9385" s="84"/>
      <c r="F9385" s="84"/>
      <c r="G9385" s="84"/>
      <c r="I9385" s="237"/>
      <c r="J9385" s="238"/>
    </row>
    <row r="9386">
      <c r="C9386" s="82"/>
      <c r="E9386" s="84"/>
      <c r="F9386" s="84"/>
      <c r="G9386" s="84"/>
      <c r="I9386" s="237"/>
      <c r="J9386" s="238"/>
    </row>
    <row r="9387">
      <c r="C9387" s="82"/>
      <c r="E9387" s="84"/>
      <c r="F9387" s="84"/>
      <c r="G9387" s="84"/>
      <c r="I9387" s="237"/>
      <c r="J9387" s="238"/>
    </row>
    <row r="9388">
      <c r="C9388" s="82"/>
      <c r="E9388" s="84"/>
      <c r="F9388" s="84"/>
      <c r="G9388" s="84"/>
      <c r="I9388" s="237"/>
      <c r="J9388" s="238"/>
    </row>
    <row r="9389">
      <c r="C9389" s="82"/>
      <c r="E9389" s="84"/>
      <c r="F9389" s="84"/>
      <c r="G9389" s="84"/>
      <c r="I9389" s="237"/>
      <c r="J9389" s="238"/>
    </row>
    <row r="9390">
      <c r="C9390" s="82"/>
      <c r="E9390" s="84"/>
      <c r="F9390" s="84"/>
      <c r="G9390" s="84"/>
      <c r="I9390" s="237"/>
      <c r="J9390" s="238"/>
    </row>
    <row r="9391">
      <c r="C9391" s="82"/>
      <c r="E9391" s="84"/>
      <c r="F9391" s="84"/>
      <c r="G9391" s="84"/>
      <c r="I9391" s="237"/>
      <c r="J9391" s="238"/>
    </row>
    <row r="9392">
      <c r="C9392" s="82"/>
      <c r="E9392" s="84"/>
      <c r="F9392" s="84"/>
      <c r="G9392" s="84"/>
      <c r="I9392" s="237"/>
      <c r="J9392" s="238"/>
    </row>
    <row r="9393">
      <c r="C9393" s="82"/>
      <c r="E9393" s="84"/>
      <c r="F9393" s="84"/>
      <c r="G9393" s="84"/>
      <c r="I9393" s="237"/>
      <c r="J9393" s="238"/>
    </row>
    <row r="9394">
      <c r="C9394" s="82"/>
      <c r="E9394" s="84"/>
      <c r="F9394" s="84"/>
      <c r="G9394" s="84"/>
      <c r="I9394" s="237"/>
      <c r="J9394" s="238"/>
    </row>
    <row r="9395">
      <c r="C9395" s="82"/>
      <c r="E9395" s="84"/>
      <c r="F9395" s="84"/>
      <c r="G9395" s="84"/>
      <c r="I9395" s="237"/>
      <c r="J9395" s="238"/>
    </row>
    <row r="9396">
      <c r="C9396" s="82"/>
      <c r="E9396" s="84"/>
      <c r="F9396" s="84"/>
      <c r="G9396" s="84"/>
      <c r="I9396" s="237"/>
      <c r="J9396" s="238"/>
    </row>
    <row r="9397">
      <c r="C9397" s="82"/>
      <c r="E9397" s="84"/>
      <c r="F9397" s="84"/>
      <c r="G9397" s="84"/>
      <c r="I9397" s="237"/>
      <c r="J9397" s="238"/>
    </row>
    <row r="9398">
      <c r="C9398" s="82"/>
      <c r="E9398" s="84"/>
      <c r="F9398" s="84"/>
      <c r="G9398" s="84"/>
      <c r="I9398" s="237"/>
      <c r="J9398" s="238"/>
    </row>
    <row r="9399">
      <c r="C9399" s="82"/>
      <c r="E9399" s="84"/>
      <c r="F9399" s="84"/>
      <c r="G9399" s="84"/>
      <c r="I9399" s="237"/>
      <c r="J9399" s="238"/>
    </row>
    <row r="9400">
      <c r="C9400" s="82"/>
      <c r="E9400" s="84"/>
      <c r="F9400" s="84"/>
      <c r="G9400" s="84"/>
      <c r="I9400" s="237"/>
      <c r="J9400" s="238"/>
    </row>
    <row r="9401">
      <c r="C9401" s="82"/>
      <c r="E9401" s="84"/>
      <c r="F9401" s="84"/>
      <c r="G9401" s="84"/>
      <c r="I9401" s="237"/>
      <c r="J9401" s="238"/>
    </row>
    <row r="9402">
      <c r="C9402" s="82"/>
      <c r="E9402" s="84"/>
      <c r="F9402" s="84"/>
      <c r="G9402" s="84"/>
      <c r="I9402" s="237"/>
      <c r="J9402" s="238"/>
    </row>
    <row r="9403">
      <c r="C9403" s="82"/>
      <c r="E9403" s="84"/>
      <c r="F9403" s="84"/>
      <c r="G9403" s="84"/>
      <c r="I9403" s="237"/>
      <c r="J9403" s="238"/>
    </row>
    <row r="9404">
      <c r="C9404" s="82"/>
      <c r="E9404" s="84"/>
      <c r="F9404" s="84"/>
      <c r="G9404" s="84"/>
      <c r="I9404" s="237"/>
      <c r="J9404" s="238"/>
    </row>
    <row r="9405">
      <c r="C9405" s="82"/>
      <c r="E9405" s="84"/>
      <c r="F9405" s="84"/>
      <c r="G9405" s="84"/>
      <c r="I9405" s="237"/>
      <c r="J9405" s="238"/>
    </row>
    <row r="9406">
      <c r="C9406" s="82"/>
      <c r="E9406" s="84"/>
      <c r="F9406" s="84"/>
      <c r="G9406" s="84"/>
      <c r="I9406" s="237"/>
      <c r="J9406" s="238"/>
    </row>
    <row r="9407">
      <c r="C9407" s="82"/>
      <c r="E9407" s="84"/>
      <c r="F9407" s="84"/>
      <c r="G9407" s="84"/>
      <c r="I9407" s="237"/>
      <c r="J9407" s="238"/>
    </row>
    <row r="9408">
      <c r="C9408" s="82"/>
      <c r="E9408" s="84"/>
      <c r="F9408" s="84"/>
      <c r="G9408" s="84"/>
      <c r="I9408" s="237"/>
      <c r="J9408" s="238"/>
    </row>
    <row r="9409">
      <c r="C9409" s="82"/>
      <c r="E9409" s="84"/>
      <c r="F9409" s="84"/>
      <c r="G9409" s="84"/>
      <c r="I9409" s="237"/>
      <c r="J9409" s="238"/>
    </row>
    <row r="9410">
      <c r="C9410" s="82"/>
      <c r="E9410" s="84"/>
      <c r="F9410" s="84"/>
      <c r="G9410" s="84"/>
      <c r="I9410" s="237"/>
      <c r="J9410" s="238"/>
    </row>
    <row r="9411">
      <c r="C9411" s="82"/>
      <c r="E9411" s="84"/>
      <c r="F9411" s="84"/>
      <c r="G9411" s="84"/>
      <c r="I9411" s="237"/>
      <c r="J9411" s="238"/>
    </row>
    <row r="9412">
      <c r="C9412" s="82"/>
      <c r="E9412" s="84"/>
      <c r="F9412" s="84"/>
      <c r="G9412" s="84"/>
      <c r="I9412" s="237"/>
      <c r="J9412" s="238"/>
    </row>
    <row r="9413">
      <c r="C9413" s="82"/>
      <c r="E9413" s="84"/>
      <c r="F9413" s="84"/>
      <c r="G9413" s="84"/>
      <c r="I9413" s="237"/>
      <c r="J9413" s="238"/>
    </row>
    <row r="9414">
      <c r="C9414" s="82"/>
      <c r="E9414" s="84"/>
      <c r="F9414" s="84"/>
      <c r="G9414" s="84"/>
      <c r="I9414" s="237"/>
      <c r="J9414" s="238"/>
    </row>
    <row r="9415">
      <c r="C9415" s="82"/>
      <c r="E9415" s="84"/>
      <c r="F9415" s="84"/>
      <c r="G9415" s="84"/>
      <c r="I9415" s="237"/>
      <c r="J9415" s="238"/>
    </row>
    <row r="9416">
      <c r="C9416" s="82"/>
      <c r="E9416" s="84"/>
      <c r="F9416" s="84"/>
      <c r="G9416" s="84"/>
      <c r="I9416" s="237"/>
      <c r="J9416" s="238"/>
    </row>
    <row r="9417">
      <c r="C9417" s="82"/>
      <c r="E9417" s="84"/>
      <c r="F9417" s="84"/>
      <c r="G9417" s="84"/>
      <c r="I9417" s="237"/>
      <c r="J9417" s="238"/>
    </row>
    <row r="9418">
      <c r="C9418" s="82"/>
      <c r="E9418" s="84"/>
      <c r="F9418" s="84"/>
      <c r="G9418" s="84"/>
      <c r="I9418" s="237"/>
      <c r="J9418" s="238"/>
    </row>
    <row r="9419">
      <c r="C9419" s="82"/>
      <c r="E9419" s="84"/>
      <c r="F9419" s="84"/>
      <c r="G9419" s="84"/>
      <c r="I9419" s="237"/>
      <c r="J9419" s="238"/>
    </row>
    <row r="9420">
      <c r="C9420" s="82"/>
      <c r="E9420" s="84"/>
      <c r="F9420" s="84"/>
      <c r="G9420" s="84"/>
      <c r="I9420" s="237"/>
      <c r="J9420" s="238"/>
    </row>
    <row r="9421">
      <c r="C9421" s="82"/>
      <c r="E9421" s="84"/>
      <c r="F9421" s="84"/>
      <c r="G9421" s="84"/>
      <c r="I9421" s="237"/>
      <c r="J9421" s="238"/>
    </row>
    <row r="9422">
      <c r="C9422" s="82"/>
      <c r="E9422" s="84"/>
      <c r="F9422" s="84"/>
      <c r="G9422" s="84"/>
      <c r="I9422" s="237"/>
      <c r="J9422" s="238"/>
    </row>
    <row r="9423">
      <c r="C9423" s="82"/>
      <c r="E9423" s="84"/>
      <c r="F9423" s="84"/>
      <c r="G9423" s="84"/>
      <c r="I9423" s="237"/>
      <c r="J9423" s="238"/>
    </row>
    <row r="9424">
      <c r="C9424" s="82"/>
      <c r="E9424" s="84"/>
      <c r="F9424" s="84"/>
      <c r="G9424" s="84"/>
      <c r="I9424" s="237"/>
      <c r="J9424" s="238"/>
    </row>
    <row r="9425">
      <c r="C9425" s="82"/>
      <c r="E9425" s="84"/>
      <c r="F9425" s="84"/>
      <c r="G9425" s="84"/>
      <c r="I9425" s="237"/>
      <c r="J9425" s="238"/>
    </row>
    <row r="9426">
      <c r="C9426" s="82"/>
      <c r="E9426" s="84"/>
      <c r="F9426" s="84"/>
      <c r="G9426" s="84"/>
      <c r="I9426" s="237"/>
      <c r="J9426" s="238"/>
    </row>
    <row r="9427">
      <c r="C9427" s="82"/>
      <c r="E9427" s="84"/>
      <c r="F9427" s="84"/>
      <c r="G9427" s="84"/>
      <c r="I9427" s="237"/>
      <c r="J9427" s="238"/>
    </row>
    <row r="9428">
      <c r="C9428" s="82"/>
      <c r="E9428" s="84"/>
      <c r="F9428" s="84"/>
      <c r="G9428" s="84"/>
      <c r="I9428" s="237"/>
      <c r="J9428" s="238"/>
    </row>
    <row r="9429">
      <c r="C9429" s="82"/>
      <c r="E9429" s="84"/>
      <c r="F9429" s="84"/>
      <c r="G9429" s="84"/>
      <c r="I9429" s="237"/>
      <c r="J9429" s="238"/>
    </row>
    <row r="9430">
      <c r="C9430" s="82"/>
      <c r="E9430" s="84"/>
      <c r="F9430" s="84"/>
      <c r="G9430" s="84"/>
      <c r="I9430" s="237"/>
      <c r="J9430" s="238"/>
    </row>
    <row r="9431">
      <c r="C9431" s="82"/>
      <c r="E9431" s="84"/>
      <c r="F9431" s="84"/>
      <c r="G9431" s="84"/>
      <c r="I9431" s="237"/>
      <c r="J9431" s="238"/>
    </row>
    <row r="9432">
      <c r="C9432" s="82"/>
      <c r="E9432" s="84"/>
      <c r="F9432" s="84"/>
      <c r="G9432" s="84"/>
      <c r="I9432" s="237"/>
      <c r="J9432" s="238"/>
    </row>
    <row r="9433">
      <c r="C9433" s="82"/>
      <c r="E9433" s="84"/>
      <c r="F9433" s="84"/>
      <c r="G9433" s="84"/>
      <c r="I9433" s="237"/>
      <c r="J9433" s="238"/>
    </row>
    <row r="9434">
      <c r="C9434" s="82"/>
      <c r="E9434" s="84"/>
      <c r="F9434" s="84"/>
      <c r="G9434" s="84"/>
      <c r="I9434" s="237"/>
      <c r="J9434" s="238"/>
    </row>
    <row r="9435">
      <c r="C9435" s="82"/>
      <c r="E9435" s="84"/>
      <c r="F9435" s="84"/>
      <c r="G9435" s="84"/>
      <c r="I9435" s="237"/>
      <c r="J9435" s="238"/>
    </row>
    <row r="9436">
      <c r="C9436" s="82"/>
      <c r="E9436" s="84"/>
      <c r="F9436" s="84"/>
      <c r="G9436" s="84"/>
      <c r="I9436" s="237"/>
      <c r="J9436" s="238"/>
    </row>
    <row r="9437">
      <c r="C9437" s="82"/>
      <c r="E9437" s="84"/>
      <c r="F9437" s="84"/>
      <c r="G9437" s="84"/>
      <c r="I9437" s="237"/>
      <c r="J9437" s="238"/>
    </row>
    <row r="9438">
      <c r="C9438" s="82"/>
      <c r="E9438" s="84"/>
      <c r="F9438" s="84"/>
      <c r="G9438" s="84"/>
      <c r="I9438" s="237"/>
      <c r="J9438" s="238"/>
    </row>
    <row r="9439">
      <c r="C9439" s="82"/>
      <c r="E9439" s="84"/>
      <c r="F9439" s="84"/>
      <c r="G9439" s="84"/>
      <c r="I9439" s="237"/>
      <c r="J9439" s="238"/>
    </row>
    <row r="9440">
      <c r="C9440" s="82"/>
      <c r="E9440" s="84"/>
      <c r="F9440" s="84"/>
      <c r="G9440" s="84"/>
      <c r="I9440" s="237"/>
      <c r="J9440" s="238"/>
    </row>
    <row r="9441">
      <c r="C9441" s="82"/>
      <c r="E9441" s="84"/>
      <c r="F9441" s="84"/>
      <c r="G9441" s="84"/>
      <c r="I9441" s="237"/>
      <c r="J9441" s="238"/>
    </row>
    <row r="9442">
      <c r="C9442" s="82"/>
      <c r="E9442" s="84"/>
      <c r="F9442" s="84"/>
      <c r="G9442" s="84"/>
      <c r="I9442" s="237"/>
      <c r="J9442" s="238"/>
    </row>
    <row r="9443">
      <c r="C9443" s="82"/>
      <c r="E9443" s="84"/>
      <c r="F9443" s="84"/>
      <c r="G9443" s="84"/>
      <c r="I9443" s="237"/>
      <c r="J9443" s="238"/>
    </row>
    <row r="9444">
      <c r="C9444" s="82"/>
      <c r="E9444" s="84"/>
      <c r="F9444" s="84"/>
      <c r="G9444" s="84"/>
      <c r="I9444" s="237"/>
      <c r="J9444" s="238"/>
    </row>
    <row r="9445">
      <c r="C9445" s="82"/>
      <c r="E9445" s="84"/>
      <c r="F9445" s="84"/>
      <c r="G9445" s="84"/>
      <c r="I9445" s="237"/>
      <c r="J9445" s="238"/>
    </row>
    <row r="9446">
      <c r="C9446" s="82"/>
      <c r="E9446" s="84"/>
      <c r="F9446" s="84"/>
      <c r="G9446" s="84"/>
      <c r="I9446" s="237"/>
      <c r="J9446" s="238"/>
    </row>
    <row r="9447">
      <c r="C9447" s="82"/>
      <c r="E9447" s="84"/>
      <c r="F9447" s="84"/>
      <c r="G9447" s="84"/>
      <c r="I9447" s="237"/>
      <c r="J9447" s="238"/>
    </row>
    <row r="9448">
      <c r="C9448" s="82"/>
      <c r="E9448" s="84"/>
      <c r="F9448" s="84"/>
      <c r="G9448" s="84"/>
      <c r="I9448" s="237"/>
      <c r="J9448" s="238"/>
    </row>
    <row r="9449">
      <c r="C9449" s="82"/>
      <c r="E9449" s="84"/>
      <c r="F9449" s="84"/>
      <c r="G9449" s="84"/>
      <c r="I9449" s="237"/>
      <c r="J9449" s="238"/>
    </row>
    <row r="9450">
      <c r="C9450" s="82"/>
      <c r="E9450" s="84"/>
      <c r="F9450" s="84"/>
      <c r="G9450" s="84"/>
      <c r="I9450" s="237"/>
      <c r="J9450" s="238"/>
    </row>
    <row r="9451">
      <c r="C9451" s="82"/>
      <c r="E9451" s="84"/>
      <c r="F9451" s="84"/>
      <c r="G9451" s="84"/>
      <c r="I9451" s="237"/>
      <c r="J9451" s="238"/>
    </row>
    <row r="9452">
      <c r="C9452" s="82"/>
      <c r="E9452" s="84"/>
      <c r="F9452" s="84"/>
      <c r="G9452" s="84"/>
      <c r="I9452" s="237"/>
      <c r="J9452" s="238"/>
    </row>
    <row r="9453">
      <c r="C9453" s="82"/>
      <c r="E9453" s="84"/>
      <c r="F9453" s="84"/>
      <c r="G9453" s="84"/>
      <c r="I9453" s="237"/>
      <c r="J9453" s="238"/>
    </row>
    <row r="9454">
      <c r="C9454" s="82"/>
      <c r="E9454" s="84"/>
      <c r="F9454" s="84"/>
      <c r="G9454" s="84"/>
      <c r="I9454" s="237"/>
      <c r="J9454" s="238"/>
    </row>
    <row r="9455">
      <c r="C9455" s="82"/>
      <c r="E9455" s="84"/>
      <c r="F9455" s="84"/>
      <c r="G9455" s="84"/>
      <c r="I9455" s="237"/>
      <c r="J9455" s="238"/>
    </row>
    <row r="9456">
      <c r="C9456" s="82"/>
      <c r="E9456" s="84"/>
      <c r="F9456" s="84"/>
      <c r="G9456" s="84"/>
      <c r="I9456" s="237"/>
      <c r="J9456" s="238"/>
    </row>
    <row r="9457">
      <c r="C9457" s="82"/>
      <c r="E9457" s="84"/>
      <c r="F9457" s="84"/>
      <c r="G9457" s="84"/>
      <c r="I9457" s="237"/>
      <c r="J9457" s="238"/>
    </row>
    <row r="9458">
      <c r="C9458" s="82"/>
      <c r="E9458" s="84"/>
      <c r="F9458" s="84"/>
      <c r="G9458" s="84"/>
      <c r="I9458" s="237"/>
      <c r="J9458" s="238"/>
    </row>
    <row r="9459">
      <c r="C9459" s="82"/>
      <c r="E9459" s="84"/>
      <c r="F9459" s="84"/>
      <c r="G9459" s="84"/>
      <c r="I9459" s="237"/>
      <c r="J9459" s="238"/>
    </row>
    <row r="9460">
      <c r="C9460" s="82"/>
      <c r="E9460" s="84"/>
      <c r="F9460" s="84"/>
      <c r="G9460" s="84"/>
      <c r="I9460" s="237"/>
      <c r="J9460" s="238"/>
    </row>
    <row r="9461">
      <c r="C9461" s="82"/>
      <c r="E9461" s="84"/>
      <c r="F9461" s="84"/>
      <c r="G9461" s="84"/>
      <c r="I9461" s="237"/>
      <c r="J9461" s="238"/>
    </row>
    <row r="9462">
      <c r="C9462" s="82"/>
      <c r="E9462" s="84"/>
      <c r="F9462" s="84"/>
      <c r="G9462" s="84"/>
      <c r="I9462" s="237"/>
      <c r="J9462" s="238"/>
    </row>
    <row r="9463">
      <c r="C9463" s="82"/>
      <c r="E9463" s="84"/>
      <c r="F9463" s="84"/>
      <c r="G9463" s="84"/>
      <c r="I9463" s="237"/>
      <c r="J9463" s="238"/>
    </row>
    <row r="9464">
      <c r="C9464" s="82"/>
      <c r="E9464" s="84"/>
      <c r="F9464" s="84"/>
      <c r="G9464" s="84"/>
      <c r="I9464" s="237"/>
      <c r="J9464" s="238"/>
    </row>
    <row r="9465">
      <c r="C9465" s="82"/>
      <c r="E9465" s="84"/>
      <c r="F9465" s="84"/>
      <c r="G9465" s="84"/>
      <c r="I9465" s="237"/>
      <c r="J9465" s="238"/>
    </row>
    <row r="9466">
      <c r="C9466" s="82"/>
      <c r="E9466" s="84"/>
      <c r="F9466" s="84"/>
      <c r="G9466" s="84"/>
      <c r="I9466" s="237"/>
      <c r="J9466" s="238"/>
    </row>
    <row r="9467">
      <c r="C9467" s="82"/>
      <c r="E9467" s="84"/>
      <c r="F9467" s="84"/>
      <c r="G9467" s="84"/>
      <c r="I9467" s="237"/>
      <c r="J9467" s="238"/>
    </row>
    <row r="9468">
      <c r="C9468" s="82"/>
      <c r="E9468" s="84"/>
      <c r="F9468" s="84"/>
      <c r="G9468" s="84"/>
      <c r="I9468" s="237"/>
      <c r="J9468" s="238"/>
    </row>
    <row r="9469">
      <c r="C9469" s="82"/>
      <c r="E9469" s="84"/>
      <c r="F9469" s="84"/>
      <c r="G9469" s="84"/>
      <c r="I9469" s="237"/>
      <c r="J9469" s="238"/>
    </row>
    <row r="9470">
      <c r="C9470" s="82"/>
      <c r="E9470" s="84"/>
      <c r="F9470" s="84"/>
      <c r="G9470" s="84"/>
      <c r="I9470" s="237"/>
      <c r="J9470" s="238"/>
    </row>
    <row r="9471">
      <c r="C9471" s="82"/>
      <c r="E9471" s="84"/>
      <c r="F9471" s="84"/>
      <c r="G9471" s="84"/>
      <c r="I9471" s="237"/>
      <c r="J9471" s="238"/>
    </row>
    <row r="9472">
      <c r="C9472" s="82"/>
      <c r="E9472" s="84"/>
      <c r="F9472" s="84"/>
      <c r="G9472" s="84"/>
      <c r="I9472" s="237"/>
      <c r="J9472" s="238"/>
    </row>
    <row r="9473">
      <c r="C9473" s="82"/>
      <c r="E9473" s="84"/>
      <c r="F9473" s="84"/>
      <c r="G9473" s="84"/>
      <c r="I9473" s="237"/>
      <c r="J9473" s="238"/>
    </row>
    <row r="9474">
      <c r="C9474" s="82"/>
      <c r="E9474" s="84"/>
      <c r="F9474" s="84"/>
      <c r="G9474" s="84"/>
      <c r="I9474" s="237"/>
      <c r="J9474" s="238"/>
    </row>
    <row r="9475">
      <c r="C9475" s="82"/>
      <c r="E9475" s="84"/>
      <c r="F9475" s="84"/>
      <c r="G9475" s="84"/>
      <c r="I9475" s="237"/>
      <c r="J9475" s="238"/>
    </row>
    <row r="9476">
      <c r="C9476" s="82"/>
      <c r="E9476" s="84"/>
      <c r="F9476" s="84"/>
      <c r="G9476" s="84"/>
      <c r="I9476" s="237"/>
      <c r="J9476" s="238"/>
    </row>
    <row r="9477">
      <c r="C9477" s="82"/>
      <c r="E9477" s="84"/>
      <c r="F9477" s="84"/>
      <c r="G9477" s="84"/>
      <c r="I9477" s="237"/>
      <c r="J9477" s="238"/>
    </row>
    <row r="9478">
      <c r="C9478" s="82"/>
      <c r="E9478" s="84"/>
      <c r="F9478" s="84"/>
      <c r="G9478" s="84"/>
      <c r="I9478" s="237"/>
      <c r="J9478" s="238"/>
    </row>
    <row r="9479">
      <c r="C9479" s="82"/>
      <c r="E9479" s="84"/>
      <c r="F9479" s="84"/>
      <c r="G9479" s="84"/>
      <c r="I9479" s="237"/>
      <c r="J9479" s="238"/>
    </row>
    <row r="9480">
      <c r="C9480" s="82"/>
      <c r="E9480" s="84"/>
      <c r="F9480" s="84"/>
      <c r="G9480" s="84"/>
      <c r="I9480" s="237"/>
      <c r="J9480" s="238"/>
    </row>
    <row r="9481">
      <c r="C9481" s="82"/>
      <c r="E9481" s="84"/>
      <c r="F9481" s="84"/>
      <c r="G9481" s="84"/>
      <c r="I9481" s="237"/>
      <c r="J9481" s="238"/>
    </row>
    <row r="9482">
      <c r="C9482" s="82"/>
      <c r="E9482" s="84"/>
      <c r="F9482" s="84"/>
      <c r="G9482" s="84"/>
      <c r="I9482" s="237"/>
      <c r="J9482" s="238"/>
    </row>
    <row r="9483">
      <c r="C9483" s="82"/>
      <c r="E9483" s="84"/>
      <c r="F9483" s="84"/>
      <c r="G9483" s="84"/>
      <c r="I9483" s="237"/>
      <c r="J9483" s="238"/>
    </row>
    <row r="9484">
      <c r="C9484" s="82"/>
      <c r="E9484" s="84"/>
      <c r="F9484" s="84"/>
      <c r="G9484" s="84"/>
      <c r="I9484" s="237"/>
      <c r="J9484" s="238"/>
    </row>
    <row r="9485">
      <c r="C9485" s="82"/>
      <c r="E9485" s="84"/>
      <c r="F9485" s="84"/>
      <c r="G9485" s="84"/>
      <c r="I9485" s="237"/>
      <c r="J9485" s="238"/>
    </row>
    <row r="9486">
      <c r="C9486" s="82"/>
      <c r="E9486" s="84"/>
      <c r="F9486" s="84"/>
      <c r="G9486" s="84"/>
      <c r="I9486" s="237"/>
      <c r="J9486" s="238"/>
    </row>
    <row r="9487">
      <c r="C9487" s="82"/>
      <c r="E9487" s="84"/>
      <c r="F9487" s="84"/>
      <c r="G9487" s="84"/>
      <c r="I9487" s="237"/>
      <c r="J9487" s="238"/>
    </row>
    <row r="9488">
      <c r="C9488" s="82"/>
      <c r="E9488" s="84"/>
      <c r="F9488" s="84"/>
      <c r="G9488" s="84"/>
      <c r="I9488" s="237"/>
      <c r="J9488" s="238"/>
    </row>
    <row r="9489">
      <c r="C9489" s="82"/>
      <c r="E9489" s="84"/>
      <c r="F9489" s="84"/>
      <c r="G9489" s="84"/>
      <c r="I9489" s="237"/>
      <c r="J9489" s="238"/>
    </row>
    <row r="9490">
      <c r="C9490" s="82"/>
      <c r="E9490" s="84"/>
      <c r="F9490" s="84"/>
      <c r="G9490" s="84"/>
      <c r="I9490" s="237"/>
      <c r="J9490" s="238"/>
    </row>
    <row r="9491">
      <c r="C9491" s="82"/>
      <c r="E9491" s="84"/>
      <c r="F9491" s="84"/>
      <c r="G9491" s="84"/>
      <c r="I9491" s="237"/>
      <c r="J9491" s="238"/>
    </row>
    <row r="9492">
      <c r="C9492" s="82"/>
      <c r="E9492" s="84"/>
      <c r="F9492" s="84"/>
      <c r="G9492" s="84"/>
      <c r="I9492" s="237"/>
      <c r="J9492" s="238"/>
    </row>
    <row r="9493">
      <c r="C9493" s="82"/>
      <c r="E9493" s="84"/>
      <c r="F9493" s="84"/>
      <c r="G9493" s="84"/>
      <c r="I9493" s="237"/>
      <c r="J9493" s="238"/>
    </row>
    <row r="9494">
      <c r="C9494" s="82"/>
      <c r="E9494" s="84"/>
      <c r="F9494" s="84"/>
      <c r="G9494" s="84"/>
      <c r="I9494" s="237"/>
      <c r="J9494" s="238"/>
    </row>
    <row r="9495">
      <c r="C9495" s="82"/>
      <c r="E9495" s="84"/>
      <c r="F9495" s="84"/>
      <c r="G9495" s="84"/>
      <c r="I9495" s="237"/>
      <c r="J9495" s="238"/>
    </row>
    <row r="9496">
      <c r="C9496" s="82"/>
      <c r="E9496" s="84"/>
      <c r="F9496" s="84"/>
      <c r="G9496" s="84"/>
      <c r="I9496" s="237"/>
      <c r="J9496" s="238"/>
    </row>
    <row r="9497">
      <c r="C9497" s="82"/>
      <c r="E9497" s="84"/>
      <c r="F9497" s="84"/>
      <c r="G9497" s="84"/>
      <c r="I9497" s="237"/>
      <c r="J9497" s="238"/>
    </row>
    <row r="9498">
      <c r="C9498" s="82"/>
      <c r="E9498" s="84"/>
      <c r="F9498" s="84"/>
      <c r="G9498" s="84"/>
      <c r="I9498" s="237"/>
      <c r="J9498" s="238"/>
    </row>
    <row r="9499">
      <c r="C9499" s="82"/>
      <c r="E9499" s="84"/>
      <c r="F9499" s="84"/>
      <c r="G9499" s="84"/>
      <c r="I9499" s="237"/>
      <c r="J9499" s="238"/>
    </row>
    <row r="9500">
      <c r="C9500" s="82"/>
      <c r="E9500" s="84"/>
      <c r="F9500" s="84"/>
      <c r="G9500" s="84"/>
      <c r="I9500" s="237"/>
      <c r="J9500" s="238"/>
    </row>
    <row r="9501">
      <c r="C9501" s="82"/>
      <c r="E9501" s="84"/>
      <c r="F9501" s="84"/>
      <c r="G9501" s="84"/>
      <c r="I9501" s="237"/>
      <c r="J9501" s="238"/>
    </row>
    <row r="9502">
      <c r="C9502" s="82"/>
      <c r="E9502" s="84"/>
      <c r="F9502" s="84"/>
      <c r="G9502" s="84"/>
      <c r="I9502" s="237"/>
      <c r="J9502" s="238"/>
    </row>
    <row r="9503">
      <c r="C9503" s="82"/>
      <c r="E9503" s="84"/>
      <c r="F9503" s="84"/>
      <c r="G9503" s="84"/>
      <c r="I9503" s="237"/>
      <c r="J9503" s="238"/>
    </row>
    <row r="9504">
      <c r="C9504" s="82"/>
      <c r="E9504" s="84"/>
      <c r="F9504" s="84"/>
      <c r="G9504" s="84"/>
      <c r="I9504" s="237"/>
      <c r="J9504" s="238"/>
    </row>
    <row r="9505">
      <c r="C9505" s="82"/>
      <c r="E9505" s="84"/>
      <c r="F9505" s="84"/>
      <c r="G9505" s="84"/>
      <c r="I9505" s="237"/>
      <c r="J9505" s="238"/>
    </row>
    <row r="9506">
      <c r="C9506" s="82"/>
      <c r="E9506" s="84"/>
      <c r="F9506" s="84"/>
      <c r="G9506" s="84"/>
      <c r="I9506" s="237"/>
      <c r="J9506" s="238"/>
    </row>
    <row r="9507">
      <c r="C9507" s="82"/>
      <c r="E9507" s="84"/>
      <c r="F9507" s="84"/>
      <c r="G9507" s="84"/>
      <c r="I9507" s="237"/>
      <c r="J9507" s="238"/>
    </row>
    <row r="9508">
      <c r="C9508" s="82"/>
      <c r="E9508" s="84"/>
      <c r="F9508" s="84"/>
      <c r="G9508" s="84"/>
      <c r="I9508" s="237"/>
      <c r="J9508" s="238"/>
    </row>
    <row r="9509">
      <c r="C9509" s="82"/>
      <c r="E9509" s="84"/>
      <c r="F9509" s="84"/>
      <c r="G9509" s="84"/>
      <c r="I9509" s="237"/>
      <c r="J9509" s="238"/>
    </row>
    <row r="9510">
      <c r="C9510" s="82"/>
      <c r="E9510" s="84"/>
      <c r="F9510" s="84"/>
      <c r="G9510" s="84"/>
      <c r="I9510" s="237"/>
      <c r="J9510" s="238"/>
    </row>
    <row r="9511">
      <c r="C9511" s="82"/>
      <c r="E9511" s="84"/>
      <c r="F9511" s="84"/>
      <c r="G9511" s="84"/>
      <c r="I9511" s="237"/>
      <c r="J9511" s="238"/>
    </row>
    <row r="9512">
      <c r="C9512" s="82"/>
      <c r="E9512" s="84"/>
      <c r="F9512" s="84"/>
      <c r="G9512" s="84"/>
      <c r="I9512" s="237"/>
      <c r="J9512" s="238"/>
    </row>
    <row r="9513">
      <c r="C9513" s="82"/>
      <c r="E9513" s="84"/>
      <c r="F9513" s="84"/>
      <c r="G9513" s="84"/>
      <c r="I9513" s="237"/>
      <c r="J9513" s="238"/>
    </row>
    <row r="9514">
      <c r="C9514" s="82"/>
      <c r="E9514" s="84"/>
      <c r="F9514" s="84"/>
      <c r="G9514" s="84"/>
      <c r="I9514" s="237"/>
      <c r="J9514" s="238"/>
    </row>
    <row r="9515">
      <c r="C9515" s="82"/>
      <c r="E9515" s="84"/>
      <c r="F9515" s="84"/>
      <c r="G9515" s="84"/>
      <c r="I9515" s="237"/>
      <c r="J9515" s="238"/>
    </row>
    <row r="9516">
      <c r="C9516" s="82"/>
      <c r="E9516" s="84"/>
      <c r="F9516" s="84"/>
      <c r="G9516" s="84"/>
      <c r="I9516" s="237"/>
      <c r="J9516" s="238"/>
    </row>
    <row r="9517">
      <c r="C9517" s="82"/>
      <c r="E9517" s="84"/>
      <c r="F9517" s="84"/>
      <c r="G9517" s="84"/>
      <c r="I9517" s="237"/>
      <c r="J9517" s="238"/>
    </row>
    <row r="9518">
      <c r="C9518" s="82"/>
      <c r="E9518" s="84"/>
      <c r="F9518" s="84"/>
      <c r="G9518" s="84"/>
      <c r="I9518" s="237"/>
      <c r="J9518" s="238"/>
    </row>
    <row r="9519">
      <c r="C9519" s="82"/>
      <c r="E9519" s="84"/>
      <c r="F9519" s="84"/>
      <c r="G9519" s="84"/>
      <c r="I9519" s="237"/>
      <c r="J9519" s="238"/>
    </row>
    <row r="9520">
      <c r="C9520" s="82"/>
      <c r="E9520" s="84"/>
      <c r="F9520" s="84"/>
      <c r="G9520" s="84"/>
      <c r="I9520" s="237"/>
      <c r="J9520" s="238"/>
    </row>
    <row r="9521">
      <c r="C9521" s="82"/>
      <c r="E9521" s="84"/>
      <c r="F9521" s="84"/>
      <c r="G9521" s="84"/>
      <c r="I9521" s="237"/>
      <c r="J9521" s="238"/>
    </row>
    <row r="9522">
      <c r="C9522" s="82"/>
      <c r="E9522" s="84"/>
      <c r="F9522" s="84"/>
      <c r="G9522" s="84"/>
      <c r="I9522" s="237"/>
      <c r="J9522" s="238"/>
    </row>
    <row r="9523">
      <c r="C9523" s="82"/>
      <c r="E9523" s="84"/>
      <c r="F9523" s="84"/>
      <c r="G9523" s="84"/>
      <c r="I9523" s="237"/>
      <c r="J9523" s="238"/>
    </row>
    <row r="9524">
      <c r="C9524" s="82"/>
      <c r="E9524" s="84"/>
      <c r="F9524" s="84"/>
      <c r="G9524" s="84"/>
      <c r="I9524" s="237"/>
      <c r="J9524" s="238"/>
    </row>
    <row r="9525">
      <c r="C9525" s="82"/>
      <c r="E9525" s="84"/>
      <c r="F9525" s="84"/>
      <c r="G9525" s="84"/>
      <c r="I9525" s="237"/>
      <c r="J9525" s="238"/>
    </row>
    <row r="9526">
      <c r="C9526" s="82"/>
      <c r="E9526" s="84"/>
      <c r="F9526" s="84"/>
      <c r="G9526" s="84"/>
      <c r="I9526" s="237"/>
      <c r="J9526" s="238"/>
    </row>
    <row r="9527">
      <c r="C9527" s="82"/>
      <c r="E9527" s="84"/>
      <c r="F9527" s="84"/>
      <c r="G9527" s="84"/>
      <c r="I9527" s="237"/>
      <c r="J9527" s="238"/>
    </row>
    <row r="9528">
      <c r="C9528" s="82"/>
      <c r="E9528" s="84"/>
      <c r="F9528" s="84"/>
      <c r="G9528" s="84"/>
      <c r="I9528" s="237"/>
      <c r="J9528" s="238"/>
    </row>
    <row r="9529">
      <c r="C9529" s="82"/>
      <c r="E9529" s="84"/>
      <c r="F9529" s="84"/>
      <c r="G9529" s="84"/>
      <c r="I9529" s="237"/>
      <c r="J9529" s="238"/>
    </row>
    <row r="9530">
      <c r="C9530" s="82"/>
      <c r="E9530" s="84"/>
      <c r="F9530" s="84"/>
      <c r="G9530" s="84"/>
      <c r="I9530" s="237"/>
      <c r="J9530" s="238"/>
    </row>
    <row r="9531">
      <c r="C9531" s="82"/>
      <c r="E9531" s="84"/>
      <c r="F9531" s="84"/>
      <c r="G9531" s="84"/>
      <c r="I9531" s="237"/>
      <c r="J9531" s="238"/>
    </row>
    <row r="9532">
      <c r="C9532" s="82"/>
      <c r="E9532" s="84"/>
      <c r="F9532" s="84"/>
      <c r="G9532" s="84"/>
      <c r="I9532" s="237"/>
      <c r="J9532" s="238"/>
    </row>
    <row r="9533">
      <c r="C9533" s="82"/>
      <c r="E9533" s="84"/>
      <c r="F9533" s="84"/>
      <c r="G9533" s="84"/>
      <c r="I9533" s="237"/>
      <c r="J9533" s="238"/>
    </row>
    <row r="9534">
      <c r="C9534" s="82"/>
      <c r="E9534" s="84"/>
      <c r="F9534" s="84"/>
      <c r="G9534" s="84"/>
      <c r="I9534" s="237"/>
      <c r="J9534" s="238"/>
    </row>
    <row r="9535">
      <c r="C9535" s="82"/>
      <c r="E9535" s="84"/>
      <c r="F9535" s="84"/>
      <c r="G9535" s="84"/>
      <c r="I9535" s="237"/>
      <c r="J9535" s="238"/>
    </row>
    <row r="9536">
      <c r="C9536" s="82"/>
      <c r="E9536" s="84"/>
      <c r="F9536" s="84"/>
      <c r="G9536" s="84"/>
      <c r="I9536" s="237"/>
      <c r="J9536" s="238"/>
    </row>
    <row r="9537">
      <c r="C9537" s="82"/>
      <c r="E9537" s="84"/>
      <c r="F9537" s="84"/>
      <c r="G9537" s="84"/>
      <c r="I9537" s="237"/>
      <c r="J9537" s="238"/>
    </row>
    <row r="9538">
      <c r="C9538" s="82"/>
      <c r="E9538" s="84"/>
      <c r="F9538" s="84"/>
      <c r="G9538" s="84"/>
      <c r="I9538" s="237"/>
      <c r="J9538" s="238"/>
    </row>
    <row r="9539">
      <c r="C9539" s="82"/>
      <c r="E9539" s="84"/>
      <c r="F9539" s="84"/>
      <c r="G9539" s="84"/>
      <c r="I9539" s="237"/>
      <c r="J9539" s="238"/>
    </row>
    <row r="9540">
      <c r="C9540" s="82"/>
      <c r="E9540" s="84"/>
      <c r="F9540" s="84"/>
      <c r="G9540" s="84"/>
      <c r="I9540" s="237"/>
      <c r="J9540" s="238"/>
    </row>
    <row r="9541">
      <c r="C9541" s="82"/>
      <c r="E9541" s="84"/>
      <c r="F9541" s="84"/>
      <c r="G9541" s="84"/>
      <c r="I9541" s="237"/>
      <c r="J9541" s="238"/>
    </row>
    <row r="9542">
      <c r="C9542" s="82"/>
      <c r="E9542" s="84"/>
      <c r="F9542" s="84"/>
      <c r="G9542" s="84"/>
      <c r="I9542" s="237"/>
      <c r="J9542" s="238"/>
    </row>
    <row r="9543">
      <c r="C9543" s="82"/>
      <c r="E9543" s="84"/>
      <c r="F9543" s="84"/>
      <c r="G9543" s="84"/>
      <c r="I9543" s="237"/>
      <c r="J9543" s="238"/>
    </row>
    <row r="9544">
      <c r="C9544" s="82"/>
      <c r="E9544" s="84"/>
      <c r="F9544" s="84"/>
      <c r="G9544" s="84"/>
      <c r="I9544" s="237"/>
      <c r="J9544" s="238"/>
    </row>
    <row r="9545">
      <c r="C9545" s="82"/>
      <c r="E9545" s="84"/>
      <c r="F9545" s="84"/>
      <c r="G9545" s="84"/>
      <c r="I9545" s="237"/>
      <c r="J9545" s="238"/>
    </row>
    <row r="9546">
      <c r="C9546" s="82"/>
      <c r="E9546" s="84"/>
      <c r="F9546" s="84"/>
      <c r="G9546" s="84"/>
      <c r="I9546" s="237"/>
      <c r="J9546" s="238"/>
    </row>
    <row r="9547">
      <c r="C9547" s="82"/>
      <c r="E9547" s="84"/>
      <c r="F9547" s="84"/>
      <c r="G9547" s="84"/>
      <c r="I9547" s="237"/>
      <c r="J9547" s="238"/>
    </row>
    <row r="9548">
      <c r="C9548" s="82"/>
      <c r="E9548" s="84"/>
      <c r="F9548" s="84"/>
      <c r="G9548" s="84"/>
      <c r="I9548" s="237"/>
      <c r="J9548" s="238"/>
    </row>
    <row r="9549">
      <c r="C9549" s="82"/>
      <c r="E9549" s="84"/>
      <c r="F9549" s="84"/>
      <c r="G9549" s="84"/>
      <c r="I9549" s="237"/>
      <c r="J9549" s="238"/>
    </row>
    <row r="9550">
      <c r="C9550" s="82"/>
      <c r="E9550" s="84"/>
      <c r="F9550" s="84"/>
      <c r="G9550" s="84"/>
      <c r="I9550" s="237"/>
      <c r="J9550" s="238"/>
    </row>
    <row r="9551">
      <c r="C9551" s="82"/>
      <c r="E9551" s="84"/>
      <c r="F9551" s="84"/>
      <c r="G9551" s="84"/>
      <c r="I9551" s="237"/>
      <c r="J9551" s="238"/>
    </row>
    <row r="9552">
      <c r="C9552" s="82"/>
      <c r="E9552" s="84"/>
      <c r="F9552" s="84"/>
      <c r="G9552" s="84"/>
      <c r="I9552" s="237"/>
      <c r="J9552" s="238"/>
    </row>
    <row r="9553">
      <c r="C9553" s="82"/>
      <c r="E9553" s="84"/>
      <c r="F9553" s="84"/>
      <c r="G9553" s="84"/>
      <c r="I9553" s="237"/>
      <c r="J9553" s="238"/>
    </row>
    <row r="9554">
      <c r="C9554" s="82"/>
      <c r="E9554" s="84"/>
      <c r="F9554" s="84"/>
      <c r="G9554" s="84"/>
      <c r="I9554" s="237"/>
      <c r="J9554" s="238"/>
    </row>
    <row r="9555">
      <c r="C9555" s="82"/>
      <c r="E9555" s="84"/>
      <c r="F9555" s="84"/>
      <c r="G9555" s="84"/>
      <c r="I9555" s="237"/>
      <c r="J9555" s="238"/>
    </row>
    <row r="9556">
      <c r="C9556" s="82"/>
      <c r="E9556" s="84"/>
      <c r="F9556" s="84"/>
      <c r="G9556" s="84"/>
      <c r="I9556" s="237"/>
      <c r="J9556" s="238"/>
    </row>
    <row r="9557">
      <c r="C9557" s="82"/>
      <c r="E9557" s="84"/>
      <c r="F9557" s="84"/>
      <c r="G9557" s="84"/>
      <c r="I9557" s="237"/>
      <c r="J9557" s="238"/>
    </row>
    <row r="9558">
      <c r="C9558" s="82"/>
      <c r="E9558" s="84"/>
      <c r="F9558" s="84"/>
      <c r="G9558" s="84"/>
      <c r="I9558" s="237"/>
      <c r="J9558" s="238"/>
    </row>
    <row r="9559">
      <c r="C9559" s="82"/>
      <c r="E9559" s="84"/>
      <c r="F9559" s="84"/>
      <c r="G9559" s="84"/>
      <c r="I9559" s="237"/>
      <c r="J9559" s="238"/>
    </row>
    <row r="9560">
      <c r="C9560" s="82"/>
      <c r="E9560" s="84"/>
      <c r="F9560" s="84"/>
      <c r="G9560" s="84"/>
      <c r="I9560" s="237"/>
      <c r="J9560" s="238"/>
    </row>
    <row r="9561">
      <c r="C9561" s="82"/>
      <c r="E9561" s="84"/>
      <c r="F9561" s="84"/>
      <c r="G9561" s="84"/>
      <c r="I9561" s="237"/>
      <c r="J9561" s="238"/>
    </row>
    <row r="9562">
      <c r="C9562" s="82"/>
      <c r="E9562" s="84"/>
      <c r="F9562" s="84"/>
      <c r="G9562" s="84"/>
      <c r="I9562" s="237"/>
      <c r="J9562" s="238"/>
    </row>
    <row r="9563">
      <c r="C9563" s="82"/>
      <c r="E9563" s="84"/>
      <c r="F9563" s="84"/>
      <c r="G9563" s="84"/>
      <c r="I9563" s="237"/>
      <c r="J9563" s="238"/>
    </row>
    <row r="9564">
      <c r="C9564" s="82"/>
      <c r="E9564" s="84"/>
      <c r="F9564" s="84"/>
      <c r="G9564" s="84"/>
      <c r="I9564" s="237"/>
      <c r="J9564" s="238"/>
    </row>
    <row r="9565">
      <c r="C9565" s="82"/>
      <c r="E9565" s="84"/>
      <c r="F9565" s="84"/>
      <c r="G9565" s="84"/>
      <c r="I9565" s="237"/>
      <c r="J9565" s="238"/>
    </row>
    <row r="9566">
      <c r="C9566" s="82"/>
      <c r="E9566" s="84"/>
      <c r="F9566" s="84"/>
      <c r="G9566" s="84"/>
      <c r="I9566" s="237"/>
      <c r="J9566" s="238"/>
    </row>
    <row r="9567">
      <c r="C9567" s="82"/>
      <c r="E9567" s="84"/>
      <c r="F9567" s="84"/>
      <c r="G9567" s="84"/>
      <c r="I9567" s="237"/>
      <c r="J9567" s="238"/>
    </row>
    <row r="9568">
      <c r="C9568" s="82"/>
      <c r="E9568" s="84"/>
      <c r="F9568" s="84"/>
      <c r="G9568" s="84"/>
      <c r="I9568" s="237"/>
      <c r="J9568" s="238"/>
    </row>
    <row r="9569">
      <c r="C9569" s="82"/>
      <c r="E9569" s="84"/>
      <c r="F9569" s="84"/>
      <c r="G9569" s="84"/>
      <c r="I9569" s="237"/>
      <c r="J9569" s="238"/>
    </row>
    <row r="9570">
      <c r="C9570" s="82"/>
      <c r="E9570" s="84"/>
      <c r="F9570" s="84"/>
      <c r="G9570" s="84"/>
      <c r="I9570" s="237"/>
      <c r="J9570" s="238"/>
    </row>
    <row r="9571">
      <c r="C9571" s="82"/>
      <c r="E9571" s="84"/>
      <c r="F9571" s="84"/>
      <c r="G9571" s="84"/>
      <c r="I9571" s="237"/>
      <c r="J9571" s="238"/>
    </row>
    <row r="9572">
      <c r="C9572" s="82"/>
      <c r="E9572" s="84"/>
      <c r="F9572" s="84"/>
      <c r="G9572" s="84"/>
      <c r="I9572" s="237"/>
      <c r="J9572" s="238"/>
    </row>
    <row r="9573">
      <c r="C9573" s="82"/>
      <c r="E9573" s="84"/>
      <c r="F9573" s="84"/>
      <c r="G9573" s="84"/>
      <c r="I9573" s="237"/>
      <c r="J9573" s="238"/>
    </row>
    <row r="9574">
      <c r="C9574" s="82"/>
      <c r="E9574" s="84"/>
      <c r="F9574" s="84"/>
      <c r="G9574" s="84"/>
      <c r="I9574" s="237"/>
      <c r="J9574" s="238"/>
    </row>
    <row r="9575">
      <c r="C9575" s="82"/>
      <c r="E9575" s="84"/>
      <c r="F9575" s="84"/>
      <c r="G9575" s="84"/>
      <c r="I9575" s="237"/>
      <c r="J9575" s="238"/>
    </row>
    <row r="9576">
      <c r="C9576" s="82"/>
      <c r="E9576" s="84"/>
      <c r="F9576" s="84"/>
      <c r="G9576" s="84"/>
      <c r="I9576" s="237"/>
      <c r="J9576" s="238"/>
    </row>
    <row r="9577">
      <c r="C9577" s="82"/>
      <c r="E9577" s="84"/>
      <c r="F9577" s="84"/>
      <c r="G9577" s="84"/>
      <c r="I9577" s="237"/>
      <c r="J9577" s="238"/>
    </row>
    <row r="9578">
      <c r="C9578" s="82"/>
      <c r="E9578" s="84"/>
      <c r="F9578" s="84"/>
      <c r="G9578" s="84"/>
      <c r="I9578" s="237"/>
      <c r="J9578" s="238"/>
    </row>
    <row r="9579">
      <c r="C9579" s="82"/>
      <c r="E9579" s="84"/>
      <c r="F9579" s="84"/>
      <c r="G9579" s="84"/>
      <c r="I9579" s="237"/>
      <c r="J9579" s="238"/>
    </row>
    <row r="9580">
      <c r="C9580" s="82"/>
      <c r="E9580" s="84"/>
      <c r="F9580" s="84"/>
      <c r="G9580" s="84"/>
      <c r="I9580" s="237"/>
      <c r="J9580" s="238"/>
    </row>
    <row r="9581">
      <c r="C9581" s="82"/>
      <c r="E9581" s="84"/>
      <c r="F9581" s="84"/>
      <c r="G9581" s="84"/>
      <c r="I9581" s="237"/>
      <c r="J9581" s="238"/>
    </row>
    <row r="9582">
      <c r="C9582" s="82"/>
      <c r="E9582" s="84"/>
      <c r="F9582" s="84"/>
      <c r="G9582" s="84"/>
      <c r="I9582" s="237"/>
      <c r="J9582" s="238"/>
    </row>
    <row r="9583">
      <c r="C9583" s="82"/>
      <c r="E9583" s="84"/>
      <c r="F9583" s="84"/>
      <c r="G9583" s="84"/>
      <c r="I9583" s="237"/>
      <c r="J9583" s="238"/>
    </row>
    <row r="9584">
      <c r="C9584" s="82"/>
      <c r="E9584" s="84"/>
      <c r="F9584" s="84"/>
      <c r="G9584" s="84"/>
      <c r="I9584" s="237"/>
      <c r="J9584" s="238"/>
    </row>
    <row r="9585">
      <c r="C9585" s="82"/>
      <c r="E9585" s="84"/>
      <c r="F9585" s="84"/>
      <c r="G9585" s="84"/>
      <c r="I9585" s="237"/>
      <c r="J9585" s="238"/>
    </row>
    <row r="9586">
      <c r="C9586" s="82"/>
      <c r="E9586" s="84"/>
      <c r="F9586" s="84"/>
      <c r="G9586" s="84"/>
      <c r="I9586" s="237"/>
      <c r="J9586" s="238"/>
    </row>
    <row r="9587">
      <c r="C9587" s="82"/>
      <c r="E9587" s="84"/>
      <c r="F9587" s="84"/>
      <c r="G9587" s="84"/>
      <c r="I9587" s="237"/>
      <c r="J9587" s="238"/>
    </row>
    <row r="9588">
      <c r="C9588" s="82"/>
      <c r="E9588" s="84"/>
      <c r="F9588" s="84"/>
      <c r="G9588" s="84"/>
      <c r="I9588" s="237"/>
      <c r="J9588" s="238"/>
    </row>
    <row r="9589">
      <c r="C9589" s="82"/>
      <c r="E9589" s="84"/>
      <c r="F9589" s="84"/>
      <c r="G9589" s="84"/>
      <c r="I9589" s="237"/>
      <c r="J9589" s="238"/>
    </row>
    <row r="9590">
      <c r="C9590" s="82"/>
      <c r="E9590" s="84"/>
      <c r="F9590" s="84"/>
      <c r="G9590" s="84"/>
      <c r="I9590" s="237"/>
      <c r="J9590" s="238"/>
    </row>
    <row r="9591">
      <c r="C9591" s="82"/>
      <c r="E9591" s="84"/>
      <c r="F9591" s="84"/>
      <c r="G9591" s="84"/>
      <c r="I9591" s="237"/>
      <c r="J9591" s="238"/>
    </row>
    <row r="9592">
      <c r="C9592" s="82"/>
      <c r="E9592" s="84"/>
      <c r="F9592" s="84"/>
      <c r="G9592" s="84"/>
      <c r="I9592" s="237"/>
      <c r="J9592" s="238"/>
    </row>
    <row r="9593">
      <c r="C9593" s="82"/>
      <c r="E9593" s="84"/>
      <c r="F9593" s="84"/>
      <c r="G9593" s="84"/>
      <c r="I9593" s="237"/>
      <c r="J9593" s="238"/>
    </row>
    <row r="9594">
      <c r="C9594" s="82"/>
      <c r="E9594" s="84"/>
      <c r="F9594" s="84"/>
      <c r="G9594" s="84"/>
      <c r="I9594" s="237"/>
      <c r="J9594" s="238"/>
    </row>
    <row r="9595">
      <c r="C9595" s="82"/>
      <c r="E9595" s="84"/>
      <c r="F9595" s="84"/>
      <c r="G9595" s="84"/>
      <c r="I9595" s="237"/>
      <c r="J9595" s="238"/>
    </row>
    <row r="9596">
      <c r="C9596" s="82"/>
      <c r="E9596" s="84"/>
      <c r="F9596" s="84"/>
      <c r="G9596" s="84"/>
      <c r="I9596" s="237"/>
      <c r="J9596" s="238"/>
    </row>
    <row r="9597">
      <c r="C9597" s="82"/>
      <c r="E9597" s="84"/>
      <c r="F9597" s="84"/>
      <c r="G9597" s="84"/>
      <c r="I9597" s="237"/>
      <c r="J9597" s="238"/>
    </row>
    <row r="9598">
      <c r="C9598" s="82"/>
      <c r="E9598" s="84"/>
      <c r="F9598" s="84"/>
      <c r="G9598" s="84"/>
      <c r="I9598" s="237"/>
      <c r="J9598" s="238"/>
    </row>
    <row r="9599">
      <c r="C9599" s="82"/>
      <c r="E9599" s="84"/>
      <c r="F9599" s="84"/>
      <c r="G9599" s="84"/>
      <c r="I9599" s="237"/>
      <c r="J9599" s="238"/>
    </row>
    <row r="9600">
      <c r="C9600" s="82"/>
      <c r="E9600" s="84"/>
      <c r="F9600" s="84"/>
      <c r="G9600" s="84"/>
      <c r="I9600" s="237"/>
      <c r="J9600" s="238"/>
    </row>
    <row r="9601">
      <c r="C9601" s="82"/>
      <c r="E9601" s="84"/>
      <c r="F9601" s="84"/>
      <c r="G9601" s="84"/>
      <c r="I9601" s="237"/>
      <c r="J9601" s="238"/>
    </row>
    <row r="9602">
      <c r="C9602" s="82"/>
      <c r="E9602" s="84"/>
      <c r="F9602" s="84"/>
      <c r="G9602" s="84"/>
      <c r="I9602" s="237"/>
      <c r="J9602" s="238"/>
    </row>
    <row r="9603">
      <c r="C9603" s="82"/>
      <c r="E9603" s="84"/>
      <c r="F9603" s="84"/>
      <c r="G9603" s="84"/>
      <c r="I9603" s="237"/>
      <c r="J9603" s="238"/>
    </row>
    <row r="9604">
      <c r="C9604" s="82"/>
      <c r="E9604" s="84"/>
      <c r="F9604" s="84"/>
      <c r="G9604" s="84"/>
      <c r="I9604" s="237"/>
      <c r="J9604" s="238"/>
    </row>
    <row r="9605">
      <c r="C9605" s="82"/>
      <c r="E9605" s="84"/>
      <c r="F9605" s="84"/>
      <c r="G9605" s="84"/>
      <c r="I9605" s="237"/>
      <c r="J9605" s="238"/>
    </row>
    <row r="9606">
      <c r="C9606" s="82"/>
      <c r="E9606" s="84"/>
      <c r="F9606" s="84"/>
      <c r="G9606" s="84"/>
      <c r="I9606" s="237"/>
      <c r="J9606" s="238"/>
    </row>
    <row r="9607">
      <c r="C9607" s="82"/>
      <c r="E9607" s="84"/>
      <c r="F9607" s="84"/>
      <c r="G9607" s="84"/>
      <c r="I9607" s="237"/>
      <c r="J9607" s="238"/>
    </row>
    <row r="9608">
      <c r="C9608" s="82"/>
      <c r="E9608" s="84"/>
      <c r="F9608" s="84"/>
      <c r="G9608" s="84"/>
      <c r="I9608" s="237"/>
      <c r="J9608" s="238"/>
    </row>
    <row r="9609">
      <c r="C9609" s="82"/>
      <c r="E9609" s="84"/>
      <c r="F9609" s="84"/>
      <c r="G9609" s="84"/>
      <c r="I9609" s="237"/>
      <c r="J9609" s="238"/>
    </row>
    <row r="9610">
      <c r="C9610" s="82"/>
      <c r="E9610" s="84"/>
      <c r="F9610" s="84"/>
      <c r="G9610" s="84"/>
      <c r="I9610" s="237"/>
      <c r="J9610" s="238"/>
    </row>
    <row r="9611">
      <c r="C9611" s="82"/>
      <c r="E9611" s="84"/>
      <c r="F9611" s="84"/>
      <c r="G9611" s="84"/>
      <c r="I9611" s="237"/>
      <c r="J9611" s="238"/>
    </row>
    <row r="9612">
      <c r="C9612" s="82"/>
      <c r="E9612" s="84"/>
      <c r="F9612" s="84"/>
      <c r="G9612" s="84"/>
      <c r="I9612" s="237"/>
      <c r="J9612" s="238"/>
    </row>
    <row r="9613">
      <c r="C9613" s="82"/>
      <c r="E9613" s="84"/>
      <c r="F9613" s="84"/>
      <c r="G9613" s="84"/>
      <c r="I9613" s="237"/>
      <c r="J9613" s="238"/>
    </row>
    <row r="9614">
      <c r="C9614" s="82"/>
      <c r="E9614" s="84"/>
      <c r="F9614" s="84"/>
      <c r="G9614" s="84"/>
      <c r="I9614" s="237"/>
      <c r="J9614" s="238"/>
    </row>
    <row r="9615">
      <c r="C9615" s="82"/>
      <c r="E9615" s="84"/>
      <c r="F9615" s="84"/>
      <c r="G9615" s="84"/>
      <c r="I9615" s="237"/>
      <c r="J9615" s="238"/>
    </row>
    <row r="9616">
      <c r="C9616" s="82"/>
      <c r="E9616" s="84"/>
      <c r="F9616" s="84"/>
      <c r="G9616" s="84"/>
      <c r="I9616" s="237"/>
      <c r="J9616" s="238"/>
    </row>
    <row r="9617">
      <c r="C9617" s="82"/>
      <c r="E9617" s="84"/>
      <c r="F9617" s="84"/>
      <c r="G9617" s="84"/>
      <c r="I9617" s="237"/>
      <c r="J9617" s="238"/>
    </row>
    <row r="9618">
      <c r="C9618" s="82"/>
      <c r="E9618" s="84"/>
      <c r="F9618" s="84"/>
      <c r="G9618" s="84"/>
      <c r="I9618" s="237"/>
      <c r="J9618" s="238"/>
    </row>
    <row r="9619">
      <c r="C9619" s="82"/>
      <c r="E9619" s="84"/>
      <c r="F9619" s="84"/>
      <c r="G9619" s="84"/>
      <c r="I9619" s="237"/>
      <c r="J9619" s="238"/>
    </row>
    <row r="9620">
      <c r="C9620" s="82"/>
      <c r="E9620" s="84"/>
      <c r="F9620" s="84"/>
      <c r="G9620" s="84"/>
      <c r="I9620" s="237"/>
      <c r="J9620" s="238"/>
    </row>
    <row r="9621">
      <c r="C9621" s="82"/>
      <c r="E9621" s="84"/>
      <c r="F9621" s="84"/>
      <c r="G9621" s="84"/>
      <c r="I9621" s="237"/>
      <c r="J9621" s="238"/>
    </row>
    <row r="9622">
      <c r="C9622" s="82"/>
      <c r="E9622" s="84"/>
      <c r="F9622" s="84"/>
      <c r="G9622" s="84"/>
      <c r="I9622" s="237"/>
      <c r="J9622" s="238"/>
    </row>
    <row r="9623">
      <c r="C9623" s="82"/>
      <c r="E9623" s="84"/>
      <c r="F9623" s="84"/>
      <c r="G9623" s="84"/>
      <c r="I9623" s="237"/>
      <c r="J9623" s="238"/>
    </row>
    <row r="9624">
      <c r="C9624" s="82"/>
      <c r="E9624" s="84"/>
      <c r="F9624" s="84"/>
      <c r="G9624" s="84"/>
      <c r="I9624" s="237"/>
      <c r="J9624" s="238"/>
    </row>
    <row r="9625">
      <c r="C9625" s="82"/>
      <c r="E9625" s="84"/>
      <c r="F9625" s="84"/>
      <c r="G9625" s="84"/>
      <c r="I9625" s="237"/>
      <c r="J9625" s="238"/>
    </row>
    <row r="9626">
      <c r="C9626" s="82"/>
      <c r="E9626" s="84"/>
      <c r="F9626" s="84"/>
      <c r="G9626" s="84"/>
      <c r="I9626" s="237"/>
      <c r="J9626" s="238"/>
    </row>
    <row r="9627">
      <c r="C9627" s="82"/>
      <c r="E9627" s="84"/>
      <c r="F9627" s="84"/>
      <c r="G9627" s="84"/>
      <c r="I9627" s="237"/>
      <c r="J9627" s="238"/>
    </row>
    <row r="9628">
      <c r="C9628" s="82"/>
      <c r="E9628" s="84"/>
      <c r="F9628" s="84"/>
      <c r="G9628" s="84"/>
      <c r="I9628" s="237"/>
      <c r="J9628" s="238"/>
    </row>
    <row r="9629">
      <c r="C9629" s="82"/>
      <c r="E9629" s="84"/>
      <c r="F9629" s="84"/>
      <c r="G9629" s="84"/>
      <c r="I9629" s="237"/>
      <c r="J9629" s="238"/>
    </row>
    <row r="9630">
      <c r="C9630" s="82"/>
      <c r="E9630" s="84"/>
      <c r="F9630" s="84"/>
      <c r="G9630" s="84"/>
      <c r="I9630" s="237"/>
      <c r="J9630" s="238"/>
    </row>
    <row r="9631">
      <c r="C9631" s="82"/>
      <c r="E9631" s="84"/>
      <c r="F9631" s="84"/>
      <c r="G9631" s="84"/>
      <c r="I9631" s="237"/>
      <c r="J9631" s="238"/>
    </row>
    <row r="9632">
      <c r="C9632" s="82"/>
      <c r="E9632" s="84"/>
      <c r="F9632" s="84"/>
      <c r="G9632" s="84"/>
      <c r="I9632" s="237"/>
      <c r="J9632" s="238"/>
    </row>
    <row r="9633">
      <c r="C9633" s="82"/>
      <c r="E9633" s="84"/>
      <c r="F9633" s="84"/>
      <c r="G9633" s="84"/>
      <c r="I9633" s="237"/>
      <c r="J9633" s="238"/>
    </row>
    <row r="9634">
      <c r="C9634" s="82"/>
      <c r="E9634" s="84"/>
      <c r="F9634" s="84"/>
      <c r="G9634" s="84"/>
      <c r="I9634" s="237"/>
      <c r="J9634" s="238"/>
    </row>
    <row r="9635">
      <c r="C9635" s="82"/>
      <c r="E9635" s="84"/>
      <c r="F9635" s="84"/>
      <c r="G9635" s="84"/>
      <c r="I9635" s="237"/>
      <c r="J9635" s="238"/>
    </row>
    <row r="9636">
      <c r="C9636" s="82"/>
      <c r="E9636" s="84"/>
      <c r="F9636" s="84"/>
      <c r="G9636" s="84"/>
      <c r="I9636" s="237"/>
      <c r="J9636" s="238"/>
    </row>
    <row r="9637">
      <c r="C9637" s="82"/>
      <c r="E9637" s="84"/>
      <c r="F9637" s="84"/>
      <c r="G9637" s="84"/>
      <c r="I9637" s="237"/>
      <c r="J9637" s="238"/>
    </row>
    <row r="9638">
      <c r="C9638" s="82"/>
      <c r="E9638" s="84"/>
      <c r="F9638" s="84"/>
      <c r="G9638" s="84"/>
      <c r="I9638" s="237"/>
      <c r="J9638" s="238"/>
    </row>
    <row r="9639">
      <c r="C9639" s="82"/>
      <c r="E9639" s="84"/>
      <c r="F9639" s="84"/>
      <c r="G9639" s="84"/>
      <c r="I9639" s="237"/>
      <c r="J9639" s="238"/>
    </row>
    <row r="9640">
      <c r="C9640" s="82"/>
      <c r="E9640" s="84"/>
      <c r="F9640" s="84"/>
      <c r="G9640" s="84"/>
      <c r="I9640" s="237"/>
      <c r="J9640" s="238"/>
    </row>
    <row r="9641">
      <c r="C9641" s="82"/>
      <c r="E9641" s="84"/>
      <c r="F9641" s="84"/>
      <c r="G9641" s="84"/>
      <c r="I9641" s="237"/>
      <c r="J9641" s="238"/>
    </row>
    <row r="9642">
      <c r="C9642" s="82"/>
      <c r="E9642" s="84"/>
      <c r="F9642" s="84"/>
      <c r="G9642" s="84"/>
      <c r="I9642" s="237"/>
      <c r="J9642" s="238"/>
    </row>
    <row r="9643">
      <c r="C9643" s="82"/>
      <c r="E9643" s="84"/>
      <c r="F9643" s="84"/>
      <c r="G9643" s="84"/>
      <c r="I9643" s="237"/>
      <c r="J9643" s="238"/>
    </row>
    <row r="9644">
      <c r="C9644" s="82"/>
      <c r="E9644" s="84"/>
      <c r="F9644" s="84"/>
      <c r="G9644" s="84"/>
      <c r="I9644" s="237"/>
      <c r="J9644" s="238"/>
    </row>
    <row r="9645">
      <c r="C9645" s="82"/>
      <c r="E9645" s="84"/>
      <c r="F9645" s="84"/>
      <c r="G9645" s="84"/>
      <c r="I9645" s="237"/>
      <c r="J9645" s="238"/>
    </row>
    <row r="9646">
      <c r="C9646" s="82"/>
      <c r="E9646" s="84"/>
      <c r="F9646" s="84"/>
      <c r="G9646" s="84"/>
      <c r="I9646" s="237"/>
      <c r="J9646" s="238"/>
    </row>
    <row r="9647">
      <c r="C9647" s="82"/>
      <c r="E9647" s="84"/>
      <c r="F9647" s="84"/>
      <c r="G9647" s="84"/>
      <c r="I9647" s="237"/>
      <c r="J9647" s="238"/>
    </row>
    <row r="9648">
      <c r="C9648" s="82"/>
      <c r="E9648" s="84"/>
      <c r="F9648" s="84"/>
      <c r="G9648" s="84"/>
      <c r="I9648" s="237"/>
      <c r="J9648" s="238"/>
    </row>
    <row r="9649">
      <c r="C9649" s="82"/>
      <c r="E9649" s="84"/>
      <c r="F9649" s="84"/>
      <c r="G9649" s="84"/>
      <c r="I9649" s="237"/>
      <c r="J9649" s="238"/>
    </row>
    <row r="9650">
      <c r="C9650" s="82"/>
      <c r="E9650" s="84"/>
      <c r="F9650" s="84"/>
      <c r="G9650" s="84"/>
      <c r="I9650" s="237"/>
      <c r="J9650" s="238"/>
    </row>
    <row r="9651">
      <c r="C9651" s="82"/>
      <c r="E9651" s="84"/>
      <c r="F9651" s="84"/>
      <c r="G9651" s="84"/>
      <c r="I9651" s="237"/>
      <c r="J9651" s="238"/>
    </row>
    <row r="9652">
      <c r="C9652" s="82"/>
      <c r="E9652" s="84"/>
      <c r="F9652" s="84"/>
      <c r="G9652" s="84"/>
      <c r="I9652" s="237"/>
      <c r="J9652" s="238"/>
    </row>
    <row r="9653">
      <c r="C9653" s="82"/>
      <c r="E9653" s="84"/>
      <c r="F9653" s="84"/>
      <c r="G9653" s="84"/>
      <c r="I9653" s="237"/>
      <c r="J9653" s="238"/>
    </row>
    <row r="9654">
      <c r="C9654" s="82"/>
      <c r="E9654" s="84"/>
      <c r="F9654" s="84"/>
      <c r="G9654" s="84"/>
      <c r="I9654" s="237"/>
      <c r="J9654" s="238"/>
    </row>
    <row r="9655">
      <c r="C9655" s="82"/>
      <c r="E9655" s="84"/>
      <c r="F9655" s="84"/>
      <c r="G9655" s="84"/>
      <c r="I9655" s="237"/>
      <c r="J9655" s="238"/>
    </row>
    <row r="9656">
      <c r="C9656" s="82"/>
      <c r="E9656" s="84"/>
      <c r="F9656" s="84"/>
      <c r="G9656" s="84"/>
      <c r="I9656" s="237"/>
      <c r="J9656" s="238"/>
    </row>
    <row r="9657">
      <c r="C9657" s="82"/>
      <c r="E9657" s="84"/>
      <c r="F9657" s="84"/>
      <c r="G9657" s="84"/>
      <c r="I9657" s="237"/>
      <c r="J9657" s="238"/>
    </row>
    <row r="9658">
      <c r="C9658" s="82"/>
      <c r="E9658" s="84"/>
      <c r="F9658" s="84"/>
      <c r="G9658" s="84"/>
      <c r="I9658" s="237"/>
      <c r="J9658" s="238"/>
    </row>
    <row r="9659">
      <c r="C9659" s="82"/>
      <c r="E9659" s="84"/>
      <c r="F9659" s="84"/>
      <c r="G9659" s="84"/>
      <c r="I9659" s="237"/>
      <c r="J9659" s="238"/>
    </row>
    <row r="9660">
      <c r="C9660" s="82"/>
      <c r="E9660" s="84"/>
      <c r="F9660" s="84"/>
      <c r="G9660" s="84"/>
      <c r="I9660" s="237"/>
      <c r="J9660" s="238"/>
    </row>
    <row r="9661">
      <c r="C9661" s="82"/>
      <c r="E9661" s="84"/>
      <c r="F9661" s="84"/>
      <c r="G9661" s="84"/>
      <c r="I9661" s="237"/>
      <c r="J9661" s="238"/>
    </row>
    <row r="9662">
      <c r="C9662" s="82"/>
      <c r="E9662" s="84"/>
      <c r="F9662" s="84"/>
      <c r="G9662" s="84"/>
      <c r="I9662" s="237"/>
      <c r="J9662" s="238"/>
    </row>
    <row r="9663">
      <c r="C9663" s="82"/>
      <c r="E9663" s="84"/>
      <c r="F9663" s="84"/>
      <c r="G9663" s="84"/>
      <c r="I9663" s="237"/>
      <c r="J9663" s="238"/>
    </row>
    <row r="9664">
      <c r="C9664" s="82"/>
      <c r="E9664" s="84"/>
      <c r="F9664" s="84"/>
      <c r="G9664" s="84"/>
      <c r="I9664" s="237"/>
      <c r="J9664" s="238"/>
    </row>
    <row r="9665">
      <c r="C9665" s="82"/>
      <c r="E9665" s="84"/>
      <c r="F9665" s="84"/>
      <c r="G9665" s="84"/>
      <c r="I9665" s="237"/>
      <c r="J9665" s="238"/>
    </row>
    <row r="9666">
      <c r="C9666" s="82"/>
      <c r="E9666" s="84"/>
      <c r="F9666" s="84"/>
      <c r="G9666" s="84"/>
      <c r="I9666" s="237"/>
      <c r="J9666" s="238"/>
    </row>
    <row r="9667">
      <c r="C9667" s="82"/>
      <c r="E9667" s="84"/>
      <c r="F9667" s="84"/>
      <c r="G9667" s="84"/>
      <c r="I9667" s="237"/>
      <c r="J9667" s="238"/>
    </row>
    <row r="9668">
      <c r="C9668" s="82"/>
      <c r="E9668" s="84"/>
      <c r="F9668" s="84"/>
      <c r="G9668" s="84"/>
      <c r="I9668" s="237"/>
      <c r="J9668" s="238"/>
    </row>
    <row r="9669">
      <c r="C9669" s="82"/>
      <c r="E9669" s="84"/>
      <c r="F9669" s="84"/>
      <c r="G9669" s="84"/>
      <c r="I9669" s="237"/>
      <c r="J9669" s="238"/>
    </row>
    <row r="9670">
      <c r="C9670" s="82"/>
      <c r="E9670" s="84"/>
      <c r="F9670" s="84"/>
      <c r="G9670" s="84"/>
      <c r="I9670" s="237"/>
      <c r="J9670" s="238"/>
    </row>
    <row r="9671">
      <c r="C9671" s="82"/>
      <c r="E9671" s="84"/>
      <c r="F9671" s="84"/>
      <c r="G9671" s="84"/>
      <c r="I9671" s="237"/>
      <c r="J9671" s="238"/>
    </row>
    <row r="9672">
      <c r="C9672" s="82"/>
      <c r="E9672" s="84"/>
      <c r="F9672" s="84"/>
      <c r="G9672" s="84"/>
      <c r="I9672" s="237"/>
      <c r="J9672" s="238"/>
    </row>
    <row r="9673">
      <c r="C9673" s="82"/>
      <c r="E9673" s="84"/>
      <c r="F9673" s="84"/>
      <c r="G9673" s="84"/>
      <c r="I9673" s="237"/>
      <c r="J9673" s="238"/>
    </row>
    <row r="9674">
      <c r="C9674" s="82"/>
      <c r="E9674" s="84"/>
      <c r="F9674" s="84"/>
      <c r="G9674" s="84"/>
      <c r="I9674" s="237"/>
      <c r="J9674" s="238"/>
    </row>
    <row r="9675">
      <c r="C9675" s="82"/>
      <c r="E9675" s="84"/>
      <c r="F9675" s="84"/>
      <c r="G9675" s="84"/>
      <c r="I9675" s="237"/>
      <c r="J9675" s="238"/>
    </row>
    <row r="9676">
      <c r="C9676" s="82"/>
      <c r="E9676" s="84"/>
      <c r="F9676" s="84"/>
      <c r="G9676" s="84"/>
      <c r="I9676" s="237"/>
      <c r="J9676" s="238"/>
    </row>
    <row r="9677">
      <c r="C9677" s="82"/>
      <c r="E9677" s="84"/>
      <c r="F9677" s="84"/>
      <c r="G9677" s="84"/>
      <c r="I9677" s="237"/>
      <c r="J9677" s="238"/>
    </row>
    <row r="9678">
      <c r="C9678" s="82"/>
      <c r="E9678" s="84"/>
      <c r="F9678" s="84"/>
      <c r="G9678" s="84"/>
      <c r="I9678" s="237"/>
      <c r="J9678" s="238"/>
    </row>
    <row r="9679">
      <c r="C9679" s="82"/>
      <c r="E9679" s="84"/>
      <c r="F9679" s="84"/>
      <c r="G9679" s="84"/>
      <c r="I9679" s="237"/>
      <c r="J9679" s="238"/>
    </row>
    <row r="9680">
      <c r="C9680" s="82"/>
      <c r="E9680" s="84"/>
      <c r="F9680" s="84"/>
      <c r="G9680" s="84"/>
      <c r="I9680" s="237"/>
      <c r="J9680" s="238"/>
    </row>
    <row r="9681">
      <c r="C9681" s="82"/>
      <c r="E9681" s="84"/>
      <c r="F9681" s="84"/>
      <c r="G9681" s="84"/>
      <c r="I9681" s="237"/>
      <c r="J9681" s="238"/>
    </row>
    <row r="9682">
      <c r="C9682" s="82"/>
      <c r="E9682" s="84"/>
      <c r="F9682" s="84"/>
      <c r="G9682" s="84"/>
      <c r="I9682" s="237"/>
      <c r="J9682" s="238"/>
    </row>
    <row r="9683">
      <c r="C9683" s="82"/>
      <c r="E9683" s="84"/>
      <c r="F9683" s="84"/>
      <c r="G9683" s="84"/>
      <c r="I9683" s="237"/>
      <c r="J9683" s="238"/>
    </row>
    <row r="9684">
      <c r="C9684" s="82"/>
      <c r="E9684" s="84"/>
      <c r="F9684" s="84"/>
      <c r="G9684" s="84"/>
      <c r="I9684" s="237"/>
      <c r="J9684" s="238"/>
    </row>
    <row r="9685">
      <c r="C9685" s="82"/>
      <c r="E9685" s="84"/>
      <c r="F9685" s="84"/>
      <c r="G9685" s="84"/>
      <c r="I9685" s="237"/>
      <c r="J9685" s="238"/>
    </row>
    <row r="9686">
      <c r="C9686" s="82"/>
      <c r="E9686" s="84"/>
      <c r="F9686" s="84"/>
      <c r="G9686" s="84"/>
      <c r="I9686" s="237"/>
      <c r="J9686" s="238"/>
    </row>
    <row r="9687">
      <c r="C9687" s="82"/>
      <c r="E9687" s="84"/>
      <c r="F9687" s="84"/>
      <c r="G9687" s="84"/>
      <c r="I9687" s="237"/>
      <c r="J9687" s="238"/>
    </row>
    <row r="9688">
      <c r="C9688" s="82"/>
      <c r="E9688" s="84"/>
      <c r="F9688" s="84"/>
      <c r="G9688" s="84"/>
      <c r="I9688" s="237"/>
      <c r="J9688" s="238"/>
    </row>
    <row r="9689">
      <c r="C9689" s="82"/>
      <c r="E9689" s="84"/>
      <c r="F9689" s="84"/>
      <c r="G9689" s="84"/>
      <c r="I9689" s="237"/>
      <c r="J9689" s="238"/>
    </row>
    <row r="9690">
      <c r="C9690" s="82"/>
      <c r="E9690" s="84"/>
      <c r="F9690" s="84"/>
      <c r="G9690" s="84"/>
      <c r="I9690" s="237"/>
      <c r="J9690" s="238"/>
    </row>
    <row r="9691">
      <c r="C9691" s="82"/>
      <c r="E9691" s="84"/>
      <c r="F9691" s="84"/>
      <c r="G9691" s="84"/>
      <c r="I9691" s="237"/>
      <c r="J9691" s="238"/>
    </row>
    <row r="9692">
      <c r="C9692" s="82"/>
      <c r="E9692" s="84"/>
      <c r="F9692" s="84"/>
      <c r="G9692" s="84"/>
      <c r="I9692" s="237"/>
      <c r="J9692" s="238"/>
    </row>
    <row r="9693">
      <c r="C9693" s="82"/>
      <c r="E9693" s="84"/>
      <c r="F9693" s="84"/>
      <c r="G9693" s="84"/>
      <c r="I9693" s="237"/>
      <c r="J9693" s="238"/>
    </row>
    <row r="9694">
      <c r="C9694" s="82"/>
      <c r="E9694" s="84"/>
      <c r="F9694" s="84"/>
      <c r="G9694" s="84"/>
      <c r="I9694" s="237"/>
      <c r="J9694" s="238"/>
    </row>
    <row r="9695">
      <c r="C9695" s="82"/>
      <c r="E9695" s="84"/>
      <c r="F9695" s="84"/>
      <c r="G9695" s="84"/>
      <c r="I9695" s="237"/>
      <c r="J9695" s="238"/>
    </row>
    <row r="9696">
      <c r="C9696" s="82"/>
      <c r="E9696" s="84"/>
      <c r="F9696" s="84"/>
      <c r="G9696" s="84"/>
      <c r="I9696" s="237"/>
      <c r="J9696" s="238"/>
    </row>
    <row r="9697">
      <c r="C9697" s="82"/>
      <c r="E9697" s="84"/>
      <c r="F9697" s="84"/>
      <c r="G9697" s="84"/>
      <c r="I9697" s="237"/>
      <c r="J9697" s="238"/>
    </row>
    <row r="9698">
      <c r="C9698" s="82"/>
      <c r="E9698" s="84"/>
      <c r="F9698" s="84"/>
      <c r="G9698" s="84"/>
      <c r="I9698" s="237"/>
      <c r="J9698" s="238"/>
    </row>
    <row r="9699">
      <c r="C9699" s="82"/>
      <c r="E9699" s="84"/>
      <c r="F9699" s="84"/>
      <c r="G9699" s="84"/>
      <c r="I9699" s="237"/>
      <c r="J9699" s="238"/>
    </row>
    <row r="9700">
      <c r="C9700" s="82"/>
      <c r="E9700" s="84"/>
      <c r="F9700" s="84"/>
      <c r="G9700" s="84"/>
      <c r="I9700" s="237"/>
      <c r="J9700" s="238"/>
    </row>
    <row r="9701">
      <c r="C9701" s="82"/>
      <c r="E9701" s="84"/>
      <c r="F9701" s="84"/>
      <c r="G9701" s="84"/>
      <c r="I9701" s="237"/>
      <c r="J9701" s="238"/>
    </row>
    <row r="9702">
      <c r="C9702" s="82"/>
      <c r="E9702" s="84"/>
      <c r="F9702" s="84"/>
      <c r="G9702" s="84"/>
      <c r="I9702" s="237"/>
      <c r="J9702" s="238"/>
    </row>
    <row r="9703">
      <c r="C9703" s="82"/>
      <c r="E9703" s="84"/>
      <c r="F9703" s="84"/>
      <c r="G9703" s="84"/>
      <c r="I9703" s="237"/>
      <c r="J9703" s="238"/>
    </row>
    <row r="9704">
      <c r="C9704" s="82"/>
      <c r="E9704" s="84"/>
      <c r="F9704" s="84"/>
      <c r="G9704" s="84"/>
      <c r="I9704" s="237"/>
      <c r="J9704" s="238"/>
    </row>
    <row r="9705">
      <c r="C9705" s="82"/>
      <c r="E9705" s="84"/>
      <c r="F9705" s="84"/>
      <c r="G9705" s="84"/>
      <c r="I9705" s="237"/>
      <c r="J9705" s="238"/>
    </row>
    <row r="9706">
      <c r="C9706" s="82"/>
      <c r="E9706" s="84"/>
      <c r="F9706" s="84"/>
      <c r="G9706" s="84"/>
      <c r="I9706" s="237"/>
      <c r="J9706" s="238"/>
    </row>
    <row r="9707">
      <c r="C9707" s="82"/>
      <c r="E9707" s="84"/>
      <c r="F9707" s="84"/>
      <c r="G9707" s="84"/>
      <c r="I9707" s="237"/>
      <c r="J9707" s="238"/>
    </row>
    <row r="9708">
      <c r="C9708" s="82"/>
      <c r="E9708" s="84"/>
      <c r="F9708" s="84"/>
      <c r="G9708" s="84"/>
      <c r="I9708" s="237"/>
      <c r="J9708" s="238"/>
    </row>
    <row r="9709">
      <c r="C9709" s="82"/>
      <c r="E9709" s="84"/>
      <c r="F9709" s="84"/>
      <c r="G9709" s="84"/>
      <c r="I9709" s="237"/>
      <c r="J9709" s="238"/>
    </row>
    <row r="9710">
      <c r="C9710" s="82"/>
      <c r="E9710" s="84"/>
      <c r="F9710" s="84"/>
      <c r="G9710" s="84"/>
      <c r="I9710" s="237"/>
      <c r="J9710" s="238"/>
    </row>
    <row r="9711">
      <c r="C9711" s="82"/>
      <c r="E9711" s="84"/>
      <c r="F9711" s="84"/>
      <c r="G9711" s="84"/>
      <c r="I9711" s="237"/>
      <c r="J9711" s="238"/>
    </row>
    <row r="9712">
      <c r="C9712" s="82"/>
      <c r="E9712" s="84"/>
      <c r="F9712" s="84"/>
      <c r="G9712" s="84"/>
      <c r="I9712" s="237"/>
      <c r="J9712" s="238"/>
    </row>
    <row r="9713">
      <c r="C9713" s="82"/>
      <c r="E9713" s="84"/>
      <c r="F9713" s="84"/>
      <c r="G9713" s="84"/>
      <c r="I9713" s="237"/>
      <c r="J9713" s="238"/>
    </row>
    <row r="9714">
      <c r="C9714" s="82"/>
      <c r="E9714" s="84"/>
      <c r="F9714" s="84"/>
      <c r="G9714" s="84"/>
      <c r="I9714" s="237"/>
      <c r="J9714" s="238"/>
    </row>
    <row r="9715">
      <c r="C9715" s="82"/>
      <c r="E9715" s="84"/>
      <c r="F9715" s="84"/>
      <c r="G9715" s="84"/>
      <c r="I9715" s="237"/>
      <c r="J9715" s="238"/>
    </row>
    <row r="9716">
      <c r="C9716" s="82"/>
      <c r="E9716" s="84"/>
      <c r="F9716" s="84"/>
      <c r="G9716" s="84"/>
      <c r="I9716" s="237"/>
      <c r="J9716" s="238"/>
    </row>
    <row r="9717">
      <c r="C9717" s="82"/>
      <c r="E9717" s="84"/>
      <c r="F9717" s="84"/>
      <c r="G9717" s="84"/>
      <c r="I9717" s="237"/>
      <c r="J9717" s="238"/>
    </row>
    <row r="9718">
      <c r="C9718" s="82"/>
      <c r="E9718" s="84"/>
      <c r="F9718" s="84"/>
      <c r="G9718" s="84"/>
      <c r="I9718" s="237"/>
      <c r="J9718" s="238"/>
    </row>
    <row r="9719">
      <c r="C9719" s="82"/>
      <c r="E9719" s="84"/>
      <c r="F9719" s="84"/>
      <c r="G9719" s="84"/>
      <c r="I9719" s="237"/>
      <c r="J9719" s="238"/>
    </row>
    <row r="9720">
      <c r="C9720" s="82"/>
      <c r="E9720" s="84"/>
      <c r="F9720" s="84"/>
      <c r="G9720" s="84"/>
      <c r="I9720" s="237"/>
      <c r="J9720" s="238"/>
    </row>
    <row r="9721">
      <c r="C9721" s="82"/>
      <c r="E9721" s="84"/>
      <c r="F9721" s="84"/>
      <c r="G9721" s="84"/>
      <c r="I9721" s="237"/>
      <c r="J9721" s="238"/>
    </row>
    <row r="9722">
      <c r="C9722" s="82"/>
      <c r="E9722" s="84"/>
      <c r="F9722" s="84"/>
      <c r="G9722" s="84"/>
      <c r="I9722" s="237"/>
      <c r="J9722" s="238"/>
    </row>
    <row r="9723">
      <c r="C9723" s="82"/>
      <c r="E9723" s="84"/>
      <c r="F9723" s="84"/>
      <c r="G9723" s="84"/>
      <c r="I9723" s="237"/>
      <c r="J9723" s="238"/>
    </row>
    <row r="9724">
      <c r="C9724" s="82"/>
      <c r="E9724" s="84"/>
      <c r="F9724" s="84"/>
      <c r="G9724" s="84"/>
      <c r="I9724" s="237"/>
      <c r="J9724" s="238"/>
    </row>
    <row r="9725">
      <c r="C9725" s="82"/>
      <c r="E9725" s="84"/>
      <c r="F9725" s="84"/>
      <c r="G9725" s="84"/>
      <c r="I9725" s="237"/>
      <c r="J9725" s="238"/>
    </row>
    <row r="9726">
      <c r="C9726" s="82"/>
      <c r="E9726" s="84"/>
      <c r="F9726" s="84"/>
      <c r="G9726" s="84"/>
      <c r="I9726" s="237"/>
      <c r="J9726" s="238"/>
    </row>
    <row r="9727">
      <c r="C9727" s="82"/>
      <c r="E9727" s="84"/>
      <c r="F9727" s="84"/>
      <c r="G9727" s="84"/>
      <c r="I9727" s="237"/>
      <c r="J9727" s="238"/>
    </row>
    <row r="9728">
      <c r="C9728" s="82"/>
      <c r="E9728" s="84"/>
      <c r="F9728" s="84"/>
      <c r="G9728" s="84"/>
      <c r="I9728" s="237"/>
      <c r="J9728" s="238"/>
    </row>
    <row r="9729">
      <c r="C9729" s="82"/>
      <c r="E9729" s="84"/>
      <c r="F9729" s="84"/>
      <c r="G9729" s="84"/>
      <c r="I9729" s="237"/>
      <c r="J9729" s="238"/>
    </row>
    <row r="9730">
      <c r="C9730" s="82"/>
      <c r="E9730" s="84"/>
      <c r="F9730" s="84"/>
      <c r="G9730" s="84"/>
      <c r="I9730" s="237"/>
      <c r="J9730" s="238"/>
    </row>
    <row r="9731">
      <c r="C9731" s="82"/>
      <c r="E9731" s="84"/>
      <c r="F9731" s="84"/>
      <c r="G9731" s="84"/>
      <c r="I9731" s="237"/>
      <c r="J9731" s="238"/>
    </row>
    <row r="9732">
      <c r="C9732" s="82"/>
      <c r="E9732" s="84"/>
      <c r="F9732" s="84"/>
      <c r="G9732" s="84"/>
      <c r="I9732" s="237"/>
      <c r="J9732" s="238"/>
    </row>
    <row r="9733">
      <c r="C9733" s="82"/>
      <c r="E9733" s="84"/>
      <c r="F9733" s="84"/>
      <c r="G9733" s="84"/>
      <c r="I9733" s="237"/>
      <c r="J9733" s="238"/>
    </row>
    <row r="9734">
      <c r="C9734" s="82"/>
      <c r="E9734" s="84"/>
      <c r="F9734" s="84"/>
      <c r="G9734" s="84"/>
      <c r="I9734" s="237"/>
      <c r="J9734" s="238"/>
    </row>
    <row r="9735">
      <c r="C9735" s="82"/>
      <c r="E9735" s="84"/>
      <c r="F9735" s="84"/>
      <c r="G9735" s="84"/>
      <c r="I9735" s="237"/>
      <c r="J9735" s="238"/>
    </row>
    <row r="9736">
      <c r="C9736" s="82"/>
      <c r="E9736" s="84"/>
      <c r="F9736" s="84"/>
      <c r="G9736" s="84"/>
      <c r="I9736" s="237"/>
      <c r="J9736" s="238"/>
    </row>
    <row r="9737">
      <c r="C9737" s="82"/>
      <c r="E9737" s="84"/>
      <c r="F9737" s="84"/>
      <c r="G9737" s="84"/>
      <c r="I9737" s="237"/>
      <c r="J9737" s="238"/>
    </row>
    <row r="9738">
      <c r="C9738" s="82"/>
      <c r="E9738" s="84"/>
      <c r="F9738" s="84"/>
      <c r="G9738" s="84"/>
      <c r="I9738" s="237"/>
      <c r="J9738" s="238"/>
    </row>
    <row r="9739">
      <c r="C9739" s="82"/>
      <c r="E9739" s="84"/>
      <c r="F9739" s="84"/>
      <c r="G9739" s="84"/>
      <c r="I9739" s="237"/>
      <c r="J9739" s="238"/>
    </row>
    <row r="9740">
      <c r="C9740" s="82"/>
      <c r="E9740" s="84"/>
      <c r="F9740" s="84"/>
      <c r="G9740" s="84"/>
      <c r="I9740" s="237"/>
      <c r="J9740" s="238"/>
    </row>
    <row r="9741">
      <c r="C9741" s="82"/>
      <c r="E9741" s="84"/>
      <c r="F9741" s="84"/>
      <c r="G9741" s="84"/>
      <c r="I9741" s="237"/>
      <c r="J9741" s="238"/>
    </row>
    <row r="9742">
      <c r="C9742" s="82"/>
      <c r="E9742" s="84"/>
      <c r="F9742" s="84"/>
      <c r="G9742" s="84"/>
      <c r="I9742" s="237"/>
      <c r="J9742" s="238"/>
    </row>
    <row r="9743">
      <c r="C9743" s="82"/>
      <c r="E9743" s="84"/>
      <c r="F9743" s="84"/>
      <c r="G9743" s="84"/>
      <c r="I9743" s="237"/>
      <c r="J9743" s="238"/>
    </row>
    <row r="9744">
      <c r="C9744" s="82"/>
      <c r="E9744" s="84"/>
      <c r="F9744" s="84"/>
      <c r="G9744" s="84"/>
      <c r="I9744" s="237"/>
      <c r="J9744" s="238"/>
    </row>
    <row r="9745">
      <c r="C9745" s="82"/>
      <c r="E9745" s="84"/>
      <c r="F9745" s="84"/>
      <c r="G9745" s="84"/>
      <c r="I9745" s="237"/>
      <c r="J9745" s="238"/>
    </row>
    <row r="9746">
      <c r="C9746" s="82"/>
      <c r="E9746" s="84"/>
      <c r="F9746" s="84"/>
      <c r="G9746" s="84"/>
      <c r="I9746" s="237"/>
      <c r="J9746" s="238"/>
    </row>
    <row r="9747">
      <c r="C9747" s="82"/>
      <c r="E9747" s="84"/>
      <c r="F9747" s="84"/>
      <c r="G9747" s="84"/>
      <c r="I9747" s="237"/>
      <c r="J9747" s="238"/>
    </row>
    <row r="9748">
      <c r="C9748" s="82"/>
      <c r="E9748" s="84"/>
      <c r="F9748" s="84"/>
      <c r="G9748" s="84"/>
      <c r="I9748" s="237"/>
      <c r="J9748" s="238"/>
    </row>
    <row r="9749">
      <c r="C9749" s="82"/>
      <c r="E9749" s="84"/>
      <c r="F9749" s="84"/>
      <c r="G9749" s="84"/>
      <c r="I9749" s="237"/>
      <c r="J9749" s="238"/>
    </row>
    <row r="9750">
      <c r="C9750" s="82"/>
      <c r="E9750" s="84"/>
      <c r="F9750" s="84"/>
      <c r="G9750" s="84"/>
      <c r="I9750" s="237"/>
      <c r="J9750" s="238"/>
    </row>
    <row r="9751">
      <c r="C9751" s="82"/>
      <c r="E9751" s="84"/>
      <c r="F9751" s="84"/>
      <c r="G9751" s="84"/>
      <c r="I9751" s="237"/>
      <c r="J9751" s="238"/>
    </row>
    <row r="9752">
      <c r="C9752" s="82"/>
      <c r="E9752" s="84"/>
      <c r="F9752" s="84"/>
      <c r="G9752" s="84"/>
      <c r="I9752" s="237"/>
      <c r="J9752" s="238"/>
    </row>
    <row r="9753">
      <c r="C9753" s="82"/>
      <c r="E9753" s="84"/>
      <c r="F9753" s="84"/>
      <c r="G9753" s="84"/>
      <c r="I9753" s="237"/>
      <c r="J9753" s="238"/>
    </row>
    <row r="9754">
      <c r="C9754" s="82"/>
      <c r="E9754" s="84"/>
      <c r="F9754" s="84"/>
      <c r="G9754" s="84"/>
      <c r="I9754" s="237"/>
      <c r="J9754" s="238"/>
    </row>
    <row r="9755">
      <c r="C9755" s="82"/>
      <c r="E9755" s="84"/>
      <c r="F9755" s="84"/>
      <c r="G9755" s="84"/>
      <c r="I9755" s="237"/>
      <c r="J9755" s="238"/>
    </row>
    <row r="9756">
      <c r="C9756" s="82"/>
      <c r="E9756" s="84"/>
      <c r="F9756" s="84"/>
      <c r="G9756" s="84"/>
      <c r="I9756" s="237"/>
      <c r="J9756" s="238"/>
    </row>
    <row r="9757">
      <c r="C9757" s="82"/>
      <c r="E9757" s="84"/>
      <c r="F9757" s="84"/>
      <c r="G9757" s="84"/>
      <c r="I9757" s="237"/>
      <c r="J9757" s="238"/>
    </row>
    <row r="9758">
      <c r="C9758" s="82"/>
      <c r="E9758" s="84"/>
      <c r="F9758" s="84"/>
      <c r="G9758" s="84"/>
      <c r="I9758" s="237"/>
      <c r="J9758" s="238"/>
    </row>
    <row r="9759">
      <c r="C9759" s="82"/>
      <c r="E9759" s="84"/>
      <c r="F9759" s="84"/>
      <c r="G9759" s="84"/>
      <c r="I9759" s="237"/>
      <c r="J9759" s="238"/>
    </row>
    <row r="9760">
      <c r="C9760" s="82"/>
      <c r="E9760" s="84"/>
      <c r="F9760" s="84"/>
      <c r="G9760" s="84"/>
      <c r="I9760" s="237"/>
      <c r="J9760" s="238"/>
    </row>
    <row r="9761">
      <c r="C9761" s="82"/>
      <c r="E9761" s="84"/>
      <c r="F9761" s="84"/>
      <c r="G9761" s="84"/>
      <c r="I9761" s="237"/>
      <c r="J9761" s="238"/>
    </row>
    <row r="9762">
      <c r="C9762" s="82"/>
      <c r="E9762" s="84"/>
      <c r="F9762" s="84"/>
      <c r="G9762" s="84"/>
      <c r="I9762" s="237"/>
      <c r="J9762" s="238"/>
    </row>
    <row r="9763">
      <c r="C9763" s="82"/>
      <c r="E9763" s="84"/>
      <c r="F9763" s="84"/>
      <c r="G9763" s="84"/>
      <c r="I9763" s="237"/>
      <c r="J9763" s="238"/>
    </row>
    <row r="9764">
      <c r="C9764" s="82"/>
      <c r="E9764" s="84"/>
      <c r="F9764" s="84"/>
      <c r="G9764" s="84"/>
      <c r="I9764" s="237"/>
      <c r="J9764" s="238"/>
    </row>
    <row r="9765">
      <c r="C9765" s="82"/>
      <c r="E9765" s="84"/>
      <c r="F9765" s="84"/>
      <c r="G9765" s="84"/>
      <c r="I9765" s="237"/>
      <c r="J9765" s="238"/>
    </row>
    <row r="9766">
      <c r="C9766" s="82"/>
      <c r="E9766" s="84"/>
      <c r="F9766" s="84"/>
      <c r="G9766" s="84"/>
      <c r="I9766" s="237"/>
      <c r="J9766" s="238"/>
    </row>
    <row r="9767">
      <c r="C9767" s="82"/>
      <c r="E9767" s="84"/>
      <c r="F9767" s="84"/>
      <c r="G9767" s="84"/>
      <c r="I9767" s="237"/>
      <c r="J9767" s="238"/>
    </row>
    <row r="9768">
      <c r="C9768" s="82"/>
      <c r="E9768" s="84"/>
      <c r="F9768" s="84"/>
      <c r="G9768" s="84"/>
      <c r="I9768" s="237"/>
      <c r="J9768" s="238"/>
    </row>
    <row r="9769">
      <c r="C9769" s="82"/>
      <c r="E9769" s="84"/>
      <c r="F9769" s="84"/>
      <c r="G9769" s="84"/>
      <c r="I9769" s="237"/>
      <c r="J9769" s="238"/>
    </row>
    <row r="9770">
      <c r="C9770" s="82"/>
      <c r="E9770" s="84"/>
      <c r="F9770" s="84"/>
      <c r="G9770" s="84"/>
      <c r="I9770" s="237"/>
      <c r="J9770" s="238"/>
    </row>
    <row r="9771">
      <c r="C9771" s="82"/>
      <c r="E9771" s="84"/>
      <c r="F9771" s="84"/>
      <c r="G9771" s="84"/>
      <c r="I9771" s="237"/>
      <c r="J9771" s="238"/>
    </row>
    <row r="9772">
      <c r="C9772" s="82"/>
      <c r="E9772" s="84"/>
      <c r="F9772" s="84"/>
      <c r="G9772" s="84"/>
      <c r="I9772" s="237"/>
      <c r="J9772" s="238"/>
    </row>
    <row r="9773">
      <c r="C9773" s="82"/>
      <c r="E9773" s="84"/>
      <c r="F9773" s="84"/>
      <c r="G9773" s="84"/>
      <c r="I9773" s="237"/>
      <c r="J9773" s="238"/>
    </row>
    <row r="9774">
      <c r="C9774" s="82"/>
      <c r="E9774" s="84"/>
      <c r="F9774" s="84"/>
      <c r="G9774" s="84"/>
      <c r="I9774" s="237"/>
      <c r="J9774" s="238"/>
    </row>
    <row r="9775">
      <c r="C9775" s="82"/>
      <c r="E9775" s="84"/>
      <c r="F9775" s="84"/>
      <c r="G9775" s="84"/>
      <c r="I9775" s="237"/>
      <c r="J9775" s="238"/>
    </row>
    <row r="9776">
      <c r="C9776" s="82"/>
      <c r="E9776" s="84"/>
      <c r="F9776" s="84"/>
      <c r="G9776" s="84"/>
      <c r="I9776" s="237"/>
      <c r="J9776" s="238"/>
    </row>
    <row r="9777">
      <c r="C9777" s="82"/>
      <c r="E9777" s="84"/>
      <c r="F9777" s="84"/>
      <c r="G9777" s="84"/>
      <c r="I9777" s="237"/>
      <c r="J9777" s="238"/>
    </row>
    <row r="9778">
      <c r="C9778" s="82"/>
      <c r="E9778" s="84"/>
      <c r="F9778" s="84"/>
      <c r="G9778" s="84"/>
      <c r="I9778" s="237"/>
      <c r="J9778" s="238"/>
    </row>
    <row r="9779">
      <c r="C9779" s="82"/>
      <c r="E9779" s="84"/>
      <c r="F9779" s="84"/>
      <c r="G9779" s="84"/>
      <c r="I9779" s="237"/>
      <c r="J9779" s="238"/>
    </row>
    <row r="9780">
      <c r="C9780" s="82"/>
      <c r="E9780" s="84"/>
      <c r="F9780" s="84"/>
      <c r="G9780" s="84"/>
      <c r="I9780" s="237"/>
      <c r="J9780" s="238"/>
    </row>
    <row r="9781">
      <c r="C9781" s="82"/>
      <c r="E9781" s="84"/>
      <c r="F9781" s="84"/>
      <c r="G9781" s="84"/>
      <c r="I9781" s="237"/>
      <c r="J9781" s="238"/>
    </row>
    <row r="9782">
      <c r="C9782" s="82"/>
      <c r="E9782" s="84"/>
      <c r="F9782" s="84"/>
      <c r="G9782" s="84"/>
      <c r="I9782" s="237"/>
      <c r="J9782" s="238"/>
    </row>
    <row r="9783">
      <c r="C9783" s="82"/>
      <c r="E9783" s="84"/>
      <c r="F9783" s="84"/>
      <c r="G9783" s="84"/>
      <c r="I9783" s="237"/>
      <c r="J9783" s="238"/>
    </row>
    <row r="9784">
      <c r="C9784" s="82"/>
      <c r="E9784" s="84"/>
      <c r="F9784" s="84"/>
      <c r="G9784" s="84"/>
      <c r="I9784" s="237"/>
      <c r="J9784" s="238"/>
    </row>
    <row r="9785">
      <c r="C9785" s="82"/>
      <c r="E9785" s="84"/>
      <c r="F9785" s="84"/>
      <c r="G9785" s="84"/>
      <c r="I9785" s="237"/>
      <c r="J9785" s="238"/>
    </row>
    <row r="9786">
      <c r="C9786" s="82"/>
      <c r="E9786" s="84"/>
      <c r="F9786" s="84"/>
      <c r="G9786" s="84"/>
      <c r="I9786" s="237"/>
      <c r="J9786" s="238"/>
    </row>
    <row r="9787">
      <c r="C9787" s="82"/>
      <c r="E9787" s="84"/>
      <c r="F9787" s="84"/>
      <c r="G9787" s="84"/>
      <c r="I9787" s="237"/>
      <c r="J9787" s="238"/>
    </row>
    <row r="9788">
      <c r="C9788" s="82"/>
      <c r="E9788" s="84"/>
      <c r="F9788" s="84"/>
      <c r="G9788" s="84"/>
      <c r="I9788" s="237"/>
      <c r="J9788" s="238"/>
    </row>
    <row r="9789">
      <c r="C9789" s="82"/>
      <c r="E9789" s="84"/>
      <c r="F9789" s="84"/>
      <c r="G9789" s="84"/>
      <c r="I9789" s="237"/>
      <c r="J9789" s="238"/>
    </row>
    <row r="9790">
      <c r="C9790" s="82"/>
      <c r="E9790" s="84"/>
      <c r="F9790" s="84"/>
      <c r="G9790" s="84"/>
      <c r="I9790" s="237"/>
      <c r="J9790" s="238"/>
    </row>
    <row r="9791">
      <c r="C9791" s="82"/>
      <c r="E9791" s="84"/>
      <c r="F9791" s="84"/>
      <c r="G9791" s="84"/>
      <c r="I9791" s="237"/>
      <c r="J9791" s="238"/>
    </row>
    <row r="9792">
      <c r="C9792" s="82"/>
      <c r="E9792" s="84"/>
      <c r="F9792" s="84"/>
      <c r="G9792" s="84"/>
      <c r="I9792" s="237"/>
      <c r="J9792" s="238"/>
    </row>
    <row r="9793">
      <c r="C9793" s="82"/>
      <c r="E9793" s="84"/>
      <c r="F9793" s="84"/>
      <c r="G9793" s="84"/>
      <c r="I9793" s="237"/>
      <c r="J9793" s="238"/>
    </row>
    <row r="9794">
      <c r="C9794" s="82"/>
      <c r="E9794" s="84"/>
      <c r="F9794" s="84"/>
      <c r="G9794" s="84"/>
      <c r="I9794" s="237"/>
      <c r="J9794" s="238"/>
    </row>
    <row r="9795">
      <c r="C9795" s="82"/>
      <c r="E9795" s="84"/>
      <c r="F9795" s="84"/>
      <c r="G9795" s="84"/>
      <c r="I9795" s="237"/>
      <c r="J9795" s="238"/>
    </row>
    <row r="9796">
      <c r="C9796" s="82"/>
      <c r="E9796" s="84"/>
      <c r="F9796" s="84"/>
      <c r="G9796" s="84"/>
      <c r="I9796" s="237"/>
      <c r="J9796" s="238"/>
    </row>
    <row r="9797">
      <c r="C9797" s="82"/>
      <c r="E9797" s="84"/>
      <c r="F9797" s="84"/>
      <c r="G9797" s="84"/>
      <c r="I9797" s="237"/>
      <c r="J9797" s="238"/>
    </row>
    <row r="9798">
      <c r="C9798" s="82"/>
      <c r="E9798" s="84"/>
      <c r="F9798" s="84"/>
      <c r="G9798" s="84"/>
      <c r="I9798" s="237"/>
      <c r="J9798" s="238"/>
    </row>
    <row r="9799">
      <c r="C9799" s="82"/>
      <c r="E9799" s="84"/>
      <c r="F9799" s="84"/>
      <c r="G9799" s="84"/>
      <c r="I9799" s="237"/>
      <c r="J9799" s="238"/>
    </row>
    <row r="9800">
      <c r="C9800" s="82"/>
      <c r="E9800" s="84"/>
      <c r="F9800" s="84"/>
      <c r="G9800" s="84"/>
      <c r="I9800" s="237"/>
      <c r="J9800" s="238"/>
    </row>
    <row r="9801">
      <c r="C9801" s="82"/>
      <c r="E9801" s="84"/>
      <c r="F9801" s="84"/>
      <c r="G9801" s="84"/>
      <c r="I9801" s="237"/>
      <c r="J9801" s="238"/>
    </row>
    <row r="9802">
      <c r="C9802" s="82"/>
      <c r="E9802" s="84"/>
      <c r="F9802" s="84"/>
      <c r="G9802" s="84"/>
      <c r="I9802" s="237"/>
      <c r="J9802" s="238"/>
    </row>
    <row r="9803">
      <c r="C9803" s="82"/>
      <c r="E9803" s="84"/>
      <c r="F9803" s="84"/>
      <c r="G9803" s="84"/>
      <c r="I9803" s="237"/>
      <c r="J9803" s="238"/>
    </row>
    <row r="9804">
      <c r="C9804" s="82"/>
      <c r="E9804" s="84"/>
      <c r="F9804" s="84"/>
      <c r="G9804" s="84"/>
      <c r="I9804" s="237"/>
      <c r="J9804" s="238"/>
    </row>
    <row r="9805">
      <c r="C9805" s="82"/>
      <c r="E9805" s="84"/>
      <c r="F9805" s="84"/>
      <c r="G9805" s="84"/>
      <c r="I9805" s="237"/>
      <c r="J9805" s="238"/>
    </row>
    <row r="9806">
      <c r="C9806" s="82"/>
      <c r="E9806" s="84"/>
      <c r="F9806" s="84"/>
      <c r="G9806" s="84"/>
      <c r="I9806" s="237"/>
      <c r="J9806" s="238"/>
    </row>
    <row r="9807">
      <c r="C9807" s="82"/>
      <c r="E9807" s="84"/>
      <c r="F9807" s="84"/>
      <c r="G9807" s="84"/>
      <c r="I9807" s="237"/>
      <c r="J9807" s="238"/>
    </row>
    <row r="9808">
      <c r="C9808" s="82"/>
      <c r="E9808" s="84"/>
      <c r="F9808" s="84"/>
      <c r="G9808" s="84"/>
      <c r="I9808" s="237"/>
      <c r="J9808" s="238"/>
    </row>
    <row r="9809">
      <c r="C9809" s="82"/>
      <c r="E9809" s="84"/>
      <c r="F9809" s="84"/>
      <c r="G9809" s="84"/>
      <c r="I9809" s="237"/>
      <c r="J9809" s="238"/>
    </row>
    <row r="9810">
      <c r="C9810" s="82"/>
      <c r="E9810" s="84"/>
      <c r="F9810" s="84"/>
      <c r="G9810" s="84"/>
      <c r="I9810" s="237"/>
      <c r="J9810" s="238"/>
    </row>
    <row r="9811">
      <c r="C9811" s="82"/>
      <c r="E9811" s="84"/>
      <c r="F9811" s="84"/>
      <c r="G9811" s="84"/>
      <c r="I9811" s="237"/>
      <c r="J9811" s="238"/>
    </row>
    <row r="9812">
      <c r="C9812" s="82"/>
      <c r="E9812" s="84"/>
      <c r="F9812" s="84"/>
      <c r="G9812" s="84"/>
      <c r="I9812" s="237"/>
      <c r="J9812" s="238"/>
    </row>
    <row r="9813">
      <c r="C9813" s="82"/>
      <c r="E9813" s="84"/>
      <c r="F9813" s="84"/>
      <c r="G9813" s="84"/>
      <c r="I9813" s="237"/>
      <c r="J9813" s="238"/>
    </row>
    <row r="9814">
      <c r="C9814" s="82"/>
      <c r="E9814" s="84"/>
      <c r="F9814" s="84"/>
      <c r="G9814" s="84"/>
      <c r="I9814" s="237"/>
      <c r="J9814" s="238"/>
    </row>
    <row r="9815">
      <c r="C9815" s="82"/>
      <c r="E9815" s="84"/>
      <c r="F9815" s="84"/>
      <c r="G9815" s="84"/>
      <c r="I9815" s="237"/>
      <c r="J9815" s="238"/>
    </row>
    <row r="9816">
      <c r="C9816" s="82"/>
      <c r="E9816" s="84"/>
      <c r="F9816" s="84"/>
      <c r="G9816" s="84"/>
      <c r="I9816" s="237"/>
      <c r="J9816" s="238"/>
    </row>
    <row r="9817">
      <c r="C9817" s="82"/>
      <c r="E9817" s="84"/>
      <c r="F9817" s="84"/>
      <c r="G9817" s="84"/>
      <c r="I9817" s="237"/>
      <c r="J9817" s="238"/>
    </row>
    <row r="9818">
      <c r="C9818" s="82"/>
      <c r="E9818" s="84"/>
      <c r="F9818" s="84"/>
      <c r="G9818" s="84"/>
      <c r="I9818" s="237"/>
      <c r="J9818" s="238"/>
    </row>
    <row r="9819">
      <c r="C9819" s="82"/>
      <c r="E9819" s="84"/>
      <c r="F9819" s="84"/>
      <c r="G9819" s="84"/>
      <c r="I9819" s="237"/>
      <c r="J9819" s="238"/>
    </row>
    <row r="9820">
      <c r="C9820" s="82"/>
      <c r="E9820" s="84"/>
      <c r="F9820" s="84"/>
      <c r="G9820" s="84"/>
      <c r="I9820" s="237"/>
      <c r="J9820" s="238"/>
    </row>
    <row r="9821">
      <c r="C9821" s="82"/>
      <c r="E9821" s="84"/>
      <c r="F9821" s="84"/>
      <c r="G9821" s="84"/>
      <c r="I9821" s="237"/>
      <c r="J9821" s="238"/>
    </row>
    <row r="9822">
      <c r="C9822" s="82"/>
      <c r="E9822" s="84"/>
      <c r="F9822" s="84"/>
      <c r="G9822" s="84"/>
      <c r="I9822" s="237"/>
      <c r="J9822" s="238"/>
    </row>
    <row r="9823">
      <c r="C9823" s="82"/>
      <c r="E9823" s="84"/>
      <c r="F9823" s="84"/>
      <c r="G9823" s="84"/>
      <c r="I9823" s="237"/>
      <c r="J9823" s="238"/>
    </row>
    <row r="9824">
      <c r="C9824" s="82"/>
      <c r="E9824" s="84"/>
      <c r="F9824" s="84"/>
      <c r="G9824" s="84"/>
      <c r="I9824" s="237"/>
      <c r="J9824" s="238"/>
    </row>
    <row r="9825">
      <c r="C9825" s="82"/>
      <c r="E9825" s="84"/>
      <c r="F9825" s="84"/>
      <c r="G9825" s="84"/>
      <c r="I9825" s="237"/>
      <c r="J9825" s="238"/>
    </row>
    <row r="9826">
      <c r="C9826" s="82"/>
      <c r="E9826" s="84"/>
      <c r="F9826" s="84"/>
      <c r="G9826" s="84"/>
      <c r="I9826" s="237"/>
      <c r="J9826" s="238"/>
    </row>
    <row r="9827">
      <c r="C9827" s="82"/>
      <c r="E9827" s="84"/>
      <c r="F9827" s="84"/>
      <c r="G9827" s="84"/>
      <c r="I9827" s="237"/>
      <c r="J9827" s="238"/>
    </row>
    <row r="9828">
      <c r="C9828" s="82"/>
      <c r="E9828" s="84"/>
      <c r="F9828" s="84"/>
      <c r="G9828" s="84"/>
      <c r="I9828" s="237"/>
      <c r="J9828" s="238"/>
    </row>
    <row r="9829">
      <c r="C9829" s="82"/>
      <c r="E9829" s="84"/>
      <c r="F9829" s="84"/>
      <c r="G9829" s="84"/>
      <c r="I9829" s="237"/>
      <c r="J9829" s="238"/>
    </row>
    <row r="9830">
      <c r="C9830" s="82"/>
      <c r="E9830" s="84"/>
      <c r="F9830" s="84"/>
      <c r="G9830" s="84"/>
      <c r="I9830" s="237"/>
      <c r="J9830" s="238"/>
    </row>
    <row r="9831">
      <c r="C9831" s="82"/>
      <c r="E9831" s="84"/>
      <c r="F9831" s="84"/>
      <c r="G9831" s="84"/>
      <c r="I9831" s="237"/>
      <c r="J9831" s="238"/>
    </row>
    <row r="9832">
      <c r="C9832" s="82"/>
      <c r="E9832" s="84"/>
      <c r="F9832" s="84"/>
      <c r="G9832" s="84"/>
      <c r="I9832" s="237"/>
      <c r="J9832" s="238"/>
    </row>
    <row r="9833">
      <c r="C9833" s="82"/>
      <c r="E9833" s="84"/>
      <c r="F9833" s="84"/>
      <c r="G9833" s="84"/>
      <c r="I9833" s="237"/>
      <c r="J9833" s="238"/>
    </row>
    <row r="9834">
      <c r="C9834" s="82"/>
      <c r="E9834" s="84"/>
      <c r="F9834" s="84"/>
      <c r="G9834" s="84"/>
      <c r="I9834" s="237"/>
      <c r="J9834" s="238"/>
    </row>
    <row r="9835">
      <c r="C9835" s="82"/>
      <c r="E9835" s="84"/>
      <c r="F9835" s="84"/>
      <c r="G9835" s="84"/>
      <c r="I9835" s="237"/>
      <c r="J9835" s="238"/>
    </row>
    <row r="9836">
      <c r="C9836" s="82"/>
      <c r="E9836" s="84"/>
      <c r="F9836" s="84"/>
      <c r="G9836" s="84"/>
      <c r="I9836" s="237"/>
      <c r="J9836" s="238"/>
    </row>
    <row r="9837">
      <c r="C9837" s="82"/>
      <c r="E9837" s="84"/>
      <c r="F9837" s="84"/>
      <c r="G9837" s="84"/>
      <c r="I9837" s="237"/>
      <c r="J9837" s="238"/>
    </row>
    <row r="9838">
      <c r="C9838" s="82"/>
      <c r="E9838" s="84"/>
      <c r="F9838" s="84"/>
      <c r="G9838" s="84"/>
      <c r="I9838" s="237"/>
      <c r="J9838" s="238"/>
    </row>
    <row r="9839">
      <c r="C9839" s="82"/>
      <c r="E9839" s="84"/>
      <c r="F9839" s="84"/>
      <c r="G9839" s="84"/>
      <c r="I9839" s="237"/>
      <c r="J9839" s="238"/>
    </row>
    <row r="9840">
      <c r="C9840" s="82"/>
      <c r="E9840" s="84"/>
      <c r="F9840" s="84"/>
      <c r="G9840" s="84"/>
      <c r="I9840" s="237"/>
      <c r="J9840" s="238"/>
    </row>
    <row r="9841">
      <c r="C9841" s="82"/>
      <c r="E9841" s="84"/>
      <c r="F9841" s="84"/>
      <c r="G9841" s="84"/>
      <c r="I9841" s="237"/>
      <c r="J9841" s="238"/>
    </row>
    <row r="9842">
      <c r="C9842" s="82"/>
      <c r="E9842" s="84"/>
      <c r="F9842" s="84"/>
      <c r="G9842" s="84"/>
      <c r="I9842" s="237"/>
      <c r="J9842" s="238"/>
    </row>
    <row r="9843">
      <c r="C9843" s="82"/>
      <c r="E9843" s="84"/>
      <c r="F9843" s="84"/>
      <c r="G9843" s="84"/>
      <c r="I9843" s="237"/>
      <c r="J9843" s="238"/>
    </row>
    <row r="9844">
      <c r="C9844" s="82"/>
      <c r="E9844" s="84"/>
      <c r="F9844" s="84"/>
      <c r="G9844" s="84"/>
      <c r="I9844" s="237"/>
      <c r="J9844" s="238"/>
    </row>
    <row r="9845">
      <c r="C9845" s="82"/>
      <c r="E9845" s="84"/>
      <c r="F9845" s="84"/>
      <c r="G9845" s="84"/>
      <c r="I9845" s="237"/>
      <c r="J9845" s="238"/>
    </row>
    <row r="9846">
      <c r="C9846" s="82"/>
      <c r="E9846" s="84"/>
      <c r="F9846" s="84"/>
      <c r="G9846" s="84"/>
      <c r="I9846" s="237"/>
      <c r="J9846" s="238"/>
    </row>
    <row r="9847">
      <c r="C9847" s="82"/>
      <c r="E9847" s="84"/>
      <c r="F9847" s="84"/>
      <c r="G9847" s="84"/>
      <c r="I9847" s="237"/>
      <c r="J9847" s="238"/>
    </row>
    <row r="9848">
      <c r="C9848" s="82"/>
      <c r="E9848" s="84"/>
      <c r="F9848" s="84"/>
      <c r="G9848" s="84"/>
      <c r="I9848" s="237"/>
      <c r="J9848" s="238"/>
    </row>
    <row r="9849">
      <c r="C9849" s="82"/>
      <c r="E9849" s="84"/>
      <c r="F9849" s="84"/>
      <c r="G9849" s="84"/>
      <c r="I9849" s="237"/>
      <c r="J9849" s="238"/>
    </row>
    <row r="9850">
      <c r="C9850" s="82"/>
      <c r="E9850" s="84"/>
      <c r="F9850" s="84"/>
      <c r="G9850" s="84"/>
      <c r="I9850" s="237"/>
      <c r="J9850" s="238"/>
    </row>
    <row r="9851">
      <c r="C9851" s="82"/>
      <c r="E9851" s="84"/>
      <c r="F9851" s="84"/>
      <c r="G9851" s="84"/>
      <c r="I9851" s="237"/>
      <c r="J9851" s="238"/>
    </row>
    <row r="9852">
      <c r="C9852" s="82"/>
      <c r="E9852" s="84"/>
      <c r="F9852" s="84"/>
      <c r="G9852" s="84"/>
      <c r="I9852" s="237"/>
      <c r="J9852" s="238"/>
    </row>
    <row r="9853">
      <c r="C9853" s="82"/>
      <c r="E9853" s="84"/>
      <c r="F9853" s="84"/>
      <c r="G9853" s="84"/>
      <c r="I9853" s="237"/>
      <c r="J9853" s="238"/>
    </row>
    <row r="9854">
      <c r="C9854" s="82"/>
      <c r="E9854" s="84"/>
      <c r="F9854" s="84"/>
      <c r="G9854" s="84"/>
      <c r="I9854" s="237"/>
      <c r="J9854" s="238"/>
    </row>
    <row r="9855">
      <c r="C9855" s="82"/>
      <c r="E9855" s="84"/>
      <c r="F9855" s="84"/>
      <c r="G9855" s="84"/>
      <c r="I9855" s="237"/>
      <c r="J9855" s="238"/>
    </row>
    <row r="9856">
      <c r="C9856" s="82"/>
      <c r="E9856" s="84"/>
      <c r="F9856" s="84"/>
      <c r="G9856" s="84"/>
      <c r="I9856" s="237"/>
      <c r="J9856" s="238"/>
    </row>
    <row r="9857">
      <c r="C9857" s="82"/>
      <c r="E9857" s="84"/>
      <c r="F9857" s="84"/>
      <c r="G9857" s="84"/>
      <c r="I9857" s="237"/>
      <c r="J9857" s="238"/>
    </row>
    <row r="9858">
      <c r="C9858" s="82"/>
      <c r="E9858" s="84"/>
      <c r="F9858" s="84"/>
      <c r="G9858" s="84"/>
      <c r="I9858" s="237"/>
      <c r="J9858" s="238"/>
    </row>
    <row r="9859">
      <c r="C9859" s="82"/>
      <c r="E9859" s="84"/>
      <c r="F9859" s="84"/>
      <c r="G9859" s="84"/>
      <c r="I9859" s="237"/>
      <c r="J9859" s="238"/>
    </row>
    <row r="9860">
      <c r="C9860" s="82"/>
      <c r="E9860" s="84"/>
      <c r="F9860" s="84"/>
      <c r="G9860" s="84"/>
      <c r="I9860" s="237"/>
      <c r="J9860" s="238"/>
    </row>
    <row r="9861">
      <c r="C9861" s="82"/>
      <c r="E9861" s="84"/>
      <c r="F9861" s="84"/>
      <c r="G9861" s="84"/>
      <c r="I9861" s="237"/>
      <c r="J9861" s="238"/>
    </row>
    <row r="9862">
      <c r="C9862" s="82"/>
      <c r="E9862" s="84"/>
      <c r="F9862" s="84"/>
      <c r="G9862" s="84"/>
      <c r="I9862" s="237"/>
      <c r="J9862" s="238"/>
    </row>
    <row r="9863">
      <c r="C9863" s="82"/>
      <c r="E9863" s="84"/>
      <c r="F9863" s="84"/>
      <c r="G9863" s="84"/>
      <c r="I9863" s="237"/>
      <c r="J9863" s="238"/>
    </row>
    <row r="9864">
      <c r="C9864" s="82"/>
      <c r="E9864" s="84"/>
      <c r="F9864" s="84"/>
      <c r="G9864" s="84"/>
      <c r="I9864" s="237"/>
      <c r="J9864" s="238"/>
    </row>
    <row r="9865">
      <c r="C9865" s="82"/>
      <c r="E9865" s="84"/>
      <c r="F9865" s="84"/>
      <c r="G9865" s="84"/>
      <c r="I9865" s="237"/>
      <c r="J9865" s="238"/>
    </row>
    <row r="9866">
      <c r="C9866" s="82"/>
      <c r="E9866" s="84"/>
      <c r="F9866" s="84"/>
      <c r="G9866" s="84"/>
      <c r="I9866" s="237"/>
      <c r="J9866" s="238"/>
    </row>
    <row r="9867">
      <c r="C9867" s="82"/>
      <c r="E9867" s="84"/>
      <c r="F9867" s="84"/>
      <c r="G9867" s="84"/>
      <c r="I9867" s="237"/>
      <c r="J9867" s="238"/>
    </row>
    <row r="9868">
      <c r="C9868" s="82"/>
      <c r="E9868" s="84"/>
      <c r="F9868" s="84"/>
      <c r="G9868" s="84"/>
      <c r="I9868" s="237"/>
      <c r="J9868" s="238"/>
    </row>
    <row r="9869">
      <c r="C9869" s="82"/>
      <c r="E9869" s="84"/>
      <c r="F9869" s="84"/>
      <c r="G9869" s="84"/>
      <c r="I9869" s="237"/>
      <c r="J9869" s="238"/>
    </row>
    <row r="9870">
      <c r="C9870" s="82"/>
      <c r="E9870" s="84"/>
      <c r="F9870" s="84"/>
      <c r="G9870" s="84"/>
      <c r="I9870" s="237"/>
      <c r="J9870" s="238"/>
    </row>
    <row r="9871">
      <c r="C9871" s="82"/>
      <c r="E9871" s="84"/>
      <c r="F9871" s="84"/>
      <c r="G9871" s="84"/>
      <c r="I9871" s="237"/>
      <c r="J9871" s="238"/>
    </row>
    <row r="9872">
      <c r="C9872" s="82"/>
      <c r="E9872" s="84"/>
      <c r="F9872" s="84"/>
      <c r="G9872" s="84"/>
      <c r="I9872" s="237"/>
      <c r="J9872" s="238"/>
    </row>
    <row r="9873">
      <c r="C9873" s="82"/>
      <c r="E9873" s="84"/>
      <c r="F9873" s="84"/>
      <c r="G9873" s="84"/>
      <c r="I9873" s="237"/>
      <c r="J9873" s="238"/>
    </row>
    <row r="9874">
      <c r="C9874" s="82"/>
      <c r="E9874" s="84"/>
      <c r="F9874" s="84"/>
      <c r="G9874" s="84"/>
      <c r="I9874" s="237"/>
      <c r="J9874" s="238"/>
    </row>
    <row r="9875">
      <c r="C9875" s="82"/>
      <c r="E9875" s="84"/>
      <c r="F9875" s="84"/>
      <c r="G9875" s="84"/>
      <c r="I9875" s="237"/>
      <c r="J9875" s="238"/>
    </row>
    <row r="9876">
      <c r="C9876" s="82"/>
      <c r="E9876" s="84"/>
      <c r="F9876" s="84"/>
      <c r="G9876" s="84"/>
      <c r="I9876" s="237"/>
      <c r="J9876" s="238"/>
    </row>
    <row r="9877">
      <c r="C9877" s="82"/>
      <c r="E9877" s="84"/>
      <c r="F9877" s="84"/>
      <c r="G9877" s="84"/>
      <c r="I9877" s="237"/>
      <c r="J9877" s="238"/>
    </row>
    <row r="9878">
      <c r="C9878" s="82"/>
      <c r="E9878" s="84"/>
      <c r="F9878" s="84"/>
      <c r="G9878" s="84"/>
      <c r="I9878" s="237"/>
      <c r="J9878" s="238"/>
    </row>
    <row r="9879">
      <c r="C9879" s="82"/>
      <c r="E9879" s="84"/>
      <c r="F9879" s="84"/>
      <c r="G9879" s="84"/>
      <c r="I9879" s="237"/>
      <c r="J9879" s="238"/>
    </row>
    <row r="9880">
      <c r="C9880" s="82"/>
      <c r="E9880" s="84"/>
      <c r="F9880" s="84"/>
      <c r="G9880" s="84"/>
      <c r="I9880" s="237"/>
      <c r="J9880" s="238"/>
    </row>
    <row r="9881">
      <c r="C9881" s="82"/>
      <c r="E9881" s="84"/>
      <c r="F9881" s="84"/>
      <c r="G9881" s="84"/>
      <c r="I9881" s="237"/>
      <c r="J9881" s="238"/>
    </row>
    <row r="9882">
      <c r="C9882" s="82"/>
      <c r="E9882" s="84"/>
      <c r="F9882" s="84"/>
      <c r="G9882" s="84"/>
      <c r="I9882" s="237"/>
      <c r="J9882" s="238"/>
    </row>
    <row r="9883">
      <c r="C9883" s="82"/>
      <c r="E9883" s="84"/>
      <c r="F9883" s="84"/>
      <c r="G9883" s="84"/>
      <c r="I9883" s="237"/>
      <c r="J9883" s="238"/>
    </row>
    <row r="9884">
      <c r="C9884" s="82"/>
      <c r="E9884" s="84"/>
      <c r="F9884" s="84"/>
      <c r="G9884" s="84"/>
      <c r="I9884" s="237"/>
      <c r="J9884" s="238"/>
    </row>
    <row r="9885">
      <c r="C9885" s="82"/>
      <c r="E9885" s="84"/>
      <c r="F9885" s="84"/>
      <c r="G9885" s="84"/>
      <c r="I9885" s="237"/>
      <c r="J9885" s="238"/>
    </row>
    <row r="9886">
      <c r="C9886" s="82"/>
      <c r="E9886" s="84"/>
      <c r="F9886" s="84"/>
      <c r="G9886" s="84"/>
      <c r="I9886" s="237"/>
      <c r="J9886" s="238"/>
    </row>
    <row r="9887">
      <c r="C9887" s="82"/>
      <c r="E9887" s="84"/>
      <c r="F9887" s="84"/>
      <c r="G9887" s="84"/>
      <c r="I9887" s="237"/>
      <c r="J9887" s="238"/>
    </row>
    <row r="9888">
      <c r="C9888" s="82"/>
      <c r="E9888" s="84"/>
      <c r="F9888" s="84"/>
      <c r="G9888" s="84"/>
      <c r="I9888" s="237"/>
      <c r="J9888" s="238"/>
    </row>
    <row r="9889">
      <c r="C9889" s="82"/>
      <c r="E9889" s="84"/>
      <c r="F9889" s="84"/>
      <c r="G9889" s="84"/>
      <c r="I9889" s="237"/>
      <c r="J9889" s="238"/>
    </row>
    <row r="9890">
      <c r="C9890" s="82"/>
      <c r="E9890" s="84"/>
      <c r="F9890" s="84"/>
      <c r="G9890" s="84"/>
      <c r="I9890" s="237"/>
      <c r="J9890" s="238"/>
    </row>
    <row r="9891">
      <c r="C9891" s="82"/>
      <c r="E9891" s="84"/>
      <c r="F9891" s="84"/>
      <c r="G9891" s="84"/>
      <c r="I9891" s="237"/>
      <c r="J9891" s="238"/>
    </row>
    <row r="9892">
      <c r="C9892" s="82"/>
      <c r="E9892" s="84"/>
      <c r="F9892" s="84"/>
      <c r="G9892" s="84"/>
      <c r="I9892" s="237"/>
      <c r="J9892" s="238"/>
    </row>
    <row r="9893">
      <c r="C9893" s="82"/>
      <c r="E9893" s="84"/>
      <c r="F9893" s="84"/>
      <c r="G9893" s="84"/>
      <c r="I9893" s="237"/>
      <c r="J9893" s="238"/>
    </row>
    <row r="9894">
      <c r="C9894" s="82"/>
      <c r="E9894" s="84"/>
      <c r="F9894" s="84"/>
      <c r="G9894" s="84"/>
      <c r="I9894" s="237"/>
      <c r="J9894" s="238"/>
    </row>
    <row r="9895">
      <c r="C9895" s="82"/>
      <c r="E9895" s="84"/>
      <c r="F9895" s="84"/>
      <c r="G9895" s="84"/>
      <c r="I9895" s="237"/>
      <c r="J9895" s="238"/>
    </row>
    <row r="9896">
      <c r="C9896" s="82"/>
      <c r="E9896" s="84"/>
      <c r="F9896" s="84"/>
      <c r="G9896" s="84"/>
      <c r="I9896" s="237"/>
      <c r="J9896" s="238"/>
    </row>
    <row r="9897">
      <c r="C9897" s="82"/>
      <c r="E9897" s="84"/>
      <c r="F9897" s="84"/>
      <c r="G9897" s="84"/>
      <c r="I9897" s="237"/>
      <c r="J9897" s="238"/>
    </row>
    <row r="9898">
      <c r="C9898" s="82"/>
      <c r="E9898" s="84"/>
      <c r="F9898" s="84"/>
      <c r="G9898" s="84"/>
      <c r="I9898" s="237"/>
      <c r="J9898" s="238"/>
    </row>
    <row r="9899">
      <c r="C9899" s="82"/>
      <c r="E9899" s="84"/>
      <c r="F9899" s="84"/>
      <c r="G9899" s="84"/>
      <c r="I9899" s="237"/>
      <c r="J9899" s="238"/>
    </row>
    <row r="9900">
      <c r="C9900" s="82"/>
      <c r="E9900" s="84"/>
      <c r="F9900" s="84"/>
      <c r="G9900" s="84"/>
      <c r="I9900" s="237"/>
      <c r="J9900" s="238"/>
    </row>
    <row r="9901">
      <c r="C9901" s="82"/>
      <c r="E9901" s="84"/>
      <c r="F9901" s="84"/>
      <c r="G9901" s="84"/>
      <c r="I9901" s="237"/>
      <c r="J9901" s="238"/>
    </row>
    <row r="9902">
      <c r="C9902" s="82"/>
      <c r="E9902" s="84"/>
      <c r="F9902" s="84"/>
      <c r="G9902" s="84"/>
      <c r="I9902" s="237"/>
      <c r="J9902" s="238"/>
    </row>
    <row r="9903">
      <c r="C9903" s="82"/>
      <c r="E9903" s="84"/>
      <c r="F9903" s="84"/>
      <c r="G9903" s="84"/>
      <c r="I9903" s="237"/>
      <c r="J9903" s="238"/>
    </row>
    <row r="9904">
      <c r="C9904" s="82"/>
      <c r="E9904" s="84"/>
      <c r="F9904" s="84"/>
      <c r="G9904" s="84"/>
      <c r="I9904" s="237"/>
      <c r="J9904" s="238"/>
    </row>
    <row r="9905">
      <c r="C9905" s="82"/>
      <c r="E9905" s="84"/>
      <c r="F9905" s="84"/>
      <c r="G9905" s="84"/>
      <c r="I9905" s="237"/>
      <c r="J9905" s="238"/>
    </row>
    <row r="9906">
      <c r="C9906" s="82"/>
      <c r="E9906" s="84"/>
      <c r="F9906" s="84"/>
      <c r="G9906" s="84"/>
      <c r="I9906" s="237"/>
      <c r="J9906" s="238"/>
    </row>
    <row r="9907">
      <c r="C9907" s="82"/>
      <c r="E9907" s="84"/>
      <c r="F9907" s="84"/>
      <c r="G9907" s="84"/>
      <c r="I9907" s="237"/>
      <c r="J9907" s="238"/>
    </row>
    <row r="9908">
      <c r="C9908" s="82"/>
      <c r="E9908" s="84"/>
      <c r="F9908" s="84"/>
      <c r="G9908" s="84"/>
      <c r="I9908" s="237"/>
      <c r="J9908" s="238"/>
    </row>
    <row r="9909">
      <c r="C9909" s="82"/>
      <c r="E9909" s="84"/>
      <c r="F9909" s="84"/>
      <c r="G9909" s="84"/>
      <c r="I9909" s="237"/>
      <c r="J9909" s="238"/>
    </row>
    <row r="9910">
      <c r="C9910" s="82"/>
      <c r="E9910" s="84"/>
      <c r="F9910" s="84"/>
      <c r="G9910" s="84"/>
      <c r="I9910" s="237"/>
      <c r="J9910" s="238"/>
    </row>
    <row r="9911">
      <c r="C9911" s="82"/>
      <c r="E9911" s="84"/>
      <c r="F9911" s="84"/>
      <c r="G9911" s="84"/>
      <c r="I9911" s="237"/>
      <c r="J9911" s="238"/>
    </row>
    <row r="9912">
      <c r="C9912" s="82"/>
      <c r="E9912" s="84"/>
      <c r="F9912" s="84"/>
      <c r="G9912" s="84"/>
      <c r="I9912" s="237"/>
      <c r="J9912" s="238"/>
    </row>
    <row r="9913">
      <c r="C9913" s="82"/>
      <c r="E9913" s="84"/>
      <c r="F9913" s="84"/>
      <c r="G9913" s="84"/>
      <c r="I9913" s="237"/>
      <c r="J9913" s="238"/>
    </row>
    <row r="9914">
      <c r="C9914" s="82"/>
      <c r="E9914" s="84"/>
      <c r="F9914" s="84"/>
      <c r="G9914" s="84"/>
      <c r="I9914" s="237"/>
      <c r="J9914" s="238"/>
    </row>
    <row r="9915">
      <c r="C9915" s="82"/>
      <c r="E9915" s="84"/>
      <c r="F9915" s="84"/>
      <c r="G9915" s="84"/>
      <c r="I9915" s="237"/>
      <c r="J9915" s="238"/>
    </row>
    <row r="9916">
      <c r="C9916" s="82"/>
      <c r="E9916" s="84"/>
      <c r="F9916" s="84"/>
      <c r="G9916" s="84"/>
      <c r="I9916" s="237"/>
      <c r="J9916" s="238"/>
    </row>
    <row r="9917">
      <c r="C9917" s="82"/>
      <c r="E9917" s="84"/>
      <c r="F9917" s="84"/>
      <c r="G9917" s="84"/>
      <c r="I9917" s="237"/>
      <c r="J9917" s="238"/>
    </row>
    <row r="9918">
      <c r="C9918" s="82"/>
      <c r="E9918" s="84"/>
      <c r="F9918" s="84"/>
      <c r="G9918" s="84"/>
      <c r="I9918" s="237"/>
      <c r="J9918" s="238"/>
    </row>
    <row r="9919">
      <c r="C9919" s="82"/>
      <c r="E9919" s="84"/>
      <c r="F9919" s="84"/>
      <c r="G9919" s="84"/>
      <c r="I9919" s="237"/>
      <c r="J9919" s="238"/>
    </row>
    <row r="9920">
      <c r="C9920" s="82"/>
      <c r="E9920" s="84"/>
      <c r="F9920" s="84"/>
      <c r="G9920" s="84"/>
      <c r="I9920" s="237"/>
      <c r="J9920" s="238"/>
    </row>
    <row r="9921">
      <c r="C9921" s="82"/>
      <c r="E9921" s="84"/>
      <c r="F9921" s="84"/>
      <c r="G9921" s="84"/>
      <c r="I9921" s="237"/>
      <c r="J9921" s="238"/>
    </row>
    <row r="9922">
      <c r="C9922" s="82"/>
      <c r="E9922" s="84"/>
      <c r="F9922" s="84"/>
      <c r="G9922" s="84"/>
      <c r="I9922" s="237"/>
      <c r="J9922" s="238"/>
    </row>
    <row r="9923">
      <c r="C9923" s="82"/>
      <c r="E9923" s="84"/>
      <c r="F9923" s="84"/>
      <c r="G9923" s="84"/>
      <c r="I9923" s="237"/>
      <c r="J9923" s="238"/>
    </row>
    <row r="9924">
      <c r="C9924" s="82"/>
      <c r="E9924" s="84"/>
      <c r="F9924" s="84"/>
      <c r="G9924" s="84"/>
      <c r="I9924" s="237"/>
      <c r="J9924" s="238"/>
    </row>
    <row r="9925">
      <c r="C9925" s="82"/>
      <c r="E9925" s="84"/>
      <c r="F9925" s="84"/>
      <c r="G9925" s="84"/>
      <c r="I9925" s="237"/>
      <c r="J9925" s="238"/>
    </row>
    <row r="9926">
      <c r="C9926" s="82"/>
      <c r="E9926" s="84"/>
      <c r="F9926" s="84"/>
      <c r="G9926" s="84"/>
      <c r="I9926" s="237"/>
      <c r="J9926" s="238"/>
    </row>
    <row r="9927">
      <c r="C9927" s="82"/>
      <c r="E9927" s="84"/>
      <c r="F9927" s="84"/>
      <c r="G9927" s="84"/>
      <c r="I9927" s="237"/>
      <c r="J9927" s="238"/>
    </row>
    <row r="9928">
      <c r="C9928" s="82"/>
      <c r="E9928" s="84"/>
      <c r="F9928" s="84"/>
      <c r="G9928" s="84"/>
      <c r="I9928" s="237"/>
      <c r="J9928" s="238"/>
    </row>
    <row r="9929">
      <c r="C9929" s="82"/>
      <c r="E9929" s="84"/>
      <c r="F9929" s="84"/>
      <c r="G9929" s="84"/>
      <c r="I9929" s="237"/>
      <c r="J9929" s="238"/>
    </row>
    <row r="9930">
      <c r="C9930" s="82"/>
      <c r="E9930" s="84"/>
      <c r="F9930" s="84"/>
      <c r="G9930" s="84"/>
      <c r="I9930" s="237"/>
      <c r="J9930" s="238"/>
    </row>
    <row r="9931">
      <c r="C9931" s="82"/>
      <c r="E9931" s="84"/>
      <c r="F9931" s="84"/>
      <c r="G9931" s="84"/>
      <c r="I9931" s="237"/>
      <c r="J9931" s="238"/>
    </row>
    <row r="9932">
      <c r="C9932" s="82"/>
      <c r="E9932" s="84"/>
      <c r="F9932" s="84"/>
      <c r="G9932" s="84"/>
      <c r="I9932" s="237"/>
      <c r="J9932" s="238"/>
    </row>
    <row r="9933">
      <c r="C9933" s="82"/>
      <c r="E9933" s="84"/>
      <c r="F9933" s="84"/>
      <c r="G9933" s="84"/>
      <c r="I9933" s="237"/>
      <c r="J9933" s="238"/>
    </row>
    <row r="9934">
      <c r="C9934" s="82"/>
      <c r="E9934" s="84"/>
      <c r="F9934" s="84"/>
      <c r="G9934" s="84"/>
      <c r="I9934" s="237"/>
      <c r="J9934" s="238"/>
    </row>
    <row r="9935">
      <c r="C9935" s="82"/>
      <c r="E9935" s="84"/>
      <c r="F9935" s="84"/>
      <c r="G9935" s="84"/>
      <c r="I9935" s="237"/>
      <c r="J9935" s="238"/>
    </row>
    <row r="9936">
      <c r="C9936" s="82"/>
      <c r="E9936" s="84"/>
      <c r="F9936" s="84"/>
      <c r="G9936" s="84"/>
      <c r="I9936" s="237"/>
      <c r="J9936" s="238"/>
    </row>
    <row r="9937">
      <c r="C9937" s="82"/>
      <c r="E9937" s="84"/>
      <c r="F9937" s="84"/>
      <c r="G9937" s="84"/>
      <c r="I9937" s="237"/>
      <c r="J9937" s="238"/>
    </row>
    <row r="9938">
      <c r="C9938" s="82"/>
      <c r="E9938" s="84"/>
      <c r="F9938" s="84"/>
      <c r="G9938" s="84"/>
      <c r="I9938" s="237"/>
      <c r="J9938" s="238"/>
    </row>
    <row r="9939">
      <c r="C9939" s="82"/>
      <c r="E9939" s="84"/>
      <c r="F9939" s="84"/>
      <c r="G9939" s="84"/>
      <c r="I9939" s="237"/>
      <c r="J9939" s="238"/>
    </row>
    <row r="9940">
      <c r="C9940" s="82"/>
      <c r="E9940" s="84"/>
      <c r="F9940" s="84"/>
      <c r="G9940" s="84"/>
      <c r="I9940" s="237"/>
      <c r="J9940" s="238"/>
    </row>
    <row r="9941">
      <c r="C9941" s="82"/>
      <c r="E9941" s="84"/>
      <c r="F9941" s="84"/>
      <c r="G9941" s="84"/>
      <c r="I9941" s="237"/>
      <c r="J9941" s="238"/>
    </row>
    <row r="9942">
      <c r="C9942" s="82"/>
      <c r="E9942" s="84"/>
      <c r="F9942" s="84"/>
      <c r="G9942" s="84"/>
      <c r="I9942" s="237"/>
      <c r="J9942" s="238"/>
    </row>
    <row r="9943">
      <c r="C9943" s="82"/>
      <c r="E9943" s="84"/>
      <c r="F9943" s="84"/>
      <c r="G9943" s="84"/>
      <c r="I9943" s="237"/>
      <c r="J9943" s="238"/>
    </row>
    <row r="9944">
      <c r="C9944" s="82"/>
      <c r="E9944" s="84"/>
      <c r="F9944" s="84"/>
      <c r="G9944" s="84"/>
      <c r="I9944" s="237"/>
      <c r="J9944" s="238"/>
    </row>
    <row r="9945">
      <c r="C9945" s="82"/>
      <c r="E9945" s="84"/>
      <c r="F9945" s="84"/>
      <c r="G9945" s="84"/>
      <c r="I9945" s="237"/>
      <c r="J9945" s="238"/>
    </row>
    <row r="9946">
      <c r="C9946" s="82"/>
      <c r="E9946" s="84"/>
      <c r="F9946" s="84"/>
      <c r="G9946" s="84"/>
      <c r="I9946" s="237"/>
      <c r="J9946" s="238"/>
    </row>
    <row r="9947">
      <c r="C9947" s="82"/>
      <c r="E9947" s="84"/>
      <c r="F9947" s="84"/>
      <c r="G9947" s="84"/>
      <c r="I9947" s="237"/>
      <c r="J9947" s="238"/>
    </row>
    <row r="9948">
      <c r="C9948" s="82"/>
      <c r="E9948" s="84"/>
      <c r="F9948" s="84"/>
      <c r="G9948" s="84"/>
      <c r="I9948" s="237"/>
      <c r="J9948" s="238"/>
    </row>
    <row r="9949">
      <c r="C9949" s="82"/>
      <c r="E9949" s="84"/>
      <c r="F9949" s="84"/>
      <c r="G9949" s="84"/>
      <c r="I9949" s="237"/>
      <c r="J9949" s="238"/>
    </row>
    <row r="9950">
      <c r="C9950" s="82"/>
      <c r="E9950" s="84"/>
      <c r="F9950" s="84"/>
      <c r="G9950" s="84"/>
      <c r="I9950" s="237"/>
      <c r="J9950" s="238"/>
    </row>
    <row r="9951">
      <c r="C9951" s="82"/>
      <c r="E9951" s="84"/>
      <c r="F9951" s="84"/>
      <c r="G9951" s="84"/>
      <c r="I9951" s="237"/>
      <c r="J9951" s="238"/>
    </row>
    <row r="9952">
      <c r="C9952" s="82"/>
      <c r="E9952" s="84"/>
      <c r="F9952" s="84"/>
      <c r="G9952" s="84"/>
      <c r="I9952" s="237"/>
      <c r="J9952" s="238"/>
    </row>
    <row r="9953">
      <c r="C9953" s="82"/>
      <c r="E9953" s="84"/>
      <c r="F9953" s="84"/>
      <c r="G9953" s="84"/>
      <c r="I9953" s="237"/>
      <c r="J9953" s="238"/>
    </row>
    <row r="9954">
      <c r="C9954" s="82"/>
      <c r="E9954" s="84"/>
      <c r="F9954" s="84"/>
      <c r="G9954" s="84"/>
      <c r="I9954" s="237"/>
      <c r="J9954" s="238"/>
    </row>
    <row r="9955">
      <c r="C9955" s="82"/>
      <c r="E9955" s="84"/>
      <c r="F9955" s="84"/>
      <c r="G9955" s="84"/>
      <c r="I9955" s="237"/>
      <c r="J9955" s="238"/>
    </row>
    <row r="9956">
      <c r="C9956" s="82"/>
      <c r="E9956" s="84"/>
      <c r="F9956" s="84"/>
      <c r="G9956" s="84"/>
      <c r="I9956" s="237"/>
      <c r="J9956" s="238"/>
    </row>
    <row r="9957">
      <c r="C9957" s="82"/>
      <c r="E9957" s="84"/>
      <c r="F9957" s="84"/>
      <c r="G9957" s="84"/>
      <c r="I9957" s="237"/>
      <c r="J9957" s="238"/>
    </row>
    <row r="9958">
      <c r="C9958" s="82"/>
      <c r="E9958" s="84"/>
      <c r="F9958" s="84"/>
      <c r="G9958" s="84"/>
      <c r="I9958" s="237"/>
      <c r="J9958" s="238"/>
    </row>
    <row r="9959">
      <c r="C9959" s="82"/>
      <c r="E9959" s="84"/>
      <c r="F9959" s="84"/>
      <c r="G9959" s="84"/>
      <c r="I9959" s="237"/>
      <c r="J9959" s="238"/>
    </row>
    <row r="9960">
      <c r="C9960" s="82"/>
      <c r="E9960" s="84"/>
      <c r="F9960" s="84"/>
      <c r="G9960" s="84"/>
      <c r="I9960" s="237"/>
      <c r="J9960" s="238"/>
    </row>
    <row r="9961">
      <c r="C9961" s="82"/>
      <c r="E9961" s="84"/>
      <c r="F9961" s="84"/>
      <c r="G9961" s="84"/>
      <c r="I9961" s="237"/>
      <c r="J9961" s="238"/>
    </row>
    <row r="9962">
      <c r="C9962" s="82"/>
      <c r="E9962" s="84"/>
      <c r="F9962" s="84"/>
      <c r="G9962" s="84"/>
      <c r="I9962" s="237"/>
      <c r="J9962" s="238"/>
    </row>
    <row r="9963">
      <c r="C9963" s="82"/>
      <c r="E9963" s="84"/>
      <c r="F9963" s="84"/>
      <c r="G9963" s="84"/>
      <c r="I9963" s="237"/>
      <c r="J9963" s="238"/>
    </row>
    <row r="9964">
      <c r="C9964" s="82"/>
      <c r="E9964" s="84"/>
      <c r="F9964" s="84"/>
      <c r="G9964" s="84"/>
      <c r="I9964" s="237"/>
      <c r="J9964" s="238"/>
    </row>
    <row r="9965">
      <c r="C9965" s="82"/>
      <c r="E9965" s="84"/>
      <c r="F9965" s="84"/>
      <c r="G9965" s="84"/>
      <c r="I9965" s="237"/>
      <c r="J9965" s="238"/>
    </row>
    <row r="9966">
      <c r="C9966" s="82"/>
      <c r="E9966" s="84"/>
      <c r="F9966" s="84"/>
      <c r="G9966" s="84"/>
      <c r="I9966" s="237"/>
      <c r="J9966" s="238"/>
    </row>
    <row r="9967">
      <c r="C9967" s="82"/>
      <c r="E9967" s="84"/>
      <c r="F9967" s="84"/>
      <c r="G9967" s="84"/>
      <c r="I9967" s="237"/>
      <c r="J9967" s="238"/>
    </row>
    <row r="9968">
      <c r="C9968" s="82"/>
      <c r="E9968" s="84"/>
      <c r="F9968" s="84"/>
      <c r="G9968" s="84"/>
      <c r="I9968" s="237"/>
      <c r="J9968" s="238"/>
    </row>
    <row r="9969">
      <c r="C9969" s="82"/>
      <c r="E9969" s="84"/>
      <c r="F9969" s="84"/>
      <c r="G9969" s="84"/>
      <c r="I9969" s="237"/>
      <c r="J9969" s="238"/>
    </row>
    <row r="9970">
      <c r="C9970" s="82"/>
      <c r="E9970" s="84"/>
      <c r="F9970" s="84"/>
      <c r="G9970" s="84"/>
      <c r="I9970" s="237"/>
      <c r="J9970" s="238"/>
    </row>
    <row r="9971">
      <c r="C9971" s="82"/>
      <c r="E9971" s="84"/>
      <c r="F9971" s="84"/>
      <c r="G9971" s="84"/>
      <c r="I9971" s="237"/>
      <c r="J9971" s="238"/>
    </row>
    <row r="9972">
      <c r="C9972" s="82"/>
      <c r="E9972" s="84"/>
      <c r="F9972" s="84"/>
      <c r="G9972" s="84"/>
      <c r="I9972" s="237"/>
      <c r="J9972" s="238"/>
    </row>
    <row r="9973">
      <c r="C9973" s="82"/>
      <c r="E9973" s="84"/>
      <c r="F9973" s="84"/>
      <c r="G9973" s="84"/>
      <c r="I9973" s="237"/>
      <c r="J9973" s="238"/>
    </row>
    <row r="9974">
      <c r="C9974" s="82"/>
      <c r="E9974" s="84"/>
      <c r="F9974" s="84"/>
      <c r="G9974" s="84"/>
      <c r="I9974" s="237"/>
      <c r="J9974" s="238"/>
    </row>
    <row r="9975">
      <c r="C9975" s="82"/>
      <c r="E9975" s="84"/>
      <c r="F9975" s="84"/>
      <c r="G9975" s="84"/>
      <c r="I9975" s="237"/>
      <c r="J9975" s="238"/>
    </row>
    <row r="9976">
      <c r="C9976" s="82"/>
      <c r="E9976" s="84"/>
      <c r="F9976" s="84"/>
      <c r="G9976" s="84"/>
      <c r="I9976" s="237"/>
      <c r="J9976" s="238"/>
    </row>
    <row r="9977">
      <c r="C9977" s="82"/>
      <c r="E9977" s="84"/>
      <c r="F9977" s="84"/>
      <c r="G9977" s="84"/>
      <c r="I9977" s="237"/>
      <c r="J9977" s="238"/>
    </row>
    <row r="9978">
      <c r="C9978" s="82"/>
      <c r="E9978" s="84"/>
      <c r="F9978" s="84"/>
      <c r="G9978" s="84"/>
      <c r="I9978" s="237"/>
      <c r="J9978" s="238"/>
    </row>
    <row r="9979">
      <c r="C9979" s="82"/>
      <c r="E9979" s="84"/>
      <c r="F9979" s="84"/>
      <c r="G9979" s="84"/>
      <c r="I9979" s="237"/>
      <c r="J9979" s="238"/>
    </row>
    <row r="9980">
      <c r="C9980" s="82"/>
      <c r="E9980" s="84"/>
      <c r="F9980" s="84"/>
      <c r="G9980" s="84"/>
      <c r="I9980" s="237"/>
      <c r="J9980" s="238"/>
    </row>
    <row r="9981">
      <c r="C9981" s="82"/>
      <c r="E9981" s="84"/>
      <c r="F9981" s="84"/>
      <c r="G9981" s="84"/>
      <c r="I9981" s="237"/>
      <c r="J9981" s="238"/>
    </row>
    <row r="9982">
      <c r="C9982" s="82"/>
      <c r="E9982" s="84"/>
      <c r="F9982" s="84"/>
      <c r="G9982" s="84"/>
      <c r="I9982" s="237"/>
      <c r="J9982" s="238"/>
    </row>
    <row r="9983">
      <c r="C9983" s="82"/>
      <c r="E9983" s="84"/>
      <c r="F9983" s="84"/>
      <c r="G9983" s="84"/>
      <c r="I9983" s="237"/>
      <c r="J9983" s="238"/>
    </row>
    <row r="9984">
      <c r="C9984" s="82"/>
      <c r="E9984" s="84"/>
      <c r="F9984" s="84"/>
      <c r="G9984" s="84"/>
      <c r="I9984" s="237"/>
      <c r="J9984" s="238"/>
    </row>
    <row r="9985">
      <c r="C9985" s="82"/>
      <c r="E9985" s="84"/>
      <c r="F9985" s="84"/>
      <c r="G9985" s="84"/>
      <c r="I9985" s="237"/>
      <c r="J9985" s="238"/>
    </row>
    <row r="9986">
      <c r="C9986" s="82"/>
      <c r="E9986" s="84"/>
      <c r="F9986" s="84"/>
      <c r="G9986" s="84"/>
      <c r="I9986" s="237"/>
      <c r="J9986" s="238"/>
    </row>
    <row r="9987">
      <c r="C9987" s="82"/>
      <c r="E9987" s="84"/>
      <c r="F9987" s="84"/>
      <c r="G9987" s="84"/>
      <c r="I9987" s="237"/>
      <c r="J9987" s="238"/>
    </row>
    <row r="9988">
      <c r="C9988" s="82"/>
      <c r="E9988" s="84"/>
      <c r="F9988" s="84"/>
      <c r="G9988" s="84"/>
      <c r="I9988" s="237"/>
      <c r="J9988" s="238"/>
    </row>
    <row r="9989">
      <c r="C9989" s="82"/>
      <c r="E9989" s="84"/>
      <c r="F9989" s="84"/>
      <c r="G9989" s="84"/>
      <c r="I9989" s="237"/>
      <c r="J9989" s="238"/>
    </row>
    <row r="9990">
      <c r="C9990" s="82"/>
      <c r="E9990" s="84"/>
      <c r="F9990" s="84"/>
      <c r="G9990" s="84"/>
      <c r="I9990" s="237"/>
      <c r="J9990" s="238"/>
    </row>
    <row r="9991">
      <c r="C9991" s="82"/>
      <c r="E9991" s="84"/>
      <c r="F9991" s="84"/>
      <c r="G9991" s="84"/>
      <c r="I9991" s="237"/>
      <c r="J9991" s="238"/>
    </row>
    <row r="9992">
      <c r="C9992" s="82"/>
      <c r="E9992" s="84"/>
      <c r="F9992" s="84"/>
      <c r="G9992" s="84"/>
      <c r="I9992" s="237"/>
      <c r="J9992" s="238"/>
    </row>
    <row r="9993">
      <c r="C9993" s="82"/>
      <c r="E9993" s="84"/>
      <c r="F9993" s="84"/>
      <c r="G9993" s="84"/>
      <c r="I9993" s="237"/>
      <c r="J9993" s="238"/>
    </row>
    <row r="9994">
      <c r="C9994" s="82"/>
      <c r="E9994" s="84"/>
      <c r="F9994" s="84"/>
      <c r="G9994" s="84"/>
      <c r="I9994" s="237"/>
      <c r="J9994" s="238"/>
    </row>
    <row r="9995">
      <c r="C9995" s="82"/>
      <c r="E9995" s="84"/>
      <c r="F9995" s="84"/>
      <c r="G9995" s="84"/>
      <c r="I9995" s="237"/>
      <c r="J9995" s="238"/>
    </row>
    <row r="9996">
      <c r="C9996" s="82"/>
      <c r="E9996" s="84"/>
      <c r="F9996" s="84"/>
      <c r="G9996" s="84"/>
      <c r="I9996" s="237"/>
      <c r="J9996" s="238"/>
    </row>
    <row r="9997">
      <c r="C9997" s="82"/>
      <c r="E9997" s="84"/>
      <c r="F9997" s="84"/>
      <c r="G9997" s="84"/>
      <c r="I9997" s="237"/>
      <c r="J9997" s="238"/>
    </row>
    <row r="9998">
      <c r="C9998" s="82"/>
      <c r="E9998" s="84"/>
      <c r="F9998" s="84"/>
      <c r="G9998" s="84"/>
      <c r="I9998" s="237"/>
      <c r="J9998" s="238"/>
    </row>
    <row r="9999">
      <c r="C9999" s="82"/>
      <c r="E9999" s="84"/>
      <c r="F9999" s="84"/>
      <c r="G9999" s="84"/>
      <c r="I9999" s="237"/>
      <c r="J9999" s="238"/>
    </row>
    <row r="10000">
      <c r="C10000" s="82"/>
      <c r="E10000" s="84"/>
      <c r="F10000" s="84"/>
      <c r="G10000" s="84"/>
      <c r="I10000" s="237"/>
      <c r="J10000" s="238"/>
    </row>
    <row r="10001">
      <c r="C10001" s="82"/>
      <c r="E10001" s="84"/>
      <c r="F10001" s="84"/>
      <c r="G10001" s="84"/>
      <c r="I10001" s="237"/>
      <c r="J10001" s="238"/>
    </row>
    <row r="10002">
      <c r="C10002" s="82"/>
      <c r="E10002" s="84"/>
      <c r="F10002" s="84"/>
      <c r="G10002" s="84"/>
      <c r="I10002" s="237"/>
      <c r="J10002" s="238"/>
    </row>
    <row r="10003">
      <c r="C10003" s="82"/>
      <c r="E10003" s="84"/>
      <c r="F10003" s="84"/>
      <c r="G10003" s="84"/>
      <c r="I10003" s="237"/>
      <c r="J10003" s="238"/>
    </row>
    <row r="10004">
      <c r="C10004" s="82"/>
      <c r="E10004" s="84"/>
      <c r="F10004" s="84"/>
      <c r="G10004" s="84"/>
      <c r="I10004" s="237"/>
      <c r="J10004" s="238"/>
    </row>
    <row r="10005">
      <c r="C10005" s="82"/>
      <c r="E10005" s="84"/>
      <c r="F10005" s="84"/>
      <c r="G10005" s="84"/>
      <c r="I10005" s="237"/>
      <c r="J10005" s="238"/>
    </row>
    <row r="10006">
      <c r="C10006" s="82"/>
      <c r="E10006" s="84"/>
      <c r="F10006" s="84"/>
      <c r="G10006" s="84"/>
      <c r="I10006" s="237"/>
      <c r="J10006" s="238"/>
    </row>
    <row r="10007">
      <c r="C10007" s="82"/>
      <c r="E10007" s="84"/>
      <c r="F10007" s="84"/>
      <c r="G10007" s="84"/>
      <c r="I10007" s="237"/>
      <c r="J10007" s="238"/>
    </row>
    <row r="10008">
      <c r="C10008" s="82"/>
      <c r="E10008" s="84"/>
      <c r="F10008" s="84"/>
      <c r="G10008" s="84"/>
      <c r="I10008" s="237"/>
      <c r="J10008" s="238"/>
    </row>
    <row r="10009">
      <c r="C10009" s="82"/>
      <c r="E10009" s="84"/>
      <c r="F10009" s="84"/>
      <c r="G10009" s="84"/>
      <c r="I10009" s="237"/>
      <c r="J10009" s="238"/>
    </row>
    <row r="10010">
      <c r="C10010" s="82"/>
      <c r="E10010" s="84"/>
      <c r="F10010" s="84"/>
      <c r="G10010" s="84"/>
      <c r="I10010" s="237"/>
      <c r="J10010" s="238"/>
    </row>
    <row r="10011">
      <c r="C10011" s="82"/>
      <c r="E10011" s="84"/>
      <c r="F10011" s="84"/>
      <c r="G10011" s="84"/>
      <c r="I10011" s="237"/>
      <c r="J10011" s="238"/>
    </row>
    <row r="10012">
      <c r="C10012" s="82"/>
      <c r="E10012" s="84"/>
      <c r="F10012" s="84"/>
      <c r="G10012" s="84"/>
      <c r="I10012" s="237"/>
      <c r="J10012" s="238"/>
    </row>
    <row r="10013">
      <c r="C10013" s="82"/>
      <c r="E10013" s="84"/>
      <c r="F10013" s="84"/>
      <c r="G10013" s="84"/>
      <c r="I10013" s="237"/>
      <c r="J10013" s="238"/>
    </row>
    <row r="10014">
      <c r="C10014" s="82"/>
      <c r="E10014" s="84"/>
      <c r="F10014" s="84"/>
      <c r="G10014" s="84"/>
      <c r="I10014" s="237"/>
      <c r="J10014" s="238"/>
    </row>
    <row r="10015">
      <c r="C10015" s="82"/>
      <c r="E10015" s="84"/>
      <c r="F10015" s="84"/>
      <c r="G10015" s="84"/>
      <c r="I10015" s="237"/>
      <c r="J10015" s="238"/>
    </row>
    <row r="10016">
      <c r="C10016" s="82"/>
      <c r="E10016" s="84"/>
      <c r="F10016" s="84"/>
      <c r="G10016" s="84"/>
      <c r="I10016" s="237"/>
      <c r="J10016" s="238"/>
    </row>
    <row r="10017">
      <c r="C10017" s="82"/>
      <c r="E10017" s="84"/>
      <c r="F10017" s="84"/>
      <c r="G10017" s="84"/>
      <c r="I10017" s="237"/>
      <c r="J10017" s="238"/>
    </row>
    <row r="10018">
      <c r="C10018" s="82"/>
      <c r="E10018" s="84"/>
      <c r="F10018" s="84"/>
      <c r="G10018" s="84"/>
      <c r="I10018" s="237"/>
      <c r="J10018" s="238"/>
    </row>
    <row r="10019">
      <c r="C10019" s="82"/>
      <c r="E10019" s="84"/>
      <c r="F10019" s="84"/>
      <c r="G10019" s="84"/>
      <c r="I10019" s="237"/>
      <c r="J10019" s="238"/>
    </row>
    <row r="10020">
      <c r="C10020" s="82"/>
      <c r="E10020" s="84"/>
      <c r="F10020" s="84"/>
      <c r="G10020" s="84"/>
      <c r="I10020" s="237"/>
      <c r="J10020" s="238"/>
    </row>
    <row r="10021">
      <c r="C10021" s="82"/>
      <c r="E10021" s="84"/>
      <c r="F10021" s="84"/>
      <c r="G10021" s="84"/>
      <c r="I10021" s="237"/>
      <c r="J10021" s="238"/>
    </row>
    <row r="10022">
      <c r="C10022" s="82"/>
      <c r="E10022" s="84"/>
      <c r="F10022" s="84"/>
      <c r="G10022" s="84"/>
      <c r="I10022" s="237"/>
      <c r="J10022" s="238"/>
    </row>
    <row r="10023">
      <c r="C10023" s="82"/>
      <c r="E10023" s="84"/>
      <c r="F10023" s="84"/>
      <c r="G10023" s="84"/>
      <c r="I10023" s="237"/>
      <c r="J10023" s="238"/>
    </row>
    <row r="10024">
      <c r="C10024" s="82"/>
      <c r="E10024" s="84"/>
      <c r="F10024" s="84"/>
      <c r="G10024" s="84"/>
      <c r="I10024" s="237"/>
      <c r="J10024" s="238"/>
    </row>
    <row r="10025">
      <c r="C10025" s="82"/>
      <c r="E10025" s="84"/>
      <c r="F10025" s="84"/>
      <c r="G10025" s="84"/>
      <c r="I10025" s="237"/>
      <c r="J10025" s="238"/>
    </row>
    <row r="10026">
      <c r="C10026" s="82"/>
      <c r="E10026" s="84"/>
      <c r="F10026" s="84"/>
      <c r="G10026" s="84"/>
      <c r="I10026" s="237"/>
      <c r="J10026" s="238"/>
    </row>
    <row r="10027">
      <c r="C10027" s="82"/>
      <c r="E10027" s="84"/>
      <c r="F10027" s="84"/>
      <c r="G10027" s="84"/>
      <c r="I10027" s="237"/>
      <c r="J10027" s="238"/>
    </row>
    <row r="10028">
      <c r="C10028" s="82"/>
      <c r="E10028" s="84"/>
      <c r="F10028" s="84"/>
      <c r="G10028" s="84"/>
      <c r="I10028" s="237"/>
      <c r="J10028" s="238"/>
    </row>
    <row r="10029">
      <c r="C10029" s="82"/>
      <c r="E10029" s="84"/>
      <c r="F10029" s="84"/>
      <c r="G10029" s="84"/>
      <c r="I10029" s="237"/>
      <c r="J10029" s="238"/>
    </row>
    <row r="10030">
      <c r="C10030" s="82"/>
      <c r="E10030" s="84"/>
      <c r="F10030" s="84"/>
      <c r="G10030" s="84"/>
      <c r="I10030" s="237"/>
      <c r="J10030" s="238"/>
    </row>
    <row r="10031">
      <c r="C10031" s="82"/>
      <c r="E10031" s="84"/>
      <c r="F10031" s="84"/>
      <c r="G10031" s="84"/>
      <c r="I10031" s="237"/>
      <c r="J10031" s="238"/>
    </row>
    <row r="10032">
      <c r="C10032" s="82"/>
      <c r="E10032" s="84"/>
      <c r="F10032" s="84"/>
      <c r="G10032" s="84"/>
      <c r="I10032" s="237"/>
      <c r="J10032" s="238"/>
    </row>
    <row r="10033">
      <c r="C10033" s="82"/>
      <c r="E10033" s="84"/>
      <c r="F10033" s="84"/>
      <c r="G10033" s="84"/>
      <c r="I10033" s="237"/>
      <c r="J10033" s="238"/>
    </row>
    <row r="10034">
      <c r="C10034" s="82"/>
      <c r="E10034" s="84"/>
      <c r="F10034" s="84"/>
      <c r="G10034" s="84"/>
      <c r="I10034" s="237"/>
      <c r="J10034" s="238"/>
    </row>
    <row r="10035">
      <c r="C10035" s="82"/>
      <c r="E10035" s="84"/>
      <c r="F10035" s="84"/>
      <c r="G10035" s="84"/>
      <c r="I10035" s="237"/>
      <c r="J10035" s="238"/>
    </row>
    <row r="10036">
      <c r="C10036" s="82"/>
      <c r="E10036" s="84"/>
      <c r="F10036" s="84"/>
      <c r="G10036" s="84"/>
      <c r="I10036" s="237"/>
      <c r="J10036" s="238"/>
    </row>
    <row r="10037">
      <c r="C10037" s="82"/>
      <c r="E10037" s="84"/>
      <c r="F10037" s="84"/>
      <c r="G10037" s="84"/>
      <c r="I10037" s="237"/>
      <c r="J10037" s="238"/>
    </row>
    <row r="10038">
      <c r="C10038" s="82"/>
      <c r="E10038" s="84"/>
      <c r="F10038" s="84"/>
      <c r="G10038" s="84"/>
      <c r="I10038" s="237"/>
      <c r="J10038" s="238"/>
    </row>
    <row r="10039">
      <c r="C10039" s="82"/>
      <c r="E10039" s="84"/>
      <c r="F10039" s="84"/>
      <c r="G10039" s="84"/>
      <c r="I10039" s="237"/>
      <c r="J10039" s="238"/>
    </row>
    <row r="10040">
      <c r="C10040" s="82"/>
      <c r="E10040" s="84"/>
      <c r="F10040" s="84"/>
      <c r="G10040" s="84"/>
      <c r="I10040" s="237"/>
      <c r="J10040" s="238"/>
    </row>
    <row r="10041">
      <c r="C10041" s="82"/>
      <c r="E10041" s="84"/>
      <c r="F10041" s="84"/>
      <c r="G10041" s="84"/>
      <c r="I10041" s="237"/>
      <c r="J10041" s="238"/>
    </row>
    <row r="10042">
      <c r="C10042" s="82"/>
      <c r="E10042" s="84"/>
      <c r="F10042" s="84"/>
      <c r="G10042" s="84"/>
      <c r="I10042" s="237"/>
      <c r="J10042" s="238"/>
    </row>
    <row r="10043">
      <c r="C10043" s="82"/>
      <c r="E10043" s="84"/>
      <c r="F10043" s="84"/>
      <c r="G10043" s="84"/>
      <c r="I10043" s="237"/>
      <c r="J10043" s="238"/>
    </row>
    <row r="10044">
      <c r="C10044" s="82"/>
      <c r="E10044" s="84"/>
      <c r="F10044" s="84"/>
      <c r="G10044" s="84"/>
      <c r="I10044" s="237"/>
      <c r="J10044" s="238"/>
    </row>
    <row r="10045">
      <c r="C10045" s="82"/>
      <c r="E10045" s="84"/>
      <c r="F10045" s="84"/>
      <c r="G10045" s="84"/>
      <c r="I10045" s="237"/>
      <c r="J10045" s="238"/>
    </row>
    <row r="10046">
      <c r="C10046" s="82"/>
      <c r="E10046" s="84"/>
      <c r="F10046" s="84"/>
      <c r="G10046" s="84"/>
      <c r="I10046" s="237"/>
      <c r="J10046" s="238"/>
    </row>
    <row r="10047">
      <c r="C10047" s="82"/>
      <c r="E10047" s="84"/>
      <c r="F10047" s="84"/>
      <c r="G10047" s="84"/>
      <c r="I10047" s="237"/>
      <c r="J10047" s="238"/>
    </row>
    <row r="10048">
      <c r="C10048" s="82"/>
      <c r="E10048" s="84"/>
      <c r="F10048" s="84"/>
      <c r="G10048" s="84"/>
      <c r="I10048" s="237"/>
      <c r="J10048" s="238"/>
    </row>
    <row r="10049">
      <c r="C10049" s="82"/>
      <c r="E10049" s="84"/>
      <c r="F10049" s="84"/>
      <c r="G10049" s="84"/>
      <c r="I10049" s="237"/>
      <c r="J10049" s="238"/>
    </row>
    <row r="10050">
      <c r="C10050" s="82"/>
      <c r="E10050" s="84"/>
      <c r="F10050" s="84"/>
      <c r="G10050" s="84"/>
      <c r="I10050" s="237"/>
      <c r="J10050" s="238"/>
    </row>
    <row r="10051">
      <c r="C10051" s="82"/>
      <c r="E10051" s="84"/>
      <c r="F10051" s="84"/>
      <c r="G10051" s="84"/>
      <c r="I10051" s="237"/>
      <c r="J10051" s="238"/>
    </row>
    <row r="10052">
      <c r="C10052" s="82"/>
      <c r="E10052" s="84"/>
      <c r="F10052" s="84"/>
      <c r="G10052" s="84"/>
      <c r="I10052" s="237"/>
      <c r="J10052" s="238"/>
    </row>
    <row r="10053">
      <c r="C10053" s="82"/>
      <c r="E10053" s="84"/>
      <c r="F10053" s="84"/>
      <c r="G10053" s="84"/>
      <c r="I10053" s="237"/>
      <c r="J10053" s="238"/>
    </row>
    <row r="10054">
      <c r="C10054" s="82"/>
      <c r="E10054" s="84"/>
      <c r="F10054" s="84"/>
      <c r="G10054" s="84"/>
      <c r="I10054" s="237"/>
      <c r="J10054" s="238"/>
    </row>
    <row r="10055">
      <c r="C10055" s="82"/>
      <c r="E10055" s="84"/>
      <c r="F10055" s="84"/>
      <c r="G10055" s="84"/>
      <c r="I10055" s="237"/>
      <c r="J10055" s="238"/>
    </row>
    <row r="10056">
      <c r="C10056" s="82"/>
      <c r="E10056" s="84"/>
      <c r="F10056" s="84"/>
      <c r="G10056" s="84"/>
      <c r="I10056" s="237"/>
      <c r="J10056" s="238"/>
    </row>
    <row r="10057">
      <c r="C10057" s="82"/>
      <c r="E10057" s="84"/>
      <c r="F10057" s="84"/>
      <c r="G10057" s="84"/>
      <c r="I10057" s="237"/>
      <c r="J10057" s="238"/>
    </row>
    <row r="10058">
      <c r="C10058" s="82"/>
      <c r="E10058" s="84"/>
      <c r="F10058" s="84"/>
      <c r="G10058" s="84"/>
      <c r="I10058" s="237"/>
      <c r="J10058" s="238"/>
    </row>
    <row r="10059">
      <c r="C10059" s="82"/>
      <c r="E10059" s="84"/>
      <c r="F10059" s="84"/>
      <c r="G10059" s="84"/>
      <c r="I10059" s="237"/>
      <c r="J10059" s="238"/>
    </row>
    <row r="10060">
      <c r="C10060" s="82"/>
      <c r="E10060" s="84"/>
      <c r="F10060" s="84"/>
      <c r="G10060" s="84"/>
      <c r="I10060" s="237"/>
      <c r="J10060" s="238"/>
    </row>
    <row r="10061">
      <c r="C10061" s="82"/>
      <c r="E10061" s="84"/>
      <c r="F10061" s="84"/>
      <c r="G10061" s="84"/>
      <c r="I10061" s="237"/>
      <c r="J10061" s="238"/>
    </row>
    <row r="10062">
      <c r="C10062" s="82"/>
      <c r="E10062" s="84"/>
      <c r="F10062" s="84"/>
      <c r="G10062" s="84"/>
      <c r="I10062" s="237"/>
      <c r="J10062" s="238"/>
    </row>
    <row r="10063">
      <c r="C10063" s="82"/>
      <c r="E10063" s="84"/>
      <c r="F10063" s="84"/>
      <c r="G10063" s="84"/>
      <c r="I10063" s="237"/>
      <c r="J10063" s="238"/>
    </row>
    <row r="10064">
      <c r="C10064" s="82"/>
      <c r="E10064" s="84"/>
      <c r="F10064" s="84"/>
      <c r="G10064" s="84"/>
      <c r="I10064" s="237"/>
      <c r="J10064" s="238"/>
    </row>
    <row r="10065">
      <c r="C10065" s="82"/>
      <c r="E10065" s="84"/>
      <c r="F10065" s="84"/>
      <c r="G10065" s="84"/>
      <c r="I10065" s="237"/>
      <c r="J10065" s="238"/>
    </row>
    <row r="10066">
      <c r="C10066" s="82"/>
      <c r="E10066" s="84"/>
      <c r="F10066" s="84"/>
      <c r="G10066" s="84"/>
      <c r="I10066" s="237"/>
      <c r="J10066" s="238"/>
    </row>
    <row r="10067">
      <c r="C10067" s="82"/>
      <c r="E10067" s="84"/>
      <c r="F10067" s="84"/>
      <c r="G10067" s="84"/>
      <c r="I10067" s="237"/>
      <c r="J10067" s="238"/>
    </row>
    <row r="10068">
      <c r="C10068" s="82"/>
      <c r="E10068" s="84"/>
      <c r="F10068" s="84"/>
      <c r="G10068" s="84"/>
      <c r="I10068" s="237"/>
      <c r="J10068" s="238"/>
    </row>
    <row r="10069">
      <c r="C10069" s="82"/>
      <c r="E10069" s="84"/>
      <c r="F10069" s="84"/>
      <c r="G10069" s="84"/>
      <c r="I10069" s="237"/>
      <c r="J10069" s="238"/>
    </row>
    <row r="10070">
      <c r="C10070" s="82"/>
      <c r="E10070" s="84"/>
      <c r="F10070" s="84"/>
      <c r="G10070" s="84"/>
      <c r="I10070" s="237"/>
      <c r="J10070" s="238"/>
    </row>
    <row r="10071">
      <c r="C10071" s="82"/>
      <c r="E10071" s="84"/>
      <c r="F10071" s="84"/>
      <c r="G10071" s="84"/>
      <c r="I10071" s="237"/>
      <c r="J10071" s="238"/>
    </row>
    <row r="10072">
      <c r="C10072" s="82"/>
      <c r="E10072" s="84"/>
      <c r="F10072" s="84"/>
      <c r="G10072" s="84"/>
      <c r="I10072" s="237"/>
      <c r="J10072" s="238"/>
    </row>
    <row r="10073">
      <c r="C10073" s="82"/>
      <c r="E10073" s="84"/>
      <c r="F10073" s="84"/>
      <c r="G10073" s="84"/>
      <c r="I10073" s="237"/>
      <c r="J10073" s="238"/>
    </row>
    <row r="10074">
      <c r="C10074" s="82"/>
      <c r="E10074" s="84"/>
      <c r="F10074" s="84"/>
      <c r="G10074" s="84"/>
      <c r="I10074" s="237"/>
      <c r="J10074" s="238"/>
    </row>
    <row r="10075">
      <c r="C10075" s="82"/>
      <c r="E10075" s="84"/>
      <c r="F10075" s="84"/>
      <c r="G10075" s="84"/>
      <c r="I10075" s="237"/>
      <c r="J10075" s="238"/>
    </row>
    <row r="10076">
      <c r="C10076" s="82"/>
      <c r="E10076" s="84"/>
      <c r="F10076" s="84"/>
      <c r="G10076" s="84"/>
      <c r="I10076" s="237"/>
      <c r="J10076" s="238"/>
    </row>
    <row r="10077">
      <c r="C10077" s="82"/>
      <c r="E10077" s="84"/>
      <c r="F10077" s="84"/>
      <c r="G10077" s="84"/>
      <c r="I10077" s="237"/>
      <c r="J10077" s="238"/>
    </row>
    <row r="10078">
      <c r="C10078" s="82"/>
      <c r="E10078" s="84"/>
      <c r="F10078" s="84"/>
      <c r="G10078" s="84"/>
      <c r="I10078" s="237"/>
      <c r="J10078" s="238"/>
    </row>
    <row r="10079">
      <c r="C10079" s="82"/>
      <c r="E10079" s="84"/>
      <c r="F10079" s="84"/>
      <c r="G10079" s="84"/>
      <c r="I10079" s="237"/>
      <c r="J10079" s="238"/>
    </row>
    <row r="10080">
      <c r="C10080" s="82"/>
      <c r="E10080" s="84"/>
      <c r="F10080" s="84"/>
      <c r="G10080" s="84"/>
      <c r="I10080" s="237"/>
      <c r="J10080" s="238"/>
    </row>
    <row r="10081">
      <c r="C10081" s="82"/>
      <c r="E10081" s="84"/>
      <c r="F10081" s="84"/>
      <c r="G10081" s="84"/>
      <c r="I10081" s="237"/>
      <c r="J10081" s="238"/>
    </row>
    <row r="10082">
      <c r="C10082" s="82"/>
      <c r="E10082" s="84"/>
      <c r="F10082" s="84"/>
      <c r="G10082" s="84"/>
      <c r="I10082" s="237"/>
      <c r="J10082" s="238"/>
    </row>
    <row r="10083">
      <c r="C10083" s="82"/>
      <c r="E10083" s="84"/>
      <c r="F10083" s="84"/>
      <c r="G10083" s="84"/>
      <c r="I10083" s="237"/>
      <c r="J10083" s="238"/>
    </row>
    <row r="10084">
      <c r="C10084" s="82"/>
      <c r="E10084" s="84"/>
      <c r="F10084" s="84"/>
      <c r="G10084" s="84"/>
      <c r="I10084" s="237"/>
      <c r="J10084" s="238"/>
    </row>
    <row r="10085">
      <c r="C10085" s="82"/>
      <c r="E10085" s="84"/>
      <c r="F10085" s="84"/>
      <c r="G10085" s="84"/>
      <c r="I10085" s="237"/>
      <c r="J10085" s="238"/>
    </row>
    <row r="10086">
      <c r="C10086" s="82"/>
      <c r="E10086" s="84"/>
      <c r="F10086" s="84"/>
      <c r="G10086" s="84"/>
      <c r="I10086" s="237"/>
      <c r="J10086" s="238"/>
    </row>
    <row r="10087">
      <c r="C10087" s="82"/>
      <c r="E10087" s="84"/>
      <c r="F10087" s="84"/>
      <c r="G10087" s="84"/>
      <c r="I10087" s="237"/>
      <c r="J10087" s="238"/>
    </row>
    <row r="10088">
      <c r="C10088" s="82"/>
      <c r="E10088" s="84"/>
      <c r="F10088" s="84"/>
      <c r="G10088" s="84"/>
      <c r="I10088" s="237"/>
      <c r="J10088" s="238"/>
    </row>
    <row r="10089">
      <c r="C10089" s="82"/>
      <c r="E10089" s="84"/>
      <c r="F10089" s="84"/>
      <c r="G10089" s="84"/>
      <c r="I10089" s="237"/>
      <c r="J10089" s="238"/>
    </row>
    <row r="10090">
      <c r="C10090" s="82"/>
      <c r="E10090" s="84"/>
      <c r="F10090" s="84"/>
      <c r="G10090" s="84"/>
      <c r="I10090" s="237"/>
      <c r="J10090" s="238"/>
    </row>
    <row r="10091">
      <c r="C10091" s="82"/>
      <c r="E10091" s="84"/>
      <c r="F10091" s="84"/>
      <c r="G10091" s="84"/>
      <c r="I10091" s="237"/>
      <c r="J10091" s="238"/>
    </row>
    <row r="10092">
      <c r="C10092" s="82"/>
      <c r="E10092" s="84"/>
      <c r="F10092" s="84"/>
      <c r="G10092" s="84"/>
      <c r="I10092" s="237"/>
      <c r="J10092" s="238"/>
    </row>
    <row r="10093">
      <c r="C10093" s="82"/>
      <c r="E10093" s="84"/>
      <c r="F10093" s="84"/>
      <c r="G10093" s="84"/>
      <c r="I10093" s="237"/>
      <c r="J10093" s="238"/>
    </row>
    <row r="10094">
      <c r="C10094" s="82"/>
      <c r="E10094" s="84"/>
      <c r="F10094" s="84"/>
      <c r="G10094" s="84"/>
      <c r="I10094" s="237"/>
      <c r="J10094" s="238"/>
    </row>
    <row r="10095">
      <c r="C10095" s="82"/>
      <c r="E10095" s="84"/>
      <c r="F10095" s="84"/>
      <c r="G10095" s="84"/>
      <c r="I10095" s="237"/>
      <c r="J10095" s="238"/>
    </row>
    <row r="10096">
      <c r="C10096" s="82"/>
      <c r="E10096" s="84"/>
      <c r="F10096" s="84"/>
      <c r="G10096" s="84"/>
      <c r="I10096" s="237"/>
      <c r="J10096" s="238"/>
    </row>
    <row r="10097">
      <c r="C10097" s="82"/>
      <c r="E10097" s="84"/>
      <c r="F10097" s="84"/>
      <c r="G10097" s="84"/>
      <c r="I10097" s="237"/>
      <c r="J10097" s="238"/>
    </row>
    <row r="10098">
      <c r="C10098" s="82"/>
      <c r="E10098" s="84"/>
      <c r="F10098" s="84"/>
      <c r="G10098" s="84"/>
      <c r="I10098" s="237"/>
      <c r="J10098" s="238"/>
    </row>
    <row r="10099">
      <c r="C10099" s="82"/>
      <c r="E10099" s="84"/>
      <c r="F10099" s="84"/>
      <c r="G10099" s="84"/>
      <c r="I10099" s="237"/>
      <c r="J10099" s="238"/>
    </row>
    <row r="10100">
      <c r="C10100" s="82"/>
      <c r="E10100" s="84"/>
      <c r="F10100" s="84"/>
      <c r="G10100" s="84"/>
      <c r="I10100" s="237"/>
      <c r="J10100" s="238"/>
    </row>
    <row r="10101">
      <c r="C10101" s="82"/>
      <c r="E10101" s="84"/>
      <c r="F10101" s="84"/>
      <c r="G10101" s="84"/>
      <c r="I10101" s="237"/>
      <c r="J10101" s="238"/>
    </row>
    <row r="10102">
      <c r="C10102" s="82"/>
      <c r="E10102" s="84"/>
      <c r="F10102" s="84"/>
      <c r="G10102" s="84"/>
      <c r="I10102" s="237"/>
      <c r="J10102" s="238"/>
    </row>
    <row r="10103">
      <c r="C10103" s="82"/>
      <c r="E10103" s="84"/>
      <c r="F10103" s="84"/>
      <c r="G10103" s="84"/>
      <c r="I10103" s="237"/>
      <c r="J10103" s="238"/>
    </row>
    <row r="10104">
      <c r="C10104" s="82"/>
      <c r="E10104" s="84"/>
      <c r="F10104" s="84"/>
      <c r="G10104" s="84"/>
      <c r="I10104" s="237"/>
      <c r="J10104" s="238"/>
    </row>
    <row r="10105">
      <c r="C10105" s="82"/>
      <c r="E10105" s="84"/>
      <c r="F10105" s="84"/>
      <c r="G10105" s="84"/>
      <c r="I10105" s="237"/>
      <c r="J10105" s="238"/>
    </row>
    <row r="10106">
      <c r="C10106" s="82"/>
      <c r="E10106" s="84"/>
      <c r="F10106" s="84"/>
      <c r="G10106" s="84"/>
      <c r="I10106" s="237"/>
      <c r="J10106" s="238"/>
    </row>
    <row r="10107">
      <c r="C10107" s="82"/>
      <c r="E10107" s="84"/>
      <c r="F10107" s="84"/>
      <c r="G10107" s="84"/>
      <c r="I10107" s="237"/>
      <c r="J10107" s="238"/>
    </row>
    <row r="10108">
      <c r="C10108" s="82"/>
      <c r="E10108" s="84"/>
      <c r="F10108" s="84"/>
      <c r="G10108" s="84"/>
      <c r="I10108" s="237"/>
      <c r="J10108" s="238"/>
    </row>
    <row r="10109">
      <c r="C10109" s="82"/>
      <c r="E10109" s="84"/>
      <c r="F10109" s="84"/>
      <c r="G10109" s="84"/>
      <c r="I10109" s="237"/>
      <c r="J10109" s="238"/>
    </row>
    <row r="10110">
      <c r="C10110" s="82"/>
      <c r="E10110" s="84"/>
      <c r="F10110" s="84"/>
      <c r="G10110" s="84"/>
      <c r="I10110" s="237"/>
      <c r="J10110" s="238"/>
    </row>
    <row r="10111">
      <c r="C10111" s="82"/>
      <c r="E10111" s="84"/>
      <c r="F10111" s="84"/>
      <c r="G10111" s="84"/>
      <c r="I10111" s="237"/>
      <c r="J10111" s="238"/>
    </row>
    <row r="10112">
      <c r="C10112" s="82"/>
      <c r="E10112" s="84"/>
      <c r="F10112" s="84"/>
      <c r="G10112" s="84"/>
      <c r="I10112" s="237"/>
      <c r="J10112" s="238"/>
    </row>
    <row r="10113">
      <c r="C10113" s="82"/>
      <c r="E10113" s="84"/>
      <c r="F10113" s="84"/>
      <c r="G10113" s="84"/>
      <c r="I10113" s="237"/>
      <c r="J10113" s="238"/>
    </row>
    <row r="10114">
      <c r="C10114" s="82"/>
      <c r="E10114" s="84"/>
      <c r="F10114" s="84"/>
      <c r="G10114" s="84"/>
      <c r="I10114" s="237"/>
      <c r="J10114" s="238"/>
    </row>
    <row r="10115">
      <c r="C10115" s="82"/>
      <c r="E10115" s="84"/>
      <c r="F10115" s="84"/>
      <c r="G10115" s="84"/>
      <c r="I10115" s="237"/>
      <c r="J10115" s="238"/>
    </row>
    <row r="10116">
      <c r="C10116" s="82"/>
      <c r="E10116" s="84"/>
      <c r="F10116" s="84"/>
      <c r="G10116" s="84"/>
      <c r="I10116" s="237"/>
      <c r="J10116" s="238"/>
    </row>
    <row r="10117">
      <c r="C10117" s="82"/>
      <c r="E10117" s="84"/>
      <c r="F10117" s="84"/>
      <c r="G10117" s="84"/>
      <c r="I10117" s="237"/>
      <c r="J10117" s="238"/>
    </row>
    <row r="10118">
      <c r="C10118" s="82"/>
      <c r="E10118" s="84"/>
      <c r="F10118" s="84"/>
      <c r="G10118" s="84"/>
      <c r="I10118" s="237"/>
      <c r="J10118" s="238"/>
    </row>
    <row r="10119">
      <c r="C10119" s="82"/>
      <c r="E10119" s="84"/>
      <c r="F10119" s="84"/>
      <c r="G10119" s="84"/>
      <c r="I10119" s="237"/>
      <c r="J10119" s="238"/>
    </row>
    <row r="10120">
      <c r="C10120" s="82"/>
      <c r="E10120" s="84"/>
      <c r="F10120" s="84"/>
      <c r="G10120" s="84"/>
      <c r="I10120" s="237"/>
      <c r="J10120" s="238"/>
    </row>
    <row r="10121">
      <c r="C10121" s="82"/>
      <c r="E10121" s="84"/>
      <c r="F10121" s="84"/>
      <c r="G10121" s="84"/>
      <c r="I10121" s="237"/>
      <c r="J10121" s="238"/>
    </row>
    <row r="10122">
      <c r="C10122" s="82"/>
      <c r="E10122" s="84"/>
      <c r="F10122" s="84"/>
      <c r="G10122" s="84"/>
      <c r="I10122" s="237"/>
      <c r="J10122" s="238"/>
    </row>
    <row r="10123">
      <c r="C10123" s="82"/>
      <c r="E10123" s="84"/>
      <c r="F10123" s="84"/>
      <c r="G10123" s="84"/>
      <c r="I10123" s="237"/>
      <c r="J10123" s="238"/>
    </row>
    <row r="10124">
      <c r="C10124" s="82"/>
      <c r="E10124" s="84"/>
      <c r="F10124" s="84"/>
      <c r="G10124" s="84"/>
      <c r="I10124" s="237"/>
      <c r="J10124" s="238"/>
    </row>
    <row r="10125">
      <c r="C10125" s="82"/>
      <c r="E10125" s="84"/>
      <c r="F10125" s="84"/>
      <c r="G10125" s="84"/>
      <c r="I10125" s="237"/>
      <c r="J10125" s="238"/>
    </row>
    <row r="10126">
      <c r="C10126" s="82"/>
      <c r="E10126" s="84"/>
      <c r="F10126" s="84"/>
      <c r="G10126" s="84"/>
      <c r="I10126" s="237"/>
      <c r="J10126" s="238"/>
    </row>
    <row r="10127">
      <c r="C10127" s="82"/>
      <c r="E10127" s="84"/>
      <c r="F10127" s="84"/>
      <c r="G10127" s="84"/>
      <c r="I10127" s="237"/>
      <c r="J10127" s="238"/>
    </row>
    <row r="10128">
      <c r="C10128" s="82"/>
      <c r="E10128" s="84"/>
      <c r="F10128" s="84"/>
      <c r="G10128" s="84"/>
      <c r="I10128" s="237"/>
      <c r="J10128" s="238"/>
    </row>
    <row r="10129">
      <c r="C10129" s="82"/>
      <c r="E10129" s="84"/>
      <c r="F10129" s="84"/>
      <c r="G10129" s="84"/>
      <c r="I10129" s="237"/>
      <c r="J10129" s="238"/>
    </row>
    <row r="10130">
      <c r="C10130" s="82"/>
      <c r="E10130" s="84"/>
      <c r="F10130" s="84"/>
      <c r="G10130" s="84"/>
      <c r="I10130" s="237"/>
      <c r="J10130" s="238"/>
    </row>
    <row r="10131">
      <c r="C10131" s="82"/>
      <c r="E10131" s="84"/>
      <c r="F10131" s="84"/>
      <c r="G10131" s="84"/>
      <c r="I10131" s="237"/>
      <c r="J10131" s="238"/>
    </row>
    <row r="10132">
      <c r="C10132" s="82"/>
      <c r="E10132" s="84"/>
      <c r="F10132" s="84"/>
      <c r="G10132" s="84"/>
      <c r="I10132" s="237"/>
      <c r="J10132" s="238"/>
    </row>
    <row r="10133">
      <c r="C10133" s="82"/>
      <c r="E10133" s="84"/>
      <c r="F10133" s="84"/>
      <c r="G10133" s="84"/>
      <c r="I10133" s="237"/>
      <c r="J10133" s="238"/>
    </row>
    <row r="10134">
      <c r="C10134" s="82"/>
      <c r="E10134" s="84"/>
      <c r="F10134" s="84"/>
      <c r="G10134" s="84"/>
      <c r="I10134" s="237"/>
      <c r="J10134" s="238"/>
    </row>
    <row r="10135">
      <c r="C10135" s="82"/>
      <c r="E10135" s="84"/>
      <c r="F10135" s="84"/>
      <c r="G10135" s="84"/>
      <c r="I10135" s="237"/>
      <c r="J10135" s="238"/>
    </row>
    <row r="10136">
      <c r="C10136" s="82"/>
      <c r="E10136" s="84"/>
      <c r="F10136" s="84"/>
      <c r="G10136" s="84"/>
      <c r="I10136" s="237"/>
      <c r="J10136" s="238"/>
    </row>
    <row r="10137">
      <c r="C10137" s="82"/>
      <c r="E10137" s="84"/>
      <c r="F10137" s="84"/>
      <c r="G10137" s="84"/>
      <c r="I10137" s="237"/>
      <c r="J10137" s="238"/>
    </row>
    <row r="10138">
      <c r="C10138" s="82"/>
      <c r="E10138" s="84"/>
      <c r="F10138" s="84"/>
      <c r="G10138" s="84"/>
      <c r="I10138" s="237"/>
      <c r="J10138" s="238"/>
    </row>
    <row r="10139">
      <c r="C10139" s="82"/>
      <c r="E10139" s="84"/>
      <c r="F10139" s="84"/>
      <c r="G10139" s="84"/>
      <c r="I10139" s="237"/>
      <c r="J10139" s="238"/>
    </row>
    <row r="10140">
      <c r="C10140" s="82"/>
      <c r="E10140" s="84"/>
      <c r="F10140" s="84"/>
      <c r="G10140" s="84"/>
      <c r="I10140" s="237"/>
      <c r="J10140" s="238"/>
    </row>
    <row r="10141">
      <c r="C10141" s="82"/>
      <c r="E10141" s="84"/>
      <c r="F10141" s="84"/>
      <c r="G10141" s="84"/>
      <c r="I10141" s="237"/>
      <c r="J10141" s="238"/>
    </row>
    <row r="10142">
      <c r="C10142" s="82"/>
      <c r="E10142" s="84"/>
      <c r="F10142" s="84"/>
      <c r="G10142" s="84"/>
      <c r="I10142" s="237"/>
      <c r="J10142" s="238"/>
    </row>
    <row r="10143">
      <c r="C10143" s="82"/>
      <c r="E10143" s="84"/>
      <c r="F10143" s="84"/>
      <c r="G10143" s="84"/>
      <c r="I10143" s="237"/>
      <c r="J10143" s="238"/>
    </row>
    <row r="10144">
      <c r="C10144" s="82"/>
      <c r="E10144" s="84"/>
      <c r="F10144" s="84"/>
      <c r="G10144" s="84"/>
      <c r="I10144" s="237"/>
      <c r="J10144" s="238"/>
    </row>
    <row r="10145">
      <c r="C10145" s="82"/>
      <c r="E10145" s="84"/>
      <c r="F10145" s="84"/>
      <c r="G10145" s="84"/>
      <c r="I10145" s="237"/>
      <c r="J10145" s="238"/>
    </row>
    <row r="10146">
      <c r="C10146" s="82"/>
      <c r="E10146" s="84"/>
      <c r="F10146" s="84"/>
      <c r="G10146" s="84"/>
      <c r="I10146" s="237"/>
      <c r="J10146" s="238"/>
    </row>
    <row r="10147">
      <c r="C10147" s="82"/>
      <c r="E10147" s="84"/>
      <c r="F10147" s="84"/>
      <c r="G10147" s="84"/>
      <c r="I10147" s="237"/>
      <c r="J10147" s="238"/>
    </row>
    <row r="10148">
      <c r="C10148" s="82"/>
      <c r="E10148" s="84"/>
      <c r="F10148" s="84"/>
      <c r="G10148" s="84"/>
      <c r="I10148" s="237"/>
      <c r="J10148" s="238"/>
    </row>
    <row r="10149">
      <c r="C10149" s="82"/>
      <c r="E10149" s="84"/>
      <c r="F10149" s="84"/>
      <c r="G10149" s="84"/>
      <c r="I10149" s="237"/>
      <c r="J10149" s="238"/>
    </row>
    <row r="10150">
      <c r="C10150" s="82"/>
      <c r="E10150" s="84"/>
      <c r="F10150" s="84"/>
      <c r="G10150" s="84"/>
      <c r="I10150" s="237"/>
      <c r="J10150" s="238"/>
    </row>
    <row r="10151">
      <c r="C10151" s="82"/>
      <c r="E10151" s="84"/>
      <c r="F10151" s="84"/>
      <c r="G10151" s="84"/>
      <c r="I10151" s="237"/>
      <c r="J10151" s="238"/>
    </row>
    <row r="10152">
      <c r="C10152" s="82"/>
      <c r="E10152" s="84"/>
      <c r="F10152" s="84"/>
      <c r="G10152" s="84"/>
      <c r="I10152" s="237"/>
      <c r="J10152" s="238"/>
    </row>
    <row r="10153">
      <c r="C10153" s="82"/>
      <c r="E10153" s="84"/>
      <c r="F10153" s="84"/>
      <c r="G10153" s="84"/>
      <c r="I10153" s="237"/>
      <c r="J10153" s="238"/>
    </row>
    <row r="10154">
      <c r="C10154" s="82"/>
      <c r="E10154" s="84"/>
      <c r="F10154" s="84"/>
      <c r="G10154" s="84"/>
      <c r="I10154" s="237"/>
      <c r="J10154" s="238"/>
    </row>
    <row r="10155">
      <c r="C10155" s="82"/>
      <c r="E10155" s="84"/>
      <c r="F10155" s="84"/>
      <c r="G10155" s="84"/>
      <c r="I10155" s="237"/>
      <c r="J10155" s="238"/>
    </row>
    <row r="10156">
      <c r="C10156" s="82"/>
      <c r="E10156" s="84"/>
      <c r="F10156" s="84"/>
      <c r="G10156" s="84"/>
      <c r="I10156" s="237"/>
      <c r="J10156" s="238"/>
    </row>
    <row r="10157">
      <c r="C10157" s="82"/>
      <c r="E10157" s="84"/>
      <c r="F10157" s="84"/>
      <c r="G10157" s="84"/>
      <c r="I10157" s="237"/>
      <c r="J10157" s="238"/>
    </row>
    <row r="10158">
      <c r="C10158" s="82"/>
      <c r="E10158" s="84"/>
      <c r="F10158" s="84"/>
      <c r="G10158" s="84"/>
      <c r="I10158" s="237"/>
      <c r="J10158" s="238"/>
    </row>
    <row r="10159">
      <c r="C10159" s="82"/>
      <c r="E10159" s="84"/>
      <c r="F10159" s="84"/>
      <c r="G10159" s="84"/>
      <c r="I10159" s="237"/>
      <c r="J10159" s="238"/>
    </row>
    <row r="10160">
      <c r="C10160" s="82"/>
      <c r="E10160" s="84"/>
      <c r="F10160" s="84"/>
      <c r="G10160" s="84"/>
      <c r="I10160" s="237"/>
      <c r="J10160" s="238"/>
    </row>
    <row r="10161">
      <c r="C10161" s="82"/>
      <c r="E10161" s="84"/>
      <c r="F10161" s="84"/>
      <c r="G10161" s="84"/>
      <c r="I10161" s="237"/>
      <c r="J10161" s="238"/>
    </row>
    <row r="10162">
      <c r="C10162" s="82"/>
      <c r="E10162" s="84"/>
      <c r="F10162" s="84"/>
      <c r="G10162" s="84"/>
      <c r="I10162" s="237"/>
      <c r="J10162" s="238"/>
    </row>
    <row r="10163">
      <c r="C10163" s="82"/>
      <c r="E10163" s="84"/>
      <c r="F10163" s="84"/>
      <c r="G10163" s="84"/>
      <c r="I10163" s="237"/>
      <c r="J10163" s="238"/>
    </row>
    <row r="10164">
      <c r="C10164" s="82"/>
      <c r="E10164" s="84"/>
      <c r="F10164" s="84"/>
      <c r="G10164" s="84"/>
      <c r="I10164" s="237"/>
      <c r="J10164" s="238"/>
    </row>
    <row r="10165">
      <c r="C10165" s="82"/>
      <c r="E10165" s="84"/>
      <c r="F10165" s="84"/>
      <c r="G10165" s="84"/>
      <c r="I10165" s="237"/>
      <c r="J10165" s="238"/>
    </row>
    <row r="10166">
      <c r="C10166" s="82"/>
      <c r="E10166" s="84"/>
      <c r="F10166" s="84"/>
      <c r="G10166" s="84"/>
      <c r="I10166" s="237"/>
      <c r="J10166" s="238"/>
    </row>
    <row r="10167">
      <c r="C10167" s="82"/>
      <c r="E10167" s="84"/>
      <c r="F10167" s="84"/>
      <c r="G10167" s="84"/>
      <c r="I10167" s="237"/>
      <c r="J10167" s="238"/>
    </row>
    <row r="10168">
      <c r="C10168" s="82"/>
      <c r="E10168" s="84"/>
      <c r="F10168" s="84"/>
      <c r="G10168" s="84"/>
      <c r="I10168" s="237"/>
      <c r="J10168" s="238"/>
    </row>
    <row r="10169">
      <c r="C10169" s="82"/>
      <c r="E10169" s="84"/>
      <c r="F10169" s="84"/>
      <c r="G10169" s="84"/>
      <c r="I10169" s="237"/>
      <c r="J10169" s="238"/>
    </row>
    <row r="10170">
      <c r="C10170" s="82"/>
      <c r="E10170" s="84"/>
      <c r="F10170" s="84"/>
      <c r="G10170" s="84"/>
      <c r="I10170" s="237"/>
      <c r="J10170" s="238"/>
    </row>
    <row r="10171">
      <c r="C10171" s="82"/>
      <c r="E10171" s="84"/>
      <c r="F10171" s="84"/>
      <c r="G10171" s="84"/>
      <c r="I10171" s="237"/>
      <c r="J10171" s="238"/>
    </row>
    <row r="10172">
      <c r="C10172" s="82"/>
      <c r="E10172" s="84"/>
      <c r="F10172" s="84"/>
      <c r="G10172" s="84"/>
      <c r="I10172" s="237"/>
      <c r="J10172" s="238"/>
    </row>
    <row r="10173">
      <c r="C10173" s="82"/>
      <c r="E10173" s="84"/>
      <c r="F10173" s="84"/>
      <c r="G10173" s="84"/>
      <c r="I10173" s="237"/>
      <c r="J10173" s="238"/>
    </row>
    <row r="10174">
      <c r="C10174" s="82"/>
      <c r="E10174" s="84"/>
      <c r="F10174" s="84"/>
      <c r="G10174" s="84"/>
      <c r="I10174" s="237"/>
      <c r="J10174" s="238"/>
    </row>
    <row r="10175">
      <c r="C10175" s="82"/>
      <c r="E10175" s="84"/>
      <c r="F10175" s="84"/>
      <c r="G10175" s="84"/>
      <c r="I10175" s="237"/>
      <c r="J10175" s="238"/>
    </row>
    <row r="10176">
      <c r="C10176" s="82"/>
      <c r="E10176" s="84"/>
      <c r="F10176" s="84"/>
      <c r="G10176" s="84"/>
      <c r="I10176" s="237"/>
      <c r="J10176" s="238"/>
    </row>
    <row r="10177">
      <c r="C10177" s="82"/>
      <c r="E10177" s="84"/>
      <c r="F10177" s="84"/>
      <c r="G10177" s="84"/>
      <c r="I10177" s="237"/>
      <c r="J10177" s="238"/>
    </row>
    <row r="10178">
      <c r="C10178" s="82"/>
      <c r="E10178" s="84"/>
      <c r="F10178" s="84"/>
      <c r="G10178" s="84"/>
      <c r="I10178" s="237"/>
      <c r="J10178" s="238"/>
    </row>
    <row r="10179">
      <c r="C10179" s="82"/>
      <c r="E10179" s="84"/>
      <c r="F10179" s="84"/>
      <c r="G10179" s="84"/>
      <c r="I10179" s="237"/>
      <c r="J10179" s="238"/>
    </row>
    <row r="10180">
      <c r="C10180" s="82"/>
      <c r="E10180" s="84"/>
      <c r="F10180" s="84"/>
      <c r="G10180" s="84"/>
      <c r="I10180" s="237"/>
      <c r="J10180" s="238"/>
    </row>
    <row r="10181">
      <c r="C10181" s="82"/>
      <c r="E10181" s="84"/>
      <c r="F10181" s="84"/>
      <c r="G10181" s="84"/>
      <c r="I10181" s="237"/>
      <c r="J10181" s="238"/>
    </row>
    <row r="10182">
      <c r="C10182" s="82"/>
      <c r="E10182" s="84"/>
      <c r="F10182" s="84"/>
      <c r="G10182" s="84"/>
      <c r="I10182" s="237"/>
      <c r="J10182" s="238"/>
    </row>
    <row r="10183">
      <c r="C10183" s="82"/>
      <c r="E10183" s="84"/>
      <c r="F10183" s="84"/>
      <c r="G10183" s="84"/>
      <c r="I10183" s="237"/>
      <c r="J10183" s="238"/>
    </row>
    <row r="10184">
      <c r="C10184" s="82"/>
      <c r="E10184" s="84"/>
      <c r="F10184" s="84"/>
      <c r="G10184" s="84"/>
      <c r="I10184" s="237"/>
      <c r="J10184" s="238"/>
    </row>
    <row r="10185">
      <c r="C10185" s="82"/>
      <c r="E10185" s="84"/>
      <c r="F10185" s="84"/>
      <c r="G10185" s="84"/>
      <c r="I10185" s="237"/>
      <c r="J10185" s="238"/>
    </row>
    <row r="10186">
      <c r="C10186" s="82"/>
      <c r="E10186" s="84"/>
      <c r="F10186" s="84"/>
      <c r="G10186" s="84"/>
      <c r="I10186" s="237"/>
      <c r="J10186" s="238"/>
    </row>
    <row r="10187">
      <c r="C10187" s="82"/>
      <c r="E10187" s="84"/>
      <c r="F10187" s="84"/>
      <c r="G10187" s="84"/>
      <c r="I10187" s="237"/>
      <c r="J10187" s="238"/>
    </row>
    <row r="10188">
      <c r="C10188" s="82"/>
      <c r="E10188" s="84"/>
      <c r="F10188" s="84"/>
      <c r="G10188" s="84"/>
      <c r="I10188" s="237"/>
      <c r="J10188" s="238"/>
    </row>
    <row r="10189">
      <c r="C10189" s="82"/>
      <c r="E10189" s="84"/>
      <c r="F10189" s="84"/>
      <c r="G10189" s="84"/>
      <c r="I10189" s="237"/>
      <c r="J10189" s="238"/>
    </row>
    <row r="10190">
      <c r="C10190" s="82"/>
      <c r="E10190" s="84"/>
      <c r="F10190" s="84"/>
      <c r="G10190" s="84"/>
      <c r="I10190" s="237"/>
      <c r="J10190" s="238"/>
    </row>
    <row r="10191">
      <c r="C10191" s="82"/>
      <c r="E10191" s="84"/>
      <c r="F10191" s="84"/>
      <c r="G10191" s="84"/>
      <c r="I10191" s="237"/>
      <c r="J10191" s="238"/>
    </row>
    <row r="10192">
      <c r="C10192" s="82"/>
      <c r="E10192" s="84"/>
      <c r="F10192" s="84"/>
      <c r="G10192" s="84"/>
      <c r="I10192" s="237"/>
      <c r="J10192" s="238"/>
    </row>
    <row r="10193">
      <c r="C10193" s="82"/>
      <c r="E10193" s="84"/>
      <c r="F10193" s="84"/>
      <c r="G10193" s="84"/>
      <c r="I10193" s="237"/>
      <c r="J10193" s="238"/>
    </row>
    <row r="10194">
      <c r="C10194" s="82"/>
      <c r="E10194" s="84"/>
      <c r="F10194" s="84"/>
      <c r="G10194" s="84"/>
      <c r="I10194" s="237"/>
      <c r="J10194" s="238"/>
    </row>
    <row r="10195">
      <c r="C10195" s="82"/>
      <c r="E10195" s="84"/>
      <c r="F10195" s="84"/>
      <c r="G10195" s="84"/>
      <c r="I10195" s="237"/>
      <c r="J10195" s="238"/>
    </row>
    <row r="10196">
      <c r="C10196" s="82"/>
      <c r="E10196" s="84"/>
      <c r="F10196" s="84"/>
      <c r="G10196" s="84"/>
      <c r="I10196" s="237"/>
      <c r="J10196" s="238"/>
    </row>
    <row r="10197">
      <c r="C10197" s="82"/>
      <c r="E10197" s="84"/>
      <c r="F10197" s="84"/>
      <c r="G10197" s="84"/>
      <c r="I10197" s="237"/>
      <c r="J10197" s="238"/>
    </row>
    <row r="10198">
      <c r="C10198" s="82"/>
      <c r="E10198" s="84"/>
      <c r="F10198" s="84"/>
      <c r="G10198" s="84"/>
      <c r="I10198" s="237"/>
      <c r="J10198" s="238"/>
    </row>
    <row r="10199">
      <c r="C10199" s="82"/>
      <c r="E10199" s="84"/>
      <c r="F10199" s="84"/>
      <c r="G10199" s="84"/>
      <c r="I10199" s="237"/>
      <c r="J10199" s="238"/>
    </row>
    <row r="10200">
      <c r="C10200" s="82"/>
      <c r="E10200" s="84"/>
      <c r="F10200" s="84"/>
      <c r="G10200" s="84"/>
      <c r="I10200" s="237"/>
      <c r="J10200" s="238"/>
    </row>
    <row r="10201">
      <c r="C10201" s="82"/>
      <c r="E10201" s="84"/>
      <c r="F10201" s="84"/>
      <c r="G10201" s="84"/>
      <c r="I10201" s="237"/>
      <c r="J10201" s="238"/>
    </row>
    <row r="10202">
      <c r="C10202" s="82"/>
      <c r="E10202" s="84"/>
      <c r="F10202" s="84"/>
      <c r="G10202" s="84"/>
      <c r="I10202" s="237"/>
      <c r="J10202" s="238"/>
    </row>
    <row r="10203">
      <c r="C10203" s="82"/>
      <c r="E10203" s="84"/>
      <c r="F10203" s="84"/>
      <c r="G10203" s="84"/>
      <c r="I10203" s="237"/>
      <c r="J10203" s="238"/>
    </row>
    <row r="10204">
      <c r="C10204" s="82"/>
      <c r="E10204" s="84"/>
      <c r="F10204" s="84"/>
      <c r="G10204" s="84"/>
      <c r="I10204" s="237"/>
      <c r="J10204" s="238"/>
    </row>
    <row r="10205">
      <c r="C10205" s="82"/>
      <c r="E10205" s="84"/>
      <c r="F10205" s="84"/>
      <c r="G10205" s="84"/>
      <c r="I10205" s="237"/>
      <c r="J10205" s="238"/>
    </row>
    <row r="10206">
      <c r="C10206" s="82"/>
      <c r="E10206" s="84"/>
      <c r="F10206" s="84"/>
      <c r="G10206" s="84"/>
      <c r="I10206" s="237"/>
      <c r="J10206" s="238"/>
    </row>
    <row r="10207">
      <c r="C10207" s="82"/>
      <c r="E10207" s="84"/>
      <c r="F10207" s="84"/>
      <c r="G10207" s="84"/>
      <c r="I10207" s="237"/>
      <c r="J10207" s="238"/>
    </row>
    <row r="10208">
      <c r="C10208" s="82"/>
      <c r="E10208" s="84"/>
      <c r="F10208" s="84"/>
      <c r="G10208" s="84"/>
      <c r="I10208" s="237"/>
      <c r="J10208" s="238"/>
    </row>
    <row r="10209">
      <c r="C10209" s="82"/>
      <c r="E10209" s="84"/>
      <c r="F10209" s="84"/>
      <c r="G10209" s="84"/>
      <c r="I10209" s="237"/>
      <c r="J10209" s="238"/>
    </row>
    <row r="10210">
      <c r="C10210" s="82"/>
      <c r="E10210" s="84"/>
      <c r="F10210" s="84"/>
      <c r="G10210" s="84"/>
      <c r="I10210" s="237"/>
      <c r="J10210" s="238"/>
    </row>
    <row r="10211">
      <c r="C10211" s="82"/>
      <c r="E10211" s="84"/>
      <c r="F10211" s="84"/>
      <c r="G10211" s="84"/>
      <c r="I10211" s="237"/>
      <c r="J10211" s="238"/>
    </row>
    <row r="10212">
      <c r="C10212" s="82"/>
      <c r="E10212" s="84"/>
      <c r="F10212" s="84"/>
      <c r="G10212" s="84"/>
      <c r="I10212" s="237"/>
      <c r="J10212" s="238"/>
    </row>
    <row r="10213">
      <c r="C10213" s="82"/>
      <c r="E10213" s="84"/>
      <c r="F10213" s="84"/>
      <c r="G10213" s="84"/>
      <c r="I10213" s="237"/>
      <c r="J10213" s="238"/>
    </row>
    <row r="10214">
      <c r="C10214" s="82"/>
      <c r="E10214" s="84"/>
      <c r="F10214" s="84"/>
      <c r="G10214" s="84"/>
      <c r="I10214" s="237"/>
      <c r="J10214" s="238"/>
    </row>
    <row r="10215">
      <c r="C10215" s="82"/>
      <c r="E10215" s="84"/>
      <c r="F10215" s="84"/>
      <c r="G10215" s="84"/>
      <c r="I10215" s="237"/>
      <c r="J10215" s="238"/>
    </row>
    <row r="10216">
      <c r="C10216" s="82"/>
      <c r="E10216" s="84"/>
      <c r="F10216" s="84"/>
      <c r="G10216" s="84"/>
      <c r="I10216" s="237"/>
      <c r="J10216" s="238"/>
    </row>
    <row r="10217">
      <c r="C10217" s="82"/>
      <c r="E10217" s="84"/>
      <c r="F10217" s="84"/>
      <c r="G10217" s="84"/>
      <c r="I10217" s="237"/>
      <c r="J10217" s="238"/>
    </row>
    <row r="10218">
      <c r="C10218" s="82"/>
      <c r="E10218" s="84"/>
      <c r="F10218" s="84"/>
      <c r="G10218" s="84"/>
      <c r="I10218" s="237"/>
      <c r="J10218" s="238"/>
    </row>
    <row r="10219">
      <c r="C10219" s="82"/>
      <c r="E10219" s="84"/>
      <c r="F10219" s="84"/>
      <c r="G10219" s="84"/>
      <c r="I10219" s="237"/>
      <c r="J10219" s="238"/>
    </row>
    <row r="10220">
      <c r="C10220" s="82"/>
      <c r="E10220" s="84"/>
      <c r="F10220" s="84"/>
      <c r="G10220" s="84"/>
      <c r="I10220" s="237"/>
      <c r="J10220" s="238"/>
    </row>
    <row r="10221">
      <c r="C10221" s="82"/>
      <c r="E10221" s="84"/>
      <c r="F10221" s="84"/>
      <c r="G10221" s="84"/>
      <c r="I10221" s="237"/>
      <c r="J10221" s="238"/>
    </row>
    <row r="10222">
      <c r="C10222" s="82"/>
      <c r="E10222" s="84"/>
      <c r="F10222" s="84"/>
      <c r="G10222" s="84"/>
      <c r="I10222" s="237"/>
      <c r="J10222" s="238"/>
    </row>
    <row r="10223">
      <c r="C10223" s="82"/>
      <c r="E10223" s="84"/>
      <c r="F10223" s="84"/>
      <c r="G10223" s="84"/>
      <c r="I10223" s="237"/>
      <c r="J10223" s="238"/>
    </row>
    <row r="10224">
      <c r="C10224" s="82"/>
      <c r="E10224" s="84"/>
      <c r="F10224" s="84"/>
      <c r="G10224" s="84"/>
      <c r="I10224" s="237"/>
      <c r="J10224" s="238"/>
    </row>
    <row r="10225">
      <c r="C10225" s="82"/>
      <c r="E10225" s="84"/>
      <c r="F10225" s="84"/>
      <c r="G10225" s="84"/>
      <c r="I10225" s="237"/>
      <c r="J10225" s="238"/>
    </row>
    <row r="10226">
      <c r="C10226" s="82"/>
      <c r="E10226" s="84"/>
      <c r="F10226" s="84"/>
      <c r="G10226" s="84"/>
      <c r="I10226" s="237"/>
      <c r="J10226" s="238"/>
    </row>
    <row r="10227">
      <c r="C10227" s="82"/>
      <c r="E10227" s="84"/>
      <c r="F10227" s="84"/>
      <c r="G10227" s="84"/>
      <c r="I10227" s="237"/>
      <c r="J10227" s="238"/>
    </row>
    <row r="10228">
      <c r="C10228" s="82"/>
      <c r="E10228" s="84"/>
      <c r="F10228" s="84"/>
      <c r="G10228" s="84"/>
      <c r="I10228" s="237"/>
      <c r="J10228" s="238"/>
    </row>
    <row r="10229">
      <c r="C10229" s="82"/>
      <c r="E10229" s="84"/>
      <c r="F10229" s="84"/>
      <c r="G10229" s="84"/>
      <c r="I10229" s="237"/>
      <c r="J10229" s="238"/>
    </row>
    <row r="10230">
      <c r="C10230" s="82"/>
      <c r="E10230" s="84"/>
      <c r="F10230" s="84"/>
      <c r="G10230" s="84"/>
      <c r="I10230" s="237"/>
      <c r="J10230" s="238"/>
    </row>
    <row r="10231">
      <c r="C10231" s="82"/>
      <c r="E10231" s="84"/>
      <c r="F10231" s="84"/>
      <c r="G10231" s="84"/>
      <c r="I10231" s="237"/>
      <c r="J10231" s="238"/>
    </row>
    <row r="10232">
      <c r="C10232" s="82"/>
      <c r="E10232" s="84"/>
      <c r="F10232" s="84"/>
      <c r="G10232" s="84"/>
      <c r="I10232" s="237"/>
      <c r="J10232" s="238"/>
    </row>
    <row r="10233">
      <c r="C10233" s="82"/>
      <c r="E10233" s="84"/>
      <c r="F10233" s="84"/>
      <c r="G10233" s="84"/>
      <c r="I10233" s="237"/>
      <c r="J10233" s="238"/>
    </row>
    <row r="10234">
      <c r="C10234" s="82"/>
      <c r="E10234" s="84"/>
      <c r="F10234" s="84"/>
      <c r="G10234" s="84"/>
      <c r="I10234" s="237"/>
      <c r="J10234" s="238"/>
    </row>
    <row r="10235">
      <c r="C10235" s="82"/>
      <c r="E10235" s="84"/>
      <c r="F10235" s="84"/>
      <c r="G10235" s="84"/>
      <c r="I10235" s="237"/>
      <c r="J10235" s="238"/>
    </row>
    <row r="10236">
      <c r="C10236" s="82"/>
      <c r="E10236" s="84"/>
      <c r="F10236" s="84"/>
      <c r="G10236" s="84"/>
      <c r="I10236" s="237"/>
      <c r="J10236" s="238"/>
    </row>
    <row r="10237">
      <c r="C10237" s="82"/>
      <c r="E10237" s="84"/>
      <c r="F10237" s="84"/>
      <c r="G10237" s="84"/>
      <c r="I10237" s="237"/>
      <c r="J10237" s="238"/>
    </row>
    <row r="10238">
      <c r="C10238" s="82"/>
      <c r="E10238" s="84"/>
      <c r="F10238" s="84"/>
      <c r="G10238" s="84"/>
      <c r="I10238" s="237"/>
      <c r="J10238" s="238"/>
    </row>
    <row r="10239">
      <c r="C10239" s="82"/>
      <c r="E10239" s="84"/>
      <c r="F10239" s="84"/>
      <c r="G10239" s="84"/>
      <c r="I10239" s="237"/>
      <c r="J10239" s="238"/>
    </row>
    <row r="10240">
      <c r="C10240" s="82"/>
      <c r="E10240" s="84"/>
      <c r="F10240" s="84"/>
      <c r="G10240" s="84"/>
      <c r="I10240" s="237"/>
      <c r="J10240" s="238"/>
    </row>
    <row r="10241">
      <c r="C10241" s="82"/>
      <c r="E10241" s="84"/>
      <c r="F10241" s="84"/>
      <c r="G10241" s="84"/>
      <c r="I10241" s="237"/>
      <c r="J10241" s="238"/>
    </row>
    <row r="10242">
      <c r="C10242" s="82"/>
      <c r="E10242" s="84"/>
      <c r="F10242" s="84"/>
      <c r="G10242" s="84"/>
      <c r="I10242" s="237"/>
      <c r="J10242" s="238"/>
    </row>
    <row r="10243">
      <c r="C10243" s="82"/>
      <c r="E10243" s="84"/>
      <c r="F10243" s="84"/>
      <c r="G10243" s="84"/>
      <c r="I10243" s="237"/>
      <c r="J10243" s="238"/>
    </row>
    <row r="10244">
      <c r="C10244" s="82"/>
      <c r="E10244" s="84"/>
      <c r="F10244" s="84"/>
      <c r="G10244" s="84"/>
      <c r="I10244" s="237"/>
      <c r="J10244" s="238"/>
    </row>
    <row r="10245">
      <c r="C10245" s="82"/>
      <c r="E10245" s="84"/>
      <c r="F10245" s="84"/>
      <c r="G10245" s="84"/>
      <c r="I10245" s="237"/>
      <c r="J10245" s="238"/>
    </row>
    <row r="10246">
      <c r="C10246" s="82"/>
      <c r="E10246" s="84"/>
      <c r="F10246" s="84"/>
      <c r="G10246" s="84"/>
      <c r="I10246" s="237"/>
      <c r="J10246" s="238"/>
    </row>
    <row r="10247">
      <c r="C10247" s="82"/>
      <c r="E10247" s="84"/>
      <c r="F10247" s="84"/>
      <c r="G10247" s="84"/>
      <c r="I10247" s="237"/>
      <c r="J10247" s="238"/>
    </row>
    <row r="10248">
      <c r="C10248" s="82"/>
      <c r="E10248" s="84"/>
      <c r="F10248" s="84"/>
      <c r="G10248" s="84"/>
      <c r="I10248" s="237"/>
      <c r="J10248" s="238"/>
    </row>
    <row r="10249">
      <c r="C10249" s="82"/>
      <c r="E10249" s="84"/>
      <c r="F10249" s="84"/>
      <c r="G10249" s="84"/>
      <c r="I10249" s="237"/>
      <c r="J10249" s="238"/>
    </row>
    <row r="10250">
      <c r="C10250" s="82"/>
      <c r="E10250" s="84"/>
      <c r="F10250" s="84"/>
      <c r="G10250" s="84"/>
      <c r="I10250" s="237"/>
      <c r="J10250" s="238"/>
    </row>
    <row r="10251">
      <c r="C10251" s="82"/>
      <c r="E10251" s="84"/>
      <c r="F10251" s="84"/>
      <c r="G10251" s="84"/>
      <c r="I10251" s="237"/>
      <c r="J10251" s="238"/>
    </row>
    <row r="10252">
      <c r="C10252" s="82"/>
      <c r="E10252" s="84"/>
      <c r="F10252" s="84"/>
      <c r="G10252" s="84"/>
      <c r="I10252" s="237"/>
      <c r="J10252" s="238"/>
    </row>
    <row r="10253">
      <c r="C10253" s="82"/>
      <c r="E10253" s="84"/>
      <c r="F10253" s="84"/>
      <c r="G10253" s="84"/>
      <c r="I10253" s="237"/>
      <c r="J10253" s="238"/>
    </row>
    <row r="10254">
      <c r="C10254" s="82"/>
      <c r="E10254" s="84"/>
      <c r="F10254" s="84"/>
      <c r="G10254" s="84"/>
      <c r="I10254" s="237"/>
      <c r="J10254" s="238"/>
    </row>
    <row r="10255">
      <c r="C10255" s="82"/>
      <c r="E10255" s="84"/>
      <c r="F10255" s="84"/>
      <c r="G10255" s="84"/>
      <c r="I10255" s="237"/>
      <c r="J10255" s="238"/>
    </row>
    <row r="10256">
      <c r="C10256" s="82"/>
      <c r="E10256" s="84"/>
      <c r="F10256" s="84"/>
      <c r="G10256" s="84"/>
      <c r="I10256" s="237"/>
      <c r="J10256" s="238"/>
    </row>
    <row r="10257">
      <c r="C10257" s="82"/>
      <c r="E10257" s="84"/>
      <c r="F10257" s="84"/>
      <c r="G10257" s="84"/>
      <c r="I10257" s="237"/>
      <c r="J10257" s="238"/>
    </row>
    <row r="10258">
      <c r="C10258" s="82"/>
      <c r="E10258" s="84"/>
      <c r="F10258" s="84"/>
      <c r="G10258" s="84"/>
      <c r="I10258" s="237"/>
      <c r="J10258" s="238"/>
    </row>
    <row r="10259">
      <c r="C10259" s="82"/>
      <c r="E10259" s="84"/>
      <c r="F10259" s="84"/>
      <c r="G10259" s="84"/>
      <c r="I10259" s="237"/>
      <c r="J10259" s="238"/>
    </row>
    <row r="10260">
      <c r="C10260" s="82"/>
      <c r="E10260" s="84"/>
      <c r="F10260" s="84"/>
      <c r="G10260" s="84"/>
      <c r="I10260" s="237"/>
      <c r="J10260" s="238"/>
    </row>
    <row r="10261">
      <c r="C10261" s="82"/>
      <c r="E10261" s="84"/>
      <c r="F10261" s="84"/>
      <c r="G10261" s="84"/>
      <c r="I10261" s="237"/>
      <c r="J10261" s="238"/>
    </row>
    <row r="10262">
      <c r="C10262" s="82"/>
      <c r="E10262" s="84"/>
      <c r="F10262" s="84"/>
      <c r="G10262" s="84"/>
      <c r="I10262" s="237"/>
      <c r="J10262" s="238"/>
    </row>
    <row r="10263">
      <c r="C10263" s="82"/>
      <c r="E10263" s="84"/>
      <c r="F10263" s="84"/>
      <c r="G10263" s="84"/>
      <c r="I10263" s="237"/>
      <c r="J10263" s="238"/>
    </row>
    <row r="10264">
      <c r="C10264" s="82"/>
      <c r="E10264" s="84"/>
      <c r="F10264" s="84"/>
      <c r="G10264" s="84"/>
      <c r="I10264" s="237"/>
      <c r="J10264" s="238"/>
    </row>
    <row r="10265">
      <c r="C10265" s="82"/>
      <c r="E10265" s="84"/>
      <c r="F10265" s="84"/>
      <c r="G10265" s="84"/>
      <c r="I10265" s="237"/>
      <c r="J10265" s="238"/>
    </row>
    <row r="10266">
      <c r="C10266" s="82"/>
      <c r="E10266" s="84"/>
      <c r="F10266" s="84"/>
      <c r="G10266" s="84"/>
      <c r="I10266" s="237"/>
      <c r="J10266" s="238"/>
    </row>
    <row r="10267">
      <c r="C10267" s="82"/>
      <c r="E10267" s="84"/>
      <c r="F10267" s="84"/>
      <c r="G10267" s="84"/>
      <c r="I10267" s="237"/>
      <c r="J10267" s="238"/>
    </row>
    <row r="10268">
      <c r="C10268" s="82"/>
      <c r="E10268" s="84"/>
      <c r="F10268" s="84"/>
      <c r="G10268" s="84"/>
      <c r="I10268" s="237"/>
      <c r="J10268" s="238"/>
    </row>
    <row r="10269">
      <c r="C10269" s="82"/>
      <c r="E10269" s="84"/>
      <c r="F10269" s="84"/>
      <c r="G10269" s="84"/>
      <c r="I10269" s="237"/>
      <c r="J10269" s="238"/>
    </row>
    <row r="10270">
      <c r="C10270" s="82"/>
      <c r="E10270" s="84"/>
      <c r="F10270" s="84"/>
      <c r="G10270" s="84"/>
      <c r="I10270" s="237"/>
      <c r="J10270" s="238"/>
    </row>
    <row r="10271">
      <c r="C10271" s="82"/>
      <c r="E10271" s="84"/>
      <c r="F10271" s="84"/>
      <c r="G10271" s="84"/>
      <c r="I10271" s="237"/>
      <c r="J10271" s="238"/>
    </row>
    <row r="10272">
      <c r="C10272" s="82"/>
      <c r="E10272" s="84"/>
      <c r="F10272" s="84"/>
      <c r="G10272" s="84"/>
      <c r="I10272" s="237"/>
      <c r="J10272" s="238"/>
    </row>
    <row r="10273">
      <c r="C10273" s="82"/>
      <c r="E10273" s="84"/>
      <c r="F10273" s="84"/>
      <c r="G10273" s="84"/>
      <c r="I10273" s="237"/>
      <c r="J10273" s="238"/>
    </row>
    <row r="10274">
      <c r="C10274" s="82"/>
      <c r="E10274" s="84"/>
      <c r="F10274" s="84"/>
      <c r="G10274" s="84"/>
      <c r="I10274" s="237"/>
      <c r="J10274" s="238"/>
    </row>
    <row r="10275">
      <c r="C10275" s="82"/>
      <c r="E10275" s="84"/>
      <c r="F10275" s="84"/>
      <c r="G10275" s="84"/>
      <c r="I10275" s="237"/>
      <c r="J10275" s="238"/>
    </row>
    <row r="10276">
      <c r="C10276" s="82"/>
      <c r="E10276" s="84"/>
      <c r="F10276" s="84"/>
      <c r="G10276" s="84"/>
      <c r="I10276" s="237"/>
      <c r="J10276" s="238"/>
    </row>
    <row r="10277">
      <c r="C10277" s="82"/>
      <c r="E10277" s="84"/>
      <c r="F10277" s="84"/>
      <c r="G10277" s="84"/>
      <c r="I10277" s="237"/>
      <c r="J10277" s="238"/>
    </row>
    <row r="10278">
      <c r="C10278" s="82"/>
      <c r="E10278" s="84"/>
      <c r="F10278" s="84"/>
      <c r="G10278" s="84"/>
      <c r="I10278" s="237"/>
      <c r="J10278" s="238"/>
    </row>
    <row r="10279">
      <c r="C10279" s="82"/>
      <c r="E10279" s="84"/>
      <c r="F10279" s="84"/>
      <c r="G10279" s="84"/>
      <c r="I10279" s="237"/>
      <c r="J10279" s="238"/>
    </row>
    <row r="10280">
      <c r="C10280" s="82"/>
      <c r="E10280" s="84"/>
      <c r="F10280" s="84"/>
      <c r="G10280" s="84"/>
      <c r="I10280" s="237"/>
      <c r="J10280" s="238"/>
    </row>
    <row r="10281">
      <c r="C10281" s="82"/>
      <c r="E10281" s="84"/>
      <c r="F10281" s="84"/>
      <c r="G10281" s="84"/>
      <c r="I10281" s="237"/>
      <c r="J10281" s="238"/>
    </row>
    <row r="10282">
      <c r="C10282" s="82"/>
      <c r="E10282" s="84"/>
      <c r="F10282" s="84"/>
      <c r="G10282" s="84"/>
      <c r="I10282" s="237"/>
      <c r="J10282" s="238"/>
    </row>
    <row r="10283">
      <c r="C10283" s="82"/>
      <c r="E10283" s="84"/>
      <c r="F10283" s="84"/>
      <c r="G10283" s="84"/>
      <c r="I10283" s="237"/>
      <c r="J10283" s="238"/>
    </row>
    <row r="10284">
      <c r="C10284" s="82"/>
      <c r="E10284" s="84"/>
      <c r="F10284" s="84"/>
      <c r="G10284" s="84"/>
      <c r="I10284" s="237"/>
      <c r="J10284" s="238"/>
    </row>
    <row r="10285">
      <c r="C10285" s="82"/>
      <c r="E10285" s="84"/>
      <c r="F10285" s="84"/>
      <c r="G10285" s="84"/>
      <c r="I10285" s="237"/>
      <c r="J10285" s="238"/>
    </row>
    <row r="10286">
      <c r="C10286" s="82"/>
      <c r="E10286" s="84"/>
      <c r="F10286" s="84"/>
      <c r="G10286" s="84"/>
      <c r="I10286" s="237"/>
      <c r="J10286" s="238"/>
    </row>
    <row r="10287">
      <c r="C10287" s="82"/>
      <c r="E10287" s="84"/>
      <c r="F10287" s="84"/>
      <c r="G10287" s="84"/>
      <c r="I10287" s="237"/>
      <c r="J10287" s="238"/>
    </row>
    <row r="10288">
      <c r="C10288" s="82"/>
      <c r="E10288" s="84"/>
      <c r="F10288" s="84"/>
      <c r="G10288" s="84"/>
      <c r="I10288" s="237"/>
      <c r="J10288" s="238"/>
    </row>
    <row r="10289">
      <c r="C10289" s="82"/>
      <c r="E10289" s="84"/>
      <c r="F10289" s="84"/>
      <c r="G10289" s="84"/>
      <c r="I10289" s="237"/>
      <c r="J10289" s="238"/>
    </row>
    <row r="10290">
      <c r="C10290" s="82"/>
      <c r="E10290" s="84"/>
      <c r="F10290" s="84"/>
      <c r="G10290" s="84"/>
      <c r="I10290" s="237"/>
      <c r="J10290" s="238"/>
    </row>
    <row r="10291">
      <c r="C10291" s="82"/>
      <c r="E10291" s="84"/>
      <c r="F10291" s="84"/>
      <c r="G10291" s="84"/>
      <c r="I10291" s="237"/>
      <c r="J10291" s="238"/>
    </row>
    <row r="10292">
      <c r="C10292" s="82"/>
      <c r="E10292" s="84"/>
      <c r="F10292" s="84"/>
      <c r="G10292" s="84"/>
      <c r="I10292" s="237"/>
      <c r="J10292" s="238"/>
    </row>
    <row r="10293">
      <c r="C10293" s="82"/>
      <c r="E10293" s="84"/>
      <c r="F10293" s="84"/>
      <c r="G10293" s="84"/>
      <c r="I10293" s="237"/>
      <c r="J10293" s="238"/>
    </row>
    <row r="10294">
      <c r="C10294" s="82"/>
      <c r="E10294" s="84"/>
      <c r="F10294" s="84"/>
      <c r="G10294" s="84"/>
      <c r="I10294" s="237"/>
      <c r="J10294" s="238"/>
    </row>
    <row r="10295">
      <c r="C10295" s="82"/>
      <c r="E10295" s="84"/>
      <c r="F10295" s="84"/>
      <c r="G10295" s="84"/>
      <c r="I10295" s="237"/>
      <c r="J10295" s="238"/>
    </row>
    <row r="10296">
      <c r="C10296" s="82"/>
      <c r="E10296" s="84"/>
      <c r="F10296" s="84"/>
      <c r="G10296" s="84"/>
      <c r="I10296" s="237"/>
      <c r="J10296" s="238"/>
    </row>
    <row r="10297">
      <c r="C10297" s="82"/>
      <c r="E10297" s="84"/>
      <c r="F10297" s="84"/>
      <c r="G10297" s="84"/>
      <c r="I10297" s="237"/>
      <c r="J10297" s="238"/>
    </row>
    <row r="10298">
      <c r="C10298" s="82"/>
      <c r="E10298" s="84"/>
      <c r="F10298" s="84"/>
      <c r="G10298" s="84"/>
      <c r="I10298" s="237"/>
      <c r="J10298" s="238"/>
    </row>
    <row r="10299">
      <c r="C10299" s="82"/>
      <c r="E10299" s="84"/>
      <c r="F10299" s="84"/>
      <c r="G10299" s="84"/>
      <c r="I10299" s="237"/>
      <c r="J10299" s="238"/>
    </row>
    <row r="10300">
      <c r="C10300" s="82"/>
      <c r="E10300" s="84"/>
      <c r="F10300" s="84"/>
      <c r="G10300" s="84"/>
      <c r="I10300" s="237"/>
      <c r="J10300" s="238"/>
    </row>
    <row r="10301">
      <c r="C10301" s="82"/>
      <c r="E10301" s="84"/>
      <c r="F10301" s="84"/>
      <c r="G10301" s="84"/>
      <c r="I10301" s="237"/>
      <c r="J10301" s="238"/>
    </row>
    <row r="10302">
      <c r="C10302" s="82"/>
      <c r="E10302" s="84"/>
      <c r="F10302" s="84"/>
      <c r="G10302" s="84"/>
      <c r="I10302" s="237"/>
      <c r="J10302" s="238"/>
    </row>
    <row r="10303">
      <c r="C10303" s="82"/>
      <c r="E10303" s="84"/>
      <c r="F10303" s="84"/>
      <c r="G10303" s="84"/>
      <c r="I10303" s="237"/>
      <c r="J10303" s="238"/>
    </row>
    <row r="10304">
      <c r="C10304" s="82"/>
      <c r="E10304" s="84"/>
      <c r="F10304" s="84"/>
      <c r="G10304" s="84"/>
      <c r="I10304" s="237"/>
      <c r="J10304" s="238"/>
    </row>
    <row r="10305">
      <c r="C10305" s="82"/>
      <c r="E10305" s="84"/>
      <c r="F10305" s="84"/>
      <c r="G10305" s="84"/>
      <c r="I10305" s="237"/>
      <c r="J10305" s="238"/>
    </row>
    <row r="10306">
      <c r="C10306" s="82"/>
      <c r="E10306" s="84"/>
      <c r="F10306" s="84"/>
      <c r="G10306" s="84"/>
      <c r="I10306" s="237"/>
      <c r="J10306" s="238"/>
    </row>
    <row r="10307">
      <c r="C10307" s="82"/>
      <c r="E10307" s="84"/>
      <c r="F10307" s="84"/>
      <c r="G10307" s="84"/>
      <c r="I10307" s="237"/>
      <c r="J10307" s="238"/>
    </row>
    <row r="10308">
      <c r="C10308" s="82"/>
      <c r="E10308" s="84"/>
      <c r="F10308" s="84"/>
      <c r="G10308" s="84"/>
      <c r="I10308" s="237"/>
      <c r="J10308" s="238"/>
    </row>
    <row r="10309">
      <c r="C10309" s="82"/>
      <c r="E10309" s="84"/>
      <c r="F10309" s="84"/>
      <c r="G10309" s="84"/>
      <c r="I10309" s="237"/>
      <c r="J10309" s="238"/>
    </row>
    <row r="10310">
      <c r="C10310" s="82"/>
      <c r="E10310" s="84"/>
      <c r="F10310" s="84"/>
      <c r="G10310" s="84"/>
      <c r="I10310" s="237"/>
      <c r="J10310" s="238"/>
    </row>
    <row r="10311">
      <c r="C10311" s="82"/>
      <c r="E10311" s="84"/>
      <c r="F10311" s="84"/>
      <c r="G10311" s="84"/>
      <c r="I10311" s="237"/>
      <c r="J10311" s="238"/>
    </row>
    <row r="10312">
      <c r="C10312" s="82"/>
      <c r="E10312" s="84"/>
      <c r="F10312" s="84"/>
      <c r="G10312" s="84"/>
      <c r="I10312" s="237"/>
      <c r="J10312" s="238"/>
    </row>
    <row r="10313">
      <c r="C10313" s="82"/>
      <c r="E10313" s="84"/>
      <c r="F10313" s="84"/>
      <c r="G10313" s="84"/>
      <c r="I10313" s="237"/>
      <c r="J10313" s="238"/>
    </row>
    <row r="10314">
      <c r="C10314" s="82"/>
      <c r="E10314" s="84"/>
      <c r="F10314" s="84"/>
      <c r="G10314" s="84"/>
      <c r="I10314" s="237"/>
      <c r="J10314" s="238"/>
    </row>
    <row r="10315">
      <c r="C10315" s="82"/>
      <c r="E10315" s="84"/>
      <c r="F10315" s="84"/>
      <c r="G10315" s="84"/>
      <c r="I10315" s="237"/>
      <c r="J10315" s="238"/>
    </row>
    <row r="10316">
      <c r="C10316" s="82"/>
      <c r="E10316" s="84"/>
      <c r="F10316" s="84"/>
      <c r="G10316" s="84"/>
      <c r="I10316" s="237"/>
      <c r="J10316" s="238"/>
    </row>
    <row r="10317">
      <c r="C10317" s="82"/>
      <c r="E10317" s="84"/>
      <c r="F10317" s="84"/>
      <c r="G10317" s="84"/>
      <c r="I10317" s="237"/>
      <c r="J10317" s="238"/>
    </row>
    <row r="10318">
      <c r="C10318" s="82"/>
      <c r="E10318" s="84"/>
      <c r="F10318" s="84"/>
      <c r="G10318" s="84"/>
      <c r="I10318" s="237"/>
      <c r="J10318" s="238"/>
    </row>
    <row r="10319">
      <c r="C10319" s="82"/>
      <c r="E10319" s="84"/>
      <c r="F10319" s="84"/>
      <c r="G10319" s="84"/>
      <c r="I10319" s="237"/>
      <c r="J10319" s="238"/>
    </row>
    <row r="10320">
      <c r="C10320" s="82"/>
      <c r="E10320" s="84"/>
      <c r="F10320" s="84"/>
      <c r="G10320" s="84"/>
      <c r="I10320" s="237"/>
      <c r="J10320" s="238"/>
    </row>
    <row r="10321">
      <c r="C10321" s="82"/>
      <c r="E10321" s="84"/>
      <c r="F10321" s="84"/>
      <c r="G10321" s="84"/>
      <c r="I10321" s="237"/>
      <c r="J10321" s="238"/>
    </row>
    <row r="10322">
      <c r="C10322" s="82"/>
      <c r="E10322" s="84"/>
      <c r="F10322" s="84"/>
      <c r="G10322" s="84"/>
      <c r="I10322" s="237"/>
      <c r="J10322" s="238"/>
    </row>
    <row r="10323">
      <c r="C10323" s="82"/>
      <c r="E10323" s="84"/>
      <c r="F10323" s="84"/>
      <c r="G10323" s="84"/>
      <c r="I10323" s="237"/>
      <c r="J10323" s="238"/>
    </row>
    <row r="10324">
      <c r="C10324" s="82"/>
      <c r="E10324" s="84"/>
      <c r="F10324" s="84"/>
      <c r="G10324" s="84"/>
      <c r="I10324" s="237"/>
      <c r="J10324" s="238"/>
    </row>
    <row r="10325">
      <c r="C10325" s="82"/>
      <c r="E10325" s="84"/>
      <c r="F10325" s="84"/>
      <c r="G10325" s="84"/>
      <c r="I10325" s="237"/>
      <c r="J10325" s="238"/>
    </row>
    <row r="10326">
      <c r="C10326" s="82"/>
      <c r="E10326" s="84"/>
      <c r="F10326" s="84"/>
      <c r="G10326" s="84"/>
      <c r="I10326" s="237"/>
      <c r="J10326" s="238"/>
    </row>
    <row r="10327">
      <c r="C10327" s="82"/>
      <c r="E10327" s="84"/>
      <c r="F10327" s="84"/>
      <c r="G10327" s="84"/>
      <c r="I10327" s="237"/>
      <c r="J10327" s="238"/>
    </row>
    <row r="10328">
      <c r="C10328" s="82"/>
      <c r="E10328" s="84"/>
      <c r="F10328" s="84"/>
      <c r="G10328" s="84"/>
      <c r="I10328" s="237"/>
      <c r="J10328" s="238"/>
    </row>
    <row r="10329">
      <c r="C10329" s="82"/>
      <c r="E10329" s="84"/>
      <c r="F10329" s="84"/>
      <c r="G10329" s="84"/>
      <c r="I10329" s="237"/>
      <c r="J10329" s="238"/>
    </row>
    <row r="10330">
      <c r="C10330" s="82"/>
      <c r="E10330" s="84"/>
      <c r="F10330" s="84"/>
      <c r="G10330" s="84"/>
      <c r="I10330" s="237"/>
      <c r="J10330" s="238"/>
    </row>
    <row r="10331">
      <c r="C10331" s="82"/>
      <c r="E10331" s="84"/>
      <c r="F10331" s="84"/>
      <c r="G10331" s="84"/>
      <c r="I10331" s="237"/>
      <c r="J10331" s="238"/>
    </row>
    <row r="10332">
      <c r="C10332" s="82"/>
      <c r="E10332" s="84"/>
      <c r="F10332" s="84"/>
      <c r="G10332" s="84"/>
      <c r="I10332" s="237"/>
      <c r="J10332" s="238"/>
    </row>
    <row r="10333">
      <c r="C10333" s="82"/>
      <c r="E10333" s="84"/>
      <c r="F10333" s="84"/>
      <c r="G10333" s="84"/>
      <c r="I10333" s="237"/>
      <c r="J10333" s="238"/>
    </row>
    <row r="10334">
      <c r="C10334" s="82"/>
      <c r="E10334" s="84"/>
      <c r="F10334" s="84"/>
      <c r="G10334" s="84"/>
      <c r="I10334" s="237"/>
      <c r="J10334" s="238"/>
    </row>
    <row r="10335">
      <c r="C10335" s="82"/>
      <c r="E10335" s="84"/>
      <c r="F10335" s="84"/>
      <c r="G10335" s="84"/>
      <c r="I10335" s="237"/>
      <c r="J10335" s="238"/>
    </row>
    <row r="10336">
      <c r="C10336" s="82"/>
      <c r="E10336" s="84"/>
      <c r="F10336" s="84"/>
      <c r="G10336" s="84"/>
      <c r="I10336" s="237"/>
      <c r="J10336" s="238"/>
    </row>
    <row r="10337">
      <c r="C10337" s="82"/>
      <c r="E10337" s="84"/>
      <c r="F10337" s="84"/>
      <c r="G10337" s="84"/>
      <c r="I10337" s="237"/>
      <c r="J10337" s="238"/>
    </row>
    <row r="10338">
      <c r="C10338" s="82"/>
      <c r="E10338" s="84"/>
      <c r="F10338" s="84"/>
      <c r="G10338" s="84"/>
      <c r="I10338" s="237"/>
      <c r="J10338" s="238"/>
    </row>
    <row r="10339">
      <c r="C10339" s="82"/>
      <c r="E10339" s="84"/>
      <c r="F10339" s="84"/>
      <c r="G10339" s="84"/>
      <c r="I10339" s="237"/>
      <c r="J10339" s="238"/>
    </row>
    <row r="10340">
      <c r="C10340" s="82"/>
      <c r="E10340" s="84"/>
      <c r="F10340" s="84"/>
      <c r="G10340" s="84"/>
      <c r="I10340" s="237"/>
      <c r="J10340" s="238"/>
    </row>
    <row r="10341">
      <c r="C10341" s="82"/>
      <c r="E10341" s="84"/>
      <c r="F10341" s="84"/>
      <c r="G10341" s="84"/>
      <c r="I10341" s="237"/>
      <c r="J10341" s="238"/>
    </row>
    <row r="10342">
      <c r="C10342" s="82"/>
      <c r="E10342" s="84"/>
      <c r="F10342" s="84"/>
      <c r="G10342" s="84"/>
      <c r="I10342" s="237"/>
      <c r="J10342" s="238"/>
    </row>
    <row r="10343">
      <c r="C10343" s="82"/>
      <c r="E10343" s="84"/>
      <c r="F10343" s="84"/>
      <c r="G10343" s="84"/>
      <c r="I10343" s="237"/>
      <c r="J10343" s="238"/>
    </row>
    <row r="10344">
      <c r="C10344" s="82"/>
      <c r="E10344" s="84"/>
      <c r="F10344" s="84"/>
      <c r="G10344" s="84"/>
      <c r="I10344" s="237"/>
      <c r="J10344" s="238"/>
    </row>
    <row r="10345">
      <c r="C10345" s="82"/>
      <c r="E10345" s="84"/>
      <c r="F10345" s="84"/>
      <c r="G10345" s="84"/>
      <c r="I10345" s="237"/>
      <c r="J10345" s="238"/>
    </row>
    <row r="10346">
      <c r="C10346" s="82"/>
      <c r="E10346" s="84"/>
      <c r="F10346" s="84"/>
      <c r="G10346" s="84"/>
      <c r="I10346" s="237"/>
      <c r="J10346" s="238"/>
    </row>
    <row r="10347">
      <c r="C10347" s="82"/>
      <c r="E10347" s="84"/>
      <c r="F10347" s="84"/>
      <c r="G10347" s="84"/>
      <c r="I10347" s="237"/>
      <c r="J10347" s="238"/>
    </row>
    <row r="10348">
      <c r="C10348" s="82"/>
      <c r="E10348" s="84"/>
      <c r="F10348" s="84"/>
      <c r="G10348" s="84"/>
      <c r="I10348" s="237"/>
      <c r="J10348" s="238"/>
    </row>
    <row r="10349">
      <c r="C10349" s="82"/>
      <c r="E10349" s="84"/>
      <c r="F10349" s="84"/>
      <c r="G10349" s="84"/>
      <c r="I10349" s="237"/>
      <c r="J10349" s="238"/>
    </row>
    <row r="10350">
      <c r="C10350" s="82"/>
      <c r="E10350" s="84"/>
      <c r="F10350" s="84"/>
      <c r="G10350" s="84"/>
      <c r="I10350" s="237"/>
      <c r="J10350" s="238"/>
    </row>
    <row r="10351">
      <c r="C10351" s="82"/>
      <c r="E10351" s="84"/>
      <c r="F10351" s="84"/>
      <c r="G10351" s="84"/>
      <c r="I10351" s="237"/>
      <c r="J10351" s="238"/>
    </row>
    <row r="10352">
      <c r="C10352" s="82"/>
      <c r="E10352" s="84"/>
      <c r="F10352" s="84"/>
      <c r="G10352" s="84"/>
      <c r="I10352" s="237"/>
      <c r="J10352" s="238"/>
    </row>
    <row r="10353">
      <c r="C10353" s="82"/>
      <c r="E10353" s="84"/>
      <c r="F10353" s="84"/>
      <c r="G10353" s="84"/>
      <c r="I10353" s="237"/>
      <c r="J10353" s="238"/>
    </row>
    <row r="10354">
      <c r="C10354" s="82"/>
      <c r="E10354" s="84"/>
      <c r="F10354" s="84"/>
      <c r="G10354" s="84"/>
      <c r="I10354" s="237"/>
      <c r="J10354" s="238"/>
    </row>
    <row r="10355">
      <c r="C10355" s="82"/>
      <c r="E10355" s="84"/>
      <c r="F10355" s="84"/>
      <c r="G10355" s="84"/>
      <c r="I10355" s="237"/>
      <c r="J10355" s="238"/>
    </row>
    <row r="10356">
      <c r="C10356" s="82"/>
      <c r="E10356" s="84"/>
      <c r="F10356" s="84"/>
      <c r="G10356" s="84"/>
      <c r="I10356" s="237"/>
      <c r="J10356" s="238"/>
    </row>
    <row r="10357">
      <c r="C10357" s="82"/>
      <c r="E10357" s="84"/>
      <c r="F10357" s="84"/>
      <c r="G10357" s="84"/>
      <c r="I10357" s="237"/>
      <c r="J10357" s="238"/>
    </row>
    <row r="10358">
      <c r="C10358" s="82"/>
      <c r="E10358" s="84"/>
      <c r="F10358" s="84"/>
      <c r="G10358" s="84"/>
      <c r="I10358" s="237"/>
      <c r="J10358" s="238"/>
    </row>
    <row r="10359">
      <c r="C10359" s="82"/>
      <c r="E10359" s="84"/>
      <c r="F10359" s="84"/>
      <c r="G10359" s="84"/>
      <c r="I10359" s="237"/>
      <c r="J10359" s="238"/>
    </row>
    <row r="10360">
      <c r="C10360" s="82"/>
      <c r="E10360" s="84"/>
      <c r="F10360" s="84"/>
      <c r="G10360" s="84"/>
      <c r="I10360" s="237"/>
      <c r="J10360" s="238"/>
    </row>
    <row r="10361">
      <c r="C10361" s="82"/>
      <c r="E10361" s="84"/>
      <c r="F10361" s="84"/>
      <c r="G10361" s="84"/>
      <c r="I10361" s="237"/>
      <c r="J10361" s="238"/>
    </row>
    <row r="10362">
      <c r="C10362" s="82"/>
      <c r="E10362" s="84"/>
      <c r="F10362" s="84"/>
      <c r="G10362" s="84"/>
      <c r="I10362" s="237"/>
      <c r="J10362" s="238"/>
    </row>
    <row r="10363">
      <c r="C10363" s="82"/>
      <c r="E10363" s="84"/>
      <c r="F10363" s="84"/>
      <c r="G10363" s="84"/>
      <c r="I10363" s="237"/>
      <c r="J10363" s="238"/>
    </row>
    <row r="10364">
      <c r="C10364" s="82"/>
      <c r="E10364" s="84"/>
      <c r="F10364" s="84"/>
      <c r="G10364" s="84"/>
      <c r="I10364" s="237"/>
      <c r="J10364" s="238"/>
    </row>
    <row r="10365">
      <c r="C10365" s="82"/>
      <c r="E10365" s="84"/>
      <c r="F10365" s="84"/>
      <c r="G10365" s="84"/>
      <c r="I10365" s="237"/>
      <c r="J10365" s="238"/>
    </row>
    <row r="10366">
      <c r="C10366" s="82"/>
      <c r="E10366" s="84"/>
      <c r="F10366" s="84"/>
      <c r="G10366" s="84"/>
      <c r="I10366" s="237"/>
      <c r="J10366" s="238"/>
    </row>
    <row r="10367">
      <c r="C10367" s="82"/>
      <c r="E10367" s="84"/>
      <c r="F10367" s="84"/>
      <c r="G10367" s="84"/>
      <c r="I10367" s="237"/>
      <c r="J10367" s="238"/>
    </row>
    <row r="10368">
      <c r="C10368" s="82"/>
      <c r="E10368" s="84"/>
      <c r="F10368" s="84"/>
      <c r="G10368" s="84"/>
      <c r="I10368" s="237"/>
      <c r="J10368" s="238"/>
    </row>
    <row r="10369">
      <c r="C10369" s="82"/>
      <c r="E10369" s="84"/>
      <c r="F10369" s="84"/>
      <c r="G10369" s="84"/>
      <c r="I10369" s="237"/>
      <c r="J10369" s="238"/>
    </row>
    <row r="10370">
      <c r="C10370" s="82"/>
      <c r="E10370" s="84"/>
      <c r="F10370" s="84"/>
      <c r="G10370" s="84"/>
      <c r="I10370" s="237"/>
      <c r="J10370" s="238"/>
    </row>
    <row r="10371">
      <c r="C10371" s="82"/>
      <c r="E10371" s="84"/>
      <c r="F10371" s="84"/>
      <c r="G10371" s="84"/>
      <c r="I10371" s="237"/>
      <c r="J10371" s="238"/>
    </row>
    <row r="10372">
      <c r="C10372" s="82"/>
      <c r="E10372" s="84"/>
      <c r="F10372" s="84"/>
      <c r="G10372" s="84"/>
      <c r="I10372" s="237"/>
      <c r="J10372" s="238"/>
    </row>
    <row r="10373">
      <c r="C10373" s="82"/>
      <c r="E10373" s="84"/>
      <c r="F10373" s="84"/>
      <c r="G10373" s="84"/>
      <c r="I10373" s="237"/>
      <c r="J10373" s="238"/>
    </row>
    <row r="10374">
      <c r="C10374" s="82"/>
      <c r="E10374" s="84"/>
      <c r="F10374" s="84"/>
      <c r="G10374" s="84"/>
      <c r="I10374" s="237"/>
      <c r="J10374" s="238"/>
    </row>
    <row r="10375">
      <c r="C10375" s="82"/>
      <c r="E10375" s="84"/>
      <c r="F10375" s="84"/>
      <c r="G10375" s="84"/>
      <c r="I10375" s="237"/>
      <c r="J10375" s="238"/>
    </row>
    <row r="10376">
      <c r="C10376" s="82"/>
      <c r="E10376" s="84"/>
      <c r="F10376" s="84"/>
      <c r="G10376" s="84"/>
      <c r="I10376" s="237"/>
      <c r="J10376" s="238"/>
    </row>
    <row r="10377">
      <c r="C10377" s="82"/>
      <c r="E10377" s="84"/>
      <c r="F10377" s="84"/>
      <c r="G10377" s="84"/>
      <c r="I10377" s="237"/>
      <c r="J10377" s="238"/>
    </row>
    <row r="10378">
      <c r="C10378" s="82"/>
      <c r="E10378" s="84"/>
      <c r="F10378" s="84"/>
      <c r="G10378" s="84"/>
      <c r="I10378" s="237"/>
      <c r="J10378" s="238"/>
    </row>
    <row r="10379">
      <c r="C10379" s="82"/>
      <c r="E10379" s="84"/>
      <c r="F10379" s="84"/>
      <c r="G10379" s="84"/>
      <c r="I10379" s="237"/>
      <c r="J10379" s="238"/>
    </row>
    <row r="10380">
      <c r="C10380" s="82"/>
      <c r="E10380" s="84"/>
      <c r="F10380" s="84"/>
      <c r="G10380" s="84"/>
      <c r="I10380" s="237"/>
      <c r="J10380" s="238"/>
    </row>
    <row r="10381">
      <c r="C10381" s="82"/>
      <c r="E10381" s="84"/>
      <c r="F10381" s="84"/>
      <c r="G10381" s="84"/>
      <c r="I10381" s="237"/>
      <c r="J10381" s="238"/>
    </row>
    <row r="10382">
      <c r="C10382" s="82"/>
      <c r="E10382" s="84"/>
      <c r="F10382" s="84"/>
      <c r="G10382" s="84"/>
      <c r="I10382" s="237"/>
      <c r="J10382" s="238"/>
    </row>
    <row r="10383">
      <c r="C10383" s="82"/>
      <c r="E10383" s="84"/>
      <c r="F10383" s="84"/>
      <c r="G10383" s="84"/>
      <c r="I10383" s="237"/>
      <c r="J10383" s="238"/>
    </row>
    <row r="10384">
      <c r="C10384" s="82"/>
      <c r="E10384" s="84"/>
      <c r="F10384" s="84"/>
      <c r="G10384" s="84"/>
      <c r="I10384" s="237"/>
      <c r="J10384" s="238"/>
    </row>
    <row r="10385">
      <c r="C10385" s="82"/>
      <c r="E10385" s="84"/>
      <c r="F10385" s="84"/>
      <c r="G10385" s="84"/>
      <c r="I10385" s="237"/>
      <c r="J10385" s="238"/>
    </row>
    <row r="10386">
      <c r="C10386" s="82"/>
      <c r="E10386" s="84"/>
      <c r="F10386" s="84"/>
      <c r="G10386" s="84"/>
      <c r="I10386" s="237"/>
      <c r="J10386" s="238"/>
    </row>
    <row r="10387">
      <c r="C10387" s="82"/>
      <c r="E10387" s="84"/>
      <c r="F10387" s="84"/>
      <c r="G10387" s="84"/>
      <c r="I10387" s="237"/>
      <c r="J10387" s="238"/>
    </row>
    <row r="10388">
      <c r="C10388" s="82"/>
      <c r="E10388" s="84"/>
      <c r="F10388" s="84"/>
      <c r="G10388" s="84"/>
      <c r="I10388" s="237"/>
      <c r="J10388" s="238"/>
    </row>
    <row r="10389">
      <c r="C10389" s="82"/>
      <c r="E10389" s="84"/>
      <c r="F10389" s="84"/>
      <c r="G10389" s="84"/>
      <c r="I10389" s="237"/>
      <c r="J10389" s="238"/>
    </row>
    <row r="10390">
      <c r="C10390" s="82"/>
      <c r="E10390" s="84"/>
      <c r="F10390" s="84"/>
      <c r="G10390" s="84"/>
      <c r="I10390" s="237"/>
      <c r="J10390" s="238"/>
    </row>
    <row r="10391">
      <c r="C10391" s="82"/>
      <c r="E10391" s="84"/>
      <c r="F10391" s="84"/>
      <c r="G10391" s="84"/>
      <c r="I10391" s="237"/>
      <c r="J10391" s="238"/>
    </row>
    <row r="10392">
      <c r="C10392" s="82"/>
      <c r="E10392" s="84"/>
      <c r="F10392" s="84"/>
      <c r="G10392" s="84"/>
      <c r="I10392" s="237"/>
      <c r="J10392" s="238"/>
    </row>
    <row r="10393">
      <c r="C10393" s="82"/>
      <c r="E10393" s="84"/>
      <c r="F10393" s="84"/>
      <c r="G10393" s="84"/>
      <c r="I10393" s="237"/>
      <c r="J10393" s="238"/>
    </row>
    <row r="10394">
      <c r="C10394" s="82"/>
      <c r="E10394" s="84"/>
      <c r="F10394" s="84"/>
      <c r="G10394" s="84"/>
      <c r="I10394" s="237"/>
      <c r="J10394" s="238"/>
    </row>
    <row r="10395">
      <c r="C10395" s="82"/>
      <c r="E10395" s="84"/>
      <c r="F10395" s="84"/>
      <c r="G10395" s="84"/>
      <c r="I10395" s="237"/>
      <c r="J10395" s="238"/>
    </row>
    <row r="10396">
      <c r="C10396" s="82"/>
      <c r="E10396" s="84"/>
      <c r="F10396" s="84"/>
      <c r="G10396" s="84"/>
      <c r="I10396" s="237"/>
      <c r="J10396" s="238"/>
    </row>
    <row r="10397">
      <c r="C10397" s="82"/>
      <c r="E10397" s="84"/>
      <c r="F10397" s="84"/>
      <c r="G10397" s="84"/>
      <c r="I10397" s="237"/>
      <c r="J10397" s="238"/>
    </row>
    <row r="10398">
      <c r="C10398" s="82"/>
      <c r="E10398" s="84"/>
      <c r="F10398" s="84"/>
      <c r="G10398" s="84"/>
      <c r="I10398" s="237"/>
      <c r="J10398" s="238"/>
    </row>
    <row r="10399">
      <c r="C10399" s="82"/>
      <c r="E10399" s="84"/>
      <c r="F10399" s="84"/>
      <c r="G10399" s="84"/>
      <c r="I10399" s="237"/>
      <c r="J10399" s="238"/>
    </row>
    <row r="10400">
      <c r="C10400" s="82"/>
      <c r="E10400" s="84"/>
      <c r="F10400" s="84"/>
      <c r="G10400" s="84"/>
      <c r="I10400" s="237"/>
      <c r="J10400" s="238"/>
    </row>
    <row r="10401">
      <c r="C10401" s="82"/>
      <c r="E10401" s="84"/>
      <c r="F10401" s="84"/>
      <c r="G10401" s="84"/>
      <c r="I10401" s="237"/>
      <c r="J10401" s="238"/>
    </row>
    <row r="10402">
      <c r="C10402" s="82"/>
      <c r="E10402" s="84"/>
      <c r="F10402" s="84"/>
      <c r="G10402" s="84"/>
      <c r="I10402" s="237"/>
      <c r="J10402" s="238"/>
    </row>
    <row r="10403">
      <c r="C10403" s="82"/>
      <c r="E10403" s="84"/>
      <c r="F10403" s="84"/>
      <c r="G10403" s="84"/>
      <c r="I10403" s="237"/>
      <c r="J10403" s="238"/>
    </row>
    <row r="10404">
      <c r="C10404" s="82"/>
      <c r="E10404" s="84"/>
      <c r="F10404" s="84"/>
      <c r="G10404" s="84"/>
      <c r="I10404" s="237"/>
      <c r="J10404" s="238"/>
    </row>
    <row r="10405">
      <c r="C10405" s="82"/>
      <c r="E10405" s="84"/>
      <c r="F10405" s="84"/>
      <c r="G10405" s="84"/>
      <c r="I10405" s="237"/>
      <c r="J10405" s="238"/>
    </row>
    <row r="10406">
      <c r="C10406" s="82"/>
      <c r="E10406" s="84"/>
      <c r="F10406" s="84"/>
      <c r="G10406" s="84"/>
      <c r="I10406" s="237"/>
      <c r="J10406" s="238"/>
    </row>
    <row r="10407">
      <c r="C10407" s="82"/>
      <c r="E10407" s="84"/>
      <c r="F10407" s="84"/>
      <c r="G10407" s="84"/>
      <c r="I10407" s="237"/>
      <c r="J10407" s="238"/>
    </row>
    <row r="10408">
      <c r="C10408" s="82"/>
      <c r="E10408" s="84"/>
      <c r="F10408" s="84"/>
      <c r="G10408" s="84"/>
      <c r="I10408" s="237"/>
      <c r="J10408" s="238"/>
    </row>
    <row r="10409">
      <c r="C10409" s="82"/>
      <c r="E10409" s="84"/>
      <c r="F10409" s="84"/>
      <c r="G10409" s="84"/>
      <c r="I10409" s="237"/>
      <c r="J10409" s="238"/>
    </row>
    <row r="10410">
      <c r="C10410" s="82"/>
      <c r="E10410" s="84"/>
      <c r="F10410" s="84"/>
      <c r="G10410" s="84"/>
      <c r="I10410" s="237"/>
      <c r="J10410" s="238"/>
    </row>
    <row r="10411">
      <c r="C10411" s="82"/>
      <c r="E10411" s="84"/>
      <c r="F10411" s="84"/>
      <c r="G10411" s="84"/>
      <c r="I10411" s="237"/>
      <c r="J10411" s="238"/>
    </row>
    <row r="10412">
      <c r="C10412" s="82"/>
      <c r="E10412" s="84"/>
      <c r="F10412" s="84"/>
      <c r="G10412" s="84"/>
      <c r="I10412" s="237"/>
      <c r="J10412" s="238"/>
    </row>
    <row r="10413">
      <c r="C10413" s="82"/>
      <c r="E10413" s="84"/>
      <c r="F10413" s="84"/>
      <c r="G10413" s="84"/>
      <c r="I10413" s="237"/>
      <c r="J10413" s="238"/>
    </row>
    <row r="10414">
      <c r="C10414" s="82"/>
      <c r="E10414" s="84"/>
      <c r="F10414" s="84"/>
      <c r="G10414" s="84"/>
      <c r="I10414" s="237"/>
      <c r="J10414" s="238"/>
    </row>
    <row r="10415">
      <c r="C10415" s="82"/>
      <c r="E10415" s="84"/>
      <c r="F10415" s="84"/>
      <c r="G10415" s="84"/>
      <c r="I10415" s="237"/>
      <c r="J10415" s="238"/>
    </row>
    <row r="10416">
      <c r="C10416" s="82"/>
      <c r="E10416" s="84"/>
      <c r="F10416" s="84"/>
      <c r="G10416" s="84"/>
      <c r="I10416" s="237"/>
      <c r="J10416" s="238"/>
    </row>
    <row r="10417">
      <c r="C10417" s="82"/>
      <c r="E10417" s="84"/>
      <c r="F10417" s="84"/>
      <c r="G10417" s="84"/>
      <c r="I10417" s="237"/>
      <c r="J10417" s="238"/>
    </row>
    <row r="10418">
      <c r="C10418" s="82"/>
      <c r="E10418" s="84"/>
      <c r="F10418" s="84"/>
      <c r="G10418" s="84"/>
      <c r="I10418" s="237"/>
      <c r="J10418" s="238"/>
    </row>
    <row r="10419">
      <c r="C10419" s="82"/>
      <c r="E10419" s="84"/>
      <c r="F10419" s="84"/>
      <c r="G10419" s="84"/>
      <c r="I10419" s="237"/>
      <c r="J10419" s="238"/>
    </row>
    <row r="10420">
      <c r="C10420" s="82"/>
      <c r="E10420" s="84"/>
      <c r="F10420" s="84"/>
      <c r="G10420" s="84"/>
      <c r="I10420" s="237"/>
      <c r="J10420" s="238"/>
    </row>
    <row r="10421">
      <c r="C10421" s="82"/>
      <c r="E10421" s="84"/>
      <c r="F10421" s="84"/>
      <c r="G10421" s="84"/>
      <c r="I10421" s="237"/>
      <c r="J10421" s="238"/>
    </row>
    <row r="10422">
      <c r="C10422" s="82"/>
      <c r="E10422" s="84"/>
      <c r="F10422" s="84"/>
      <c r="G10422" s="84"/>
      <c r="I10422" s="237"/>
      <c r="J10422" s="238"/>
    </row>
    <row r="10423">
      <c r="C10423" s="82"/>
      <c r="E10423" s="84"/>
      <c r="F10423" s="84"/>
      <c r="G10423" s="84"/>
      <c r="I10423" s="237"/>
      <c r="J10423" s="238"/>
    </row>
    <row r="10424">
      <c r="C10424" s="82"/>
      <c r="E10424" s="84"/>
      <c r="F10424" s="84"/>
      <c r="G10424" s="84"/>
      <c r="I10424" s="237"/>
      <c r="J10424" s="238"/>
    </row>
    <row r="10425">
      <c r="C10425" s="82"/>
      <c r="E10425" s="84"/>
      <c r="F10425" s="84"/>
      <c r="G10425" s="84"/>
      <c r="I10425" s="237"/>
      <c r="J10425" s="238"/>
    </row>
    <row r="10426">
      <c r="C10426" s="82"/>
      <c r="E10426" s="84"/>
      <c r="F10426" s="84"/>
      <c r="G10426" s="84"/>
      <c r="I10426" s="237"/>
      <c r="J10426" s="238"/>
    </row>
    <row r="10427">
      <c r="C10427" s="82"/>
      <c r="E10427" s="84"/>
      <c r="F10427" s="84"/>
      <c r="G10427" s="84"/>
      <c r="I10427" s="237"/>
      <c r="J10427" s="238"/>
    </row>
    <row r="10428">
      <c r="C10428" s="82"/>
      <c r="E10428" s="84"/>
      <c r="F10428" s="84"/>
      <c r="G10428" s="84"/>
      <c r="I10428" s="237"/>
      <c r="J10428" s="238"/>
    </row>
    <row r="10429">
      <c r="C10429" s="82"/>
      <c r="E10429" s="84"/>
      <c r="F10429" s="84"/>
      <c r="G10429" s="84"/>
      <c r="I10429" s="237"/>
      <c r="J10429" s="238"/>
    </row>
    <row r="10430">
      <c r="C10430" s="82"/>
      <c r="E10430" s="84"/>
      <c r="F10430" s="84"/>
      <c r="G10430" s="84"/>
      <c r="I10430" s="237"/>
      <c r="J10430" s="238"/>
    </row>
    <row r="10431">
      <c r="C10431" s="82"/>
      <c r="E10431" s="84"/>
      <c r="F10431" s="84"/>
      <c r="G10431" s="84"/>
      <c r="I10431" s="237"/>
      <c r="J10431" s="238"/>
    </row>
    <row r="10432">
      <c r="C10432" s="82"/>
      <c r="E10432" s="84"/>
      <c r="F10432" s="84"/>
      <c r="G10432" s="84"/>
      <c r="I10432" s="237"/>
      <c r="J10432" s="238"/>
    </row>
    <row r="10433">
      <c r="C10433" s="82"/>
      <c r="E10433" s="84"/>
      <c r="F10433" s="84"/>
      <c r="G10433" s="84"/>
      <c r="I10433" s="237"/>
      <c r="J10433" s="238"/>
    </row>
    <row r="10434">
      <c r="C10434" s="82"/>
      <c r="E10434" s="84"/>
      <c r="F10434" s="84"/>
      <c r="G10434" s="84"/>
      <c r="I10434" s="237"/>
      <c r="J10434" s="238"/>
    </row>
    <row r="10435">
      <c r="C10435" s="82"/>
      <c r="E10435" s="84"/>
      <c r="F10435" s="84"/>
      <c r="G10435" s="84"/>
      <c r="I10435" s="237"/>
      <c r="J10435" s="238"/>
    </row>
    <row r="10436">
      <c r="C10436" s="82"/>
      <c r="E10436" s="84"/>
      <c r="F10436" s="84"/>
      <c r="G10436" s="84"/>
      <c r="I10436" s="237"/>
      <c r="J10436" s="238"/>
    </row>
    <row r="10437">
      <c r="C10437" s="82"/>
      <c r="E10437" s="84"/>
      <c r="F10437" s="84"/>
      <c r="G10437" s="84"/>
      <c r="I10437" s="237"/>
      <c r="J10437" s="238"/>
    </row>
    <row r="10438">
      <c r="C10438" s="82"/>
      <c r="E10438" s="84"/>
      <c r="F10438" s="84"/>
      <c r="G10438" s="84"/>
      <c r="I10438" s="237"/>
      <c r="J10438" s="238"/>
    </row>
    <row r="10439">
      <c r="C10439" s="82"/>
      <c r="E10439" s="84"/>
      <c r="F10439" s="84"/>
      <c r="G10439" s="84"/>
      <c r="I10439" s="237"/>
      <c r="J10439" s="238"/>
    </row>
    <row r="10440">
      <c r="C10440" s="82"/>
      <c r="E10440" s="84"/>
      <c r="F10440" s="84"/>
      <c r="G10440" s="84"/>
      <c r="I10440" s="237"/>
      <c r="J10440" s="238"/>
    </row>
    <row r="10441">
      <c r="C10441" s="82"/>
      <c r="E10441" s="84"/>
      <c r="F10441" s="84"/>
      <c r="G10441" s="84"/>
      <c r="I10441" s="237"/>
      <c r="J10441" s="238"/>
    </row>
    <row r="10442">
      <c r="C10442" s="82"/>
      <c r="E10442" s="84"/>
      <c r="F10442" s="84"/>
      <c r="G10442" s="84"/>
      <c r="I10442" s="237"/>
      <c r="J10442" s="238"/>
    </row>
    <row r="10443">
      <c r="C10443" s="82"/>
      <c r="E10443" s="84"/>
      <c r="F10443" s="84"/>
      <c r="G10443" s="84"/>
      <c r="I10443" s="237"/>
      <c r="J10443" s="238"/>
    </row>
    <row r="10444">
      <c r="C10444" s="82"/>
      <c r="E10444" s="84"/>
      <c r="F10444" s="84"/>
      <c r="G10444" s="84"/>
      <c r="I10444" s="237"/>
      <c r="J10444" s="238"/>
    </row>
    <row r="10445">
      <c r="C10445" s="82"/>
      <c r="E10445" s="84"/>
      <c r="F10445" s="84"/>
      <c r="G10445" s="84"/>
      <c r="I10445" s="237"/>
      <c r="J10445" s="238"/>
    </row>
    <row r="10446">
      <c r="C10446" s="82"/>
      <c r="E10446" s="84"/>
      <c r="F10446" s="84"/>
      <c r="G10446" s="84"/>
      <c r="I10446" s="237"/>
      <c r="J10446" s="238"/>
    </row>
    <row r="10447">
      <c r="C10447" s="82"/>
      <c r="E10447" s="84"/>
      <c r="F10447" s="84"/>
      <c r="G10447" s="84"/>
      <c r="I10447" s="237"/>
      <c r="J10447" s="238"/>
    </row>
    <row r="10448">
      <c r="C10448" s="82"/>
      <c r="E10448" s="84"/>
      <c r="F10448" s="84"/>
      <c r="G10448" s="84"/>
      <c r="I10448" s="237"/>
      <c r="J10448" s="238"/>
    </row>
    <row r="10449">
      <c r="C10449" s="82"/>
      <c r="E10449" s="84"/>
      <c r="F10449" s="84"/>
      <c r="G10449" s="84"/>
      <c r="I10449" s="237"/>
      <c r="J10449" s="238"/>
    </row>
    <row r="10450">
      <c r="C10450" s="82"/>
      <c r="E10450" s="84"/>
      <c r="F10450" s="84"/>
      <c r="G10450" s="84"/>
      <c r="I10450" s="237"/>
      <c r="J10450" s="238"/>
    </row>
    <row r="10451">
      <c r="C10451" s="82"/>
      <c r="E10451" s="84"/>
      <c r="F10451" s="84"/>
      <c r="G10451" s="84"/>
      <c r="I10451" s="237"/>
      <c r="J10451" s="238"/>
    </row>
    <row r="10452">
      <c r="C10452" s="82"/>
      <c r="E10452" s="84"/>
      <c r="F10452" s="84"/>
      <c r="G10452" s="84"/>
      <c r="I10452" s="237"/>
      <c r="J10452" s="238"/>
    </row>
    <row r="10453">
      <c r="C10453" s="82"/>
      <c r="E10453" s="84"/>
      <c r="F10453" s="84"/>
      <c r="G10453" s="84"/>
      <c r="I10453" s="237"/>
      <c r="J10453" s="238"/>
    </row>
    <row r="10454">
      <c r="C10454" s="82"/>
      <c r="E10454" s="84"/>
      <c r="F10454" s="84"/>
      <c r="G10454" s="84"/>
      <c r="I10454" s="237"/>
      <c r="J10454" s="238"/>
    </row>
    <row r="10455">
      <c r="C10455" s="82"/>
      <c r="E10455" s="84"/>
      <c r="F10455" s="84"/>
      <c r="G10455" s="84"/>
      <c r="I10455" s="237"/>
      <c r="J10455" s="238"/>
    </row>
    <row r="10456">
      <c r="C10456" s="82"/>
      <c r="E10456" s="84"/>
      <c r="F10456" s="84"/>
      <c r="G10456" s="84"/>
      <c r="I10456" s="237"/>
      <c r="J10456" s="238"/>
    </row>
    <row r="10457">
      <c r="C10457" s="82"/>
      <c r="E10457" s="84"/>
      <c r="F10457" s="84"/>
      <c r="G10457" s="84"/>
      <c r="I10457" s="237"/>
      <c r="J10457" s="238"/>
    </row>
    <row r="10458">
      <c r="C10458" s="82"/>
      <c r="E10458" s="84"/>
      <c r="F10458" s="84"/>
      <c r="G10458" s="84"/>
      <c r="I10458" s="237"/>
      <c r="J10458" s="238"/>
    </row>
    <row r="10459">
      <c r="C10459" s="82"/>
      <c r="E10459" s="84"/>
      <c r="F10459" s="84"/>
      <c r="G10459" s="84"/>
      <c r="I10459" s="237"/>
      <c r="J10459" s="238"/>
    </row>
    <row r="10460">
      <c r="C10460" s="82"/>
      <c r="E10460" s="84"/>
      <c r="F10460" s="84"/>
      <c r="G10460" s="84"/>
      <c r="I10460" s="237"/>
      <c r="J10460" s="238"/>
    </row>
    <row r="10461">
      <c r="C10461" s="82"/>
      <c r="E10461" s="84"/>
      <c r="F10461" s="84"/>
      <c r="G10461" s="84"/>
      <c r="I10461" s="237"/>
      <c r="J10461" s="238"/>
    </row>
    <row r="10462">
      <c r="C10462" s="82"/>
      <c r="E10462" s="84"/>
      <c r="F10462" s="84"/>
      <c r="G10462" s="84"/>
      <c r="I10462" s="237"/>
      <c r="J10462" s="238"/>
    </row>
    <row r="10463">
      <c r="C10463" s="82"/>
      <c r="E10463" s="84"/>
      <c r="F10463" s="84"/>
      <c r="G10463" s="84"/>
      <c r="I10463" s="237"/>
      <c r="J10463" s="238"/>
    </row>
    <row r="10464">
      <c r="C10464" s="82"/>
      <c r="E10464" s="84"/>
      <c r="F10464" s="84"/>
      <c r="G10464" s="84"/>
      <c r="I10464" s="237"/>
      <c r="J10464" s="238"/>
    </row>
    <row r="10465">
      <c r="C10465" s="82"/>
      <c r="E10465" s="84"/>
      <c r="F10465" s="84"/>
      <c r="G10465" s="84"/>
      <c r="I10465" s="237"/>
      <c r="J10465" s="238"/>
    </row>
    <row r="10466">
      <c r="C10466" s="82"/>
      <c r="E10466" s="84"/>
      <c r="F10466" s="84"/>
      <c r="G10466" s="84"/>
      <c r="I10466" s="237"/>
      <c r="J10466" s="238"/>
    </row>
    <row r="10467">
      <c r="C10467" s="82"/>
      <c r="E10467" s="84"/>
      <c r="F10467" s="84"/>
      <c r="G10467" s="84"/>
      <c r="I10467" s="237"/>
      <c r="J10467" s="238"/>
    </row>
    <row r="10468">
      <c r="C10468" s="82"/>
      <c r="E10468" s="84"/>
      <c r="F10468" s="84"/>
      <c r="G10468" s="84"/>
      <c r="I10468" s="237"/>
      <c r="J10468" s="238"/>
    </row>
    <row r="10469">
      <c r="C10469" s="82"/>
      <c r="E10469" s="84"/>
      <c r="F10469" s="84"/>
      <c r="G10469" s="84"/>
      <c r="I10469" s="237"/>
      <c r="J10469" s="238"/>
    </row>
    <row r="10470">
      <c r="C10470" s="82"/>
      <c r="E10470" s="84"/>
      <c r="F10470" s="84"/>
      <c r="G10470" s="84"/>
      <c r="I10470" s="237"/>
      <c r="J10470" s="238"/>
    </row>
    <row r="10471">
      <c r="C10471" s="82"/>
      <c r="E10471" s="84"/>
      <c r="F10471" s="84"/>
      <c r="G10471" s="84"/>
      <c r="I10471" s="237"/>
      <c r="J10471" s="238"/>
    </row>
    <row r="10472">
      <c r="C10472" s="82"/>
      <c r="E10472" s="84"/>
      <c r="F10472" s="84"/>
      <c r="G10472" s="84"/>
      <c r="I10472" s="237"/>
      <c r="J10472" s="238"/>
    </row>
    <row r="10473">
      <c r="C10473" s="82"/>
      <c r="E10473" s="84"/>
      <c r="F10473" s="84"/>
      <c r="G10473" s="84"/>
      <c r="I10473" s="237"/>
      <c r="J10473" s="238"/>
    </row>
    <row r="10474">
      <c r="C10474" s="82"/>
      <c r="E10474" s="84"/>
      <c r="F10474" s="84"/>
      <c r="G10474" s="84"/>
      <c r="I10474" s="237"/>
      <c r="J10474" s="238"/>
    </row>
    <row r="10475">
      <c r="C10475" s="82"/>
      <c r="E10475" s="84"/>
      <c r="F10475" s="84"/>
      <c r="G10475" s="84"/>
      <c r="I10475" s="237"/>
      <c r="J10475" s="238"/>
    </row>
    <row r="10476">
      <c r="C10476" s="82"/>
      <c r="E10476" s="84"/>
      <c r="F10476" s="84"/>
      <c r="G10476" s="84"/>
      <c r="I10476" s="237"/>
      <c r="J10476" s="238"/>
    </row>
    <row r="10477">
      <c r="C10477" s="82"/>
      <c r="E10477" s="84"/>
      <c r="F10477" s="84"/>
      <c r="G10477" s="84"/>
      <c r="I10477" s="237"/>
      <c r="J10477" s="238"/>
    </row>
    <row r="10478">
      <c r="C10478" s="82"/>
      <c r="E10478" s="84"/>
      <c r="F10478" s="84"/>
      <c r="G10478" s="84"/>
      <c r="I10478" s="237"/>
      <c r="J10478" s="238"/>
    </row>
    <row r="10479">
      <c r="C10479" s="82"/>
      <c r="E10479" s="84"/>
      <c r="F10479" s="84"/>
      <c r="G10479" s="84"/>
      <c r="I10479" s="237"/>
      <c r="J10479" s="238"/>
    </row>
    <row r="10480">
      <c r="C10480" s="82"/>
      <c r="E10480" s="84"/>
      <c r="F10480" s="84"/>
      <c r="G10480" s="84"/>
      <c r="I10480" s="237"/>
      <c r="J10480" s="238"/>
    </row>
    <row r="10481">
      <c r="C10481" s="82"/>
      <c r="E10481" s="84"/>
      <c r="F10481" s="84"/>
      <c r="G10481" s="84"/>
      <c r="I10481" s="237"/>
      <c r="J10481" s="238"/>
    </row>
    <row r="10482">
      <c r="C10482" s="82"/>
      <c r="E10482" s="84"/>
      <c r="F10482" s="84"/>
      <c r="G10482" s="84"/>
      <c r="I10482" s="237"/>
      <c r="J10482" s="238"/>
    </row>
    <row r="10483">
      <c r="C10483" s="82"/>
      <c r="E10483" s="84"/>
      <c r="F10483" s="84"/>
      <c r="G10483" s="84"/>
      <c r="I10483" s="237"/>
      <c r="J10483" s="238"/>
    </row>
    <row r="10484">
      <c r="C10484" s="82"/>
      <c r="E10484" s="84"/>
      <c r="F10484" s="84"/>
      <c r="G10484" s="84"/>
      <c r="I10484" s="237"/>
      <c r="J10484" s="238"/>
    </row>
    <row r="10485">
      <c r="C10485" s="82"/>
      <c r="E10485" s="84"/>
      <c r="F10485" s="84"/>
      <c r="G10485" s="84"/>
      <c r="I10485" s="237"/>
      <c r="J10485" s="238"/>
    </row>
    <row r="10486">
      <c r="C10486" s="82"/>
      <c r="E10486" s="84"/>
      <c r="F10486" s="84"/>
      <c r="G10486" s="84"/>
      <c r="I10486" s="237"/>
      <c r="J10486" s="238"/>
    </row>
    <row r="10487">
      <c r="C10487" s="82"/>
      <c r="E10487" s="84"/>
      <c r="F10487" s="84"/>
      <c r="G10487" s="84"/>
      <c r="I10487" s="237"/>
      <c r="J10487" s="238"/>
    </row>
    <row r="10488">
      <c r="C10488" s="82"/>
      <c r="E10488" s="84"/>
      <c r="F10488" s="84"/>
      <c r="G10488" s="84"/>
      <c r="I10488" s="237"/>
      <c r="J10488" s="238"/>
    </row>
    <row r="10489">
      <c r="C10489" s="82"/>
      <c r="E10489" s="84"/>
      <c r="F10489" s="84"/>
      <c r="G10489" s="84"/>
      <c r="I10489" s="237"/>
      <c r="J10489" s="238"/>
    </row>
    <row r="10490">
      <c r="C10490" s="82"/>
      <c r="E10490" s="84"/>
      <c r="F10490" s="84"/>
      <c r="G10490" s="84"/>
      <c r="I10490" s="237"/>
      <c r="J10490" s="238"/>
    </row>
    <row r="10491">
      <c r="C10491" s="82"/>
      <c r="E10491" s="84"/>
      <c r="F10491" s="84"/>
      <c r="G10491" s="84"/>
      <c r="I10491" s="237"/>
      <c r="J10491" s="238"/>
    </row>
    <row r="10492">
      <c r="C10492" s="82"/>
      <c r="E10492" s="84"/>
      <c r="F10492" s="84"/>
      <c r="G10492" s="84"/>
      <c r="I10492" s="237"/>
      <c r="J10492" s="238"/>
    </row>
    <row r="10493">
      <c r="C10493" s="82"/>
      <c r="E10493" s="84"/>
      <c r="F10493" s="84"/>
      <c r="G10493" s="84"/>
      <c r="I10493" s="237"/>
      <c r="J10493" s="238"/>
    </row>
    <row r="10494">
      <c r="C10494" s="82"/>
      <c r="E10494" s="84"/>
      <c r="F10494" s="84"/>
      <c r="G10494" s="84"/>
      <c r="I10494" s="237"/>
      <c r="J10494" s="238"/>
    </row>
    <row r="10495">
      <c r="C10495" s="82"/>
      <c r="E10495" s="84"/>
      <c r="F10495" s="84"/>
      <c r="G10495" s="84"/>
      <c r="I10495" s="237"/>
      <c r="J10495" s="238"/>
    </row>
    <row r="10496">
      <c r="C10496" s="82"/>
      <c r="E10496" s="84"/>
      <c r="F10496" s="84"/>
      <c r="G10496" s="84"/>
      <c r="I10496" s="237"/>
      <c r="J10496" s="238"/>
    </row>
    <row r="10497">
      <c r="C10497" s="82"/>
      <c r="E10497" s="84"/>
      <c r="F10497" s="84"/>
      <c r="G10497" s="84"/>
      <c r="I10497" s="237"/>
      <c r="J10497" s="238"/>
    </row>
    <row r="10498">
      <c r="C10498" s="82"/>
      <c r="E10498" s="84"/>
      <c r="F10498" s="84"/>
      <c r="G10498" s="84"/>
      <c r="I10498" s="237"/>
      <c r="J10498" s="238"/>
    </row>
    <row r="10499">
      <c r="C10499" s="82"/>
      <c r="E10499" s="84"/>
      <c r="F10499" s="84"/>
      <c r="G10499" s="84"/>
      <c r="I10499" s="237"/>
      <c r="J10499" s="238"/>
    </row>
    <row r="10500">
      <c r="C10500" s="82"/>
      <c r="E10500" s="84"/>
      <c r="F10500" s="84"/>
      <c r="G10500" s="84"/>
      <c r="I10500" s="237"/>
      <c r="J10500" s="238"/>
    </row>
    <row r="10501">
      <c r="C10501" s="82"/>
      <c r="E10501" s="84"/>
      <c r="F10501" s="84"/>
      <c r="G10501" s="84"/>
      <c r="I10501" s="237"/>
      <c r="J10501" s="238"/>
    </row>
    <row r="10502">
      <c r="C10502" s="82"/>
      <c r="E10502" s="84"/>
      <c r="F10502" s="84"/>
      <c r="G10502" s="84"/>
      <c r="I10502" s="237"/>
      <c r="J10502" s="238"/>
    </row>
    <row r="10503">
      <c r="C10503" s="82"/>
      <c r="E10503" s="84"/>
      <c r="F10503" s="84"/>
      <c r="G10503" s="84"/>
      <c r="I10503" s="237"/>
      <c r="J10503" s="238"/>
    </row>
    <row r="10504">
      <c r="C10504" s="82"/>
      <c r="E10504" s="84"/>
      <c r="F10504" s="84"/>
      <c r="G10504" s="84"/>
      <c r="I10504" s="237"/>
      <c r="J10504" s="238"/>
    </row>
    <row r="10505">
      <c r="C10505" s="82"/>
      <c r="E10505" s="84"/>
      <c r="F10505" s="84"/>
      <c r="G10505" s="84"/>
      <c r="I10505" s="237"/>
      <c r="J10505" s="238"/>
    </row>
    <row r="10506">
      <c r="C10506" s="82"/>
      <c r="E10506" s="84"/>
      <c r="F10506" s="84"/>
      <c r="G10506" s="84"/>
      <c r="I10506" s="237"/>
      <c r="J10506" s="238"/>
    </row>
    <row r="10507">
      <c r="C10507" s="82"/>
      <c r="E10507" s="84"/>
      <c r="F10507" s="84"/>
      <c r="G10507" s="84"/>
      <c r="I10507" s="237"/>
      <c r="J10507" s="238"/>
    </row>
    <row r="10508">
      <c r="C10508" s="82"/>
      <c r="E10508" s="84"/>
      <c r="F10508" s="84"/>
      <c r="G10508" s="84"/>
      <c r="I10508" s="237"/>
      <c r="J10508" s="238"/>
    </row>
    <row r="10509">
      <c r="C10509" s="82"/>
      <c r="E10509" s="84"/>
      <c r="F10509" s="84"/>
      <c r="G10509" s="84"/>
      <c r="I10509" s="237"/>
      <c r="J10509" s="238"/>
    </row>
    <row r="10510">
      <c r="C10510" s="82"/>
      <c r="E10510" s="84"/>
      <c r="F10510" s="84"/>
      <c r="G10510" s="84"/>
      <c r="I10510" s="237"/>
      <c r="J10510" s="238"/>
    </row>
    <row r="10511">
      <c r="C10511" s="82"/>
      <c r="E10511" s="84"/>
      <c r="F10511" s="84"/>
      <c r="G10511" s="84"/>
      <c r="I10511" s="237"/>
      <c r="J10511" s="238"/>
    </row>
    <row r="10512">
      <c r="C10512" s="82"/>
      <c r="E10512" s="84"/>
      <c r="F10512" s="84"/>
      <c r="G10512" s="84"/>
      <c r="I10512" s="237"/>
      <c r="J10512" s="238"/>
    </row>
    <row r="10513">
      <c r="C10513" s="82"/>
      <c r="E10513" s="84"/>
      <c r="F10513" s="84"/>
      <c r="G10513" s="84"/>
      <c r="I10513" s="237"/>
      <c r="J10513" s="238"/>
    </row>
    <row r="10514">
      <c r="C10514" s="82"/>
      <c r="E10514" s="84"/>
      <c r="F10514" s="84"/>
      <c r="G10514" s="84"/>
      <c r="I10514" s="237"/>
      <c r="J10514" s="238"/>
    </row>
    <row r="10515">
      <c r="C10515" s="82"/>
      <c r="E10515" s="84"/>
      <c r="F10515" s="84"/>
      <c r="G10515" s="84"/>
      <c r="I10515" s="237"/>
      <c r="J10515" s="238"/>
    </row>
    <row r="10516">
      <c r="C10516" s="82"/>
      <c r="E10516" s="84"/>
      <c r="F10516" s="84"/>
      <c r="G10516" s="84"/>
      <c r="I10516" s="237"/>
      <c r="J10516" s="238"/>
    </row>
    <row r="10517">
      <c r="C10517" s="82"/>
      <c r="E10517" s="84"/>
      <c r="F10517" s="84"/>
      <c r="G10517" s="84"/>
      <c r="I10517" s="237"/>
      <c r="J10517" s="238"/>
    </row>
    <row r="10518">
      <c r="C10518" s="82"/>
      <c r="E10518" s="84"/>
      <c r="F10518" s="84"/>
      <c r="G10518" s="84"/>
      <c r="I10518" s="237"/>
      <c r="J10518" s="238"/>
    </row>
    <row r="10519">
      <c r="C10519" s="82"/>
      <c r="E10519" s="84"/>
      <c r="F10519" s="84"/>
      <c r="G10519" s="84"/>
      <c r="I10519" s="237"/>
      <c r="J10519" s="238"/>
    </row>
    <row r="10520">
      <c r="C10520" s="82"/>
      <c r="E10520" s="84"/>
      <c r="F10520" s="84"/>
      <c r="G10520" s="84"/>
      <c r="I10520" s="237"/>
      <c r="J10520" s="238"/>
    </row>
    <row r="10521">
      <c r="C10521" s="82"/>
      <c r="E10521" s="84"/>
      <c r="F10521" s="84"/>
      <c r="G10521" s="84"/>
      <c r="I10521" s="237"/>
      <c r="J10521" s="238"/>
    </row>
    <row r="10522">
      <c r="C10522" s="82"/>
      <c r="E10522" s="84"/>
      <c r="F10522" s="84"/>
      <c r="G10522" s="84"/>
      <c r="I10522" s="237"/>
      <c r="J10522" s="238"/>
    </row>
    <row r="10523">
      <c r="C10523" s="82"/>
      <c r="E10523" s="84"/>
      <c r="F10523" s="84"/>
      <c r="G10523" s="84"/>
      <c r="I10523" s="237"/>
      <c r="J10523" s="238"/>
    </row>
    <row r="10524">
      <c r="C10524" s="82"/>
      <c r="E10524" s="84"/>
      <c r="F10524" s="84"/>
      <c r="G10524" s="84"/>
      <c r="I10524" s="237"/>
      <c r="J10524" s="238"/>
    </row>
    <row r="10525">
      <c r="C10525" s="82"/>
      <c r="E10525" s="84"/>
      <c r="F10525" s="84"/>
      <c r="G10525" s="84"/>
      <c r="I10525" s="237"/>
      <c r="J10525" s="238"/>
    </row>
    <row r="10526">
      <c r="C10526" s="82"/>
      <c r="E10526" s="84"/>
      <c r="F10526" s="84"/>
      <c r="G10526" s="84"/>
      <c r="I10526" s="237"/>
      <c r="J10526" s="238"/>
    </row>
    <row r="10527">
      <c r="C10527" s="82"/>
      <c r="E10527" s="84"/>
      <c r="F10527" s="84"/>
      <c r="G10527" s="84"/>
      <c r="I10527" s="237"/>
      <c r="J10527" s="238"/>
    </row>
    <row r="10528">
      <c r="C10528" s="82"/>
      <c r="E10528" s="84"/>
      <c r="F10528" s="84"/>
      <c r="G10528" s="84"/>
      <c r="I10528" s="237"/>
      <c r="J10528" s="238"/>
    </row>
    <row r="10529">
      <c r="C10529" s="82"/>
      <c r="E10529" s="84"/>
      <c r="F10529" s="84"/>
      <c r="G10529" s="84"/>
      <c r="I10529" s="237"/>
      <c r="J10529" s="238"/>
    </row>
    <row r="10530">
      <c r="C10530" s="82"/>
      <c r="E10530" s="84"/>
      <c r="F10530" s="84"/>
      <c r="G10530" s="84"/>
      <c r="I10530" s="237"/>
      <c r="J10530" s="238"/>
    </row>
    <row r="10531">
      <c r="C10531" s="82"/>
      <c r="E10531" s="84"/>
      <c r="F10531" s="84"/>
      <c r="G10531" s="84"/>
      <c r="I10531" s="237"/>
      <c r="J10531" s="238"/>
    </row>
    <row r="10532">
      <c r="C10532" s="82"/>
      <c r="E10532" s="84"/>
      <c r="F10532" s="84"/>
      <c r="G10532" s="84"/>
      <c r="I10532" s="237"/>
      <c r="J10532" s="238"/>
    </row>
    <row r="10533">
      <c r="C10533" s="82"/>
      <c r="E10533" s="84"/>
      <c r="F10533" s="84"/>
      <c r="G10533" s="84"/>
      <c r="I10533" s="237"/>
      <c r="J10533" s="238"/>
    </row>
    <row r="10534">
      <c r="C10534" s="82"/>
      <c r="E10534" s="84"/>
      <c r="F10534" s="84"/>
      <c r="G10534" s="84"/>
      <c r="I10534" s="237"/>
      <c r="J10534" s="238"/>
    </row>
    <row r="10535">
      <c r="C10535" s="82"/>
      <c r="E10535" s="84"/>
      <c r="F10535" s="84"/>
      <c r="G10535" s="84"/>
      <c r="I10535" s="237"/>
      <c r="J10535" s="238"/>
    </row>
    <row r="10536">
      <c r="C10536" s="82"/>
      <c r="E10536" s="84"/>
      <c r="F10536" s="84"/>
      <c r="G10536" s="84"/>
      <c r="I10536" s="237"/>
      <c r="J10536" s="238"/>
    </row>
    <row r="10537">
      <c r="C10537" s="82"/>
      <c r="E10537" s="84"/>
      <c r="F10537" s="84"/>
      <c r="G10537" s="84"/>
      <c r="I10537" s="237"/>
      <c r="J10537" s="238"/>
    </row>
    <row r="10538">
      <c r="C10538" s="82"/>
      <c r="E10538" s="84"/>
      <c r="F10538" s="84"/>
      <c r="G10538" s="84"/>
      <c r="I10538" s="237"/>
      <c r="J10538" s="238"/>
    </row>
    <row r="10539">
      <c r="C10539" s="82"/>
      <c r="E10539" s="84"/>
      <c r="F10539" s="84"/>
      <c r="G10539" s="84"/>
      <c r="I10539" s="237"/>
      <c r="J10539" s="238"/>
    </row>
    <row r="10540">
      <c r="C10540" s="82"/>
      <c r="E10540" s="84"/>
      <c r="F10540" s="84"/>
      <c r="G10540" s="84"/>
      <c r="I10540" s="237"/>
      <c r="J10540" s="238"/>
    </row>
    <row r="10541">
      <c r="C10541" s="82"/>
      <c r="E10541" s="84"/>
      <c r="F10541" s="84"/>
      <c r="G10541" s="84"/>
      <c r="I10541" s="237"/>
      <c r="J10541" s="238"/>
    </row>
    <row r="10542">
      <c r="C10542" s="82"/>
      <c r="E10542" s="84"/>
      <c r="F10542" s="84"/>
      <c r="G10542" s="84"/>
      <c r="I10542" s="237"/>
      <c r="J10542" s="238"/>
    </row>
    <row r="10543">
      <c r="C10543" s="82"/>
      <c r="E10543" s="84"/>
      <c r="F10543" s="84"/>
      <c r="G10543" s="84"/>
      <c r="I10543" s="237"/>
      <c r="J10543" s="238"/>
    </row>
    <row r="10544">
      <c r="C10544" s="82"/>
      <c r="E10544" s="84"/>
      <c r="F10544" s="84"/>
      <c r="G10544" s="84"/>
      <c r="I10544" s="237"/>
      <c r="J10544" s="238"/>
    </row>
    <row r="10545">
      <c r="C10545" s="82"/>
      <c r="E10545" s="84"/>
      <c r="F10545" s="84"/>
      <c r="G10545" s="84"/>
      <c r="I10545" s="237"/>
      <c r="J10545" s="238"/>
    </row>
    <row r="10546">
      <c r="C10546" s="82"/>
      <c r="E10546" s="84"/>
      <c r="F10546" s="84"/>
      <c r="G10546" s="84"/>
      <c r="I10546" s="237"/>
      <c r="J10546" s="238"/>
    </row>
    <row r="10547">
      <c r="C10547" s="82"/>
      <c r="E10547" s="84"/>
      <c r="F10547" s="84"/>
      <c r="G10547" s="84"/>
      <c r="I10547" s="237"/>
      <c r="J10547" s="238"/>
    </row>
    <row r="10548">
      <c r="C10548" s="82"/>
      <c r="E10548" s="84"/>
      <c r="F10548" s="84"/>
      <c r="G10548" s="84"/>
      <c r="I10548" s="237"/>
      <c r="J10548" s="238"/>
    </row>
    <row r="10549">
      <c r="C10549" s="82"/>
      <c r="E10549" s="84"/>
      <c r="F10549" s="84"/>
      <c r="G10549" s="84"/>
      <c r="I10549" s="237"/>
      <c r="J10549" s="238"/>
    </row>
    <row r="10550">
      <c r="C10550" s="82"/>
      <c r="E10550" s="84"/>
      <c r="F10550" s="84"/>
      <c r="G10550" s="84"/>
      <c r="I10550" s="237"/>
      <c r="J10550" s="238"/>
    </row>
    <row r="10551">
      <c r="C10551" s="82"/>
      <c r="E10551" s="84"/>
      <c r="F10551" s="84"/>
      <c r="G10551" s="84"/>
      <c r="I10551" s="237"/>
      <c r="J10551" s="238"/>
    </row>
    <row r="10552">
      <c r="C10552" s="82"/>
      <c r="E10552" s="84"/>
      <c r="F10552" s="84"/>
      <c r="G10552" s="84"/>
      <c r="I10552" s="237"/>
      <c r="J10552" s="238"/>
    </row>
    <row r="10553">
      <c r="C10553" s="82"/>
      <c r="E10553" s="84"/>
      <c r="F10553" s="84"/>
      <c r="G10553" s="84"/>
      <c r="I10553" s="237"/>
      <c r="J10553" s="238"/>
    </row>
    <row r="10554">
      <c r="C10554" s="82"/>
      <c r="E10554" s="84"/>
      <c r="F10554" s="84"/>
      <c r="G10554" s="84"/>
      <c r="I10554" s="237"/>
      <c r="J10554" s="238"/>
    </row>
    <row r="10555">
      <c r="C10555" s="82"/>
      <c r="E10555" s="84"/>
      <c r="F10555" s="84"/>
      <c r="G10555" s="84"/>
      <c r="I10555" s="237"/>
      <c r="J10555" s="238"/>
    </row>
    <row r="10556">
      <c r="C10556" s="82"/>
      <c r="E10556" s="84"/>
      <c r="F10556" s="84"/>
      <c r="G10556" s="84"/>
      <c r="I10556" s="237"/>
      <c r="J10556" s="238"/>
    </row>
    <row r="10557">
      <c r="C10557" s="82"/>
      <c r="E10557" s="84"/>
      <c r="F10557" s="84"/>
      <c r="G10557" s="84"/>
      <c r="I10557" s="237"/>
      <c r="J10557" s="238"/>
    </row>
    <row r="10558">
      <c r="C10558" s="82"/>
      <c r="E10558" s="84"/>
      <c r="F10558" s="84"/>
      <c r="G10558" s="84"/>
      <c r="I10558" s="237"/>
      <c r="J10558" s="238"/>
    </row>
    <row r="10559">
      <c r="C10559" s="82"/>
      <c r="E10559" s="84"/>
      <c r="F10559" s="84"/>
      <c r="G10559" s="84"/>
      <c r="I10559" s="237"/>
      <c r="J10559" s="238"/>
    </row>
    <row r="10560">
      <c r="C10560" s="82"/>
      <c r="E10560" s="84"/>
      <c r="F10560" s="84"/>
      <c r="G10560" s="84"/>
      <c r="I10560" s="237"/>
      <c r="J10560" s="238"/>
    </row>
    <row r="10561">
      <c r="C10561" s="82"/>
      <c r="E10561" s="84"/>
      <c r="F10561" s="84"/>
      <c r="G10561" s="84"/>
      <c r="I10561" s="237"/>
      <c r="J10561" s="238"/>
    </row>
    <row r="10562">
      <c r="C10562" s="82"/>
      <c r="E10562" s="84"/>
      <c r="F10562" s="84"/>
      <c r="G10562" s="84"/>
      <c r="I10562" s="237"/>
      <c r="J10562" s="238"/>
    </row>
    <row r="10563">
      <c r="C10563" s="82"/>
      <c r="E10563" s="84"/>
      <c r="F10563" s="84"/>
      <c r="G10563" s="84"/>
      <c r="I10563" s="237"/>
      <c r="J10563" s="238"/>
    </row>
    <row r="10564">
      <c r="C10564" s="82"/>
      <c r="E10564" s="84"/>
      <c r="F10564" s="84"/>
      <c r="G10564" s="84"/>
      <c r="I10564" s="237"/>
      <c r="J10564" s="238"/>
    </row>
    <row r="10565">
      <c r="C10565" s="82"/>
      <c r="E10565" s="84"/>
      <c r="F10565" s="84"/>
      <c r="G10565" s="84"/>
      <c r="I10565" s="237"/>
      <c r="J10565" s="238"/>
    </row>
    <row r="10566">
      <c r="C10566" s="82"/>
      <c r="E10566" s="84"/>
      <c r="F10566" s="84"/>
      <c r="G10566" s="84"/>
      <c r="I10566" s="237"/>
      <c r="J10566" s="238"/>
    </row>
    <row r="10567">
      <c r="C10567" s="82"/>
      <c r="E10567" s="84"/>
      <c r="F10567" s="84"/>
      <c r="G10567" s="84"/>
      <c r="I10567" s="237"/>
      <c r="J10567" s="238"/>
    </row>
    <row r="10568">
      <c r="C10568" s="82"/>
      <c r="E10568" s="84"/>
      <c r="F10568" s="84"/>
      <c r="G10568" s="84"/>
      <c r="I10568" s="237"/>
      <c r="J10568" s="238"/>
    </row>
    <row r="10569">
      <c r="C10569" s="82"/>
      <c r="E10569" s="84"/>
      <c r="F10569" s="84"/>
      <c r="G10569" s="84"/>
      <c r="I10569" s="237"/>
      <c r="J10569" s="238"/>
    </row>
    <row r="10570">
      <c r="C10570" s="82"/>
      <c r="E10570" s="84"/>
      <c r="F10570" s="84"/>
      <c r="G10570" s="84"/>
      <c r="I10570" s="237"/>
      <c r="J10570" s="238"/>
    </row>
    <row r="10571">
      <c r="C10571" s="82"/>
      <c r="E10571" s="84"/>
      <c r="F10571" s="84"/>
      <c r="G10571" s="84"/>
      <c r="I10571" s="237"/>
      <c r="J10571" s="238"/>
    </row>
    <row r="10572">
      <c r="C10572" s="82"/>
      <c r="E10572" s="84"/>
      <c r="F10572" s="84"/>
      <c r="G10572" s="84"/>
      <c r="I10572" s="237"/>
      <c r="J10572" s="238"/>
    </row>
    <row r="10573">
      <c r="C10573" s="82"/>
      <c r="E10573" s="84"/>
      <c r="F10573" s="84"/>
      <c r="G10573" s="84"/>
      <c r="I10573" s="237"/>
      <c r="J10573" s="238"/>
    </row>
    <row r="10574">
      <c r="C10574" s="82"/>
      <c r="E10574" s="84"/>
      <c r="F10574" s="84"/>
      <c r="G10574" s="84"/>
      <c r="I10574" s="237"/>
      <c r="J10574" s="238"/>
    </row>
    <row r="10575">
      <c r="C10575" s="82"/>
      <c r="E10575" s="84"/>
      <c r="F10575" s="84"/>
      <c r="G10575" s="84"/>
      <c r="I10575" s="237"/>
      <c r="J10575" s="238"/>
    </row>
    <row r="10576">
      <c r="C10576" s="82"/>
      <c r="E10576" s="84"/>
      <c r="F10576" s="84"/>
      <c r="G10576" s="84"/>
      <c r="I10576" s="237"/>
      <c r="J10576" s="238"/>
    </row>
    <row r="10577">
      <c r="C10577" s="82"/>
      <c r="E10577" s="84"/>
      <c r="F10577" s="84"/>
      <c r="G10577" s="84"/>
      <c r="I10577" s="237"/>
      <c r="J10577" s="238"/>
    </row>
    <row r="10578">
      <c r="C10578" s="82"/>
      <c r="E10578" s="84"/>
      <c r="F10578" s="84"/>
      <c r="G10578" s="84"/>
      <c r="I10578" s="237"/>
      <c r="J10578" s="238"/>
    </row>
    <row r="10579">
      <c r="C10579" s="82"/>
      <c r="E10579" s="84"/>
      <c r="F10579" s="84"/>
      <c r="G10579" s="84"/>
      <c r="I10579" s="237"/>
      <c r="J10579" s="238"/>
    </row>
    <row r="10580">
      <c r="C10580" s="82"/>
      <c r="E10580" s="84"/>
      <c r="F10580" s="84"/>
      <c r="G10580" s="84"/>
      <c r="I10580" s="237"/>
      <c r="J10580" s="238"/>
    </row>
    <row r="10581">
      <c r="C10581" s="82"/>
      <c r="E10581" s="84"/>
      <c r="F10581" s="84"/>
      <c r="G10581" s="84"/>
      <c r="I10581" s="237"/>
      <c r="J10581" s="238"/>
    </row>
    <row r="10582">
      <c r="C10582" s="82"/>
      <c r="E10582" s="84"/>
      <c r="F10582" s="84"/>
      <c r="G10582" s="84"/>
      <c r="I10582" s="237"/>
      <c r="J10582" s="238"/>
    </row>
    <row r="10583">
      <c r="C10583" s="82"/>
      <c r="E10583" s="84"/>
      <c r="F10583" s="84"/>
      <c r="G10583" s="84"/>
      <c r="I10583" s="237"/>
      <c r="J10583" s="238"/>
    </row>
    <row r="10584">
      <c r="C10584" s="82"/>
      <c r="E10584" s="84"/>
      <c r="F10584" s="84"/>
      <c r="G10584" s="84"/>
      <c r="I10584" s="237"/>
      <c r="J10584" s="238"/>
    </row>
    <row r="10585">
      <c r="C10585" s="82"/>
      <c r="E10585" s="84"/>
      <c r="F10585" s="84"/>
      <c r="G10585" s="84"/>
      <c r="I10585" s="237"/>
      <c r="J10585" s="238"/>
    </row>
    <row r="10586">
      <c r="C10586" s="82"/>
      <c r="E10586" s="84"/>
      <c r="F10586" s="84"/>
      <c r="G10586" s="84"/>
      <c r="I10586" s="237"/>
      <c r="J10586" s="238"/>
    </row>
    <row r="10587">
      <c r="C10587" s="82"/>
      <c r="E10587" s="84"/>
      <c r="F10587" s="84"/>
      <c r="G10587" s="84"/>
      <c r="I10587" s="237"/>
      <c r="J10587" s="238"/>
    </row>
    <row r="10588">
      <c r="C10588" s="82"/>
      <c r="E10588" s="84"/>
      <c r="F10588" s="84"/>
      <c r="G10588" s="84"/>
      <c r="I10588" s="237"/>
      <c r="J10588" s="238"/>
    </row>
    <row r="10589">
      <c r="C10589" s="82"/>
      <c r="E10589" s="84"/>
      <c r="F10589" s="84"/>
      <c r="G10589" s="84"/>
      <c r="I10589" s="237"/>
      <c r="J10589" s="238"/>
    </row>
    <row r="10590">
      <c r="C10590" s="82"/>
      <c r="E10590" s="84"/>
      <c r="F10590" s="84"/>
      <c r="G10590" s="84"/>
      <c r="I10590" s="237"/>
      <c r="J10590" s="238"/>
    </row>
    <row r="10591">
      <c r="C10591" s="82"/>
      <c r="E10591" s="84"/>
      <c r="F10591" s="84"/>
      <c r="G10591" s="84"/>
      <c r="I10591" s="237"/>
      <c r="J10591" s="238"/>
    </row>
    <row r="10592">
      <c r="C10592" s="82"/>
      <c r="E10592" s="84"/>
      <c r="F10592" s="84"/>
      <c r="G10592" s="84"/>
      <c r="I10592" s="237"/>
      <c r="J10592" s="238"/>
    </row>
    <row r="10593">
      <c r="C10593" s="82"/>
      <c r="E10593" s="84"/>
      <c r="F10593" s="84"/>
      <c r="G10593" s="84"/>
      <c r="I10593" s="237"/>
      <c r="J10593" s="238"/>
    </row>
    <row r="10594">
      <c r="C10594" s="82"/>
      <c r="E10594" s="84"/>
      <c r="F10594" s="84"/>
      <c r="G10594" s="84"/>
      <c r="I10594" s="237"/>
      <c r="J10594" s="238"/>
    </row>
    <row r="10595">
      <c r="C10595" s="82"/>
      <c r="E10595" s="84"/>
      <c r="F10595" s="84"/>
      <c r="G10595" s="84"/>
      <c r="I10595" s="237"/>
      <c r="J10595" s="238"/>
    </row>
    <row r="10596">
      <c r="C10596" s="82"/>
      <c r="E10596" s="84"/>
      <c r="F10596" s="84"/>
      <c r="G10596" s="84"/>
      <c r="I10596" s="237"/>
      <c r="J10596" s="238"/>
    </row>
    <row r="10597">
      <c r="C10597" s="82"/>
      <c r="E10597" s="84"/>
      <c r="F10597" s="84"/>
      <c r="G10597" s="84"/>
      <c r="I10597" s="237"/>
      <c r="J10597" s="238"/>
    </row>
    <row r="10598">
      <c r="C10598" s="82"/>
      <c r="E10598" s="84"/>
      <c r="F10598" s="84"/>
      <c r="G10598" s="84"/>
      <c r="I10598" s="237"/>
      <c r="J10598" s="238"/>
    </row>
    <row r="10599">
      <c r="C10599" s="82"/>
      <c r="E10599" s="84"/>
      <c r="F10599" s="84"/>
      <c r="G10599" s="84"/>
      <c r="I10599" s="237"/>
      <c r="J10599" s="238"/>
    </row>
    <row r="10600">
      <c r="C10600" s="82"/>
      <c r="E10600" s="84"/>
      <c r="F10600" s="84"/>
      <c r="G10600" s="84"/>
      <c r="I10600" s="237"/>
      <c r="J10600" s="238"/>
    </row>
    <row r="10601">
      <c r="C10601" s="82"/>
      <c r="E10601" s="84"/>
      <c r="F10601" s="84"/>
      <c r="G10601" s="84"/>
      <c r="I10601" s="237"/>
      <c r="J10601" s="238"/>
    </row>
    <row r="10602">
      <c r="C10602" s="82"/>
      <c r="E10602" s="84"/>
      <c r="F10602" s="84"/>
      <c r="G10602" s="84"/>
      <c r="I10602" s="237"/>
      <c r="J10602" s="238"/>
    </row>
    <row r="10603">
      <c r="C10603" s="82"/>
      <c r="E10603" s="84"/>
      <c r="F10603" s="84"/>
      <c r="G10603" s="84"/>
      <c r="I10603" s="237"/>
      <c r="J10603" s="238"/>
    </row>
    <row r="10604">
      <c r="C10604" s="82"/>
      <c r="E10604" s="84"/>
      <c r="F10604" s="84"/>
      <c r="G10604" s="84"/>
      <c r="I10604" s="237"/>
      <c r="J10604" s="238"/>
    </row>
    <row r="10605">
      <c r="C10605" s="82"/>
      <c r="E10605" s="84"/>
      <c r="F10605" s="84"/>
      <c r="G10605" s="84"/>
      <c r="I10605" s="237"/>
      <c r="J10605" s="238"/>
    </row>
    <row r="10606">
      <c r="C10606" s="82"/>
      <c r="E10606" s="84"/>
      <c r="F10606" s="84"/>
      <c r="G10606" s="84"/>
      <c r="I10606" s="237"/>
      <c r="J10606" s="238"/>
    </row>
    <row r="10607">
      <c r="C10607" s="82"/>
      <c r="E10607" s="84"/>
      <c r="F10607" s="84"/>
      <c r="G10607" s="84"/>
      <c r="I10607" s="237"/>
      <c r="J10607" s="238"/>
    </row>
    <row r="10608">
      <c r="C10608" s="82"/>
      <c r="E10608" s="84"/>
      <c r="F10608" s="84"/>
      <c r="G10608" s="84"/>
      <c r="I10608" s="237"/>
      <c r="J10608" s="238"/>
    </row>
    <row r="10609">
      <c r="C10609" s="82"/>
      <c r="E10609" s="84"/>
      <c r="F10609" s="84"/>
      <c r="G10609" s="84"/>
      <c r="I10609" s="237"/>
      <c r="J10609" s="238"/>
    </row>
    <row r="10610">
      <c r="C10610" s="82"/>
      <c r="E10610" s="84"/>
      <c r="F10610" s="84"/>
      <c r="G10610" s="84"/>
      <c r="I10610" s="237"/>
      <c r="J10610" s="238"/>
    </row>
    <row r="10611">
      <c r="C10611" s="82"/>
      <c r="E10611" s="84"/>
      <c r="F10611" s="84"/>
      <c r="G10611" s="84"/>
      <c r="I10611" s="237"/>
      <c r="J10611" s="238"/>
    </row>
    <row r="10612">
      <c r="C10612" s="82"/>
      <c r="E10612" s="84"/>
      <c r="F10612" s="84"/>
      <c r="G10612" s="84"/>
      <c r="I10612" s="237"/>
      <c r="J10612" s="238"/>
    </row>
    <row r="10613">
      <c r="C10613" s="82"/>
      <c r="E10613" s="84"/>
      <c r="F10613" s="84"/>
      <c r="G10613" s="84"/>
      <c r="I10613" s="237"/>
      <c r="J10613" s="238"/>
    </row>
    <row r="10614">
      <c r="C10614" s="82"/>
      <c r="E10614" s="84"/>
      <c r="F10614" s="84"/>
      <c r="G10614" s="84"/>
      <c r="I10614" s="237"/>
      <c r="J10614" s="238"/>
    </row>
    <row r="10615">
      <c r="C10615" s="82"/>
      <c r="E10615" s="84"/>
      <c r="F10615" s="84"/>
      <c r="G10615" s="84"/>
      <c r="I10615" s="237"/>
      <c r="J10615" s="238"/>
    </row>
    <row r="10616">
      <c r="C10616" s="82"/>
      <c r="E10616" s="84"/>
      <c r="F10616" s="84"/>
      <c r="G10616" s="84"/>
      <c r="I10616" s="237"/>
      <c r="J10616" s="238"/>
    </row>
    <row r="10617">
      <c r="C10617" s="82"/>
      <c r="E10617" s="84"/>
      <c r="F10617" s="84"/>
      <c r="G10617" s="84"/>
      <c r="I10617" s="237"/>
      <c r="J10617" s="238"/>
    </row>
    <row r="10618">
      <c r="C10618" s="82"/>
      <c r="E10618" s="84"/>
      <c r="F10618" s="84"/>
      <c r="G10618" s="84"/>
      <c r="I10618" s="237"/>
      <c r="J10618" s="238"/>
    </row>
    <row r="10619">
      <c r="C10619" s="82"/>
      <c r="E10619" s="84"/>
      <c r="F10619" s="84"/>
      <c r="G10619" s="84"/>
      <c r="I10619" s="237"/>
      <c r="J10619" s="238"/>
    </row>
    <row r="10620">
      <c r="C10620" s="82"/>
      <c r="E10620" s="84"/>
      <c r="F10620" s="84"/>
      <c r="G10620" s="84"/>
      <c r="I10620" s="237"/>
      <c r="J10620" s="238"/>
    </row>
    <row r="10621">
      <c r="C10621" s="82"/>
      <c r="E10621" s="84"/>
      <c r="F10621" s="84"/>
      <c r="G10621" s="84"/>
      <c r="I10621" s="237"/>
      <c r="J10621" s="238"/>
    </row>
    <row r="10622">
      <c r="C10622" s="82"/>
      <c r="E10622" s="84"/>
      <c r="F10622" s="84"/>
      <c r="G10622" s="84"/>
      <c r="I10622" s="237"/>
      <c r="J10622" s="238"/>
    </row>
    <row r="10623">
      <c r="C10623" s="82"/>
      <c r="E10623" s="84"/>
      <c r="F10623" s="84"/>
      <c r="G10623" s="84"/>
      <c r="I10623" s="237"/>
      <c r="J10623" s="238"/>
    </row>
    <row r="10624">
      <c r="C10624" s="82"/>
      <c r="E10624" s="84"/>
      <c r="F10624" s="84"/>
      <c r="G10624" s="84"/>
      <c r="I10624" s="237"/>
      <c r="J10624" s="238"/>
    </row>
    <row r="10625">
      <c r="C10625" s="82"/>
      <c r="E10625" s="84"/>
      <c r="F10625" s="84"/>
      <c r="G10625" s="84"/>
      <c r="I10625" s="237"/>
      <c r="J10625" s="238"/>
    </row>
    <row r="10626">
      <c r="C10626" s="82"/>
      <c r="E10626" s="84"/>
      <c r="F10626" s="84"/>
      <c r="G10626" s="84"/>
      <c r="I10626" s="237"/>
      <c r="J10626" s="238"/>
    </row>
    <row r="10627">
      <c r="C10627" s="82"/>
      <c r="E10627" s="84"/>
      <c r="F10627" s="84"/>
      <c r="G10627" s="84"/>
      <c r="I10627" s="237"/>
      <c r="J10627" s="238"/>
    </row>
    <row r="10628">
      <c r="C10628" s="82"/>
      <c r="E10628" s="84"/>
      <c r="F10628" s="84"/>
      <c r="G10628" s="84"/>
      <c r="I10628" s="237"/>
      <c r="J10628" s="238"/>
    </row>
    <row r="10629">
      <c r="C10629" s="82"/>
      <c r="E10629" s="84"/>
      <c r="F10629" s="84"/>
      <c r="G10629" s="84"/>
      <c r="I10629" s="237"/>
      <c r="J10629" s="238"/>
    </row>
    <row r="10630">
      <c r="C10630" s="82"/>
      <c r="E10630" s="84"/>
      <c r="F10630" s="84"/>
      <c r="G10630" s="84"/>
      <c r="I10630" s="237"/>
      <c r="J10630" s="238"/>
    </row>
    <row r="10631">
      <c r="C10631" s="82"/>
      <c r="E10631" s="84"/>
      <c r="F10631" s="84"/>
      <c r="G10631" s="84"/>
      <c r="I10631" s="237"/>
      <c r="J10631" s="238"/>
    </row>
    <row r="10632">
      <c r="C10632" s="82"/>
      <c r="E10632" s="84"/>
      <c r="F10632" s="84"/>
      <c r="G10632" s="84"/>
      <c r="I10632" s="237"/>
      <c r="J10632" s="238"/>
    </row>
    <row r="10633">
      <c r="C10633" s="82"/>
      <c r="E10633" s="84"/>
      <c r="F10633" s="84"/>
      <c r="G10633" s="84"/>
      <c r="I10633" s="237"/>
      <c r="J10633" s="238"/>
    </row>
    <row r="10634">
      <c r="C10634" s="82"/>
      <c r="E10634" s="84"/>
      <c r="F10634" s="84"/>
      <c r="G10634" s="84"/>
      <c r="I10634" s="237"/>
      <c r="J10634" s="238"/>
    </row>
    <row r="10635">
      <c r="C10635" s="82"/>
      <c r="E10635" s="84"/>
      <c r="F10635" s="84"/>
      <c r="G10635" s="84"/>
      <c r="I10635" s="237"/>
      <c r="J10635" s="238"/>
    </row>
    <row r="10636">
      <c r="C10636" s="82"/>
      <c r="E10636" s="84"/>
      <c r="F10636" s="84"/>
      <c r="G10636" s="84"/>
      <c r="I10636" s="237"/>
      <c r="J10636" s="238"/>
    </row>
    <row r="10637">
      <c r="C10637" s="82"/>
      <c r="E10637" s="84"/>
      <c r="F10637" s="84"/>
      <c r="G10637" s="84"/>
      <c r="I10637" s="237"/>
      <c r="J10637" s="238"/>
    </row>
    <row r="10638">
      <c r="C10638" s="82"/>
      <c r="E10638" s="84"/>
      <c r="F10638" s="84"/>
      <c r="G10638" s="84"/>
      <c r="I10638" s="237"/>
      <c r="J10638" s="238"/>
    </row>
    <row r="10639">
      <c r="C10639" s="82"/>
      <c r="E10639" s="84"/>
      <c r="F10639" s="84"/>
      <c r="G10639" s="84"/>
      <c r="I10639" s="237"/>
      <c r="J10639" s="238"/>
    </row>
    <row r="10640">
      <c r="C10640" s="82"/>
      <c r="E10640" s="84"/>
      <c r="F10640" s="84"/>
      <c r="G10640" s="84"/>
      <c r="I10640" s="237"/>
      <c r="J10640" s="238"/>
    </row>
    <row r="10641">
      <c r="C10641" s="82"/>
      <c r="E10641" s="84"/>
      <c r="F10641" s="84"/>
      <c r="G10641" s="84"/>
      <c r="I10641" s="237"/>
      <c r="J10641" s="238"/>
    </row>
    <row r="10642">
      <c r="C10642" s="82"/>
      <c r="E10642" s="84"/>
      <c r="F10642" s="84"/>
      <c r="G10642" s="84"/>
      <c r="I10642" s="237"/>
      <c r="J10642" s="238"/>
    </row>
    <row r="10643">
      <c r="C10643" s="82"/>
      <c r="E10643" s="84"/>
      <c r="F10643" s="84"/>
      <c r="G10643" s="84"/>
      <c r="I10643" s="237"/>
      <c r="J10643" s="238"/>
    </row>
    <row r="10644">
      <c r="C10644" s="82"/>
      <c r="E10644" s="84"/>
      <c r="F10644" s="84"/>
      <c r="G10644" s="84"/>
      <c r="I10644" s="237"/>
      <c r="J10644" s="238"/>
    </row>
    <row r="10645">
      <c r="C10645" s="82"/>
      <c r="E10645" s="84"/>
      <c r="F10645" s="84"/>
      <c r="G10645" s="84"/>
      <c r="I10645" s="237"/>
      <c r="J10645" s="238"/>
    </row>
    <row r="10646">
      <c r="C10646" s="82"/>
      <c r="E10646" s="84"/>
      <c r="F10646" s="84"/>
      <c r="G10646" s="84"/>
      <c r="I10646" s="237"/>
      <c r="J10646" s="238"/>
    </row>
    <row r="10647">
      <c r="C10647" s="82"/>
      <c r="E10647" s="84"/>
      <c r="F10647" s="84"/>
      <c r="G10647" s="84"/>
      <c r="I10647" s="237"/>
      <c r="J10647" s="238"/>
    </row>
    <row r="10648">
      <c r="C10648" s="82"/>
      <c r="E10648" s="84"/>
      <c r="F10648" s="84"/>
      <c r="G10648" s="84"/>
      <c r="I10648" s="237"/>
      <c r="J10648" s="238"/>
    </row>
    <row r="10649">
      <c r="C10649" s="82"/>
      <c r="E10649" s="84"/>
      <c r="F10649" s="84"/>
      <c r="G10649" s="84"/>
      <c r="I10649" s="237"/>
      <c r="J10649" s="238"/>
    </row>
    <row r="10650">
      <c r="C10650" s="82"/>
      <c r="E10650" s="84"/>
      <c r="F10650" s="84"/>
      <c r="G10650" s="84"/>
      <c r="I10650" s="237"/>
      <c r="J10650" s="238"/>
    </row>
    <row r="10651">
      <c r="C10651" s="82"/>
      <c r="E10651" s="84"/>
      <c r="F10651" s="84"/>
      <c r="G10651" s="84"/>
      <c r="I10651" s="237"/>
      <c r="J10651" s="238"/>
    </row>
    <row r="10652">
      <c r="C10652" s="82"/>
      <c r="E10652" s="84"/>
      <c r="F10652" s="84"/>
      <c r="G10652" s="84"/>
      <c r="I10652" s="237"/>
      <c r="J10652" s="238"/>
    </row>
    <row r="10653">
      <c r="C10653" s="82"/>
      <c r="E10653" s="84"/>
      <c r="F10653" s="84"/>
      <c r="G10653" s="84"/>
      <c r="I10653" s="237"/>
      <c r="J10653" s="238"/>
    </row>
    <row r="10654">
      <c r="C10654" s="82"/>
      <c r="E10654" s="84"/>
      <c r="F10654" s="84"/>
      <c r="G10654" s="84"/>
      <c r="I10654" s="237"/>
      <c r="J10654" s="238"/>
    </row>
    <row r="10655">
      <c r="C10655" s="82"/>
      <c r="E10655" s="84"/>
      <c r="F10655" s="84"/>
      <c r="G10655" s="84"/>
      <c r="I10655" s="237"/>
      <c r="J10655" s="238"/>
    </row>
    <row r="10656">
      <c r="C10656" s="82"/>
      <c r="E10656" s="84"/>
      <c r="F10656" s="84"/>
      <c r="G10656" s="84"/>
      <c r="I10656" s="237"/>
      <c r="J10656" s="238"/>
    </row>
    <row r="10657">
      <c r="C10657" s="82"/>
      <c r="E10657" s="84"/>
      <c r="F10657" s="84"/>
      <c r="G10657" s="84"/>
      <c r="I10657" s="237"/>
      <c r="J10657" s="238"/>
    </row>
    <row r="10658">
      <c r="C10658" s="82"/>
      <c r="E10658" s="84"/>
      <c r="F10658" s="84"/>
      <c r="G10658" s="84"/>
      <c r="I10658" s="237"/>
      <c r="J10658" s="238"/>
    </row>
    <row r="10659">
      <c r="C10659" s="82"/>
      <c r="E10659" s="84"/>
      <c r="F10659" s="84"/>
      <c r="G10659" s="84"/>
      <c r="I10659" s="237"/>
      <c r="J10659" s="238"/>
    </row>
    <row r="10660">
      <c r="C10660" s="82"/>
      <c r="E10660" s="84"/>
      <c r="F10660" s="84"/>
      <c r="G10660" s="84"/>
      <c r="I10660" s="237"/>
      <c r="J10660" s="238"/>
    </row>
    <row r="10661">
      <c r="C10661" s="82"/>
      <c r="E10661" s="84"/>
      <c r="F10661" s="84"/>
      <c r="G10661" s="84"/>
      <c r="I10661" s="237"/>
      <c r="J10661" s="238"/>
    </row>
    <row r="10662">
      <c r="C10662" s="82"/>
      <c r="E10662" s="84"/>
      <c r="F10662" s="84"/>
      <c r="G10662" s="84"/>
      <c r="I10662" s="237"/>
      <c r="J10662" s="238"/>
    </row>
    <row r="10663">
      <c r="C10663" s="82"/>
      <c r="E10663" s="84"/>
      <c r="F10663" s="84"/>
      <c r="G10663" s="84"/>
      <c r="I10663" s="237"/>
      <c r="J10663" s="238"/>
    </row>
    <row r="10664">
      <c r="C10664" s="82"/>
      <c r="E10664" s="84"/>
      <c r="F10664" s="84"/>
      <c r="G10664" s="84"/>
      <c r="I10664" s="237"/>
      <c r="J10664" s="238"/>
    </row>
    <row r="10665">
      <c r="C10665" s="82"/>
      <c r="E10665" s="84"/>
      <c r="F10665" s="84"/>
      <c r="G10665" s="84"/>
      <c r="I10665" s="237"/>
      <c r="J10665" s="238"/>
    </row>
    <row r="10666">
      <c r="C10666" s="82"/>
      <c r="E10666" s="84"/>
      <c r="F10666" s="84"/>
      <c r="G10666" s="84"/>
      <c r="I10666" s="237"/>
      <c r="J10666" s="238"/>
    </row>
    <row r="10667">
      <c r="C10667" s="82"/>
      <c r="E10667" s="84"/>
      <c r="F10667" s="84"/>
      <c r="G10667" s="84"/>
      <c r="I10667" s="237"/>
      <c r="J10667" s="238"/>
    </row>
    <row r="10668">
      <c r="C10668" s="82"/>
      <c r="E10668" s="84"/>
      <c r="F10668" s="84"/>
      <c r="G10668" s="84"/>
      <c r="I10668" s="237"/>
      <c r="J10668" s="238"/>
    </row>
    <row r="10669">
      <c r="C10669" s="82"/>
      <c r="E10669" s="84"/>
      <c r="F10669" s="84"/>
      <c r="G10669" s="84"/>
      <c r="I10669" s="237"/>
      <c r="J10669" s="238"/>
    </row>
    <row r="10670">
      <c r="C10670" s="82"/>
      <c r="E10670" s="84"/>
      <c r="F10670" s="84"/>
      <c r="G10670" s="84"/>
      <c r="I10670" s="237"/>
      <c r="J10670" s="238"/>
    </row>
    <row r="10671">
      <c r="C10671" s="82"/>
      <c r="E10671" s="84"/>
      <c r="F10671" s="84"/>
      <c r="G10671" s="84"/>
      <c r="I10671" s="237"/>
      <c r="J10671" s="238"/>
    </row>
    <row r="10672">
      <c r="C10672" s="82"/>
      <c r="E10672" s="84"/>
      <c r="F10672" s="84"/>
      <c r="G10672" s="84"/>
      <c r="I10672" s="237"/>
      <c r="J10672" s="238"/>
    </row>
    <row r="10673">
      <c r="C10673" s="82"/>
      <c r="E10673" s="84"/>
      <c r="F10673" s="84"/>
      <c r="G10673" s="84"/>
      <c r="I10673" s="237"/>
      <c r="J10673" s="238"/>
    </row>
    <row r="10674">
      <c r="C10674" s="82"/>
      <c r="E10674" s="84"/>
      <c r="F10674" s="84"/>
      <c r="G10674" s="84"/>
      <c r="I10674" s="237"/>
      <c r="J10674" s="238"/>
    </row>
    <row r="10675">
      <c r="C10675" s="82"/>
      <c r="E10675" s="84"/>
      <c r="F10675" s="84"/>
      <c r="G10675" s="84"/>
      <c r="I10675" s="237"/>
      <c r="J10675" s="238"/>
    </row>
    <row r="10676">
      <c r="C10676" s="82"/>
      <c r="E10676" s="84"/>
      <c r="F10676" s="84"/>
      <c r="G10676" s="84"/>
      <c r="I10676" s="237"/>
      <c r="J10676" s="238"/>
    </row>
    <row r="10677">
      <c r="C10677" s="82"/>
      <c r="E10677" s="84"/>
      <c r="F10677" s="84"/>
      <c r="G10677" s="84"/>
      <c r="I10677" s="237"/>
      <c r="J10677" s="238"/>
    </row>
    <row r="10678">
      <c r="C10678" s="82"/>
      <c r="E10678" s="84"/>
      <c r="F10678" s="84"/>
      <c r="G10678" s="84"/>
      <c r="I10678" s="237"/>
      <c r="J10678" s="238"/>
    </row>
    <row r="10679">
      <c r="C10679" s="82"/>
      <c r="E10679" s="84"/>
      <c r="F10679" s="84"/>
      <c r="G10679" s="84"/>
      <c r="I10679" s="237"/>
      <c r="J10679" s="238"/>
    </row>
    <row r="10680">
      <c r="C10680" s="82"/>
      <c r="E10680" s="84"/>
      <c r="F10680" s="84"/>
      <c r="G10680" s="84"/>
      <c r="I10680" s="237"/>
      <c r="J10680" s="238"/>
    </row>
    <row r="10681">
      <c r="C10681" s="82"/>
      <c r="E10681" s="84"/>
      <c r="F10681" s="84"/>
      <c r="G10681" s="84"/>
      <c r="I10681" s="237"/>
      <c r="J10681" s="238"/>
    </row>
    <row r="10682">
      <c r="C10682" s="82"/>
      <c r="E10682" s="84"/>
      <c r="F10682" s="84"/>
      <c r="G10682" s="84"/>
      <c r="I10682" s="237"/>
      <c r="J10682" s="238"/>
    </row>
    <row r="10683">
      <c r="C10683" s="82"/>
      <c r="E10683" s="84"/>
      <c r="F10683" s="84"/>
      <c r="G10683" s="84"/>
      <c r="I10683" s="237"/>
      <c r="J10683" s="238"/>
    </row>
    <row r="10684">
      <c r="C10684" s="82"/>
      <c r="E10684" s="84"/>
      <c r="F10684" s="84"/>
      <c r="G10684" s="84"/>
      <c r="I10684" s="237"/>
      <c r="J10684" s="238"/>
    </row>
    <row r="10685">
      <c r="C10685" s="82"/>
      <c r="E10685" s="84"/>
      <c r="F10685" s="84"/>
      <c r="G10685" s="84"/>
      <c r="I10685" s="237"/>
      <c r="J10685" s="238"/>
    </row>
    <row r="10686">
      <c r="C10686" s="82"/>
      <c r="E10686" s="84"/>
      <c r="F10686" s="84"/>
      <c r="G10686" s="84"/>
      <c r="I10686" s="237"/>
      <c r="J10686" s="238"/>
    </row>
    <row r="10687">
      <c r="C10687" s="82"/>
      <c r="E10687" s="84"/>
      <c r="F10687" s="84"/>
      <c r="G10687" s="84"/>
      <c r="I10687" s="237"/>
      <c r="J10687" s="238"/>
    </row>
    <row r="10688">
      <c r="C10688" s="82"/>
      <c r="E10688" s="84"/>
      <c r="F10688" s="84"/>
      <c r="G10688" s="84"/>
      <c r="I10688" s="237"/>
      <c r="J10688" s="238"/>
    </row>
    <row r="10689">
      <c r="C10689" s="82"/>
      <c r="E10689" s="84"/>
      <c r="F10689" s="84"/>
      <c r="G10689" s="84"/>
      <c r="I10689" s="237"/>
      <c r="J10689" s="238"/>
    </row>
    <row r="10690">
      <c r="C10690" s="82"/>
      <c r="E10690" s="84"/>
      <c r="F10690" s="84"/>
      <c r="G10690" s="84"/>
      <c r="I10690" s="237"/>
      <c r="J10690" s="238"/>
    </row>
    <row r="10691">
      <c r="C10691" s="82"/>
      <c r="E10691" s="84"/>
      <c r="F10691" s="84"/>
      <c r="G10691" s="84"/>
      <c r="I10691" s="237"/>
      <c r="J10691" s="238"/>
    </row>
    <row r="10692">
      <c r="C10692" s="82"/>
      <c r="E10692" s="84"/>
      <c r="F10692" s="84"/>
      <c r="G10692" s="84"/>
      <c r="I10692" s="237"/>
      <c r="J10692" s="238"/>
    </row>
    <row r="10693">
      <c r="C10693" s="82"/>
      <c r="E10693" s="84"/>
      <c r="F10693" s="84"/>
      <c r="G10693" s="84"/>
      <c r="I10693" s="237"/>
      <c r="J10693" s="238"/>
    </row>
    <row r="10694">
      <c r="C10694" s="82"/>
      <c r="E10694" s="84"/>
      <c r="F10694" s="84"/>
      <c r="G10694" s="84"/>
      <c r="I10694" s="237"/>
      <c r="J10694" s="238"/>
    </row>
    <row r="10695">
      <c r="C10695" s="82"/>
      <c r="E10695" s="84"/>
      <c r="F10695" s="84"/>
      <c r="G10695" s="84"/>
      <c r="I10695" s="237"/>
      <c r="J10695" s="238"/>
    </row>
    <row r="10696">
      <c r="C10696" s="82"/>
      <c r="E10696" s="84"/>
      <c r="F10696" s="84"/>
      <c r="G10696" s="84"/>
      <c r="I10696" s="237"/>
      <c r="J10696" s="238"/>
    </row>
    <row r="10697">
      <c r="C10697" s="82"/>
      <c r="E10697" s="84"/>
      <c r="F10697" s="84"/>
      <c r="G10697" s="84"/>
      <c r="I10697" s="237"/>
      <c r="J10697" s="238"/>
    </row>
    <row r="10698">
      <c r="C10698" s="82"/>
      <c r="E10698" s="84"/>
      <c r="F10698" s="84"/>
      <c r="G10698" s="84"/>
      <c r="I10698" s="237"/>
      <c r="J10698" s="238"/>
    </row>
    <row r="10699">
      <c r="C10699" s="82"/>
      <c r="E10699" s="84"/>
      <c r="F10699" s="84"/>
      <c r="G10699" s="84"/>
      <c r="I10699" s="237"/>
      <c r="J10699" s="238"/>
    </row>
    <row r="10700">
      <c r="C10700" s="82"/>
      <c r="E10700" s="84"/>
      <c r="F10700" s="84"/>
      <c r="G10700" s="84"/>
      <c r="I10700" s="237"/>
      <c r="J10700" s="238"/>
    </row>
    <row r="10701">
      <c r="C10701" s="82"/>
      <c r="E10701" s="84"/>
      <c r="F10701" s="84"/>
      <c r="G10701" s="84"/>
      <c r="I10701" s="237"/>
      <c r="J10701" s="238"/>
    </row>
    <row r="10702">
      <c r="C10702" s="82"/>
      <c r="E10702" s="84"/>
      <c r="F10702" s="84"/>
      <c r="G10702" s="84"/>
      <c r="I10702" s="237"/>
      <c r="J10702" s="238"/>
    </row>
    <row r="10703">
      <c r="C10703" s="82"/>
      <c r="E10703" s="84"/>
      <c r="F10703" s="84"/>
      <c r="G10703" s="84"/>
      <c r="I10703" s="237"/>
      <c r="J10703" s="238"/>
    </row>
    <row r="10704">
      <c r="C10704" s="82"/>
      <c r="E10704" s="84"/>
      <c r="F10704" s="84"/>
      <c r="G10704" s="84"/>
      <c r="I10704" s="237"/>
      <c r="J10704" s="238"/>
    </row>
    <row r="10705">
      <c r="C10705" s="82"/>
      <c r="E10705" s="84"/>
      <c r="F10705" s="84"/>
      <c r="G10705" s="84"/>
      <c r="I10705" s="237"/>
      <c r="J10705" s="238"/>
    </row>
    <row r="10706">
      <c r="C10706" s="82"/>
      <c r="E10706" s="84"/>
      <c r="F10706" s="84"/>
      <c r="G10706" s="84"/>
      <c r="I10706" s="237"/>
      <c r="J10706" s="238"/>
    </row>
    <row r="10707">
      <c r="C10707" s="82"/>
      <c r="E10707" s="84"/>
      <c r="F10707" s="84"/>
      <c r="G10707" s="84"/>
      <c r="I10707" s="237"/>
      <c r="J10707" s="238"/>
    </row>
    <row r="10708">
      <c r="C10708" s="82"/>
      <c r="E10708" s="84"/>
      <c r="F10708" s="84"/>
      <c r="G10708" s="84"/>
      <c r="I10708" s="237"/>
      <c r="J10708" s="238"/>
    </row>
    <row r="10709">
      <c r="C10709" s="82"/>
      <c r="E10709" s="84"/>
      <c r="F10709" s="84"/>
      <c r="G10709" s="84"/>
      <c r="I10709" s="237"/>
      <c r="J10709" s="238"/>
    </row>
    <row r="10710">
      <c r="C10710" s="82"/>
      <c r="E10710" s="84"/>
      <c r="F10710" s="84"/>
      <c r="G10710" s="84"/>
      <c r="I10710" s="237"/>
      <c r="J10710" s="238"/>
    </row>
    <row r="10711">
      <c r="C10711" s="82"/>
      <c r="E10711" s="84"/>
      <c r="F10711" s="84"/>
      <c r="G10711" s="84"/>
      <c r="I10711" s="237"/>
      <c r="J10711" s="238"/>
    </row>
    <row r="10712">
      <c r="C10712" s="82"/>
      <c r="E10712" s="84"/>
      <c r="F10712" s="84"/>
      <c r="G10712" s="84"/>
      <c r="I10712" s="237"/>
      <c r="J10712" s="238"/>
    </row>
    <row r="10713">
      <c r="C10713" s="82"/>
      <c r="E10713" s="84"/>
      <c r="F10713" s="84"/>
      <c r="G10713" s="84"/>
      <c r="I10713" s="237"/>
      <c r="J10713" s="238"/>
    </row>
    <row r="10714">
      <c r="C10714" s="82"/>
      <c r="E10714" s="84"/>
      <c r="F10714" s="84"/>
      <c r="G10714" s="84"/>
      <c r="I10714" s="237"/>
      <c r="J10714" s="238"/>
    </row>
    <row r="10715">
      <c r="C10715" s="82"/>
      <c r="E10715" s="84"/>
      <c r="F10715" s="84"/>
      <c r="G10715" s="84"/>
      <c r="I10715" s="237"/>
      <c r="J10715" s="238"/>
    </row>
    <row r="10716">
      <c r="C10716" s="82"/>
      <c r="E10716" s="84"/>
      <c r="F10716" s="84"/>
      <c r="G10716" s="84"/>
      <c r="I10716" s="237"/>
      <c r="J10716" s="238"/>
    </row>
    <row r="10717">
      <c r="C10717" s="82"/>
      <c r="E10717" s="84"/>
      <c r="F10717" s="84"/>
      <c r="G10717" s="84"/>
      <c r="I10717" s="237"/>
      <c r="J10717" s="238"/>
    </row>
    <row r="10718">
      <c r="C10718" s="82"/>
      <c r="E10718" s="84"/>
      <c r="F10718" s="84"/>
      <c r="G10718" s="84"/>
      <c r="I10718" s="237"/>
      <c r="J10718" s="238"/>
    </row>
    <row r="10719">
      <c r="C10719" s="82"/>
      <c r="E10719" s="84"/>
      <c r="F10719" s="84"/>
      <c r="G10719" s="84"/>
      <c r="I10719" s="237"/>
      <c r="J10719" s="238"/>
    </row>
    <row r="10720">
      <c r="C10720" s="82"/>
      <c r="E10720" s="84"/>
      <c r="F10720" s="84"/>
      <c r="G10720" s="84"/>
      <c r="I10720" s="237"/>
      <c r="J10720" s="238"/>
    </row>
    <row r="10721">
      <c r="C10721" s="82"/>
      <c r="E10721" s="84"/>
      <c r="F10721" s="84"/>
      <c r="G10721" s="84"/>
      <c r="I10721" s="237"/>
      <c r="J10721" s="238"/>
    </row>
    <row r="10722">
      <c r="C10722" s="82"/>
      <c r="E10722" s="84"/>
      <c r="F10722" s="84"/>
      <c r="G10722" s="84"/>
      <c r="I10722" s="237"/>
      <c r="J10722" s="238"/>
    </row>
    <row r="10723">
      <c r="C10723" s="82"/>
      <c r="E10723" s="84"/>
      <c r="F10723" s="84"/>
      <c r="G10723" s="84"/>
      <c r="I10723" s="237"/>
      <c r="J10723" s="238"/>
    </row>
    <row r="10724">
      <c r="C10724" s="82"/>
      <c r="E10724" s="84"/>
      <c r="F10724" s="84"/>
      <c r="G10724" s="84"/>
      <c r="I10724" s="237"/>
      <c r="J10724" s="238"/>
    </row>
    <row r="10725">
      <c r="C10725" s="82"/>
      <c r="E10725" s="84"/>
      <c r="F10725" s="84"/>
      <c r="G10725" s="84"/>
      <c r="I10725" s="237"/>
      <c r="J10725" s="238"/>
    </row>
    <row r="10726">
      <c r="C10726" s="82"/>
      <c r="E10726" s="84"/>
      <c r="F10726" s="84"/>
      <c r="G10726" s="84"/>
      <c r="I10726" s="237"/>
      <c r="J10726" s="238"/>
    </row>
    <row r="10727">
      <c r="C10727" s="82"/>
      <c r="E10727" s="84"/>
      <c r="F10727" s="84"/>
      <c r="G10727" s="84"/>
      <c r="I10727" s="237"/>
      <c r="J10727" s="238"/>
    </row>
    <row r="10728">
      <c r="C10728" s="82"/>
      <c r="E10728" s="84"/>
      <c r="F10728" s="84"/>
      <c r="G10728" s="84"/>
      <c r="I10728" s="237"/>
      <c r="J10728" s="238"/>
    </row>
    <row r="10729">
      <c r="C10729" s="82"/>
      <c r="E10729" s="84"/>
      <c r="F10729" s="84"/>
      <c r="G10729" s="84"/>
      <c r="I10729" s="237"/>
      <c r="J10729" s="238"/>
    </row>
    <row r="10730">
      <c r="C10730" s="82"/>
      <c r="E10730" s="84"/>
      <c r="F10730" s="84"/>
      <c r="G10730" s="84"/>
      <c r="I10730" s="237"/>
      <c r="J10730" s="238"/>
    </row>
    <row r="10731">
      <c r="C10731" s="82"/>
      <c r="E10731" s="84"/>
      <c r="F10731" s="84"/>
      <c r="G10731" s="84"/>
      <c r="I10731" s="237"/>
      <c r="J10731" s="238"/>
    </row>
    <row r="10732">
      <c r="C10732" s="82"/>
      <c r="E10732" s="84"/>
      <c r="F10732" s="84"/>
      <c r="G10732" s="84"/>
      <c r="I10732" s="237"/>
      <c r="J10732" s="238"/>
    </row>
    <row r="10733">
      <c r="C10733" s="82"/>
      <c r="E10733" s="84"/>
      <c r="F10733" s="84"/>
      <c r="G10733" s="84"/>
      <c r="I10733" s="237"/>
      <c r="J10733" s="238"/>
    </row>
    <row r="10734">
      <c r="C10734" s="82"/>
      <c r="E10734" s="84"/>
      <c r="F10734" s="84"/>
      <c r="G10734" s="84"/>
      <c r="I10734" s="237"/>
      <c r="J10734" s="238"/>
    </row>
    <row r="10735">
      <c r="C10735" s="82"/>
      <c r="E10735" s="84"/>
      <c r="F10735" s="84"/>
      <c r="G10735" s="84"/>
      <c r="I10735" s="237"/>
      <c r="J10735" s="238"/>
    </row>
    <row r="10736">
      <c r="C10736" s="82"/>
      <c r="E10736" s="84"/>
      <c r="F10736" s="84"/>
      <c r="G10736" s="84"/>
      <c r="I10736" s="237"/>
      <c r="J10736" s="238"/>
    </row>
    <row r="10737">
      <c r="C10737" s="82"/>
      <c r="E10737" s="84"/>
      <c r="F10737" s="84"/>
      <c r="G10737" s="84"/>
      <c r="I10737" s="237"/>
      <c r="J10737" s="238"/>
    </row>
    <row r="10738">
      <c r="C10738" s="82"/>
      <c r="E10738" s="84"/>
      <c r="F10738" s="84"/>
      <c r="G10738" s="84"/>
      <c r="I10738" s="237"/>
      <c r="J10738" s="238"/>
    </row>
    <row r="10739">
      <c r="C10739" s="82"/>
      <c r="E10739" s="84"/>
      <c r="F10739" s="84"/>
      <c r="G10739" s="84"/>
      <c r="I10739" s="237"/>
      <c r="J10739" s="238"/>
    </row>
    <row r="10740">
      <c r="C10740" s="82"/>
      <c r="E10740" s="84"/>
      <c r="F10740" s="84"/>
      <c r="G10740" s="84"/>
      <c r="I10740" s="237"/>
      <c r="J10740" s="238"/>
    </row>
    <row r="10741">
      <c r="C10741" s="82"/>
      <c r="E10741" s="84"/>
      <c r="F10741" s="84"/>
      <c r="G10741" s="84"/>
      <c r="I10741" s="237"/>
      <c r="J10741" s="238"/>
    </row>
    <row r="10742">
      <c r="C10742" s="82"/>
      <c r="E10742" s="84"/>
      <c r="F10742" s="84"/>
      <c r="G10742" s="84"/>
      <c r="I10742" s="237"/>
      <c r="J10742" s="238"/>
    </row>
    <row r="10743">
      <c r="C10743" s="82"/>
      <c r="E10743" s="84"/>
      <c r="F10743" s="84"/>
      <c r="G10743" s="84"/>
      <c r="I10743" s="237"/>
      <c r="J10743" s="238"/>
    </row>
    <row r="10744">
      <c r="C10744" s="82"/>
      <c r="E10744" s="84"/>
      <c r="F10744" s="84"/>
      <c r="G10744" s="84"/>
      <c r="I10744" s="237"/>
      <c r="J10744" s="238"/>
    </row>
    <row r="10745">
      <c r="C10745" s="82"/>
      <c r="E10745" s="84"/>
      <c r="F10745" s="84"/>
      <c r="G10745" s="84"/>
      <c r="I10745" s="237"/>
      <c r="J10745" s="238"/>
    </row>
    <row r="10746">
      <c r="C10746" s="82"/>
      <c r="E10746" s="84"/>
      <c r="F10746" s="84"/>
      <c r="G10746" s="84"/>
      <c r="I10746" s="237"/>
      <c r="J10746" s="238"/>
    </row>
    <row r="10747">
      <c r="C10747" s="82"/>
      <c r="E10747" s="84"/>
      <c r="F10747" s="84"/>
      <c r="G10747" s="84"/>
      <c r="I10747" s="237"/>
      <c r="J10747" s="238"/>
    </row>
    <row r="10748">
      <c r="C10748" s="82"/>
      <c r="E10748" s="84"/>
      <c r="F10748" s="84"/>
      <c r="G10748" s="84"/>
      <c r="I10748" s="237"/>
      <c r="J10748" s="238"/>
    </row>
    <row r="10749">
      <c r="C10749" s="82"/>
      <c r="E10749" s="84"/>
      <c r="F10749" s="84"/>
      <c r="G10749" s="84"/>
      <c r="I10749" s="237"/>
      <c r="J10749" s="238"/>
    </row>
    <row r="10750">
      <c r="C10750" s="82"/>
      <c r="E10750" s="84"/>
      <c r="F10750" s="84"/>
      <c r="G10750" s="84"/>
      <c r="I10750" s="237"/>
      <c r="J10750" s="238"/>
    </row>
    <row r="10751">
      <c r="C10751" s="82"/>
      <c r="E10751" s="84"/>
      <c r="F10751" s="84"/>
      <c r="G10751" s="84"/>
      <c r="I10751" s="237"/>
      <c r="J10751" s="238"/>
    </row>
    <row r="10752">
      <c r="C10752" s="82"/>
      <c r="E10752" s="84"/>
      <c r="F10752" s="84"/>
      <c r="G10752" s="84"/>
      <c r="I10752" s="237"/>
      <c r="J10752" s="238"/>
    </row>
    <row r="10753">
      <c r="C10753" s="82"/>
      <c r="E10753" s="84"/>
      <c r="F10753" s="84"/>
      <c r="G10753" s="84"/>
      <c r="I10753" s="237"/>
      <c r="J10753" s="238"/>
    </row>
    <row r="10754">
      <c r="C10754" s="82"/>
      <c r="E10754" s="84"/>
      <c r="F10754" s="84"/>
      <c r="G10754" s="84"/>
      <c r="I10754" s="237"/>
      <c r="J10754" s="238"/>
    </row>
    <row r="10755">
      <c r="C10755" s="82"/>
      <c r="E10755" s="84"/>
      <c r="F10755" s="84"/>
      <c r="G10755" s="84"/>
      <c r="I10755" s="237"/>
      <c r="J10755" s="238"/>
    </row>
    <row r="10756">
      <c r="C10756" s="82"/>
      <c r="E10756" s="84"/>
      <c r="F10756" s="84"/>
      <c r="G10756" s="84"/>
      <c r="I10756" s="237"/>
      <c r="J10756" s="238"/>
    </row>
    <row r="10757">
      <c r="C10757" s="82"/>
      <c r="E10757" s="84"/>
      <c r="F10757" s="84"/>
      <c r="G10757" s="84"/>
      <c r="I10757" s="237"/>
      <c r="J10757" s="238"/>
    </row>
    <row r="10758">
      <c r="C10758" s="82"/>
      <c r="E10758" s="84"/>
      <c r="F10758" s="84"/>
      <c r="G10758" s="84"/>
      <c r="I10758" s="237"/>
      <c r="J10758" s="238"/>
    </row>
    <row r="10759">
      <c r="C10759" s="82"/>
      <c r="E10759" s="84"/>
      <c r="F10759" s="84"/>
      <c r="G10759" s="84"/>
      <c r="I10759" s="237"/>
      <c r="J10759" s="238"/>
    </row>
    <row r="10760">
      <c r="C10760" s="82"/>
      <c r="E10760" s="84"/>
      <c r="F10760" s="84"/>
      <c r="G10760" s="84"/>
      <c r="I10760" s="237"/>
      <c r="J10760" s="238"/>
    </row>
    <row r="10761">
      <c r="C10761" s="82"/>
      <c r="E10761" s="84"/>
      <c r="F10761" s="84"/>
      <c r="G10761" s="84"/>
      <c r="I10761" s="237"/>
      <c r="J10761" s="238"/>
    </row>
    <row r="10762">
      <c r="C10762" s="82"/>
      <c r="E10762" s="84"/>
      <c r="F10762" s="84"/>
      <c r="G10762" s="84"/>
      <c r="I10762" s="237"/>
      <c r="J10762" s="238"/>
    </row>
    <row r="10763">
      <c r="C10763" s="82"/>
      <c r="E10763" s="84"/>
      <c r="F10763" s="84"/>
      <c r="G10763" s="84"/>
      <c r="I10763" s="237"/>
      <c r="J10763" s="238"/>
    </row>
    <row r="10764">
      <c r="C10764" s="82"/>
      <c r="E10764" s="84"/>
      <c r="F10764" s="84"/>
      <c r="G10764" s="84"/>
      <c r="I10764" s="237"/>
      <c r="J10764" s="238"/>
    </row>
    <row r="10765">
      <c r="C10765" s="82"/>
      <c r="E10765" s="84"/>
      <c r="F10765" s="84"/>
      <c r="G10765" s="84"/>
      <c r="I10765" s="237"/>
      <c r="J10765" s="238"/>
    </row>
    <row r="10766">
      <c r="C10766" s="82"/>
      <c r="E10766" s="84"/>
      <c r="F10766" s="84"/>
      <c r="G10766" s="84"/>
      <c r="I10766" s="237"/>
      <c r="J10766" s="238"/>
    </row>
    <row r="10767">
      <c r="C10767" s="82"/>
      <c r="E10767" s="84"/>
      <c r="F10767" s="84"/>
      <c r="G10767" s="84"/>
      <c r="I10767" s="237"/>
      <c r="J10767" s="238"/>
    </row>
    <row r="10768">
      <c r="C10768" s="82"/>
      <c r="E10768" s="84"/>
      <c r="F10768" s="84"/>
      <c r="G10768" s="84"/>
      <c r="I10768" s="237"/>
      <c r="J10768" s="238"/>
    </row>
    <row r="10769">
      <c r="C10769" s="82"/>
      <c r="E10769" s="84"/>
      <c r="F10769" s="84"/>
      <c r="G10769" s="84"/>
      <c r="I10769" s="237"/>
      <c r="J10769" s="238"/>
    </row>
    <row r="10770">
      <c r="C10770" s="82"/>
      <c r="E10770" s="84"/>
      <c r="F10770" s="84"/>
      <c r="G10770" s="84"/>
      <c r="I10770" s="237"/>
      <c r="J10770" s="238"/>
    </row>
    <row r="10771">
      <c r="C10771" s="82"/>
      <c r="E10771" s="84"/>
      <c r="F10771" s="84"/>
      <c r="G10771" s="84"/>
      <c r="I10771" s="237"/>
      <c r="J10771" s="238"/>
    </row>
    <row r="10772">
      <c r="C10772" s="82"/>
      <c r="E10772" s="84"/>
      <c r="F10772" s="84"/>
      <c r="G10772" s="84"/>
      <c r="I10772" s="237"/>
      <c r="J10772" s="238"/>
    </row>
    <row r="10773">
      <c r="C10773" s="82"/>
      <c r="E10773" s="84"/>
      <c r="F10773" s="84"/>
      <c r="G10773" s="84"/>
      <c r="I10773" s="237"/>
      <c r="J10773" s="238"/>
    </row>
    <row r="10774">
      <c r="C10774" s="82"/>
      <c r="E10774" s="84"/>
      <c r="F10774" s="84"/>
      <c r="G10774" s="84"/>
      <c r="I10774" s="237"/>
      <c r="J10774" s="238"/>
    </row>
    <row r="10775">
      <c r="C10775" s="82"/>
      <c r="E10775" s="84"/>
      <c r="F10775" s="84"/>
      <c r="G10775" s="84"/>
      <c r="I10775" s="237"/>
      <c r="J10775" s="238"/>
    </row>
    <row r="10776">
      <c r="C10776" s="82"/>
      <c r="E10776" s="84"/>
      <c r="F10776" s="84"/>
      <c r="G10776" s="84"/>
      <c r="I10776" s="237"/>
      <c r="J10776" s="238"/>
    </row>
    <row r="10777">
      <c r="C10777" s="82"/>
      <c r="E10777" s="84"/>
      <c r="F10777" s="84"/>
      <c r="G10777" s="84"/>
      <c r="I10777" s="237"/>
      <c r="J10777" s="238"/>
    </row>
    <row r="10778">
      <c r="C10778" s="82"/>
      <c r="E10778" s="84"/>
      <c r="F10778" s="84"/>
      <c r="G10778" s="84"/>
      <c r="I10778" s="237"/>
      <c r="J10778" s="238"/>
    </row>
    <row r="10779">
      <c r="C10779" s="82"/>
      <c r="E10779" s="84"/>
      <c r="F10779" s="84"/>
      <c r="G10779" s="84"/>
      <c r="I10779" s="237"/>
      <c r="J10779" s="238"/>
    </row>
    <row r="10780">
      <c r="C10780" s="82"/>
      <c r="E10780" s="84"/>
      <c r="F10780" s="84"/>
      <c r="G10780" s="84"/>
      <c r="I10780" s="237"/>
      <c r="J10780" s="238"/>
    </row>
    <row r="10781">
      <c r="C10781" s="82"/>
      <c r="E10781" s="84"/>
      <c r="F10781" s="84"/>
      <c r="G10781" s="84"/>
      <c r="I10781" s="237"/>
      <c r="J10781" s="238"/>
    </row>
    <row r="10782">
      <c r="C10782" s="82"/>
      <c r="E10782" s="84"/>
      <c r="F10782" s="84"/>
      <c r="G10782" s="84"/>
      <c r="I10782" s="237"/>
      <c r="J10782" s="238"/>
    </row>
    <row r="10783">
      <c r="C10783" s="82"/>
      <c r="E10783" s="84"/>
      <c r="F10783" s="84"/>
      <c r="G10783" s="84"/>
      <c r="I10783" s="237"/>
      <c r="J10783" s="238"/>
    </row>
    <row r="10784">
      <c r="C10784" s="82"/>
      <c r="E10784" s="84"/>
      <c r="F10784" s="84"/>
      <c r="G10784" s="84"/>
      <c r="I10784" s="237"/>
      <c r="J10784" s="238"/>
    </row>
    <row r="10785">
      <c r="C10785" s="82"/>
      <c r="E10785" s="84"/>
      <c r="F10785" s="84"/>
      <c r="G10785" s="84"/>
      <c r="I10785" s="237"/>
      <c r="J10785" s="238"/>
    </row>
    <row r="10786">
      <c r="C10786" s="82"/>
      <c r="E10786" s="84"/>
      <c r="F10786" s="84"/>
      <c r="G10786" s="84"/>
      <c r="I10786" s="237"/>
      <c r="J10786" s="238"/>
    </row>
    <row r="10787">
      <c r="C10787" s="82"/>
      <c r="E10787" s="84"/>
      <c r="F10787" s="84"/>
      <c r="G10787" s="84"/>
      <c r="I10787" s="237"/>
      <c r="J10787" s="238"/>
    </row>
    <row r="10788">
      <c r="C10788" s="82"/>
      <c r="E10788" s="84"/>
      <c r="F10788" s="84"/>
      <c r="G10788" s="84"/>
      <c r="I10788" s="237"/>
      <c r="J10788" s="238"/>
    </row>
    <row r="10789">
      <c r="C10789" s="82"/>
      <c r="E10789" s="84"/>
      <c r="F10789" s="84"/>
      <c r="G10789" s="84"/>
      <c r="I10789" s="237"/>
      <c r="J10789" s="238"/>
    </row>
    <row r="10790">
      <c r="C10790" s="82"/>
      <c r="E10790" s="84"/>
      <c r="F10790" s="84"/>
      <c r="G10790" s="84"/>
      <c r="I10790" s="237"/>
      <c r="J10790" s="238"/>
    </row>
    <row r="10791">
      <c r="C10791" s="82"/>
      <c r="E10791" s="84"/>
      <c r="F10791" s="84"/>
      <c r="G10791" s="84"/>
      <c r="I10791" s="237"/>
      <c r="J10791" s="238"/>
    </row>
    <row r="10792">
      <c r="C10792" s="82"/>
      <c r="E10792" s="84"/>
      <c r="F10792" s="84"/>
      <c r="G10792" s="84"/>
      <c r="I10792" s="237"/>
      <c r="J10792" s="238"/>
    </row>
    <row r="10793">
      <c r="C10793" s="82"/>
      <c r="E10793" s="84"/>
      <c r="F10793" s="84"/>
      <c r="G10793" s="84"/>
      <c r="I10793" s="237"/>
      <c r="J10793" s="238"/>
    </row>
    <row r="10794">
      <c r="C10794" s="82"/>
      <c r="E10794" s="84"/>
      <c r="F10794" s="84"/>
      <c r="G10794" s="84"/>
      <c r="I10794" s="237"/>
      <c r="J10794" s="238"/>
    </row>
    <row r="10795">
      <c r="C10795" s="82"/>
      <c r="E10795" s="84"/>
      <c r="F10795" s="84"/>
      <c r="G10795" s="84"/>
      <c r="I10795" s="237"/>
      <c r="J10795" s="238"/>
    </row>
    <row r="10796">
      <c r="C10796" s="82"/>
      <c r="E10796" s="84"/>
      <c r="F10796" s="84"/>
      <c r="G10796" s="84"/>
      <c r="I10796" s="237"/>
      <c r="J10796" s="238"/>
    </row>
    <row r="10797">
      <c r="C10797" s="82"/>
      <c r="E10797" s="84"/>
      <c r="F10797" s="84"/>
      <c r="G10797" s="84"/>
      <c r="I10797" s="237"/>
      <c r="J10797" s="238"/>
    </row>
    <row r="10798">
      <c r="C10798" s="82"/>
      <c r="E10798" s="84"/>
      <c r="F10798" s="84"/>
      <c r="G10798" s="84"/>
      <c r="I10798" s="237"/>
      <c r="J10798" s="238"/>
    </row>
    <row r="10799">
      <c r="C10799" s="82"/>
      <c r="E10799" s="84"/>
      <c r="F10799" s="84"/>
      <c r="G10799" s="84"/>
      <c r="I10799" s="237"/>
      <c r="J10799" s="238"/>
    </row>
    <row r="10800">
      <c r="C10800" s="82"/>
      <c r="E10800" s="84"/>
      <c r="F10800" s="84"/>
      <c r="G10800" s="84"/>
      <c r="I10800" s="237"/>
      <c r="J10800" s="238"/>
    </row>
    <row r="10801">
      <c r="C10801" s="82"/>
      <c r="E10801" s="84"/>
      <c r="F10801" s="84"/>
      <c r="G10801" s="84"/>
      <c r="I10801" s="237"/>
      <c r="J10801" s="238"/>
    </row>
    <row r="10802">
      <c r="C10802" s="82"/>
      <c r="E10802" s="84"/>
      <c r="F10802" s="84"/>
      <c r="G10802" s="84"/>
      <c r="I10802" s="237"/>
      <c r="J10802" s="238"/>
    </row>
    <row r="10803">
      <c r="C10803" s="82"/>
      <c r="E10803" s="84"/>
      <c r="F10803" s="84"/>
      <c r="G10803" s="84"/>
      <c r="I10803" s="237"/>
      <c r="J10803" s="238"/>
    </row>
    <row r="10804">
      <c r="C10804" s="82"/>
      <c r="E10804" s="84"/>
      <c r="F10804" s="84"/>
      <c r="G10804" s="84"/>
      <c r="I10804" s="237"/>
      <c r="J10804" s="238"/>
    </row>
    <row r="10805">
      <c r="C10805" s="82"/>
      <c r="E10805" s="84"/>
      <c r="F10805" s="84"/>
      <c r="G10805" s="84"/>
      <c r="I10805" s="237"/>
      <c r="J10805" s="238"/>
    </row>
    <row r="10806">
      <c r="C10806" s="82"/>
      <c r="E10806" s="84"/>
      <c r="F10806" s="84"/>
      <c r="G10806" s="84"/>
      <c r="I10806" s="237"/>
      <c r="J10806" s="238"/>
    </row>
    <row r="10807">
      <c r="C10807" s="82"/>
      <c r="E10807" s="84"/>
      <c r="F10807" s="84"/>
      <c r="G10807" s="84"/>
      <c r="I10807" s="237"/>
      <c r="J10807" s="238"/>
    </row>
    <row r="10808">
      <c r="C10808" s="82"/>
      <c r="E10808" s="84"/>
      <c r="F10808" s="84"/>
      <c r="G10808" s="84"/>
      <c r="I10808" s="237"/>
      <c r="J10808" s="238"/>
    </row>
    <row r="10809">
      <c r="C10809" s="82"/>
      <c r="E10809" s="84"/>
      <c r="F10809" s="84"/>
      <c r="G10809" s="84"/>
      <c r="I10809" s="237"/>
      <c r="J10809" s="238"/>
    </row>
    <row r="10810">
      <c r="C10810" s="82"/>
      <c r="E10810" s="84"/>
      <c r="F10810" s="84"/>
      <c r="G10810" s="84"/>
      <c r="I10810" s="237"/>
      <c r="J10810" s="238"/>
    </row>
    <row r="10811">
      <c r="C10811" s="82"/>
      <c r="E10811" s="84"/>
      <c r="F10811" s="84"/>
      <c r="G10811" s="84"/>
      <c r="I10811" s="237"/>
      <c r="J10811" s="238"/>
    </row>
    <row r="10812">
      <c r="C10812" s="82"/>
      <c r="E10812" s="84"/>
      <c r="F10812" s="84"/>
      <c r="G10812" s="84"/>
      <c r="I10812" s="237"/>
      <c r="J10812" s="238"/>
    </row>
    <row r="10813">
      <c r="C10813" s="82"/>
      <c r="E10813" s="84"/>
      <c r="F10813" s="84"/>
      <c r="G10813" s="84"/>
      <c r="I10813" s="237"/>
      <c r="J10813" s="238"/>
    </row>
    <row r="10814">
      <c r="C10814" s="82"/>
      <c r="E10814" s="84"/>
      <c r="F10814" s="84"/>
      <c r="G10814" s="84"/>
      <c r="I10814" s="237"/>
      <c r="J10814" s="238"/>
    </row>
    <row r="10815">
      <c r="C10815" s="82"/>
      <c r="E10815" s="84"/>
      <c r="F10815" s="84"/>
      <c r="G10815" s="84"/>
      <c r="I10815" s="237"/>
      <c r="J10815" s="238"/>
    </row>
    <row r="10816">
      <c r="C10816" s="82"/>
      <c r="E10816" s="84"/>
      <c r="F10816" s="84"/>
      <c r="G10816" s="84"/>
      <c r="I10816" s="237"/>
      <c r="J10816" s="238"/>
    </row>
    <row r="10817">
      <c r="C10817" s="82"/>
      <c r="E10817" s="84"/>
      <c r="F10817" s="84"/>
      <c r="G10817" s="84"/>
      <c r="I10817" s="237"/>
      <c r="J10817" s="238"/>
    </row>
    <row r="10818">
      <c r="C10818" s="82"/>
      <c r="E10818" s="84"/>
      <c r="F10818" s="84"/>
      <c r="G10818" s="84"/>
      <c r="I10818" s="237"/>
      <c r="J10818" s="238"/>
    </row>
    <row r="10819">
      <c r="C10819" s="82"/>
      <c r="E10819" s="84"/>
      <c r="F10819" s="84"/>
      <c r="G10819" s="84"/>
      <c r="I10819" s="237"/>
      <c r="J10819" s="238"/>
    </row>
    <row r="10820">
      <c r="C10820" s="82"/>
      <c r="E10820" s="84"/>
      <c r="F10820" s="84"/>
      <c r="G10820" s="84"/>
      <c r="I10820" s="237"/>
      <c r="J10820" s="238"/>
    </row>
    <row r="10821">
      <c r="C10821" s="82"/>
      <c r="E10821" s="84"/>
      <c r="F10821" s="84"/>
      <c r="G10821" s="84"/>
      <c r="I10821" s="237"/>
      <c r="J10821" s="238"/>
    </row>
    <row r="10822">
      <c r="C10822" s="82"/>
      <c r="E10822" s="84"/>
      <c r="F10822" s="84"/>
      <c r="G10822" s="84"/>
      <c r="I10822" s="237"/>
      <c r="J10822" s="238"/>
    </row>
    <row r="10823">
      <c r="C10823" s="82"/>
      <c r="E10823" s="84"/>
      <c r="F10823" s="84"/>
      <c r="G10823" s="84"/>
      <c r="I10823" s="237"/>
      <c r="J10823" s="238"/>
    </row>
    <row r="10824">
      <c r="C10824" s="82"/>
      <c r="E10824" s="84"/>
      <c r="F10824" s="84"/>
      <c r="G10824" s="84"/>
      <c r="I10824" s="237"/>
      <c r="J10824" s="238"/>
    </row>
    <row r="10825">
      <c r="C10825" s="82"/>
      <c r="E10825" s="84"/>
      <c r="F10825" s="84"/>
      <c r="G10825" s="84"/>
      <c r="I10825" s="237"/>
      <c r="J10825" s="238"/>
    </row>
    <row r="10826">
      <c r="C10826" s="82"/>
      <c r="E10826" s="84"/>
      <c r="F10826" s="84"/>
      <c r="G10826" s="84"/>
      <c r="I10826" s="237"/>
      <c r="J10826" s="238"/>
    </row>
    <row r="10827">
      <c r="C10827" s="82"/>
      <c r="E10827" s="84"/>
      <c r="F10827" s="84"/>
      <c r="G10827" s="84"/>
      <c r="I10827" s="237"/>
      <c r="J10827" s="238"/>
    </row>
    <row r="10828">
      <c r="C10828" s="82"/>
      <c r="E10828" s="84"/>
      <c r="F10828" s="84"/>
      <c r="G10828" s="84"/>
      <c r="I10828" s="237"/>
      <c r="J10828" s="238"/>
    </row>
    <row r="10829">
      <c r="C10829" s="82"/>
      <c r="E10829" s="84"/>
      <c r="F10829" s="84"/>
      <c r="G10829" s="84"/>
      <c r="I10829" s="237"/>
      <c r="J10829" s="238"/>
    </row>
    <row r="10830">
      <c r="C10830" s="82"/>
      <c r="E10830" s="84"/>
      <c r="F10830" s="84"/>
      <c r="G10830" s="84"/>
      <c r="I10830" s="237"/>
      <c r="J10830" s="238"/>
    </row>
    <row r="10831">
      <c r="C10831" s="82"/>
      <c r="E10831" s="84"/>
      <c r="F10831" s="84"/>
      <c r="G10831" s="84"/>
      <c r="I10831" s="237"/>
      <c r="J10831" s="238"/>
    </row>
    <row r="10832">
      <c r="C10832" s="82"/>
      <c r="E10832" s="84"/>
      <c r="F10832" s="84"/>
      <c r="G10832" s="84"/>
      <c r="I10832" s="237"/>
      <c r="J10832" s="238"/>
    </row>
    <row r="10833">
      <c r="C10833" s="82"/>
      <c r="E10833" s="84"/>
      <c r="F10833" s="84"/>
      <c r="G10833" s="84"/>
      <c r="I10833" s="237"/>
      <c r="J10833" s="238"/>
    </row>
    <row r="10834">
      <c r="C10834" s="82"/>
      <c r="E10834" s="84"/>
      <c r="F10834" s="84"/>
      <c r="G10834" s="84"/>
      <c r="I10834" s="237"/>
      <c r="J10834" s="238"/>
    </row>
    <row r="10835">
      <c r="C10835" s="82"/>
      <c r="E10835" s="84"/>
      <c r="F10835" s="84"/>
      <c r="G10835" s="84"/>
      <c r="I10835" s="237"/>
      <c r="J10835" s="238"/>
    </row>
    <row r="10836">
      <c r="C10836" s="82"/>
      <c r="E10836" s="84"/>
      <c r="F10836" s="84"/>
      <c r="G10836" s="84"/>
      <c r="I10836" s="237"/>
      <c r="J10836" s="238"/>
    </row>
    <row r="10837">
      <c r="C10837" s="82"/>
      <c r="E10837" s="84"/>
      <c r="F10837" s="84"/>
      <c r="G10837" s="84"/>
      <c r="I10837" s="237"/>
      <c r="J10837" s="238"/>
    </row>
    <row r="10838">
      <c r="C10838" s="82"/>
      <c r="E10838" s="84"/>
      <c r="F10838" s="84"/>
      <c r="G10838" s="84"/>
      <c r="I10838" s="237"/>
      <c r="J10838" s="238"/>
    </row>
    <row r="10839">
      <c r="C10839" s="82"/>
      <c r="E10839" s="84"/>
      <c r="F10839" s="84"/>
      <c r="G10839" s="84"/>
      <c r="I10839" s="237"/>
      <c r="J10839" s="238"/>
    </row>
    <row r="10840">
      <c r="C10840" s="82"/>
      <c r="E10840" s="84"/>
      <c r="F10840" s="84"/>
      <c r="G10840" s="84"/>
      <c r="I10840" s="237"/>
      <c r="J10840" s="238"/>
    </row>
    <row r="10841">
      <c r="C10841" s="82"/>
      <c r="E10841" s="84"/>
      <c r="F10841" s="84"/>
      <c r="G10841" s="84"/>
      <c r="I10841" s="237"/>
      <c r="J10841" s="238"/>
    </row>
    <row r="10842">
      <c r="C10842" s="82"/>
      <c r="E10842" s="84"/>
      <c r="F10842" s="84"/>
      <c r="G10842" s="84"/>
      <c r="I10842" s="237"/>
      <c r="J10842" s="238"/>
    </row>
    <row r="10843">
      <c r="C10843" s="82"/>
      <c r="E10843" s="84"/>
      <c r="F10843" s="84"/>
      <c r="G10843" s="84"/>
      <c r="I10843" s="237"/>
      <c r="J10843" s="238"/>
    </row>
    <row r="10844">
      <c r="C10844" s="82"/>
      <c r="E10844" s="84"/>
      <c r="F10844" s="84"/>
      <c r="G10844" s="84"/>
      <c r="I10844" s="237"/>
      <c r="J10844" s="238"/>
    </row>
    <row r="10845">
      <c r="C10845" s="82"/>
      <c r="E10845" s="84"/>
      <c r="F10845" s="84"/>
      <c r="G10845" s="84"/>
      <c r="I10845" s="237"/>
      <c r="J10845" s="238"/>
    </row>
    <row r="10846">
      <c r="C10846" s="82"/>
      <c r="E10846" s="84"/>
      <c r="F10846" s="84"/>
      <c r="G10846" s="84"/>
      <c r="I10846" s="237"/>
      <c r="J10846" s="238"/>
    </row>
    <row r="10847">
      <c r="C10847" s="82"/>
      <c r="E10847" s="84"/>
      <c r="F10847" s="84"/>
      <c r="G10847" s="84"/>
      <c r="I10847" s="237"/>
      <c r="J10847" s="238"/>
    </row>
    <row r="10848">
      <c r="C10848" s="82"/>
      <c r="E10848" s="84"/>
      <c r="F10848" s="84"/>
      <c r="G10848" s="84"/>
      <c r="I10848" s="237"/>
      <c r="J10848" s="238"/>
    </row>
    <row r="10849">
      <c r="C10849" s="82"/>
      <c r="E10849" s="84"/>
      <c r="F10849" s="84"/>
      <c r="G10849" s="84"/>
      <c r="I10849" s="237"/>
      <c r="J10849" s="238"/>
    </row>
    <row r="10850">
      <c r="C10850" s="82"/>
      <c r="E10850" s="84"/>
      <c r="F10850" s="84"/>
      <c r="G10850" s="84"/>
      <c r="I10850" s="237"/>
      <c r="J10850" s="238"/>
    </row>
    <row r="10851">
      <c r="C10851" s="82"/>
      <c r="E10851" s="84"/>
      <c r="F10851" s="84"/>
      <c r="G10851" s="84"/>
      <c r="I10851" s="237"/>
      <c r="J10851" s="238"/>
    </row>
    <row r="10852">
      <c r="C10852" s="82"/>
      <c r="E10852" s="84"/>
      <c r="F10852" s="84"/>
      <c r="G10852" s="84"/>
      <c r="I10852" s="237"/>
      <c r="J10852" s="238"/>
    </row>
    <row r="10853">
      <c r="C10853" s="82"/>
      <c r="E10853" s="84"/>
      <c r="F10853" s="84"/>
      <c r="G10853" s="84"/>
      <c r="I10853" s="237"/>
      <c r="J10853" s="238"/>
    </row>
    <row r="10854">
      <c r="C10854" s="82"/>
      <c r="E10854" s="84"/>
      <c r="F10854" s="84"/>
      <c r="G10854" s="84"/>
      <c r="I10854" s="237"/>
      <c r="J10854" s="238"/>
    </row>
    <row r="10855">
      <c r="C10855" s="82"/>
      <c r="E10855" s="84"/>
      <c r="F10855" s="84"/>
      <c r="G10855" s="84"/>
      <c r="I10855" s="237"/>
      <c r="J10855" s="238"/>
    </row>
    <row r="10856">
      <c r="C10856" s="82"/>
      <c r="E10856" s="84"/>
      <c r="F10856" s="84"/>
      <c r="G10856" s="84"/>
      <c r="I10856" s="237"/>
      <c r="J10856" s="238"/>
    </row>
    <row r="10857">
      <c r="C10857" s="82"/>
      <c r="E10857" s="84"/>
      <c r="F10857" s="84"/>
      <c r="G10857" s="84"/>
      <c r="I10857" s="237"/>
      <c r="J10857" s="238"/>
    </row>
    <row r="10858">
      <c r="C10858" s="82"/>
      <c r="E10858" s="84"/>
      <c r="F10858" s="84"/>
      <c r="G10858" s="84"/>
      <c r="I10858" s="237"/>
      <c r="J10858" s="238"/>
    </row>
    <row r="10859">
      <c r="C10859" s="82"/>
      <c r="E10859" s="84"/>
      <c r="F10859" s="84"/>
      <c r="G10859" s="84"/>
      <c r="I10859" s="237"/>
      <c r="J10859" s="238"/>
    </row>
    <row r="10860">
      <c r="C10860" s="82"/>
      <c r="E10860" s="84"/>
      <c r="F10860" s="84"/>
      <c r="G10860" s="84"/>
      <c r="I10860" s="237"/>
      <c r="J10860" s="238"/>
    </row>
    <row r="10861">
      <c r="C10861" s="82"/>
      <c r="E10861" s="84"/>
      <c r="F10861" s="84"/>
      <c r="G10861" s="84"/>
      <c r="I10861" s="237"/>
      <c r="J10861" s="238"/>
    </row>
    <row r="10862">
      <c r="C10862" s="82"/>
      <c r="E10862" s="84"/>
      <c r="F10862" s="84"/>
      <c r="G10862" s="84"/>
      <c r="I10862" s="237"/>
      <c r="J10862" s="238"/>
    </row>
    <row r="10863">
      <c r="C10863" s="82"/>
      <c r="E10863" s="84"/>
      <c r="F10863" s="84"/>
      <c r="G10863" s="84"/>
      <c r="I10863" s="237"/>
      <c r="J10863" s="238"/>
    </row>
    <row r="10864">
      <c r="C10864" s="82"/>
      <c r="E10864" s="84"/>
      <c r="F10864" s="84"/>
      <c r="G10864" s="84"/>
      <c r="I10864" s="237"/>
      <c r="J10864" s="238"/>
    </row>
    <row r="10865">
      <c r="C10865" s="82"/>
      <c r="E10865" s="84"/>
      <c r="F10865" s="84"/>
      <c r="G10865" s="84"/>
      <c r="I10865" s="237"/>
      <c r="J10865" s="238"/>
    </row>
    <row r="10866">
      <c r="C10866" s="82"/>
      <c r="E10866" s="84"/>
      <c r="F10866" s="84"/>
      <c r="G10866" s="84"/>
      <c r="I10866" s="237"/>
      <c r="J10866" s="238"/>
    </row>
    <row r="10867">
      <c r="C10867" s="82"/>
      <c r="E10867" s="84"/>
      <c r="F10867" s="84"/>
      <c r="G10867" s="84"/>
      <c r="I10867" s="237"/>
      <c r="J10867" s="238"/>
    </row>
    <row r="10868">
      <c r="C10868" s="82"/>
      <c r="E10868" s="84"/>
      <c r="F10868" s="84"/>
      <c r="G10868" s="84"/>
      <c r="I10868" s="237"/>
      <c r="J10868" s="238"/>
    </row>
    <row r="10869">
      <c r="C10869" s="82"/>
      <c r="E10869" s="84"/>
      <c r="F10869" s="84"/>
      <c r="G10869" s="84"/>
      <c r="I10869" s="237"/>
      <c r="J10869" s="238"/>
    </row>
    <row r="10870">
      <c r="C10870" s="82"/>
      <c r="E10870" s="84"/>
      <c r="F10870" s="84"/>
      <c r="G10870" s="84"/>
      <c r="I10870" s="237"/>
      <c r="J10870" s="238"/>
    </row>
    <row r="10871">
      <c r="C10871" s="82"/>
      <c r="E10871" s="84"/>
      <c r="F10871" s="84"/>
      <c r="G10871" s="84"/>
      <c r="I10871" s="237"/>
      <c r="J10871" s="238"/>
    </row>
    <row r="10872">
      <c r="C10872" s="82"/>
      <c r="E10872" s="84"/>
      <c r="F10872" s="84"/>
      <c r="G10872" s="84"/>
      <c r="I10872" s="237"/>
      <c r="J10872" s="238"/>
    </row>
    <row r="10873">
      <c r="C10873" s="82"/>
      <c r="E10873" s="84"/>
      <c r="F10873" s="84"/>
      <c r="G10873" s="84"/>
      <c r="I10873" s="237"/>
      <c r="J10873" s="238"/>
    </row>
    <row r="10874">
      <c r="C10874" s="82"/>
      <c r="E10874" s="84"/>
      <c r="F10874" s="84"/>
      <c r="G10874" s="84"/>
      <c r="I10874" s="237"/>
      <c r="J10874" s="238"/>
    </row>
    <row r="10875">
      <c r="C10875" s="82"/>
      <c r="E10875" s="84"/>
      <c r="F10875" s="84"/>
      <c r="G10875" s="84"/>
      <c r="I10875" s="237"/>
      <c r="J10875" s="238"/>
    </row>
    <row r="10876">
      <c r="C10876" s="82"/>
      <c r="E10876" s="84"/>
      <c r="F10876" s="84"/>
      <c r="G10876" s="84"/>
      <c r="I10876" s="237"/>
      <c r="J10876" s="238"/>
    </row>
    <row r="10877">
      <c r="C10877" s="82"/>
      <c r="E10877" s="84"/>
      <c r="F10877" s="84"/>
      <c r="G10877" s="84"/>
      <c r="I10877" s="237"/>
      <c r="J10877" s="238"/>
    </row>
    <row r="10878">
      <c r="C10878" s="82"/>
      <c r="E10878" s="84"/>
      <c r="F10878" s="84"/>
      <c r="G10878" s="84"/>
      <c r="I10878" s="237"/>
      <c r="J10878" s="238"/>
    </row>
    <row r="10879">
      <c r="C10879" s="82"/>
      <c r="E10879" s="84"/>
      <c r="F10879" s="84"/>
      <c r="G10879" s="84"/>
      <c r="I10879" s="237"/>
      <c r="J10879" s="238"/>
    </row>
    <row r="10880">
      <c r="C10880" s="82"/>
      <c r="E10880" s="84"/>
      <c r="F10880" s="84"/>
      <c r="G10880" s="84"/>
      <c r="I10880" s="237"/>
      <c r="J10880" s="238"/>
    </row>
    <row r="10881">
      <c r="C10881" s="82"/>
      <c r="E10881" s="84"/>
      <c r="F10881" s="84"/>
      <c r="G10881" s="84"/>
      <c r="I10881" s="237"/>
      <c r="J10881" s="238"/>
    </row>
    <row r="10882">
      <c r="C10882" s="82"/>
      <c r="E10882" s="84"/>
      <c r="F10882" s="84"/>
      <c r="G10882" s="84"/>
      <c r="I10882" s="237"/>
      <c r="J10882" s="238"/>
    </row>
    <row r="10883">
      <c r="C10883" s="82"/>
      <c r="E10883" s="84"/>
      <c r="F10883" s="84"/>
      <c r="G10883" s="84"/>
      <c r="I10883" s="237"/>
      <c r="J10883" s="238"/>
    </row>
    <row r="10884">
      <c r="C10884" s="82"/>
      <c r="E10884" s="84"/>
      <c r="F10884" s="84"/>
      <c r="G10884" s="84"/>
      <c r="I10884" s="237"/>
      <c r="J10884" s="238"/>
    </row>
    <row r="10885">
      <c r="C10885" s="82"/>
      <c r="E10885" s="84"/>
      <c r="F10885" s="84"/>
      <c r="G10885" s="84"/>
      <c r="I10885" s="237"/>
      <c r="J10885" s="238"/>
    </row>
    <row r="10886">
      <c r="C10886" s="82"/>
      <c r="E10886" s="84"/>
      <c r="F10886" s="84"/>
      <c r="G10886" s="84"/>
      <c r="I10886" s="237"/>
      <c r="J10886" s="238"/>
    </row>
    <row r="10887">
      <c r="C10887" s="82"/>
      <c r="E10887" s="84"/>
      <c r="F10887" s="84"/>
      <c r="G10887" s="84"/>
      <c r="I10887" s="237"/>
      <c r="J10887" s="238"/>
    </row>
    <row r="10888">
      <c r="C10888" s="82"/>
      <c r="E10888" s="84"/>
      <c r="F10888" s="84"/>
      <c r="G10888" s="84"/>
      <c r="I10888" s="237"/>
      <c r="J10888" s="238"/>
    </row>
    <row r="10889">
      <c r="C10889" s="82"/>
      <c r="E10889" s="84"/>
      <c r="F10889" s="84"/>
      <c r="G10889" s="84"/>
      <c r="I10889" s="237"/>
      <c r="J10889" s="238"/>
    </row>
    <row r="10890">
      <c r="C10890" s="82"/>
      <c r="E10890" s="84"/>
      <c r="F10890" s="84"/>
      <c r="G10890" s="84"/>
      <c r="I10890" s="237"/>
      <c r="J10890" s="238"/>
    </row>
    <row r="10891">
      <c r="C10891" s="82"/>
      <c r="E10891" s="84"/>
      <c r="F10891" s="84"/>
      <c r="G10891" s="84"/>
      <c r="I10891" s="237"/>
      <c r="J10891" s="238"/>
    </row>
    <row r="10892">
      <c r="C10892" s="82"/>
      <c r="E10892" s="84"/>
      <c r="F10892" s="84"/>
      <c r="G10892" s="84"/>
      <c r="I10892" s="237"/>
      <c r="J10892" s="238"/>
    </row>
    <row r="10893">
      <c r="C10893" s="82"/>
      <c r="E10893" s="84"/>
      <c r="F10893" s="84"/>
      <c r="G10893" s="84"/>
      <c r="I10893" s="237"/>
      <c r="J10893" s="238"/>
    </row>
    <row r="10894">
      <c r="C10894" s="82"/>
      <c r="E10894" s="84"/>
      <c r="F10894" s="84"/>
      <c r="G10894" s="84"/>
      <c r="I10894" s="237"/>
      <c r="J10894" s="238"/>
    </row>
    <row r="10895">
      <c r="C10895" s="82"/>
      <c r="E10895" s="84"/>
      <c r="F10895" s="84"/>
      <c r="G10895" s="84"/>
      <c r="I10895" s="237"/>
      <c r="J10895" s="238"/>
    </row>
    <row r="10896">
      <c r="C10896" s="82"/>
      <c r="E10896" s="84"/>
      <c r="F10896" s="84"/>
      <c r="G10896" s="84"/>
      <c r="I10896" s="237"/>
      <c r="J10896" s="238"/>
    </row>
    <row r="10897">
      <c r="C10897" s="82"/>
      <c r="E10897" s="84"/>
      <c r="F10897" s="84"/>
      <c r="G10897" s="84"/>
      <c r="I10897" s="237"/>
      <c r="J10897" s="238"/>
    </row>
    <row r="10898">
      <c r="C10898" s="82"/>
      <c r="E10898" s="84"/>
      <c r="F10898" s="84"/>
      <c r="G10898" s="84"/>
      <c r="I10898" s="237"/>
      <c r="J10898" s="238"/>
    </row>
    <row r="10899">
      <c r="C10899" s="82"/>
      <c r="E10899" s="84"/>
      <c r="F10899" s="84"/>
      <c r="G10899" s="84"/>
      <c r="I10899" s="237"/>
      <c r="J10899" s="238"/>
    </row>
    <row r="10900">
      <c r="C10900" s="82"/>
      <c r="E10900" s="84"/>
      <c r="F10900" s="84"/>
      <c r="G10900" s="84"/>
      <c r="I10900" s="237"/>
      <c r="J10900" s="238"/>
    </row>
    <row r="10901">
      <c r="C10901" s="82"/>
      <c r="E10901" s="84"/>
      <c r="F10901" s="84"/>
      <c r="G10901" s="84"/>
      <c r="I10901" s="237"/>
      <c r="J10901" s="238"/>
    </row>
    <row r="10902">
      <c r="C10902" s="82"/>
      <c r="E10902" s="84"/>
      <c r="F10902" s="84"/>
      <c r="G10902" s="84"/>
      <c r="I10902" s="237"/>
      <c r="J10902" s="238"/>
    </row>
    <row r="10903">
      <c r="C10903" s="82"/>
      <c r="E10903" s="84"/>
      <c r="F10903" s="84"/>
      <c r="G10903" s="84"/>
      <c r="I10903" s="237"/>
      <c r="J10903" s="238"/>
    </row>
    <row r="10904">
      <c r="C10904" s="82"/>
      <c r="E10904" s="84"/>
      <c r="F10904" s="84"/>
      <c r="G10904" s="84"/>
      <c r="I10904" s="237"/>
      <c r="J10904" s="238"/>
    </row>
    <row r="10905">
      <c r="C10905" s="82"/>
      <c r="E10905" s="84"/>
      <c r="F10905" s="84"/>
      <c r="G10905" s="84"/>
      <c r="I10905" s="237"/>
      <c r="J10905" s="238"/>
    </row>
    <row r="10906">
      <c r="C10906" s="82"/>
      <c r="E10906" s="84"/>
      <c r="F10906" s="84"/>
      <c r="G10906" s="84"/>
      <c r="I10906" s="237"/>
      <c r="J10906" s="238"/>
    </row>
    <row r="10907">
      <c r="C10907" s="82"/>
      <c r="E10907" s="84"/>
      <c r="F10907" s="84"/>
      <c r="G10907" s="84"/>
      <c r="I10907" s="237"/>
      <c r="J10907" s="238"/>
    </row>
    <row r="10908">
      <c r="C10908" s="82"/>
      <c r="E10908" s="84"/>
      <c r="F10908" s="84"/>
      <c r="G10908" s="84"/>
      <c r="I10908" s="237"/>
      <c r="J10908" s="238"/>
    </row>
    <row r="10909">
      <c r="C10909" s="82"/>
      <c r="E10909" s="84"/>
      <c r="F10909" s="84"/>
      <c r="G10909" s="84"/>
      <c r="I10909" s="237"/>
      <c r="J10909" s="238"/>
    </row>
    <row r="10910">
      <c r="C10910" s="82"/>
      <c r="E10910" s="84"/>
      <c r="F10910" s="84"/>
      <c r="G10910" s="84"/>
      <c r="I10910" s="237"/>
      <c r="J10910" s="238"/>
    </row>
    <row r="10911">
      <c r="C10911" s="82"/>
      <c r="E10911" s="84"/>
      <c r="F10911" s="84"/>
      <c r="G10911" s="84"/>
      <c r="I10911" s="237"/>
      <c r="J10911" s="238"/>
    </row>
    <row r="10912">
      <c r="C10912" s="82"/>
      <c r="E10912" s="84"/>
      <c r="F10912" s="84"/>
      <c r="G10912" s="84"/>
      <c r="I10912" s="237"/>
      <c r="J10912" s="238"/>
    </row>
    <row r="10913">
      <c r="C10913" s="82"/>
      <c r="E10913" s="84"/>
      <c r="F10913" s="84"/>
      <c r="G10913" s="84"/>
      <c r="I10913" s="237"/>
      <c r="J10913" s="238"/>
    </row>
    <row r="10914">
      <c r="C10914" s="82"/>
      <c r="E10914" s="84"/>
      <c r="F10914" s="84"/>
      <c r="G10914" s="84"/>
      <c r="I10914" s="237"/>
      <c r="J10914" s="238"/>
    </row>
    <row r="10915">
      <c r="C10915" s="82"/>
      <c r="E10915" s="84"/>
      <c r="F10915" s="84"/>
      <c r="G10915" s="84"/>
      <c r="I10915" s="237"/>
      <c r="J10915" s="238"/>
    </row>
    <row r="10916">
      <c r="C10916" s="82"/>
      <c r="E10916" s="84"/>
      <c r="F10916" s="84"/>
      <c r="G10916" s="84"/>
      <c r="I10916" s="237"/>
      <c r="J10916" s="238"/>
    </row>
    <row r="10917">
      <c r="C10917" s="82"/>
      <c r="E10917" s="84"/>
      <c r="F10917" s="84"/>
      <c r="G10917" s="84"/>
      <c r="I10917" s="237"/>
      <c r="J10917" s="238"/>
    </row>
    <row r="10918">
      <c r="C10918" s="82"/>
      <c r="E10918" s="84"/>
      <c r="F10918" s="84"/>
      <c r="G10918" s="84"/>
      <c r="I10918" s="237"/>
      <c r="J10918" s="238"/>
    </row>
    <row r="10919">
      <c r="C10919" s="82"/>
      <c r="E10919" s="84"/>
      <c r="F10919" s="84"/>
      <c r="G10919" s="84"/>
      <c r="I10919" s="237"/>
      <c r="J10919" s="238"/>
    </row>
    <row r="10920">
      <c r="C10920" s="82"/>
      <c r="E10920" s="84"/>
      <c r="F10920" s="84"/>
      <c r="G10920" s="84"/>
      <c r="I10920" s="237"/>
      <c r="J10920" s="238"/>
    </row>
    <row r="10921">
      <c r="C10921" s="82"/>
      <c r="E10921" s="84"/>
      <c r="F10921" s="84"/>
      <c r="G10921" s="84"/>
      <c r="I10921" s="237"/>
      <c r="J10921" s="238"/>
    </row>
    <row r="10922">
      <c r="C10922" s="82"/>
      <c r="E10922" s="84"/>
      <c r="F10922" s="84"/>
      <c r="G10922" s="84"/>
      <c r="I10922" s="237"/>
      <c r="J10922" s="238"/>
    </row>
    <row r="10923">
      <c r="C10923" s="82"/>
      <c r="E10923" s="84"/>
      <c r="F10923" s="84"/>
      <c r="G10923" s="84"/>
      <c r="I10923" s="237"/>
      <c r="J10923" s="238"/>
    </row>
    <row r="10924">
      <c r="C10924" s="82"/>
      <c r="E10924" s="84"/>
      <c r="F10924" s="84"/>
      <c r="G10924" s="84"/>
      <c r="I10924" s="237"/>
      <c r="J10924" s="238"/>
    </row>
    <row r="10925">
      <c r="C10925" s="82"/>
      <c r="E10925" s="84"/>
      <c r="F10925" s="84"/>
      <c r="G10925" s="84"/>
      <c r="I10925" s="237"/>
      <c r="J10925" s="238"/>
    </row>
    <row r="10926">
      <c r="C10926" s="82"/>
      <c r="E10926" s="84"/>
      <c r="F10926" s="84"/>
      <c r="G10926" s="84"/>
      <c r="I10926" s="237"/>
      <c r="J10926" s="238"/>
    </row>
    <row r="10927">
      <c r="C10927" s="82"/>
      <c r="E10927" s="84"/>
      <c r="F10927" s="84"/>
      <c r="G10927" s="84"/>
      <c r="I10927" s="237"/>
      <c r="J10927" s="238"/>
    </row>
    <row r="10928">
      <c r="C10928" s="82"/>
      <c r="E10928" s="84"/>
      <c r="F10928" s="84"/>
      <c r="G10928" s="84"/>
      <c r="I10928" s="237"/>
      <c r="J10928" s="238"/>
    </row>
    <row r="10929">
      <c r="C10929" s="82"/>
      <c r="E10929" s="84"/>
      <c r="F10929" s="84"/>
      <c r="G10929" s="84"/>
      <c r="I10929" s="237"/>
      <c r="J10929" s="238"/>
    </row>
    <row r="10930">
      <c r="C10930" s="82"/>
      <c r="E10930" s="84"/>
      <c r="F10930" s="84"/>
      <c r="G10930" s="84"/>
      <c r="I10930" s="237"/>
      <c r="J10930" s="238"/>
    </row>
    <row r="10931">
      <c r="C10931" s="82"/>
      <c r="E10931" s="84"/>
      <c r="F10931" s="84"/>
      <c r="G10931" s="84"/>
      <c r="I10931" s="237"/>
      <c r="J10931" s="238"/>
    </row>
    <row r="10932">
      <c r="C10932" s="82"/>
      <c r="E10932" s="84"/>
      <c r="F10932" s="84"/>
      <c r="G10932" s="84"/>
      <c r="I10932" s="237"/>
      <c r="J10932" s="238"/>
    </row>
    <row r="10933">
      <c r="C10933" s="82"/>
      <c r="E10933" s="84"/>
      <c r="F10933" s="84"/>
      <c r="G10933" s="84"/>
      <c r="I10933" s="237"/>
      <c r="J10933" s="238"/>
    </row>
    <row r="10934">
      <c r="C10934" s="82"/>
      <c r="E10934" s="84"/>
      <c r="F10934" s="84"/>
      <c r="G10934" s="84"/>
      <c r="I10934" s="237"/>
      <c r="J10934" s="238"/>
    </row>
    <row r="10935">
      <c r="C10935" s="82"/>
      <c r="E10935" s="84"/>
      <c r="F10935" s="84"/>
      <c r="G10935" s="84"/>
      <c r="I10935" s="237"/>
      <c r="J10935" s="238"/>
    </row>
    <row r="10936">
      <c r="C10936" s="82"/>
      <c r="E10936" s="84"/>
      <c r="F10936" s="84"/>
      <c r="G10936" s="84"/>
      <c r="I10936" s="237"/>
      <c r="J10936" s="238"/>
    </row>
    <row r="10937">
      <c r="C10937" s="82"/>
      <c r="E10937" s="84"/>
      <c r="F10937" s="84"/>
      <c r="G10937" s="84"/>
      <c r="I10937" s="237"/>
      <c r="J10937" s="238"/>
    </row>
    <row r="10938">
      <c r="C10938" s="82"/>
      <c r="E10938" s="84"/>
      <c r="F10938" s="84"/>
      <c r="G10938" s="84"/>
      <c r="I10938" s="237"/>
      <c r="J10938" s="238"/>
    </row>
    <row r="10939">
      <c r="C10939" s="82"/>
      <c r="E10939" s="84"/>
      <c r="F10939" s="84"/>
      <c r="G10939" s="84"/>
      <c r="I10939" s="237"/>
      <c r="J10939" s="238"/>
    </row>
    <row r="10940">
      <c r="C10940" s="82"/>
      <c r="E10940" s="84"/>
      <c r="F10940" s="84"/>
      <c r="G10940" s="84"/>
      <c r="I10940" s="237"/>
      <c r="J10940" s="238"/>
    </row>
    <row r="10941">
      <c r="C10941" s="82"/>
      <c r="E10941" s="84"/>
      <c r="F10941" s="84"/>
      <c r="G10941" s="84"/>
      <c r="I10941" s="237"/>
      <c r="J10941" s="238"/>
    </row>
    <row r="10942">
      <c r="C10942" s="82"/>
      <c r="E10942" s="84"/>
      <c r="F10942" s="84"/>
      <c r="G10942" s="84"/>
      <c r="I10942" s="237"/>
      <c r="J10942" s="238"/>
    </row>
    <row r="10943">
      <c r="C10943" s="82"/>
      <c r="E10943" s="84"/>
      <c r="F10943" s="84"/>
      <c r="G10943" s="84"/>
      <c r="I10943" s="237"/>
      <c r="J10943" s="238"/>
    </row>
    <row r="10944">
      <c r="C10944" s="82"/>
      <c r="E10944" s="84"/>
      <c r="F10944" s="84"/>
      <c r="G10944" s="84"/>
      <c r="I10944" s="237"/>
      <c r="J10944" s="238"/>
    </row>
    <row r="10945">
      <c r="C10945" s="82"/>
      <c r="E10945" s="84"/>
      <c r="F10945" s="84"/>
      <c r="G10945" s="84"/>
      <c r="I10945" s="237"/>
      <c r="J10945" s="238"/>
    </row>
    <row r="10946">
      <c r="C10946" s="82"/>
      <c r="E10946" s="84"/>
      <c r="F10946" s="84"/>
      <c r="G10946" s="84"/>
      <c r="I10946" s="237"/>
      <c r="J10946" s="238"/>
    </row>
    <row r="10947">
      <c r="C10947" s="82"/>
      <c r="E10947" s="84"/>
      <c r="F10947" s="84"/>
      <c r="G10947" s="84"/>
      <c r="I10947" s="237"/>
      <c r="J10947" s="238"/>
    </row>
    <row r="10948">
      <c r="C10948" s="82"/>
      <c r="E10948" s="84"/>
      <c r="F10948" s="84"/>
      <c r="G10948" s="84"/>
      <c r="I10948" s="237"/>
      <c r="J10948" s="238"/>
    </row>
    <row r="10949">
      <c r="C10949" s="82"/>
      <c r="E10949" s="84"/>
      <c r="F10949" s="84"/>
      <c r="G10949" s="84"/>
      <c r="I10949" s="237"/>
      <c r="J10949" s="238"/>
    </row>
    <row r="10950">
      <c r="C10950" s="82"/>
      <c r="E10950" s="84"/>
      <c r="F10950" s="84"/>
      <c r="G10950" s="84"/>
      <c r="I10950" s="237"/>
      <c r="J10950" s="238"/>
    </row>
    <row r="10951">
      <c r="C10951" s="82"/>
      <c r="E10951" s="84"/>
      <c r="F10951" s="84"/>
      <c r="G10951" s="84"/>
      <c r="I10951" s="237"/>
      <c r="J10951" s="238"/>
    </row>
    <row r="10952">
      <c r="C10952" s="82"/>
      <c r="E10952" s="84"/>
      <c r="F10952" s="84"/>
      <c r="G10952" s="84"/>
      <c r="I10952" s="237"/>
      <c r="J10952" s="238"/>
    </row>
    <row r="10953">
      <c r="C10953" s="82"/>
      <c r="E10953" s="84"/>
      <c r="F10953" s="84"/>
      <c r="G10953" s="84"/>
      <c r="I10953" s="237"/>
      <c r="J10953" s="238"/>
    </row>
    <row r="10954">
      <c r="C10954" s="82"/>
      <c r="E10954" s="84"/>
      <c r="F10954" s="84"/>
      <c r="G10954" s="84"/>
      <c r="I10954" s="237"/>
      <c r="J10954" s="238"/>
    </row>
    <row r="10955">
      <c r="C10955" s="82"/>
      <c r="E10955" s="84"/>
      <c r="F10955" s="84"/>
      <c r="G10955" s="84"/>
      <c r="I10955" s="237"/>
      <c r="J10955" s="238"/>
    </row>
    <row r="10956">
      <c r="C10956" s="82"/>
      <c r="E10956" s="84"/>
      <c r="F10956" s="84"/>
      <c r="G10956" s="84"/>
      <c r="I10956" s="237"/>
      <c r="J10956" s="238"/>
    </row>
    <row r="10957">
      <c r="C10957" s="82"/>
      <c r="E10957" s="84"/>
      <c r="F10957" s="84"/>
      <c r="G10957" s="84"/>
      <c r="I10957" s="237"/>
      <c r="J10957" s="238"/>
    </row>
    <row r="10958">
      <c r="C10958" s="82"/>
      <c r="E10958" s="84"/>
      <c r="F10958" s="84"/>
      <c r="G10958" s="84"/>
      <c r="I10958" s="237"/>
      <c r="J10958" s="238"/>
    </row>
    <row r="10959">
      <c r="C10959" s="82"/>
      <c r="E10959" s="84"/>
      <c r="F10959" s="84"/>
      <c r="G10959" s="84"/>
      <c r="I10959" s="237"/>
      <c r="J10959" s="238"/>
    </row>
    <row r="10960">
      <c r="C10960" s="82"/>
      <c r="E10960" s="84"/>
      <c r="F10960" s="84"/>
      <c r="G10960" s="84"/>
      <c r="I10960" s="237"/>
      <c r="J10960" s="238"/>
    </row>
    <row r="10961">
      <c r="C10961" s="82"/>
      <c r="E10961" s="84"/>
      <c r="F10961" s="84"/>
      <c r="G10961" s="84"/>
      <c r="I10961" s="237"/>
      <c r="J10961" s="238"/>
    </row>
    <row r="10962">
      <c r="C10962" s="82"/>
      <c r="E10962" s="84"/>
      <c r="F10962" s="84"/>
      <c r="G10962" s="84"/>
      <c r="I10962" s="237"/>
      <c r="J10962" s="238"/>
    </row>
    <row r="10963">
      <c r="C10963" s="82"/>
      <c r="E10963" s="84"/>
      <c r="F10963" s="84"/>
      <c r="G10963" s="84"/>
      <c r="I10963" s="237"/>
      <c r="J10963" s="238"/>
    </row>
    <row r="10964">
      <c r="C10964" s="82"/>
      <c r="E10964" s="84"/>
      <c r="F10964" s="84"/>
      <c r="G10964" s="84"/>
      <c r="I10964" s="237"/>
      <c r="J10964" s="238"/>
    </row>
    <row r="10965">
      <c r="C10965" s="82"/>
      <c r="E10965" s="84"/>
      <c r="F10965" s="84"/>
      <c r="G10965" s="84"/>
      <c r="I10965" s="237"/>
      <c r="J10965" s="238"/>
    </row>
    <row r="10966">
      <c r="C10966" s="82"/>
      <c r="E10966" s="84"/>
      <c r="F10966" s="84"/>
      <c r="G10966" s="84"/>
      <c r="I10966" s="237"/>
      <c r="J10966" s="238"/>
    </row>
    <row r="10967">
      <c r="C10967" s="82"/>
      <c r="E10967" s="84"/>
      <c r="F10967" s="84"/>
      <c r="G10967" s="84"/>
      <c r="I10967" s="237"/>
      <c r="J10967" s="238"/>
    </row>
    <row r="10968">
      <c r="C10968" s="82"/>
      <c r="E10968" s="84"/>
      <c r="F10968" s="84"/>
      <c r="G10968" s="84"/>
      <c r="I10968" s="237"/>
      <c r="J10968" s="238"/>
    </row>
    <row r="10969">
      <c r="C10969" s="82"/>
      <c r="E10969" s="84"/>
      <c r="F10969" s="84"/>
      <c r="G10969" s="84"/>
      <c r="I10969" s="237"/>
      <c r="J10969" s="238"/>
    </row>
    <row r="10970">
      <c r="C10970" s="82"/>
      <c r="E10970" s="84"/>
      <c r="F10970" s="84"/>
      <c r="G10970" s="84"/>
      <c r="I10970" s="237"/>
      <c r="J10970" s="238"/>
    </row>
    <row r="10971">
      <c r="C10971" s="82"/>
      <c r="E10971" s="84"/>
      <c r="F10971" s="84"/>
      <c r="G10971" s="84"/>
      <c r="I10971" s="237"/>
      <c r="J10971" s="238"/>
    </row>
    <row r="10972">
      <c r="C10972" s="82"/>
      <c r="E10972" s="84"/>
      <c r="F10972" s="84"/>
      <c r="G10972" s="84"/>
      <c r="I10972" s="237"/>
      <c r="J10972" s="238"/>
    </row>
    <row r="10973">
      <c r="C10973" s="82"/>
      <c r="E10973" s="84"/>
      <c r="F10973" s="84"/>
      <c r="G10973" s="84"/>
      <c r="I10973" s="237"/>
      <c r="J10973" s="238"/>
    </row>
    <row r="10974">
      <c r="C10974" s="82"/>
      <c r="E10974" s="84"/>
      <c r="F10974" s="84"/>
      <c r="G10974" s="84"/>
      <c r="I10974" s="237"/>
      <c r="J10974" s="238"/>
    </row>
    <row r="10975">
      <c r="C10975" s="82"/>
      <c r="E10975" s="84"/>
      <c r="F10975" s="84"/>
      <c r="G10975" s="84"/>
      <c r="I10975" s="237"/>
      <c r="J10975" s="238"/>
    </row>
    <row r="10976">
      <c r="C10976" s="82"/>
      <c r="E10976" s="84"/>
      <c r="F10976" s="84"/>
      <c r="G10976" s="84"/>
      <c r="I10976" s="237"/>
      <c r="J10976" s="238"/>
    </row>
    <row r="10977">
      <c r="C10977" s="82"/>
      <c r="E10977" s="84"/>
      <c r="F10977" s="84"/>
      <c r="G10977" s="84"/>
      <c r="I10977" s="237"/>
      <c r="J10977" s="238"/>
    </row>
    <row r="10978">
      <c r="C10978" s="82"/>
      <c r="E10978" s="84"/>
      <c r="F10978" s="84"/>
      <c r="G10978" s="84"/>
      <c r="I10978" s="237"/>
      <c r="J10978" s="238"/>
    </row>
    <row r="10979">
      <c r="C10979" s="82"/>
      <c r="E10979" s="84"/>
      <c r="F10979" s="84"/>
      <c r="G10979" s="84"/>
      <c r="I10979" s="237"/>
      <c r="J10979" s="238"/>
    </row>
    <row r="10980">
      <c r="C10980" s="82"/>
      <c r="E10980" s="84"/>
      <c r="F10980" s="84"/>
      <c r="G10980" s="84"/>
      <c r="I10980" s="237"/>
      <c r="J10980" s="238"/>
    </row>
    <row r="10981">
      <c r="C10981" s="82"/>
      <c r="E10981" s="84"/>
      <c r="F10981" s="84"/>
      <c r="G10981" s="84"/>
      <c r="I10981" s="237"/>
      <c r="J10981" s="238"/>
    </row>
    <row r="10982">
      <c r="C10982" s="82"/>
      <c r="E10982" s="84"/>
      <c r="F10982" s="84"/>
      <c r="G10982" s="84"/>
      <c r="I10982" s="237"/>
      <c r="J10982" s="238"/>
    </row>
    <row r="10983">
      <c r="C10983" s="82"/>
      <c r="E10983" s="84"/>
      <c r="F10983" s="84"/>
      <c r="G10983" s="84"/>
      <c r="I10983" s="237"/>
      <c r="J10983" s="238"/>
    </row>
    <row r="10984">
      <c r="C10984" s="82"/>
      <c r="E10984" s="84"/>
      <c r="F10984" s="84"/>
      <c r="G10984" s="84"/>
      <c r="I10984" s="237"/>
      <c r="J10984" s="238"/>
    </row>
    <row r="10985">
      <c r="C10985" s="82"/>
      <c r="E10985" s="84"/>
      <c r="F10985" s="84"/>
      <c r="G10985" s="84"/>
      <c r="I10985" s="237"/>
      <c r="J10985" s="238"/>
    </row>
    <row r="10986">
      <c r="C10986" s="82"/>
      <c r="E10986" s="84"/>
      <c r="F10986" s="84"/>
      <c r="G10986" s="84"/>
      <c r="I10986" s="237"/>
      <c r="J10986" s="238"/>
    </row>
    <row r="10987">
      <c r="C10987" s="82"/>
      <c r="E10987" s="84"/>
      <c r="F10987" s="84"/>
      <c r="G10987" s="84"/>
      <c r="I10987" s="237"/>
      <c r="J10987" s="238"/>
    </row>
    <row r="10988">
      <c r="C10988" s="82"/>
      <c r="E10988" s="84"/>
      <c r="F10988" s="84"/>
      <c r="G10988" s="84"/>
      <c r="I10988" s="237"/>
      <c r="J10988" s="238"/>
    </row>
    <row r="10989">
      <c r="C10989" s="82"/>
      <c r="E10989" s="84"/>
      <c r="F10989" s="84"/>
      <c r="G10989" s="84"/>
      <c r="I10989" s="237"/>
      <c r="J10989" s="238"/>
    </row>
    <row r="10990">
      <c r="C10990" s="82"/>
      <c r="E10990" s="84"/>
      <c r="F10990" s="84"/>
      <c r="G10990" s="84"/>
      <c r="I10990" s="237"/>
      <c r="J10990" s="238"/>
    </row>
    <row r="10991">
      <c r="C10991" s="82"/>
      <c r="E10991" s="84"/>
      <c r="F10991" s="84"/>
      <c r="G10991" s="84"/>
      <c r="I10991" s="237"/>
      <c r="J10991" s="238"/>
    </row>
    <row r="10992">
      <c r="C10992" s="82"/>
      <c r="E10992" s="84"/>
      <c r="F10992" s="84"/>
      <c r="G10992" s="84"/>
      <c r="I10992" s="237"/>
      <c r="J10992" s="238"/>
    </row>
    <row r="10993">
      <c r="C10993" s="82"/>
      <c r="E10993" s="84"/>
      <c r="F10993" s="84"/>
      <c r="G10993" s="84"/>
      <c r="I10993" s="237"/>
      <c r="J10993" s="238"/>
    </row>
    <row r="10994">
      <c r="C10994" s="82"/>
      <c r="E10994" s="84"/>
      <c r="F10994" s="84"/>
      <c r="G10994" s="84"/>
      <c r="I10994" s="237"/>
      <c r="J10994" s="238"/>
    </row>
    <row r="10995">
      <c r="C10995" s="82"/>
      <c r="E10995" s="84"/>
      <c r="F10995" s="84"/>
      <c r="G10995" s="84"/>
      <c r="I10995" s="237"/>
      <c r="J10995" s="238"/>
    </row>
    <row r="10996">
      <c r="C10996" s="82"/>
      <c r="E10996" s="84"/>
      <c r="F10996" s="84"/>
      <c r="G10996" s="84"/>
      <c r="I10996" s="237"/>
      <c r="J10996" s="238"/>
    </row>
    <row r="10997">
      <c r="C10997" s="82"/>
      <c r="E10997" s="84"/>
      <c r="F10997" s="84"/>
      <c r="G10997" s="84"/>
      <c r="I10997" s="237"/>
      <c r="J10997" s="238"/>
    </row>
    <row r="10998">
      <c r="C10998" s="82"/>
      <c r="E10998" s="84"/>
      <c r="F10998" s="84"/>
      <c r="G10998" s="84"/>
      <c r="I10998" s="237"/>
      <c r="J10998" s="238"/>
    </row>
    <row r="10999">
      <c r="C10999" s="82"/>
      <c r="E10999" s="84"/>
      <c r="F10999" s="84"/>
      <c r="G10999" s="84"/>
      <c r="I10999" s="237"/>
      <c r="J10999" s="238"/>
    </row>
    <row r="11000">
      <c r="C11000" s="82"/>
      <c r="E11000" s="84"/>
      <c r="F11000" s="84"/>
      <c r="G11000" s="84"/>
      <c r="I11000" s="237"/>
      <c r="J11000" s="238"/>
    </row>
    <row r="11001">
      <c r="C11001" s="82"/>
      <c r="E11001" s="84"/>
      <c r="F11001" s="84"/>
      <c r="G11001" s="84"/>
      <c r="I11001" s="237"/>
      <c r="J11001" s="238"/>
    </row>
    <row r="11002">
      <c r="C11002" s="82"/>
      <c r="E11002" s="84"/>
      <c r="F11002" s="84"/>
      <c r="G11002" s="84"/>
      <c r="I11002" s="237"/>
      <c r="J11002" s="238"/>
    </row>
    <row r="11003">
      <c r="C11003" s="82"/>
      <c r="E11003" s="84"/>
      <c r="F11003" s="84"/>
      <c r="G11003" s="84"/>
      <c r="I11003" s="237"/>
      <c r="J11003" s="238"/>
    </row>
    <row r="11004">
      <c r="C11004" s="82"/>
      <c r="E11004" s="84"/>
      <c r="F11004" s="84"/>
      <c r="G11004" s="84"/>
      <c r="I11004" s="237"/>
      <c r="J11004" s="238"/>
    </row>
    <row r="11005">
      <c r="C11005" s="82"/>
      <c r="E11005" s="84"/>
      <c r="F11005" s="84"/>
      <c r="G11005" s="84"/>
      <c r="I11005" s="237"/>
      <c r="J11005" s="238"/>
    </row>
    <row r="11006">
      <c r="C11006" s="82"/>
      <c r="E11006" s="84"/>
      <c r="F11006" s="84"/>
      <c r="G11006" s="84"/>
      <c r="I11006" s="237"/>
      <c r="J11006" s="238"/>
    </row>
    <row r="11007">
      <c r="C11007" s="82"/>
      <c r="E11007" s="84"/>
      <c r="F11007" s="84"/>
      <c r="G11007" s="84"/>
      <c r="I11007" s="237"/>
      <c r="J11007" s="238"/>
    </row>
    <row r="11008">
      <c r="C11008" s="82"/>
      <c r="E11008" s="84"/>
      <c r="F11008" s="84"/>
      <c r="G11008" s="84"/>
      <c r="I11008" s="237"/>
      <c r="J11008" s="238"/>
    </row>
    <row r="11009">
      <c r="C11009" s="82"/>
      <c r="E11009" s="84"/>
      <c r="F11009" s="84"/>
      <c r="G11009" s="84"/>
      <c r="I11009" s="237"/>
      <c r="J11009" s="238"/>
    </row>
    <row r="11010">
      <c r="C11010" s="82"/>
      <c r="E11010" s="84"/>
      <c r="F11010" s="84"/>
      <c r="G11010" s="84"/>
      <c r="I11010" s="237"/>
      <c r="J11010" s="238"/>
    </row>
    <row r="11011">
      <c r="C11011" s="82"/>
      <c r="E11011" s="84"/>
      <c r="F11011" s="84"/>
      <c r="G11011" s="84"/>
      <c r="I11011" s="237"/>
      <c r="J11011" s="238"/>
    </row>
    <row r="11012">
      <c r="C11012" s="82"/>
      <c r="E11012" s="84"/>
      <c r="F11012" s="84"/>
      <c r="G11012" s="84"/>
      <c r="I11012" s="237"/>
      <c r="J11012" s="238"/>
    </row>
    <row r="11013">
      <c r="C11013" s="82"/>
      <c r="E11013" s="84"/>
      <c r="F11013" s="84"/>
      <c r="G11013" s="84"/>
      <c r="I11013" s="237"/>
      <c r="J11013" s="238"/>
    </row>
    <row r="11014">
      <c r="C11014" s="82"/>
      <c r="E11014" s="84"/>
      <c r="F11014" s="84"/>
      <c r="G11014" s="84"/>
      <c r="I11014" s="237"/>
      <c r="J11014" s="238"/>
    </row>
    <row r="11015">
      <c r="C11015" s="82"/>
      <c r="E11015" s="84"/>
      <c r="F11015" s="84"/>
      <c r="G11015" s="84"/>
      <c r="I11015" s="237"/>
      <c r="J11015" s="238"/>
    </row>
    <row r="11016">
      <c r="C11016" s="82"/>
      <c r="E11016" s="84"/>
      <c r="F11016" s="84"/>
      <c r="G11016" s="84"/>
      <c r="I11016" s="237"/>
      <c r="J11016" s="238"/>
    </row>
    <row r="11017">
      <c r="C11017" s="82"/>
      <c r="E11017" s="84"/>
      <c r="F11017" s="84"/>
      <c r="G11017" s="84"/>
      <c r="I11017" s="237"/>
      <c r="J11017" s="238"/>
    </row>
    <row r="11018">
      <c r="C11018" s="82"/>
      <c r="E11018" s="84"/>
      <c r="F11018" s="84"/>
      <c r="G11018" s="84"/>
      <c r="I11018" s="237"/>
      <c r="J11018" s="238"/>
    </row>
    <row r="11019">
      <c r="C11019" s="82"/>
      <c r="E11019" s="84"/>
      <c r="F11019" s="84"/>
      <c r="G11019" s="84"/>
      <c r="I11019" s="237"/>
      <c r="J11019" s="238"/>
    </row>
    <row r="11020">
      <c r="C11020" s="82"/>
      <c r="E11020" s="84"/>
      <c r="F11020" s="84"/>
      <c r="G11020" s="84"/>
      <c r="I11020" s="237"/>
      <c r="J11020" s="238"/>
    </row>
    <row r="11021">
      <c r="C11021" s="82"/>
      <c r="E11021" s="84"/>
      <c r="F11021" s="84"/>
      <c r="G11021" s="84"/>
      <c r="I11021" s="237"/>
      <c r="J11021" s="238"/>
    </row>
    <row r="11022">
      <c r="C11022" s="82"/>
      <c r="E11022" s="84"/>
      <c r="F11022" s="84"/>
      <c r="G11022" s="84"/>
      <c r="I11022" s="237"/>
      <c r="J11022" s="238"/>
    </row>
    <row r="11023">
      <c r="C11023" s="82"/>
      <c r="E11023" s="84"/>
      <c r="F11023" s="84"/>
      <c r="G11023" s="84"/>
      <c r="I11023" s="237"/>
      <c r="J11023" s="238"/>
    </row>
    <row r="11024">
      <c r="C11024" s="82"/>
      <c r="E11024" s="84"/>
      <c r="F11024" s="84"/>
      <c r="G11024" s="84"/>
      <c r="I11024" s="237"/>
      <c r="J11024" s="238"/>
    </row>
    <row r="11025">
      <c r="C11025" s="82"/>
      <c r="E11025" s="84"/>
      <c r="F11025" s="84"/>
      <c r="G11025" s="84"/>
      <c r="I11025" s="237"/>
      <c r="J11025" s="238"/>
    </row>
    <row r="11026">
      <c r="C11026" s="82"/>
      <c r="E11026" s="84"/>
      <c r="F11026" s="84"/>
      <c r="G11026" s="84"/>
      <c r="I11026" s="237"/>
      <c r="J11026" s="238"/>
    </row>
    <row r="11027">
      <c r="C11027" s="82"/>
      <c r="E11027" s="84"/>
      <c r="F11027" s="84"/>
      <c r="G11027" s="84"/>
      <c r="I11027" s="237"/>
      <c r="J11027" s="238"/>
    </row>
    <row r="11028">
      <c r="C11028" s="82"/>
      <c r="E11028" s="84"/>
      <c r="F11028" s="84"/>
      <c r="G11028" s="84"/>
      <c r="I11028" s="237"/>
      <c r="J11028" s="238"/>
    </row>
    <row r="11029">
      <c r="C11029" s="82"/>
      <c r="E11029" s="84"/>
      <c r="F11029" s="84"/>
      <c r="G11029" s="84"/>
      <c r="I11029" s="237"/>
      <c r="J11029" s="238"/>
    </row>
    <row r="11030">
      <c r="C11030" s="82"/>
      <c r="E11030" s="84"/>
      <c r="F11030" s="84"/>
      <c r="G11030" s="84"/>
      <c r="I11030" s="237"/>
      <c r="J11030" s="238"/>
    </row>
    <row r="11031">
      <c r="C11031" s="82"/>
      <c r="E11031" s="84"/>
      <c r="F11031" s="84"/>
      <c r="G11031" s="84"/>
      <c r="I11031" s="237"/>
      <c r="J11031" s="238"/>
    </row>
    <row r="11032">
      <c r="C11032" s="82"/>
      <c r="E11032" s="84"/>
      <c r="F11032" s="84"/>
      <c r="G11032" s="84"/>
      <c r="I11032" s="237"/>
      <c r="J11032" s="238"/>
    </row>
    <row r="11033">
      <c r="C11033" s="82"/>
      <c r="E11033" s="84"/>
      <c r="F11033" s="84"/>
      <c r="G11033" s="84"/>
      <c r="I11033" s="237"/>
      <c r="J11033" s="238"/>
    </row>
    <row r="11034">
      <c r="C11034" s="82"/>
      <c r="E11034" s="84"/>
      <c r="F11034" s="84"/>
      <c r="G11034" s="84"/>
      <c r="I11034" s="237"/>
      <c r="J11034" s="238"/>
    </row>
    <row r="11035">
      <c r="C11035" s="82"/>
      <c r="E11035" s="84"/>
      <c r="F11035" s="84"/>
      <c r="G11035" s="84"/>
      <c r="I11035" s="237"/>
      <c r="J11035" s="238"/>
    </row>
    <row r="11036">
      <c r="C11036" s="82"/>
      <c r="E11036" s="84"/>
      <c r="F11036" s="84"/>
      <c r="G11036" s="84"/>
      <c r="I11036" s="237"/>
      <c r="J11036" s="238"/>
    </row>
    <row r="11037">
      <c r="C11037" s="82"/>
      <c r="E11037" s="84"/>
      <c r="F11037" s="84"/>
      <c r="G11037" s="84"/>
      <c r="I11037" s="237"/>
      <c r="J11037" s="238"/>
    </row>
    <row r="11038">
      <c r="C11038" s="82"/>
      <c r="E11038" s="84"/>
      <c r="F11038" s="84"/>
      <c r="G11038" s="84"/>
      <c r="I11038" s="237"/>
      <c r="J11038" s="238"/>
    </row>
    <row r="11039">
      <c r="C11039" s="82"/>
      <c r="E11039" s="84"/>
      <c r="F11039" s="84"/>
      <c r="G11039" s="84"/>
      <c r="I11039" s="237"/>
      <c r="J11039" s="238"/>
    </row>
    <row r="11040">
      <c r="C11040" s="82"/>
      <c r="E11040" s="84"/>
      <c r="F11040" s="84"/>
      <c r="G11040" s="84"/>
      <c r="I11040" s="237"/>
      <c r="J11040" s="238"/>
    </row>
    <row r="11041">
      <c r="C11041" s="82"/>
      <c r="E11041" s="84"/>
      <c r="F11041" s="84"/>
      <c r="G11041" s="84"/>
      <c r="I11041" s="237"/>
      <c r="J11041" s="238"/>
    </row>
    <row r="11042">
      <c r="C11042" s="82"/>
      <c r="E11042" s="84"/>
      <c r="F11042" s="84"/>
      <c r="G11042" s="84"/>
      <c r="I11042" s="237"/>
      <c r="J11042" s="238"/>
    </row>
    <row r="11043">
      <c r="C11043" s="82"/>
      <c r="E11043" s="84"/>
      <c r="F11043" s="84"/>
      <c r="G11043" s="84"/>
      <c r="I11043" s="237"/>
      <c r="J11043" s="238"/>
    </row>
    <row r="11044">
      <c r="C11044" s="82"/>
      <c r="E11044" s="84"/>
      <c r="F11044" s="84"/>
      <c r="G11044" s="84"/>
      <c r="I11044" s="237"/>
      <c r="J11044" s="238"/>
    </row>
    <row r="11045">
      <c r="C11045" s="82"/>
      <c r="E11045" s="84"/>
      <c r="F11045" s="84"/>
      <c r="G11045" s="84"/>
      <c r="I11045" s="237"/>
      <c r="J11045" s="238"/>
    </row>
    <row r="11046">
      <c r="C11046" s="82"/>
      <c r="E11046" s="84"/>
      <c r="F11046" s="84"/>
      <c r="G11046" s="84"/>
      <c r="I11046" s="237"/>
      <c r="J11046" s="238"/>
    </row>
    <row r="11047">
      <c r="C11047" s="82"/>
      <c r="E11047" s="84"/>
      <c r="F11047" s="84"/>
      <c r="G11047" s="84"/>
      <c r="I11047" s="237"/>
      <c r="J11047" s="238"/>
    </row>
    <row r="11048">
      <c r="C11048" s="82"/>
      <c r="E11048" s="84"/>
      <c r="F11048" s="84"/>
      <c r="G11048" s="84"/>
      <c r="I11048" s="237"/>
      <c r="J11048" s="238"/>
    </row>
    <row r="11049">
      <c r="C11049" s="82"/>
      <c r="E11049" s="84"/>
      <c r="F11049" s="84"/>
      <c r="G11049" s="84"/>
      <c r="I11049" s="237"/>
      <c r="J11049" s="238"/>
    </row>
    <row r="11050">
      <c r="C11050" s="82"/>
      <c r="E11050" s="84"/>
      <c r="F11050" s="84"/>
      <c r="G11050" s="84"/>
      <c r="I11050" s="237"/>
      <c r="J11050" s="238"/>
    </row>
    <row r="11051">
      <c r="C11051" s="82"/>
      <c r="E11051" s="84"/>
      <c r="F11051" s="84"/>
      <c r="G11051" s="84"/>
      <c r="I11051" s="237"/>
      <c r="J11051" s="238"/>
    </row>
    <row r="11052">
      <c r="C11052" s="82"/>
      <c r="E11052" s="84"/>
      <c r="F11052" s="84"/>
      <c r="G11052" s="84"/>
      <c r="I11052" s="237"/>
      <c r="J11052" s="238"/>
    </row>
    <row r="11053">
      <c r="C11053" s="82"/>
      <c r="E11053" s="84"/>
      <c r="F11053" s="84"/>
      <c r="G11053" s="84"/>
      <c r="I11053" s="237"/>
      <c r="J11053" s="238"/>
    </row>
    <row r="11054">
      <c r="C11054" s="82"/>
      <c r="E11054" s="84"/>
      <c r="F11054" s="84"/>
      <c r="G11054" s="84"/>
      <c r="I11054" s="237"/>
      <c r="J11054" s="238"/>
    </row>
    <row r="11055">
      <c r="C11055" s="82"/>
      <c r="E11055" s="84"/>
      <c r="F11055" s="84"/>
      <c r="G11055" s="84"/>
      <c r="I11055" s="237"/>
      <c r="J11055" s="238"/>
    </row>
    <row r="11056">
      <c r="C11056" s="82"/>
      <c r="E11056" s="84"/>
      <c r="F11056" s="84"/>
      <c r="G11056" s="84"/>
      <c r="I11056" s="237"/>
      <c r="J11056" s="238"/>
    </row>
    <row r="11057">
      <c r="C11057" s="82"/>
      <c r="E11057" s="84"/>
      <c r="F11057" s="84"/>
      <c r="G11057" s="84"/>
      <c r="I11057" s="237"/>
      <c r="J11057" s="238"/>
    </row>
    <row r="11058">
      <c r="C11058" s="82"/>
      <c r="E11058" s="84"/>
      <c r="F11058" s="84"/>
      <c r="G11058" s="84"/>
      <c r="I11058" s="237"/>
      <c r="J11058" s="238"/>
    </row>
    <row r="11059">
      <c r="C11059" s="82"/>
      <c r="E11059" s="84"/>
      <c r="F11059" s="84"/>
      <c r="G11059" s="84"/>
      <c r="I11059" s="237"/>
      <c r="J11059" s="238"/>
    </row>
    <row r="11060">
      <c r="C11060" s="82"/>
      <c r="E11060" s="84"/>
      <c r="F11060" s="84"/>
      <c r="G11060" s="84"/>
      <c r="I11060" s="237"/>
      <c r="J11060" s="238"/>
    </row>
    <row r="11061">
      <c r="C11061" s="82"/>
      <c r="E11061" s="84"/>
      <c r="F11061" s="84"/>
      <c r="G11061" s="84"/>
      <c r="I11061" s="237"/>
      <c r="J11061" s="238"/>
    </row>
    <row r="11062">
      <c r="C11062" s="82"/>
      <c r="E11062" s="84"/>
      <c r="F11062" s="84"/>
      <c r="G11062" s="84"/>
      <c r="I11062" s="237"/>
      <c r="J11062" s="238"/>
    </row>
    <row r="11063">
      <c r="C11063" s="82"/>
      <c r="E11063" s="84"/>
      <c r="F11063" s="84"/>
      <c r="G11063" s="84"/>
      <c r="I11063" s="237"/>
      <c r="J11063" s="238"/>
    </row>
    <row r="11064">
      <c r="C11064" s="82"/>
      <c r="E11064" s="84"/>
      <c r="F11064" s="84"/>
      <c r="G11064" s="84"/>
      <c r="I11064" s="237"/>
      <c r="J11064" s="238"/>
    </row>
    <row r="11065">
      <c r="C11065" s="82"/>
      <c r="E11065" s="84"/>
      <c r="F11065" s="84"/>
      <c r="G11065" s="84"/>
      <c r="I11065" s="237"/>
      <c r="J11065" s="238"/>
    </row>
    <row r="11066">
      <c r="C11066" s="82"/>
      <c r="E11066" s="84"/>
      <c r="F11066" s="84"/>
      <c r="G11066" s="84"/>
      <c r="I11066" s="237"/>
      <c r="J11066" s="238"/>
    </row>
    <row r="11067">
      <c r="C11067" s="82"/>
      <c r="E11067" s="84"/>
      <c r="F11067" s="84"/>
      <c r="G11067" s="84"/>
      <c r="I11067" s="237"/>
      <c r="J11067" s="238"/>
    </row>
    <row r="11068">
      <c r="C11068" s="82"/>
      <c r="E11068" s="84"/>
      <c r="F11068" s="84"/>
      <c r="G11068" s="84"/>
      <c r="I11068" s="237"/>
      <c r="J11068" s="238"/>
    </row>
    <row r="11069">
      <c r="C11069" s="82"/>
      <c r="E11069" s="84"/>
      <c r="F11069" s="84"/>
      <c r="G11069" s="84"/>
      <c r="I11069" s="237"/>
      <c r="J11069" s="238"/>
    </row>
    <row r="11070">
      <c r="C11070" s="82"/>
      <c r="E11070" s="84"/>
      <c r="F11070" s="84"/>
      <c r="G11070" s="84"/>
      <c r="I11070" s="237"/>
      <c r="J11070" s="238"/>
    </row>
    <row r="11071">
      <c r="C11071" s="82"/>
      <c r="E11071" s="84"/>
      <c r="F11071" s="84"/>
      <c r="G11071" s="84"/>
      <c r="I11071" s="237"/>
      <c r="J11071" s="238"/>
    </row>
    <row r="11072">
      <c r="C11072" s="82"/>
      <c r="E11072" s="84"/>
      <c r="F11072" s="84"/>
      <c r="G11072" s="84"/>
      <c r="I11072" s="237"/>
      <c r="J11072" s="238"/>
    </row>
    <row r="11073">
      <c r="C11073" s="82"/>
      <c r="E11073" s="84"/>
      <c r="F11073" s="84"/>
      <c r="G11073" s="84"/>
      <c r="I11073" s="237"/>
      <c r="J11073" s="238"/>
    </row>
    <row r="11074">
      <c r="C11074" s="82"/>
      <c r="E11074" s="84"/>
      <c r="F11074" s="84"/>
      <c r="G11074" s="84"/>
      <c r="I11074" s="237"/>
      <c r="J11074" s="238"/>
    </row>
    <row r="11075">
      <c r="C11075" s="82"/>
      <c r="E11075" s="84"/>
      <c r="F11075" s="84"/>
      <c r="G11075" s="84"/>
      <c r="I11075" s="237"/>
      <c r="J11075" s="238"/>
    </row>
    <row r="11076">
      <c r="C11076" s="82"/>
      <c r="E11076" s="84"/>
      <c r="F11076" s="84"/>
      <c r="G11076" s="84"/>
      <c r="I11076" s="237"/>
      <c r="J11076" s="238"/>
    </row>
    <row r="11077">
      <c r="C11077" s="82"/>
      <c r="E11077" s="84"/>
      <c r="F11077" s="84"/>
      <c r="G11077" s="84"/>
      <c r="I11077" s="237"/>
      <c r="J11077" s="238"/>
    </row>
    <row r="11078">
      <c r="C11078" s="82"/>
      <c r="E11078" s="84"/>
      <c r="F11078" s="84"/>
      <c r="G11078" s="84"/>
      <c r="I11078" s="237"/>
      <c r="J11078" s="238"/>
    </row>
    <row r="11079">
      <c r="C11079" s="82"/>
      <c r="E11079" s="84"/>
      <c r="F11079" s="84"/>
      <c r="G11079" s="84"/>
      <c r="I11079" s="237"/>
      <c r="J11079" s="238"/>
    </row>
    <row r="11080">
      <c r="C11080" s="82"/>
      <c r="E11080" s="84"/>
      <c r="F11080" s="84"/>
      <c r="G11080" s="84"/>
      <c r="I11080" s="237"/>
      <c r="J11080" s="238"/>
    </row>
    <row r="11081">
      <c r="C11081" s="82"/>
      <c r="E11081" s="84"/>
      <c r="F11081" s="84"/>
      <c r="G11081" s="84"/>
      <c r="I11081" s="237"/>
      <c r="J11081" s="238"/>
    </row>
    <row r="11082">
      <c r="C11082" s="82"/>
      <c r="E11082" s="84"/>
      <c r="F11082" s="84"/>
      <c r="G11082" s="84"/>
      <c r="I11082" s="237"/>
      <c r="J11082" s="238"/>
    </row>
    <row r="11083">
      <c r="C11083" s="82"/>
      <c r="E11083" s="84"/>
      <c r="F11083" s="84"/>
      <c r="G11083" s="84"/>
      <c r="I11083" s="237"/>
      <c r="J11083" s="238"/>
    </row>
    <row r="11084">
      <c r="C11084" s="82"/>
      <c r="E11084" s="84"/>
      <c r="F11084" s="84"/>
      <c r="G11084" s="84"/>
      <c r="I11084" s="237"/>
      <c r="J11084" s="238"/>
    </row>
    <row r="11085">
      <c r="C11085" s="82"/>
      <c r="E11085" s="84"/>
      <c r="F11085" s="84"/>
      <c r="G11085" s="84"/>
      <c r="I11085" s="237"/>
      <c r="J11085" s="238"/>
    </row>
    <row r="11086">
      <c r="C11086" s="82"/>
      <c r="E11086" s="84"/>
      <c r="F11086" s="84"/>
      <c r="G11086" s="84"/>
      <c r="I11086" s="237"/>
      <c r="J11086" s="238"/>
    </row>
    <row r="11087">
      <c r="C11087" s="82"/>
      <c r="E11087" s="84"/>
      <c r="F11087" s="84"/>
      <c r="G11087" s="84"/>
      <c r="I11087" s="237"/>
      <c r="J11087" s="238"/>
    </row>
    <row r="11088">
      <c r="C11088" s="82"/>
      <c r="E11088" s="84"/>
      <c r="F11088" s="84"/>
      <c r="G11088" s="84"/>
      <c r="I11088" s="237"/>
      <c r="J11088" s="238"/>
    </row>
    <row r="11089">
      <c r="C11089" s="82"/>
      <c r="E11089" s="84"/>
      <c r="F11089" s="84"/>
      <c r="G11089" s="84"/>
      <c r="I11089" s="237"/>
      <c r="J11089" s="238"/>
    </row>
    <row r="11090">
      <c r="C11090" s="82"/>
      <c r="E11090" s="84"/>
      <c r="F11090" s="84"/>
      <c r="G11090" s="84"/>
      <c r="I11090" s="237"/>
      <c r="J11090" s="238"/>
    </row>
    <row r="11091">
      <c r="C11091" s="82"/>
      <c r="E11091" s="84"/>
      <c r="F11091" s="84"/>
      <c r="G11091" s="84"/>
      <c r="I11091" s="237"/>
      <c r="J11091" s="238"/>
    </row>
    <row r="11092">
      <c r="C11092" s="82"/>
      <c r="E11092" s="84"/>
      <c r="F11092" s="84"/>
      <c r="G11092" s="84"/>
      <c r="I11092" s="237"/>
      <c r="J11092" s="238"/>
    </row>
    <row r="11093">
      <c r="C11093" s="82"/>
      <c r="E11093" s="84"/>
      <c r="F11093" s="84"/>
      <c r="G11093" s="84"/>
      <c r="I11093" s="237"/>
      <c r="J11093" s="238"/>
    </row>
    <row r="11094">
      <c r="C11094" s="82"/>
      <c r="E11094" s="84"/>
      <c r="F11094" s="84"/>
      <c r="G11094" s="84"/>
      <c r="I11094" s="237"/>
      <c r="J11094" s="238"/>
    </row>
    <row r="11095">
      <c r="C11095" s="82"/>
      <c r="E11095" s="84"/>
      <c r="F11095" s="84"/>
      <c r="G11095" s="84"/>
      <c r="I11095" s="237"/>
      <c r="J11095" s="238"/>
    </row>
    <row r="11096">
      <c r="C11096" s="82"/>
      <c r="E11096" s="84"/>
      <c r="F11096" s="84"/>
      <c r="G11096" s="84"/>
      <c r="I11096" s="237"/>
      <c r="J11096" s="238"/>
    </row>
    <row r="11097">
      <c r="C11097" s="82"/>
      <c r="E11097" s="84"/>
      <c r="F11097" s="84"/>
      <c r="G11097" s="84"/>
      <c r="I11097" s="237"/>
      <c r="J11097" s="238"/>
    </row>
    <row r="11098">
      <c r="C11098" s="82"/>
      <c r="E11098" s="84"/>
      <c r="F11098" s="84"/>
      <c r="G11098" s="84"/>
      <c r="I11098" s="237"/>
      <c r="J11098" s="238"/>
    </row>
    <row r="11099">
      <c r="C11099" s="82"/>
      <c r="E11099" s="84"/>
      <c r="F11099" s="84"/>
      <c r="G11099" s="84"/>
      <c r="I11099" s="237"/>
      <c r="J11099" s="238"/>
    </row>
    <row r="11100">
      <c r="C11100" s="82"/>
      <c r="E11100" s="84"/>
      <c r="F11100" s="84"/>
      <c r="G11100" s="84"/>
      <c r="I11100" s="237"/>
      <c r="J11100" s="238"/>
    </row>
    <row r="11101">
      <c r="C11101" s="82"/>
      <c r="E11101" s="84"/>
      <c r="F11101" s="84"/>
      <c r="G11101" s="84"/>
      <c r="I11101" s="237"/>
      <c r="J11101" s="238"/>
    </row>
    <row r="11102">
      <c r="C11102" s="82"/>
      <c r="E11102" s="84"/>
      <c r="F11102" s="84"/>
      <c r="G11102" s="84"/>
      <c r="I11102" s="237"/>
      <c r="J11102" s="238"/>
    </row>
    <row r="11103">
      <c r="C11103" s="82"/>
      <c r="E11103" s="84"/>
      <c r="F11103" s="84"/>
      <c r="G11103" s="84"/>
      <c r="I11103" s="237"/>
      <c r="J11103" s="238"/>
    </row>
    <row r="11104">
      <c r="C11104" s="82"/>
      <c r="E11104" s="84"/>
      <c r="F11104" s="84"/>
      <c r="G11104" s="84"/>
      <c r="I11104" s="237"/>
      <c r="J11104" s="238"/>
    </row>
    <row r="11105">
      <c r="C11105" s="82"/>
      <c r="E11105" s="84"/>
      <c r="F11105" s="84"/>
      <c r="G11105" s="84"/>
      <c r="I11105" s="237"/>
      <c r="J11105" s="238"/>
    </row>
    <row r="11106">
      <c r="C11106" s="82"/>
      <c r="E11106" s="84"/>
      <c r="F11106" s="84"/>
      <c r="G11106" s="84"/>
      <c r="I11106" s="237"/>
      <c r="J11106" s="238"/>
    </row>
    <row r="11107">
      <c r="C11107" s="82"/>
      <c r="E11107" s="84"/>
      <c r="F11107" s="84"/>
      <c r="G11107" s="84"/>
      <c r="I11107" s="237"/>
      <c r="J11107" s="238"/>
    </row>
    <row r="11108">
      <c r="C11108" s="82"/>
      <c r="E11108" s="84"/>
      <c r="F11108" s="84"/>
      <c r="G11108" s="84"/>
      <c r="I11108" s="237"/>
      <c r="J11108" s="238"/>
    </row>
    <row r="11109">
      <c r="C11109" s="82"/>
      <c r="E11109" s="84"/>
      <c r="F11109" s="84"/>
      <c r="G11109" s="84"/>
      <c r="I11109" s="237"/>
      <c r="J11109" s="238"/>
    </row>
    <row r="11110">
      <c r="C11110" s="82"/>
      <c r="E11110" s="84"/>
      <c r="F11110" s="84"/>
      <c r="G11110" s="84"/>
      <c r="I11110" s="237"/>
      <c r="J11110" s="238"/>
    </row>
    <row r="11111">
      <c r="C11111" s="82"/>
      <c r="E11111" s="84"/>
      <c r="F11111" s="84"/>
      <c r="G11111" s="84"/>
      <c r="I11111" s="237"/>
      <c r="J11111" s="238"/>
    </row>
    <row r="11112">
      <c r="C11112" s="82"/>
      <c r="E11112" s="84"/>
      <c r="F11112" s="84"/>
      <c r="G11112" s="84"/>
      <c r="I11112" s="237"/>
      <c r="J11112" s="238"/>
    </row>
    <row r="11113">
      <c r="C11113" s="82"/>
      <c r="E11113" s="84"/>
      <c r="F11113" s="84"/>
      <c r="G11113" s="84"/>
      <c r="I11113" s="237"/>
      <c r="J11113" s="238"/>
    </row>
    <row r="11114">
      <c r="C11114" s="82"/>
      <c r="E11114" s="84"/>
      <c r="F11114" s="84"/>
      <c r="G11114" s="84"/>
      <c r="I11114" s="237"/>
      <c r="J11114" s="238"/>
    </row>
    <row r="11115">
      <c r="C11115" s="82"/>
      <c r="E11115" s="84"/>
      <c r="F11115" s="84"/>
      <c r="G11115" s="84"/>
      <c r="I11115" s="237"/>
      <c r="J11115" s="238"/>
    </row>
    <row r="11116">
      <c r="C11116" s="82"/>
      <c r="E11116" s="84"/>
      <c r="F11116" s="84"/>
      <c r="G11116" s="84"/>
      <c r="I11116" s="237"/>
      <c r="J11116" s="238"/>
    </row>
    <row r="11117">
      <c r="C11117" s="82"/>
      <c r="E11117" s="84"/>
      <c r="F11117" s="84"/>
      <c r="G11117" s="84"/>
      <c r="I11117" s="237"/>
      <c r="J11117" s="238"/>
    </row>
    <row r="11118">
      <c r="C11118" s="82"/>
      <c r="E11118" s="84"/>
      <c r="F11118" s="84"/>
      <c r="G11118" s="84"/>
      <c r="I11118" s="237"/>
      <c r="J11118" s="238"/>
    </row>
    <row r="11119">
      <c r="C11119" s="82"/>
      <c r="E11119" s="84"/>
      <c r="F11119" s="84"/>
      <c r="G11119" s="84"/>
      <c r="I11119" s="237"/>
      <c r="J11119" s="238"/>
    </row>
    <row r="11120">
      <c r="C11120" s="82"/>
      <c r="E11120" s="84"/>
      <c r="F11120" s="84"/>
      <c r="G11120" s="84"/>
      <c r="I11120" s="237"/>
      <c r="J11120" s="238"/>
    </row>
    <row r="11121">
      <c r="C11121" s="82"/>
      <c r="E11121" s="84"/>
      <c r="F11121" s="84"/>
      <c r="G11121" s="84"/>
      <c r="I11121" s="237"/>
      <c r="J11121" s="238"/>
    </row>
    <row r="11122">
      <c r="C11122" s="82"/>
      <c r="E11122" s="84"/>
      <c r="F11122" s="84"/>
      <c r="G11122" s="84"/>
      <c r="I11122" s="237"/>
      <c r="J11122" s="238"/>
    </row>
    <row r="11123">
      <c r="C11123" s="82"/>
      <c r="E11123" s="84"/>
      <c r="F11123" s="84"/>
      <c r="G11123" s="84"/>
      <c r="I11123" s="237"/>
      <c r="J11123" s="238"/>
    </row>
    <row r="11124">
      <c r="C11124" s="82"/>
      <c r="E11124" s="84"/>
      <c r="F11124" s="84"/>
      <c r="G11124" s="84"/>
      <c r="I11124" s="237"/>
      <c r="J11124" s="238"/>
    </row>
    <row r="11125">
      <c r="C11125" s="82"/>
      <c r="E11125" s="84"/>
      <c r="F11125" s="84"/>
      <c r="G11125" s="84"/>
      <c r="I11125" s="237"/>
      <c r="J11125" s="238"/>
    </row>
    <row r="11126">
      <c r="C11126" s="82"/>
      <c r="E11126" s="84"/>
      <c r="F11126" s="84"/>
      <c r="G11126" s="84"/>
      <c r="I11126" s="237"/>
      <c r="J11126" s="238"/>
    </row>
    <row r="11127">
      <c r="C11127" s="82"/>
      <c r="E11127" s="84"/>
      <c r="F11127" s="84"/>
      <c r="G11127" s="84"/>
      <c r="I11127" s="237"/>
      <c r="J11127" s="238"/>
    </row>
    <row r="11128">
      <c r="C11128" s="82"/>
      <c r="E11128" s="84"/>
      <c r="F11128" s="84"/>
      <c r="G11128" s="84"/>
      <c r="I11128" s="237"/>
      <c r="J11128" s="238"/>
    </row>
    <row r="11129">
      <c r="C11129" s="82"/>
      <c r="E11129" s="84"/>
      <c r="F11129" s="84"/>
      <c r="G11129" s="84"/>
      <c r="I11129" s="237"/>
      <c r="J11129" s="238"/>
    </row>
    <row r="11130">
      <c r="C11130" s="82"/>
      <c r="E11130" s="84"/>
      <c r="F11130" s="84"/>
      <c r="G11130" s="84"/>
      <c r="I11130" s="237"/>
      <c r="J11130" s="238"/>
    </row>
    <row r="11131">
      <c r="C11131" s="82"/>
      <c r="E11131" s="84"/>
      <c r="F11131" s="84"/>
      <c r="G11131" s="84"/>
      <c r="I11131" s="237"/>
      <c r="J11131" s="238"/>
    </row>
    <row r="11132">
      <c r="C11132" s="82"/>
      <c r="E11132" s="84"/>
      <c r="F11132" s="84"/>
      <c r="G11132" s="84"/>
      <c r="I11132" s="237"/>
      <c r="J11132" s="238"/>
    </row>
    <row r="11133">
      <c r="C11133" s="82"/>
      <c r="E11133" s="84"/>
      <c r="F11133" s="84"/>
      <c r="G11133" s="84"/>
      <c r="I11133" s="237"/>
      <c r="J11133" s="238"/>
    </row>
    <row r="11134">
      <c r="C11134" s="82"/>
      <c r="E11134" s="84"/>
      <c r="F11134" s="84"/>
      <c r="G11134" s="84"/>
      <c r="I11134" s="237"/>
      <c r="J11134" s="238"/>
    </row>
    <row r="11135">
      <c r="C11135" s="82"/>
      <c r="E11135" s="84"/>
      <c r="F11135" s="84"/>
      <c r="G11135" s="84"/>
      <c r="I11135" s="237"/>
      <c r="J11135" s="238"/>
    </row>
    <row r="11136">
      <c r="C11136" s="82"/>
      <c r="E11136" s="84"/>
      <c r="F11136" s="84"/>
      <c r="G11136" s="84"/>
      <c r="I11136" s="237"/>
      <c r="J11136" s="238"/>
    </row>
    <row r="11137">
      <c r="C11137" s="82"/>
      <c r="E11137" s="84"/>
      <c r="F11137" s="84"/>
      <c r="G11137" s="84"/>
      <c r="I11137" s="237"/>
      <c r="J11137" s="238"/>
    </row>
    <row r="11138">
      <c r="C11138" s="82"/>
      <c r="E11138" s="84"/>
      <c r="F11138" s="84"/>
      <c r="G11138" s="84"/>
      <c r="I11138" s="237"/>
      <c r="J11138" s="238"/>
    </row>
    <row r="11139">
      <c r="C11139" s="82"/>
      <c r="E11139" s="84"/>
      <c r="F11139" s="84"/>
      <c r="G11139" s="84"/>
      <c r="I11139" s="237"/>
      <c r="J11139" s="238"/>
    </row>
    <row r="11140">
      <c r="C11140" s="82"/>
      <c r="E11140" s="84"/>
      <c r="F11140" s="84"/>
      <c r="G11140" s="84"/>
      <c r="I11140" s="237"/>
      <c r="J11140" s="238"/>
    </row>
    <row r="11141">
      <c r="C11141" s="82"/>
      <c r="E11141" s="84"/>
      <c r="F11141" s="84"/>
      <c r="G11141" s="84"/>
      <c r="I11141" s="237"/>
      <c r="J11141" s="238"/>
    </row>
    <row r="11142">
      <c r="C11142" s="82"/>
      <c r="E11142" s="84"/>
      <c r="F11142" s="84"/>
      <c r="G11142" s="84"/>
      <c r="I11142" s="237"/>
      <c r="J11142" s="238"/>
    </row>
    <row r="11143">
      <c r="C11143" s="82"/>
      <c r="E11143" s="84"/>
      <c r="F11143" s="84"/>
      <c r="G11143" s="84"/>
      <c r="I11143" s="237"/>
      <c r="J11143" s="238"/>
    </row>
    <row r="11144">
      <c r="C11144" s="82"/>
      <c r="E11144" s="84"/>
      <c r="F11144" s="84"/>
      <c r="G11144" s="84"/>
      <c r="I11144" s="237"/>
      <c r="J11144" s="238"/>
    </row>
    <row r="11145">
      <c r="C11145" s="82"/>
      <c r="E11145" s="84"/>
      <c r="F11145" s="84"/>
      <c r="G11145" s="84"/>
      <c r="I11145" s="237"/>
      <c r="J11145" s="238"/>
    </row>
    <row r="11146">
      <c r="C11146" s="82"/>
      <c r="E11146" s="84"/>
      <c r="F11146" s="84"/>
      <c r="G11146" s="84"/>
      <c r="I11146" s="237"/>
      <c r="J11146" s="238"/>
    </row>
    <row r="11147">
      <c r="C11147" s="82"/>
      <c r="E11147" s="84"/>
      <c r="F11147" s="84"/>
      <c r="G11147" s="84"/>
      <c r="I11147" s="237"/>
      <c r="J11147" s="238"/>
    </row>
    <row r="11148">
      <c r="C11148" s="82"/>
      <c r="E11148" s="84"/>
      <c r="F11148" s="84"/>
      <c r="G11148" s="84"/>
      <c r="I11148" s="237"/>
      <c r="J11148" s="238"/>
    </row>
    <row r="11149">
      <c r="C11149" s="82"/>
      <c r="E11149" s="84"/>
      <c r="F11149" s="84"/>
      <c r="G11149" s="84"/>
      <c r="I11149" s="237"/>
      <c r="J11149" s="238"/>
    </row>
    <row r="11150">
      <c r="C11150" s="82"/>
      <c r="E11150" s="84"/>
      <c r="F11150" s="84"/>
      <c r="G11150" s="84"/>
      <c r="I11150" s="237"/>
      <c r="J11150" s="238"/>
    </row>
    <row r="11151">
      <c r="C11151" s="82"/>
      <c r="E11151" s="84"/>
      <c r="F11151" s="84"/>
      <c r="G11151" s="84"/>
      <c r="I11151" s="237"/>
      <c r="J11151" s="238"/>
    </row>
    <row r="11152">
      <c r="C11152" s="82"/>
      <c r="E11152" s="84"/>
      <c r="F11152" s="84"/>
      <c r="G11152" s="84"/>
      <c r="I11152" s="237"/>
      <c r="J11152" s="238"/>
    </row>
    <row r="11153">
      <c r="C11153" s="82"/>
      <c r="E11153" s="84"/>
      <c r="F11153" s="84"/>
      <c r="G11153" s="84"/>
      <c r="I11153" s="237"/>
      <c r="J11153" s="238"/>
    </row>
    <row r="11154">
      <c r="C11154" s="82"/>
      <c r="E11154" s="84"/>
      <c r="F11154" s="84"/>
      <c r="G11154" s="84"/>
      <c r="I11154" s="237"/>
      <c r="J11154" s="238"/>
    </row>
    <row r="11155">
      <c r="C11155" s="82"/>
      <c r="E11155" s="84"/>
      <c r="F11155" s="84"/>
      <c r="G11155" s="84"/>
      <c r="I11155" s="237"/>
      <c r="J11155" s="238"/>
    </row>
    <row r="11156">
      <c r="C11156" s="82"/>
      <c r="E11156" s="84"/>
      <c r="F11156" s="84"/>
      <c r="G11156" s="84"/>
      <c r="I11156" s="237"/>
      <c r="J11156" s="238"/>
    </row>
    <row r="11157">
      <c r="C11157" s="82"/>
      <c r="E11157" s="84"/>
      <c r="F11157" s="84"/>
      <c r="G11157" s="84"/>
      <c r="I11157" s="237"/>
      <c r="J11157" s="238"/>
    </row>
    <row r="11158">
      <c r="C11158" s="82"/>
      <c r="E11158" s="84"/>
      <c r="F11158" s="84"/>
      <c r="G11158" s="84"/>
      <c r="I11158" s="237"/>
      <c r="J11158" s="238"/>
    </row>
    <row r="11159">
      <c r="C11159" s="82"/>
      <c r="E11159" s="84"/>
      <c r="F11159" s="84"/>
      <c r="G11159" s="84"/>
      <c r="I11159" s="237"/>
      <c r="J11159" s="238"/>
    </row>
    <row r="11160">
      <c r="C11160" s="82"/>
      <c r="E11160" s="84"/>
      <c r="F11160" s="84"/>
      <c r="G11160" s="84"/>
      <c r="I11160" s="237"/>
      <c r="J11160" s="238"/>
    </row>
    <row r="11161">
      <c r="C11161" s="82"/>
      <c r="E11161" s="84"/>
      <c r="F11161" s="84"/>
      <c r="G11161" s="84"/>
      <c r="I11161" s="237"/>
      <c r="J11161" s="238"/>
    </row>
    <row r="11162">
      <c r="C11162" s="82"/>
      <c r="E11162" s="84"/>
      <c r="F11162" s="84"/>
      <c r="G11162" s="84"/>
      <c r="I11162" s="237"/>
      <c r="J11162" s="238"/>
    </row>
    <row r="11163">
      <c r="C11163" s="82"/>
      <c r="E11163" s="84"/>
      <c r="F11163" s="84"/>
      <c r="G11163" s="84"/>
      <c r="I11163" s="237"/>
      <c r="J11163" s="238"/>
    </row>
    <row r="11164">
      <c r="C11164" s="82"/>
      <c r="E11164" s="84"/>
      <c r="F11164" s="84"/>
      <c r="G11164" s="84"/>
      <c r="I11164" s="237"/>
      <c r="J11164" s="238"/>
    </row>
    <row r="11165">
      <c r="C11165" s="82"/>
      <c r="E11165" s="84"/>
      <c r="F11165" s="84"/>
      <c r="G11165" s="84"/>
      <c r="I11165" s="237"/>
      <c r="J11165" s="238"/>
    </row>
    <row r="11166">
      <c r="C11166" s="82"/>
      <c r="E11166" s="84"/>
      <c r="F11166" s="84"/>
      <c r="G11166" s="84"/>
      <c r="I11166" s="237"/>
      <c r="J11166" s="238"/>
    </row>
    <row r="11167">
      <c r="C11167" s="82"/>
      <c r="E11167" s="84"/>
      <c r="F11167" s="84"/>
      <c r="G11167" s="84"/>
      <c r="I11167" s="237"/>
      <c r="J11167" s="238"/>
    </row>
    <row r="11168">
      <c r="C11168" s="82"/>
      <c r="E11168" s="84"/>
      <c r="F11168" s="84"/>
      <c r="G11168" s="84"/>
      <c r="I11168" s="237"/>
      <c r="J11168" s="238"/>
    </row>
    <row r="11169">
      <c r="C11169" s="82"/>
      <c r="E11169" s="84"/>
      <c r="F11169" s="84"/>
      <c r="G11169" s="84"/>
      <c r="I11169" s="237"/>
      <c r="J11169" s="238"/>
    </row>
    <row r="11170">
      <c r="C11170" s="82"/>
      <c r="E11170" s="84"/>
      <c r="F11170" s="84"/>
      <c r="G11170" s="84"/>
      <c r="I11170" s="237"/>
      <c r="J11170" s="238"/>
    </row>
    <row r="11171">
      <c r="C11171" s="82"/>
      <c r="E11171" s="84"/>
      <c r="F11171" s="84"/>
      <c r="G11171" s="84"/>
      <c r="I11171" s="237"/>
      <c r="J11171" s="238"/>
    </row>
    <row r="11172">
      <c r="C11172" s="82"/>
      <c r="E11172" s="84"/>
      <c r="F11172" s="84"/>
      <c r="G11172" s="84"/>
      <c r="I11172" s="237"/>
      <c r="J11172" s="238"/>
    </row>
    <row r="11173">
      <c r="C11173" s="82"/>
      <c r="E11173" s="84"/>
      <c r="F11173" s="84"/>
      <c r="G11173" s="84"/>
      <c r="I11173" s="237"/>
      <c r="J11173" s="238"/>
    </row>
    <row r="11174">
      <c r="C11174" s="82"/>
      <c r="E11174" s="84"/>
      <c r="F11174" s="84"/>
      <c r="G11174" s="84"/>
      <c r="I11174" s="237"/>
      <c r="J11174" s="238"/>
    </row>
    <row r="11175">
      <c r="C11175" s="82"/>
      <c r="E11175" s="84"/>
      <c r="F11175" s="84"/>
      <c r="G11175" s="84"/>
      <c r="I11175" s="237"/>
      <c r="J11175" s="238"/>
    </row>
    <row r="11176">
      <c r="C11176" s="82"/>
      <c r="E11176" s="84"/>
      <c r="F11176" s="84"/>
      <c r="G11176" s="84"/>
      <c r="I11176" s="237"/>
      <c r="J11176" s="238"/>
    </row>
    <row r="11177">
      <c r="C11177" s="82"/>
      <c r="E11177" s="84"/>
      <c r="F11177" s="84"/>
      <c r="G11177" s="84"/>
      <c r="I11177" s="237"/>
      <c r="J11177" s="238"/>
    </row>
    <row r="11178">
      <c r="C11178" s="82"/>
      <c r="E11178" s="84"/>
      <c r="F11178" s="84"/>
      <c r="G11178" s="84"/>
      <c r="I11178" s="237"/>
      <c r="J11178" s="238"/>
    </row>
    <row r="11179">
      <c r="C11179" s="82"/>
      <c r="E11179" s="84"/>
      <c r="F11179" s="84"/>
      <c r="G11179" s="84"/>
      <c r="I11179" s="237"/>
      <c r="J11179" s="238"/>
    </row>
    <row r="11180">
      <c r="C11180" s="82"/>
      <c r="E11180" s="84"/>
      <c r="F11180" s="84"/>
      <c r="G11180" s="84"/>
      <c r="I11180" s="237"/>
      <c r="J11180" s="238"/>
    </row>
    <row r="11181">
      <c r="C11181" s="82"/>
      <c r="E11181" s="84"/>
      <c r="F11181" s="84"/>
      <c r="G11181" s="84"/>
      <c r="I11181" s="237"/>
      <c r="J11181" s="238"/>
    </row>
    <row r="11182">
      <c r="C11182" s="82"/>
      <c r="E11182" s="84"/>
      <c r="F11182" s="84"/>
      <c r="G11182" s="84"/>
      <c r="I11182" s="237"/>
      <c r="J11182" s="238"/>
    </row>
    <row r="11183">
      <c r="C11183" s="82"/>
      <c r="E11183" s="84"/>
      <c r="F11183" s="84"/>
      <c r="G11183" s="84"/>
      <c r="I11183" s="237"/>
      <c r="J11183" s="238"/>
    </row>
    <row r="11184">
      <c r="C11184" s="82"/>
      <c r="E11184" s="84"/>
      <c r="F11184" s="84"/>
      <c r="G11184" s="84"/>
      <c r="I11184" s="237"/>
      <c r="J11184" s="238"/>
    </row>
    <row r="11185">
      <c r="C11185" s="82"/>
      <c r="E11185" s="84"/>
      <c r="F11185" s="84"/>
      <c r="G11185" s="84"/>
      <c r="I11185" s="237"/>
      <c r="J11185" s="238"/>
    </row>
    <row r="11186">
      <c r="C11186" s="82"/>
      <c r="E11186" s="84"/>
      <c r="F11186" s="84"/>
      <c r="G11186" s="84"/>
      <c r="I11186" s="237"/>
      <c r="J11186" s="238"/>
    </row>
    <row r="11187">
      <c r="C11187" s="82"/>
      <c r="E11187" s="84"/>
      <c r="F11187" s="84"/>
      <c r="G11187" s="84"/>
      <c r="I11187" s="237"/>
      <c r="J11187" s="238"/>
    </row>
    <row r="11188">
      <c r="C11188" s="82"/>
      <c r="E11188" s="84"/>
      <c r="F11188" s="84"/>
      <c r="G11188" s="84"/>
      <c r="I11188" s="237"/>
      <c r="J11188" s="238"/>
    </row>
    <row r="11189">
      <c r="C11189" s="82"/>
      <c r="E11189" s="84"/>
      <c r="F11189" s="84"/>
      <c r="G11189" s="84"/>
      <c r="I11189" s="237"/>
      <c r="J11189" s="238"/>
    </row>
    <row r="11190">
      <c r="C11190" s="82"/>
      <c r="E11190" s="84"/>
      <c r="F11190" s="84"/>
      <c r="G11190" s="84"/>
      <c r="I11190" s="237"/>
      <c r="J11190" s="238"/>
    </row>
    <row r="11191">
      <c r="C11191" s="82"/>
      <c r="E11191" s="84"/>
      <c r="F11191" s="84"/>
      <c r="G11191" s="84"/>
      <c r="I11191" s="237"/>
      <c r="J11191" s="238"/>
    </row>
    <row r="11192">
      <c r="C11192" s="82"/>
      <c r="E11192" s="84"/>
      <c r="F11192" s="84"/>
      <c r="G11192" s="84"/>
      <c r="I11192" s="237"/>
      <c r="J11192" s="238"/>
    </row>
    <row r="11193">
      <c r="C11193" s="82"/>
      <c r="E11193" s="84"/>
      <c r="F11193" s="84"/>
      <c r="G11193" s="84"/>
      <c r="I11193" s="237"/>
      <c r="J11193" s="238"/>
    </row>
    <row r="11194">
      <c r="C11194" s="82"/>
      <c r="E11194" s="84"/>
      <c r="F11194" s="84"/>
      <c r="G11194" s="84"/>
      <c r="I11194" s="237"/>
      <c r="J11194" s="238"/>
    </row>
    <row r="11195">
      <c r="C11195" s="82"/>
      <c r="E11195" s="84"/>
      <c r="F11195" s="84"/>
      <c r="G11195" s="84"/>
      <c r="I11195" s="237"/>
      <c r="J11195" s="238"/>
    </row>
    <row r="11196">
      <c r="C11196" s="82"/>
      <c r="E11196" s="84"/>
      <c r="F11196" s="84"/>
      <c r="G11196" s="84"/>
      <c r="I11196" s="237"/>
      <c r="J11196" s="238"/>
    </row>
    <row r="11197">
      <c r="C11197" s="82"/>
      <c r="E11197" s="84"/>
      <c r="F11197" s="84"/>
      <c r="G11197" s="84"/>
      <c r="I11197" s="237"/>
      <c r="J11197" s="238"/>
    </row>
    <row r="11198">
      <c r="C11198" s="82"/>
      <c r="E11198" s="84"/>
      <c r="F11198" s="84"/>
      <c r="G11198" s="84"/>
      <c r="I11198" s="237"/>
      <c r="J11198" s="238"/>
    </row>
    <row r="11199">
      <c r="C11199" s="82"/>
      <c r="E11199" s="84"/>
      <c r="F11199" s="84"/>
      <c r="G11199" s="84"/>
      <c r="I11199" s="237"/>
      <c r="J11199" s="238"/>
    </row>
    <row r="11200">
      <c r="C11200" s="82"/>
      <c r="E11200" s="84"/>
      <c r="F11200" s="84"/>
      <c r="G11200" s="84"/>
      <c r="I11200" s="237"/>
      <c r="J11200" s="238"/>
    </row>
    <row r="11201">
      <c r="C11201" s="82"/>
      <c r="E11201" s="84"/>
      <c r="F11201" s="84"/>
      <c r="G11201" s="84"/>
      <c r="I11201" s="237"/>
      <c r="J11201" s="238"/>
    </row>
    <row r="11202">
      <c r="C11202" s="82"/>
      <c r="E11202" s="84"/>
      <c r="F11202" s="84"/>
      <c r="G11202" s="84"/>
      <c r="I11202" s="237"/>
      <c r="J11202" s="238"/>
    </row>
    <row r="11203">
      <c r="C11203" s="82"/>
      <c r="E11203" s="84"/>
      <c r="F11203" s="84"/>
      <c r="G11203" s="84"/>
      <c r="I11203" s="237"/>
      <c r="J11203" s="238"/>
    </row>
    <row r="11204">
      <c r="C11204" s="82"/>
      <c r="E11204" s="84"/>
      <c r="F11204" s="84"/>
      <c r="G11204" s="84"/>
      <c r="I11204" s="237"/>
      <c r="J11204" s="238"/>
    </row>
    <row r="11205">
      <c r="C11205" s="82"/>
      <c r="E11205" s="84"/>
      <c r="F11205" s="84"/>
      <c r="G11205" s="84"/>
      <c r="I11205" s="237"/>
      <c r="J11205" s="238"/>
    </row>
    <row r="11206">
      <c r="C11206" s="82"/>
      <c r="E11206" s="84"/>
      <c r="F11206" s="84"/>
      <c r="G11206" s="84"/>
      <c r="I11206" s="237"/>
      <c r="J11206" s="238"/>
    </row>
    <row r="11207">
      <c r="C11207" s="82"/>
      <c r="E11207" s="84"/>
      <c r="F11207" s="84"/>
      <c r="G11207" s="84"/>
      <c r="I11207" s="237"/>
      <c r="J11207" s="238"/>
    </row>
    <row r="11208">
      <c r="C11208" s="82"/>
      <c r="E11208" s="84"/>
      <c r="F11208" s="84"/>
      <c r="G11208" s="84"/>
      <c r="I11208" s="237"/>
      <c r="J11208" s="238"/>
    </row>
    <row r="11209">
      <c r="C11209" s="82"/>
      <c r="E11209" s="84"/>
      <c r="F11209" s="84"/>
      <c r="G11209" s="84"/>
      <c r="I11209" s="237"/>
      <c r="J11209" s="238"/>
    </row>
    <row r="11210">
      <c r="C11210" s="82"/>
      <c r="E11210" s="84"/>
      <c r="F11210" s="84"/>
      <c r="G11210" s="84"/>
      <c r="I11210" s="237"/>
      <c r="J11210" s="238"/>
    </row>
    <row r="11211">
      <c r="C11211" s="82"/>
      <c r="E11211" s="84"/>
      <c r="F11211" s="84"/>
      <c r="G11211" s="84"/>
      <c r="I11211" s="237"/>
      <c r="J11211" s="238"/>
    </row>
    <row r="11212">
      <c r="C11212" s="82"/>
      <c r="E11212" s="84"/>
      <c r="F11212" s="84"/>
      <c r="G11212" s="84"/>
      <c r="I11212" s="237"/>
      <c r="J11212" s="238"/>
    </row>
    <row r="11213">
      <c r="C11213" s="82"/>
      <c r="E11213" s="84"/>
      <c r="F11213" s="84"/>
      <c r="G11213" s="84"/>
      <c r="I11213" s="237"/>
      <c r="J11213" s="238"/>
    </row>
    <row r="11214">
      <c r="C11214" s="82"/>
      <c r="E11214" s="84"/>
      <c r="F11214" s="84"/>
      <c r="G11214" s="84"/>
      <c r="I11214" s="237"/>
      <c r="J11214" s="238"/>
    </row>
    <row r="11215">
      <c r="C11215" s="82"/>
      <c r="E11215" s="84"/>
      <c r="F11215" s="84"/>
      <c r="G11215" s="84"/>
      <c r="I11215" s="237"/>
      <c r="J11215" s="238"/>
    </row>
    <row r="11216">
      <c r="C11216" s="82"/>
      <c r="E11216" s="84"/>
      <c r="F11216" s="84"/>
      <c r="G11216" s="84"/>
      <c r="I11216" s="237"/>
      <c r="J11216" s="238"/>
    </row>
    <row r="11217">
      <c r="C11217" s="82"/>
      <c r="E11217" s="84"/>
      <c r="F11217" s="84"/>
      <c r="G11217" s="84"/>
      <c r="I11217" s="237"/>
      <c r="J11217" s="238"/>
    </row>
    <row r="11218">
      <c r="C11218" s="82"/>
      <c r="E11218" s="84"/>
      <c r="F11218" s="84"/>
      <c r="G11218" s="84"/>
      <c r="I11218" s="237"/>
      <c r="J11218" s="238"/>
    </row>
    <row r="11219">
      <c r="C11219" s="82"/>
      <c r="E11219" s="84"/>
      <c r="F11219" s="84"/>
      <c r="G11219" s="84"/>
      <c r="I11219" s="237"/>
      <c r="J11219" s="238"/>
    </row>
    <row r="11220">
      <c r="C11220" s="82"/>
      <c r="E11220" s="84"/>
      <c r="F11220" s="84"/>
      <c r="G11220" s="84"/>
      <c r="I11220" s="237"/>
      <c r="J11220" s="238"/>
    </row>
    <row r="11221">
      <c r="C11221" s="82"/>
      <c r="E11221" s="84"/>
      <c r="F11221" s="84"/>
      <c r="G11221" s="84"/>
      <c r="I11221" s="237"/>
      <c r="J11221" s="238"/>
    </row>
    <row r="11222">
      <c r="C11222" s="82"/>
      <c r="E11222" s="84"/>
      <c r="F11222" s="84"/>
      <c r="G11222" s="84"/>
      <c r="I11222" s="237"/>
      <c r="J11222" s="238"/>
    </row>
    <row r="11223">
      <c r="C11223" s="82"/>
      <c r="E11223" s="84"/>
      <c r="F11223" s="84"/>
      <c r="G11223" s="84"/>
      <c r="I11223" s="237"/>
      <c r="J11223" s="238"/>
    </row>
    <row r="11224">
      <c r="C11224" s="82"/>
      <c r="E11224" s="84"/>
      <c r="F11224" s="84"/>
      <c r="G11224" s="84"/>
      <c r="I11224" s="237"/>
      <c r="J11224" s="238"/>
    </row>
    <row r="11225">
      <c r="C11225" s="82"/>
      <c r="E11225" s="84"/>
      <c r="F11225" s="84"/>
      <c r="G11225" s="84"/>
      <c r="I11225" s="237"/>
      <c r="J11225" s="238"/>
    </row>
    <row r="11226">
      <c r="C11226" s="82"/>
      <c r="E11226" s="84"/>
      <c r="F11226" s="84"/>
      <c r="G11226" s="84"/>
      <c r="I11226" s="237"/>
      <c r="J11226" s="238"/>
    </row>
    <row r="11227">
      <c r="C11227" s="82"/>
      <c r="E11227" s="84"/>
      <c r="F11227" s="84"/>
      <c r="G11227" s="84"/>
      <c r="I11227" s="237"/>
      <c r="J11227" s="238"/>
    </row>
    <row r="11228">
      <c r="C11228" s="82"/>
      <c r="E11228" s="84"/>
      <c r="F11228" s="84"/>
      <c r="G11228" s="84"/>
      <c r="I11228" s="237"/>
      <c r="J11228" s="238"/>
    </row>
    <row r="11229">
      <c r="C11229" s="82"/>
      <c r="E11229" s="84"/>
      <c r="F11229" s="84"/>
      <c r="G11229" s="84"/>
      <c r="I11229" s="237"/>
      <c r="J11229" s="238"/>
    </row>
    <row r="11230">
      <c r="C11230" s="82"/>
      <c r="E11230" s="84"/>
      <c r="F11230" s="84"/>
      <c r="G11230" s="84"/>
      <c r="I11230" s="237"/>
      <c r="J11230" s="238"/>
    </row>
    <row r="11231">
      <c r="C11231" s="82"/>
      <c r="E11231" s="84"/>
      <c r="F11231" s="84"/>
      <c r="G11231" s="84"/>
      <c r="I11231" s="237"/>
      <c r="J11231" s="238"/>
    </row>
    <row r="11232">
      <c r="C11232" s="82"/>
      <c r="E11232" s="84"/>
      <c r="F11232" s="84"/>
      <c r="G11232" s="84"/>
      <c r="I11232" s="237"/>
      <c r="J11232" s="238"/>
    </row>
    <row r="11233">
      <c r="C11233" s="82"/>
      <c r="E11233" s="84"/>
      <c r="F11233" s="84"/>
      <c r="G11233" s="84"/>
      <c r="I11233" s="237"/>
      <c r="J11233" s="238"/>
    </row>
    <row r="11234">
      <c r="C11234" s="82"/>
      <c r="E11234" s="84"/>
      <c r="F11234" s="84"/>
      <c r="G11234" s="84"/>
      <c r="I11234" s="237"/>
      <c r="J11234" s="238"/>
    </row>
    <row r="11235">
      <c r="C11235" s="82"/>
      <c r="E11235" s="84"/>
      <c r="F11235" s="84"/>
      <c r="G11235" s="84"/>
      <c r="I11235" s="237"/>
      <c r="J11235" s="238"/>
    </row>
    <row r="11236">
      <c r="C11236" s="82"/>
      <c r="E11236" s="84"/>
      <c r="F11236" s="84"/>
      <c r="G11236" s="84"/>
      <c r="I11236" s="237"/>
      <c r="J11236" s="238"/>
    </row>
    <row r="11237">
      <c r="C11237" s="82"/>
      <c r="E11237" s="84"/>
      <c r="F11237" s="84"/>
      <c r="G11237" s="84"/>
      <c r="I11237" s="237"/>
      <c r="J11237" s="238"/>
    </row>
    <row r="11238">
      <c r="C11238" s="82"/>
      <c r="E11238" s="84"/>
      <c r="F11238" s="84"/>
      <c r="G11238" s="84"/>
      <c r="I11238" s="237"/>
      <c r="J11238" s="238"/>
    </row>
    <row r="11239">
      <c r="C11239" s="82"/>
      <c r="E11239" s="84"/>
      <c r="F11239" s="84"/>
      <c r="G11239" s="84"/>
      <c r="I11239" s="237"/>
      <c r="J11239" s="238"/>
    </row>
    <row r="11240">
      <c r="C11240" s="82"/>
      <c r="E11240" s="84"/>
      <c r="F11240" s="84"/>
      <c r="G11240" s="84"/>
      <c r="I11240" s="237"/>
      <c r="J11240" s="238"/>
    </row>
    <row r="11241">
      <c r="C11241" s="82"/>
      <c r="E11241" s="84"/>
      <c r="F11241" s="84"/>
      <c r="G11241" s="84"/>
      <c r="I11241" s="237"/>
      <c r="J11241" s="238"/>
    </row>
    <row r="11242">
      <c r="C11242" s="82"/>
      <c r="E11242" s="84"/>
      <c r="F11242" s="84"/>
      <c r="G11242" s="84"/>
      <c r="I11242" s="237"/>
      <c r="J11242" s="238"/>
    </row>
    <row r="11243">
      <c r="C11243" s="82"/>
      <c r="E11243" s="84"/>
      <c r="F11243" s="84"/>
      <c r="G11243" s="84"/>
      <c r="I11243" s="237"/>
      <c r="J11243" s="238"/>
    </row>
    <row r="11244">
      <c r="C11244" s="82"/>
      <c r="E11244" s="84"/>
      <c r="F11244" s="84"/>
      <c r="G11244" s="84"/>
      <c r="I11244" s="237"/>
      <c r="J11244" s="238"/>
    </row>
    <row r="11245">
      <c r="C11245" s="82"/>
      <c r="E11245" s="84"/>
      <c r="F11245" s="84"/>
      <c r="G11245" s="84"/>
      <c r="I11245" s="237"/>
      <c r="J11245" s="238"/>
    </row>
    <row r="11246">
      <c r="C11246" s="82"/>
      <c r="E11246" s="84"/>
      <c r="F11246" s="84"/>
      <c r="G11246" s="84"/>
      <c r="I11246" s="237"/>
      <c r="J11246" s="238"/>
    </row>
    <row r="11247">
      <c r="C11247" s="82"/>
      <c r="E11247" s="84"/>
      <c r="F11247" s="84"/>
      <c r="G11247" s="84"/>
      <c r="I11247" s="237"/>
      <c r="J11247" s="238"/>
    </row>
    <row r="11248">
      <c r="C11248" s="82"/>
      <c r="E11248" s="84"/>
      <c r="F11248" s="84"/>
      <c r="G11248" s="84"/>
      <c r="I11248" s="237"/>
      <c r="J11248" s="238"/>
    </row>
    <row r="11249">
      <c r="C11249" s="82"/>
      <c r="E11249" s="84"/>
      <c r="F11249" s="84"/>
      <c r="G11249" s="84"/>
      <c r="I11249" s="237"/>
      <c r="J11249" s="238"/>
    </row>
    <row r="11250">
      <c r="C11250" s="82"/>
      <c r="E11250" s="84"/>
      <c r="F11250" s="84"/>
      <c r="G11250" s="84"/>
      <c r="I11250" s="237"/>
      <c r="J11250" s="238"/>
    </row>
    <row r="11251">
      <c r="C11251" s="82"/>
      <c r="E11251" s="84"/>
      <c r="F11251" s="84"/>
      <c r="G11251" s="84"/>
      <c r="I11251" s="237"/>
      <c r="J11251" s="238"/>
    </row>
    <row r="11252">
      <c r="C11252" s="82"/>
      <c r="E11252" s="84"/>
      <c r="F11252" s="84"/>
      <c r="G11252" s="84"/>
      <c r="I11252" s="237"/>
      <c r="J11252" s="238"/>
    </row>
    <row r="11253">
      <c r="C11253" s="82"/>
      <c r="E11253" s="84"/>
      <c r="F11253" s="84"/>
      <c r="G11253" s="84"/>
      <c r="I11253" s="237"/>
      <c r="J11253" s="238"/>
    </row>
    <row r="11254">
      <c r="C11254" s="82"/>
      <c r="E11254" s="84"/>
      <c r="F11254" s="84"/>
      <c r="G11254" s="84"/>
      <c r="I11254" s="237"/>
      <c r="J11254" s="238"/>
    </row>
    <row r="11255">
      <c r="C11255" s="82"/>
      <c r="E11255" s="84"/>
      <c r="F11255" s="84"/>
      <c r="G11255" s="84"/>
      <c r="I11255" s="237"/>
      <c r="J11255" s="238"/>
    </row>
    <row r="11256">
      <c r="C11256" s="82"/>
      <c r="E11256" s="84"/>
      <c r="F11256" s="84"/>
      <c r="G11256" s="84"/>
      <c r="I11256" s="237"/>
      <c r="J11256" s="238"/>
    </row>
    <row r="11257">
      <c r="C11257" s="82"/>
      <c r="E11257" s="84"/>
      <c r="F11257" s="84"/>
      <c r="G11257" s="84"/>
      <c r="I11257" s="237"/>
      <c r="J11257" s="238"/>
    </row>
    <row r="11258">
      <c r="C11258" s="82"/>
      <c r="E11258" s="84"/>
      <c r="F11258" s="84"/>
      <c r="G11258" s="84"/>
      <c r="I11258" s="237"/>
      <c r="J11258" s="238"/>
    </row>
    <row r="11259">
      <c r="C11259" s="82"/>
      <c r="E11259" s="84"/>
      <c r="F11259" s="84"/>
      <c r="G11259" s="84"/>
      <c r="I11259" s="237"/>
      <c r="J11259" s="238"/>
    </row>
    <row r="11260">
      <c r="C11260" s="82"/>
      <c r="E11260" s="84"/>
      <c r="F11260" s="84"/>
      <c r="G11260" s="84"/>
      <c r="I11260" s="237"/>
      <c r="J11260" s="238"/>
    </row>
    <row r="11261">
      <c r="C11261" s="82"/>
      <c r="E11261" s="84"/>
      <c r="F11261" s="84"/>
      <c r="G11261" s="84"/>
      <c r="I11261" s="237"/>
      <c r="J11261" s="238"/>
    </row>
    <row r="11262">
      <c r="C11262" s="82"/>
      <c r="E11262" s="84"/>
      <c r="F11262" s="84"/>
      <c r="G11262" s="84"/>
      <c r="I11262" s="237"/>
      <c r="J11262" s="238"/>
    </row>
    <row r="11263">
      <c r="C11263" s="82"/>
      <c r="E11263" s="84"/>
      <c r="F11263" s="84"/>
      <c r="G11263" s="84"/>
      <c r="I11263" s="237"/>
      <c r="J11263" s="238"/>
    </row>
    <row r="11264">
      <c r="C11264" s="82"/>
      <c r="E11264" s="84"/>
      <c r="F11264" s="84"/>
      <c r="G11264" s="84"/>
      <c r="I11264" s="237"/>
      <c r="J11264" s="238"/>
    </row>
    <row r="11265">
      <c r="C11265" s="82"/>
      <c r="E11265" s="84"/>
      <c r="F11265" s="84"/>
      <c r="G11265" s="84"/>
      <c r="I11265" s="237"/>
      <c r="J11265" s="238"/>
    </row>
    <row r="11266">
      <c r="C11266" s="82"/>
      <c r="E11266" s="84"/>
      <c r="F11266" s="84"/>
      <c r="G11266" s="84"/>
      <c r="I11266" s="237"/>
      <c r="J11266" s="238"/>
    </row>
    <row r="11267">
      <c r="C11267" s="82"/>
      <c r="E11267" s="84"/>
      <c r="F11267" s="84"/>
      <c r="G11267" s="84"/>
      <c r="I11267" s="237"/>
      <c r="J11267" s="238"/>
    </row>
    <row r="11268">
      <c r="C11268" s="82"/>
      <c r="E11268" s="84"/>
      <c r="F11268" s="84"/>
      <c r="G11268" s="84"/>
      <c r="I11268" s="237"/>
      <c r="J11268" s="238"/>
    </row>
    <row r="11269">
      <c r="C11269" s="82"/>
      <c r="E11269" s="84"/>
      <c r="F11269" s="84"/>
      <c r="G11269" s="84"/>
      <c r="I11269" s="237"/>
      <c r="J11269" s="238"/>
    </row>
    <row r="11270">
      <c r="C11270" s="82"/>
      <c r="E11270" s="84"/>
      <c r="F11270" s="84"/>
      <c r="G11270" s="84"/>
      <c r="I11270" s="237"/>
      <c r="J11270" s="238"/>
    </row>
    <row r="11271">
      <c r="C11271" s="82"/>
      <c r="E11271" s="84"/>
      <c r="F11271" s="84"/>
      <c r="G11271" s="84"/>
      <c r="I11271" s="237"/>
      <c r="J11271" s="238"/>
    </row>
    <row r="11272">
      <c r="C11272" s="82"/>
      <c r="E11272" s="84"/>
      <c r="F11272" s="84"/>
      <c r="G11272" s="84"/>
      <c r="I11272" s="237"/>
      <c r="J11272" s="238"/>
    </row>
    <row r="11273">
      <c r="C11273" s="82"/>
      <c r="E11273" s="84"/>
      <c r="F11273" s="84"/>
      <c r="G11273" s="84"/>
      <c r="I11273" s="237"/>
      <c r="J11273" s="238"/>
    </row>
    <row r="11274">
      <c r="C11274" s="82"/>
      <c r="E11274" s="84"/>
      <c r="F11274" s="84"/>
      <c r="G11274" s="84"/>
      <c r="I11274" s="237"/>
      <c r="J11274" s="238"/>
    </row>
    <row r="11275">
      <c r="C11275" s="82"/>
      <c r="E11275" s="84"/>
      <c r="F11275" s="84"/>
      <c r="G11275" s="84"/>
      <c r="I11275" s="237"/>
      <c r="J11275" s="238"/>
    </row>
    <row r="11276">
      <c r="C11276" s="82"/>
      <c r="E11276" s="84"/>
      <c r="F11276" s="84"/>
      <c r="G11276" s="84"/>
      <c r="I11276" s="237"/>
      <c r="J11276" s="238"/>
    </row>
    <row r="11277">
      <c r="C11277" s="82"/>
      <c r="E11277" s="84"/>
      <c r="F11277" s="84"/>
      <c r="G11277" s="84"/>
      <c r="I11277" s="237"/>
      <c r="J11277" s="238"/>
    </row>
    <row r="11278">
      <c r="C11278" s="82"/>
      <c r="E11278" s="84"/>
      <c r="F11278" s="84"/>
      <c r="G11278" s="84"/>
      <c r="I11278" s="237"/>
      <c r="J11278" s="238"/>
    </row>
    <row r="11279">
      <c r="C11279" s="82"/>
      <c r="E11279" s="84"/>
      <c r="F11279" s="84"/>
      <c r="G11279" s="84"/>
      <c r="I11279" s="237"/>
      <c r="J11279" s="238"/>
    </row>
    <row r="11280">
      <c r="C11280" s="82"/>
      <c r="E11280" s="84"/>
      <c r="F11280" s="84"/>
      <c r="G11280" s="84"/>
      <c r="I11280" s="237"/>
      <c r="J11280" s="238"/>
    </row>
    <row r="11281">
      <c r="C11281" s="82"/>
      <c r="E11281" s="84"/>
      <c r="F11281" s="84"/>
      <c r="G11281" s="84"/>
      <c r="I11281" s="237"/>
      <c r="J11281" s="238"/>
    </row>
    <row r="11282">
      <c r="C11282" s="82"/>
      <c r="E11282" s="84"/>
      <c r="F11282" s="84"/>
      <c r="G11282" s="84"/>
      <c r="I11282" s="237"/>
      <c r="J11282" s="238"/>
    </row>
    <row r="11283">
      <c r="C11283" s="82"/>
      <c r="E11283" s="84"/>
      <c r="F11283" s="84"/>
      <c r="G11283" s="84"/>
      <c r="I11283" s="237"/>
      <c r="J11283" s="238"/>
    </row>
    <row r="11284">
      <c r="C11284" s="82"/>
      <c r="E11284" s="84"/>
      <c r="F11284" s="84"/>
      <c r="G11284" s="84"/>
      <c r="I11284" s="237"/>
      <c r="J11284" s="238"/>
    </row>
    <row r="11285">
      <c r="C11285" s="82"/>
      <c r="E11285" s="84"/>
      <c r="F11285" s="84"/>
      <c r="G11285" s="84"/>
      <c r="I11285" s="237"/>
      <c r="J11285" s="238"/>
    </row>
    <row r="11286">
      <c r="C11286" s="82"/>
      <c r="E11286" s="84"/>
      <c r="F11286" s="84"/>
      <c r="G11286" s="84"/>
      <c r="I11286" s="237"/>
      <c r="J11286" s="238"/>
    </row>
    <row r="11287">
      <c r="C11287" s="82"/>
      <c r="E11287" s="84"/>
      <c r="F11287" s="84"/>
      <c r="G11287" s="84"/>
      <c r="I11287" s="237"/>
      <c r="J11287" s="238"/>
    </row>
    <row r="11288">
      <c r="C11288" s="82"/>
      <c r="E11288" s="84"/>
      <c r="F11288" s="84"/>
      <c r="G11288" s="84"/>
      <c r="I11288" s="237"/>
      <c r="J11288" s="238"/>
    </row>
    <row r="11289">
      <c r="C11289" s="82"/>
      <c r="E11289" s="84"/>
      <c r="F11289" s="84"/>
      <c r="G11289" s="84"/>
      <c r="I11289" s="237"/>
      <c r="J11289" s="238"/>
    </row>
    <row r="11290">
      <c r="C11290" s="82"/>
      <c r="E11290" s="84"/>
      <c r="F11290" s="84"/>
      <c r="G11290" s="84"/>
      <c r="I11290" s="237"/>
      <c r="J11290" s="238"/>
    </row>
    <row r="11291">
      <c r="C11291" s="82"/>
      <c r="E11291" s="84"/>
      <c r="F11291" s="84"/>
      <c r="G11291" s="84"/>
      <c r="I11291" s="237"/>
      <c r="J11291" s="238"/>
    </row>
    <row r="11292">
      <c r="C11292" s="82"/>
      <c r="E11292" s="84"/>
      <c r="F11292" s="84"/>
      <c r="G11292" s="84"/>
      <c r="I11292" s="237"/>
      <c r="J11292" s="238"/>
    </row>
    <row r="11293">
      <c r="C11293" s="82"/>
      <c r="E11293" s="84"/>
      <c r="F11293" s="84"/>
      <c r="G11293" s="84"/>
      <c r="I11293" s="237"/>
      <c r="J11293" s="238"/>
    </row>
    <row r="11294">
      <c r="C11294" s="82"/>
      <c r="E11294" s="84"/>
      <c r="F11294" s="84"/>
      <c r="G11294" s="84"/>
      <c r="I11294" s="237"/>
      <c r="J11294" s="238"/>
    </row>
    <row r="11295">
      <c r="C11295" s="82"/>
      <c r="E11295" s="84"/>
      <c r="F11295" s="84"/>
      <c r="G11295" s="84"/>
      <c r="I11295" s="237"/>
      <c r="J11295" s="238"/>
    </row>
    <row r="11296">
      <c r="C11296" s="82"/>
      <c r="E11296" s="84"/>
      <c r="F11296" s="84"/>
      <c r="G11296" s="84"/>
      <c r="I11296" s="237"/>
      <c r="J11296" s="238"/>
    </row>
    <row r="11297">
      <c r="C11297" s="82"/>
      <c r="E11297" s="84"/>
      <c r="F11297" s="84"/>
      <c r="G11297" s="84"/>
      <c r="I11297" s="237"/>
      <c r="J11297" s="238"/>
    </row>
    <row r="11298">
      <c r="C11298" s="82"/>
      <c r="E11298" s="84"/>
      <c r="F11298" s="84"/>
      <c r="G11298" s="84"/>
      <c r="I11298" s="237"/>
      <c r="J11298" s="238"/>
    </row>
    <row r="11299">
      <c r="C11299" s="82"/>
      <c r="E11299" s="84"/>
      <c r="F11299" s="84"/>
      <c r="G11299" s="84"/>
      <c r="I11299" s="237"/>
      <c r="J11299" s="238"/>
    </row>
    <row r="11300">
      <c r="C11300" s="82"/>
      <c r="E11300" s="84"/>
      <c r="F11300" s="84"/>
      <c r="G11300" s="84"/>
      <c r="I11300" s="237"/>
      <c r="J11300" s="238"/>
    </row>
    <row r="11301">
      <c r="C11301" s="82"/>
      <c r="E11301" s="84"/>
      <c r="F11301" s="84"/>
      <c r="G11301" s="84"/>
      <c r="I11301" s="237"/>
      <c r="J11301" s="238"/>
    </row>
    <row r="11302">
      <c r="C11302" s="82"/>
      <c r="E11302" s="84"/>
      <c r="F11302" s="84"/>
      <c r="G11302" s="84"/>
      <c r="I11302" s="237"/>
      <c r="J11302" s="238"/>
    </row>
    <row r="11303">
      <c r="C11303" s="82"/>
      <c r="E11303" s="84"/>
      <c r="F11303" s="84"/>
      <c r="G11303" s="84"/>
      <c r="I11303" s="237"/>
      <c r="J11303" s="238"/>
    </row>
    <row r="11304">
      <c r="C11304" s="82"/>
      <c r="E11304" s="84"/>
      <c r="F11304" s="84"/>
      <c r="G11304" s="84"/>
      <c r="I11304" s="237"/>
      <c r="J11304" s="238"/>
    </row>
    <row r="11305">
      <c r="C11305" s="82"/>
      <c r="E11305" s="84"/>
      <c r="F11305" s="84"/>
      <c r="G11305" s="84"/>
      <c r="I11305" s="237"/>
      <c r="J11305" s="238"/>
    </row>
    <row r="11306">
      <c r="C11306" s="82"/>
      <c r="E11306" s="84"/>
      <c r="F11306" s="84"/>
      <c r="G11306" s="84"/>
      <c r="I11306" s="237"/>
      <c r="J11306" s="238"/>
    </row>
    <row r="11307">
      <c r="C11307" s="82"/>
      <c r="E11307" s="84"/>
      <c r="F11307" s="84"/>
      <c r="G11307" s="84"/>
      <c r="I11307" s="237"/>
      <c r="J11307" s="238"/>
    </row>
    <row r="11308">
      <c r="C11308" s="82"/>
      <c r="E11308" s="84"/>
      <c r="F11308" s="84"/>
      <c r="G11308" s="84"/>
      <c r="I11308" s="237"/>
      <c r="J11308" s="238"/>
    </row>
    <row r="11309">
      <c r="C11309" s="82"/>
      <c r="E11309" s="84"/>
      <c r="F11309" s="84"/>
      <c r="G11309" s="84"/>
      <c r="I11309" s="237"/>
      <c r="J11309" s="238"/>
    </row>
    <row r="11310">
      <c r="C11310" s="82"/>
      <c r="E11310" s="84"/>
      <c r="F11310" s="84"/>
      <c r="G11310" s="84"/>
      <c r="I11310" s="237"/>
      <c r="J11310" s="238"/>
    </row>
    <row r="11311">
      <c r="C11311" s="82"/>
      <c r="E11311" s="84"/>
      <c r="F11311" s="84"/>
      <c r="G11311" s="84"/>
      <c r="I11311" s="237"/>
      <c r="J11311" s="238"/>
    </row>
    <row r="11312">
      <c r="C11312" s="82"/>
      <c r="E11312" s="84"/>
      <c r="F11312" s="84"/>
      <c r="G11312" s="84"/>
      <c r="I11312" s="237"/>
      <c r="J11312" s="238"/>
    </row>
    <row r="11313">
      <c r="C11313" s="82"/>
      <c r="E11313" s="84"/>
      <c r="F11313" s="84"/>
      <c r="G11313" s="84"/>
      <c r="I11313" s="237"/>
      <c r="J11313" s="238"/>
    </row>
    <row r="11314">
      <c r="C11314" s="82"/>
      <c r="E11314" s="84"/>
      <c r="F11314" s="84"/>
      <c r="G11314" s="84"/>
      <c r="I11314" s="237"/>
      <c r="J11314" s="238"/>
    </row>
    <row r="11315">
      <c r="C11315" s="82"/>
      <c r="E11315" s="84"/>
      <c r="F11315" s="84"/>
      <c r="G11315" s="84"/>
      <c r="I11315" s="237"/>
      <c r="J11315" s="238"/>
    </row>
    <row r="11316">
      <c r="C11316" s="82"/>
      <c r="E11316" s="84"/>
      <c r="F11316" s="84"/>
      <c r="G11316" s="84"/>
      <c r="I11316" s="237"/>
      <c r="J11316" s="238"/>
    </row>
    <row r="11317">
      <c r="C11317" s="82"/>
      <c r="E11317" s="84"/>
      <c r="F11317" s="84"/>
      <c r="G11317" s="84"/>
      <c r="I11317" s="237"/>
      <c r="J11317" s="238"/>
    </row>
    <row r="11318">
      <c r="C11318" s="82"/>
      <c r="E11318" s="84"/>
      <c r="F11318" s="84"/>
      <c r="G11318" s="84"/>
      <c r="I11318" s="237"/>
      <c r="J11318" s="238"/>
    </row>
    <row r="11319">
      <c r="C11319" s="82"/>
      <c r="E11319" s="84"/>
      <c r="F11319" s="84"/>
      <c r="G11319" s="84"/>
      <c r="I11319" s="237"/>
      <c r="J11319" s="238"/>
    </row>
    <row r="11320">
      <c r="C11320" s="82"/>
      <c r="E11320" s="84"/>
      <c r="F11320" s="84"/>
      <c r="G11320" s="84"/>
      <c r="I11320" s="237"/>
      <c r="J11320" s="238"/>
    </row>
    <row r="11321">
      <c r="C11321" s="82"/>
      <c r="E11321" s="84"/>
      <c r="F11321" s="84"/>
      <c r="G11321" s="84"/>
      <c r="I11321" s="237"/>
      <c r="J11321" s="238"/>
    </row>
    <row r="11322">
      <c r="C11322" s="82"/>
      <c r="E11322" s="84"/>
      <c r="F11322" s="84"/>
      <c r="G11322" s="84"/>
      <c r="I11322" s="237"/>
      <c r="J11322" s="238"/>
    </row>
    <row r="11323">
      <c r="C11323" s="82"/>
      <c r="E11323" s="84"/>
      <c r="F11323" s="84"/>
      <c r="G11323" s="84"/>
      <c r="I11323" s="237"/>
      <c r="J11323" s="238"/>
    </row>
    <row r="11324">
      <c r="C11324" s="82"/>
      <c r="E11324" s="84"/>
      <c r="F11324" s="84"/>
      <c r="G11324" s="84"/>
      <c r="I11324" s="237"/>
      <c r="J11324" s="238"/>
    </row>
    <row r="11325">
      <c r="C11325" s="82"/>
      <c r="E11325" s="84"/>
      <c r="F11325" s="84"/>
      <c r="G11325" s="84"/>
      <c r="I11325" s="237"/>
      <c r="J11325" s="238"/>
    </row>
    <row r="11326">
      <c r="C11326" s="82"/>
      <c r="E11326" s="84"/>
      <c r="F11326" s="84"/>
      <c r="G11326" s="84"/>
      <c r="I11326" s="237"/>
      <c r="J11326" s="238"/>
    </row>
    <row r="11327">
      <c r="C11327" s="82"/>
      <c r="E11327" s="84"/>
      <c r="F11327" s="84"/>
      <c r="G11327" s="84"/>
      <c r="I11327" s="237"/>
      <c r="J11327" s="238"/>
    </row>
    <row r="11328">
      <c r="C11328" s="82"/>
      <c r="E11328" s="84"/>
      <c r="F11328" s="84"/>
      <c r="G11328" s="84"/>
      <c r="I11328" s="237"/>
      <c r="J11328" s="238"/>
    </row>
    <row r="11329">
      <c r="C11329" s="82"/>
      <c r="E11329" s="84"/>
      <c r="F11329" s="84"/>
      <c r="G11329" s="84"/>
      <c r="I11329" s="237"/>
      <c r="J11329" s="238"/>
    </row>
    <row r="11330">
      <c r="C11330" s="82"/>
      <c r="E11330" s="84"/>
      <c r="F11330" s="84"/>
      <c r="G11330" s="84"/>
      <c r="I11330" s="237"/>
      <c r="J11330" s="238"/>
    </row>
    <row r="11331">
      <c r="C11331" s="82"/>
      <c r="E11331" s="84"/>
      <c r="F11331" s="84"/>
      <c r="G11331" s="84"/>
      <c r="I11331" s="237"/>
      <c r="J11331" s="238"/>
    </row>
    <row r="11332">
      <c r="C11332" s="82"/>
      <c r="E11332" s="84"/>
      <c r="F11332" s="84"/>
      <c r="G11332" s="84"/>
      <c r="I11332" s="237"/>
      <c r="J11332" s="238"/>
    </row>
    <row r="11333">
      <c r="C11333" s="82"/>
      <c r="E11333" s="84"/>
      <c r="F11333" s="84"/>
      <c r="G11333" s="84"/>
      <c r="I11333" s="237"/>
      <c r="J11333" s="238"/>
    </row>
    <row r="11334">
      <c r="C11334" s="82"/>
      <c r="E11334" s="84"/>
      <c r="F11334" s="84"/>
      <c r="G11334" s="84"/>
      <c r="I11334" s="237"/>
      <c r="J11334" s="238"/>
    </row>
    <row r="11335">
      <c r="C11335" s="82"/>
      <c r="E11335" s="84"/>
      <c r="F11335" s="84"/>
      <c r="G11335" s="84"/>
      <c r="I11335" s="237"/>
      <c r="J11335" s="238"/>
    </row>
    <row r="11336">
      <c r="C11336" s="82"/>
      <c r="E11336" s="84"/>
      <c r="F11336" s="84"/>
      <c r="G11336" s="84"/>
      <c r="I11336" s="237"/>
      <c r="J11336" s="238"/>
    </row>
    <row r="11337">
      <c r="C11337" s="82"/>
      <c r="E11337" s="84"/>
      <c r="F11337" s="84"/>
      <c r="G11337" s="84"/>
      <c r="I11337" s="237"/>
      <c r="J11337" s="238"/>
    </row>
    <row r="11338">
      <c r="C11338" s="82"/>
      <c r="E11338" s="84"/>
      <c r="F11338" s="84"/>
      <c r="G11338" s="84"/>
      <c r="I11338" s="237"/>
      <c r="J11338" s="238"/>
    </row>
    <row r="11339">
      <c r="C11339" s="82"/>
      <c r="E11339" s="84"/>
      <c r="F11339" s="84"/>
      <c r="G11339" s="84"/>
      <c r="I11339" s="237"/>
      <c r="J11339" s="238"/>
    </row>
    <row r="11340">
      <c r="C11340" s="82"/>
      <c r="E11340" s="84"/>
      <c r="F11340" s="84"/>
      <c r="G11340" s="84"/>
      <c r="I11340" s="237"/>
      <c r="J11340" s="238"/>
    </row>
    <row r="11341">
      <c r="C11341" s="82"/>
      <c r="E11341" s="84"/>
      <c r="F11341" s="84"/>
      <c r="G11341" s="84"/>
      <c r="I11341" s="237"/>
      <c r="J11341" s="238"/>
    </row>
    <row r="11342">
      <c r="C11342" s="82"/>
      <c r="E11342" s="84"/>
      <c r="F11342" s="84"/>
      <c r="G11342" s="84"/>
      <c r="I11342" s="237"/>
      <c r="J11342" s="238"/>
    </row>
    <row r="11343">
      <c r="C11343" s="82"/>
      <c r="E11343" s="84"/>
      <c r="F11343" s="84"/>
      <c r="G11343" s="84"/>
      <c r="I11343" s="237"/>
      <c r="J11343" s="238"/>
    </row>
    <row r="11344">
      <c r="C11344" s="82"/>
      <c r="E11344" s="84"/>
      <c r="F11344" s="84"/>
      <c r="G11344" s="84"/>
      <c r="I11344" s="237"/>
      <c r="J11344" s="238"/>
    </row>
    <row r="11345">
      <c r="C11345" s="82"/>
      <c r="E11345" s="84"/>
      <c r="F11345" s="84"/>
      <c r="G11345" s="84"/>
      <c r="I11345" s="237"/>
      <c r="J11345" s="238"/>
    </row>
    <row r="11346">
      <c r="C11346" s="82"/>
      <c r="E11346" s="84"/>
      <c r="F11346" s="84"/>
      <c r="G11346" s="84"/>
      <c r="I11346" s="237"/>
      <c r="J11346" s="238"/>
    </row>
    <row r="11347">
      <c r="C11347" s="82"/>
      <c r="E11347" s="84"/>
      <c r="F11347" s="84"/>
      <c r="G11347" s="84"/>
      <c r="I11347" s="237"/>
      <c r="J11347" s="238"/>
    </row>
    <row r="11348">
      <c r="C11348" s="82"/>
      <c r="E11348" s="84"/>
      <c r="F11348" s="84"/>
      <c r="G11348" s="84"/>
      <c r="I11348" s="237"/>
      <c r="J11348" s="238"/>
    </row>
    <row r="11349">
      <c r="C11349" s="82"/>
      <c r="E11349" s="84"/>
      <c r="F11349" s="84"/>
      <c r="G11349" s="84"/>
      <c r="I11349" s="237"/>
      <c r="J11349" s="238"/>
    </row>
    <row r="11350">
      <c r="C11350" s="82"/>
      <c r="E11350" s="84"/>
      <c r="F11350" s="84"/>
      <c r="G11350" s="84"/>
      <c r="I11350" s="237"/>
      <c r="J11350" s="238"/>
    </row>
    <row r="11351">
      <c r="C11351" s="82"/>
      <c r="E11351" s="84"/>
      <c r="F11351" s="84"/>
      <c r="G11351" s="84"/>
      <c r="I11351" s="237"/>
      <c r="J11351" s="238"/>
    </row>
    <row r="11352">
      <c r="C11352" s="82"/>
      <c r="E11352" s="84"/>
      <c r="F11352" s="84"/>
      <c r="G11352" s="84"/>
      <c r="I11352" s="237"/>
      <c r="J11352" s="238"/>
    </row>
    <row r="11353">
      <c r="C11353" s="82"/>
      <c r="E11353" s="84"/>
      <c r="F11353" s="84"/>
      <c r="G11353" s="84"/>
      <c r="I11353" s="237"/>
      <c r="J11353" s="238"/>
    </row>
    <row r="11354">
      <c r="C11354" s="82"/>
      <c r="E11354" s="84"/>
      <c r="F11354" s="84"/>
      <c r="G11354" s="84"/>
      <c r="I11354" s="237"/>
      <c r="J11354" s="238"/>
    </row>
    <row r="11355">
      <c r="C11355" s="82"/>
      <c r="E11355" s="84"/>
      <c r="F11355" s="84"/>
      <c r="G11355" s="84"/>
      <c r="I11355" s="237"/>
      <c r="J11355" s="238"/>
    </row>
    <row r="11356">
      <c r="C11356" s="82"/>
      <c r="E11356" s="84"/>
      <c r="F11356" s="84"/>
      <c r="G11356" s="84"/>
      <c r="I11356" s="237"/>
      <c r="J11356" s="238"/>
    </row>
    <row r="11357">
      <c r="C11357" s="82"/>
      <c r="E11357" s="84"/>
      <c r="F11357" s="84"/>
      <c r="G11357" s="84"/>
      <c r="I11357" s="237"/>
      <c r="J11357" s="238"/>
    </row>
    <row r="11358">
      <c r="C11358" s="82"/>
      <c r="E11358" s="84"/>
      <c r="F11358" s="84"/>
      <c r="G11358" s="84"/>
      <c r="I11358" s="237"/>
      <c r="J11358" s="238"/>
    </row>
    <row r="11359">
      <c r="C11359" s="82"/>
      <c r="E11359" s="84"/>
      <c r="F11359" s="84"/>
      <c r="G11359" s="84"/>
      <c r="I11359" s="237"/>
      <c r="J11359" s="238"/>
    </row>
    <row r="11360">
      <c r="C11360" s="82"/>
      <c r="E11360" s="84"/>
      <c r="F11360" s="84"/>
      <c r="G11360" s="84"/>
      <c r="I11360" s="237"/>
      <c r="J11360" s="238"/>
    </row>
    <row r="11361">
      <c r="C11361" s="82"/>
      <c r="E11361" s="84"/>
      <c r="F11361" s="84"/>
      <c r="G11361" s="84"/>
      <c r="I11361" s="237"/>
      <c r="J11361" s="238"/>
    </row>
    <row r="11362">
      <c r="C11362" s="82"/>
      <c r="E11362" s="84"/>
      <c r="F11362" s="84"/>
      <c r="G11362" s="84"/>
      <c r="I11362" s="237"/>
      <c r="J11362" s="238"/>
    </row>
    <row r="11363">
      <c r="C11363" s="82"/>
      <c r="E11363" s="84"/>
      <c r="F11363" s="84"/>
      <c r="G11363" s="84"/>
      <c r="I11363" s="237"/>
      <c r="J11363" s="238"/>
    </row>
    <row r="11364">
      <c r="C11364" s="82"/>
      <c r="E11364" s="84"/>
      <c r="F11364" s="84"/>
      <c r="G11364" s="84"/>
      <c r="I11364" s="237"/>
      <c r="J11364" s="238"/>
    </row>
    <row r="11365">
      <c r="C11365" s="82"/>
      <c r="E11365" s="84"/>
      <c r="F11365" s="84"/>
      <c r="G11365" s="84"/>
      <c r="I11365" s="237"/>
      <c r="J11365" s="238"/>
    </row>
    <row r="11366">
      <c r="C11366" s="82"/>
      <c r="E11366" s="84"/>
      <c r="F11366" s="84"/>
      <c r="G11366" s="84"/>
      <c r="I11366" s="237"/>
      <c r="J11366" s="238"/>
    </row>
    <row r="11367">
      <c r="C11367" s="82"/>
      <c r="E11367" s="84"/>
      <c r="F11367" s="84"/>
      <c r="G11367" s="84"/>
      <c r="I11367" s="237"/>
      <c r="J11367" s="238"/>
    </row>
    <row r="11368">
      <c r="C11368" s="82"/>
      <c r="E11368" s="84"/>
      <c r="F11368" s="84"/>
      <c r="G11368" s="84"/>
      <c r="I11368" s="237"/>
      <c r="J11368" s="238"/>
    </row>
    <row r="11369">
      <c r="C11369" s="82"/>
      <c r="E11369" s="84"/>
      <c r="F11369" s="84"/>
      <c r="G11369" s="84"/>
      <c r="I11369" s="237"/>
      <c r="J11369" s="238"/>
    </row>
    <row r="11370">
      <c r="C11370" s="82"/>
      <c r="E11370" s="84"/>
      <c r="F11370" s="84"/>
      <c r="G11370" s="84"/>
      <c r="I11370" s="237"/>
      <c r="J11370" s="238"/>
    </row>
    <row r="11371">
      <c r="C11371" s="82"/>
      <c r="E11371" s="84"/>
      <c r="F11371" s="84"/>
      <c r="G11371" s="84"/>
      <c r="I11371" s="237"/>
      <c r="J11371" s="238"/>
    </row>
    <row r="11372">
      <c r="C11372" s="82"/>
      <c r="E11372" s="84"/>
      <c r="F11372" s="84"/>
      <c r="G11372" s="84"/>
      <c r="I11372" s="237"/>
      <c r="J11372" s="238"/>
    </row>
    <row r="11373">
      <c r="C11373" s="82"/>
      <c r="E11373" s="84"/>
      <c r="F11373" s="84"/>
      <c r="G11373" s="84"/>
      <c r="I11373" s="237"/>
      <c r="J11373" s="238"/>
    </row>
    <row r="11374">
      <c r="C11374" s="82"/>
      <c r="E11374" s="84"/>
      <c r="F11374" s="84"/>
      <c r="G11374" s="84"/>
      <c r="I11374" s="237"/>
      <c r="J11374" s="238"/>
    </row>
    <row r="11375">
      <c r="C11375" s="82"/>
      <c r="E11375" s="84"/>
      <c r="F11375" s="84"/>
      <c r="G11375" s="84"/>
      <c r="I11375" s="237"/>
      <c r="J11375" s="238"/>
    </row>
    <row r="11376">
      <c r="C11376" s="82"/>
      <c r="E11376" s="84"/>
      <c r="F11376" s="84"/>
      <c r="G11376" s="84"/>
      <c r="I11376" s="237"/>
      <c r="J11376" s="238"/>
    </row>
    <row r="11377">
      <c r="C11377" s="82"/>
      <c r="E11377" s="84"/>
      <c r="F11377" s="84"/>
      <c r="G11377" s="84"/>
      <c r="I11377" s="237"/>
      <c r="J11377" s="238"/>
    </row>
    <row r="11378">
      <c r="C11378" s="82"/>
      <c r="E11378" s="84"/>
      <c r="F11378" s="84"/>
      <c r="G11378" s="84"/>
      <c r="I11378" s="237"/>
      <c r="J11378" s="238"/>
    </row>
    <row r="11379">
      <c r="C11379" s="82"/>
      <c r="E11379" s="84"/>
      <c r="F11379" s="84"/>
      <c r="G11379" s="84"/>
      <c r="I11379" s="237"/>
      <c r="J11379" s="238"/>
    </row>
    <row r="11380">
      <c r="C11380" s="82"/>
      <c r="E11380" s="84"/>
      <c r="F11380" s="84"/>
      <c r="G11380" s="84"/>
      <c r="I11380" s="237"/>
      <c r="J11380" s="238"/>
    </row>
    <row r="11381">
      <c r="C11381" s="82"/>
      <c r="E11381" s="84"/>
      <c r="F11381" s="84"/>
      <c r="G11381" s="84"/>
      <c r="I11381" s="237"/>
      <c r="J11381" s="238"/>
    </row>
    <row r="11382">
      <c r="C11382" s="82"/>
      <c r="E11382" s="84"/>
      <c r="F11382" s="84"/>
      <c r="G11382" s="84"/>
      <c r="I11382" s="237"/>
      <c r="J11382" s="238"/>
    </row>
    <row r="11383">
      <c r="C11383" s="82"/>
      <c r="E11383" s="84"/>
      <c r="F11383" s="84"/>
      <c r="G11383" s="84"/>
      <c r="I11383" s="237"/>
      <c r="J11383" s="238"/>
    </row>
    <row r="11384">
      <c r="C11384" s="82"/>
      <c r="E11384" s="84"/>
      <c r="F11384" s="84"/>
      <c r="G11384" s="84"/>
      <c r="I11384" s="237"/>
      <c r="J11384" s="238"/>
    </row>
    <row r="11385">
      <c r="C11385" s="82"/>
      <c r="E11385" s="84"/>
      <c r="F11385" s="84"/>
      <c r="G11385" s="84"/>
      <c r="I11385" s="237"/>
      <c r="J11385" s="238"/>
    </row>
    <row r="11386">
      <c r="C11386" s="82"/>
      <c r="E11386" s="84"/>
      <c r="F11386" s="84"/>
      <c r="G11386" s="84"/>
      <c r="I11386" s="237"/>
      <c r="J11386" s="238"/>
    </row>
    <row r="11387">
      <c r="C11387" s="82"/>
      <c r="E11387" s="84"/>
      <c r="F11387" s="84"/>
      <c r="G11387" s="84"/>
      <c r="I11387" s="237"/>
      <c r="J11387" s="238"/>
    </row>
    <row r="11388">
      <c r="C11388" s="82"/>
      <c r="E11388" s="84"/>
      <c r="F11388" s="84"/>
      <c r="G11388" s="84"/>
      <c r="I11388" s="237"/>
      <c r="J11388" s="238"/>
    </row>
    <row r="11389">
      <c r="C11389" s="82"/>
      <c r="E11389" s="84"/>
      <c r="F11389" s="84"/>
      <c r="G11389" s="84"/>
      <c r="I11389" s="237"/>
      <c r="J11389" s="238"/>
    </row>
    <row r="11390">
      <c r="C11390" s="82"/>
      <c r="E11390" s="84"/>
      <c r="F11390" s="84"/>
      <c r="G11390" s="84"/>
      <c r="I11390" s="237"/>
      <c r="J11390" s="238"/>
    </row>
    <row r="11391">
      <c r="C11391" s="82"/>
      <c r="E11391" s="84"/>
      <c r="F11391" s="84"/>
      <c r="G11391" s="84"/>
      <c r="I11391" s="237"/>
      <c r="J11391" s="238"/>
    </row>
    <row r="11392">
      <c r="C11392" s="82"/>
      <c r="E11392" s="84"/>
      <c r="F11392" s="84"/>
      <c r="G11392" s="84"/>
      <c r="I11392" s="237"/>
      <c r="J11392" s="238"/>
    </row>
    <row r="11393">
      <c r="C11393" s="82"/>
      <c r="E11393" s="84"/>
      <c r="F11393" s="84"/>
      <c r="G11393" s="84"/>
      <c r="I11393" s="237"/>
      <c r="J11393" s="238"/>
    </row>
    <row r="11394">
      <c r="C11394" s="82"/>
      <c r="E11394" s="84"/>
      <c r="F11394" s="84"/>
      <c r="G11394" s="84"/>
      <c r="I11394" s="237"/>
      <c r="J11394" s="238"/>
    </row>
    <row r="11395">
      <c r="C11395" s="82"/>
      <c r="E11395" s="84"/>
      <c r="F11395" s="84"/>
      <c r="G11395" s="84"/>
      <c r="I11395" s="237"/>
      <c r="J11395" s="238"/>
    </row>
    <row r="11396">
      <c r="C11396" s="82"/>
      <c r="E11396" s="84"/>
      <c r="F11396" s="84"/>
      <c r="G11396" s="84"/>
      <c r="I11396" s="237"/>
      <c r="J11396" s="238"/>
    </row>
    <row r="11397">
      <c r="C11397" s="82"/>
      <c r="E11397" s="84"/>
      <c r="F11397" s="84"/>
      <c r="G11397" s="84"/>
      <c r="I11397" s="237"/>
      <c r="J11397" s="238"/>
    </row>
    <row r="11398">
      <c r="C11398" s="82"/>
      <c r="E11398" s="84"/>
      <c r="F11398" s="84"/>
      <c r="G11398" s="84"/>
      <c r="I11398" s="237"/>
      <c r="J11398" s="238"/>
    </row>
    <row r="11399">
      <c r="C11399" s="82"/>
      <c r="E11399" s="84"/>
      <c r="F11399" s="84"/>
      <c r="G11399" s="84"/>
      <c r="I11399" s="237"/>
      <c r="J11399" s="238"/>
    </row>
    <row r="11400">
      <c r="C11400" s="82"/>
      <c r="E11400" s="84"/>
      <c r="F11400" s="84"/>
      <c r="G11400" s="84"/>
      <c r="I11400" s="237"/>
      <c r="J11400" s="238"/>
    </row>
    <row r="11401">
      <c r="C11401" s="82"/>
      <c r="E11401" s="84"/>
      <c r="F11401" s="84"/>
      <c r="G11401" s="84"/>
      <c r="I11401" s="237"/>
      <c r="J11401" s="238"/>
    </row>
    <row r="11402">
      <c r="C11402" s="82"/>
      <c r="E11402" s="84"/>
      <c r="F11402" s="84"/>
      <c r="G11402" s="84"/>
      <c r="I11402" s="237"/>
      <c r="J11402" s="238"/>
    </row>
    <row r="11403">
      <c r="C11403" s="82"/>
      <c r="E11403" s="84"/>
      <c r="F11403" s="84"/>
      <c r="G11403" s="84"/>
      <c r="I11403" s="237"/>
      <c r="J11403" s="238"/>
    </row>
    <row r="11404">
      <c r="C11404" s="82"/>
      <c r="E11404" s="84"/>
      <c r="F11404" s="84"/>
      <c r="G11404" s="84"/>
      <c r="I11404" s="237"/>
      <c r="J11404" s="238"/>
    </row>
    <row r="11405">
      <c r="C11405" s="82"/>
      <c r="E11405" s="84"/>
      <c r="F11405" s="84"/>
      <c r="G11405" s="84"/>
      <c r="I11405" s="237"/>
      <c r="J11405" s="238"/>
    </row>
    <row r="11406">
      <c r="C11406" s="82"/>
      <c r="E11406" s="84"/>
      <c r="F11406" s="84"/>
      <c r="G11406" s="84"/>
      <c r="I11406" s="237"/>
      <c r="J11406" s="238"/>
    </row>
    <row r="11407">
      <c r="C11407" s="82"/>
      <c r="E11407" s="84"/>
      <c r="F11407" s="84"/>
      <c r="G11407" s="84"/>
      <c r="I11407" s="237"/>
      <c r="J11407" s="238"/>
    </row>
    <row r="11408">
      <c r="C11408" s="82"/>
      <c r="E11408" s="84"/>
      <c r="F11408" s="84"/>
      <c r="G11408" s="84"/>
      <c r="I11408" s="237"/>
      <c r="J11408" s="238"/>
    </row>
    <row r="11409">
      <c r="C11409" s="82"/>
      <c r="E11409" s="84"/>
      <c r="F11409" s="84"/>
      <c r="G11409" s="84"/>
      <c r="I11409" s="237"/>
      <c r="J11409" s="238"/>
    </row>
    <row r="11410">
      <c r="C11410" s="82"/>
      <c r="E11410" s="84"/>
      <c r="F11410" s="84"/>
      <c r="G11410" s="84"/>
      <c r="I11410" s="237"/>
      <c r="J11410" s="238"/>
    </row>
    <row r="11411">
      <c r="C11411" s="82"/>
      <c r="E11411" s="84"/>
      <c r="F11411" s="84"/>
      <c r="G11411" s="84"/>
      <c r="I11411" s="237"/>
      <c r="J11411" s="238"/>
    </row>
    <row r="11412">
      <c r="C11412" s="82"/>
      <c r="E11412" s="84"/>
      <c r="F11412" s="84"/>
      <c r="G11412" s="84"/>
      <c r="I11412" s="237"/>
      <c r="J11412" s="238"/>
    </row>
    <row r="11413">
      <c r="C11413" s="82"/>
      <c r="E11413" s="84"/>
      <c r="F11413" s="84"/>
      <c r="G11413" s="84"/>
      <c r="I11413" s="237"/>
      <c r="J11413" s="238"/>
    </row>
    <row r="11414">
      <c r="C11414" s="82"/>
      <c r="E11414" s="84"/>
      <c r="F11414" s="84"/>
      <c r="G11414" s="84"/>
      <c r="I11414" s="237"/>
      <c r="J11414" s="238"/>
    </row>
    <row r="11415">
      <c r="C11415" s="82"/>
      <c r="E11415" s="84"/>
      <c r="F11415" s="84"/>
      <c r="G11415" s="84"/>
      <c r="I11415" s="237"/>
      <c r="J11415" s="238"/>
    </row>
    <row r="11416">
      <c r="C11416" s="82"/>
      <c r="E11416" s="84"/>
      <c r="F11416" s="84"/>
      <c r="G11416" s="84"/>
      <c r="I11416" s="237"/>
      <c r="J11416" s="238"/>
    </row>
    <row r="11417">
      <c r="C11417" s="82"/>
      <c r="E11417" s="84"/>
      <c r="F11417" s="84"/>
      <c r="G11417" s="84"/>
      <c r="I11417" s="237"/>
      <c r="J11417" s="238"/>
    </row>
    <row r="11418">
      <c r="C11418" s="82"/>
      <c r="E11418" s="84"/>
      <c r="F11418" s="84"/>
      <c r="G11418" s="84"/>
      <c r="I11418" s="237"/>
      <c r="J11418" s="238"/>
    </row>
    <row r="11419">
      <c r="C11419" s="82"/>
      <c r="E11419" s="84"/>
      <c r="F11419" s="84"/>
      <c r="G11419" s="84"/>
      <c r="I11419" s="237"/>
      <c r="J11419" s="238"/>
    </row>
    <row r="11420">
      <c r="C11420" s="82"/>
      <c r="E11420" s="84"/>
      <c r="F11420" s="84"/>
      <c r="G11420" s="84"/>
      <c r="I11420" s="237"/>
      <c r="J11420" s="238"/>
    </row>
    <row r="11421">
      <c r="C11421" s="82"/>
      <c r="E11421" s="84"/>
      <c r="F11421" s="84"/>
      <c r="G11421" s="84"/>
      <c r="I11421" s="237"/>
      <c r="J11421" s="238"/>
    </row>
    <row r="11422">
      <c r="C11422" s="82"/>
      <c r="E11422" s="84"/>
      <c r="F11422" s="84"/>
      <c r="G11422" s="84"/>
      <c r="I11422" s="237"/>
      <c r="J11422" s="238"/>
    </row>
    <row r="11423">
      <c r="C11423" s="82"/>
      <c r="E11423" s="84"/>
      <c r="F11423" s="84"/>
      <c r="G11423" s="84"/>
      <c r="I11423" s="237"/>
      <c r="J11423" s="238"/>
    </row>
    <row r="11424">
      <c r="C11424" s="82"/>
      <c r="E11424" s="84"/>
      <c r="F11424" s="84"/>
      <c r="G11424" s="84"/>
      <c r="I11424" s="237"/>
      <c r="J11424" s="238"/>
    </row>
    <row r="11425">
      <c r="C11425" s="82"/>
      <c r="E11425" s="84"/>
      <c r="F11425" s="84"/>
      <c r="G11425" s="84"/>
      <c r="I11425" s="237"/>
      <c r="J11425" s="238"/>
    </row>
    <row r="11426">
      <c r="C11426" s="82"/>
      <c r="E11426" s="84"/>
      <c r="F11426" s="84"/>
      <c r="G11426" s="84"/>
      <c r="I11426" s="237"/>
      <c r="J11426" s="238"/>
    </row>
    <row r="11427">
      <c r="C11427" s="82"/>
      <c r="E11427" s="84"/>
      <c r="F11427" s="84"/>
      <c r="G11427" s="84"/>
      <c r="I11427" s="237"/>
      <c r="J11427" s="238"/>
    </row>
    <row r="11428">
      <c r="C11428" s="82"/>
      <c r="E11428" s="84"/>
      <c r="F11428" s="84"/>
      <c r="G11428" s="84"/>
      <c r="I11428" s="237"/>
      <c r="J11428" s="238"/>
    </row>
    <row r="11429">
      <c r="C11429" s="82"/>
      <c r="E11429" s="84"/>
      <c r="F11429" s="84"/>
      <c r="G11429" s="84"/>
      <c r="I11429" s="237"/>
      <c r="J11429" s="238"/>
    </row>
    <row r="11430">
      <c r="C11430" s="82"/>
      <c r="E11430" s="84"/>
      <c r="F11430" s="84"/>
      <c r="G11430" s="84"/>
      <c r="I11430" s="237"/>
      <c r="J11430" s="238"/>
    </row>
    <row r="11431">
      <c r="C11431" s="82"/>
      <c r="E11431" s="84"/>
      <c r="F11431" s="84"/>
      <c r="G11431" s="84"/>
      <c r="I11431" s="237"/>
      <c r="J11431" s="238"/>
    </row>
    <row r="11432">
      <c r="C11432" s="82"/>
      <c r="E11432" s="84"/>
      <c r="F11432" s="84"/>
      <c r="G11432" s="84"/>
      <c r="I11432" s="237"/>
      <c r="J11432" s="238"/>
    </row>
    <row r="11433">
      <c r="C11433" s="82"/>
      <c r="E11433" s="84"/>
      <c r="F11433" s="84"/>
      <c r="G11433" s="84"/>
      <c r="I11433" s="237"/>
      <c r="J11433" s="238"/>
    </row>
    <row r="11434">
      <c r="C11434" s="82"/>
      <c r="E11434" s="84"/>
      <c r="F11434" s="84"/>
      <c r="G11434" s="84"/>
      <c r="I11434" s="237"/>
      <c r="J11434" s="238"/>
    </row>
    <row r="11435">
      <c r="C11435" s="82"/>
      <c r="E11435" s="84"/>
      <c r="F11435" s="84"/>
      <c r="G11435" s="84"/>
      <c r="I11435" s="237"/>
      <c r="J11435" s="238"/>
    </row>
    <row r="11436">
      <c r="C11436" s="82"/>
      <c r="E11436" s="84"/>
      <c r="F11436" s="84"/>
      <c r="G11436" s="84"/>
      <c r="I11436" s="237"/>
      <c r="J11436" s="238"/>
    </row>
    <row r="11437">
      <c r="C11437" s="82"/>
      <c r="E11437" s="84"/>
      <c r="F11437" s="84"/>
      <c r="G11437" s="84"/>
      <c r="I11437" s="237"/>
      <c r="J11437" s="238"/>
    </row>
    <row r="11438">
      <c r="C11438" s="82"/>
      <c r="E11438" s="84"/>
      <c r="F11438" s="84"/>
      <c r="G11438" s="84"/>
      <c r="I11438" s="237"/>
      <c r="J11438" s="238"/>
    </row>
    <row r="11439">
      <c r="C11439" s="82"/>
      <c r="E11439" s="84"/>
      <c r="F11439" s="84"/>
      <c r="G11439" s="84"/>
      <c r="I11439" s="237"/>
      <c r="J11439" s="238"/>
    </row>
    <row r="11440">
      <c r="C11440" s="82"/>
      <c r="E11440" s="84"/>
      <c r="F11440" s="84"/>
      <c r="G11440" s="84"/>
      <c r="I11440" s="237"/>
      <c r="J11440" s="238"/>
    </row>
    <row r="11441">
      <c r="C11441" s="82"/>
      <c r="E11441" s="84"/>
      <c r="F11441" s="84"/>
      <c r="G11441" s="84"/>
      <c r="I11441" s="237"/>
      <c r="J11441" s="238"/>
    </row>
    <row r="11442">
      <c r="C11442" s="82"/>
      <c r="E11442" s="84"/>
      <c r="F11442" s="84"/>
      <c r="G11442" s="84"/>
      <c r="I11442" s="237"/>
      <c r="J11442" s="238"/>
    </row>
    <row r="11443">
      <c r="C11443" s="82"/>
      <c r="E11443" s="84"/>
      <c r="F11443" s="84"/>
      <c r="G11443" s="84"/>
      <c r="I11443" s="237"/>
      <c r="J11443" s="238"/>
    </row>
    <row r="11444">
      <c r="C11444" s="82"/>
      <c r="E11444" s="84"/>
      <c r="F11444" s="84"/>
      <c r="G11444" s="84"/>
      <c r="I11444" s="237"/>
      <c r="J11444" s="238"/>
    </row>
    <row r="11445">
      <c r="C11445" s="82"/>
      <c r="E11445" s="84"/>
      <c r="F11445" s="84"/>
      <c r="G11445" s="84"/>
      <c r="I11445" s="237"/>
      <c r="J11445" s="238"/>
    </row>
    <row r="11446">
      <c r="C11446" s="82"/>
      <c r="E11446" s="84"/>
      <c r="F11446" s="84"/>
      <c r="G11446" s="84"/>
      <c r="I11446" s="237"/>
      <c r="J11446" s="238"/>
    </row>
    <row r="11447">
      <c r="C11447" s="82"/>
      <c r="E11447" s="84"/>
      <c r="F11447" s="84"/>
      <c r="G11447" s="84"/>
      <c r="I11447" s="237"/>
      <c r="J11447" s="238"/>
    </row>
    <row r="11448">
      <c r="C11448" s="82"/>
      <c r="E11448" s="84"/>
      <c r="F11448" s="84"/>
      <c r="G11448" s="84"/>
      <c r="I11448" s="237"/>
      <c r="J11448" s="238"/>
    </row>
    <row r="11449">
      <c r="C11449" s="82"/>
      <c r="E11449" s="84"/>
      <c r="F11449" s="84"/>
      <c r="G11449" s="84"/>
      <c r="I11449" s="237"/>
      <c r="J11449" s="238"/>
    </row>
    <row r="11450">
      <c r="C11450" s="82"/>
      <c r="E11450" s="84"/>
      <c r="F11450" s="84"/>
      <c r="G11450" s="84"/>
      <c r="I11450" s="237"/>
      <c r="J11450" s="238"/>
    </row>
    <row r="11451">
      <c r="C11451" s="82"/>
      <c r="E11451" s="84"/>
      <c r="F11451" s="84"/>
      <c r="G11451" s="84"/>
      <c r="I11451" s="237"/>
      <c r="J11451" s="238"/>
    </row>
    <row r="11452">
      <c r="C11452" s="82"/>
      <c r="E11452" s="84"/>
      <c r="F11452" s="84"/>
      <c r="G11452" s="84"/>
      <c r="I11452" s="237"/>
      <c r="J11452" s="238"/>
    </row>
    <row r="11453">
      <c r="C11453" s="82"/>
      <c r="E11453" s="84"/>
      <c r="F11453" s="84"/>
      <c r="G11453" s="84"/>
      <c r="I11453" s="237"/>
      <c r="J11453" s="238"/>
    </row>
    <row r="11454">
      <c r="C11454" s="82"/>
      <c r="E11454" s="84"/>
      <c r="F11454" s="84"/>
      <c r="G11454" s="84"/>
      <c r="I11454" s="237"/>
      <c r="J11454" s="238"/>
    </row>
    <row r="11455">
      <c r="C11455" s="82"/>
      <c r="E11455" s="84"/>
      <c r="F11455" s="84"/>
      <c r="G11455" s="84"/>
      <c r="I11455" s="237"/>
      <c r="J11455" s="238"/>
    </row>
    <row r="11456">
      <c r="C11456" s="82"/>
      <c r="E11456" s="84"/>
      <c r="F11456" s="84"/>
      <c r="G11456" s="84"/>
      <c r="I11456" s="237"/>
      <c r="J11456" s="238"/>
    </row>
    <row r="11457">
      <c r="C11457" s="82"/>
      <c r="E11457" s="84"/>
      <c r="F11457" s="84"/>
      <c r="G11457" s="84"/>
      <c r="I11457" s="237"/>
      <c r="J11457" s="238"/>
    </row>
    <row r="11458">
      <c r="C11458" s="82"/>
      <c r="E11458" s="84"/>
      <c r="F11458" s="84"/>
      <c r="G11458" s="84"/>
      <c r="I11458" s="237"/>
      <c r="J11458" s="238"/>
    </row>
    <row r="11459">
      <c r="C11459" s="82"/>
      <c r="E11459" s="84"/>
      <c r="F11459" s="84"/>
      <c r="G11459" s="84"/>
      <c r="I11459" s="237"/>
      <c r="J11459" s="238"/>
    </row>
    <row r="11460">
      <c r="C11460" s="82"/>
      <c r="E11460" s="84"/>
      <c r="F11460" s="84"/>
      <c r="G11460" s="84"/>
      <c r="I11460" s="237"/>
      <c r="J11460" s="238"/>
    </row>
    <row r="11461">
      <c r="C11461" s="82"/>
      <c r="E11461" s="84"/>
      <c r="F11461" s="84"/>
      <c r="G11461" s="84"/>
      <c r="I11461" s="237"/>
      <c r="J11461" s="238"/>
    </row>
    <row r="11462">
      <c r="C11462" s="82"/>
      <c r="E11462" s="84"/>
      <c r="F11462" s="84"/>
      <c r="G11462" s="84"/>
      <c r="I11462" s="237"/>
      <c r="J11462" s="238"/>
    </row>
    <row r="11463">
      <c r="C11463" s="82"/>
      <c r="E11463" s="84"/>
      <c r="F11463" s="84"/>
      <c r="G11463" s="84"/>
      <c r="I11463" s="237"/>
      <c r="J11463" s="238"/>
    </row>
    <row r="11464">
      <c r="C11464" s="82"/>
      <c r="E11464" s="84"/>
      <c r="F11464" s="84"/>
      <c r="G11464" s="84"/>
      <c r="I11464" s="237"/>
      <c r="J11464" s="238"/>
    </row>
    <row r="11465">
      <c r="C11465" s="82"/>
      <c r="E11465" s="84"/>
      <c r="F11465" s="84"/>
      <c r="G11465" s="84"/>
      <c r="I11465" s="237"/>
      <c r="J11465" s="238"/>
    </row>
    <row r="11466">
      <c r="C11466" s="82"/>
      <c r="E11466" s="84"/>
      <c r="F11466" s="84"/>
      <c r="G11466" s="84"/>
      <c r="I11466" s="237"/>
      <c r="J11466" s="238"/>
    </row>
    <row r="11467">
      <c r="C11467" s="82"/>
      <c r="E11467" s="84"/>
      <c r="F11467" s="84"/>
      <c r="G11467" s="84"/>
      <c r="I11467" s="237"/>
      <c r="J11467" s="238"/>
    </row>
    <row r="11468">
      <c r="C11468" s="82"/>
      <c r="E11468" s="84"/>
      <c r="F11468" s="84"/>
      <c r="G11468" s="84"/>
      <c r="I11468" s="237"/>
      <c r="J11468" s="238"/>
    </row>
    <row r="11469">
      <c r="C11469" s="82"/>
      <c r="E11469" s="84"/>
      <c r="F11469" s="84"/>
      <c r="G11469" s="84"/>
      <c r="I11469" s="237"/>
      <c r="J11469" s="238"/>
    </row>
    <row r="11470">
      <c r="C11470" s="82"/>
      <c r="E11470" s="84"/>
      <c r="F11470" s="84"/>
      <c r="G11470" s="84"/>
      <c r="I11470" s="237"/>
      <c r="J11470" s="238"/>
    </row>
    <row r="11471">
      <c r="C11471" s="82"/>
      <c r="E11471" s="84"/>
      <c r="F11471" s="84"/>
      <c r="G11471" s="84"/>
      <c r="I11471" s="237"/>
      <c r="J11471" s="238"/>
    </row>
    <row r="11472">
      <c r="C11472" s="82"/>
      <c r="E11472" s="84"/>
      <c r="F11472" s="84"/>
      <c r="G11472" s="84"/>
      <c r="I11472" s="237"/>
      <c r="J11472" s="238"/>
    </row>
    <row r="11473">
      <c r="C11473" s="82"/>
      <c r="E11473" s="84"/>
      <c r="F11473" s="84"/>
      <c r="G11473" s="84"/>
      <c r="I11473" s="237"/>
      <c r="J11473" s="238"/>
    </row>
    <row r="11474">
      <c r="C11474" s="82"/>
      <c r="E11474" s="84"/>
      <c r="F11474" s="84"/>
      <c r="G11474" s="84"/>
      <c r="I11474" s="237"/>
      <c r="J11474" s="238"/>
    </row>
    <row r="11475">
      <c r="C11475" s="82"/>
      <c r="E11475" s="84"/>
      <c r="F11475" s="84"/>
      <c r="G11475" s="84"/>
      <c r="I11475" s="237"/>
      <c r="J11475" s="238"/>
    </row>
    <row r="11476">
      <c r="C11476" s="82"/>
      <c r="E11476" s="84"/>
      <c r="F11476" s="84"/>
      <c r="G11476" s="84"/>
      <c r="I11476" s="237"/>
      <c r="J11476" s="238"/>
    </row>
    <row r="11477">
      <c r="C11477" s="82"/>
      <c r="E11477" s="84"/>
      <c r="F11477" s="84"/>
      <c r="G11477" s="84"/>
      <c r="I11477" s="237"/>
      <c r="J11477" s="238"/>
    </row>
    <row r="11478">
      <c r="C11478" s="82"/>
      <c r="E11478" s="84"/>
      <c r="F11478" s="84"/>
      <c r="G11478" s="84"/>
      <c r="I11478" s="237"/>
      <c r="J11478" s="238"/>
    </row>
    <row r="11479">
      <c r="C11479" s="82"/>
      <c r="E11479" s="84"/>
      <c r="F11479" s="84"/>
      <c r="G11479" s="84"/>
      <c r="I11479" s="237"/>
      <c r="J11479" s="238"/>
    </row>
    <row r="11480">
      <c r="C11480" s="82"/>
      <c r="E11480" s="84"/>
      <c r="F11480" s="84"/>
      <c r="G11480" s="84"/>
      <c r="I11480" s="237"/>
      <c r="J11480" s="238"/>
    </row>
    <row r="11481">
      <c r="C11481" s="82"/>
      <c r="E11481" s="84"/>
      <c r="F11481" s="84"/>
      <c r="G11481" s="84"/>
      <c r="I11481" s="237"/>
      <c r="J11481" s="238"/>
    </row>
    <row r="11482">
      <c r="C11482" s="82"/>
      <c r="E11482" s="84"/>
      <c r="F11482" s="84"/>
      <c r="G11482" s="84"/>
      <c r="I11482" s="237"/>
      <c r="J11482" s="238"/>
    </row>
    <row r="11483">
      <c r="C11483" s="82"/>
      <c r="E11483" s="84"/>
      <c r="F11483" s="84"/>
      <c r="G11483" s="84"/>
      <c r="I11483" s="237"/>
      <c r="J11483" s="238"/>
    </row>
    <row r="11484">
      <c r="C11484" s="82"/>
      <c r="E11484" s="84"/>
      <c r="F11484" s="84"/>
      <c r="G11484" s="84"/>
      <c r="I11484" s="237"/>
      <c r="J11484" s="238"/>
    </row>
    <row r="11485">
      <c r="C11485" s="82"/>
      <c r="E11485" s="84"/>
      <c r="F11485" s="84"/>
      <c r="G11485" s="84"/>
      <c r="I11485" s="237"/>
      <c r="J11485" s="238"/>
    </row>
    <row r="11486">
      <c r="C11486" s="82"/>
      <c r="E11486" s="84"/>
      <c r="F11486" s="84"/>
      <c r="G11486" s="84"/>
      <c r="I11486" s="237"/>
      <c r="J11486" s="238"/>
    </row>
    <row r="11487">
      <c r="C11487" s="82"/>
      <c r="E11487" s="84"/>
      <c r="F11487" s="84"/>
      <c r="G11487" s="84"/>
      <c r="I11487" s="237"/>
      <c r="J11487" s="238"/>
    </row>
    <row r="11488">
      <c r="C11488" s="82"/>
      <c r="E11488" s="84"/>
      <c r="F11488" s="84"/>
      <c r="G11488" s="84"/>
      <c r="I11488" s="237"/>
      <c r="J11488" s="238"/>
    </row>
    <row r="11489">
      <c r="C11489" s="82"/>
      <c r="E11489" s="84"/>
      <c r="F11489" s="84"/>
      <c r="G11489" s="84"/>
      <c r="I11489" s="237"/>
      <c r="J11489" s="238"/>
    </row>
    <row r="11490">
      <c r="C11490" s="82"/>
      <c r="E11490" s="84"/>
      <c r="F11490" s="84"/>
      <c r="G11490" s="84"/>
      <c r="I11490" s="237"/>
      <c r="J11490" s="238"/>
    </row>
    <row r="11491">
      <c r="C11491" s="82"/>
      <c r="E11491" s="84"/>
      <c r="F11491" s="84"/>
      <c r="G11491" s="84"/>
      <c r="I11491" s="237"/>
      <c r="J11491" s="238"/>
    </row>
    <row r="11492">
      <c r="C11492" s="82"/>
      <c r="E11492" s="84"/>
      <c r="F11492" s="84"/>
      <c r="G11492" s="84"/>
      <c r="I11492" s="237"/>
      <c r="J11492" s="238"/>
    </row>
    <row r="11493">
      <c r="C11493" s="82"/>
      <c r="E11493" s="84"/>
      <c r="F11493" s="84"/>
      <c r="G11493" s="84"/>
      <c r="I11493" s="237"/>
      <c r="J11493" s="238"/>
    </row>
    <row r="11494">
      <c r="C11494" s="82"/>
      <c r="E11494" s="84"/>
      <c r="F11494" s="84"/>
      <c r="G11494" s="84"/>
      <c r="I11494" s="237"/>
      <c r="J11494" s="238"/>
    </row>
    <row r="11495">
      <c r="C11495" s="82"/>
      <c r="E11495" s="84"/>
      <c r="F11495" s="84"/>
      <c r="G11495" s="84"/>
      <c r="I11495" s="237"/>
      <c r="J11495" s="238"/>
    </row>
    <row r="11496">
      <c r="C11496" s="82"/>
      <c r="E11496" s="84"/>
      <c r="F11496" s="84"/>
      <c r="G11496" s="84"/>
      <c r="I11496" s="237"/>
      <c r="J11496" s="238"/>
    </row>
    <row r="11497">
      <c r="C11497" s="82"/>
      <c r="E11497" s="84"/>
      <c r="F11497" s="84"/>
      <c r="G11497" s="84"/>
      <c r="I11497" s="237"/>
      <c r="J11497" s="238"/>
    </row>
    <row r="11498">
      <c r="C11498" s="82"/>
      <c r="E11498" s="84"/>
      <c r="F11498" s="84"/>
      <c r="G11498" s="84"/>
      <c r="I11498" s="237"/>
      <c r="J11498" s="238"/>
    </row>
    <row r="11499">
      <c r="C11499" s="82"/>
      <c r="E11499" s="84"/>
      <c r="F11499" s="84"/>
      <c r="G11499" s="84"/>
      <c r="I11499" s="237"/>
      <c r="J11499" s="238"/>
    </row>
    <row r="11500">
      <c r="C11500" s="82"/>
      <c r="E11500" s="84"/>
      <c r="F11500" s="84"/>
      <c r="G11500" s="84"/>
      <c r="I11500" s="237"/>
      <c r="J11500" s="238"/>
    </row>
    <row r="11501">
      <c r="C11501" s="82"/>
      <c r="E11501" s="84"/>
      <c r="F11501" s="84"/>
      <c r="G11501" s="84"/>
      <c r="I11501" s="237"/>
      <c r="J11501" s="238"/>
    </row>
    <row r="11502">
      <c r="C11502" s="82"/>
      <c r="E11502" s="84"/>
      <c r="F11502" s="84"/>
      <c r="G11502" s="84"/>
      <c r="I11502" s="237"/>
      <c r="J11502" s="238"/>
    </row>
    <row r="11503">
      <c r="C11503" s="82"/>
      <c r="E11503" s="84"/>
      <c r="F11503" s="84"/>
      <c r="G11503" s="84"/>
      <c r="I11503" s="237"/>
      <c r="J11503" s="238"/>
    </row>
    <row r="11504">
      <c r="C11504" s="82"/>
      <c r="E11504" s="84"/>
      <c r="F11504" s="84"/>
      <c r="G11504" s="84"/>
      <c r="I11504" s="237"/>
      <c r="J11504" s="238"/>
    </row>
    <row r="11505">
      <c r="C11505" s="82"/>
      <c r="E11505" s="84"/>
      <c r="F11505" s="84"/>
      <c r="G11505" s="84"/>
      <c r="I11505" s="237"/>
      <c r="J11505" s="238"/>
    </row>
    <row r="11506">
      <c r="C11506" s="82"/>
      <c r="E11506" s="84"/>
      <c r="F11506" s="84"/>
      <c r="G11506" s="84"/>
      <c r="I11506" s="237"/>
      <c r="J11506" s="238"/>
    </row>
    <row r="11507">
      <c r="C11507" s="82"/>
      <c r="E11507" s="84"/>
      <c r="F11507" s="84"/>
      <c r="G11507" s="84"/>
      <c r="I11507" s="237"/>
      <c r="J11507" s="238"/>
    </row>
    <row r="11508">
      <c r="C11508" s="82"/>
      <c r="E11508" s="84"/>
      <c r="F11508" s="84"/>
      <c r="G11508" s="84"/>
      <c r="I11508" s="237"/>
      <c r="J11508" s="238"/>
    </row>
    <row r="11509">
      <c r="C11509" s="82"/>
      <c r="E11509" s="84"/>
      <c r="F11509" s="84"/>
      <c r="G11509" s="84"/>
      <c r="I11509" s="237"/>
      <c r="J11509" s="238"/>
    </row>
    <row r="11510">
      <c r="C11510" s="82"/>
      <c r="E11510" s="84"/>
      <c r="F11510" s="84"/>
      <c r="G11510" s="84"/>
      <c r="I11510" s="237"/>
      <c r="J11510" s="238"/>
    </row>
    <row r="11511">
      <c r="C11511" s="82"/>
      <c r="E11511" s="84"/>
      <c r="F11511" s="84"/>
      <c r="G11511" s="84"/>
      <c r="I11511" s="237"/>
      <c r="J11511" s="238"/>
    </row>
    <row r="11512">
      <c r="C11512" s="82"/>
      <c r="E11512" s="84"/>
      <c r="F11512" s="84"/>
      <c r="G11512" s="84"/>
      <c r="I11512" s="237"/>
      <c r="J11512" s="238"/>
    </row>
    <row r="11513">
      <c r="C11513" s="82"/>
      <c r="E11513" s="84"/>
      <c r="F11513" s="84"/>
      <c r="G11513" s="84"/>
      <c r="I11513" s="237"/>
      <c r="J11513" s="238"/>
    </row>
    <row r="11514">
      <c r="C11514" s="82"/>
      <c r="E11514" s="84"/>
      <c r="F11514" s="84"/>
      <c r="G11514" s="84"/>
      <c r="I11514" s="237"/>
      <c r="J11514" s="238"/>
    </row>
    <row r="11515">
      <c r="C11515" s="82"/>
      <c r="E11515" s="84"/>
      <c r="F11515" s="84"/>
      <c r="G11515" s="84"/>
      <c r="I11515" s="237"/>
      <c r="J11515" s="238"/>
    </row>
    <row r="11516">
      <c r="C11516" s="82"/>
      <c r="E11516" s="84"/>
      <c r="F11516" s="84"/>
      <c r="G11516" s="84"/>
      <c r="I11516" s="237"/>
      <c r="J11516" s="238"/>
    </row>
    <row r="11517">
      <c r="C11517" s="82"/>
      <c r="E11517" s="84"/>
      <c r="F11517" s="84"/>
      <c r="G11517" s="84"/>
      <c r="I11517" s="237"/>
      <c r="J11517" s="238"/>
    </row>
    <row r="11518">
      <c r="C11518" s="82"/>
      <c r="E11518" s="84"/>
      <c r="F11518" s="84"/>
      <c r="G11518" s="84"/>
      <c r="I11518" s="237"/>
      <c r="J11518" s="238"/>
    </row>
    <row r="11519">
      <c r="C11519" s="82"/>
      <c r="E11519" s="84"/>
      <c r="F11519" s="84"/>
      <c r="G11519" s="84"/>
      <c r="I11519" s="237"/>
      <c r="J11519" s="238"/>
    </row>
    <row r="11520">
      <c r="C11520" s="82"/>
      <c r="E11520" s="84"/>
      <c r="F11520" s="84"/>
      <c r="G11520" s="84"/>
      <c r="I11520" s="237"/>
      <c r="J11520" s="238"/>
    </row>
    <row r="11521">
      <c r="C11521" s="82"/>
      <c r="E11521" s="84"/>
      <c r="F11521" s="84"/>
      <c r="G11521" s="84"/>
      <c r="I11521" s="237"/>
      <c r="J11521" s="238"/>
    </row>
    <row r="11522">
      <c r="C11522" s="82"/>
      <c r="E11522" s="84"/>
      <c r="F11522" s="84"/>
      <c r="G11522" s="84"/>
      <c r="I11522" s="237"/>
      <c r="J11522" s="238"/>
    </row>
    <row r="11523">
      <c r="C11523" s="82"/>
      <c r="E11523" s="84"/>
      <c r="F11523" s="84"/>
      <c r="G11523" s="84"/>
      <c r="I11523" s="237"/>
      <c r="J11523" s="238"/>
    </row>
    <row r="11524">
      <c r="C11524" s="82"/>
      <c r="E11524" s="84"/>
      <c r="F11524" s="84"/>
      <c r="G11524" s="84"/>
      <c r="I11524" s="237"/>
      <c r="J11524" s="238"/>
    </row>
    <row r="11525">
      <c r="C11525" s="82"/>
      <c r="E11525" s="84"/>
      <c r="F11525" s="84"/>
      <c r="G11525" s="84"/>
      <c r="I11525" s="237"/>
      <c r="J11525" s="238"/>
    </row>
    <row r="11526">
      <c r="C11526" s="82"/>
      <c r="E11526" s="84"/>
      <c r="F11526" s="84"/>
      <c r="G11526" s="84"/>
      <c r="I11526" s="237"/>
      <c r="J11526" s="238"/>
    </row>
    <row r="11527">
      <c r="C11527" s="82"/>
      <c r="E11527" s="84"/>
      <c r="F11527" s="84"/>
      <c r="G11527" s="84"/>
      <c r="I11527" s="237"/>
      <c r="J11527" s="238"/>
    </row>
    <row r="11528">
      <c r="C11528" s="82"/>
      <c r="E11528" s="84"/>
      <c r="F11528" s="84"/>
      <c r="G11528" s="84"/>
      <c r="I11528" s="237"/>
      <c r="J11528" s="238"/>
    </row>
    <row r="11529">
      <c r="C11529" s="82"/>
      <c r="E11529" s="84"/>
      <c r="F11529" s="84"/>
      <c r="G11529" s="84"/>
      <c r="I11529" s="237"/>
      <c r="J11529" s="238"/>
    </row>
    <row r="11530">
      <c r="C11530" s="82"/>
      <c r="E11530" s="84"/>
      <c r="F11530" s="84"/>
      <c r="G11530" s="84"/>
      <c r="I11530" s="237"/>
      <c r="J11530" s="238"/>
    </row>
    <row r="11531">
      <c r="C11531" s="82"/>
      <c r="E11531" s="84"/>
      <c r="F11531" s="84"/>
      <c r="G11531" s="84"/>
      <c r="I11531" s="237"/>
      <c r="J11531" s="238"/>
    </row>
    <row r="11532">
      <c r="C11532" s="82"/>
      <c r="E11532" s="84"/>
      <c r="F11532" s="84"/>
      <c r="G11532" s="84"/>
      <c r="I11532" s="237"/>
      <c r="J11532" s="238"/>
    </row>
    <row r="11533">
      <c r="C11533" s="82"/>
      <c r="E11533" s="84"/>
      <c r="F11533" s="84"/>
      <c r="G11533" s="84"/>
      <c r="I11533" s="237"/>
      <c r="J11533" s="238"/>
    </row>
    <row r="11534">
      <c r="C11534" s="82"/>
      <c r="E11534" s="84"/>
      <c r="F11534" s="84"/>
      <c r="G11534" s="84"/>
      <c r="I11534" s="237"/>
      <c r="J11534" s="238"/>
    </row>
    <row r="11535">
      <c r="C11535" s="82"/>
      <c r="E11535" s="84"/>
      <c r="F11535" s="84"/>
      <c r="G11535" s="84"/>
      <c r="I11535" s="237"/>
      <c r="J11535" s="238"/>
    </row>
    <row r="11536">
      <c r="C11536" s="82"/>
      <c r="E11536" s="84"/>
      <c r="F11536" s="84"/>
      <c r="G11536" s="84"/>
      <c r="I11536" s="237"/>
      <c r="J11536" s="238"/>
    </row>
    <row r="11537">
      <c r="C11537" s="82"/>
      <c r="E11537" s="84"/>
      <c r="F11537" s="84"/>
      <c r="G11537" s="84"/>
      <c r="I11537" s="237"/>
      <c r="J11537" s="238"/>
    </row>
    <row r="11538">
      <c r="C11538" s="82"/>
      <c r="E11538" s="84"/>
      <c r="F11538" s="84"/>
      <c r="G11538" s="84"/>
      <c r="I11538" s="237"/>
      <c r="J11538" s="238"/>
    </row>
    <row r="11539">
      <c r="C11539" s="82"/>
      <c r="E11539" s="84"/>
      <c r="F11539" s="84"/>
      <c r="G11539" s="84"/>
      <c r="I11539" s="237"/>
      <c r="J11539" s="238"/>
    </row>
    <row r="11540">
      <c r="C11540" s="82"/>
      <c r="E11540" s="84"/>
      <c r="F11540" s="84"/>
      <c r="G11540" s="84"/>
      <c r="I11540" s="237"/>
      <c r="J11540" s="238"/>
    </row>
    <row r="11541">
      <c r="C11541" s="82"/>
      <c r="E11541" s="84"/>
      <c r="F11541" s="84"/>
      <c r="G11541" s="84"/>
      <c r="I11541" s="237"/>
      <c r="J11541" s="238"/>
    </row>
    <row r="11542">
      <c r="C11542" s="82"/>
      <c r="E11542" s="84"/>
      <c r="F11542" s="84"/>
      <c r="G11542" s="84"/>
      <c r="I11542" s="237"/>
      <c r="J11542" s="238"/>
    </row>
    <row r="11543">
      <c r="C11543" s="82"/>
      <c r="E11543" s="84"/>
      <c r="F11543" s="84"/>
      <c r="G11543" s="84"/>
      <c r="I11543" s="237"/>
      <c r="J11543" s="238"/>
    </row>
    <row r="11544">
      <c r="C11544" s="82"/>
      <c r="E11544" s="84"/>
      <c r="F11544" s="84"/>
      <c r="G11544" s="84"/>
      <c r="I11544" s="237"/>
      <c r="J11544" s="238"/>
    </row>
    <row r="11545">
      <c r="C11545" s="82"/>
      <c r="E11545" s="84"/>
      <c r="F11545" s="84"/>
      <c r="G11545" s="84"/>
      <c r="I11545" s="237"/>
      <c r="J11545" s="238"/>
    </row>
    <row r="11546">
      <c r="C11546" s="82"/>
      <c r="E11546" s="84"/>
      <c r="F11546" s="84"/>
      <c r="G11546" s="84"/>
      <c r="I11546" s="237"/>
      <c r="J11546" s="238"/>
    </row>
    <row r="11547">
      <c r="C11547" s="82"/>
      <c r="E11547" s="84"/>
      <c r="F11547" s="84"/>
      <c r="G11547" s="84"/>
      <c r="I11547" s="237"/>
      <c r="J11547" s="238"/>
    </row>
    <row r="11548">
      <c r="C11548" s="82"/>
      <c r="E11548" s="84"/>
      <c r="F11548" s="84"/>
      <c r="G11548" s="84"/>
      <c r="I11548" s="237"/>
      <c r="J11548" s="238"/>
    </row>
    <row r="11549">
      <c r="C11549" s="82"/>
      <c r="E11549" s="84"/>
      <c r="F11549" s="84"/>
      <c r="G11549" s="84"/>
      <c r="I11549" s="237"/>
      <c r="J11549" s="238"/>
    </row>
    <row r="11550">
      <c r="C11550" s="82"/>
      <c r="E11550" s="84"/>
      <c r="F11550" s="84"/>
      <c r="G11550" s="84"/>
      <c r="I11550" s="237"/>
      <c r="J11550" s="238"/>
    </row>
    <row r="11551">
      <c r="C11551" s="82"/>
      <c r="E11551" s="84"/>
      <c r="F11551" s="84"/>
      <c r="G11551" s="84"/>
      <c r="I11551" s="237"/>
      <c r="J11551" s="238"/>
    </row>
    <row r="11552">
      <c r="C11552" s="82"/>
      <c r="E11552" s="84"/>
      <c r="F11552" s="84"/>
      <c r="G11552" s="84"/>
      <c r="I11552" s="237"/>
      <c r="J11552" s="238"/>
    </row>
    <row r="11553">
      <c r="C11553" s="82"/>
      <c r="E11553" s="84"/>
      <c r="F11553" s="84"/>
      <c r="G11553" s="84"/>
      <c r="I11553" s="237"/>
      <c r="J11553" s="238"/>
    </row>
    <row r="11554">
      <c r="C11554" s="82"/>
      <c r="E11554" s="84"/>
      <c r="F11554" s="84"/>
      <c r="G11554" s="84"/>
      <c r="I11554" s="237"/>
      <c r="J11554" s="238"/>
    </row>
    <row r="11555">
      <c r="C11555" s="82"/>
      <c r="E11555" s="84"/>
      <c r="F11555" s="84"/>
      <c r="G11555" s="84"/>
      <c r="I11555" s="237"/>
      <c r="J11555" s="238"/>
    </row>
    <row r="11556">
      <c r="C11556" s="82"/>
      <c r="E11556" s="84"/>
      <c r="F11556" s="84"/>
      <c r="G11556" s="84"/>
      <c r="I11556" s="237"/>
      <c r="J11556" s="238"/>
    </row>
    <row r="11557">
      <c r="C11557" s="82"/>
      <c r="E11557" s="84"/>
      <c r="F11557" s="84"/>
      <c r="G11557" s="84"/>
      <c r="I11557" s="237"/>
      <c r="J11557" s="238"/>
    </row>
    <row r="11558">
      <c r="C11558" s="82"/>
      <c r="E11558" s="84"/>
      <c r="F11558" s="84"/>
      <c r="G11558" s="84"/>
      <c r="I11558" s="237"/>
      <c r="J11558" s="238"/>
    </row>
    <row r="11559">
      <c r="C11559" s="82"/>
      <c r="E11559" s="84"/>
      <c r="F11559" s="84"/>
      <c r="G11559" s="84"/>
      <c r="I11559" s="237"/>
      <c r="J11559" s="238"/>
    </row>
    <row r="11560">
      <c r="C11560" s="82"/>
      <c r="E11560" s="84"/>
      <c r="F11560" s="84"/>
      <c r="G11560" s="84"/>
      <c r="I11560" s="237"/>
      <c r="J11560" s="238"/>
    </row>
    <row r="11561">
      <c r="C11561" s="82"/>
      <c r="E11561" s="84"/>
      <c r="F11561" s="84"/>
      <c r="G11561" s="84"/>
      <c r="I11561" s="237"/>
      <c r="J11561" s="238"/>
    </row>
    <row r="11562">
      <c r="C11562" s="82"/>
      <c r="E11562" s="84"/>
      <c r="F11562" s="84"/>
      <c r="G11562" s="84"/>
      <c r="I11562" s="237"/>
      <c r="J11562" s="238"/>
    </row>
    <row r="11563">
      <c r="C11563" s="82"/>
      <c r="E11563" s="84"/>
      <c r="F11563" s="84"/>
      <c r="G11563" s="84"/>
      <c r="I11563" s="237"/>
      <c r="J11563" s="238"/>
    </row>
    <row r="11564">
      <c r="C11564" s="82"/>
      <c r="E11564" s="84"/>
      <c r="F11564" s="84"/>
      <c r="G11564" s="84"/>
      <c r="I11564" s="237"/>
      <c r="J11564" s="238"/>
    </row>
    <row r="11565">
      <c r="C11565" s="82"/>
      <c r="E11565" s="84"/>
      <c r="F11565" s="84"/>
      <c r="G11565" s="84"/>
      <c r="I11565" s="237"/>
      <c r="J11565" s="238"/>
    </row>
    <row r="11566">
      <c r="C11566" s="82"/>
      <c r="E11566" s="84"/>
      <c r="F11566" s="84"/>
      <c r="G11566" s="84"/>
      <c r="I11566" s="237"/>
      <c r="J11566" s="238"/>
    </row>
    <row r="11567">
      <c r="C11567" s="82"/>
      <c r="E11567" s="84"/>
      <c r="F11567" s="84"/>
      <c r="G11567" s="84"/>
      <c r="I11567" s="237"/>
      <c r="J11567" s="238"/>
    </row>
    <row r="11568">
      <c r="C11568" s="82"/>
      <c r="E11568" s="84"/>
      <c r="F11568" s="84"/>
      <c r="G11568" s="84"/>
      <c r="I11568" s="237"/>
      <c r="J11568" s="238"/>
    </row>
    <row r="11569">
      <c r="C11569" s="82"/>
      <c r="E11569" s="84"/>
      <c r="F11569" s="84"/>
      <c r="G11569" s="84"/>
      <c r="I11569" s="237"/>
      <c r="J11569" s="238"/>
    </row>
    <row r="11570">
      <c r="C11570" s="82"/>
      <c r="E11570" s="84"/>
      <c r="F11570" s="84"/>
      <c r="G11570" s="84"/>
      <c r="I11570" s="237"/>
      <c r="J11570" s="238"/>
    </row>
    <row r="11571">
      <c r="C11571" s="82"/>
      <c r="E11571" s="84"/>
      <c r="F11571" s="84"/>
      <c r="G11571" s="84"/>
      <c r="I11571" s="237"/>
      <c r="J11571" s="238"/>
    </row>
    <row r="11572">
      <c r="C11572" s="82"/>
      <c r="E11572" s="84"/>
      <c r="F11572" s="84"/>
      <c r="G11572" s="84"/>
      <c r="I11572" s="237"/>
      <c r="J11572" s="238"/>
    </row>
    <row r="11573">
      <c r="C11573" s="82"/>
      <c r="E11573" s="84"/>
      <c r="F11573" s="84"/>
      <c r="G11573" s="84"/>
      <c r="I11573" s="237"/>
      <c r="J11573" s="238"/>
    </row>
    <row r="11574">
      <c r="C11574" s="82"/>
      <c r="E11574" s="84"/>
      <c r="F11574" s="84"/>
      <c r="G11574" s="84"/>
      <c r="I11574" s="237"/>
      <c r="J11574" s="238"/>
    </row>
    <row r="11575">
      <c r="C11575" s="82"/>
      <c r="E11575" s="84"/>
      <c r="F11575" s="84"/>
      <c r="G11575" s="84"/>
      <c r="I11575" s="237"/>
      <c r="J11575" s="238"/>
    </row>
    <row r="11576">
      <c r="C11576" s="82"/>
      <c r="E11576" s="84"/>
      <c r="F11576" s="84"/>
      <c r="G11576" s="84"/>
      <c r="I11576" s="237"/>
      <c r="J11576" s="238"/>
    </row>
    <row r="11577">
      <c r="C11577" s="82"/>
      <c r="E11577" s="84"/>
      <c r="F11577" s="84"/>
      <c r="G11577" s="84"/>
      <c r="I11577" s="237"/>
      <c r="J11577" s="238"/>
    </row>
    <row r="11578">
      <c r="C11578" s="82"/>
      <c r="E11578" s="84"/>
      <c r="F11578" s="84"/>
      <c r="G11578" s="84"/>
      <c r="I11578" s="237"/>
      <c r="J11578" s="238"/>
    </row>
    <row r="11579">
      <c r="C11579" s="82"/>
      <c r="E11579" s="84"/>
      <c r="F11579" s="84"/>
      <c r="G11579" s="84"/>
      <c r="I11579" s="237"/>
      <c r="J11579" s="238"/>
    </row>
    <row r="11580">
      <c r="C11580" s="82"/>
      <c r="E11580" s="84"/>
      <c r="F11580" s="84"/>
      <c r="G11580" s="84"/>
      <c r="I11580" s="237"/>
      <c r="J11580" s="238"/>
    </row>
    <row r="11581">
      <c r="C11581" s="82"/>
      <c r="E11581" s="84"/>
      <c r="F11581" s="84"/>
      <c r="G11581" s="84"/>
      <c r="I11581" s="237"/>
      <c r="J11581" s="238"/>
    </row>
    <row r="11582">
      <c r="C11582" s="82"/>
      <c r="E11582" s="84"/>
      <c r="F11582" s="84"/>
      <c r="G11582" s="84"/>
      <c r="I11582" s="237"/>
      <c r="J11582" s="238"/>
    </row>
    <row r="11583">
      <c r="C11583" s="82"/>
      <c r="E11583" s="84"/>
      <c r="F11583" s="84"/>
      <c r="G11583" s="84"/>
      <c r="I11583" s="237"/>
      <c r="J11583" s="238"/>
    </row>
    <row r="11584">
      <c r="C11584" s="82"/>
      <c r="E11584" s="84"/>
      <c r="F11584" s="84"/>
      <c r="G11584" s="84"/>
      <c r="I11584" s="237"/>
      <c r="J11584" s="238"/>
    </row>
    <row r="11585">
      <c r="C11585" s="82"/>
      <c r="E11585" s="84"/>
      <c r="F11585" s="84"/>
      <c r="G11585" s="84"/>
      <c r="I11585" s="237"/>
      <c r="J11585" s="238"/>
    </row>
    <row r="11586">
      <c r="C11586" s="82"/>
      <c r="E11586" s="84"/>
      <c r="F11586" s="84"/>
      <c r="G11586" s="84"/>
      <c r="I11586" s="237"/>
      <c r="J11586" s="238"/>
    </row>
    <row r="11587">
      <c r="C11587" s="82"/>
      <c r="E11587" s="84"/>
      <c r="F11587" s="84"/>
      <c r="G11587" s="84"/>
      <c r="I11587" s="237"/>
      <c r="J11587" s="238"/>
    </row>
    <row r="11588">
      <c r="C11588" s="82"/>
      <c r="E11588" s="84"/>
      <c r="F11588" s="84"/>
      <c r="G11588" s="84"/>
      <c r="I11588" s="237"/>
      <c r="J11588" s="238"/>
    </row>
    <row r="11589">
      <c r="C11589" s="82"/>
      <c r="E11589" s="84"/>
      <c r="F11589" s="84"/>
      <c r="G11589" s="84"/>
      <c r="I11589" s="237"/>
      <c r="J11589" s="238"/>
    </row>
    <row r="11590">
      <c r="C11590" s="82"/>
      <c r="E11590" s="84"/>
      <c r="F11590" s="84"/>
      <c r="G11590" s="84"/>
      <c r="I11590" s="237"/>
      <c r="J11590" s="238"/>
    </row>
    <row r="11591">
      <c r="C11591" s="82"/>
      <c r="E11591" s="84"/>
      <c r="F11591" s="84"/>
      <c r="G11591" s="84"/>
      <c r="I11591" s="237"/>
      <c r="J11591" s="238"/>
    </row>
    <row r="11592">
      <c r="C11592" s="82"/>
      <c r="E11592" s="84"/>
      <c r="F11592" s="84"/>
      <c r="G11592" s="84"/>
      <c r="I11592" s="237"/>
      <c r="J11592" s="238"/>
    </row>
    <row r="11593">
      <c r="C11593" s="82"/>
      <c r="E11593" s="84"/>
      <c r="F11593" s="84"/>
      <c r="G11593" s="84"/>
      <c r="I11593" s="237"/>
      <c r="J11593" s="238"/>
    </row>
    <row r="11594">
      <c r="C11594" s="82"/>
      <c r="E11594" s="84"/>
      <c r="F11594" s="84"/>
      <c r="G11594" s="84"/>
      <c r="I11594" s="237"/>
      <c r="J11594" s="238"/>
    </row>
    <row r="11595">
      <c r="C11595" s="82"/>
      <c r="E11595" s="84"/>
      <c r="F11595" s="84"/>
      <c r="G11595" s="84"/>
      <c r="I11595" s="237"/>
      <c r="J11595" s="238"/>
    </row>
    <row r="11596">
      <c r="C11596" s="82"/>
      <c r="E11596" s="84"/>
      <c r="F11596" s="84"/>
      <c r="G11596" s="84"/>
      <c r="I11596" s="237"/>
      <c r="J11596" s="238"/>
    </row>
    <row r="11597">
      <c r="C11597" s="82"/>
      <c r="E11597" s="84"/>
      <c r="F11597" s="84"/>
      <c r="G11597" s="84"/>
      <c r="I11597" s="237"/>
      <c r="J11597" s="238"/>
    </row>
    <row r="11598">
      <c r="C11598" s="82"/>
      <c r="E11598" s="84"/>
      <c r="F11598" s="84"/>
      <c r="G11598" s="84"/>
      <c r="I11598" s="237"/>
      <c r="J11598" s="238"/>
    </row>
    <row r="11599">
      <c r="C11599" s="82"/>
      <c r="E11599" s="84"/>
      <c r="F11599" s="84"/>
      <c r="G11599" s="84"/>
      <c r="I11599" s="237"/>
      <c r="J11599" s="238"/>
    </row>
    <row r="11600">
      <c r="C11600" s="82"/>
      <c r="E11600" s="84"/>
      <c r="F11600" s="84"/>
      <c r="G11600" s="84"/>
      <c r="I11600" s="237"/>
      <c r="J11600" s="238"/>
    </row>
    <row r="11601">
      <c r="C11601" s="82"/>
      <c r="E11601" s="84"/>
      <c r="F11601" s="84"/>
      <c r="G11601" s="84"/>
      <c r="I11601" s="237"/>
      <c r="J11601" s="238"/>
    </row>
    <row r="11602">
      <c r="C11602" s="82"/>
      <c r="E11602" s="84"/>
      <c r="F11602" s="84"/>
      <c r="G11602" s="84"/>
      <c r="I11602" s="237"/>
      <c r="J11602" s="238"/>
    </row>
    <row r="11603">
      <c r="C11603" s="82"/>
      <c r="E11603" s="84"/>
      <c r="F11603" s="84"/>
      <c r="G11603" s="84"/>
      <c r="I11603" s="237"/>
      <c r="J11603" s="238"/>
    </row>
    <row r="11604">
      <c r="C11604" s="82"/>
      <c r="E11604" s="84"/>
      <c r="F11604" s="84"/>
      <c r="G11604" s="84"/>
      <c r="I11604" s="237"/>
      <c r="J11604" s="238"/>
    </row>
    <row r="11605">
      <c r="C11605" s="82"/>
      <c r="E11605" s="84"/>
      <c r="F11605" s="84"/>
      <c r="G11605" s="84"/>
      <c r="I11605" s="237"/>
      <c r="J11605" s="238"/>
    </row>
    <row r="11606">
      <c r="C11606" s="82"/>
      <c r="E11606" s="84"/>
      <c r="F11606" s="84"/>
      <c r="G11606" s="84"/>
      <c r="I11606" s="237"/>
      <c r="J11606" s="238"/>
    </row>
    <row r="11607">
      <c r="C11607" s="82"/>
      <c r="E11607" s="84"/>
      <c r="F11607" s="84"/>
      <c r="G11607" s="84"/>
      <c r="I11607" s="237"/>
      <c r="J11607" s="238"/>
    </row>
    <row r="11608">
      <c r="C11608" s="82"/>
      <c r="E11608" s="84"/>
      <c r="F11608" s="84"/>
      <c r="G11608" s="84"/>
      <c r="I11608" s="237"/>
      <c r="J11608" s="238"/>
    </row>
    <row r="11609">
      <c r="C11609" s="82"/>
      <c r="E11609" s="84"/>
      <c r="F11609" s="84"/>
      <c r="G11609" s="84"/>
      <c r="I11609" s="237"/>
      <c r="J11609" s="238"/>
    </row>
    <row r="11610">
      <c r="C11610" s="82"/>
      <c r="E11610" s="84"/>
      <c r="F11610" s="84"/>
      <c r="G11610" s="84"/>
      <c r="I11610" s="237"/>
      <c r="J11610" s="238"/>
    </row>
    <row r="11611">
      <c r="C11611" s="82"/>
      <c r="E11611" s="84"/>
      <c r="F11611" s="84"/>
      <c r="G11611" s="84"/>
      <c r="I11611" s="237"/>
      <c r="J11611" s="238"/>
    </row>
    <row r="11612">
      <c r="C11612" s="82"/>
      <c r="E11612" s="84"/>
      <c r="F11612" s="84"/>
      <c r="G11612" s="84"/>
      <c r="I11612" s="237"/>
      <c r="J11612" s="238"/>
    </row>
    <row r="11613">
      <c r="C11613" s="82"/>
      <c r="E11613" s="84"/>
      <c r="F11613" s="84"/>
      <c r="G11613" s="84"/>
      <c r="I11613" s="237"/>
      <c r="J11613" s="238"/>
    </row>
    <row r="11614">
      <c r="C11614" s="82"/>
      <c r="E11614" s="84"/>
      <c r="F11614" s="84"/>
      <c r="G11614" s="84"/>
      <c r="I11614" s="237"/>
      <c r="J11614" s="238"/>
    </row>
    <row r="11615">
      <c r="C11615" s="82"/>
      <c r="E11615" s="84"/>
      <c r="F11615" s="84"/>
      <c r="G11615" s="84"/>
      <c r="I11615" s="237"/>
      <c r="J11615" s="238"/>
    </row>
    <row r="11616">
      <c r="C11616" s="82"/>
      <c r="E11616" s="84"/>
      <c r="F11616" s="84"/>
      <c r="G11616" s="84"/>
      <c r="I11616" s="237"/>
      <c r="J11616" s="238"/>
    </row>
    <row r="11617">
      <c r="C11617" s="82"/>
      <c r="E11617" s="84"/>
      <c r="F11617" s="84"/>
      <c r="G11617" s="84"/>
      <c r="I11617" s="237"/>
      <c r="J11617" s="238"/>
    </row>
    <row r="11618">
      <c r="C11618" s="82"/>
      <c r="E11618" s="84"/>
      <c r="F11618" s="84"/>
      <c r="G11618" s="84"/>
      <c r="I11618" s="237"/>
      <c r="J11618" s="238"/>
    </row>
    <row r="11619">
      <c r="C11619" s="82"/>
      <c r="E11619" s="84"/>
      <c r="F11619" s="84"/>
      <c r="G11619" s="84"/>
      <c r="I11619" s="237"/>
      <c r="J11619" s="238"/>
    </row>
    <row r="11620">
      <c r="C11620" s="82"/>
      <c r="E11620" s="84"/>
      <c r="F11620" s="84"/>
      <c r="G11620" s="84"/>
      <c r="I11620" s="237"/>
      <c r="J11620" s="238"/>
    </row>
    <row r="11621">
      <c r="C11621" s="82"/>
      <c r="E11621" s="84"/>
      <c r="F11621" s="84"/>
      <c r="G11621" s="84"/>
      <c r="I11621" s="237"/>
      <c r="J11621" s="238"/>
    </row>
    <row r="11622">
      <c r="C11622" s="82"/>
      <c r="E11622" s="84"/>
      <c r="F11622" s="84"/>
      <c r="G11622" s="84"/>
      <c r="I11622" s="237"/>
      <c r="J11622" s="238"/>
    </row>
    <row r="11623">
      <c r="C11623" s="82"/>
      <c r="E11623" s="84"/>
      <c r="F11623" s="84"/>
      <c r="G11623" s="84"/>
      <c r="I11623" s="237"/>
      <c r="J11623" s="238"/>
    </row>
    <row r="11624">
      <c r="C11624" s="82"/>
      <c r="E11624" s="84"/>
      <c r="F11624" s="84"/>
      <c r="G11624" s="84"/>
      <c r="I11624" s="237"/>
      <c r="J11624" s="238"/>
    </row>
    <row r="11625">
      <c r="C11625" s="82"/>
      <c r="E11625" s="84"/>
      <c r="F11625" s="84"/>
      <c r="G11625" s="84"/>
      <c r="I11625" s="237"/>
      <c r="J11625" s="238"/>
    </row>
    <row r="11626">
      <c r="C11626" s="82"/>
      <c r="E11626" s="84"/>
      <c r="F11626" s="84"/>
      <c r="G11626" s="84"/>
      <c r="I11626" s="237"/>
      <c r="J11626" s="238"/>
    </row>
    <row r="11627">
      <c r="C11627" s="82"/>
      <c r="E11627" s="84"/>
      <c r="F11627" s="84"/>
      <c r="G11627" s="84"/>
      <c r="I11627" s="237"/>
      <c r="J11627" s="238"/>
    </row>
    <row r="11628">
      <c r="C11628" s="82"/>
      <c r="E11628" s="84"/>
      <c r="F11628" s="84"/>
      <c r="G11628" s="84"/>
      <c r="I11628" s="237"/>
      <c r="J11628" s="238"/>
    </row>
    <row r="11629">
      <c r="C11629" s="82"/>
      <c r="E11629" s="84"/>
      <c r="F11629" s="84"/>
      <c r="G11629" s="84"/>
      <c r="I11629" s="237"/>
      <c r="J11629" s="238"/>
    </row>
    <row r="11630">
      <c r="C11630" s="82"/>
      <c r="E11630" s="84"/>
      <c r="F11630" s="84"/>
      <c r="G11630" s="84"/>
      <c r="I11630" s="237"/>
      <c r="J11630" s="238"/>
    </row>
    <row r="11631">
      <c r="C11631" s="82"/>
      <c r="E11631" s="84"/>
      <c r="F11631" s="84"/>
      <c r="G11631" s="84"/>
      <c r="I11631" s="237"/>
      <c r="J11631" s="238"/>
    </row>
    <row r="11632">
      <c r="C11632" s="82"/>
      <c r="E11632" s="84"/>
      <c r="F11632" s="84"/>
      <c r="G11632" s="84"/>
      <c r="I11632" s="237"/>
      <c r="J11632" s="238"/>
    </row>
    <row r="11633">
      <c r="C11633" s="82"/>
      <c r="E11633" s="84"/>
      <c r="F11633" s="84"/>
      <c r="G11633" s="84"/>
      <c r="I11633" s="237"/>
      <c r="J11633" s="238"/>
    </row>
    <row r="11634">
      <c r="C11634" s="82"/>
      <c r="E11634" s="84"/>
      <c r="F11634" s="84"/>
      <c r="G11634" s="84"/>
      <c r="I11634" s="237"/>
      <c r="J11634" s="238"/>
    </row>
    <row r="11635">
      <c r="C11635" s="82"/>
      <c r="E11635" s="84"/>
      <c r="F11635" s="84"/>
      <c r="G11635" s="84"/>
      <c r="I11635" s="237"/>
      <c r="J11635" s="238"/>
    </row>
    <row r="11636">
      <c r="C11636" s="82"/>
      <c r="E11636" s="84"/>
      <c r="F11636" s="84"/>
      <c r="G11636" s="84"/>
      <c r="I11636" s="237"/>
      <c r="J11636" s="238"/>
    </row>
    <row r="11637">
      <c r="C11637" s="82"/>
      <c r="E11637" s="84"/>
      <c r="F11637" s="84"/>
      <c r="G11637" s="84"/>
      <c r="I11637" s="237"/>
      <c r="J11637" s="238"/>
    </row>
    <row r="11638">
      <c r="C11638" s="82"/>
      <c r="E11638" s="84"/>
      <c r="F11638" s="84"/>
      <c r="G11638" s="84"/>
      <c r="I11638" s="237"/>
      <c r="J11638" s="238"/>
    </row>
    <row r="11639">
      <c r="C11639" s="82"/>
      <c r="E11639" s="84"/>
      <c r="F11639" s="84"/>
      <c r="G11639" s="84"/>
      <c r="I11639" s="237"/>
      <c r="J11639" s="238"/>
    </row>
    <row r="11640">
      <c r="C11640" s="82"/>
      <c r="E11640" s="84"/>
      <c r="F11640" s="84"/>
      <c r="G11640" s="84"/>
      <c r="I11640" s="237"/>
      <c r="J11640" s="238"/>
    </row>
    <row r="11641">
      <c r="C11641" s="82"/>
      <c r="E11641" s="84"/>
      <c r="F11641" s="84"/>
      <c r="G11641" s="84"/>
      <c r="I11641" s="237"/>
      <c r="J11641" s="238"/>
    </row>
    <row r="11642">
      <c r="C11642" s="82"/>
      <c r="E11642" s="84"/>
      <c r="F11642" s="84"/>
      <c r="G11642" s="84"/>
      <c r="I11642" s="237"/>
      <c r="J11642" s="238"/>
    </row>
    <row r="11643">
      <c r="C11643" s="82"/>
      <c r="E11643" s="84"/>
      <c r="F11643" s="84"/>
      <c r="G11643" s="84"/>
      <c r="I11643" s="237"/>
      <c r="J11643" s="238"/>
    </row>
    <row r="11644">
      <c r="C11644" s="82"/>
      <c r="E11644" s="84"/>
      <c r="F11644" s="84"/>
      <c r="G11644" s="84"/>
      <c r="I11644" s="237"/>
      <c r="J11644" s="238"/>
    </row>
    <row r="11645">
      <c r="C11645" s="82"/>
      <c r="E11645" s="84"/>
      <c r="F11645" s="84"/>
      <c r="G11645" s="84"/>
      <c r="I11645" s="237"/>
      <c r="J11645" s="238"/>
    </row>
    <row r="11646">
      <c r="C11646" s="82"/>
      <c r="E11646" s="84"/>
      <c r="F11646" s="84"/>
      <c r="G11646" s="84"/>
      <c r="I11646" s="237"/>
      <c r="J11646" s="238"/>
    </row>
    <row r="11647">
      <c r="C11647" s="82"/>
      <c r="E11647" s="84"/>
      <c r="F11647" s="84"/>
      <c r="G11647" s="84"/>
      <c r="I11647" s="237"/>
      <c r="J11647" s="238"/>
    </row>
    <row r="11648">
      <c r="C11648" s="82"/>
      <c r="E11648" s="84"/>
      <c r="F11648" s="84"/>
      <c r="G11648" s="84"/>
      <c r="I11648" s="237"/>
      <c r="J11648" s="238"/>
    </row>
    <row r="11649">
      <c r="C11649" s="82"/>
      <c r="E11649" s="84"/>
      <c r="F11649" s="84"/>
      <c r="G11649" s="84"/>
      <c r="I11649" s="237"/>
      <c r="J11649" s="238"/>
    </row>
    <row r="11650">
      <c r="C11650" s="82"/>
      <c r="E11650" s="84"/>
      <c r="F11650" s="84"/>
      <c r="G11650" s="84"/>
      <c r="I11650" s="237"/>
      <c r="J11650" s="238"/>
    </row>
    <row r="11651">
      <c r="C11651" s="82"/>
      <c r="E11651" s="84"/>
      <c r="F11651" s="84"/>
      <c r="G11651" s="84"/>
      <c r="I11651" s="237"/>
      <c r="J11651" s="238"/>
    </row>
    <row r="11652">
      <c r="C11652" s="82"/>
      <c r="E11652" s="84"/>
      <c r="F11652" s="84"/>
      <c r="G11652" s="84"/>
      <c r="I11652" s="237"/>
      <c r="J11652" s="238"/>
    </row>
    <row r="11653">
      <c r="C11653" s="82"/>
      <c r="E11653" s="84"/>
      <c r="F11653" s="84"/>
      <c r="G11653" s="84"/>
      <c r="I11653" s="237"/>
      <c r="J11653" s="238"/>
    </row>
    <row r="11654">
      <c r="C11654" s="82"/>
      <c r="E11654" s="84"/>
      <c r="F11654" s="84"/>
      <c r="G11654" s="84"/>
      <c r="I11654" s="237"/>
      <c r="J11654" s="238"/>
    </row>
    <row r="11655">
      <c r="C11655" s="82"/>
      <c r="E11655" s="84"/>
      <c r="F11655" s="84"/>
      <c r="G11655" s="84"/>
      <c r="I11655" s="237"/>
      <c r="J11655" s="238"/>
    </row>
    <row r="11656">
      <c r="C11656" s="82"/>
      <c r="E11656" s="84"/>
      <c r="F11656" s="84"/>
      <c r="G11656" s="84"/>
      <c r="I11656" s="237"/>
      <c r="J11656" s="238"/>
    </row>
    <row r="11657">
      <c r="C11657" s="82"/>
      <c r="E11657" s="84"/>
      <c r="F11657" s="84"/>
      <c r="G11657" s="84"/>
      <c r="I11657" s="237"/>
      <c r="J11657" s="238"/>
    </row>
    <row r="11658">
      <c r="C11658" s="82"/>
      <c r="E11658" s="84"/>
      <c r="F11658" s="84"/>
      <c r="G11658" s="84"/>
      <c r="I11658" s="237"/>
      <c r="J11658" s="238"/>
    </row>
    <row r="11659">
      <c r="C11659" s="82"/>
      <c r="E11659" s="84"/>
      <c r="F11659" s="84"/>
      <c r="G11659" s="84"/>
      <c r="I11659" s="237"/>
      <c r="J11659" s="238"/>
    </row>
    <row r="11660">
      <c r="C11660" s="82"/>
      <c r="E11660" s="84"/>
      <c r="F11660" s="84"/>
      <c r="G11660" s="84"/>
      <c r="I11660" s="237"/>
      <c r="J11660" s="238"/>
    </row>
    <row r="11661">
      <c r="C11661" s="82"/>
      <c r="E11661" s="84"/>
      <c r="F11661" s="84"/>
      <c r="G11661" s="84"/>
      <c r="I11661" s="237"/>
      <c r="J11661" s="238"/>
    </row>
    <row r="11662">
      <c r="C11662" s="82"/>
      <c r="E11662" s="84"/>
      <c r="F11662" s="84"/>
      <c r="G11662" s="84"/>
      <c r="I11662" s="237"/>
      <c r="J11662" s="238"/>
    </row>
    <row r="11663">
      <c r="C11663" s="82"/>
      <c r="E11663" s="84"/>
      <c r="F11663" s="84"/>
      <c r="G11663" s="84"/>
      <c r="I11663" s="237"/>
      <c r="J11663" s="238"/>
    </row>
    <row r="11664">
      <c r="C11664" s="82"/>
      <c r="E11664" s="84"/>
      <c r="F11664" s="84"/>
      <c r="G11664" s="84"/>
      <c r="I11664" s="237"/>
      <c r="J11664" s="238"/>
    </row>
    <row r="11665">
      <c r="C11665" s="82"/>
      <c r="E11665" s="84"/>
      <c r="F11665" s="84"/>
      <c r="G11665" s="84"/>
      <c r="I11665" s="237"/>
      <c r="J11665" s="238"/>
    </row>
    <row r="11666">
      <c r="C11666" s="82"/>
      <c r="E11666" s="84"/>
      <c r="F11666" s="84"/>
      <c r="G11666" s="84"/>
      <c r="I11666" s="237"/>
      <c r="J11666" s="238"/>
    </row>
    <row r="11667">
      <c r="C11667" s="82"/>
      <c r="E11667" s="84"/>
      <c r="F11667" s="84"/>
      <c r="G11667" s="84"/>
      <c r="I11667" s="237"/>
      <c r="J11667" s="238"/>
    </row>
    <row r="11668">
      <c r="C11668" s="82"/>
      <c r="E11668" s="84"/>
      <c r="F11668" s="84"/>
      <c r="G11668" s="84"/>
      <c r="I11668" s="237"/>
      <c r="J11668" s="238"/>
    </row>
    <row r="11669">
      <c r="C11669" s="82"/>
      <c r="E11669" s="84"/>
      <c r="F11669" s="84"/>
      <c r="G11669" s="84"/>
      <c r="I11669" s="237"/>
      <c r="J11669" s="238"/>
    </row>
    <row r="11670">
      <c r="C11670" s="82"/>
      <c r="E11670" s="84"/>
      <c r="F11670" s="84"/>
      <c r="G11670" s="84"/>
      <c r="I11670" s="237"/>
      <c r="J11670" s="238"/>
    </row>
    <row r="11671">
      <c r="C11671" s="82"/>
      <c r="E11671" s="84"/>
      <c r="F11671" s="84"/>
      <c r="G11671" s="84"/>
      <c r="I11671" s="237"/>
      <c r="J11671" s="238"/>
    </row>
    <row r="11672">
      <c r="C11672" s="82"/>
      <c r="E11672" s="84"/>
      <c r="F11672" s="84"/>
      <c r="G11672" s="84"/>
      <c r="I11672" s="237"/>
      <c r="J11672" s="238"/>
    </row>
    <row r="11673">
      <c r="C11673" s="82"/>
      <c r="E11673" s="84"/>
      <c r="F11673" s="84"/>
      <c r="G11673" s="84"/>
      <c r="I11673" s="237"/>
      <c r="J11673" s="238"/>
    </row>
    <row r="11674">
      <c r="C11674" s="82"/>
      <c r="E11674" s="84"/>
      <c r="F11674" s="84"/>
      <c r="G11674" s="84"/>
      <c r="I11674" s="237"/>
      <c r="J11674" s="238"/>
    </row>
    <row r="11675">
      <c r="C11675" s="82"/>
      <c r="E11675" s="84"/>
      <c r="F11675" s="84"/>
      <c r="G11675" s="84"/>
      <c r="I11675" s="237"/>
      <c r="J11675" s="238"/>
    </row>
    <row r="11676">
      <c r="C11676" s="82"/>
      <c r="E11676" s="84"/>
      <c r="F11676" s="84"/>
      <c r="G11676" s="84"/>
      <c r="I11676" s="237"/>
      <c r="J11676" s="238"/>
    </row>
    <row r="11677">
      <c r="C11677" s="82"/>
      <c r="E11677" s="84"/>
      <c r="F11677" s="84"/>
      <c r="G11677" s="84"/>
      <c r="I11677" s="237"/>
      <c r="J11677" s="238"/>
    </row>
    <row r="11678">
      <c r="C11678" s="82"/>
      <c r="E11678" s="84"/>
      <c r="F11678" s="84"/>
      <c r="G11678" s="84"/>
      <c r="I11678" s="237"/>
      <c r="J11678" s="238"/>
    </row>
    <row r="11679">
      <c r="C11679" s="82"/>
      <c r="E11679" s="84"/>
      <c r="F11679" s="84"/>
      <c r="G11679" s="84"/>
      <c r="I11679" s="237"/>
      <c r="J11679" s="238"/>
    </row>
    <row r="11680">
      <c r="C11680" s="82"/>
      <c r="E11680" s="84"/>
      <c r="F11680" s="84"/>
      <c r="G11680" s="84"/>
      <c r="I11680" s="237"/>
      <c r="J11680" s="238"/>
    </row>
    <row r="11681">
      <c r="C11681" s="82"/>
      <c r="E11681" s="84"/>
      <c r="F11681" s="84"/>
      <c r="G11681" s="84"/>
      <c r="I11681" s="237"/>
      <c r="J11681" s="238"/>
    </row>
    <row r="11682">
      <c r="C11682" s="82"/>
      <c r="E11682" s="84"/>
      <c r="F11682" s="84"/>
      <c r="G11682" s="84"/>
      <c r="I11682" s="237"/>
      <c r="J11682" s="238"/>
    </row>
    <row r="11683">
      <c r="C11683" s="82"/>
      <c r="E11683" s="84"/>
      <c r="F11683" s="84"/>
      <c r="G11683" s="84"/>
      <c r="I11683" s="237"/>
      <c r="J11683" s="238"/>
    </row>
    <row r="11684">
      <c r="C11684" s="82"/>
      <c r="E11684" s="84"/>
      <c r="F11684" s="84"/>
      <c r="G11684" s="84"/>
      <c r="I11684" s="237"/>
      <c r="J11684" s="238"/>
    </row>
    <row r="11685">
      <c r="C11685" s="82"/>
      <c r="E11685" s="84"/>
      <c r="F11685" s="84"/>
      <c r="G11685" s="84"/>
      <c r="I11685" s="237"/>
      <c r="J11685" s="238"/>
    </row>
    <row r="11686">
      <c r="C11686" s="82"/>
      <c r="E11686" s="84"/>
      <c r="F11686" s="84"/>
      <c r="G11686" s="84"/>
      <c r="I11686" s="237"/>
      <c r="J11686" s="238"/>
    </row>
    <row r="11687">
      <c r="C11687" s="82"/>
      <c r="E11687" s="84"/>
      <c r="F11687" s="84"/>
      <c r="G11687" s="84"/>
      <c r="I11687" s="237"/>
      <c r="J11687" s="238"/>
    </row>
    <row r="11688">
      <c r="C11688" s="82"/>
      <c r="E11688" s="84"/>
      <c r="F11688" s="84"/>
      <c r="G11688" s="84"/>
      <c r="I11688" s="237"/>
      <c r="J11688" s="238"/>
    </row>
    <row r="11689">
      <c r="C11689" s="82"/>
      <c r="E11689" s="84"/>
      <c r="F11689" s="84"/>
      <c r="G11689" s="84"/>
      <c r="I11689" s="237"/>
      <c r="J11689" s="238"/>
    </row>
    <row r="11690">
      <c r="C11690" s="82"/>
      <c r="E11690" s="84"/>
      <c r="F11690" s="84"/>
      <c r="G11690" s="84"/>
      <c r="I11690" s="237"/>
      <c r="J11690" s="238"/>
    </row>
    <row r="11691">
      <c r="C11691" s="82"/>
      <c r="E11691" s="84"/>
      <c r="F11691" s="84"/>
      <c r="G11691" s="84"/>
      <c r="I11691" s="237"/>
      <c r="J11691" s="238"/>
    </row>
    <row r="11692">
      <c r="C11692" s="82"/>
      <c r="E11692" s="84"/>
      <c r="F11692" s="84"/>
      <c r="G11692" s="84"/>
      <c r="I11692" s="237"/>
      <c r="J11692" s="238"/>
    </row>
    <row r="11693">
      <c r="C11693" s="82"/>
      <c r="E11693" s="84"/>
      <c r="F11693" s="84"/>
      <c r="G11693" s="84"/>
      <c r="I11693" s="237"/>
      <c r="J11693" s="238"/>
    </row>
    <row r="11694">
      <c r="C11694" s="82"/>
      <c r="E11694" s="84"/>
      <c r="F11694" s="84"/>
      <c r="G11694" s="84"/>
      <c r="I11694" s="237"/>
      <c r="J11694" s="238"/>
    </row>
    <row r="11695">
      <c r="C11695" s="82"/>
      <c r="E11695" s="84"/>
      <c r="F11695" s="84"/>
      <c r="G11695" s="84"/>
      <c r="I11695" s="237"/>
      <c r="J11695" s="238"/>
    </row>
    <row r="11696">
      <c r="C11696" s="82"/>
      <c r="E11696" s="84"/>
      <c r="F11696" s="84"/>
      <c r="G11696" s="84"/>
      <c r="I11696" s="237"/>
      <c r="J11696" s="238"/>
    </row>
    <row r="11697">
      <c r="C11697" s="82"/>
      <c r="E11697" s="84"/>
      <c r="F11697" s="84"/>
      <c r="G11697" s="84"/>
      <c r="I11697" s="237"/>
      <c r="J11697" s="238"/>
    </row>
    <row r="11698">
      <c r="C11698" s="82"/>
      <c r="E11698" s="84"/>
      <c r="F11698" s="84"/>
      <c r="G11698" s="84"/>
      <c r="I11698" s="237"/>
      <c r="J11698" s="238"/>
    </row>
    <row r="11699">
      <c r="C11699" s="82"/>
      <c r="E11699" s="84"/>
      <c r="F11699" s="84"/>
      <c r="G11699" s="84"/>
      <c r="I11699" s="237"/>
      <c r="J11699" s="238"/>
    </row>
    <row r="11700">
      <c r="C11700" s="82"/>
      <c r="E11700" s="84"/>
      <c r="F11700" s="84"/>
      <c r="G11700" s="84"/>
      <c r="I11700" s="237"/>
      <c r="J11700" s="238"/>
    </row>
    <row r="11701">
      <c r="C11701" s="82"/>
      <c r="E11701" s="84"/>
      <c r="F11701" s="84"/>
      <c r="G11701" s="84"/>
      <c r="I11701" s="237"/>
      <c r="J11701" s="238"/>
    </row>
    <row r="11702">
      <c r="C11702" s="82"/>
      <c r="E11702" s="84"/>
      <c r="F11702" s="84"/>
      <c r="G11702" s="84"/>
      <c r="I11702" s="237"/>
      <c r="J11702" s="238"/>
    </row>
    <row r="11703">
      <c r="C11703" s="82"/>
      <c r="E11703" s="84"/>
      <c r="F11703" s="84"/>
      <c r="G11703" s="84"/>
      <c r="I11703" s="237"/>
      <c r="J11703" s="238"/>
    </row>
    <row r="11704">
      <c r="C11704" s="82"/>
      <c r="E11704" s="84"/>
      <c r="F11704" s="84"/>
      <c r="G11704" s="84"/>
      <c r="I11704" s="237"/>
      <c r="J11704" s="238"/>
    </row>
    <row r="11705">
      <c r="C11705" s="82"/>
      <c r="E11705" s="84"/>
      <c r="F11705" s="84"/>
      <c r="G11705" s="84"/>
      <c r="I11705" s="237"/>
      <c r="J11705" s="238"/>
    </row>
    <row r="11706">
      <c r="C11706" s="82"/>
      <c r="E11706" s="84"/>
      <c r="F11706" s="84"/>
      <c r="G11706" s="84"/>
      <c r="I11706" s="237"/>
      <c r="J11706" s="238"/>
    </row>
    <row r="11707">
      <c r="C11707" s="82"/>
      <c r="E11707" s="84"/>
      <c r="F11707" s="84"/>
      <c r="G11707" s="84"/>
      <c r="I11707" s="237"/>
      <c r="J11707" s="238"/>
    </row>
    <row r="11708">
      <c r="C11708" s="82"/>
      <c r="E11708" s="84"/>
      <c r="F11708" s="84"/>
      <c r="G11708" s="84"/>
      <c r="I11708" s="237"/>
      <c r="J11708" s="238"/>
    </row>
    <row r="11709">
      <c r="C11709" s="82"/>
      <c r="E11709" s="84"/>
      <c r="F11709" s="84"/>
      <c r="G11709" s="84"/>
      <c r="I11709" s="237"/>
      <c r="J11709" s="238"/>
    </row>
    <row r="11710">
      <c r="C11710" s="82"/>
      <c r="E11710" s="84"/>
      <c r="F11710" s="84"/>
      <c r="G11710" s="84"/>
      <c r="I11710" s="237"/>
      <c r="J11710" s="238"/>
    </row>
    <row r="11711">
      <c r="C11711" s="82"/>
      <c r="E11711" s="84"/>
      <c r="F11711" s="84"/>
      <c r="G11711" s="84"/>
      <c r="I11711" s="237"/>
      <c r="J11711" s="238"/>
    </row>
    <row r="11712">
      <c r="C11712" s="82"/>
      <c r="E11712" s="84"/>
      <c r="F11712" s="84"/>
      <c r="G11712" s="84"/>
      <c r="I11712" s="237"/>
      <c r="J11712" s="238"/>
    </row>
    <row r="11713">
      <c r="C11713" s="82"/>
      <c r="E11713" s="84"/>
      <c r="F11713" s="84"/>
      <c r="G11713" s="84"/>
      <c r="I11713" s="237"/>
      <c r="J11713" s="238"/>
    </row>
    <row r="11714">
      <c r="C11714" s="82"/>
      <c r="E11714" s="84"/>
      <c r="F11714" s="84"/>
      <c r="G11714" s="84"/>
      <c r="I11714" s="237"/>
      <c r="J11714" s="238"/>
    </row>
    <row r="11715">
      <c r="C11715" s="82"/>
      <c r="E11715" s="84"/>
      <c r="F11715" s="84"/>
      <c r="G11715" s="84"/>
      <c r="I11715" s="237"/>
      <c r="J11715" s="238"/>
    </row>
    <row r="11716">
      <c r="C11716" s="82"/>
      <c r="E11716" s="84"/>
      <c r="F11716" s="84"/>
      <c r="G11716" s="84"/>
      <c r="I11716" s="237"/>
      <c r="J11716" s="238"/>
    </row>
    <row r="11717">
      <c r="C11717" s="82"/>
      <c r="E11717" s="84"/>
      <c r="F11717" s="84"/>
      <c r="G11717" s="84"/>
      <c r="I11717" s="237"/>
      <c r="J11717" s="238"/>
    </row>
    <row r="11718">
      <c r="C11718" s="82"/>
      <c r="E11718" s="84"/>
      <c r="F11718" s="84"/>
      <c r="G11718" s="84"/>
      <c r="I11718" s="237"/>
      <c r="J11718" s="238"/>
    </row>
    <row r="11719">
      <c r="C11719" s="82"/>
      <c r="E11719" s="84"/>
      <c r="F11719" s="84"/>
      <c r="G11719" s="84"/>
      <c r="I11719" s="237"/>
      <c r="J11719" s="238"/>
    </row>
    <row r="11720">
      <c r="C11720" s="82"/>
      <c r="E11720" s="84"/>
      <c r="F11720" s="84"/>
      <c r="G11720" s="84"/>
      <c r="I11720" s="237"/>
      <c r="J11720" s="238"/>
    </row>
    <row r="11721">
      <c r="C11721" s="82"/>
      <c r="E11721" s="84"/>
      <c r="F11721" s="84"/>
      <c r="G11721" s="84"/>
      <c r="I11721" s="237"/>
      <c r="J11721" s="238"/>
    </row>
    <row r="11722">
      <c r="C11722" s="82"/>
      <c r="E11722" s="84"/>
      <c r="F11722" s="84"/>
      <c r="G11722" s="84"/>
      <c r="I11722" s="237"/>
      <c r="J11722" s="238"/>
    </row>
    <row r="11723">
      <c r="C11723" s="82"/>
      <c r="E11723" s="84"/>
      <c r="F11723" s="84"/>
      <c r="G11723" s="84"/>
      <c r="I11723" s="237"/>
      <c r="J11723" s="238"/>
    </row>
    <row r="11724">
      <c r="C11724" s="82"/>
      <c r="E11724" s="84"/>
      <c r="F11724" s="84"/>
      <c r="G11724" s="84"/>
      <c r="I11724" s="237"/>
      <c r="J11724" s="238"/>
    </row>
    <row r="11725">
      <c r="C11725" s="82"/>
      <c r="E11725" s="84"/>
      <c r="F11725" s="84"/>
      <c r="G11725" s="84"/>
      <c r="I11725" s="237"/>
      <c r="J11725" s="238"/>
    </row>
    <row r="11726">
      <c r="C11726" s="82"/>
      <c r="E11726" s="84"/>
      <c r="F11726" s="84"/>
      <c r="G11726" s="84"/>
      <c r="I11726" s="237"/>
      <c r="J11726" s="238"/>
    </row>
    <row r="11727">
      <c r="C11727" s="82"/>
      <c r="E11727" s="84"/>
      <c r="F11727" s="84"/>
      <c r="G11727" s="84"/>
      <c r="I11727" s="237"/>
      <c r="J11727" s="238"/>
    </row>
    <row r="11728">
      <c r="C11728" s="82"/>
      <c r="E11728" s="84"/>
      <c r="F11728" s="84"/>
      <c r="G11728" s="84"/>
      <c r="I11728" s="237"/>
      <c r="J11728" s="238"/>
    </row>
    <row r="11729">
      <c r="C11729" s="82"/>
      <c r="E11729" s="84"/>
      <c r="F11729" s="84"/>
      <c r="G11729" s="84"/>
      <c r="I11729" s="237"/>
      <c r="J11729" s="238"/>
    </row>
    <row r="11730">
      <c r="C11730" s="82"/>
      <c r="E11730" s="84"/>
      <c r="F11730" s="84"/>
      <c r="G11730" s="84"/>
      <c r="I11730" s="237"/>
      <c r="J11730" s="238"/>
    </row>
    <row r="11731">
      <c r="C11731" s="82"/>
      <c r="E11731" s="84"/>
      <c r="F11731" s="84"/>
      <c r="G11731" s="84"/>
      <c r="I11731" s="237"/>
      <c r="J11731" s="238"/>
    </row>
    <row r="11732">
      <c r="C11732" s="82"/>
      <c r="E11732" s="84"/>
      <c r="F11732" s="84"/>
      <c r="G11732" s="84"/>
      <c r="I11732" s="237"/>
      <c r="J11732" s="238"/>
    </row>
    <row r="11733">
      <c r="C11733" s="82"/>
      <c r="E11733" s="84"/>
      <c r="F11733" s="84"/>
      <c r="G11733" s="84"/>
      <c r="I11733" s="237"/>
      <c r="J11733" s="238"/>
    </row>
    <row r="11734">
      <c r="C11734" s="82"/>
      <c r="E11734" s="84"/>
      <c r="F11734" s="84"/>
      <c r="G11734" s="84"/>
      <c r="I11734" s="237"/>
      <c r="J11734" s="238"/>
    </row>
    <row r="11735">
      <c r="C11735" s="82"/>
      <c r="E11735" s="84"/>
      <c r="F11735" s="84"/>
      <c r="G11735" s="84"/>
      <c r="I11735" s="237"/>
      <c r="J11735" s="238"/>
    </row>
    <row r="11736">
      <c r="C11736" s="82"/>
      <c r="E11736" s="84"/>
      <c r="F11736" s="84"/>
      <c r="G11736" s="84"/>
      <c r="I11736" s="237"/>
      <c r="J11736" s="238"/>
    </row>
    <row r="11737">
      <c r="C11737" s="82"/>
      <c r="E11737" s="84"/>
      <c r="F11737" s="84"/>
      <c r="G11737" s="84"/>
      <c r="I11737" s="237"/>
      <c r="J11737" s="238"/>
    </row>
    <row r="11738">
      <c r="C11738" s="82"/>
      <c r="E11738" s="84"/>
      <c r="F11738" s="84"/>
      <c r="G11738" s="84"/>
      <c r="I11738" s="237"/>
      <c r="J11738" s="238"/>
    </row>
    <row r="11739">
      <c r="C11739" s="82"/>
      <c r="E11739" s="84"/>
      <c r="F11739" s="84"/>
      <c r="G11739" s="84"/>
      <c r="I11739" s="237"/>
      <c r="J11739" s="238"/>
    </row>
    <row r="11740">
      <c r="C11740" s="82"/>
      <c r="E11740" s="84"/>
      <c r="F11740" s="84"/>
      <c r="G11740" s="84"/>
      <c r="I11740" s="237"/>
      <c r="J11740" s="238"/>
    </row>
    <row r="11741">
      <c r="C11741" s="82"/>
      <c r="E11741" s="84"/>
      <c r="F11741" s="84"/>
      <c r="G11741" s="84"/>
      <c r="I11741" s="237"/>
      <c r="J11741" s="238"/>
    </row>
    <row r="11742">
      <c r="C11742" s="82"/>
      <c r="E11742" s="84"/>
      <c r="F11742" s="84"/>
      <c r="G11742" s="84"/>
      <c r="I11742" s="237"/>
      <c r="J11742" s="238"/>
    </row>
    <row r="11743">
      <c r="C11743" s="82"/>
      <c r="E11743" s="84"/>
      <c r="F11743" s="84"/>
      <c r="G11743" s="84"/>
      <c r="I11743" s="237"/>
      <c r="J11743" s="238"/>
    </row>
    <row r="11744">
      <c r="C11744" s="82"/>
      <c r="E11744" s="84"/>
      <c r="F11744" s="84"/>
      <c r="G11744" s="84"/>
      <c r="I11744" s="237"/>
      <c r="J11744" s="238"/>
    </row>
    <row r="11745">
      <c r="C11745" s="82"/>
      <c r="E11745" s="84"/>
      <c r="F11745" s="84"/>
      <c r="G11745" s="84"/>
      <c r="I11745" s="237"/>
      <c r="J11745" s="238"/>
    </row>
    <row r="11746">
      <c r="C11746" s="82"/>
      <c r="E11746" s="84"/>
      <c r="F11746" s="84"/>
      <c r="G11746" s="84"/>
      <c r="I11746" s="237"/>
      <c r="J11746" s="238"/>
    </row>
    <row r="11747">
      <c r="C11747" s="82"/>
      <c r="E11747" s="84"/>
      <c r="F11747" s="84"/>
      <c r="G11747" s="84"/>
      <c r="I11747" s="237"/>
      <c r="J11747" s="238"/>
    </row>
    <row r="11748">
      <c r="C11748" s="82"/>
      <c r="E11748" s="84"/>
      <c r="F11748" s="84"/>
      <c r="G11748" s="84"/>
      <c r="I11748" s="237"/>
      <c r="J11748" s="238"/>
    </row>
    <row r="11749">
      <c r="C11749" s="82"/>
      <c r="E11749" s="84"/>
      <c r="F11749" s="84"/>
      <c r="G11749" s="84"/>
      <c r="I11749" s="237"/>
      <c r="J11749" s="238"/>
    </row>
    <row r="11750">
      <c r="C11750" s="82"/>
      <c r="E11750" s="84"/>
      <c r="F11750" s="84"/>
      <c r="G11750" s="84"/>
      <c r="I11750" s="237"/>
      <c r="J11750" s="238"/>
    </row>
    <row r="11751">
      <c r="C11751" s="82"/>
      <c r="E11751" s="84"/>
      <c r="F11751" s="84"/>
      <c r="G11751" s="84"/>
      <c r="I11751" s="237"/>
      <c r="J11751" s="238"/>
    </row>
    <row r="11752">
      <c r="C11752" s="82"/>
      <c r="E11752" s="84"/>
      <c r="F11752" s="84"/>
      <c r="G11752" s="84"/>
      <c r="I11752" s="237"/>
      <c r="J11752" s="238"/>
    </row>
    <row r="11753">
      <c r="C11753" s="82"/>
      <c r="E11753" s="84"/>
      <c r="F11753" s="84"/>
      <c r="G11753" s="84"/>
      <c r="I11753" s="237"/>
      <c r="J11753" s="238"/>
    </row>
    <row r="11754">
      <c r="C11754" s="82"/>
      <c r="E11754" s="84"/>
      <c r="F11754" s="84"/>
      <c r="G11754" s="84"/>
      <c r="I11754" s="237"/>
      <c r="J11754" s="238"/>
    </row>
    <row r="11755">
      <c r="C11755" s="82"/>
      <c r="E11755" s="84"/>
      <c r="F11755" s="84"/>
      <c r="G11755" s="84"/>
      <c r="I11755" s="237"/>
      <c r="J11755" s="238"/>
    </row>
    <row r="11756">
      <c r="C11756" s="82"/>
      <c r="E11756" s="84"/>
      <c r="F11756" s="84"/>
      <c r="G11756" s="84"/>
      <c r="I11756" s="237"/>
      <c r="J11756" s="238"/>
    </row>
    <row r="11757">
      <c r="C11757" s="82"/>
      <c r="E11757" s="84"/>
      <c r="F11757" s="84"/>
      <c r="G11757" s="84"/>
      <c r="I11757" s="237"/>
      <c r="J11757" s="238"/>
    </row>
    <row r="11758">
      <c r="C11758" s="82"/>
      <c r="E11758" s="84"/>
      <c r="F11758" s="84"/>
      <c r="G11758" s="84"/>
      <c r="I11758" s="237"/>
      <c r="J11758" s="238"/>
    </row>
    <row r="11759">
      <c r="C11759" s="82"/>
      <c r="E11759" s="84"/>
      <c r="F11759" s="84"/>
      <c r="G11759" s="84"/>
      <c r="I11759" s="237"/>
      <c r="J11759" s="238"/>
    </row>
    <row r="11760">
      <c r="C11760" s="82"/>
      <c r="E11760" s="84"/>
      <c r="F11760" s="84"/>
      <c r="G11760" s="84"/>
      <c r="I11760" s="237"/>
      <c r="J11760" s="238"/>
    </row>
    <row r="11761">
      <c r="C11761" s="82"/>
      <c r="E11761" s="84"/>
      <c r="F11761" s="84"/>
      <c r="G11761" s="84"/>
      <c r="I11761" s="237"/>
      <c r="J11761" s="238"/>
    </row>
    <row r="11762">
      <c r="C11762" s="82"/>
      <c r="E11762" s="84"/>
      <c r="F11762" s="84"/>
      <c r="G11762" s="84"/>
      <c r="I11762" s="237"/>
      <c r="J11762" s="238"/>
    </row>
    <row r="11763">
      <c r="C11763" s="82"/>
      <c r="E11763" s="84"/>
      <c r="F11763" s="84"/>
      <c r="G11763" s="84"/>
      <c r="I11763" s="237"/>
      <c r="J11763" s="238"/>
    </row>
    <row r="11764">
      <c r="C11764" s="82"/>
      <c r="E11764" s="84"/>
      <c r="F11764" s="84"/>
      <c r="G11764" s="84"/>
      <c r="I11764" s="237"/>
      <c r="J11764" s="238"/>
    </row>
    <row r="11765">
      <c r="C11765" s="82"/>
      <c r="E11765" s="84"/>
      <c r="F11765" s="84"/>
      <c r="G11765" s="84"/>
      <c r="I11765" s="237"/>
      <c r="J11765" s="238"/>
    </row>
    <row r="11766">
      <c r="C11766" s="82"/>
      <c r="E11766" s="84"/>
      <c r="F11766" s="84"/>
      <c r="G11766" s="84"/>
      <c r="I11766" s="237"/>
      <c r="J11766" s="238"/>
    </row>
    <row r="11767">
      <c r="C11767" s="82"/>
      <c r="E11767" s="84"/>
      <c r="F11767" s="84"/>
      <c r="G11767" s="84"/>
      <c r="I11767" s="237"/>
      <c r="J11767" s="238"/>
    </row>
    <row r="11768">
      <c r="C11768" s="82"/>
      <c r="E11768" s="84"/>
      <c r="F11768" s="84"/>
      <c r="G11768" s="84"/>
      <c r="I11768" s="237"/>
      <c r="J11768" s="238"/>
    </row>
    <row r="11769">
      <c r="C11769" s="82"/>
      <c r="E11769" s="84"/>
      <c r="F11769" s="84"/>
      <c r="G11769" s="84"/>
      <c r="I11769" s="237"/>
      <c r="J11769" s="238"/>
    </row>
    <row r="11770">
      <c r="C11770" s="82"/>
      <c r="E11770" s="84"/>
      <c r="F11770" s="84"/>
      <c r="G11770" s="84"/>
      <c r="I11770" s="237"/>
      <c r="J11770" s="238"/>
    </row>
    <row r="11771">
      <c r="C11771" s="82"/>
      <c r="E11771" s="84"/>
      <c r="F11771" s="84"/>
      <c r="G11771" s="84"/>
      <c r="I11771" s="237"/>
      <c r="J11771" s="238"/>
    </row>
    <row r="11772">
      <c r="C11772" s="82"/>
      <c r="E11772" s="84"/>
      <c r="F11772" s="84"/>
      <c r="G11772" s="84"/>
      <c r="I11772" s="237"/>
      <c r="J11772" s="238"/>
    </row>
    <row r="11773">
      <c r="C11773" s="82"/>
      <c r="E11773" s="84"/>
      <c r="F11773" s="84"/>
      <c r="G11773" s="84"/>
      <c r="I11773" s="237"/>
      <c r="J11773" s="238"/>
    </row>
    <row r="11774">
      <c r="C11774" s="82"/>
      <c r="E11774" s="84"/>
      <c r="F11774" s="84"/>
      <c r="G11774" s="84"/>
      <c r="I11774" s="237"/>
      <c r="J11774" s="238"/>
    </row>
    <row r="11775">
      <c r="C11775" s="82"/>
      <c r="E11775" s="84"/>
      <c r="F11775" s="84"/>
      <c r="G11775" s="84"/>
      <c r="I11775" s="237"/>
      <c r="J11775" s="238"/>
    </row>
    <row r="11776">
      <c r="C11776" s="82"/>
      <c r="E11776" s="84"/>
      <c r="F11776" s="84"/>
      <c r="G11776" s="84"/>
      <c r="I11776" s="237"/>
      <c r="J11776" s="238"/>
    </row>
    <row r="11777">
      <c r="C11777" s="82"/>
      <c r="E11777" s="84"/>
      <c r="F11777" s="84"/>
      <c r="G11777" s="84"/>
      <c r="I11777" s="237"/>
      <c r="J11777" s="238"/>
    </row>
    <row r="11778">
      <c r="C11778" s="82"/>
      <c r="E11778" s="84"/>
      <c r="F11778" s="84"/>
      <c r="G11778" s="84"/>
      <c r="I11778" s="237"/>
      <c r="J11778" s="238"/>
    </row>
    <row r="11779">
      <c r="C11779" s="82"/>
      <c r="E11779" s="84"/>
      <c r="F11779" s="84"/>
      <c r="G11779" s="84"/>
      <c r="I11779" s="237"/>
      <c r="J11779" s="238"/>
    </row>
    <row r="11780">
      <c r="C11780" s="82"/>
      <c r="E11780" s="84"/>
      <c r="F11780" s="84"/>
      <c r="G11780" s="84"/>
      <c r="I11780" s="237"/>
      <c r="J11780" s="238"/>
    </row>
    <row r="11781">
      <c r="C11781" s="82"/>
      <c r="E11781" s="84"/>
      <c r="F11781" s="84"/>
      <c r="G11781" s="84"/>
      <c r="I11781" s="237"/>
      <c r="J11781" s="238"/>
    </row>
    <row r="11782">
      <c r="C11782" s="82"/>
      <c r="E11782" s="84"/>
      <c r="F11782" s="84"/>
      <c r="G11782" s="84"/>
      <c r="I11782" s="237"/>
      <c r="J11782" s="238"/>
    </row>
    <row r="11783">
      <c r="C11783" s="82"/>
      <c r="E11783" s="84"/>
      <c r="F11783" s="84"/>
      <c r="G11783" s="84"/>
      <c r="I11783" s="237"/>
      <c r="J11783" s="238"/>
    </row>
    <row r="11784">
      <c r="C11784" s="82"/>
      <c r="E11784" s="84"/>
      <c r="F11784" s="84"/>
      <c r="G11784" s="84"/>
      <c r="I11784" s="237"/>
      <c r="J11784" s="238"/>
    </row>
    <row r="11785">
      <c r="C11785" s="82"/>
      <c r="E11785" s="84"/>
      <c r="F11785" s="84"/>
      <c r="G11785" s="84"/>
      <c r="I11785" s="237"/>
      <c r="J11785" s="238"/>
    </row>
    <row r="11786">
      <c r="C11786" s="82"/>
      <c r="E11786" s="84"/>
      <c r="F11786" s="84"/>
      <c r="G11786" s="84"/>
      <c r="I11786" s="237"/>
      <c r="J11786" s="238"/>
    </row>
    <row r="11787">
      <c r="C11787" s="82"/>
      <c r="E11787" s="84"/>
      <c r="F11787" s="84"/>
      <c r="G11787" s="84"/>
      <c r="I11787" s="237"/>
      <c r="J11787" s="238"/>
    </row>
    <row r="11788">
      <c r="C11788" s="82"/>
      <c r="E11788" s="84"/>
      <c r="F11788" s="84"/>
      <c r="G11788" s="84"/>
      <c r="I11788" s="237"/>
      <c r="J11788" s="238"/>
    </row>
    <row r="11789">
      <c r="C11789" s="82"/>
      <c r="E11789" s="84"/>
      <c r="F11789" s="84"/>
      <c r="G11789" s="84"/>
      <c r="I11789" s="237"/>
      <c r="J11789" s="238"/>
    </row>
    <row r="11790">
      <c r="C11790" s="82"/>
      <c r="E11790" s="84"/>
      <c r="F11790" s="84"/>
      <c r="G11790" s="84"/>
      <c r="I11790" s="237"/>
      <c r="J11790" s="238"/>
    </row>
    <row r="11791">
      <c r="C11791" s="82"/>
      <c r="E11791" s="84"/>
      <c r="F11791" s="84"/>
      <c r="G11791" s="84"/>
      <c r="I11791" s="237"/>
      <c r="J11791" s="238"/>
    </row>
    <row r="11792">
      <c r="C11792" s="82"/>
      <c r="E11792" s="84"/>
      <c r="F11792" s="84"/>
      <c r="G11792" s="84"/>
      <c r="I11792" s="237"/>
      <c r="J11792" s="238"/>
    </row>
    <row r="11793">
      <c r="C11793" s="82"/>
      <c r="E11793" s="84"/>
      <c r="F11793" s="84"/>
      <c r="G11793" s="84"/>
      <c r="I11793" s="237"/>
      <c r="J11793" s="238"/>
    </row>
    <row r="11794">
      <c r="C11794" s="82"/>
      <c r="E11794" s="84"/>
      <c r="F11794" s="84"/>
      <c r="G11794" s="84"/>
      <c r="I11794" s="237"/>
      <c r="J11794" s="238"/>
    </row>
    <row r="11795">
      <c r="C11795" s="82"/>
      <c r="E11795" s="84"/>
      <c r="F11795" s="84"/>
      <c r="G11795" s="84"/>
      <c r="I11795" s="237"/>
      <c r="J11795" s="238"/>
    </row>
    <row r="11796">
      <c r="C11796" s="82"/>
      <c r="E11796" s="84"/>
      <c r="F11796" s="84"/>
      <c r="G11796" s="84"/>
      <c r="I11796" s="237"/>
      <c r="J11796" s="238"/>
    </row>
    <row r="11797">
      <c r="C11797" s="82"/>
      <c r="E11797" s="84"/>
      <c r="F11797" s="84"/>
      <c r="G11797" s="84"/>
      <c r="I11797" s="237"/>
      <c r="J11797" s="238"/>
    </row>
    <row r="11798">
      <c r="C11798" s="82"/>
      <c r="E11798" s="84"/>
      <c r="F11798" s="84"/>
      <c r="G11798" s="84"/>
      <c r="I11798" s="237"/>
      <c r="J11798" s="238"/>
    </row>
    <row r="11799">
      <c r="C11799" s="82"/>
      <c r="E11799" s="84"/>
      <c r="F11799" s="84"/>
      <c r="G11799" s="84"/>
      <c r="I11799" s="237"/>
      <c r="J11799" s="238"/>
    </row>
    <row r="11800">
      <c r="C11800" s="82"/>
      <c r="E11800" s="84"/>
      <c r="F11800" s="84"/>
      <c r="G11800" s="84"/>
      <c r="I11800" s="237"/>
      <c r="J11800" s="238"/>
    </row>
    <row r="11801">
      <c r="C11801" s="82"/>
      <c r="E11801" s="84"/>
      <c r="F11801" s="84"/>
      <c r="G11801" s="84"/>
      <c r="I11801" s="237"/>
      <c r="J11801" s="238"/>
    </row>
    <row r="11802">
      <c r="C11802" s="82"/>
      <c r="E11802" s="84"/>
      <c r="F11802" s="84"/>
      <c r="G11802" s="84"/>
      <c r="I11802" s="237"/>
      <c r="J11802" s="238"/>
    </row>
    <row r="11803">
      <c r="C11803" s="82"/>
      <c r="E11803" s="84"/>
      <c r="F11803" s="84"/>
      <c r="G11803" s="84"/>
      <c r="I11803" s="237"/>
      <c r="J11803" s="238"/>
    </row>
    <row r="11804">
      <c r="C11804" s="82"/>
      <c r="E11804" s="84"/>
      <c r="F11804" s="84"/>
      <c r="G11804" s="84"/>
      <c r="I11804" s="237"/>
      <c r="J11804" s="238"/>
    </row>
    <row r="11805">
      <c r="C11805" s="82"/>
      <c r="E11805" s="84"/>
      <c r="F11805" s="84"/>
      <c r="G11805" s="84"/>
      <c r="I11805" s="237"/>
      <c r="J11805" s="238"/>
    </row>
    <row r="11806">
      <c r="C11806" s="82"/>
      <c r="E11806" s="84"/>
      <c r="F11806" s="84"/>
      <c r="G11806" s="84"/>
      <c r="I11806" s="237"/>
      <c r="J11806" s="238"/>
    </row>
    <row r="11807">
      <c r="C11807" s="82"/>
      <c r="E11807" s="84"/>
      <c r="F11807" s="84"/>
      <c r="G11807" s="84"/>
      <c r="I11807" s="237"/>
      <c r="J11807" s="238"/>
    </row>
    <row r="11808">
      <c r="C11808" s="82"/>
      <c r="E11808" s="84"/>
      <c r="F11808" s="84"/>
      <c r="G11808" s="84"/>
      <c r="I11808" s="237"/>
      <c r="J11808" s="238"/>
    </row>
    <row r="11809">
      <c r="C11809" s="82"/>
      <c r="E11809" s="84"/>
      <c r="F11809" s="84"/>
      <c r="G11809" s="84"/>
      <c r="I11809" s="237"/>
      <c r="J11809" s="238"/>
    </row>
    <row r="11810">
      <c r="C11810" s="82"/>
      <c r="E11810" s="84"/>
      <c r="F11810" s="84"/>
      <c r="G11810" s="84"/>
      <c r="I11810" s="237"/>
      <c r="J11810" s="238"/>
    </row>
    <row r="11811">
      <c r="C11811" s="82"/>
      <c r="E11811" s="84"/>
      <c r="F11811" s="84"/>
      <c r="G11811" s="84"/>
      <c r="I11811" s="237"/>
      <c r="J11811" s="238"/>
    </row>
    <row r="11812">
      <c r="C11812" s="82"/>
      <c r="E11812" s="84"/>
      <c r="F11812" s="84"/>
      <c r="G11812" s="84"/>
      <c r="I11812" s="237"/>
      <c r="J11812" s="238"/>
    </row>
    <row r="11813">
      <c r="C11813" s="82"/>
      <c r="E11813" s="84"/>
      <c r="F11813" s="84"/>
      <c r="G11813" s="84"/>
      <c r="I11813" s="237"/>
      <c r="J11813" s="238"/>
    </row>
    <row r="11814">
      <c r="C11814" s="82"/>
      <c r="E11814" s="84"/>
      <c r="F11814" s="84"/>
      <c r="G11814" s="84"/>
      <c r="I11814" s="237"/>
      <c r="J11814" s="238"/>
    </row>
    <row r="11815">
      <c r="C11815" s="82"/>
      <c r="E11815" s="84"/>
      <c r="F11815" s="84"/>
      <c r="G11815" s="84"/>
      <c r="I11815" s="237"/>
      <c r="J11815" s="238"/>
    </row>
    <row r="11816">
      <c r="C11816" s="82"/>
      <c r="E11816" s="84"/>
      <c r="F11816" s="84"/>
      <c r="G11816" s="84"/>
      <c r="I11816" s="237"/>
      <c r="J11816" s="238"/>
    </row>
    <row r="11817">
      <c r="C11817" s="82"/>
      <c r="E11817" s="84"/>
      <c r="F11817" s="84"/>
      <c r="G11817" s="84"/>
      <c r="I11817" s="237"/>
      <c r="J11817" s="238"/>
    </row>
    <row r="11818">
      <c r="C11818" s="82"/>
      <c r="E11818" s="84"/>
      <c r="F11818" s="84"/>
      <c r="G11818" s="84"/>
      <c r="I11818" s="237"/>
      <c r="J11818" s="238"/>
    </row>
    <row r="11819">
      <c r="C11819" s="82"/>
      <c r="E11819" s="84"/>
      <c r="F11819" s="84"/>
      <c r="G11819" s="84"/>
      <c r="I11819" s="237"/>
      <c r="J11819" s="238"/>
    </row>
    <row r="11820">
      <c r="C11820" s="82"/>
      <c r="E11820" s="84"/>
      <c r="F11820" s="84"/>
      <c r="G11820" s="84"/>
      <c r="I11820" s="237"/>
      <c r="J11820" s="238"/>
    </row>
    <row r="11821">
      <c r="C11821" s="82"/>
      <c r="E11821" s="84"/>
      <c r="F11821" s="84"/>
      <c r="G11821" s="84"/>
      <c r="I11821" s="237"/>
      <c r="J11821" s="238"/>
    </row>
    <row r="11822">
      <c r="C11822" s="82"/>
      <c r="E11822" s="84"/>
      <c r="F11822" s="84"/>
      <c r="G11822" s="84"/>
      <c r="I11822" s="237"/>
      <c r="J11822" s="238"/>
    </row>
    <row r="11823">
      <c r="C11823" s="82"/>
      <c r="E11823" s="84"/>
      <c r="F11823" s="84"/>
      <c r="G11823" s="84"/>
      <c r="I11823" s="237"/>
      <c r="J11823" s="238"/>
    </row>
    <row r="11824">
      <c r="C11824" s="82"/>
      <c r="E11824" s="84"/>
      <c r="F11824" s="84"/>
      <c r="G11824" s="84"/>
      <c r="I11824" s="237"/>
      <c r="J11824" s="238"/>
    </row>
    <row r="11825">
      <c r="C11825" s="82"/>
      <c r="E11825" s="84"/>
      <c r="F11825" s="84"/>
      <c r="G11825" s="84"/>
      <c r="I11825" s="237"/>
      <c r="J11825" s="238"/>
    </row>
    <row r="11826">
      <c r="C11826" s="82"/>
      <c r="E11826" s="84"/>
      <c r="F11826" s="84"/>
      <c r="G11826" s="84"/>
      <c r="I11826" s="237"/>
      <c r="J11826" s="238"/>
    </row>
    <row r="11827">
      <c r="C11827" s="82"/>
      <c r="E11827" s="84"/>
      <c r="F11827" s="84"/>
      <c r="G11827" s="84"/>
      <c r="I11827" s="237"/>
      <c r="J11827" s="238"/>
    </row>
    <row r="11828">
      <c r="C11828" s="82"/>
      <c r="E11828" s="84"/>
      <c r="F11828" s="84"/>
      <c r="G11828" s="84"/>
      <c r="I11828" s="237"/>
      <c r="J11828" s="238"/>
    </row>
    <row r="11829">
      <c r="C11829" s="82"/>
      <c r="E11829" s="84"/>
      <c r="F11829" s="84"/>
      <c r="G11829" s="84"/>
      <c r="I11829" s="237"/>
      <c r="J11829" s="238"/>
    </row>
    <row r="11830">
      <c r="C11830" s="82"/>
      <c r="E11830" s="84"/>
      <c r="F11830" s="84"/>
      <c r="G11830" s="84"/>
      <c r="I11830" s="237"/>
      <c r="J11830" s="238"/>
    </row>
    <row r="11831">
      <c r="C11831" s="82"/>
      <c r="E11831" s="84"/>
      <c r="F11831" s="84"/>
      <c r="G11831" s="84"/>
      <c r="I11831" s="237"/>
      <c r="J11831" s="238"/>
    </row>
    <row r="11832">
      <c r="C11832" s="82"/>
      <c r="E11832" s="84"/>
      <c r="F11832" s="84"/>
      <c r="G11832" s="84"/>
      <c r="I11832" s="237"/>
      <c r="J11832" s="238"/>
    </row>
    <row r="11833">
      <c r="C11833" s="82"/>
      <c r="E11833" s="84"/>
      <c r="F11833" s="84"/>
      <c r="G11833" s="84"/>
      <c r="I11833" s="237"/>
      <c r="J11833" s="238"/>
    </row>
    <row r="11834">
      <c r="C11834" s="82"/>
      <c r="E11834" s="84"/>
      <c r="F11834" s="84"/>
      <c r="G11834" s="84"/>
      <c r="I11834" s="237"/>
      <c r="J11834" s="238"/>
    </row>
    <row r="11835">
      <c r="C11835" s="82"/>
      <c r="E11835" s="84"/>
      <c r="F11835" s="84"/>
      <c r="G11835" s="84"/>
      <c r="I11835" s="237"/>
      <c r="J11835" s="238"/>
    </row>
    <row r="11836">
      <c r="C11836" s="82"/>
      <c r="E11836" s="84"/>
      <c r="F11836" s="84"/>
      <c r="G11836" s="84"/>
      <c r="I11836" s="237"/>
      <c r="J11836" s="238"/>
    </row>
    <row r="11837">
      <c r="C11837" s="82"/>
      <c r="E11837" s="84"/>
      <c r="F11837" s="84"/>
      <c r="G11837" s="84"/>
      <c r="I11837" s="237"/>
      <c r="J11837" s="238"/>
    </row>
    <row r="11838">
      <c r="C11838" s="82"/>
      <c r="E11838" s="84"/>
      <c r="F11838" s="84"/>
      <c r="G11838" s="84"/>
      <c r="I11838" s="237"/>
      <c r="J11838" s="238"/>
    </row>
    <row r="11839">
      <c r="C11839" s="82"/>
      <c r="E11839" s="84"/>
      <c r="F11839" s="84"/>
      <c r="G11839" s="84"/>
      <c r="I11839" s="237"/>
      <c r="J11839" s="238"/>
    </row>
    <row r="11840">
      <c r="C11840" s="82"/>
      <c r="E11840" s="84"/>
      <c r="F11840" s="84"/>
      <c r="G11840" s="84"/>
      <c r="I11840" s="237"/>
      <c r="J11840" s="238"/>
    </row>
    <row r="11841">
      <c r="C11841" s="82"/>
      <c r="E11841" s="84"/>
      <c r="F11841" s="84"/>
      <c r="G11841" s="84"/>
      <c r="I11841" s="237"/>
      <c r="J11841" s="238"/>
    </row>
    <row r="11842">
      <c r="C11842" s="82"/>
      <c r="E11842" s="84"/>
      <c r="F11842" s="84"/>
      <c r="G11842" s="84"/>
      <c r="I11842" s="237"/>
      <c r="J11842" s="238"/>
    </row>
    <row r="11843">
      <c r="C11843" s="82"/>
      <c r="E11843" s="84"/>
      <c r="F11843" s="84"/>
      <c r="G11843" s="84"/>
      <c r="I11843" s="237"/>
      <c r="J11843" s="238"/>
    </row>
    <row r="11844">
      <c r="C11844" s="82"/>
      <c r="E11844" s="84"/>
      <c r="F11844" s="84"/>
      <c r="G11844" s="84"/>
      <c r="I11844" s="237"/>
      <c r="J11844" s="238"/>
    </row>
    <row r="11845">
      <c r="C11845" s="82"/>
      <c r="E11845" s="84"/>
      <c r="F11845" s="84"/>
      <c r="G11845" s="84"/>
      <c r="I11845" s="237"/>
      <c r="J11845" s="238"/>
    </row>
    <row r="11846">
      <c r="C11846" s="82"/>
      <c r="E11846" s="84"/>
      <c r="F11846" s="84"/>
      <c r="G11846" s="84"/>
      <c r="I11846" s="237"/>
      <c r="J11846" s="238"/>
    </row>
    <row r="11847">
      <c r="C11847" s="82"/>
      <c r="E11847" s="84"/>
      <c r="F11847" s="84"/>
      <c r="G11847" s="84"/>
      <c r="I11847" s="237"/>
      <c r="J11847" s="238"/>
    </row>
    <row r="11848">
      <c r="C11848" s="82"/>
      <c r="E11848" s="84"/>
      <c r="F11848" s="84"/>
      <c r="G11848" s="84"/>
      <c r="I11848" s="237"/>
      <c r="J11848" s="238"/>
    </row>
    <row r="11849">
      <c r="C11849" s="82"/>
      <c r="E11849" s="84"/>
      <c r="F11849" s="84"/>
      <c r="G11849" s="84"/>
      <c r="I11849" s="237"/>
      <c r="J11849" s="238"/>
    </row>
    <row r="11850">
      <c r="C11850" s="82"/>
      <c r="E11850" s="84"/>
      <c r="F11850" s="84"/>
      <c r="G11850" s="84"/>
      <c r="I11850" s="237"/>
      <c r="J11850" s="238"/>
    </row>
    <row r="11851">
      <c r="C11851" s="82"/>
      <c r="E11851" s="84"/>
      <c r="F11851" s="84"/>
      <c r="G11851" s="84"/>
      <c r="I11851" s="237"/>
      <c r="J11851" s="238"/>
    </row>
    <row r="11852">
      <c r="C11852" s="82"/>
      <c r="E11852" s="84"/>
      <c r="F11852" s="84"/>
      <c r="G11852" s="84"/>
      <c r="I11852" s="237"/>
      <c r="J11852" s="238"/>
    </row>
    <row r="11853">
      <c r="C11853" s="82"/>
      <c r="E11853" s="84"/>
      <c r="F11853" s="84"/>
      <c r="G11853" s="84"/>
      <c r="I11853" s="237"/>
      <c r="J11853" s="238"/>
    </row>
    <row r="11854">
      <c r="C11854" s="82"/>
      <c r="E11854" s="84"/>
      <c r="F11854" s="84"/>
      <c r="G11854" s="84"/>
      <c r="I11854" s="237"/>
      <c r="J11854" s="238"/>
    </row>
    <row r="11855">
      <c r="C11855" s="82"/>
      <c r="E11855" s="84"/>
      <c r="F11855" s="84"/>
      <c r="G11855" s="84"/>
      <c r="I11855" s="237"/>
      <c r="J11855" s="238"/>
    </row>
    <row r="11856">
      <c r="C11856" s="82"/>
      <c r="E11856" s="84"/>
      <c r="F11856" s="84"/>
      <c r="G11856" s="84"/>
      <c r="I11856" s="237"/>
      <c r="J11856" s="238"/>
    </row>
    <row r="11857">
      <c r="C11857" s="82"/>
      <c r="E11857" s="84"/>
      <c r="F11857" s="84"/>
      <c r="G11857" s="84"/>
      <c r="I11857" s="237"/>
      <c r="J11857" s="238"/>
    </row>
    <row r="11858">
      <c r="C11858" s="82"/>
      <c r="E11858" s="84"/>
      <c r="F11858" s="84"/>
      <c r="G11858" s="84"/>
      <c r="I11858" s="237"/>
      <c r="J11858" s="238"/>
    </row>
    <row r="11859">
      <c r="C11859" s="82"/>
      <c r="E11859" s="84"/>
      <c r="F11859" s="84"/>
      <c r="G11859" s="84"/>
      <c r="I11859" s="237"/>
      <c r="J11859" s="238"/>
    </row>
    <row r="11860">
      <c r="C11860" s="82"/>
      <c r="E11860" s="84"/>
      <c r="F11860" s="84"/>
      <c r="G11860" s="84"/>
      <c r="I11860" s="237"/>
      <c r="J11860" s="238"/>
    </row>
    <row r="11861">
      <c r="C11861" s="82"/>
      <c r="E11861" s="84"/>
      <c r="F11861" s="84"/>
      <c r="G11861" s="84"/>
      <c r="I11861" s="237"/>
      <c r="J11861" s="238"/>
    </row>
    <row r="11862">
      <c r="C11862" s="82"/>
      <c r="E11862" s="84"/>
      <c r="F11862" s="84"/>
      <c r="G11862" s="84"/>
      <c r="I11862" s="237"/>
      <c r="J11862" s="238"/>
    </row>
    <row r="11863">
      <c r="C11863" s="82"/>
      <c r="E11863" s="84"/>
      <c r="F11863" s="84"/>
      <c r="G11863" s="84"/>
      <c r="I11863" s="237"/>
      <c r="J11863" s="238"/>
    </row>
    <row r="11864">
      <c r="C11864" s="82"/>
      <c r="E11864" s="84"/>
      <c r="F11864" s="84"/>
      <c r="G11864" s="84"/>
      <c r="I11864" s="237"/>
      <c r="J11864" s="238"/>
    </row>
    <row r="11865">
      <c r="C11865" s="82"/>
      <c r="E11865" s="84"/>
      <c r="F11865" s="84"/>
      <c r="G11865" s="84"/>
      <c r="I11865" s="237"/>
      <c r="J11865" s="238"/>
    </row>
    <row r="11866">
      <c r="C11866" s="82"/>
      <c r="E11866" s="84"/>
      <c r="F11866" s="84"/>
      <c r="G11866" s="84"/>
      <c r="I11866" s="237"/>
      <c r="J11866" s="238"/>
    </row>
    <row r="11867">
      <c r="C11867" s="82"/>
      <c r="E11867" s="84"/>
      <c r="F11867" s="84"/>
      <c r="G11867" s="84"/>
      <c r="I11867" s="237"/>
      <c r="J11867" s="238"/>
    </row>
    <row r="11868">
      <c r="C11868" s="82"/>
      <c r="E11868" s="84"/>
      <c r="F11868" s="84"/>
      <c r="G11868" s="84"/>
      <c r="I11868" s="237"/>
      <c r="J11868" s="238"/>
    </row>
    <row r="11869">
      <c r="C11869" s="82"/>
      <c r="E11869" s="84"/>
      <c r="F11869" s="84"/>
      <c r="G11869" s="84"/>
      <c r="I11869" s="237"/>
      <c r="J11869" s="238"/>
    </row>
    <row r="11870">
      <c r="C11870" s="82"/>
      <c r="E11870" s="84"/>
      <c r="F11870" s="84"/>
      <c r="G11870" s="84"/>
      <c r="I11870" s="237"/>
      <c r="J11870" s="238"/>
    </row>
    <row r="11871">
      <c r="C11871" s="82"/>
      <c r="E11871" s="84"/>
      <c r="F11871" s="84"/>
      <c r="G11871" s="84"/>
      <c r="I11871" s="237"/>
      <c r="J11871" s="238"/>
    </row>
    <row r="11872">
      <c r="C11872" s="82"/>
      <c r="E11872" s="84"/>
      <c r="F11872" s="84"/>
      <c r="G11872" s="84"/>
      <c r="I11872" s="237"/>
      <c r="J11872" s="238"/>
    </row>
    <row r="11873">
      <c r="C11873" s="82"/>
      <c r="E11873" s="84"/>
      <c r="F11873" s="84"/>
      <c r="G11873" s="84"/>
      <c r="I11873" s="237"/>
      <c r="J11873" s="238"/>
    </row>
    <row r="11874">
      <c r="C11874" s="82"/>
      <c r="E11874" s="84"/>
      <c r="F11874" s="84"/>
      <c r="G11874" s="84"/>
      <c r="I11874" s="237"/>
      <c r="J11874" s="238"/>
    </row>
    <row r="11875">
      <c r="C11875" s="82"/>
      <c r="E11875" s="84"/>
      <c r="F11875" s="84"/>
      <c r="G11875" s="84"/>
      <c r="I11875" s="237"/>
      <c r="J11875" s="238"/>
    </row>
    <row r="11876">
      <c r="C11876" s="82"/>
      <c r="E11876" s="84"/>
      <c r="F11876" s="84"/>
      <c r="G11876" s="84"/>
      <c r="I11876" s="237"/>
      <c r="J11876" s="238"/>
    </row>
    <row r="11877">
      <c r="C11877" s="82"/>
      <c r="E11877" s="84"/>
      <c r="F11877" s="84"/>
      <c r="G11877" s="84"/>
      <c r="I11877" s="237"/>
      <c r="J11877" s="238"/>
    </row>
    <row r="11878">
      <c r="C11878" s="82"/>
      <c r="E11878" s="84"/>
      <c r="F11878" s="84"/>
      <c r="G11878" s="84"/>
      <c r="I11878" s="237"/>
      <c r="J11878" s="238"/>
    </row>
    <row r="11879">
      <c r="C11879" s="82"/>
      <c r="E11879" s="84"/>
      <c r="F11879" s="84"/>
      <c r="G11879" s="84"/>
      <c r="I11879" s="237"/>
      <c r="J11879" s="238"/>
    </row>
    <row r="11880">
      <c r="C11880" s="82"/>
      <c r="E11880" s="84"/>
      <c r="F11880" s="84"/>
      <c r="G11880" s="84"/>
      <c r="I11880" s="237"/>
      <c r="J11880" s="238"/>
    </row>
    <row r="11881">
      <c r="C11881" s="82"/>
      <c r="E11881" s="84"/>
      <c r="F11881" s="84"/>
      <c r="G11881" s="84"/>
      <c r="I11881" s="237"/>
      <c r="J11881" s="238"/>
    </row>
    <row r="11882">
      <c r="C11882" s="82"/>
      <c r="E11882" s="84"/>
      <c r="F11882" s="84"/>
      <c r="G11882" s="84"/>
      <c r="I11882" s="237"/>
      <c r="J11882" s="238"/>
    </row>
    <row r="11883">
      <c r="C11883" s="82"/>
      <c r="E11883" s="84"/>
      <c r="F11883" s="84"/>
      <c r="G11883" s="84"/>
      <c r="I11883" s="237"/>
      <c r="J11883" s="238"/>
    </row>
    <row r="11884">
      <c r="C11884" s="82"/>
      <c r="E11884" s="84"/>
      <c r="F11884" s="84"/>
      <c r="G11884" s="84"/>
      <c r="I11884" s="237"/>
      <c r="J11884" s="238"/>
    </row>
    <row r="11885">
      <c r="C11885" s="82"/>
      <c r="E11885" s="84"/>
      <c r="F11885" s="84"/>
      <c r="G11885" s="84"/>
      <c r="I11885" s="237"/>
      <c r="J11885" s="238"/>
    </row>
    <row r="11886">
      <c r="C11886" s="82"/>
      <c r="E11886" s="84"/>
      <c r="F11886" s="84"/>
      <c r="G11886" s="84"/>
      <c r="I11886" s="237"/>
      <c r="J11886" s="238"/>
    </row>
    <row r="11887">
      <c r="C11887" s="82"/>
      <c r="E11887" s="84"/>
      <c r="F11887" s="84"/>
      <c r="G11887" s="84"/>
      <c r="I11887" s="237"/>
      <c r="J11887" s="238"/>
    </row>
    <row r="11888">
      <c r="C11888" s="82"/>
      <c r="E11888" s="84"/>
      <c r="F11888" s="84"/>
      <c r="G11888" s="84"/>
      <c r="I11888" s="237"/>
      <c r="J11888" s="238"/>
    </row>
    <row r="11889">
      <c r="C11889" s="82"/>
      <c r="E11889" s="84"/>
      <c r="F11889" s="84"/>
      <c r="G11889" s="84"/>
      <c r="I11889" s="237"/>
      <c r="J11889" s="238"/>
    </row>
    <row r="11890">
      <c r="C11890" s="82"/>
      <c r="E11890" s="84"/>
      <c r="F11890" s="84"/>
      <c r="G11890" s="84"/>
      <c r="I11890" s="237"/>
      <c r="J11890" s="238"/>
    </row>
    <row r="11891">
      <c r="C11891" s="82"/>
      <c r="E11891" s="84"/>
      <c r="F11891" s="84"/>
      <c r="G11891" s="84"/>
      <c r="I11891" s="237"/>
      <c r="J11891" s="238"/>
    </row>
    <row r="11892">
      <c r="C11892" s="82"/>
      <c r="E11892" s="84"/>
      <c r="F11892" s="84"/>
      <c r="G11892" s="84"/>
      <c r="I11892" s="237"/>
      <c r="J11892" s="238"/>
    </row>
    <row r="11893">
      <c r="C11893" s="82"/>
      <c r="E11893" s="84"/>
      <c r="F11893" s="84"/>
      <c r="G11893" s="84"/>
      <c r="I11893" s="237"/>
      <c r="J11893" s="238"/>
    </row>
    <row r="11894">
      <c r="C11894" s="82"/>
      <c r="E11894" s="84"/>
      <c r="F11894" s="84"/>
      <c r="G11894" s="84"/>
      <c r="I11894" s="237"/>
      <c r="J11894" s="238"/>
    </row>
    <row r="11895">
      <c r="C11895" s="82"/>
      <c r="E11895" s="84"/>
      <c r="F11895" s="84"/>
      <c r="G11895" s="84"/>
      <c r="I11895" s="237"/>
      <c r="J11895" s="238"/>
    </row>
    <row r="11896">
      <c r="C11896" s="82"/>
      <c r="E11896" s="84"/>
      <c r="F11896" s="84"/>
      <c r="G11896" s="84"/>
      <c r="I11896" s="237"/>
      <c r="J11896" s="238"/>
    </row>
    <row r="11897">
      <c r="C11897" s="82"/>
      <c r="E11897" s="84"/>
      <c r="F11897" s="84"/>
      <c r="G11897" s="84"/>
      <c r="I11897" s="237"/>
      <c r="J11897" s="238"/>
    </row>
    <row r="11898">
      <c r="C11898" s="82"/>
      <c r="E11898" s="84"/>
      <c r="F11898" s="84"/>
      <c r="G11898" s="84"/>
      <c r="I11898" s="237"/>
      <c r="J11898" s="238"/>
    </row>
    <row r="11899">
      <c r="C11899" s="82"/>
      <c r="E11899" s="84"/>
      <c r="F11899" s="84"/>
      <c r="G11899" s="84"/>
      <c r="I11899" s="237"/>
      <c r="J11899" s="238"/>
    </row>
    <row r="11900">
      <c r="C11900" s="82"/>
      <c r="E11900" s="84"/>
      <c r="F11900" s="84"/>
      <c r="G11900" s="84"/>
      <c r="I11900" s="237"/>
      <c r="J11900" s="238"/>
    </row>
    <row r="11901">
      <c r="C11901" s="82"/>
      <c r="E11901" s="84"/>
      <c r="F11901" s="84"/>
      <c r="G11901" s="84"/>
      <c r="I11901" s="237"/>
      <c r="J11901" s="238"/>
    </row>
    <row r="11902">
      <c r="C11902" s="82"/>
      <c r="E11902" s="84"/>
      <c r="F11902" s="84"/>
      <c r="G11902" s="84"/>
      <c r="I11902" s="237"/>
      <c r="J11902" s="238"/>
    </row>
    <row r="11903">
      <c r="C11903" s="82"/>
      <c r="E11903" s="84"/>
      <c r="F11903" s="84"/>
      <c r="G11903" s="84"/>
      <c r="I11903" s="237"/>
      <c r="J11903" s="238"/>
    </row>
    <row r="11904">
      <c r="C11904" s="82"/>
      <c r="E11904" s="84"/>
      <c r="F11904" s="84"/>
      <c r="G11904" s="84"/>
      <c r="I11904" s="237"/>
      <c r="J11904" s="238"/>
    </row>
    <row r="11905">
      <c r="C11905" s="82"/>
      <c r="E11905" s="84"/>
      <c r="F11905" s="84"/>
      <c r="G11905" s="84"/>
      <c r="I11905" s="237"/>
      <c r="J11905" s="238"/>
    </row>
    <row r="11906">
      <c r="C11906" s="82"/>
      <c r="E11906" s="84"/>
      <c r="F11906" s="84"/>
      <c r="G11906" s="84"/>
      <c r="I11906" s="237"/>
      <c r="J11906" s="238"/>
    </row>
    <row r="11907">
      <c r="C11907" s="82"/>
      <c r="E11907" s="84"/>
      <c r="F11907" s="84"/>
      <c r="G11907" s="84"/>
      <c r="I11907" s="237"/>
      <c r="J11907" s="238"/>
    </row>
    <row r="11908">
      <c r="C11908" s="82"/>
      <c r="E11908" s="84"/>
      <c r="F11908" s="84"/>
      <c r="G11908" s="84"/>
      <c r="I11908" s="237"/>
      <c r="J11908" s="238"/>
    </row>
    <row r="11909">
      <c r="C11909" s="82"/>
      <c r="E11909" s="84"/>
      <c r="F11909" s="84"/>
      <c r="G11909" s="84"/>
      <c r="I11909" s="237"/>
      <c r="J11909" s="238"/>
    </row>
    <row r="11910">
      <c r="C11910" s="82"/>
      <c r="E11910" s="84"/>
      <c r="F11910" s="84"/>
      <c r="G11910" s="84"/>
      <c r="I11910" s="237"/>
      <c r="J11910" s="238"/>
    </row>
    <row r="11911">
      <c r="C11911" s="82"/>
      <c r="E11911" s="84"/>
      <c r="F11911" s="84"/>
      <c r="G11911" s="84"/>
      <c r="I11911" s="237"/>
      <c r="J11911" s="238"/>
    </row>
    <row r="11912">
      <c r="C11912" s="82"/>
      <c r="E11912" s="84"/>
      <c r="F11912" s="84"/>
      <c r="G11912" s="84"/>
      <c r="I11912" s="237"/>
      <c r="J11912" s="238"/>
    </row>
    <row r="11913">
      <c r="C11913" s="82"/>
      <c r="E11913" s="84"/>
      <c r="F11913" s="84"/>
      <c r="G11913" s="84"/>
      <c r="I11913" s="237"/>
      <c r="J11913" s="238"/>
    </row>
    <row r="11914">
      <c r="C11914" s="82"/>
      <c r="E11914" s="84"/>
      <c r="F11914" s="84"/>
      <c r="G11914" s="84"/>
      <c r="I11914" s="237"/>
      <c r="J11914" s="238"/>
    </row>
    <row r="11915">
      <c r="C11915" s="82"/>
      <c r="E11915" s="84"/>
      <c r="F11915" s="84"/>
      <c r="G11915" s="84"/>
      <c r="I11915" s="237"/>
      <c r="J11915" s="238"/>
    </row>
    <row r="11916">
      <c r="C11916" s="82"/>
      <c r="E11916" s="84"/>
      <c r="F11916" s="84"/>
      <c r="G11916" s="84"/>
      <c r="I11916" s="237"/>
      <c r="J11916" s="238"/>
    </row>
    <row r="11917">
      <c r="C11917" s="82"/>
      <c r="E11917" s="84"/>
      <c r="F11917" s="84"/>
      <c r="G11917" s="84"/>
      <c r="I11917" s="237"/>
      <c r="J11917" s="238"/>
    </row>
    <row r="11918">
      <c r="C11918" s="82"/>
      <c r="E11918" s="84"/>
      <c r="F11918" s="84"/>
      <c r="G11918" s="84"/>
      <c r="I11918" s="237"/>
      <c r="J11918" s="238"/>
    </row>
    <row r="11919">
      <c r="C11919" s="82"/>
      <c r="E11919" s="84"/>
      <c r="F11919" s="84"/>
      <c r="G11919" s="84"/>
      <c r="I11919" s="237"/>
      <c r="J11919" s="238"/>
    </row>
    <row r="11920">
      <c r="C11920" s="82"/>
      <c r="E11920" s="84"/>
      <c r="F11920" s="84"/>
      <c r="G11920" s="84"/>
      <c r="I11920" s="237"/>
      <c r="J11920" s="238"/>
    </row>
    <row r="11921">
      <c r="C11921" s="82"/>
      <c r="E11921" s="84"/>
      <c r="F11921" s="84"/>
      <c r="G11921" s="84"/>
      <c r="I11921" s="237"/>
      <c r="J11921" s="238"/>
    </row>
    <row r="11922">
      <c r="C11922" s="82"/>
      <c r="E11922" s="84"/>
      <c r="F11922" s="84"/>
      <c r="G11922" s="84"/>
      <c r="I11922" s="237"/>
      <c r="J11922" s="238"/>
    </row>
    <row r="11923">
      <c r="C11923" s="82"/>
      <c r="E11923" s="84"/>
      <c r="F11923" s="84"/>
      <c r="G11923" s="84"/>
      <c r="I11923" s="237"/>
      <c r="J11923" s="238"/>
    </row>
    <row r="11924">
      <c r="C11924" s="82"/>
      <c r="E11924" s="84"/>
      <c r="F11924" s="84"/>
      <c r="G11924" s="84"/>
      <c r="I11924" s="237"/>
      <c r="J11924" s="238"/>
    </row>
    <row r="11925">
      <c r="C11925" s="82"/>
      <c r="E11925" s="84"/>
      <c r="F11925" s="84"/>
      <c r="G11925" s="84"/>
      <c r="I11925" s="237"/>
      <c r="J11925" s="238"/>
    </row>
    <row r="11926">
      <c r="C11926" s="82"/>
      <c r="E11926" s="84"/>
      <c r="F11926" s="84"/>
      <c r="G11926" s="84"/>
      <c r="I11926" s="237"/>
      <c r="J11926" s="238"/>
    </row>
    <row r="11927">
      <c r="C11927" s="82"/>
      <c r="E11927" s="84"/>
      <c r="F11927" s="84"/>
      <c r="G11927" s="84"/>
      <c r="I11927" s="237"/>
      <c r="J11927" s="238"/>
    </row>
    <row r="11928">
      <c r="C11928" s="82"/>
      <c r="E11928" s="84"/>
      <c r="F11928" s="84"/>
      <c r="G11928" s="84"/>
      <c r="I11928" s="237"/>
      <c r="J11928" s="238"/>
    </row>
    <row r="11929">
      <c r="C11929" s="82"/>
      <c r="E11929" s="84"/>
      <c r="F11929" s="84"/>
      <c r="G11929" s="84"/>
      <c r="I11929" s="237"/>
      <c r="J11929" s="238"/>
    </row>
    <row r="11930">
      <c r="C11930" s="82"/>
      <c r="E11930" s="84"/>
      <c r="F11930" s="84"/>
      <c r="G11930" s="84"/>
      <c r="I11930" s="237"/>
      <c r="J11930" s="238"/>
    </row>
    <row r="11931">
      <c r="C11931" s="82"/>
      <c r="E11931" s="84"/>
      <c r="F11931" s="84"/>
      <c r="G11931" s="84"/>
      <c r="I11931" s="237"/>
      <c r="J11931" s="238"/>
    </row>
    <row r="11932">
      <c r="C11932" s="82"/>
      <c r="E11932" s="84"/>
      <c r="F11932" s="84"/>
      <c r="G11932" s="84"/>
      <c r="I11932" s="237"/>
      <c r="J11932" s="238"/>
    </row>
    <row r="11933">
      <c r="C11933" s="82"/>
      <c r="E11933" s="84"/>
      <c r="F11933" s="84"/>
      <c r="G11933" s="84"/>
      <c r="I11933" s="237"/>
      <c r="J11933" s="238"/>
    </row>
    <row r="11934">
      <c r="C11934" s="82"/>
      <c r="E11934" s="84"/>
      <c r="F11934" s="84"/>
      <c r="G11934" s="84"/>
      <c r="I11934" s="237"/>
      <c r="J11934" s="238"/>
    </row>
    <row r="11935">
      <c r="C11935" s="82"/>
      <c r="E11935" s="84"/>
      <c r="F11935" s="84"/>
      <c r="G11935" s="84"/>
      <c r="I11935" s="237"/>
      <c r="J11935" s="238"/>
    </row>
    <row r="11936">
      <c r="C11936" s="82"/>
      <c r="E11936" s="84"/>
      <c r="F11936" s="84"/>
      <c r="G11936" s="84"/>
      <c r="I11936" s="237"/>
      <c r="J11936" s="238"/>
    </row>
    <row r="11937">
      <c r="C11937" s="82"/>
      <c r="E11937" s="84"/>
      <c r="F11937" s="84"/>
      <c r="G11937" s="84"/>
      <c r="I11937" s="237"/>
      <c r="J11937" s="238"/>
    </row>
    <row r="11938">
      <c r="C11938" s="82"/>
      <c r="E11938" s="84"/>
      <c r="F11938" s="84"/>
      <c r="G11938" s="84"/>
      <c r="I11938" s="237"/>
      <c r="J11938" s="238"/>
    </row>
    <row r="11939">
      <c r="C11939" s="82"/>
      <c r="E11939" s="84"/>
      <c r="F11939" s="84"/>
      <c r="G11939" s="84"/>
      <c r="I11939" s="237"/>
      <c r="J11939" s="238"/>
    </row>
    <row r="11940">
      <c r="C11940" s="82"/>
      <c r="E11940" s="84"/>
      <c r="F11940" s="84"/>
      <c r="G11940" s="84"/>
      <c r="I11940" s="237"/>
      <c r="J11940" s="238"/>
    </row>
    <row r="11941">
      <c r="C11941" s="82"/>
      <c r="E11941" s="84"/>
      <c r="F11941" s="84"/>
      <c r="G11941" s="84"/>
      <c r="I11941" s="237"/>
      <c r="J11941" s="238"/>
    </row>
    <row r="11942">
      <c r="C11942" s="82"/>
      <c r="E11942" s="84"/>
      <c r="F11942" s="84"/>
      <c r="G11942" s="84"/>
      <c r="I11942" s="237"/>
      <c r="J11942" s="238"/>
    </row>
    <row r="11943">
      <c r="C11943" s="82"/>
      <c r="E11943" s="84"/>
      <c r="F11943" s="84"/>
      <c r="G11943" s="84"/>
      <c r="I11943" s="237"/>
      <c r="J11943" s="238"/>
    </row>
    <row r="11944">
      <c r="C11944" s="82"/>
      <c r="E11944" s="84"/>
      <c r="F11944" s="84"/>
      <c r="G11944" s="84"/>
      <c r="I11944" s="237"/>
      <c r="J11944" s="238"/>
    </row>
    <row r="11945">
      <c r="C11945" s="82"/>
      <c r="E11945" s="84"/>
      <c r="F11945" s="84"/>
      <c r="G11945" s="84"/>
      <c r="I11945" s="237"/>
      <c r="J11945" s="238"/>
    </row>
    <row r="11946">
      <c r="C11946" s="82"/>
      <c r="E11946" s="84"/>
      <c r="F11946" s="84"/>
      <c r="G11946" s="84"/>
      <c r="I11946" s="237"/>
      <c r="J11946" s="238"/>
    </row>
    <row r="11947">
      <c r="C11947" s="82"/>
      <c r="E11947" s="84"/>
      <c r="F11947" s="84"/>
      <c r="G11947" s="84"/>
      <c r="I11947" s="237"/>
      <c r="J11947" s="238"/>
    </row>
    <row r="11948">
      <c r="C11948" s="82"/>
      <c r="E11948" s="84"/>
      <c r="F11948" s="84"/>
      <c r="G11948" s="84"/>
      <c r="I11948" s="237"/>
      <c r="J11948" s="238"/>
    </row>
    <row r="11949">
      <c r="C11949" s="82"/>
      <c r="E11949" s="84"/>
      <c r="F11949" s="84"/>
      <c r="G11949" s="84"/>
      <c r="I11949" s="237"/>
      <c r="J11949" s="238"/>
    </row>
    <row r="11950">
      <c r="C11950" s="82"/>
      <c r="E11950" s="84"/>
      <c r="F11950" s="84"/>
      <c r="G11950" s="84"/>
      <c r="I11950" s="237"/>
      <c r="J11950" s="238"/>
    </row>
    <row r="11951">
      <c r="C11951" s="82"/>
      <c r="E11951" s="84"/>
      <c r="F11951" s="84"/>
      <c r="G11951" s="84"/>
      <c r="I11951" s="237"/>
      <c r="J11951" s="238"/>
    </row>
    <row r="11952">
      <c r="C11952" s="82"/>
      <c r="E11952" s="84"/>
      <c r="F11952" s="84"/>
      <c r="G11952" s="84"/>
      <c r="I11952" s="237"/>
      <c r="J11952" s="238"/>
    </row>
    <row r="11953">
      <c r="C11953" s="82"/>
      <c r="E11953" s="84"/>
      <c r="F11953" s="84"/>
      <c r="G11953" s="84"/>
      <c r="I11953" s="237"/>
      <c r="J11953" s="238"/>
    </row>
    <row r="11954">
      <c r="C11954" s="82"/>
      <c r="E11954" s="84"/>
      <c r="F11954" s="84"/>
      <c r="G11954" s="84"/>
      <c r="I11954" s="237"/>
      <c r="J11954" s="238"/>
    </row>
    <row r="11955">
      <c r="C11955" s="82"/>
      <c r="E11955" s="84"/>
      <c r="F11955" s="84"/>
      <c r="G11955" s="84"/>
      <c r="I11955" s="237"/>
      <c r="J11955" s="238"/>
    </row>
    <row r="11956">
      <c r="C11956" s="82"/>
      <c r="E11956" s="84"/>
      <c r="F11956" s="84"/>
      <c r="G11956" s="84"/>
      <c r="I11956" s="237"/>
      <c r="J11956" s="238"/>
    </row>
    <row r="11957">
      <c r="C11957" s="82"/>
      <c r="E11957" s="84"/>
      <c r="F11957" s="84"/>
      <c r="G11957" s="84"/>
      <c r="I11957" s="237"/>
      <c r="J11957" s="238"/>
    </row>
    <row r="11958">
      <c r="C11958" s="82"/>
      <c r="E11958" s="84"/>
      <c r="F11958" s="84"/>
      <c r="G11958" s="84"/>
      <c r="I11958" s="237"/>
      <c r="J11958" s="238"/>
    </row>
    <row r="11959">
      <c r="C11959" s="82"/>
      <c r="E11959" s="84"/>
      <c r="F11959" s="84"/>
      <c r="G11959" s="84"/>
      <c r="I11959" s="237"/>
      <c r="J11959" s="238"/>
    </row>
    <row r="11960">
      <c r="C11960" s="82"/>
      <c r="E11960" s="84"/>
      <c r="F11960" s="84"/>
      <c r="G11960" s="84"/>
      <c r="I11960" s="237"/>
      <c r="J11960" s="238"/>
    </row>
    <row r="11961">
      <c r="C11961" s="82"/>
      <c r="E11961" s="84"/>
      <c r="F11961" s="84"/>
      <c r="G11961" s="84"/>
      <c r="I11961" s="237"/>
      <c r="J11961" s="238"/>
    </row>
    <row r="11962">
      <c r="C11962" s="82"/>
      <c r="E11962" s="84"/>
      <c r="F11962" s="84"/>
      <c r="G11962" s="84"/>
      <c r="I11962" s="237"/>
      <c r="J11962" s="238"/>
    </row>
    <row r="11963">
      <c r="C11963" s="82"/>
      <c r="E11963" s="84"/>
      <c r="F11963" s="84"/>
      <c r="G11963" s="84"/>
      <c r="I11963" s="237"/>
      <c r="J11963" s="238"/>
    </row>
    <row r="11964">
      <c r="C11964" s="82"/>
      <c r="E11964" s="84"/>
      <c r="F11964" s="84"/>
      <c r="G11964" s="84"/>
      <c r="I11964" s="237"/>
      <c r="J11964" s="238"/>
    </row>
    <row r="11965">
      <c r="C11965" s="82"/>
      <c r="E11965" s="84"/>
      <c r="F11965" s="84"/>
      <c r="G11965" s="84"/>
      <c r="I11965" s="237"/>
      <c r="J11965" s="238"/>
    </row>
    <row r="11966">
      <c r="C11966" s="82"/>
      <c r="E11966" s="84"/>
      <c r="F11966" s="84"/>
      <c r="G11966" s="84"/>
      <c r="I11966" s="237"/>
      <c r="J11966" s="238"/>
    </row>
    <row r="11967">
      <c r="C11967" s="82"/>
      <c r="E11967" s="84"/>
      <c r="F11967" s="84"/>
      <c r="G11967" s="84"/>
      <c r="I11967" s="237"/>
      <c r="J11967" s="238"/>
    </row>
    <row r="11968">
      <c r="C11968" s="82"/>
      <c r="E11968" s="84"/>
      <c r="F11968" s="84"/>
      <c r="G11968" s="84"/>
      <c r="I11968" s="237"/>
      <c r="J11968" s="238"/>
    </row>
    <row r="11969">
      <c r="C11969" s="82"/>
      <c r="E11969" s="84"/>
      <c r="F11969" s="84"/>
      <c r="G11969" s="84"/>
      <c r="I11969" s="237"/>
      <c r="J11969" s="238"/>
    </row>
    <row r="11970">
      <c r="C11970" s="82"/>
      <c r="E11970" s="84"/>
      <c r="F11970" s="84"/>
      <c r="G11970" s="84"/>
      <c r="I11970" s="237"/>
      <c r="J11970" s="238"/>
    </row>
    <row r="11971">
      <c r="C11971" s="82"/>
      <c r="E11971" s="84"/>
      <c r="F11971" s="84"/>
      <c r="G11971" s="84"/>
      <c r="I11971" s="237"/>
      <c r="J11971" s="238"/>
    </row>
    <row r="11972">
      <c r="C11972" s="82"/>
      <c r="E11972" s="84"/>
      <c r="F11972" s="84"/>
      <c r="G11972" s="84"/>
      <c r="I11972" s="237"/>
      <c r="J11972" s="238"/>
    </row>
    <row r="11973">
      <c r="C11973" s="82"/>
      <c r="E11973" s="84"/>
      <c r="F11973" s="84"/>
      <c r="G11973" s="84"/>
      <c r="I11973" s="237"/>
      <c r="J11973" s="238"/>
    </row>
    <row r="11974">
      <c r="C11974" s="82"/>
      <c r="E11974" s="84"/>
      <c r="F11974" s="84"/>
      <c r="G11974" s="84"/>
      <c r="I11974" s="237"/>
      <c r="J11974" s="238"/>
    </row>
    <row r="11975">
      <c r="C11975" s="82"/>
      <c r="E11975" s="84"/>
      <c r="F11975" s="84"/>
      <c r="G11975" s="84"/>
      <c r="I11975" s="237"/>
      <c r="J11975" s="238"/>
    </row>
    <row r="11976">
      <c r="C11976" s="82"/>
      <c r="E11976" s="84"/>
      <c r="F11976" s="84"/>
      <c r="G11976" s="84"/>
      <c r="I11976" s="237"/>
      <c r="J11976" s="238"/>
    </row>
    <row r="11977">
      <c r="C11977" s="82"/>
      <c r="E11977" s="84"/>
      <c r="F11977" s="84"/>
      <c r="G11977" s="84"/>
      <c r="I11977" s="237"/>
      <c r="J11977" s="238"/>
    </row>
    <row r="11978">
      <c r="C11978" s="82"/>
      <c r="E11978" s="84"/>
      <c r="F11978" s="84"/>
      <c r="G11978" s="84"/>
      <c r="I11978" s="237"/>
      <c r="J11978" s="238"/>
    </row>
    <row r="11979">
      <c r="C11979" s="82"/>
      <c r="E11979" s="84"/>
      <c r="F11979" s="84"/>
      <c r="G11979" s="84"/>
      <c r="I11979" s="237"/>
      <c r="J11979" s="238"/>
    </row>
    <row r="11980">
      <c r="C11980" s="82"/>
      <c r="E11980" s="84"/>
      <c r="F11980" s="84"/>
      <c r="G11980" s="84"/>
      <c r="I11980" s="237"/>
      <c r="J11980" s="238"/>
    </row>
    <row r="11981">
      <c r="C11981" s="82"/>
      <c r="E11981" s="84"/>
      <c r="F11981" s="84"/>
      <c r="G11981" s="84"/>
      <c r="I11981" s="237"/>
      <c r="J11981" s="238"/>
    </row>
    <row r="11982">
      <c r="C11982" s="82"/>
      <c r="E11982" s="84"/>
      <c r="F11982" s="84"/>
      <c r="G11982" s="84"/>
      <c r="I11982" s="237"/>
      <c r="J11982" s="238"/>
    </row>
    <row r="11983">
      <c r="C11983" s="82"/>
      <c r="E11983" s="84"/>
      <c r="F11983" s="84"/>
      <c r="G11983" s="84"/>
      <c r="I11983" s="237"/>
      <c r="J11983" s="238"/>
    </row>
    <row r="11984">
      <c r="C11984" s="82"/>
      <c r="E11984" s="84"/>
      <c r="F11984" s="84"/>
      <c r="G11984" s="84"/>
      <c r="I11984" s="237"/>
      <c r="J11984" s="238"/>
    </row>
    <row r="11985">
      <c r="C11985" s="82"/>
      <c r="E11985" s="84"/>
      <c r="F11985" s="84"/>
      <c r="G11985" s="84"/>
      <c r="I11985" s="237"/>
      <c r="J11985" s="238"/>
    </row>
    <row r="11986">
      <c r="C11986" s="82"/>
      <c r="E11986" s="84"/>
      <c r="F11986" s="84"/>
      <c r="G11986" s="84"/>
      <c r="I11986" s="237"/>
      <c r="J11986" s="238"/>
    </row>
    <row r="11987">
      <c r="C11987" s="82"/>
      <c r="E11987" s="84"/>
      <c r="F11987" s="84"/>
      <c r="G11987" s="84"/>
      <c r="I11987" s="237"/>
      <c r="J11987" s="238"/>
    </row>
    <row r="11988">
      <c r="C11988" s="82"/>
      <c r="E11988" s="84"/>
      <c r="F11988" s="84"/>
      <c r="G11988" s="84"/>
      <c r="I11988" s="237"/>
      <c r="J11988" s="238"/>
    </row>
    <row r="11989">
      <c r="C11989" s="82"/>
      <c r="E11989" s="84"/>
      <c r="F11989" s="84"/>
      <c r="G11989" s="84"/>
      <c r="I11989" s="237"/>
      <c r="J11989" s="238"/>
    </row>
    <row r="11990">
      <c r="C11990" s="82"/>
      <c r="E11990" s="84"/>
      <c r="F11990" s="84"/>
      <c r="G11990" s="84"/>
      <c r="I11990" s="237"/>
      <c r="J11990" s="238"/>
    </row>
    <row r="11991">
      <c r="C11991" s="82"/>
      <c r="E11991" s="84"/>
      <c r="F11991" s="84"/>
      <c r="G11991" s="84"/>
      <c r="I11991" s="237"/>
      <c r="J11991" s="238"/>
    </row>
    <row r="11992">
      <c r="C11992" s="82"/>
      <c r="E11992" s="84"/>
      <c r="F11992" s="84"/>
      <c r="G11992" s="84"/>
      <c r="I11992" s="237"/>
      <c r="J11992" s="238"/>
    </row>
    <row r="11993">
      <c r="C11993" s="82"/>
      <c r="E11993" s="84"/>
      <c r="F11993" s="84"/>
      <c r="G11993" s="84"/>
      <c r="I11993" s="237"/>
      <c r="J11993" s="238"/>
    </row>
    <row r="11994">
      <c r="C11994" s="82"/>
      <c r="E11994" s="84"/>
      <c r="F11994" s="84"/>
      <c r="G11994" s="84"/>
      <c r="I11994" s="237"/>
      <c r="J11994" s="238"/>
    </row>
    <row r="11995">
      <c r="C11995" s="82"/>
      <c r="E11995" s="84"/>
      <c r="F11995" s="84"/>
      <c r="G11995" s="84"/>
      <c r="I11995" s="237"/>
      <c r="J11995" s="238"/>
    </row>
    <row r="11996">
      <c r="C11996" s="82"/>
      <c r="E11996" s="84"/>
      <c r="F11996" s="84"/>
      <c r="G11996" s="84"/>
      <c r="I11996" s="237"/>
      <c r="J11996" s="238"/>
    </row>
    <row r="11997">
      <c r="C11997" s="82"/>
      <c r="E11997" s="84"/>
      <c r="F11997" s="84"/>
      <c r="G11997" s="84"/>
      <c r="I11997" s="237"/>
      <c r="J11997" s="238"/>
    </row>
    <row r="11998">
      <c r="C11998" s="82"/>
      <c r="E11998" s="84"/>
      <c r="F11998" s="84"/>
      <c r="G11998" s="84"/>
      <c r="I11998" s="237"/>
      <c r="J11998" s="238"/>
    </row>
    <row r="11999">
      <c r="C11999" s="82"/>
      <c r="E11999" s="84"/>
      <c r="F11999" s="84"/>
      <c r="G11999" s="84"/>
      <c r="I11999" s="237"/>
      <c r="J11999" s="238"/>
    </row>
    <row r="12000">
      <c r="C12000" s="82"/>
      <c r="E12000" s="84"/>
      <c r="F12000" s="84"/>
      <c r="G12000" s="84"/>
      <c r="I12000" s="237"/>
      <c r="J12000" s="238"/>
    </row>
    <row r="12001">
      <c r="C12001" s="82"/>
      <c r="E12001" s="84"/>
      <c r="F12001" s="84"/>
      <c r="G12001" s="84"/>
      <c r="I12001" s="237"/>
      <c r="J12001" s="238"/>
    </row>
    <row r="12002">
      <c r="C12002" s="82"/>
      <c r="E12002" s="84"/>
      <c r="F12002" s="84"/>
      <c r="G12002" s="84"/>
      <c r="I12002" s="237"/>
      <c r="J12002" s="238"/>
    </row>
    <row r="12003">
      <c r="C12003" s="82"/>
      <c r="E12003" s="84"/>
      <c r="F12003" s="84"/>
      <c r="G12003" s="84"/>
      <c r="I12003" s="237"/>
      <c r="J12003" s="238"/>
    </row>
    <row r="12004">
      <c r="C12004" s="82"/>
      <c r="E12004" s="84"/>
      <c r="F12004" s="84"/>
      <c r="G12004" s="84"/>
      <c r="I12004" s="237"/>
      <c r="J12004" s="238"/>
    </row>
    <row r="12005">
      <c r="C12005" s="82"/>
      <c r="E12005" s="84"/>
      <c r="F12005" s="84"/>
      <c r="G12005" s="84"/>
      <c r="I12005" s="237"/>
      <c r="J12005" s="238"/>
    </row>
    <row r="12006">
      <c r="C12006" s="82"/>
      <c r="E12006" s="84"/>
      <c r="F12006" s="84"/>
      <c r="G12006" s="84"/>
      <c r="I12006" s="237"/>
      <c r="J12006" s="238"/>
    </row>
    <row r="12007">
      <c r="C12007" s="82"/>
      <c r="E12007" s="84"/>
      <c r="F12007" s="84"/>
      <c r="G12007" s="84"/>
      <c r="I12007" s="237"/>
      <c r="J12007" s="238"/>
    </row>
    <row r="12008">
      <c r="C12008" s="82"/>
      <c r="E12008" s="84"/>
      <c r="F12008" s="84"/>
      <c r="G12008" s="84"/>
      <c r="I12008" s="237"/>
      <c r="J12008" s="238"/>
    </row>
    <row r="12009">
      <c r="C12009" s="82"/>
      <c r="E12009" s="84"/>
      <c r="F12009" s="84"/>
      <c r="G12009" s="84"/>
      <c r="I12009" s="237"/>
      <c r="J12009" s="238"/>
    </row>
    <row r="12010">
      <c r="C12010" s="82"/>
      <c r="E12010" s="84"/>
      <c r="F12010" s="84"/>
      <c r="G12010" s="84"/>
      <c r="I12010" s="237"/>
      <c r="J12010" s="238"/>
    </row>
    <row r="12011">
      <c r="C12011" s="82"/>
      <c r="E12011" s="84"/>
      <c r="F12011" s="84"/>
      <c r="G12011" s="84"/>
      <c r="I12011" s="237"/>
      <c r="J12011" s="238"/>
    </row>
    <row r="12012">
      <c r="C12012" s="82"/>
      <c r="E12012" s="84"/>
      <c r="F12012" s="84"/>
      <c r="G12012" s="84"/>
      <c r="I12012" s="237"/>
      <c r="J12012" s="238"/>
    </row>
    <row r="12013">
      <c r="C12013" s="82"/>
      <c r="E12013" s="84"/>
      <c r="F12013" s="84"/>
      <c r="G12013" s="84"/>
      <c r="I12013" s="237"/>
      <c r="J12013" s="238"/>
    </row>
    <row r="12014">
      <c r="C12014" s="82"/>
      <c r="E12014" s="84"/>
      <c r="F12014" s="84"/>
      <c r="G12014" s="84"/>
      <c r="I12014" s="237"/>
      <c r="J12014" s="238"/>
    </row>
    <row r="12015">
      <c r="C12015" s="82"/>
      <c r="E12015" s="84"/>
      <c r="F12015" s="84"/>
      <c r="G12015" s="84"/>
      <c r="I12015" s="237"/>
      <c r="J12015" s="238"/>
    </row>
    <row r="12016">
      <c r="C12016" s="82"/>
      <c r="E12016" s="84"/>
      <c r="F12016" s="84"/>
      <c r="G12016" s="84"/>
      <c r="I12016" s="237"/>
      <c r="J12016" s="238"/>
    </row>
    <row r="12017">
      <c r="C12017" s="82"/>
      <c r="E12017" s="84"/>
      <c r="F12017" s="84"/>
      <c r="G12017" s="84"/>
      <c r="I12017" s="237"/>
      <c r="J12017" s="238"/>
    </row>
    <row r="12018">
      <c r="C12018" s="82"/>
      <c r="E12018" s="84"/>
      <c r="F12018" s="84"/>
      <c r="G12018" s="84"/>
      <c r="I12018" s="237"/>
      <c r="J12018" s="238"/>
    </row>
    <row r="12019">
      <c r="C12019" s="82"/>
      <c r="E12019" s="84"/>
      <c r="F12019" s="84"/>
      <c r="G12019" s="84"/>
      <c r="I12019" s="237"/>
      <c r="J12019" s="238"/>
    </row>
    <row r="12020">
      <c r="C12020" s="82"/>
      <c r="E12020" s="84"/>
      <c r="F12020" s="84"/>
      <c r="G12020" s="84"/>
      <c r="I12020" s="237"/>
      <c r="J12020" s="238"/>
    </row>
    <row r="12021">
      <c r="C12021" s="82"/>
      <c r="E12021" s="84"/>
      <c r="F12021" s="84"/>
      <c r="G12021" s="84"/>
      <c r="I12021" s="237"/>
      <c r="J12021" s="238"/>
    </row>
    <row r="12022">
      <c r="C12022" s="82"/>
      <c r="E12022" s="84"/>
      <c r="F12022" s="84"/>
      <c r="G12022" s="84"/>
      <c r="I12022" s="237"/>
      <c r="J12022" s="238"/>
    </row>
    <row r="12023">
      <c r="C12023" s="82"/>
      <c r="E12023" s="84"/>
      <c r="F12023" s="84"/>
      <c r="G12023" s="84"/>
      <c r="I12023" s="237"/>
      <c r="J12023" s="238"/>
    </row>
    <row r="12024">
      <c r="C12024" s="82"/>
      <c r="E12024" s="84"/>
      <c r="F12024" s="84"/>
      <c r="G12024" s="84"/>
      <c r="I12024" s="237"/>
      <c r="J12024" s="238"/>
    </row>
    <row r="12025">
      <c r="C12025" s="82"/>
      <c r="E12025" s="84"/>
      <c r="F12025" s="84"/>
      <c r="G12025" s="84"/>
      <c r="I12025" s="237"/>
      <c r="J12025" s="238"/>
    </row>
    <row r="12026">
      <c r="C12026" s="82"/>
      <c r="E12026" s="84"/>
      <c r="F12026" s="84"/>
      <c r="G12026" s="84"/>
      <c r="I12026" s="237"/>
      <c r="J12026" s="238"/>
    </row>
    <row r="12027">
      <c r="C12027" s="82"/>
      <c r="E12027" s="84"/>
      <c r="F12027" s="84"/>
      <c r="G12027" s="84"/>
      <c r="I12027" s="237"/>
      <c r="J12027" s="238"/>
    </row>
    <row r="12028">
      <c r="C12028" s="82"/>
      <c r="E12028" s="84"/>
      <c r="F12028" s="84"/>
      <c r="G12028" s="84"/>
      <c r="I12028" s="237"/>
      <c r="J12028" s="238"/>
    </row>
    <row r="12029">
      <c r="C12029" s="82"/>
      <c r="E12029" s="84"/>
      <c r="F12029" s="84"/>
      <c r="G12029" s="84"/>
      <c r="I12029" s="237"/>
      <c r="J12029" s="238"/>
    </row>
    <row r="12030">
      <c r="C12030" s="82"/>
      <c r="E12030" s="84"/>
      <c r="F12030" s="84"/>
      <c r="G12030" s="84"/>
      <c r="I12030" s="237"/>
      <c r="J12030" s="238"/>
    </row>
    <row r="12031">
      <c r="C12031" s="82"/>
      <c r="E12031" s="84"/>
      <c r="F12031" s="84"/>
      <c r="G12031" s="84"/>
      <c r="I12031" s="237"/>
      <c r="J12031" s="238"/>
    </row>
    <row r="12032">
      <c r="C12032" s="82"/>
      <c r="E12032" s="84"/>
      <c r="F12032" s="84"/>
      <c r="G12032" s="84"/>
      <c r="I12032" s="237"/>
      <c r="J12032" s="238"/>
    </row>
    <row r="12033">
      <c r="C12033" s="82"/>
      <c r="E12033" s="84"/>
      <c r="F12033" s="84"/>
      <c r="G12033" s="84"/>
      <c r="I12033" s="237"/>
      <c r="J12033" s="238"/>
    </row>
    <row r="12034">
      <c r="C12034" s="82"/>
      <c r="E12034" s="84"/>
      <c r="F12034" s="84"/>
      <c r="G12034" s="84"/>
      <c r="I12034" s="237"/>
      <c r="J12034" s="238"/>
    </row>
    <row r="12035">
      <c r="C12035" s="82"/>
      <c r="E12035" s="84"/>
      <c r="F12035" s="84"/>
      <c r="G12035" s="84"/>
      <c r="I12035" s="237"/>
      <c r="J12035" s="238"/>
    </row>
    <row r="12036">
      <c r="C12036" s="82"/>
      <c r="E12036" s="84"/>
      <c r="F12036" s="84"/>
      <c r="G12036" s="84"/>
      <c r="I12036" s="237"/>
      <c r="J12036" s="238"/>
    </row>
    <row r="12037">
      <c r="C12037" s="82"/>
      <c r="E12037" s="84"/>
      <c r="F12037" s="84"/>
      <c r="G12037" s="84"/>
      <c r="I12037" s="237"/>
      <c r="J12037" s="238"/>
    </row>
    <row r="12038">
      <c r="C12038" s="82"/>
      <c r="E12038" s="84"/>
      <c r="F12038" s="84"/>
      <c r="G12038" s="84"/>
      <c r="I12038" s="237"/>
      <c r="J12038" s="238"/>
    </row>
    <row r="12039">
      <c r="C12039" s="82"/>
      <c r="E12039" s="84"/>
      <c r="F12039" s="84"/>
      <c r="G12039" s="84"/>
      <c r="I12039" s="237"/>
      <c r="J12039" s="238"/>
    </row>
    <row r="12040">
      <c r="C12040" s="82"/>
      <c r="E12040" s="84"/>
      <c r="F12040" s="84"/>
      <c r="G12040" s="84"/>
      <c r="I12040" s="237"/>
      <c r="J12040" s="238"/>
    </row>
    <row r="12041">
      <c r="C12041" s="82"/>
      <c r="E12041" s="84"/>
      <c r="F12041" s="84"/>
      <c r="G12041" s="84"/>
      <c r="I12041" s="237"/>
      <c r="J12041" s="238"/>
    </row>
    <row r="12042">
      <c r="C12042" s="82"/>
      <c r="E12042" s="84"/>
      <c r="F12042" s="84"/>
      <c r="G12042" s="84"/>
      <c r="I12042" s="237"/>
      <c r="J12042" s="238"/>
    </row>
    <row r="12043">
      <c r="C12043" s="82"/>
      <c r="E12043" s="84"/>
      <c r="F12043" s="84"/>
      <c r="G12043" s="84"/>
      <c r="I12043" s="237"/>
      <c r="J12043" s="238"/>
    </row>
    <row r="12044">
      <c r="C12044" s="82"/>
      <c r="E12044" s="84"/>
      <c r="F12044" s="84"/>
      <c r="G12044" s="84"/>
      <c r="I12044" s="237"/>
      <c r="J12044" s="238"/>
    </row>
    <row r="12045">
      <c r="C12045" s="82"/>
      <c r="E12045" s="84"/>
      <c r="F12045" s="84"/>
      <c r="G12045" s="84"/>
      <c r="I12045" s="237"/>
      <c r="J12045" s="238"/>
    </row>
    <row r="12046">
      <c r="C12046" s="82"/>
      <c r="E12046" s="84"/>
      <c r="F12046" s="84"/>
      <c r="G12046" s="84"/>
      <c r="I12046" s="237"/>
      <c r="J12046" s="238"/>
    </row>
    <row r="12047">
      <c r="C12047" s="82"/>
      <c r="E12047" s="84"/>
      <c r="F12047" s="84"/>
      <c r="G12047" s="84"/>
      <c r="I12047" s="237"/>
      <c r="J12047" s="238"/>
    </row>
    <row r="12048">
      <c r="C12048" s="82"/>
      <c r="E12048" s="84"/>
      <c r="F12048" s="84"/>
      <c r="G12048" s="84"/>
      <c r="I12048" s="237"/>
      <c r="J12048" s="238"/>
    </row>
    <row r="12049">
      <c r="C12049" s="82"/>
      <c r="E12049" s="84"/>
      <c r="F12049" s="84"/>
      <c r="G12049" s="84"/>
      <c r="I12049" s="237"/>
      <c r="J12049" s="238"/>
    </row>
    <row r="12050">
      <c r="C12050" s="82"/>
      <c r="E12050" s="84"/>
      <c r="F12050" s="84"/>
      <c r="G12050" s="84"/>
      <c r="I12050" s="237"/>
      <c r="J12050" s="238"/>
    </row>
    <row r="12051">
      <c r="C12051" s="82"/>
      <c r="E12051" s="84"/>
      <c r="F12051" s="84"/>
      <c r="G12051" s="84"/>
      <c r="I12051" s="237"/>
      <c r="J12051" s="238"/>
    </row>
    <row r="12052">
      <c r="C12052" s="82"/>
      <c r="E12052" s="84"/>
      <c r="F12052" s="84"/>
      <c r="G12052" s="84"/>
      <c r="I12052" s="237"/>
      <c r="J12052" s="238"/>
    </row>
    <row r="12053">
      <c r="C12053" s="82"/>
      <c r="E12053" s="84"/>
      <c r="F12053" s="84"/>
      <c r="G12053" s="84"/>
      <c r="I12053" s="237"/>
      <c r="J12053" s="238"/>
    </row>
    <row r="12054">
      <c r="C12054" s="82"/>
      <c r="E12054" s="84"/>
      <c r="F12054" s="84"/>
      <c r="G12054" s="84"/>
      <c r="I12054" s="237"/>
      <c r="J12054" s="238"/>
    </row>
    <row r="12055">
      <c r="C12055" s="82"/>
      <c r="E12055" s="84"/>
      <c r="F12055" s="84"/>
      <c r="G12055" s="84"/>
      <c r="I12055" s="237"/>
      <c r="J12055" s="238"/>
    </row>
    <row r="12056">
      <c r="C12056" s="82"/>
      <c r="E12056" s="84"/>
      <c r="F12056" s="84"/>
      <c r="G12056" s="84"/>
      <c r="I12056" s="237"/>
      <c r="J12056" s="238"/>
    </row>
    <row r="12057">
      <c r="C12057" s="82"/>
      <c r="E12057" s="84"/>
      <c r="F12057" s="84"/>
      <c r="G12057" s="84"/>
      <c r="I12057" s="237"/>
      <c r="J12057" s="238"/>
    </row>
    <row r="12058">
      <c r="C12058" s="82"/>
      <c r="E12058" s="84"/>
      <c r="F12058" s="84"/>
      <c r="G12058" s="84"/>
      <c r="I12058" s="237"/>
      <c r="J12058" s="238"/>
    </row>
    <row r="12059">
      <c r="C12059" s="82"/>
      <c r="E12059" s="84"/>
      <c r="F12059" s="84"/>
      <c r="G12059" s="84"/>
      <c r="I12059" s="237"/>
      <c r="J12059" s="238"/>
    </row>
    <row r="12060">
      <c r="C12060" s="82"/>
      <c r="E12060" s="84"/>
      <c r="F12060" s="84"/>
      <c r="G12060" s="84"/>
      <c r="I12060" s="237"/>
      <c r="J12060" s="238"/>
    </row>
    <row r="12061">
      <c r="C12061" s="82"/>
      <c r="E12061" s="84"/>
      <c r="F12061" s="84"/>
      <c r="G12061" s="84"/>
      <c r="I12061" s="237"/>
      <c r="J12061" s="238"/>
    </row>
    <row r="12062">
      <c r="C12062" s="82"/>
      <c r="E12062" s="84"/>
      <c r="F12062" s="84"/>
      <c r="G12062" s="84"/>
      <c r="I12062" s="237"/>
      <c r="J12062" s="238"/>
    </row>
    <row r="12063">
      <c r="C12063" s="82"/>
      <c r="E12063" s="84"/>
      <c r="F12063" s="84"/>
      <c r="G12063" s="84"/>
      <c r="I12063" s="237"/>
      <c r="J12063" s="238"/>
    </row>
    <row r="12064">
      <c r="C12064" s="82"/>
      <c r="E12064" s="84"/>
      <c r="F12064" s="84"/>
      <c r="G12064" s="84"/>
      <c r="I12064" s="237"/>
      <c r="J12064" s="238"/>
    </row>
    <row r="12065">
      <c r="C12065" s="82"/>
      <c r="E12065" s="84"/>
      <c r="F12065" s="84"/>
      <c r="G12065" s="84"/>
      <c r="I12065" s="237"/>
      <c r="J12065" s="238"/>
    </row>
    <row r="12066">
      <c r="C12066" s="82"/>
      <c r="E12066" s="84"/>
      <c r="F12066" s="84"/>
      <c r="G12066" s="84"/>
      <c r="I12066" s="237"/>
      <c r="J12066" s="238"/>
    </row>
    <row r="12067">
      <c r="C12067" s="82"/>
      <c r="E12067" s="84"/>
      <c r="F12067" s="84"/>
      <c r="G12067" s="84"/>
      <c r="I12067" s="237"/>
      <c r="J12067" s="238"/>
    </row>
    <row r="12068">
      <c r="C12068" s="82"/>
      <c r="E12068" s="84"/>
      <c r="F12068" s="84"/>
      <c r="G12068" s="84"/>
      <c r="I12068" s="237"/>
      <c r="J12068" s="238"/>
    </row>
    <row r="12069">
      <c r="C12069" s="82"/>
      <c r="E12069" s="84"/>
      <c r="F12069" s="84"/>
      <c r="G12069" s="84"/>
      <c r="I12069" s="237"/>
      <c r="J12069" s="238"/>
    </row>
    <row r="12070">
      <c r="C12070" s="82"/>
      <c r="E12070" s="84"/>
      <c r="F12070" s="84"/>
      <c r="G12070" s="84"/>
      <c r="I12070" s="237"/>
      <c r="J12070" s="238"/>
    </row>
    <row r="12071">
      <c r="C12071" s="82"/>
      <c r="E12071" s="84"/>
      <c r="F12071" s="84"/>
      <c r="G12071" s="84"/>
      <c r="I12071" s="237"/>
      <c r="J12071" s="238"/>
    </row>
    <row r="12072">
      <c r="C12072" s="82"/>
      <c r="E12072" s="84"/>
      <c r="F12072" s="84"/>
      <c r="G12072" s="84"/>
      <c r="I12072" s="237"/>
      <c r="J12072" s="238"/>
    </row>
    <row r="12073">
      <c r="C12073" s="82"/>
      <c r="E12073" s="84"/>
      <c r="F12073" s="84"/>
      <c r="G12073" s="84"/>
      <c r="I12073" s="237"/>
      <c r="J12073" s="238"/>
    </row>
    <row r="12074">
      <c r="C12074" s="82"/>
      <c r="E12074" s="84"/>
      <c r="F12074" s="84"/>
      <c r="G12074" s="84"/>
      <c r="I12074" s="237"/>
      <c r="J12074" s="238"/>
    </row>
    <row r="12075">
      <c r="C12075" s="82"/>
      <c r="E12075" s="84"/>
      <c r="F12075" s="84"/>
      <c r="G12075" s="84"/>
      <c r="I12075" s="237"/>
      <c r="J12075" s="238"/>
    </row>
    <row r="12076">
      <c r="C12076" s="82"/>
      <c r="E12076" s="84"/>
      <c r="F12076" s="84"/>
      <c r="G12076" s="84"/>
      <c r="I12076" s="237"/>
      <c r="J12076" s="238"/>
    </row>
    <row r="12077">
      <c r="C12077" s="82"/>
      <c r="E12077" s="84"/>
      <c r="F12077" s="84"/>
      <c r="G12077" s="84"/>
      <c r="I12077" s="237"/>
      <c r="J12077" s="238"/>
    </row>
    <row r="12078">
      <c r="C12078" s="82"/>
      <c r="E12078" s="84"/>
      <c r="F12078" s="84"/>
      <c r="G12078" s="84"/>
      <c r="I12078" s="237"/>
      <c r="J12078" s="238"/>
    </row>
    <row r="12079">
      <c r="C12079" s="82"/>
      <c r="E12079" s="84"/>
      <c r="F12079" s="84"/>
      <c r="G12079" s="84"/>
      <c r="I12079" s="237"/>
      <c r="J12079" s="238"/>
    </row>
    <row r="12080">
      <c r="C12080" s="82"/>
      <c r="E12080" s="84"/>
      <c r="F12080" s="84"/>
      <c r="G12080" s="84"/>
      <c r="I12080" s="237"/>
      <c r="J12080" s="238"/>
    </row>
    <row r="12081">
      <c r="C12081" s="82"/>
      <c r="E12081" s="84"/>
      <c r="F12081" s="84"/>
      <c r="G12081" s="84"/>
      <c r="I12081" s="237"/>
      <c r="J12081" s="238"/>
    </row>
    <row r="12082">
      <c r="C12082" s="82"/>
      <c r="E12082" s="84"/>
      <c r="F12082" s="84"/>
      <c r="G12082" s="84"/>
      <c r="I12082" s="237"/>
      <c r="J12082" s="238"/>
    </row>
    <row r="12083">
      <c r="C12083" s="82"/>
      <c r="E12083" s="84"/>
      <c r="F12083" s="84"/>
      <c r="G12083" s="84"/>
      <c r="I12083" s="237"/>
      <c r="J12083" s="238"/>
    </row>
    <row r="12084">
      <c r="C12084" s="82"/>
      <c r="E12084" s="84"/>
      <c r="F12084" s="84"/>
      <c r="G12084" s="84"/>
      <c r="I12084" s="237"/>
      <c r="J12084" s="238"/>
    </row>
    <row r="12085">
      <c r="C12085" s="82"/>
      <c r="E12085" s="84"/>
      <c r="F12085" s="84"/>
      <c r="G12085" s="84"/>
      <c r="I12085" s="237"/>
      <c r="J12085" s="238"/>
    </row>
    <row r="12086">
      <c r="C12086" s="82"/>
      <c r="E12086" s="84"/>
      <c r="F12086" s="84"/>
      <c r="G12086" s="84"/>
      <c r="I12086" s="237"/>
      <c r="J12086" s="238"/>
    </row>
    <row r="12087">
      <c r="C12087" s="82"/>
      <c r="E12087" s="84"/>
      <c r="F12087" s="84"/>
      <c r="G12087" s="84"/>
      <c r="I12087" s="237"/>
      <c r="J12087" s="238"/>
    </row>
    <row r="12088">
      <c r="C12088" s="82"/>
      <c r="E12088" s="84"/>
      <c r="F12088" s="84"/>
      <c r="G12088" s="84"/>
      <c r="I12088" s="237"/>
      <c r="J12088" s="238"/>
    </row>
    <row r="12089">
      <c r="C12089" s="82"/>
      <c r="E12089" s="84"/>
      <c r="F12089" s="84"/>
      <c r="G12089" s="84"/>
      <c r="I12089" s="237"/>
      <c r="J12089" s="238"/>
    </row>
    <row r="12090">
      <c r="C12090" s="82"/>
      <c r="E12090" s="84"/>
      <c r="F12090" s="84"/>
      <c r="G12090" s="84"/>
      <c r="I12090" s="237"/>
      <c r="J12090" s="238"/>
    </row>
    <row r="12091">
      <c r="C12091" s="82"/>
      <c r="E12091" s="84"/>
      <c r="F12091" s="84"/>
      <c r="G12091" s="84"/>
      <c r="I12091" s="237"/>
      <c r="J12091" s="238"/>
    </row>
    <row r="12092">
      <c r="C12092" s="82"/>
      <c r="E12092" s="84"/>
      <c r="F12092" s="84"/>
      <c r="G12092" s="84"/>
      <c r="I12092" s="237"/>
      <c r="J12092" s="238"/>
    </row>
    <row r="12093">
      <c r="C12093" s="82"/>
      <c r="E12093" s="84"/>
      <c r="F12093" s="84"/>
      <c r="G12093" s="84"/>
      <c r="I12093" s="237"/>
      <c r="J12093" s="238"/>
    </row>
    <row r="12094">
      <c r="C12094" s="82"/>
      <c r="E12094" s="84"/>
      <c r="F12094" s="84"/>
      <c r="G12094" s="84"/>
      <c r="I12094" s="237"/>
      <c r="J12094" s="238"/>
    </row>
    <row r="12095">
      <c r="C12095" s="82"/>
      <c r="E12095" s="84"/>
      <c r="F12095" s="84"/>
      <c r="G12095" s="84"/>
      <c r="I12095" s="237"/>
      <c r="J12095" s="238"/>
    </row>
    <row r="12096">
      <c r="C12096" s="82"/>
      <c r="E12096" s="84"/>
      <c r="F12096" s="84"/>
      <c r="G12096" s="84"/>
      <c r="I12096" s="237"/>
      <c r="J12096" s="238"/>
    </row>
    <row r="12097">
      <c r="C12097" s="82"/>
      <c r="E12097" s="84"/>
      <c r="F12097" s="84"/>
      <c r="G12097" s="84"/>
      <c r="I12097" s="237"/>
      <c r="J12097" s="238"/>
    </row>
    <row r="12098">
      <c r="C12098" s="82"/>
      <c r="E12098" s="84"/>
      <c r="F12098" s="84"/>
      <c r="G12098" s="84"/>
      <c r="I12098" s="237"/>
      <c r="J12098" s="238"/>
    </row>
    <row r="12099">
      <c r="C12099" s="82"/>
      <c r="E12099" s="84"/>
      <c r="F12099" s="84"/>
      <c r="G12099" s="84"/>
      <c r="I12099" s="237"/>
      <c r="J12099" s="238"/>
    </row>
    <row r="12100">
      <c r="C12100" s="82"/>
      <c r="E12100" s="84"/>
      <c r="F12100" s="84"/>
      <c r="G12100" s="84"/>
      <c r="I12100" s="237"/>
      <c r="J12100" s="238"/>
    </row>
    <row r="12101">
      <c r="C12101" s="82"/>
      <c r="E12101" s="84"/>
      <c r="F12101" s="84"/>
      <c r="G12101" s="84"/>
      <c r="I12101" s="237"/>
      <c r="J12101" s="238"/>
    </row>
    <row r="12102">
      <c r="C12102" s="82"/>
      <c r="E12102" s="84"/>
      <c r="F12102" s="84"/>
      <c r="G12102" s="84"/>
      <c r="I12102" s="237"/>
      <c r="J12102" s="238"/>
    </row>
    <row r="12103">
      <c r="C12103" s="82"/>
      <c r="E12103" s="84"/>
      <c r="F12103" s="84"/>
      <c r="G12103" s="84"/>
      <c r="I12103" s="237"/>
      <c r="J12103" s="238"/>
    </row>
    <row r="12104">
      <c r="C12104" s="82"/>
      <c r="E12104" s="84"/>
      <c r="F12104" s="84"/>
      <c r="G12104" s="84"/>
      <c r="I12104" s="237"/>
      <c r="J12104" s="238"/>
    </row>
    <row r="12105">
      <c r="C12105" s="82"/>
      <c r="E12105" s="84"/>
      <c r="F12105" s="84"/>
      <c r="G12105" s="84"/>
      <c r="I12105" s="237"/>
      <c r="J12105" s="238"/>
    </row>
    <row r="12106">
      <c r="C12106" s="82"/>
      <c r="E12106" s="84"/>
      <c r="F12106" s="84"/>
      <c r="G12106" s="84"/>
      <c r="I12106" s="237"/>
      <c r="J12106" s="238"/>
    </row>
    <row r="12107">
      <c r="C12107" s="82"/>
      <c r="E12107" s="84"/>
      <c r="F12107" s="84"/>
      <c r="G12107" s="84"/>
      <c r="I12107" s="237"/>
      <c r="J12107" s="238"/>
    </row>
    <row r="12108">
      <c r="C12108" s="82"/>
      <c r="E12108" s="84"/>
      <c r="F12108" s="84"/>
      <c r="G12108" s="84"/>
      <c r="I12108" s="237"/>
      <c r="J12108" s="238"/>
    </row>
    <row r="12109">
      <c r="C12109" s="82"/>
      <c r="E12109" s="84"/>
      <c r="F12109" s="84"/>
      <c r="G12109" s="84"/>
      <c r="I12109" s="237"/>
      <c r="J12109" s="238"/>
    </row>
    <row r="12110">
      <c r="C12110" s="82"/>
      <c r="E12110" s="84"/>
      <c r="F12110" s="84"/>
      <c r="G12110" s="84"/>
      <c r="I12110" s="237"/>
      <c r="J12110" s="238"/>
    </row>
    <row r="12111">
      <c r="C12111" s="82"/>
      <c r="E12111" s="84"/>
      <c r="F12111" s="84"/>
      <c r="G12111" s="84"/>
      <c r="I12111" s="237"/>
      <c r="J12111" s="238"/>
    </row>
    <row r="12112">
      <c r="C12112" s="82"/>
      <c r="E12112" s="84"/>
      <c r="F12112" s="84"/>
      <c r="G12112" s="84"/>
      <c r="I12112" s="237"/>
      <c r="J12112" s="238"/>
    </row>
    <row r="12113">
      <c r="C12113" s="82"/>
      <c r="E12113" s="84"/>
      <c r="F12113" s="84"/>
      <c r="G12113" s="84"/>
      <c r="I12113" s="237"/>
      <c r="J12113" s="238"/>
    </row>
    <row r="12114">
      <c r="C12114" s="82"/>
      <c r="E12114" s="84"/>
      <c r="F12114" s="84"/>
      <c r="G12114" s="84"/>
      <c r="I12114" s="237"/>
      <c r="J12114" s="238"/>
    </row>
    <row r="12115">
      <c r="C12115" s="82"/>
      <c r="E12115" s="84"/>
      <c r="F12115" s="84"/>
      <c r="G12115" s="84"/>
      <c r="I12115" s="237"/>
      <c r="J12115" s="238"/>
    </row>
    <row r="12116">
      <c r="C12116" s="82"/>
      <c r="E12116" s="84"/>
      <c r="F12116" s="84"/>
      <c r="G12116" s="84"/>
      <c r="I12116" s="237"/>
      <c r="J12116" s="238"/>
    </row>
    <row r="12117">
      <c r="C12117" s="82"/>
      <c r="E12117" s="84"/>
      <c r="F12117" s="84"/>
      <c r="G12117" s="84"/>
      <c r="I12117" s="237"/>
      <c r="J12117" s="238"/>
    </row>
    <row r="12118">
      <c r="C12118" s="82"/>
      <c r="E12118" s="84"/>
      <c r="F12118" s="84"/>
      <c r="G12118" s="84"/>
      <c r="I12118" s="237"/>
      <c r="J12118" s="238"/>
    </row>
    <row r="12119">
      <c r="C12119" s="82"/>
      <c r="E12119" s="84"/>
      <c r="F12119" s="84"/>
      <c r="G12119" s="84"/>
      <c r="I12119" s="237"/>
      <c r="J12119" s="238"/>
    </row>
    <row r="12120">
      <c r="C12120" s="82"/>
      <c r="E12120" s="84"/>
      <c r="F12120" s="84"/>
      <c r="G12120" s="84"/>
      <c r="I12120" s="237"/>
      <c r="J12120" s="238"/>
    </row>
    <row r="12121">
      <c r="C12121" s="82"/>
      <c r="E12121" s="84"/>
      <c r="F12121" s="84"/>
      <c r="G12121" s="84"/>
      <c r="I12121" s="237"/>
      <c r="J12121" s="238"/>
    </row>
    <row r="12122">
      <c r="C12122" s="82"/>
      <c r="E12122" s="84"/>
      <c r="F12122" s="84"/>
      <c r="G12122" s="84"/>
      <c r="I12122" s="237"/>
      <c r="J12122" s="238"/>
    </row>
    <row r="12123">
      <c r="C12123" s="82"/>
      <c r="E12123" s="84"/>
      <c r="F12123" s="84"/>
      <c r="G12123" s="84"/>
      <c r="I12123" s="237"/>
      <c r="J12123" s="238"/>
    </row>
    <row r="12124">
      <c r="C12124" s="82"/>
      <c r="E12124" s="84"/>
      <c r="F12124" s="84"/>
      <c r="G12124" s="84"/>
      <c r="I12124" s="237"/>
      <c r="J12124" s="238"/>
    </row>
    <row r="12125">
      <c r="C12125" s="82"/>
      <c r="E12125" s="84"/>
      <c r="F12125" s="84"/>
      <c r="G12125" s="84"/>
      <c r="I12125" s="237"/>
      <c r="J12125" s="238"/>
    </row>
    <row r="12126">
      <c r="C12126" s="82"/>
      <c r="E12126" s="84"/>
      <c r="F12126" s="84"/>
      <c r="G12126" s="84"/>
      <c r="I12126" s="237"/>
      <c r="J12126" s="238"/>
    </row>
    <row r="12127">
      <c r="C12127" s="82"/>
      <c r="E12127" s="84"/>
      <c r="F12127" s="84"/>
      <c r="G12127" s="84"/>
      <c r="I12127" s="237"/>
      <c r="J12127" s="238"/>
    </row>
    <row r="12128">
      <c r="C12128" s="82"/>
      <c r="E12128" s="84"/>
      <c r="F12128" s="84"/>
      <c r="G12128" s="84"/>
      <c r="I12128" s="237"/>
      <c r="J12128" s="238"/>
    </row>
    <row r="12129">
      <c r="C12129" s="82"/>
      <c r="E12129" s="84"/>
      <c r="F12129" s="84"/>
      <c r="G12129" s="84"/>
      <c r="I12129" s="237"/>
      <c r="J12129" s="238"/>
    </row>
    <row r="12130">
      <c r="C12130" s="82"/>
      <c r="E12130" s="84"/>
      <c r="F12130" s="84"/>
      <c r="G12130" s="84"/>
      <c r="I12130" s="237"/>
      <c r="J12130" s="238"/>
    </row>
    <row r="12131">
      <c r="C12131" s="82"/>
      <c r="E12131" s="84"/>
      <c r="F12131" s="84"/>
      <c r="G12131" s="84"/>
      <c r="I12131" s="237"/>
      <c r="J12131" s="238"/>
    </row>
    <row r="12132">
      <c r="C12132" s="82"/>
      <c r="E12132" s="84"/>
      <c r="F12132" s="84"/>
      <c r="G12132" s="84"/>
      <c r="I12132" s="237"/>
      <c r="J12132" s="238"/>
    </row>
    <row r="12133">
      <c r="C12133" s="82"/>
      <c r="E12133" s="84"/>
      <c r="F12133" s="84"/>
      <c r="G12133" s="84"/>
      <c r="I12133" s="237"/>
      <c r="J12133" s="238"/>
    </row>
    <row r="12134">
      <c r="C12134" s="82"/>
      <c r="E12134" s="84"/>
      <c r="F12134" s="84"/>
      <c r="G12134" s="84"/>
      <c r="I12134" s="237"/>
      <c r="J12134" s="238"/>
    </row>
    <row r="12135">
      <c r="C12135" s="82"/>
      <c r="E12135" s="84"/>
      <c r="F12135" s="84"/>
      <c r="G12135" s="84"/>
      <c r="I12135" s="237"/>
      <c r="J12135" s="238"/>
    </row>
    <row r="12136">
      <c r="C12136" s="82"/>
      <c r="E12136" s="84"/>
      <c r="F12136" s="84"/>
      <c r="G12136" s="84"/>
      <c r="I12136" s="237"/>
      <c r="J12136" s="238"/>
    </row>
    <row r="12137">
      <c r="C12137" s="82"/>
      <c r="E12137" s="84"/>
      <c r="F12137" s="84"/>
      <c r="G12137" s="84"/>
      <c r="I12137" s="237"/>
      <c r="J12137" s="238"/>
    </row>
    <row r="12138">
      <c r="C12138" s="82"/>
      <c r="E12138" s="84"/>
      <c r="F12138" s="84"/>
      <c r="G12138" s="84"/>
      <c r="I12138" s="237"/>
      <c r="J12138" s="238"/>
    </row>
    <row r="12139">
      <c r="C12139" s="82"/>
      <c r="E12139" s="84"/>
      <c r="F12139" s="84"/>
      <c r="G12139" s="84"/>
      <c r="I12139" s="237"/>
      <c r="J12139" s="238"/>
    </row>
    <row r="12140">
      <c r="C12140" s="82"/>
      <c r="E12140" s="84"/>
      <c r="F12140" s="84"/>
      <c r="G12140" s="84"/>
      <c r="I12140" s="237"/>
      <c r="J12140" s="238"/>
    </row>
    <row r="12141">
      <c r="C12141" s="82"/>
      <c r="E12141" s="84"/>
      <c r="F12141" s="84"/>
      <c r="G12141" s="84"/>
      <c r="I12141" s="237"/>
      <c r="J12141" s="238"/>
    </row>
    <row r="12142">
      <c r="C12142" s="82"/>
      <c r="E12142" s="84"/>
      <c r="F12142" s="84"/>
      <c r="G12142" s="84"/>
      <c r="I12142" s="237"/>
      <c r="J12142" s="238"/>
    </row>
    <row r="12143">
      <c r="C12143" s="82"/>
      <c r="E12143" s="84"/>
      <c r="F12143" s="84"/>
      <c r="G12143" s="84"/>
      <c r="I12143" s="237"/>
      <c r="J12143" s="238"/>
    </row>
    <row r="12144">
      <c r="C12144" s="82"/>
      <c r="E12144" s="84"/>
      <c r="F12144" s="84"/>
      <c r="G12144" s="84"/>
      <c r="I12144" s="237"/>
      <c r="J12144" s="238"/>
    </row>
    <row r="12145">
      <c r="C12145" s="82"/>
      <c r="E12145" s="84"/>
      <c r="F12145" s="84"/>
      <c r="G12145" s="84"/>
      <c r="I12145" s="237"/>
      <c r="J12145" s="238"/>
    </row>
    <row r="12146">
      <c r="C12146" s="82"/>
      <c r="E12146" s="84"/>
      <c r="F12146" s="84"/>
      <c r="G12146" s="84"/>
      <c r="I12146" s="237"/>
      <c r="J12146" s="238"/>
    </row>
    <row r="12147">
      <c r="C12147" s="82"/>
      <c r="E12147" s="84"/>
      <c r="F12147" s="84"/>
      <c r="G12147" s="84"/>
      <c r="I12147" s="237"/>
      <c r="J12147" s="238"/>
    </row>
    <row r="12148">
      <c r="C12148" s="82"/>
      <c r="E12148" s="84"/>
      <c r="F12148" s="84"/>
      <c r="G12148" s="84"/>
      <c r="I12148" s="237"/>
      <c r="J12148" s="238"/>
    </row>
    <row r="12149">
      <c r="C12149" s="82"/>
      <c r="E12149" s="84"/>
      <c r="F12149" s="84"/>
      <c r="G12149" s="84"/>
      <c r="I12149" s="237"/>
      <c r="J12149" s="238"/>
    </row>
    <row r="12150">
      <c r="C12150" s="82"/>
      <c r="E12150" s="84"/>
      <c r="F12150" s="84"/>
      <c r="G12150" s="84"/>
      <c r="I12150" s="237"/>
      <c r="J12150" s="238"/>
    </row>
    <row r="12151">
      <c r="C12151" s="82"/>
      <c r="E12151" s="84"/>
      <c r="F12151" s="84"/>
      <c r="G12151" s="84"/>
      <c r="I12151" s="237"/>
      <c r="J12151" s="238"/>
    </row>
    <row r="12152">
      <c r="C12152" s="82"/>
      <c r="E12152" s="84"/>
      <c r="F12152" s="84"/>
      <c r="G12152" s="84"/>
      <c r="I12152" s="237"/>
      <c r="J12152" s="238"/>
    </row>
    <row r="12153">
      <c r="C12153" s="82"/>
      <c r="E12153" s="84"/>
      <c r="F12153" s="84"/>
      <c r="G12153" s="84"/>
      <c r="I12153" s="237"/>
      <c r="J12153" s="238"/>
    </row>
    <row r="12154">
      <c r="C12154" s="82"/>
      <c r="E12154" s="84"/>
      <c r="F12154" s="84"/>
      <c r="G12154" s="84"/>
      <c r="I12154" s="237"/>
      <c r="J12154" s="238"/>
    </row>
    <row r="12155">
      <c r="C12155" s="82"/>
      <c r="E12155" s="84"/>
      <c r="F12155" s="84"/>
      <c r="G12155" s="84"/>
      <c r="I12155" s="237"/>
      <c r="J12155" s="238"/>
    </row>
    <row r="12156">
      <c r="C12156" s="82"/>
      <c r="E12156" s="84"/>
      <c r="F12156" s="84"/>
      <c r="G12156" s="84"/>
      <c r="I12156" s="237"/>
      <c r="J12156" s="238"/>
    </row>
    <row r="12157">
      <c r="C12157" s="82"/>
      <c r="E12157" s="84"/>
      <c r="F12157" s="84"/>
      <c r="G12157" s="84"/>
      <c r="I12157" s="237"/>
      <c r="J12157" s="238"/>
    </row>
    <row r="12158">
      <c r="C12158" s="82"/>
      <c r="E12158" s="84"/>
      <c r="F12158" s="84"/>
      <c r="G12158" s="84"/>
      <c r="I12158" s="237"/>
      <c r="J12158" s="238"/>
    </row>
    <row r="12159">
      <c r="C12159" s="82"/>
      <c r="E12159" s="84"/>
      <c r="F12159" s="84"/>
      <c r="G12159" s="84"/>
      <c r="I12159" s="237"/>
      <c r="J12159" s="238"/>
    </row>
    <row r="12160">
      <c r="C12160" s="82"/>
      <c r="E12160" s="84"/>
      <c r="F12160" s="84"/>
      <c r="G12160" s="84"/>
      <c r="I12160" s="237"/>
      <c r="J12160" s="238"/>
    </row>
    <row r="12161">
      <c r="C12161" s="82"/>
      <c r="E12161" s="84"/>
      <c r="F12161" s="84"/>
      <c r="G12161" s="84"/>
      <c r="I12161" s="237"/>
      <c r="J12161" s="238"/>
    </row>
    <row r="12162">
      <c r="C12162" s="82"/>
      <c r="E12162" s="84"/>
      <c r="F12162" s="84"/>
      <c r="G12162" s="84"/>
      <c r="I12162" s="237"/>
      <c r="J12162" s="238"/>
    </row>
    <row r="12163">
      <c r="C12163" s="82"/>
      <c r="E12163" s="84"/>
      <c r="F12163" s="84"/>
      <c r="G12163" s="84"/>
      <c r="I12163" s="237"/>
      <c r="J12163" s="238"/>
    </row>
    <row r="12164">
      <c r="C12164" s="82"/>
      <c r="E12164" s="84"/>
      <c r="F12164" s="84"/>
      <c r="G12164" s="84"/>
      <c r="I12164" s="237"/>
      <c r="J12164" s="238"/>
    </row>
    <row r="12165">
      <c r="C12165" s="82"/>
      <c r="E12165" s="84"/>
      <c r="F12165" s="84"/>
      <c r="G12165" s="84"/>
      <c r="I12165" s="237"/>
      <c r="J12165" s="238"/>
    </row>
    <row r="12166">
      <c r="C12166" s="82"/>
      <c r="E12166" s="84"/>
      <c r="F12166" s="84"/>
      <c r="G12166" s="84"/>
      <c r="I12166" s="237"/>
      <c r="J12166" s="238"/>
    </row>
    <row r="12167">
      <c r="C12167" s="82"/>
      <c r="E12167" s="84"/>
      <c r="F12167" s="84"/>
      <c r="G12167" s="84"/>
      <c r="I12167" s="237"/>
      <c r="J12167" s="238"/>
    </row>
    <row r="12168">
      <c r="C12168" s="82"/>
      <c r="E12168" s="84"/>
      <c r="F12168" s="84"/>
      <c r="G12168" s="84"/>
      <c r="I12168" s="237"/>
      <c r="J12168" s="238"/>
    </row>
    <row r="12169">
      <c r="C12169" s="82"/>
      <c r="E12169" s="84"/>
      <c r="F12169" s="84"/>
      <c r="G12169" s="84"/>
      <c r="I12169" s="237"/>
      <c r="J12169" s="238"/>
    </row>
    <row r="12170">
      <c r="C12170" s="82"/>
      <c r="E12170" s="84"/>
      <c r="F12170" s="84"/>
      <c r="G12170" s="84"/>
      <c r="I12170" s="237"/>
      <c r="J12170" s="238"/>
    </row>
    <row r="12171">
      <c r="C12171" s="82"/>
      <c r="E12171" s="84"/>
      <c r="F12171" s="84"/>
      <c r="G12171" s="84"/>
      <c r="I12171" s="237"/>
      <c r="J12171" s="238"/>
    </row>
    <row r="12172">
      <c r="C12172" s="82"/>
      <c r="E12172" s="84"/>
      <c r="F12172" s="84"/>
      <c r="G12172" s="84"/>
      <c r="I12172" s="237"/>
      <c r="J12172" s="238"/>
    </row>
    <row r="12173">
      <c r="C12173" s="82"/>
      <c r="E12173" s="84"/>
      <c r="F12173" s="84"/>
      <c r="G12173" s="84"/>
      <c r="I12173" s="237"/>
      <c r="J12173" s="238"/>
    </row>
    <row r="12174">
      <c r="C12174" s="82"/>
      <c r="E12174" s="84"/>
      <c r="F12174" s="84"/>
      <c r="G12174" s="84"/>
      <c r="I12174" s="237"/>
      <c r="J12174" s="238"/>
    </row>
    <row r="12175">
      <c r="C12175" s="82"/>
      <c r="E12175" s="84"/>
      <c r="F12175" s="84"/>
      <c r="G12175" s="84"/>
      <c r="I12175" s="237"/>
      <c r="J12175" s="238"/>
    </row>
    <row r="12176">
      <c r="C12176" s="82"/>
      <c r="E12176" s="84"/>
      <c r="F12176" s="84"/>
      <c r="G12176" s="84"/>
      <c r="I12176" s="237"/>
      <c r="J12176" s="238"/>
    </row>
    <row r="12177">
      <c r="C12177" s="82"/>
      <c r="E12177" s="84"/>
      <c r="F12177" s="84"/>
      <c r="G12177" s="84"/>
      <c r="I12177" s="237"/>
      <c r="J12177" s="238"/>
    </row>
    <row r="12178">
      <c r="C12178" s="82"/>
      <c r="E12178" s="84"/>
      <c r="F12178" s="84"/>
      <c r="G12178" s="84"/>
      <c r="I12178" s="237"/>
      <c r="J12178" s="238"/>
    </row>
    <row r="12179">
      <c r="C12179" s="82"/>
      <c r="E12179" s="84"/>
      <c r="F12179" s="84"/>
      <c r="G12179" s="84"/>
      <c r="I12179" s="237"/>
      <c r="J12179" s="238"/>
    </row>
    <row r="12180">
      <c r="C12180" s="82"/>
      <c r="E12180" s="84"/>
      <c r="F12180" s="84"/>
      <c r="G12180" s="84"/>
      <c r="I12180" s="237"/>
      <c r="J12180" s="238"/>
    </row>
    <row r="12181">
      <c r="C12181" s="82"/>
      <c r="E12181" s="84"/>
      <c r="F12181" s="84"/>
      <c r="G12181" s="84"/>
      <c r="I12181" s="237"/>
      <c r="J12181" s="238"/>
    </row>
    <row r="12182">
      <c r="C12182" s="82"/>
      <c r="E12182" s="84"/>
      <c r="F12182" s="84"/>
      <c r="G12182" s="84"/>
      <c r="I12182" s="237"/>
      <c r="J12182" s="238"/>
    </row>
    <row r="12183">
      <c r="C12183" s="82"/>
      <c r="E12183" s="84"/>
      <c r="F12183" s="84"/>
      <c r="G12183" s="84"/>
      <c r="I12183" s="237"/>
      <c r="J12183" s="238"/>
    </row>
    <row r="12184">
      <c r="C12184" s="82"/>
      <c r="E12184" s="84"/>
      <c r="F12184" s="84"/>
      <c r="G12184" s="84"/>
      <c r="I12184" s="237"/>
      <c r="J12184" s="238"/>
    </row>
    <row r="12185">
      <c r="C12185" s="82"/>
      <c r="E12185" s="84"/>
      <c r="F12185" s="84"/>
      <c r="G12185" s="84"/>
      <c r="I12185" s="237"/>
      <c r="J12185" s="238"/>
    </row>
    <row r="12186">
      <c r="C12186" s="82"/>
      <c r="E12186" s="84"/>
      <c r="F12186" s="84"/>
      <c r="G12186" s="84"/>
      <c r="I12186" s="237"/>
      <c r="J12186" s="238"/>
    </row>
    <row r="12187">
      <c r="C12187" s="82"/>
      <c r="E12187" s="84"/>
      <c r="F12187" s="84"/>
      <c r="G12187" s="84"/>
      <c r="I12187" s="237"/>
      <c r="J12187" s="238"/>
    </row>
    <row r="12188">
      <c r="C12188" s="82"/>
      <c r="E12188" s="84"/>
      <c r="F12188" s="84"/>
      <c r="G12188" s="84"/>
      <c r="I12188" s="237"/>
      <c r="J12188" s="238"/>
    </row>
    <row r="12189">
      <c r="C12189" s="82"/>
      <c r="E12189" s="84"/>
      <c r="F12189" s="84"/>
      <c r="G12189" s="84"/>
      <c r="I12189" s="237"/>
      <c r="J12189" s="238"/>
    </row>
    <row r="12190">
      <c r="C12190" s="82"/>
      <c r="E12190" s="84"/>
      <c r="F12190" s="84"/>
      <c r="G12190" s="84"/>
      <c r="I12190" s="237"/>
      <c r="J12190" s="238"/>
    </row>
    <row r="12191">
      <c r="C12191" s="82"/>
      <c r="E12191" s="84"/>
      <c r="F12191" s="84"/>
      <c r="G12191" s="84"/>
      <c r="I12191" s="237"/>
      <c r="J12191" s="238"/>
    </row>
    <row r="12192">
      <c r="C12192" s="82"/>
      <c r="E12192" s="84"/>
      <c r="F12192" s="84"/>
      <c r="G12192" s="84"/>
      <c r="I12192" s="237"/>
      <c r="J12192" s="238"/>
    </row>
    <row r="12193">
      <c r="C12193" s="82"/>
      <c r="E12193" s="84"/>
      <c r="F12193" s="84"/>
      <c r="G12193" s="84"/>
      <c r="I12193" s="237"/>
      <c r="J12193" s="238"/>
    </row>
    <row r="12194">
      <c r="C12194" s="82"/>
      <c r="E12194" s="84"/>
      <c r="F12194" s="84"/>
      <c r="G12194" s="84"/>
      <c r="I12194" s="237"/>
      <c r="J12194" s="238"/>
    </row>
    <row r="12195">
      <c r="C12195" s="82"/>
      <c r="E12195" s="84"/>
      <c r="F12195" s="84"/>
      <c r="G12195" s="84"/>
      <c r="I12195" s="237"/>
      <c r="J12195" s="238"/>
    </row>
    <row r="12196">
      <c r="C12196" s="82"/>
      <c r="E12196" s="84"/>
      <c r="F12196" s="84"/>
      <c r="G12196" s="84"/>
      <c r="I12196" s="237"/>
      <c r="J12196" s="238"/>
    </row>
    <row r="12197">
      <c r="C12197" s="82"/>
      <c r="E12197" s="84"/>
      <c r="F12197" s="84"/>
      <c r="G12197" s="84"/>
      <c r="I12197" s="237"/>
      <c r="J12197" s="238"/>
    </row>
    <row r="12198">
      <c r="C12198" s="82"/>
      <c r="E12198" s="84"/>
      <c r="F12198" s="84"/>
      <c r="G12198" s="84"/>
      <c r="I12198" s="237"/>
      <c r="J12198" s="238"/>
    </row>
    <row r="12199">
      <c r="C12199" s="82"/>
      <c r="E12199" s="84"/>
      <c r="F12199" s="84"/>
      <c r="G12199" s="84"/>
      <c r="I12199" s="237"/>
      <c r="J12199" s="238"/>
    </row>
    <row r="12200">
      <c r="C12200" s="82"/>
      <c r="E12200" s="84"/>
      <c r="F12200" s="84"/>
      <c r="G12200" s="84"/>
      <c r="I12200" s="237"/>
      <c r="J12200" s="238"/>
    </row>
    <row r="12201">
      <c r="C12201" s="82"/>
      <c r="E12201" s="84"/>
      <c r="F12201" s="84"/>
      <c r="G12201" s="84"/>
      <c r="I12201" s="237"/>
      <c r="J12201" s="238"/>
    </row>
    <row r="12202">
      <c r="C12202" s="82"/>
      <c r="E12202" s="84"/>
      <c r="F12202" s="84"/>
      <c r="G12202" s="84"/>
      <c r="I12202" s="237"/>
      <c r="J12202" s="238"/>
    </row>
    <row r="12203">
      <c r="C12203" s="82"/>
      <c r="E12203" s="84"/>
      <c r="F12203" s="84"/>
      <c r="G12203" s="84"/>
      <c r="I12203" s="237"/>
      <c r="J12203" s="238"/>
    </row>
    <row r="12204">
      <c r="C12204" s="82"/>
      <c r="E12204" s="84"/>
      <c r="F12204" s="84"/>
      <c r="G12204" s="84"/>
      <c r="I12204" s="237"/>
      <c r="J12204" s="238"/>
    </row>
    <row r="12205">
      <c r="C12205" s="82"/>
      <c r="E12205" s="84"/>
      <c r="F12205" s="84"/>
      <c r="G12205" s="84"/>
      <c r="I12205" s="237"/>
      <c r="J12205" s="238"/>
    </row>
    <row r="12206">
      <c r="C12206" s="82"/>
      <c r="E12206" s="84"/>
      <c r="F12206" s="84"/>
      <c r="G12206" s="84"/>
      <c r="I12206" s="237"/>
      <c r="J12206" s="238"/>
    </row>
    <row r="12207">
      <c r="C12207" s="82"/>
      <c r="E12207" s="84"/>
      <c r="F12207" s="84"/>
      <c r="G12207" s="84"/>
      <c r="I12207" s="237"/>
      <c r="J12207" s="238"/>
    </row>
    <row r="12208">
      <c r="C12208" s="82"/>
      <c r="E12208" s="84"/>
      <c r="F12208" s="84"/>
      <c r="G12208" s="84"/>
      <c r="I12208" s="237"/>
      <c r="J12208" s="238"/>
    </row>
    <row r="12209">
      <c r="C12209" s="82"/>
      <c r="E12209" s="84"/>
      <c r="F12209" s="84"/>
      <c r="G12209" s="84"/>
      <c r="I12209" s="237"/>
      <c r="J12209" s="238"/>
    </row>
    <row r="12210">
      <c r="C12210" s="82"/>
      <c r="E12210" s="84"/>
      <c r="F12210" s="84"/>
      <c r="G12210" s="84"/>
      <c r="I12210" s="237"/>
      <c r="J12210" s="238"/>
    </row>
    <row r="12211">
      <c r="C12211" s="82"/>
      <c r="E12211" s="84"/>
      <c r="F12211" s="84"/>
      <c r="G12211" s="84"/>
      <c r="I12211" s="237"/>
      <c r="J12211" s="238"/>
    </row>
    <row r="12212">
      <c r="C12212" s="82"/>
      <c r="E12212" s="84"/>
      <c r="F12212" s="84"/>
      <c r="G12212" s="84"/>
      <c r="I12212" s="237"/>
      <c r="J12212" s="238"/>
    </row>
    <row r="12213">
      <c r="C12213" s="82"/>
      <c r="E12213" s="84"/>
      <c r="F12213" s="84"/>
      <c r="G12213" s="84"/>
      <c r="I12213" s="237"/>
      <c r="J12213" s="238"/>
    </row>
    <row r="12214">
      <c r="C12214" s="82"/>
      <c r="E12214" s="84"/>
      <c r="F12214" s="84"/>
      <c r="G12214" s="84"/>
      <c r="I12214" s="237"/>
      <c r="J12214" s="238"/>
    </row>
    <row r="12215">
      <c r="C12215" s="82"/>
      <c r="E12215" s="84"/>
      <c r="F12215" s="84"/>
      <c r="G12215" s="84"/>
      <c r="I12215" s="237"/>
      <c r="J12215" s="238"/>
    </row>
    <row r="12216">
      <c r="C12216" s="82"/>
      <c r="E12216" s="84"/>
      <c r="F12216" s="84"/>
      <c r="G12216" s="84"/>
      <c r="I12216" s="237"/>
      <c r="J12216" s="238"/>
    </row>
    <row r="12217">
      <c r="C12217" s="82"/>
      <c r="E12217" s="84"/>
      <c r="F12217" s="84"/>
      <c r="G12217" s="84"/>
      <c r="I12217" s="237"/>
      <c r="J12217" s="238"/>
    </row>
    <row r="12218">
      <c r="C12218" s="82"/>
      <c r="E12218" s="84"/>
      <c r="F12218" s="84"/>
      <c r="G12218" s="84"/>
      <c r="I12218" s="237"/>
      <c r="J12218" s="238"/>
    </row>
    <row r="12219">
      <c r="C12219" s="82"/>
      <c r="E12219" s="84"/>
      <c r="F12219" s="84"/>
      <c r="G12219" s="84"/>
      <c r="I12219" s="237"/>
      <c r="J12219" s="238"/>
    </row>
    <row r="12220">
      <c r="C12220" s="82"/>
      <c r="E12220" s="84"/>
      <c r="F12220" s="84"/>
      <c r="G12220" s="84"/>
      <c r="I12220" s="237"/>
      <c r="J12220" s="238"/>
    </row>
    <row r="12221">
      <c r="C12221" s="82"/>
      <c r="E12221" s="84"/>
      <c r="F12221" s="84"/>
      <c r="G12221" s="84"/>
      <c r="I12221" s="237"/>
      <c r="J12221" s="238"/>
    </row>
    <row r="12222">
      <c r="C12222" s="82"/>
      <c r="E12222" s="84"/>
      <c r="F12222" s="84"/>
      <c r="G12222" s="84"/>
      <c r="I12222" s="237"/>
      <c r="J12222" s="238"/>
    </row>
    <row r="12223">
      <c r="C12223" s="82"/>
      <c r="E12223" s="84"/>
      <c r="F12223" s="84"/>
      <c r="G12223" s="84"/>
      <c r="I12223" s="237"/>
      <c r="J12223" s="238"/>
    </row>
    <row r="12224">
      <c r="C12224" s="82"/>
      <c r="E12224" s="84"/>
      <c r="F12224" s="84"/>
      <c r="G12224" s="84"/>
      <c r="I12224" s="237"/>
      <c r="J12224" s="238"/>
    </row>
    <row r="12225">
      <c r="C12225" s="82"/>
      <c r="E12225" s="84"/>
      <c r="F12225" s="84"/>
      <c r="G12225" s="84"/>
      <c r="I12225" s="237"/>
      <c r="J12225" s="238"/>
    </row>
    <row r="12226">
      <c r="C12226" s="82"/>
      <c r="E12226" s="84"/>
      <c r="F12226" s="84"/>
      <c r="G12226" s="84"/>
      <c r="I12226" s="237"/>
      <c r="J12226" s="238"/>
    </row>
    <row r="12227">
      <c r="C12227" s="82"/>
      <c r="E12227" s="84"/>
      <c r="F12227" s="84"/>
      <c r="G12227" s="84"/>
      <c r="I12227" s="237"/>
      <c r="J12227" s="238"/>
    </row>
    <row r="12228">
      <c r="C12228" s="82"/>
      <c r="E12228" s="84"/>
      <c r="F12228" s="84"/>
      <c r="G12228" s="84"/>
      <c r="I12228" s="237"/>
      <c r="J12228" s="238"/>
    </row>
    <row r="12229">
      <c r="C12229" s="82"/>
      <c r="E12229" s="84"/>
      <c r="F12229" s="84"/>
      <c r="G12229" s="84"/>
      <c r="I12229" s="237"/>
      <c r="J12229" s="238"/>
    </row>
    <row r="12230">
      <c r="C12230" s="82"/>
      <c r="E12230" s="84"/>
      <c r="F12230" s="84"/>
      <c r="G12230" s="84"/>
      <c r="I12230" s="237"/>
      <c r="J12230" s="238"/>
    </row>
    <row r="12231">
      <c r="C12231" s="82"/>
      <c r="E12231" s="84"/>
      <c r="F12231" s="84"/>
      <c r="G12231" s="84"/>
      <c r="I12231" s="237"/>
      <c r="J12231" s="238"/>
    </row>
    <row r="12232">
      <c r="C12232" s="82"/>
      <c r="E12232" s="84"/>
      <c r="F12232" s="84"/>
      <c r="G12232" s="84"/>
      <c r="I12232" s="237"/>
      <c r="J12232" s="238"/>
    </row>
    <row r="12233">
      <c r="C12233" s="82"/>
      <c r="E12233" s="84"/>
      <c r="F12233" s="84"/>
      <c r="G12233" s="84"/>
      <c r="I12233" s="237"/>
      <c r="J12233" s="238"/>
    </row>
    <row r="12234">
      <c r="C12234" s="82"/>
      <c r="E12234" s="84"/>
      <c r="F12234" s="84"/>
      <c r="G12234" s="84"/>
      <c r="I12234" s="237"/>
      <c r="J12234" s="238"/>
    </row>
    <row r="12235">
      <c r="C12235" s="82"/>
      <c r="E12235" s="84"/>
      <c r="F12235" s="84"/>
      <c r="G12235" s="84"/>
      <c r="I12235" s="237"/>
      <c r="J12235" s="238"/>
    </row>
    <row r="12236">
      <c r="C12236" s="82"/>
      <c r="E12236" s="84"/>
      <c r="F12236" s="84"/>
      <c r="G12236" s="84"/>
      <c r="I12236" s="237"/>
      <c r="J12236" s="238"/>
    </row>
    <row r="12237">
      <c r="C12237" s="82"/>
      <c r="E12237" s="84"/>
      <c r="F12237" s="84"/>
      <c r="G12237" s="84"/>
      <c r="I12237" s="237"/>
      <c r="J12237" s="238"/>
    </row>
    <row r="12238">
      <c r="C12238" s="82"/>
      <c r="E12238" s="84"/>
      <c r="F12238" s="84"/>
      <c r="G12238" s="84"/>
      <c r="I12238" s="237"/>
      <c r="J12238" s="238"/>
    </row>
    <row r="12239">
      <c r="C12239" s="82"/>
      <c r="E12239" s="84"/>
      <c r="F12239" s="84"/>
      <c r="G12239" s="84"/>
      <c r="I12239" s="237"/>
      <c r="J12239" s="238"/>
    </row>
    <row r="12240">
      <c r="C12240" s="82"/>
      <c r="E12240" s="84"/>
      <c r="F12240" s="84"/>
      <c r="G12240" s="84"/>
      <c r="I12240" s="237"/>
      <c r="J12240" s="238"/>
    </row>
    <row r="12241">
      <c r="C12241" s="82"/>
      <c r="E12241" s="84"/>
      <c r="F12241" s="84"/>
      <c r="G12241" s="84"/>
      <c r="I12241" s="237"/>
      <c r="J12241" s="238"/>
    </row>
    <row r="12242">
      <c r="C12242" s="82"/>
      <c r="E12242" s="84"/>
      <c r="F12242" s="84"/>
      <c r="G12242" s="84"/>
      <c r="I12242" s="237"/>
      <c r="J12242" s="238"/>
    </row>
    <row r="12243">
      <c r="C12243" s="82"/>
      <c r="E12243" s="84"/>
      <c r="F12243" s="84"/>
      <c r="G12243" s="84"/>
      <c r="I12243" s="237"/>
      <c r="J12243" s="238"/>
    </row>
    <row r="12244">
      <c r="C12244" s="82"/>
      <c r="E12244" s="84"/>
      <c r="F12244" s="84"/>
      <c r="G12244" s="84"/>
      <c r="I12244" s="237"/>
      <c r="J12244" s="238"/>
    </row>
    <row r="12245">
      <c r="C12245" s="82"/>
      <c r="E12245" s="84"/>
      <c r="F12245" s="84"/>
      <c r="G12245" s="84"/>
      <c r="I12245" s="237"/>
      <c r="J12245" s="238"/>
    </row>
    <row r="12246">
      <c r="C12246" s="82"/>
      <c r="E12246" s="84"/>
      <c r="F12246" s="84"/>
      <c r="G12246" s="84"/>
      <c r="I12246" s="237"/>
      <c r="J12246" s="238"/>
    </row>
    <row r="12247">
      <c r="C12247" s="82"/>
      <c r="E12247" s="84"/>
      <c r="F12247" s="84"/>
      <c r="G12247" s="84"/>
      <c r="I12247" s="237"/>
      <c r="J12247" s="238"/>
    </row>
    <row r="12248">
      <c r="C12248" s="82"/>
      <c r="E12248" s="84"/>
      <c r="F12248" s="84"/>
      <c r="G12248" s="84"/>
      <c r="I12248" s="237"/>
      <c r="J12248" s="238"/>
    </row>
    <row r="12249">
      <c r="C12249" s="82"/>
      <c r="E12249" s="84"/>
      <c r="F12249" s="84"/>
      <c r="G12249" s="84"/>
      <c r="I12249" s="237"/>
      <c r="J12249" s="238"/>
    </row>
    <row r="12250">
      <c r="C12250" s="82"/>
      <c r="E12250" s="84"/>
      <c r="F12250" s="84"/>
      <c r="G12250" s="84"/>
      <c r="I12250" s="237"/>
      <c r="J12250" s="238"/>
    </row>
    <row r="12251">
      <c r="C12251" s="82"/>
      <c r="E12251" s="84"/>
      <c r="F12251" s="84"/>
      <c r="G12251" s="84"/>
      <c r="I12251" s="237"/>
      <c r="J12251" s="238"/>
    </row>
    <row r="12252">
      <c r="C12252" s="82"/>
      <c r="E12252" s="84"/>
      <c r="F12252" s="84"/>
      <c r="G12252" s="84"/>
      <c r="I12252" s="237"/>
      <c r="J12252" s="238"/>
    </row>
    <row r="12253">
      <c r="C12253" s="82"/>
      <c r="E12253" s="84"/>
      <c r="F12253" s="84"/>
      <c r="G12253" s="84"/>
      <c r="I12253" s="237"/>
      <c r="J12253" s="238"/>
    </row>
    <row r="12254">
      <c r="C12254" s="82"/>
      <c r="E12254" s="84"/>
      <c r="F12254" s="84"/>
      <c r="G12254" s="84"/>
      <c r="I12254" s="237"/>
      <c r="J12254" s="238"/>
    </row>
    <row r="12255">
      <c r="C12255" s="82"/>
      <c r="E12255" s="84"/>
      <c r="F12255" s="84"/>
      <c r="G12255" s="84"/>
      <c r="I12255" s="237"/>
      <c r="J12255" s="238"/>
    </row>
    <row r="12256">
      <c r="C12256" s="82"/>
      <c r="E12256" s="84"/>
      <c r="F12256" s="84"/>
      <c r="G12256" s="84"/>
      <c r="I12256" s="237"/>
      <c r="J12256" s="238"/>
    </row>
    <row r="12257">
      <c r="C12257" s="82"/>
      <c r="E12257" s="84"/>
      <c r="F12257" s="84"/>
      <c r="G12257" s="84"/>
      <c r="I12257" s="237"/>
      <c r="J12257" s="238"/>
    </row>
    <row r="12258">
      <c r="C12258" s="82"/>
      <c r="E12258" s="84"/>
      <c r="F12258" s="84"/>
      <c r="G12258" s="84"/>
      <c r="I12258" s="237"/>
      <c r="J12258" s="238"/>
    </row>
    <row r="12259">
      <c r="C12259" s="82"/>
      <c r="E12259" s="84"/>
      <c r="F12259" s="84"/>
      <c r="G12259" s="84"/>
      <c r="I12259" s="237"/>
      <c r="J12259" s="238"/>
    </row>
    <row r="12260">
      <c r="C12260" s="82"/>
      <c r="E12260" s="84"/>
      <c r="F12260" s="84"/>
      <c r="G12260" s="84"/>
      <c r="I12260" s="237"/>
      <c r="J12260" s="238"/>
    </row>
    <row r="12261">
      <c r="C12261" s="82"/>
      <c r="E12261" s="84"/>
      <c r="F12261" s="84"/>
      <c r="G12261" s="84"/>
      <c r="I12261" s="237"/>
      <c r="J12261" s="238"/>
    </row>
    <row r="12262">
      <c r="C12262" s="82"/>
      <c r="E12262" s="84"/>
      <c r="F12262" s="84"/>
      <c r="G12262" s="84"/>
      <c r="I12262" s="237"/>
      <c r="J12262" s="238"/>
    </row>
    <row r="12263">
      <c r="C12263" s="82"/>
      <c r="E12263" s="84"/>
      <c r="F12263" s="84"/>
      <c r="G12263" s="84"/>
      <c r="I12263" s="237"/>
      <c r="J12263" s="238"/>
    </row>
    <row r="12264">
      <c r="C12264" s="82"/>
      <c r="E12264" s="84"/>
      <c r="F12264" s="84"/>
      <c r="G12264" s="84"/>
      <c r="I12264" s="237"/>
      <c r="J12264" s="238"/>
    </row>
    <row r="12265">
      <c r="C12265" s="82"/>
      <c r="E12265" s="84"/>
      <c r="F12265" s="84"/>
      <c r="G12265" s="84"/>
      <c r="I12265" s="237"/>
      <c r="J12265" s="238"/>
    </row>
    <row r="12266">
      <c r="C12266" s="82"/>
      <c r="E12266" s="84"/>
      <c r="F12266" s="84"/>
      <c r="G12266" s="84"/>
      <c r="I12266" s="237"/>
      <c r="J12266" s="238"/>
    </row>
    <row r="12267">
      <c r="C12267" s="82"/>
      <c r="E12267" s="84"/>
      <c r="F12267" s="84"/>
      <c r="G12267" s="84"/>
      <c r="I12267" s="237"/>
      <c r="J12267" s="238"/>
    </row>
    <row r="12268">
      <c r="C12268" s="82"/>
      <c r="E12268" s="84"/>
      <c r="F12268" s="84"/>
      <c r="G12268" s="84"/>
      <c r="I12268" s="237"/>
      <c r="J12268" s="238"/>
    </row>
    <row r="12269">
      <c r="C12269" s="82"/>
      <c r="E12269" s="84"/>
      <c r="F12269" s="84"/>
      <c r="G12269" s="84"/>
      <c r="I12269" s="237"/>
      <c r="J12269" s="238"/>
    </row>
    <row r="12270">
      <c r="C12270" s="82"/>
      <c r="E12270" s="84"/>
      <c r="F12270" s="84"/>
      <c r="G12270" s="84"/>
      <c r="I12270" s="237"/>
      <c r="J12270" s="238"/>
    </row>
    <row r="12271">
      <c r="C12271" s="82"/>
      <c r="E12271" s="84"/>
      <c r="F12271" s="84"/>
      <c r="G12271" s="84"/>
      <c r="I12271" s="237"/>
      <c r="J12271" s="238"/>
    </row>
    <row r="12272">
      <c r="C12272" s="82"/>
      <c r="E12272" s="84"/>
      <c r="F12272" s="84"/>
      <c r="G12272" s="84"/>
      <c r="I12272" s="237"/>
      <c r="J12272" s="238"/>
    </row>
    <row r="12273">
      <c r="C12273" s="82"/>
      <c r="E12273" s="84"/>
      <c r="F12273" s="84"/>
      <c r="G12273" s="84"/>
      <c r="I12273" s="237"/>
      <c r="J12273" s="238"/>
    </row>
    <row r="12274">
      <c r="C12274" s="82"/>
      <c r="E12274" s="84"/>
      <c r="F12274" s="84"/>
      <c r="G12274" s="84"/>
      <c r="I12274" s="237"/>
      <c r="J12274" s="238"/>
    </row>
    <row r="12275">
      <c r="C12275" s="82"/>
      <c r="E12275" s="84"/>
      <c r="F12275" s="84"/>
      <c r="G12275" s="84"/>
      <c r="I12275" s="237"/>
      <c r="J12275" s="238"/>
    </row>
    <row r="12276">
      <c r="C12276" s="82"/>
      <c r="E12276" s="84"/>
      <c r="F12276" s="84"/>
      <c r="G12276" s="84"/>
      <c r="I12276" s="237"/>
      <c r="J12276" s="238"/>
    </row>
    <row r="12277">
      <c r="C12277" s="82"/>
      <c r="E12277" s="84"/>
      <c r="F12277" s="84"/>
      <c r="G12277" s="84"/>
      <c r="I12277" s="237"/>
      <c r="J12277" s="238"/>
    </row>
    <row r="12278">
      <c r="C12278" s="82"/>
      <c r="E12278" s="84"/>
      <c r="F12278" s="84"/>
      <c r="G12278" s="84"/>
      <c r="I12278" s="237"/>
      <c r="J12278" s="238"/>
    </row>
    <row r="12279">
      <c r="C12279" s="82"/>
      <c r="E12279" s="84"/>
      <c r="F12279" s="84"/>
      <c r="G12279" s="84"/>
      <c r="I12279" s="237"/>
      <c r="J12279" s="238"/>
    </row>
    <row r="12280">
      <c r="C12280" s="82"/>
      <c r="E12280" s="84"/>
      <c r="F12280" s="84"/>
      <c r="G12280" s="84"/>
      <c r="I12280" s="237"/>
      <c r="J12280" s="238"/>
    </row>
    <row r="12281">
      <c r="C12281" s="82"/>
      <c r="E12281" s="84"/>
      <c r="F12281" s="84"/>
      <c r="G12281" s="84"/>
      <c r="I12281" s="237"/>
      <c r="J12281" s="238"/>
    </row>
    <row r="12282">
      <c r="C12282" s="82"/>
      <c r="E12282" s="84"/>
      <c r="F12282" s="84"/>
      <c r="G12282" s="84"/>
      <c r="I12282" s="237"/>
      <c r="J12282" s="238"/>
    </row>
    <row r="12283">
      <c r="C12283" s="82"/>
      <c r="E12283" s="84"/>
      <c r="F12283" s="84"/>
      <c r="G12283" s="84"/>
      <c r="I12283" s="237"/>
      <c r="J12283" s="238"/>
    </row>
    <row r="12284">
      <c r="C12284" s="82"/>
      <c r="E12284" s="84"/>
      <c r="F12284" s="84"/>
      <c r="G12284" s="84"/>
      <c r="I12284" s="237"/>
      <c r="J12284" s="238"/>
    </row>
    <row r="12285">
      <c r="C12285" s="82"/>
      <c r="E12285" s="84"/>
      <c r="F12285" s="84"/>
      <c r="G12285" s="84"/>
      <c r="I12285" s="237"/>
      <c r="J12285" s="238"/>
    </row>
    <row r="12286">
      <c r="C12286" s="82"/>
      <c r="E12286" s="84"/>
      <c r="F12286" s="84"/>
      <c r="G12286" s="84"/>
      <c r="I12286" s="237"/>
      <c r="J12286" s="238"/>
    </row>
    <row r="12287">
      <c r="C12287" s="82"/>
      <c r="E12287" s="84"/>
      <c r="F12287" s="84"/>
      <c r="G12287" s="84"/>
      <c r="I12287" s="237"/>
      <c r="J12287" s="238"/>
    </row>
    <row r="12288">
      <c r="C12288" s="82"/>
      <c r="E12288" s="84"/>
      <c r="F12288" s="84"/>
      <c r="G12288" s="84"/>
      <c r="I12288" s="237"/>
      <c r="J12288" s="238"/>
    </row>
    <row r="12289">
      <c r="C12289" s="82"/>
      <c r="E12289" s="84"/>
      <c r="F12289" s="84"/>
      <c r="G12289" s="84"/>
      <c r="I12289" s="237"/>
      <c r="J12289" s="238"/>
    </row>
    <row r="12290">
      <c r="C12290" s="82"/>
      <c r="E12290" s="84"/>
      <c r="F12290" s="84"/>
      <c r="G12290" s="84"/>
      <c r="I12290" s="237"/>
      <c r="J12290" s="238"/>
    </row>
    <row r="12291">
      <c r="C12291" s="82"/>
      <c r="E12291" s="84"/>
      <c r="F12291" s="84"/>
      <c r="G12291" s="84"/>
      <c r="I12291" s="237"/>
      <c r="J12291" s="238"/>
    </row>
    <row r="12292">
      <c r="C12292" s="82"/>
      <c r="E12292" s="84"/>
      <c r="F12292" s="84"/>
      <c r="G12292" s="84"/>
      <c r="I12292" s="237"/>
      <c r="J12292" s="238"/>
    </row>
    <row r="12293">
      <c r="C12293" s="82"/>
      <c r="E12293" s="84"/>
      <c r="F12293" s="84"/>
      <c r="G12293" s="84"/>
      <c r="I12293" s="237"/>
      <c r="J12293" s="238"/>
    </row>
    <row r="12294">
      <c r="C12294" s="82"/>
      <c r="E12294" s="84"/>
      <c r="F12294" s="84"/>
      <c r="G12294" s="84"/>
      <c r="I12294" s="237"/>
      <c r="J12294" s="238"/>
    </row>
    <row r="12295">
      <c r="C12295" s="82"/>
      <c r="E12295" s="84"/>
      <c r="F12295" s="84"/>
      <c r="G12295" s="84"/>
      <c r="I12295" s="237"/>
      <c r="J12295" s="238"/>
    </row>
    <row r="12296">
      <c r="C12296" s="82"/>
      <c r="E12296" s="84"/>
      <c r="F12296" s="84"/>
      <c r="G12296" s="84"/>
      <c r="I12296" s="237"/>
      <c r="J12296" s="238"/>
    </row>
    <row r="12297">
      <c r="C12297" s="82"/>
      <c r="E12297" s="84"/>
      <c r="F12297" s="84"/>
      <c r="G12297" s="84"/>
      <c r="I12297" s="237"/>
      <c r="J12297" s="238"/>
    </row>
    <row r="12298">
      <c r="C12298" s="82"/>
      <c r="E12298" s="84"/>
      <c r="F12298" s="84"/>
      <c r="G12298" s="84"/>
      <c r="I12298" s="237"/>
      <c r="J12298" s="238"/>
    </row>
    <row r="12299">
      <c r="C12299" s="82"/>
      <c r="E12299" s="84"/>
      <c r="F12299" s="84"/>
      <c r="G12299" s="84"/>
      <c r="I12299" s="237"/>
      <c r="J12299" s="238"/>
    </row>
    <row r="12300">
      <c r="C12300" s="82"/>
      <c r="E12300" s="84"/>
      <c r="F12300" s="84"/>
      <c r="G12300" s="84"/>
      <c r="I12300" s="237"/>
      <c r="J12300" s="238"/>
    </row>
    <row r="12301">
      <c r="C12301" s="82"/>
      <c r="E12301" s="84"/>
      <c r="F12301" s="84"/>
      <c r="G12301" s="84"/>
      <c r="I12301" s="237"/>
      <c r="J12301" s="238"/>
    </row>
    <row r="12302">
      <c r="C12302" s="82"/>
      <c r="E12302" s="84"/>
      <c r="F12302" s="84"/>
      <c r="G12302" s="84"/>
      <c r="I12302" s="237"/>
      <c r="J12302" s="238"/>
    </row>
    <row r="12303">
      <c r="C12303" s="82"/>
      <c r="E12303" s="84"/>
      <c r="F12303" s="84"/>
      <c r="G12303" s="84"/>
      <c r="I12303" s="237"/>
      <c r="J12303" s="238"/>
    </row>
    <row r="12304">
      <c r="C12304" s="82"/>
      <c r="E12304" s="84"/>
      <c r="F12304" s="84"/>
      <c r="G12304" s="84"/>
      <c r="I12304" s="237"/>
      <c r="J12304" s="238"/>
    </row>
    <row r="12305">
      <c r="C12305" s="82"/>
      <c r="E12305" s="84"/>
      <c r="F12305" s="84"/>
      <c r="G12305" s="84"/>
      <c r="I12305" s="237"/>
      <c r="J12305" s="238"/>
    </row>
    <row r="12306">
      <c r="C12306" s="82"/>
      <c r="E12306" s="84"/>
      <c r="F12306" s="84"/>
      <c r="G12306" s="84"/>
      <c r="I12306" s="237"/>
      <c r="J12306" s="238"/>
    </row>
    <row r="12307">
      <c r="C12307" s="82"/>
      <c r="E12307" s="84"/>
      <c r="F12307" s="84"/>
      <c r="G12307" s="84"/>
      <c r="I12307" s="237"/>
      <c r="J12307" s="238"/>
    </row>
    <row r="12308">
      <c r="C12308" s="82"/>
      <c r="E12308" s="84"/>
      <c r="F12308" s="84"/>
      <c r="G12308" s="84"/>
      <c r="I12308" s="237"/>
      <c r="J12308" s="238"/>
    </row>
    <row r="12309">
      <c r="C12309" s="82"/>
      <c r="E12309" s="84"/>
      <c r="F12309" s="84"/>
      <c r="G12309" s="84"/>
      <c r="I12309" s="237"/>
      <c r="J12309" s="238"/>
    </row>
    <row r="12310">
      <c r="C12310" s="82"/>
      <c r="E12310" s="84"/>
      <c r="F12310" s="84"/>
      <c r="G12310" s="84"/>
      <c r="I12310" s="237"/>
      <c r="J12310" s="238"/>
    </row>
    <row r="12311">
      <c r="C12311" s="82"/>
      <c r="E12311" s="84"/>
      <c r="F12311" s="84"/>
      <c r="G12311" s="84"/>
      <c r="I12311" s="237"/>
      <c r="J12311" s="238"/>
    </row>
    <row r="12312">
      <c r="C12312" s="82"/>
      <c r="E12312" s="84"/>
      <c r="F12312" s="84"/>
      <c r="G12312" s="84"/>
      <c r="I12312" s="237"/>
      <c r="J12312" s="238"/>
    </row>
    <row r="12313">
      <c r="C12313" s="82"/>
      <c r="E12313" s="84"/>
      <c r="F12313" s="84"/>
      <c r="G12313" s="84"/>
      <c r="I12313" s="237"/>
      <c r="J12313" s="238"/>
    </row>
    <row r="12314">
      <c r="C12314" s="82"/>
      <c r="E12314" s="84"/>
      <c r="F12314" s="84"/>
      <c r="G12314" s="84"/>
      <c r="I12314" s="237"/>
      <c r="J12314" s="238"/>
    </row>
    <row r="12315">
      <c r="C12315" s="82"/>
      <c r="E12315" s="84"/>
      <c r="F12315" s="84"/>
      <c r="G12315" s="84"/>
      <c r="I12315" s="237"/>
      <c r="J12315" s="238"/>
    </row>
    <row r="12316">
      <c r="C12316" s="82"/>
      <c r="E12316" s="84"/>
      <c r="F12316" s="84"/>
      <c r="G12316" s="84"/>
      <c r="I12316" s="237"/>
      <c r="J12316" s="238"/>
    </row>
    <row r="12317">
      <c r="C12317" s="82"/>
      <c r="E12317" s="84"/>
      <c r="F12317" s="84"/>
      <c r="G12317" s="84"/>
      <c r="I12317" s="237"/>
      <c r="J12317" s="238"/>
    </row>
    <row r="12318">
      <c r="C12318" s="82"/>
      <c r="E12318" s="84"/>
      <c r="F12318" s="84"/>
      <c r="G12318" s="84"/>
      <c r="I12318" s="237"/>
      <c r="J12318" s="238"/>
    </row>
    <row r="12319">
      <c r="C12319" s="82"/>
      <c r="E12319" s="84"/>
      <c r="F12319" s="84"/>
      <c r="G12319" s="84"/>
      <c r="I12319" s="237"/>
      <c r="J12319" s="238"/>
    </row>
    <row r="12320">
      <c r="C12320" s="82"/>
      <c r="E12320" s="84"/>
      <c r="F12320" s="84"/>
      <c r="G12320" s="84"/>
      <c r="I12320" s="237"/>
      <c r="J12320" s="238"/>
    </row>
    <row r="12321">
      <c r="C12321" s="82"/>
      <c r="E12321" s="84"/>
      <c r="F12321" s="84"/>
      <c r="G12321" s="84"/>
      <c r="I12321" s="237"/>
      <c r="J12321" s="238"/>
    </row>
    <row r="12322">
      <c r="C12322" s="82"/>
      <c r="E12322" s="84"/>
      <c r="F12322" s="84"/>
      <c r="G12322" s="84"/>
      <c r="I12322" s="237"/>
      <c r="J12322" s="238"/>
    </row>
    <row r="12323">
      <c r="C12323" s="82"/>
      <c r="E12323" s="84"/>
      <c r="F12323" s="84"/>
      <c r="G12323" s="84"/>
      <c r="I12323" s="237"/>
      <c r="J12323" s="238"/>
    </row>
    <row r="12324">
      <c r="C12324" s="82"/>
      <c r="E12324" s="84"/>
      <c r="F12324" s="84"/>
      <c r="G12324" s="84"/>
      <c r="I12324" s="237"/>
      <c r="J12324" s="238"/>
    </row>
    <row r="12325">
      <c r="C12325" s="82"/>
      <c r="E12325" s="84"/>
      <c r="F12325" s="84"/>
      <c r="G12325" s="84"/>
      <c r="I12325" s="237"/>
      <c r="J12325" s="238"/>
    </row>
    <row r="12326">
      <c r="C12326" s="82"/>
      <c r="E12326" s="84"/>
      <c r="F12326" s="84"/>
      <c r="G12326" s="84"/>
      <c r="I12326" s="237"/>
      <c r="J12326" s="238"/>
    </row>
    <row r="12327">
      <c r="C12327" s="82"/>
      <c r="E12327" s="84"/>
      <c r="F12327" s="84"/>
      <c r="G12327" s="84"/>
      <c r="I12327" s="237"/>
      <c r="J12327" s="238"/>
    </row>
    <row r="12328">
      <c r="C12328" s="82"/>
      <c r="E12328" s="84"/>
      <c r="F12328" s="84"/>
      <c r="G12328" s="84"/>
      <c r="I12328" s="237"/>
      <c r="J12328" s="238"/>
    </row>
    <row r="12329">
      <c r="C12329" s="82"/>
      <c r="E12329" s="84"/>
      <c r="F12329" s="84"/>
      <c r="G12329" s="84"/>
      <c r="I12329" s="237"/>
      <c r="J12329" s="238"/>
    </row>
    <row r="12330">
      <c r="C12330" s="82"/>
      <c r="E12330" s="84"/>
      <c r="F12330" s="84"/>
      <c r="G12330" s="84"/>
      <c r="I12330" s="237"/>
      <c r="J12330" s="238"/>
    </row>
    <row r="12331">
      <c r="C12331" s="82"/>
      <c r="E12331" s="84"/>
      <c r="F12331" s="84"/>
      <c r="G12331" s="84"/>
      <c r="I12331" s="237"/>
      <c r="J12331" s="238"/>
    </row>
    <row r="12332">
      <c r="C12332" s="82"/>
      <c r="E12332" s="84"/>
      <c r="F12332" s="84"/>
      <c r="G12332" s="84"/>
      <c r="I12332" s="237"/>
      <c r="J12332" s="238"/>
    </row>
    <row r="12333">
      <c r="C12333" s="82"/>
      <c r="E12333" s="84"/>
      <c r="F12333" s="84"/>
      <c r="G12333" s="84"/>
      <c r="I12333" s="237"/>
      <c r="J12333" s="238"/>
    </row>
    <row r="12334">
      <c r="C12334" s="82"/>
      <c r="E12334" s="84"/>
      <c r="F12334" s="84"/>
      <c r="G12334" s="84"/>
      <c r="I12334" s="237"/>
      <c r="J12334" s="238"/>
    </row>
    <row r="12335">
      <c r="C12335" s="82"/>
      <c r="E12335" s="84"/>
      <c r="F12335" s="84"/>
      <c r="G12335" s="84"/>
      <c r="I12335" s="237"/>
      <c r="J12335" s="238"/>
    </row>
    <row r="12336">
      <c r="C12336" s="82"/>
      <c r="E12336" s="84"/>
      <c r="F12336" s="84"/>
      <c r="G12336" s="84"/>
      <c r="I12336" s="237"/>
      <c r="J12336" s="238"/>
    </row>
    <row r="12337">
      <c r="C12337" s="82"/>
      <c r="E12337" s="84"/>
      <c r="F12337" s="84"/>
      <c r="G12337" s="84"/>
      <c r="I12337" s="237"/>
      <c r="J12337" s="238"/>
    </row>
    <row r="12338">
      <c r="C12338" s="82"/>
      <c r="E12338" s="84"/>
      <c r="F12338" s="84"/>
      <c r="G12338" s="84"/>
      <c r="I12338" s="237"/>
      <c r="J12338" s="238"/>
    </row>
    <row r="12339">
      <c r="C12339" s="82"/>
      <c r="E12339" s="84"/>
      <c r="F12339" s="84"/>
      <c r="G12339" s="84"/>
      <c r="I12339" s="237"/>
      <c r="J12339" s="238"/>
    </row>
    <row r="12340">
      <c r="C12340" s="82"/>
      <c r="E12340" s="84"/>
      <c r="F12340" s="84"/>
      <c r="G12340" s="84"/>
      <c r="I12340" s="237"/>
      <c r="J12340" s="238"/>
    </row>
    <row r="12341">
      <c r="C12341" s="82"/>
      <c r="E12341" s="84"/>
      <c r="F12341" s="84"/>
      <c r="G12341" s="84"/>
      <c r="I12341" s="237"/>
      <c r="J12341" s="238"/>
    </row>
    <row r="12342">
      <c r="C12342" s="82"/>
      <c r="E12342" s="84"/>
      <c r="F12342" s="84"/>
      <c r="G12342" s="84"/>
      <c r="I12342" s="237"/>
      <c r="J12342" s="238"/>
    </row>
    <row r="12343">
      <c r="C12343" s="82"/>
      <c r="E12343" s="84"/>
      <c r="F12343" s="84"/>
      <c r="G12343" s="84"/>
      <c r="I12343" s="237"/>
      <c r="J12343" s="238"/>
    </row>
    <row r="12344">
      <c r="C12344" s="82"/>
      <c r="E12344" s="84"/>
      <c r="F12344" s="84"/>
      <c r="G12344" s="84"/>
      <c r="I12344" s="237"/>
      <c r="J12344" s="238"/>
    </row>
    <row r="12345">
      <c r="C12345" s="82"/>
      <c r="E12345" s="84"/>
      <c r="F12345" s="84"/>
      <c r="G12345" s="84"/>
      <c r="I12345" s="237"/>
      <c r="J12345" s="238"/>
    </row>
    <row r="12346">
      <c r="C12346" s="82"/>
      <c r="E12346" s="84"/>
      <c r="F12346" s="84"/>
      <c r="G12346" s="84"/>
      <c r="I12346" s="237"/>
      <c r="J12346" s="238"/>
    </row>
    <row r="12347">
      <c r="C12347" s="82"/>
      <c r="E12347" s="84"/>
      <c r="F12347" s="84"/>
      <c r="G12347" s="84"/>
      <c r="I12347" s="237"/>
      <c r="J12347" s="238"/>
    </row>
    <row r="12348">
      <c r="C12348" s="82"/>
      <c r="E12348" s="84"/>
      <c r="F12348" s="84"/>
      <c r="G12348" s="84"/>
      <c r="I12348" s="237"/>
      <c r="J12348" s="238"/>
    </row>
    <row r="12349">
      <c r="C12349" s="82"/>
      <c r="E12349" s="84"/>
      <c r="F12349" s="84"/>
      <c r="G12349" s="84"/>
      <c r="I12349" s="237"/>
      <c r="J12349" s="238"/>
    </row>
    <row r="12350">
      <c r="C12350" s="82"/>
      <c r="E12350" s="84"/>
      <c r="F12350" s="84"/>
      <c r="G12350" s="84"/>
      <c r="I12350" s="237"/>
      <c r="J12350" s="238"/>
    </row>
    <row r="12351">
      <c r="C12351" s="82"/>
      <c r="E12351" s="84"/>
      <c r="F12351" s="84"/>
      <c r="G12351" s="84"/>
      <c r="I12351" s="237"/>
      <c r="J12351" s="238"/>
    </row>
    <row r="12352">
      <c r="C12352" s="82"/>
      <c r="E12352" s="84"/>
      <c r="F12352" s="84"/>
      <c r="G12352" s="84"/>
      <c r="I12352" s="237"/>
      <c r="J12352" s="238"/>
    </row>
    <row r="12353">
      <c r="C12353" s="82"/>
      <c r="E12353" s="84"/>
      <c r="F12353" s="84"/>
      <c r="G12353" s="84"/>
      <c r="I12353" s="237"/>
      <c r="J12353" s="238"/>
    </row>
    <row r="12354">
      <c r="C12354" s="82"/>
      <c r="E12354" s="84"/>
      <c r="F12354" s="84"/>
      <c r="G12354" s="84"/>
      <c r="I12354" s="237"/>
      <c r="J12354" s="238"/>
    </row>
    <row r="12355">
      <c r="C12355" s="82"/>
      <c r="E12355" s="84"/>
      <c r="F12355" s="84"/>
      <c r="G12355" s="84"/>
      <c r="I12355" s="237"/>
      <c r="J12355" s="238"/>
    </row>
    <row r="12356">
      <c r="C12356" s="82"/>
      <c r="E12356" s="84"/>
      <c r="F12356" s="84"/>
      <c r="G12356" s="84"/>
      <c r="I12356" s="237"/>
      <c r="J12356" s="238"/>
    </row>
    <row r="12357">
      <c r="C12357" s="82"/>
      <c r="E12357" s="84"/>
      <c r="F12357" s="84"/>
      <c r="G12357" s="84"/>
      <c r="I12357" s="237"/>
      <c r="J12357" s="238"/>
    </row>
    <row r="12358">
      <c r="C12358" s="82"/>
      <c r="E12358" s="84"/>
      <c r="F12358" s="84"/>
      <c r="G12358" s="84"/>
      <c r="I12358" s="237"/>
      <c r="J12358" s="238"/>
    </row>
    <row r="12359">
      <c r="C12359" s="82"/>
      <c r="E12359" s="84"/>
      <c r="F12359" s="84"/>
      <c r="G12359" s="84"/>
      <c r="I12359" s="237"/>
      <c r="J12359" s="238"/>
    </row>
    <row r="12360">
      <c r="C12360" s="82"/>
      <c r="E12360" s="84"/>
      <c r="F12360" s="84"/>
      <c r="G12360" s="84"/>
      <c r="I12360" s="237"/>
      <c r="J12360" s="238"/>
    </row>
    <row r="12361">
      <c r="C12361" s="82"/>
      <c r="E12361" s="84"/>
      <c r="F12361" s="84"/>
      <c r="G12361" s="84"/>
      <c r="I12361" s="237"/>
      <c r="J12361" s="238"/>
    </row>
    <row r="12362">
      <c r="C12362" s="82"/>
      <c r="E12362" s="84"/>
      <c r="F12362" s="84"/>
      <c r="G12362" s="84"/>
      <c r="I12362" s="237"/>
      <c r="J12362" s="238"/>
    </row>
    <row r="12363">
      <c r="C12363" s="82"/>
      <c r="E12363" s="84"/>
      <c r="F12363" s="84"/>
      <c r="G12363" s="84"/>
      <c r="I12363" s="237"/>
      <c r="J12363" s="238"/>
    </row>
    <row r="12364">
      <c r="C12364" s="82"/>
      <c r="E12364" s="84"/>
      <c r="F12364" s="84"/>
      <c r="G12364" s="84"/>
      <c r="I12364" s="237"/>
      <c r="J12364" s="238"/>
    </row>
    <row r="12365">
      <c r="C12365" s="82"/>
      <c r="E12365" s="84"/>
      <c r="F12365" s="84"/>
      <c r="G12365" s="84"/>
      <c r="I12365" s="237"/>
      <c r="J12365" s="238"/>
    </row>
    <row r="12366">
      <c r="C12366" s="82"/>
      <c r="E12366" s="84"/>
      <c r="F12366" s="84"/>
      <c r="G12366" s="84"/>
      <c r="I12366" s="237"/>
      <c r="J12366" s="238"/>
    </row>
    <row r="12367">
      <c r="C12367" s="82"/>
      <c r="E12367" s="84"/>
      <c r="F12367" s="84"/>
      <c r="G12367" s="84"/>
      <c r="I12367" s="237"/>
      <c r="J12367" s="238"/>
    </row>
    <row r="12368">
      <c r="C12368" s="82"/>
      <c r="E12368" s="84"/>
      <c r="F12368" s="84"/>
      <c r="G12368" s="84"/>
      <c r="I12368" s="237"/>
      <c r="J12368" s="238"/>
    </row>
    <row r="12369">
      <c r="C12369" s="82"/>
      <c r="E12369" s="84"/>
      <c r="F12369" s="84"/>
      <c r="G12369" s="84"/>
      <c r="I12369" s="237"/>
      <c r="J12369" s="238"/>
    </row>
    <row r="12370">
      <c r="C12370" s="82"/>
      <c r="E12370" s="84"/>
      <c r="F12370" s="84"/>
      <c r="G12370" s="84"/>
      <c r="I12370" s="237"/>
      <c r="J12370" s="238"/>
    </row>
    <row r="12371">
      <c r="C12371" s="82"/>
      <c r="E12371" s="84"/>
      <c r="F12371" s="84"/>
      <c r="G12371" s="84"/>
      <c r="I12371" s="237"/>
      <c r="J12371" s="238"/>
    </row>
    <row r="12372">
      <c r="C12372" s="82"/>
      <c r="E12372" s="84"/>
      <c r="F12372" s="84"/>
      <c r="G12372" s="84"/>
      <c r="I12372" s="237"/>
      <c r="J12372" s="238"/>
    </row>
    <row r="12373">
      <c r="C12373" s="82"/>
      <c r="E12373" s="84"/>
      <c r="F12373" s="84"/>
      <c r="G12373" s="84"/>
      <c r="I12373" s="237"/>
      <c r="J12373" s="238"/>
    </row>
    <row r="12374">
      <c r="C12374" s="82"/>
      <c r="E12374" s="84"/>
      <c r="F12374" s="84"/>
      <c r="G12374" s="84"/>
      <c r="I12374" s="237"/>
      <c r="J12374" s="238"/>
    </row>
    <row r="12375">
      <c r="C12375" s="82"/>
      <c r="E12375" s="84"/>
      <c r="F12375" s="84"/>
      <c r="G12375" s="84"/>
      <c r="I12375" s="237"/>
      <c r="J12375" s="238"/>
    </row>
    <row r="12376">
      <c r="C12376" s="82"/>
      <c r="E12376" s="84"/>
      <c r="F12376" s="84"/>
      <c r="G12376" s="84"/>
      <c r="I12376" s="237"/>
      <c r="J12376" s="238"/>
    </row>
    <row r="12377">
      <c r="C12377" s="82"/>
      <c r="E12377" s="84"/>
      <c r="F12377" s="84"/>
      <c r="G12377" s="84"/>
      <c r="I12377" s="237"/>
      <c r="J12377" s="238"/>
    </row>
    <row r="12378">
      <c r="C12378" s="82"/>
      <c r="E12378" s="84"/>
      <c r="F12378" s="84"/>
      <c r="G12378" s="84"/>
      <c r="I12378" s="237"/>
      <c r="J12378" s="238"/>
    </row>
    <row r="12379">
      <c r="C12379" s="82"/>
      <c r="E12379" s="84"/>
      <c r="F12379" s="84"/>
      <c r="G12379" s="84"/>
      <c r="I12379" s="237"/>
      <c r="J12379" s="238"/>
    </row>
    <row r="12380">
      <c r="C12380" s="82"/>
      <c r="E12380" s="84"/>
      <c r="F12380" s="84"/>
      <c r="G12380" s="84"/>
      <c r="I12380" s="237"/>
      <c r="J12380" s="238"/>
    </row>
    <row r="12381">
      <c r="C12381" s="82"/>
      <c r="E12381" s="84"/>
      <c r="F12381" s="84"/>
      <c r="G12381" s="84"/>
      <c r="I12381" s="237"/>
      <c r="J12381" s="238"/>
    </row>
    <row r="12382">
      <c r="C12382" s="82"/>
      <c r="E12382" s="84"/>
      <c r="F12382" s="84"/>
      <c r="G12382" s="84"/>
      <c r="I12382" s="237"/>
      <c r="J12382" s="238"/>
    </row>
    <row r="12383">
      <c r="C12383" s="82"/>
      <c r="E12383" s="84"/>
      <c r="F12383" s="84"/>
      <c r="G12383" s="84"/>
      <c r="I12383" s="237"/>
      <c r="J12383" s="238"/>
    </row>
    <row r="12384">
      <c r="C12384" s="82"/>
      <c r="E12384" s="84"/>
      <c r="F12384" s="84"/>
      <c r="G12384" s="84"/>
      <c r="I12384" s="237"/>
      <c r="J12384" s="238"/>
    </row>
    <row r="12385">
      <c r="C12385" s="82"/>
      <c r="E12385" s="84"/>
      <c r="F12385" s="84"/>
      <c r="G12385" s="84"/>
      <c r="I12385" s="237"/>
      <c r="J12385" s="238"/>
    </row>
    <row r="12386">
      <c r="C12386" s="82"/>
      <c r="E12386" s="84"/>
      <c r="F12386" s="84"/>
      <c r="G12386" s="84"/>
      <c r="I12386" s="237"/>
      <c r="J12386" s="238"/>
    </row>
    <row r="12387">
      <c r="C12387" s="82"/>
      <c r="E12387" s="84"/>
      <c r="F12387" s="84"/>
      <c r="G12387" s="84"/>
      <c r="I12387" s="237"/>
      <c r="J12387" s="238"/>
    </row>
    <row r="12388">
      <c r="C12388" s="82"/>
      <c r="E12388" s="84"/>
      <c r="F12388" s="84"/>
      <c r="G12388" s="84"/>
      <c r="I12388" s="237"/>
      <c r="J12388" s="238"/>
    </row>
    <row r="12389">
      <c r="C12389" s="82"/>
      <c r="E12389" s="84"/>
      <c r="F12389" s="84"/>
      <c r="G12389" s="84"/>
      <c r="I12389" s="237"/>
      <c r="J12389" s="238"/>
    </row>
    <row r="12390">
      <c r="C12390" s="82"/>
      <c r="E12390" s="84"/>
      <c r="F12390" s="84"/>
      <c r="G12390" s="84"/>
      <c r="I12390" s="237"/>
      <c r="J12390" s="238"/>
    </row>
    <row r="12391">
      <c r="C12391" s="82"/>
      <c r="E12391" s="84"/>
      <c r="F12391" s="84"/>
      <c r="G12391" s="84"/>
      <c r="I12391" s="237"/>
      <c r="J12391" s="238"/>
    </row>
    <row r="12392">
      <c r="C12392" s="82"/>
      <c r="E12392" s="84"/>
      <c r="F12392" s="84"/>
      <c r="G12392" s="84"/>
      <c r="I12392" s="237"/>
      <c r="J12392" s="238"/>
    </row>
    <row r="12393">
      <c r="C12393" s="82"/>
      <c r="E12393" s="84"/>
      <c r="F12393" s="84"/>
      <c r="G12393" s="84"/>
      <c r="I12393" s="237"/>
      <c r="J12393" s="238"/>
    </row>
    <row r="12394">
      <c r="C12394" s="82"/>
      <c r="E12394" s="84"/>
      <c r="F12394" s="84"/>
      <c r="G12394" s="84"/>
      <c r="I12394" s="237"/>
      <c r="J12394" s="238"/>
    </row>
    <row r="12395">
      <c r="C12395" s="82"/>
      <c r="E12395" s="84"/>
      <c r="F12395" s="84"/>
      <c r="G12395" s="84"/>
      <c r="I12395" s="237"/>
      <c r="J12395" s="238"/>
    </row>
    <row r="12396">
      <c r="C12396" s="82"/>
      <c r="E12396" s="84"/>
      <c r="F12396" s="84"/>
      <c r="G12396" s="84"/>
      <c r="I12396" s="237"/>
      <c r="J12396" s="238"/>
    </row>
    <row r="12397">
      <c r="C12397" s="82"/>
      <c r="E12397" s="84"/>
      <c r="F12397" s="84"/>
      <c r="G12397" s="84"/>
      <c r="I12397" s="237"/>
      <c r="J12397" s="238"/>
    </row>
    <row r="12398">
      <c r="C12398" s="82"/>
      <c r="E12398" s="84"/>
      <c r="F12398" s="84"/>
      <c r="G12398" s="84"/>
      <c r="I12398" s="237"/>
      <c r="J12398" s="238"/>
    </row>
    <row r="12399">
      <c r="C12399" s="82"/>
      <c r="E12399" s="84"/>
      <c r="F12399" s="84"/>
      <c r="G12399" s="84"/>
      <c r="I12399" s="237"/>
      <c r="J12399" s="238"/>
    </row>
    <row r="12400">
      <c r="C12400" s="82"/>
      <c r="E12400" s="84"/>
      <c r="F12400" s="84"/>
      <c r="G12400" s="84"/>
      <c r="I12400" s="237"/>
      <c r="J12400" s="238"/>
    </row>
    <row r="12401">
      <c r="C12401" s="82"/>
      <c r="E12401" s="84"/>
      <c r="F12401" s="84"/>
      <c r="G12401" s="84"/>
      <c r="I12401" s="237"/>
      <c r="J12401" s="238"/>
    </row>
    <row r="12402">
      <c r="C12402" s="82"/>
      <c r="E12402" s="84"/>
      <c r="F12402" s="84"/>
      <c r="G12402" s="84"/>
      <c r="I12402" s="237"/>
      <c r="J12402" s="238"/>
    </row>
    <row r="12403">
      <c r="C12403" s="82"/>
      <c r="E12403" s="84"/>
      <c r="F12403" s="84"/>
      <c r="G12403" s="84"/>
      <c r="I12403" s="237"/>
      <c r="J12403" s="238"/>
    </row>
    <row r="12404">
      <c r="C12404" s="82"/>
      <c r="E12404" s="84"/>
      <c r="F12404" s="84"/>
      <c r="G12404" s="84"/>
      <c r="I12404" s="237"/>
      <c r="J12404" s="238"/>
    </row>
    <row r="12405">
      <c r="C12405" s="82"/>
      <c r="E12405" s="84"/>
      <c r="F12405" s="84"/>
      <c r="G12405" s="84"/>
      <c r="I12405" s="237"/>
      <c r="J12405" s="238"/>
    </row>
    <row r="12406">
      <c r="C12406" s="82"/>
      <c r="E12406" s="84"/>
      <c r="F12406" s="84"/>
      <c r="G12406" s="84"/>
      <c r="I12406" s="237"/>
      <c r="J12406" s="238"/>
    </row>
    <row r="12407">
      <c r="C12407" s="82"/>
      <c r="E12407" s="84"/>
      <c r="F12407" s="84"/>
      <c r="G12407" s="84"/>
      <c r="I12407" s="237"/>
      <c r="J12407" s="238"/>
    </row>
    <row r="12408">
      <c r="C12408" s="82"/>
      <c r="E12408" s="84"/>
      <c r="F12408" s="84"/>
      <c r="G12408" s="84"/>
      <c r="I12408" s="237"/>
      <c r="J12408" s="238"/>
    </row>
    <row r="12409">
      <c r="C12409" s="82"/>
      <c r="E12409" s="84"/>
      <c r="F12409" s="84"/>
      <c r="G12409" s="84"/>
      <c r="I12409" s="237"/>
      <c r="J12409" s="238"/>
    </row>
    <row r="12410">
      <c r="C12410" s="82"/>
      <c r="E12410" s="84"/>
      <c r="F12410" s="84"/>
      <c r="G12410" s="84"/>
      <c r="I12410" s="237"/>
      <c r="J12410" s="238"/>
    </row>
    <row r="12411">
      <c r="C12411" s="82"/>
      <c r="E12411" s="84"/>
      <c r="F12411" s="84"/>
      <c r="G12411" s="84"/>
      <c r="I12411" s="237"/>
      <c r="J12411" s="238"/>
    </row>
    <row r="12412">
      <c r="C12412" s="82"/>
      <c r="E12412" s="84"/>
      <c r="F12412" s="84"/>
      <c r="G12412" s="84"/>
      <c r="I12412" s="237"/>
      <c r="J12412" s="238"/>
    </row>
    <row r="12413">
      <c r="C12413" s="82"/>
      <c r="E12413" s="84"/>
      <c r="F12413" s="84"/>
      <c r="G12413" s="84"/>
      <c r="I12413" s="237"/>
      <c r="J12413" s="238"/>
    </row>
    <row r="12414">
      <c r="C12414" s="82"/>
      <c r="E12414" s="84"/>
      <c r="F12414" s="84"/>
      <c r="G12414" s="84"/>
      <c r="I12414" s="237"/>
      <c r="J12414" s="238"/>
    </row>
    <row r="12415">
      <c r="C12415" s="82"/>
      <c r="E12415" s="84"/>
      <c r="F12415" s="84"/>
      <c r="G12415" s="84"/>
      <c r="I12415" s="237"/>
      <c r="J12415" s="238"/>
    </row>
    <row r="12416">
      <c r="C12416" s="82"/>
      <c r="E12416" s="84"/>
      <c r="F12416" s="84"/>
      <c r="G12416" s="84"/>
      <c r="I12416" s="237"/>
      <c r="J12416" s="238"/>
    </row>
    <row r="12417">
      <c r="C12417" s="82"/>
      <c r="E12417" s="84"/>
      <c r="F12417" s="84"/>
      <c r="G12417" s="84"/>
      <c r="I12417" s="237"/>
      <c r="J12417" s="238"/>
    </row>
    <row r="12418">
      <c r="C12418" s="82"/>
      <c r="E12418" s="84"/>
      <c r="F12418" s="84"/>
      <c r="G12418" s="84"/>
      <c r="I12418" s="237"/>
      <c r="J12418" s="238"/>
    </row>
    <row r="12419">
      <c r="C12419" s="82"/>
      <c r="E12419" s="84"/>
      <c r="F12419" s="84"/>
      <c r="G12419" s="84"/>
      <c r="I12419" s="237"/>
      <c r="J12419" s="238"/>
    </row>
    <row r="12420">
      <c r="C12420" s="82"/>
      <c r="E12420" s="84"/>
      <c r="F12420" s="84"/>
      <c r="G12420" s="84"/>
      <c r="I12420" s="237"/>
      <c r="J12420" s="238"/>
    </row>
    <row r="12421">
      <c r="C12421" s="82"/>
      <c r="E12421" s="84"/>
      <c r="F12421" s="84"/>
      <c r="G12421" s="84"/>
      <c r="I12421" s="237"/>
      <c r="J12421" s="238"/>
    </row>
    <row r="12422">
      <c r="C12422" s="82"/>
      <c r="E12422" s="84"/>
      <c r="F12422" s="84"/>
      <c r="G12422" s="84"/>
      <c r="I12422" s="237"/>
      <c r="J12422" s="238"/>
    </row>
    <row r="12423">
      <c r="C12423" s="82"/>
      <c r="E12423" s="84"/>
      <c r="F12423" s="84"/>
      <c r="G12423" s="84"/>
      <c r="I12423" s="237"/>
      <c r="J12423" s="238"/>
    </row>
    <row r="12424">
      <c r="C12424" s="82"/>
      <c r="E12424" s="84"/>
      <c r="F12424" s="84"/>
      <c r="G12424" s="84"/>
      <c r="I12424" s="237"/>
      <c r="J12424" s="238"/>
    </row>
    <row r="12425">
      <c r="C12425" s="82"/>
      <c r="E12425" s="84"/>
      <c r="F12425" s="84"/>
      <c r="G12425" s="84"/>
      <c r="I12425" s="237"/>
      <c r="J12425" s="238"/>
    </row>
    <row r="12426">
      <c r="C12426" s="82"/>
      <c r="E12426" s="84"/>
      <c r="F12426" s="84"/>
      <c r="G12426" s="84"/>
      <c r="I12426" s="237"/>
      <c r="J12426" s="238"/>
    </row>
    <row r="12427">
      <c r="C12427" s="82"/>
      <c r="E12427" s="84"/>
      <c r="F12427" s="84"/>
      <c r="G12427" s="84"/>
      <c r="I12427" s="237"/>
      <c r="J12427" s="238"/>
    </row>
    <row r="12428">
      <c r="C12428" s="82"/>
      <c r="E12428" s="84"/>
      <c r="F12428" s="84"/>
      <c r="G12428" s="84"/>
      <c r="I12428" s="237"/>
      <c r="J12428" s="238"/>
    </row>
    <row r="12429">
      <c r="C12429" s="82"/>
      <c r="E12429" s="84"/>
      <c r="F12429" s="84"/>
      <c r="G12429" s="84"/>
      <c r="I12429" s="237"/>
      <c r="J12429" s="238"/>
    </row>
    <row r="12430">
      <c r="C12430" s="82"/>
      <c r="E12430" s="84"/>
      <c r="F12430" s="84"/>
      <c r="G12430" s="84"/>
      <c r="I12430" s="237"/>
      <c r="J12430" s="238"/>
    </row>
    <row r="12431">
      <c r="C12431" s="82"/>
      <c r="E12431" s="84"/>
      <c r="F12431" s="84"/>
      <c r="G12431" s="84"/>
      <c r="I12431" s="237"/>
      <c r="J12431" s="238"/>
    </row>
    <row r="12432">
      <c r="C12432" s="82"/>
      <c r="E12432" s="84"/>
      <c r="F12432" s="84"/>
      <c r="G12432" s="84"/>
      <c r="I12432" s="237"/>
      <c r="J12432" s="238"/>
    </row>
    <row r="12433">
      <c r="C12433" s="82"/>
      <c r="E12433" s="84"/>
      <c r="F12433" s="84"/>
      <c r="G12433" s="84"/>
      <c r="I12433" s="237"/>
      <c r="J12433" s="238"/>
    </row>
    <row r="12434">
      <c r="C12434" s="82"/>
      <c r="E12434" s="84"/>
      <c r="F12434" s="84"/>
      <c r="G12434" s="84"/>
      <c r="I12434" s="237"/>
      <c r="J12434" s="238"/>
    </row>
    <row r="12435">
      <c r="C12435" s="82"/>
      <c r="E12435" s="84"/>
      <c r="F12435" s="84"/>
      <c r="G12435" s="84"/>
      <c r="I12435" s="237"/>
      <c r="J12435" s="238"/>
    </row>
    <row r="12436">
      <c r="C12436" s="82"/>
      <c r="E12436" s="84"/>
      <c r="F12436" s="84"/>
      <c r="G12436" s="84"/>
      <c r="I12436" s="237"/>
      <c r="J12436" s="238"/>
    </row>
    <row r="12437">
      <c r="C12437" s="82"/>
      <c r="E12437" s="84"/>
      <c r="F12437" s="84"/>
      <c r="G12437" s="84"/>
      <c r="I12437" s="237"/>
      <c r="J12437" s="238"/>
    </row>
    <row r="12438">
      <c r="C12438" s="82"/>
      <c r="E12438" s="84"/>
      <c r="F12438" s="84"/>
      <c r="G12438" s="84"/>
      <c r="I12438" s="237"/>
      <c r="J12438" s="238"/>
    </row>
    <row r="12439">
      <c r="C12439" s="82"/>
      <c r="E12439" s="84"/>
      <c r="F12439" s="84"/>
      <c r="G12439" s="84"/>
      <c r="I12439" s="237"/>
      <c r="J12439" s="238"/>
    </row>
    <row r="12440">
      <c r="C12440" s="82"/>
      <c r="E12440" s="84"/>
      <c r="F12440" s="84"/>
      <c r="G12440" s="84"/>
      <c r="I12440" s="237"/>
      <c r="J12440" s="238"/>
    </row>
    <row r="12441">
      <c r="C12441" s="82"/>
      <c r="E12441" s="84"/>
      <c r="F12441" s="84"/>
      <c r="G12441" s="84"/>
      <c r="I12441" s="237"/>
      <c r="J12441" s="238"/>
    </row>
    <row r="12442">
      <c r="C12442" s="82"/>
      <c r="E12442" s="84"/>
      <c r="F12442" s="84"/>
      <c r="G12442" s="84"/>
      <c r="I12442" s="237"/>
      <c r="J12442" s="238"/>
    </row>
    <row r="12443">
      <c r="C12443" s="82"/>
      <c r="E12443" s="84"/>
      <c r="F12443" s="84"/>
      <c r="G12443" s="84"/>
      <c r="I12443" s="237"/>
      <c r="J12443" s="238"/>
    </row>
    <row r="12444">
      <c r="C12444" s="82"/>
      <c r="E12444" s="84"/>
      <c r="F12444" s="84"/>
      <c r="G12444" s="84"/>
      <c r="I12444" s="237"/>
      <c r="J12444" s="238"/>
    </row>
    <row r="12445">
      <c r="C12445" s="82"/>
      <c r="E12445" s="84"/>
      <c r="F12445" s="84"/>
      <c r="G12445" s="84"/>
      <c r="I12445" s="237"/>
      <c r="J12445" s="238"/>
    </row>
    <row r="12446">
      <c r="C12446" s="82"/>
      <c r="E12446" s="84"/>
      <c r="F12446" s="84"/>
      <c r="G12446" s="84"/>
      <c r="I12446" s="237"/>
      <c r="J12446" s="238"/>
    </row>
    <row r="12447">
      <c r="C12447" s="82"/>
      <c r="E12447" s="84"/>
      <c r="F12447" s="84"/>
      <c r="G12447" s="84"/>
      <c r="I12447" s="237"/>
      <c r="J12447" s="238"/>
    </row>
    <row r="12448">
      <c r="C12448" s="82"/>
      <c r="E12448" s="84"/>
      <c r="F12448" s="84"/>
      <c r="G12448" s="84"/>
      <c r="I12448" s="237"/>
      <c r="J12448" s="238"/>
    </row>
    <row r="12449">
      <c r="C12449" s="82"/>
      <c r="E12449" s="84"/>
      <c r="F12449" s="84"/>
      <c r="G12449" s="84"/>
      <c r="I12449" s="237"/>
      <c r="J12449" s="238"/>
    </row>
    <row r="12450">
      <c r="C12450" s="82"/>
      <c r="E12450" s="84"/>
      <c r="F12450" s="84"/>
      <c r="G12450" s="84"/>
      <c r="I12450" s="237"/>
      <c r="J12450" s="238"/>
    </row>
    <row r="12451">
      <c r="C12451" s="82"/>
      <c r="E12451" s="84"/>
      <c r="F12451" s="84"/>
      <c r="G12451" s="84"/>
      <c r="I12451" s="237"/>
      <c r="J12451" s="238"/>
    </row>
    <row r="12452">
      <c r="C12452" s="82"/>
      <c r="E12452" s="84"/>
      <c r="F12452" s="84"/>
      <c r="G12452" s="84"/>
      <c r="I12452" s="237"/>
      <c r="J12452" s="238"/>
    </row>
    <row r="12453">
      <c r="C12453" s="82"/>
      <c r="E12453" s="84"/>
      <c r="F12453" s="84"/>
      <c r="G12453" s="84"/>
      <c r="I12453" s="237"/>
      <c r="J12453" s="238"/>
    </row>
    <row r="12454">
      <c r="C12454" s="82"/>
      <c r="E12454" s="84"/>
      <c r="F12454" s="84"/>
      <c r="G12454" s="84"/>
      <c r="I12454" s="237"/>
      <c r="J12454" s="238"/>
    </row>
    <row r="12455">
      <c r="C12455" s="82"/>
      <c r="E12455" s="84"/>
      <c r="F12455" s="84"/>
      <c r="G12455" s="84"/>
      <c r="I12455" s="237"/>
      <c r="J12455" s="238"/>
    </row>
    <row r="12456">
      <c r="C12456" s="82"/>
      <c r="E12456" s="84"/>
      <c r="F12456" s="84"/>
      <c r="G12456" s="84"/>
      <c r="I12456" s="237"/>
      <c r="J12456" s="238"/>
    </row>
    <row r="12457">
      <c r="C12457" s="82"/>
      <c r="E12457" s="84"/>
      <c r="F12457" s="84"/>
      <c r="G12457" s="84"/>
      <c r="I12457" s="237"/>
      <c r="J12457" s="238"/>
    </row>
    <row r="12458">
      <c r="C12458" s="82"/>
      <c r="E12458" s="84"/>
      <c r="F12458" s="84"/>
      <c r="G12458" s="84"/>
      <c r="I12458" s="237"/>
      <c r="J12458" s="238"/>
    </row>
    <row r="12459">
      <c r="C12459" s="82"/>
      <c r="E12459" s="84"/>
      <c r="F12459" s="84"/>
      <c r="G12459" s="84"/>
      <c r="I12459" s="237"/>
      <c r="J12459" s="238"/>
    </row>
    <row r="12460">
      <c r="C12460" s="82"/>
      <c r="E12460" s="84"/>
      <c r="F12460" s="84"/>
      <c r="G12460" s="84"/>
      <c r="I12460" s="237"/>
      <c r="J12460" s="238"/>
    </row>
    <row r="12461">
      <c r="C12461" s="82"/>
      <c r="E12461" s="84"/>
      <c r="F12461" s="84"/>
      <c r="G12461" s="84"/>
      <c r="I12461" s="237"/>
      <c r="J12461" s="238"/>
    </row>
    <row r="12462">
      <c r="C12462" s="82"/>
      <c r="E12462" s="84"/>
      <c r="F12462" s="84"/>
      <c r="G12462" s="84"/>
      <c r="I12462" s="237"/>
      <c r="J12462" s="238"/>
    </row>
    <row r="12463">
      <c r="C12463" s="82"/>
      <c r="E12463" s="84"/>
      <c r="F12463" s="84"/>
      <c r="G12463" s="84"/>
      <c r="I12463" s="237"/>
      <c r="J12463" s="238"/>
    </row>
    <row r="12464">
      <c r="C12464" s="82"/>
      <c r="E12464" s="84"/>
      <c r="F12464" s="84"/>
      <c r="G12464" s="84"/>
      <c r="I12464" s="237"/>
      <c r="J12464" s="238"/>
    </row>
    <row r="12465">
      <c r="C12465" s="82"/>
      <c r="E12465" s="84"/>
      <c r="F12465" s="84"/>
      <c r="G12465" s="84"/>
      <c r="I12465" s="237"/>
      <c r="J12465" s="238"/>
    </row>
    <row r="12466">
      <c r="C12466" s="82"/>
      <c r="E12466" s="84"/>
      <c r="F12466" s="84"/>
      <c r="G12466" s="84"/>
      <c r="I12466" s="237"/>
      <c r="J12466" s="238"/>
    </row>
    <row r="12467">
      <c r="C12467" s="82"/>
      <c r="E12467" s="84"/>
      <c r="F12467" s="84"/>
      <c r="G12467" s="84"/>
      <c r="I12467" s="237"/>
      <c r="J12467" s="238"/>
    </row>
    <row r="12468">
      <c r="C12468" s="82"/>
      <c r="E12468" s="84"/>
      <c r="F12468" s="84"/>
      <c r="G12468" s="84"/>
      <c r="I12468" s="237"/>
      <c r="J12468" s="238"/>
    </row>
    <row r="12469">
      <c r="C12469" s="82"/>
      <c r="E12469" s="84"/>
      <c r="F12469" s="84"/>
      <c r="G12469" s="84"/>
      <c r="I12469" s="237"/>
      <c r="J12469" s="238"/>
    </row>
    <row r="12470">
      <c r="C12470" s="82"/>
      <c r="E12470" s="84"/>
      <c r="F12470" s="84"/>
      <c r="G12470" s="84"/>
      <c r="I12470" s="237"/>
      <c r="J12470" s="238"/>
    </row>
    <row r="12471">
      <c r="C12471" s="82"/>
      <c r="E12471" s="84"/>
      <c r="F12471" s="84"/>
      <c r="G12471" s="84"/>
      <c r="I12471" s="237"/>
      <c r="J12471" s="238"/>
    </row>
    <row r="12472">
      <c r="C12472" s="82"/>
      <c r="E12472" s="84"/>
      <c r="F12472" s="84"/>
      <c r="G12472" s="84"/>
      <c r="I12472" s="237"/>
      <c r="J12472" s="238"/>
    </row>
    <row r="12473">
      <c r="C12473" s="82"/>
      <c r="E12473" s="84"/>
      <c r="F12473" s="84"/>
      <c r="G12473" s="84"/>
      <c r="I12473" s="237"/>
      <c r="J12473" s="238"/>
    </row>
    <row r="12474">
      <c r="C12474" s="82"/>
      <c r="E12474" s="84"/>
      <c r="F12474" s="84"/>
      <c r="G12474" s="84"/>
      <c r="I12474" s="237"/>
      <c r="J12474" s="238"/>
    </row>
    <row r="12475">
      <c r="C12475" s="82"/>
      <c r="E12475" s="84"/>
      <c r="F12475" s="84"/>
      <c r="G12475" s="84"/>
      <c r="I12475" s="237"/>
      <c r="J12475" s="238"/>
    </row>
    <row r="12476">
      <c r="C12476" s="82"/>
      <c r="E12476" s="84"/>
      <c r="F12476" s="84"/>
      <c r="G12476" s="84"/>
      <c r="I12476" s="237"/>
      <c r="J12476" s="238"/>
    </row>
    <row r="12477">
      <c r="C12477" s="82"/>
      <c r="E12477" s="84"/>
      <c r="F12477" s="84"/>
      <c r="G12477" s="84"/>
      <c r="I12477" s="237"/>
      <c r="J12477" s="238"/>
    </row>
    <row r="12478">
      <c r="C12478" s="82"/>
      <c r="E12478" s="84"/>
      <c r="F12478" s="84"/>
      <c r="G12478" s="84"/>
      <c r="I12478" s="237"/>
      <c r="J12478" s="238"/>
    </row>
    <row r="12479">
      <c r="C12479" s="82"/>
      <c r="E12479" s="84"/>
      <c r="F12479" s="84"/>
      <c r="G12479" s="84"/>
      <c r="I12479" s="237"/>
      <c r="J12479" s="238"/>
    </row>
    <row r="12480">
      <c r="C12480" s="82"/>
      <c r="E12480" s="84"/>
      <c r="F12480" s="84"/>
      <c r="G12480" s="84"/>
      <c r="I12480" s="237"/>
      <c r="J12480" s="238"/>
    </row>
    <row r="12481">
      <c r="C12481" s="82"/>
      <c r="E12481" s="84"/>
      <c r="F12481" s="84"/>
      <c r="G12481" s="84"/>
      <c r="I12481" s="237"/>
      <c r="J12481" s="238"/>
    </row>
    <row r="12482">
      <c r="C12482" s="82"/>
      <c r="E12482" s="84"/>
      <c r="F12482" s="84"/>
      <c r="G12482" s="84"/>
      <c r="I12482" s="237"/>
      <c r="J12482" s="238"/>
    </row>
    <row r="12483">
      <c r="C12483" s="82"/>
      <c r="E12483" s="84"/>
      <c r="F12483" s="84"/>
      <c r="G12483" s="84"/>
      <c r="I12483" s="237"/>
      <c r="J12483" s="238"/>
    </row>
    <row r="12484">
      <c r="C12484" s="82"/>
      <c r="E12484" s="84"/>
      <c r="F12484" s="84"/>
      <c r="G12484" s="84"/>
      <c r="I12484" s="237"/>
      <c r="J12484" s="238"/>
    </row>
    <row r="12485">
      <c r="C12485" s="82"/>
      <c r="E12485" s="84"/>
      <c r="F12485" s="84"/>
      <c r="G12485" s="84"/>
      <c r="I12485" s="237"/>
      <c r="J12485" s="238"/>
    </row>
    <row r="12486">
      <c r="C12486" s="82"/>
      <c r="E12486" s="84"/>
      <c r="F12486" s="84"/>
      <c r="G12486" s="84"/>
      <c r="I12486" s="237"/>
      <c r="J12486" s="238"/>
    </row>
    <row r="12487">
      <c r="C12487" s="82"/>
      <c r="E12487" s="84"/>
      <c r="F12487" s="84"/>
      <c r="G12487" s="84"/>
      <c r="I12487" s="237"/>
      <c r="J12487" s="238"/>
    </row>
    <row r="12488">
      <c r="C12488" s="82"/>
      <c r="E12488" s="84"/>
      <c r="F12488" s="84"/>
      <c r="G12488" s="84"/>
      <c r="I12488" s="237"/>
      <c r="J12488" s="238"/>
    </row>
    <row r="12489">
      <c r="C12489" s="82"/>
      <c r="E12489" s="84"/>
      <c r="F12489" s="84"/>
      <c r="G12489" s="84"/>
      <c r="I12489" s="237"/>
      <c r="J12489" s="238"/>
    </row>
    <row r="12490">
      <c r="C12490" s="82"/>
      <c r="E12490" s="84"/>
      <c r="F12490" s="84"/>
      <c r="G12490" s="84"/>
      <c r="I12490" s="237"/>
      <c r="J12490" s="238"/>
    </row>
    <row r="12491">
      <c r="C12491" s="82"/>
      <c r="E12491" s="84"/>
      <c r="F12491" s="84"/>
      <c r="G12491" s="84"/>
      <c r="I12491" s="237"/>
      <c r="J12491" s="238"/>
    </row>
    <row r="12492">
      <c r="C12492" s="82"/>
      <c r="E12492" s="84"/>
      <c r="F12492" s="84"/>
      <c r="G12492" s="84"/>
      <c r="I12492" s="237"/>
      <c r="J12492" s="238"/>
    </row>
    <row r="12493">
      <c r="C12493" s="82"/>
      <c r="E12493" s="84"/>
      <c r="F12493" s="84"/>
      <c r="G12493" s="84"/>
      <c r="I12493" s="237"/>
      <c r="J12493" s="238"/>
    </row>
    <row r="12494">
      <c r="C12494" s="82"/>
      <c r="E12494" s="84"/>
      <c r="F12494" s="84"/>
      <c r="G12494" s="84"/>
      <c r="I12494" s="237"/>
      <c r="J12494" s="238"/>
    </row>
    <row r="12495">
      <c r="C12495" s="82"/>
      <c r="E12495" s="84"/>
      <c r="F12495" s="84"/>
      <c r="G12495" s="84"/>
      <c r="I12495" s="237"/>
      <c r="J12495" s="238"/>
    </row>
    <row r="12496">
      <c r="C12496" s="82"/>
      <c r="E12496" s="84"/>
      <c r="F12496" s="84"/>
      <c r="G12496" s="84"/>
      <c r="I12496" s="237"/>
      <c r="J12496" s="238"/>
    </row>
    <row r="12497">
      <c r="C12497" s="82"/>
      <c r="E12497" s="84"/>
      <c r="F12497" s="84"/>
      <c r="G12497" s="84"/>
      <c r="I12497" s="237"/>
      <c r="J12497" s="238"/>
    </row>
    <row r="12498">
      <c r="C12498" s="82"/>
      <c r="E12498" s="84"/>
      <c r="F12498" s="84"/>
      <c r="G12498" s="84"/>
      <c r="I12498" s="237"/>
      <c r="J12498" s="238"/>
    </row>
    <row r="12499">
      <c r="C12499" s="82"/>
      <c r="E12499" s="84"/>
      <c r="F12499" s="84"/>
      <c r="G12499" s="84"/>
      <c r="I12499" s="237"/>
      <c r="J12499" s="238"/>
    </row>
    <row r="12500">
      <c r="C12500" s="82"/>
      <c r="E12500" s="84"/>
      <c r="F12500" s="84"/>
      <c r="G12500" s="84"/>
      <c r="I12500" s="237"/>
      <c r="J12500" s="238"/>
    </row>
    <row r="12501">
      <c r="C12501" s="82"/>
      <c r="E12501" s="84"/>
      <c r="F12501" s="84"/>
      <c r="G12501" s="84"/>
      <c r="I12501" s="237"/>
      <c r="J12501" s="238"/>
    </row>
    <row r="12502">
      <c r="C12502" s="82"/>
      <c r="E12502" s="84"/>
      <c r="F12502" s="84"/>
      <c r="G12502" s="84"/>
      <c r="I12502" s="237"/>
      <c r="J12502" s="238"/>
    </row>
    <row r="12503">
      <c r="C12503" s="82"/>
      <c r="E12503" s="84"/>
      <c r="F12503" s="84"/>
      <c r="G12503" s="84"/>
      <c r="I12503" s="237"/>
      <c r="J12503" s="238"/>
    </row>
    <row r="12504">
      <c r="C12504" s="82"/>
      <c r="E12504" s="84"/>
      <c r="F12504" s="84"/>
      <c r="G12504" s="84"/>
      <c r="I12504" s="237"/>
      <c r="J12504" s="238"/>
    </row>
    <row r="12505">
      <c r="C12505" s="82"/>
      <c r="E12505" s="84"/>
      <c r="F12505" s="84"/>
      <c r="G12505" s="84"/>
      <c r="I12505" s="237"/>
      <c r="J12505" s="238"/>
    </row>
    <row r="12506">
      <c r="C12506" s="82"/>
      <c r="E12506" s="84"/>
      <c r="F12506" s="84"/>
      <c r="G12506" s="84"/>
      <c r="I12506" s="237"/>
      <c r="J12506" s="238"/>
    </row>
    <row r="12507">
      <c r="C12507" s="82"/>
      <c r="E12507" s="84"/>
      <c r="F12507" s="84"/>
      <c r="G12507" s="84"/>
      <c r="I12507" s="237"/>
      <c r="J12507" s="238"/>
    </row>
    <row r="12508">
      <c r="C12508" s="82"/>
      <c r="E12508" s="84"/>
      <c r="F12508" s="84"/>
      <c r="G12508" s="84"/>
      <c r="I12508" s="237"/>
      <c r="J12508" s="238"/>
    </row>
    <row r="12509">
      <c r="C12509" s="82"/>
      <c r="E12509" s="84"/>
      <c r="F12509" s="84"/>
      <c r="G12509" s="84"/>
      <c r="I12509" s="237"/>
      <c r="J12509" s="238"/>
    </row>
    <row r="12510">
      <c r="C12510" s="82"/>
      <c r="E12510" s="84"/>
      <c r="F12510" s="84"/>
      <c r="G12510" s="84"/>
      <c r="I12510" s="237"/>
      <c r="J12510" s="238"/>
    </row>
    <row r="12511">
      <c r="C12511" s="82"/>
      <c r="E12511" s="84"/>
      <c r="F12511" s="84"/>
      <c r="G12511" s="84"/>
      <c r="I12511" s="237"/>
      <c r="J12511" s="238"/>
    </row>
    <row r="12512">
      <c r="C12512" s="82"/>
      <c r="E12512" s="84"/>
      <c r="F12512" s="84"/>
      <c r="G12512" s="84"/>
      <c r="I12512" s="237"/>
      <c r="J12512" s="238"/>
    </row>
    <row r="12513">
      <c r="C12513" s="82"/>
      <c r="E12513" s="84"/>
      <c r="F12513" s="84"/>
      <c r="G12513" s="84"/>
      <c r="I12513" s="237"/>
      <c r="J12513" s="238"/>
    </row>
    <row r="12514">
      <c r="C12514" s="82"/>
      <c r="E12514" s="84"/>
      <c r="F12514" s="84"/>
      <c r="G12514" s="84"/>
      <c r="I12514" s="237"/>
      <c r="J12514" s="238"/>
    </row>
    <row r="12515">
      <c r="C12515" s="82"/>
      <c r="E12515" s="84"/>
      <c r="F12515" s="84"/>
      <c r="G12515" s="84"/>
      <c r="I12515" s="237"/>
      <c r="J12515" s="238"/>
    </row>
    <row r="12516">
      <c r="C12516" s="82"/>
      <c r="E12516" s="84"/>
      <c r="F12516" s="84"/>
      <c r="G12516" s="84"/>
      <c r="I12516" s="237"/>
      <c r="J12516" s="238"/>
    </row>
    <row r="12517">
      <c r="C12517" s="82"/>
      <c r="E12517" s="84"/>
      <c r="F12517" s="84"/>
      <c r="G12517" s="84"/>
      <c r="I12517" s="237"/>
      <c r="J12517" s="238"/>
    </row>
    <row r="12518">
      <c r="C12518" s="82"/>
      <c r="E12518" s="84"/>
      <c r="F12518" s="84"/>
      <c r="G12518" s="84"/>
      <c r="I12518" s="237"/>
      <c r="J12518" s="238"/>
    </row>
    <row r="12519">
      <c r="C12519" s="82"/>
      <c r="E12519" s="84"/>
      <c r="F12519" s="84"/>
      <c r="G12519" s="84"/>
      <c r="I12519" s="237"/>
      <c r="J12519" s="238"/>
    </row>
    <row r="12520">
      <c r="C12520" s="82"/>
      <c r="E12520" s="84"/>
      <c r="F12520" s="84"/>
      <c r="G12520" s="84"/>
      <c r="I12520" s="237"/>
      <c r="J12520" s="238"/>
    </row>
    <row r="12521">
      <c r="C12521" s="82"/>
      <c r="E12521" s="84"/>
      <c r="F12521" s="84"/>
      <c r="G12521" s="84"/>
      <c r="I12521" s="237"/>
      <c r="J12521" s="238"/>
    </row>
    <row r="12522">
      <c r="C12522" s="82"/>
      <c r="E12522" s="84"/>
      <c r="F12522" s="84"/>
      <c r="G12522" s="84"/>
      <c r="I12522" s="237"/>
      <c r="J12522" s="238"/>
    </row>
    <row r="12523">
      <c r="C12523" s="82"/>
      <c r="E12523" s="84"/>
      <c r="F12523" s="84"/>
      <c r="G12523" s="84"/>
      <c r="I12523" s="237"/>
      <c r="J12523" s="238"/>
    </row>
    <row r="12524">
      <c r="C12524" s="82"/>
      <c r="E12524" s="84"/>
      <c r="F12524" s="84"/>
      <c r="G12524" s="84"/>
      <c r="I12524" s="237"/>
      <c r="J12524" s="238"/>
    </row>
    <row r="12525">
      <c r="C12525" s="82"/>
      <c r="E12525" s="84"/>
      <c r="F12525" s="84"/>
      <c r="G12525" s="84"/>
      <c r="I12525" s="237"/>
      <c r="J12525" s="238"/>
    </row>
    <row r="12526">
      <c r="C12526" s="82"/>
      <c r="E12526" s="84"/>
      <c r="F12526" s="84"/>
      <c r="G12526" s="84"/>
      <c r="I12526" s="237"/>
      <c r="J12526" s="238"/>
    </row>
    <row r="12527">
      <c r="C12527" s="82"/>
      <c r="E12527" s="84"/>
      <c r="F12527" s="84"/>
      <c r="G12527" s="84"/>
      <c r="I12527" s="237"/>
      <c r="J12527" s="238"/>
    </row>
    <row r="12528">
      <c r="C12528" s="82"/>
      <c r="E12528" s="84"/>
      <c r="F12528" s="84"/>
      <c r="G12528" s="84"/>
      <c r="I12528" s="237"/>
      <c r="J12528" s="238"/>
    </row>
    <row r="12529">
      <c r="C12529" s="82"/>
      <c r="E12529" s="84"/>
      <c r="F12529" s="84"/>
      <c r="G12529" s="84"/>
      <c r="I12529" s="237"/>
      <c r="J12529" s="238"/>
    </row>
    <row r="12530">
      <c r="C12530" s="82"/>
      <c r="E12530" s="84"/>
      <c r="F12530" s="84"/>
      <c r="G12530" s="84"/>
      <c r="I12530" s="237"/>
      <c r="J12530" s="238"/>
    </row>
    <row r="12531">
      <c r="C12531" s="82"/>
      <c r="E12531" s="84"/>
      <c r="F12531" s="84"/>
      <c r="G12531" s="84"/>
      <c r="I12531" s="237"/>
      <c r="J12531" s="238"/>
    </row>
    <row r="12532">
      <c r="C12532" s="82"/>
      <c r="E12532" s="84"/>
      <c r="F12532" s="84"/>
      <c r="G12532" s="84"/>
      <c r="I12532" s="237"/>
      <c r="J12532" s="238"/>
    </row>
    <row r="12533">
      <c r="C12533" s="82"/>
      <c r="E12533" s="84"/>
      <c r="F12533" s="84"/>
      <c r="G12533" s="84"/>
      <c r="I12533" s="237"/>
      <c r="J12533" s="238"/>
    </row>
    <row r="12534">
      <c r="C12534" s="82"/>
      <c r="E12534" s="84"/>
      <c r="F12534" s="84"/>
      <c r="G12534" s="84"/>
      <c r="I12534" s="237"/>
      <c r="J12534" s="238"/>
    </row>
    <row r="12535">
      <c r="C12535" s="82"/>
      <c r="E12535" s="84"/>
      <c r="F12535" s="84"/>
      <c r="G12535" s="84"/>
      <c r="I12535" s="237"/>
      <c r="J12535" s="238"/>
    </row>
    <row r="12536">
      <c r="C12536" s="82"/>
      <c r="E12536" s="84"/>
      <c r="F12536" s="84"/>
      <c r="G12536" s="84"/>
      <c r="I12536" s="237"/>
      <c r="J12536" s="238"/>
    </row>
    <row r="12537">
      <c r="C12537" s="82"/>
      <c r="E12537" s="84"/>
      <c r="F12537" s="84"/>
      <c r="G12537" s="84"/>
      <c r="I12537" s="237"/>
      <c r="J12537" s="238"/>
    </row>
    <row r="12538">
      <c r="C12538" s="82"/>
      <c r="E12538" s="84"/>
      <c r="F12538" s="84"/>
      <c r="G12538" s="84"/>
      <c r="I12538" s="237"/>
      <c r="J12538" s="238"/>
    </row>
    <row r="12539">
      <c r="C12539" s="82"/>
      <c r="E12539" s="84"/>
      <c r="F12539" s="84"/>
      <c r="G12539" s="84"/>
      <c r="I12539" s="237"/>
      <c r="J12539" s="238"/>
    </row>
    <row r="12540">
      <c r="C12540" s="82"/>
      <c r="E12540" s="84"/>
      <c r="F12540" s="84"/>
      <c r="G12540" s="84"/>
      <c r="I12540" s="237"/>
      <c r="J12540" s="238"/>
    </row>
    <row r="12541">
      <c r="C12541" s="82"/>
      <c r="E12541" s="84"/>
      <c r="F12541" s="84"/>
      <c r="G12541" s="84"/>
      <c r="I12541" s="237"/>
      <c r="J12541" s="238"/>
    </row>
    <row r="12542">
      <c r="C12542" s="82"/>
      <c r="E12542" s="84"/>
      <c r="F12542" s="84"/>
      <c r="G12542" s="84"/>
      <c r="I12542" s="237"/>
      <c r="J12542" s="238"/>
    </row>
    <row r="12543">
      <c r="C12543" s="82"/>
      <c r="E12543" s="84"/>
      <c r="F12543" s="84"/>
      <c r="G12543" s="84"/>
      <c r="I12543" s="237"/>
      <c r="J12543" s="238"/>
    </row>
    <row r="12544">
      <c r="C12544" s="82"/>
      <c r="E12544" s="84"/>
      <c r="F12544" s="84"/>
      <c r="G12544" s="84"/>
      <c r="I12544" s="237"/>
      <c r="J12544" s="238"/>
    </row>
    <row r="12545">
      <c r="C12545" s="82"/>
      <c r="E12545" s="84"/>
      <c r="F12545" s="84"/>
      <c r="G12545" s="84"/>
      <c r="I12545" s="237"/>
      <c r="J12545" s="238"/>
    </row>
    <row r="12546">
      <c r="C12546" s="82"/>
      <c r="E12546" s="84"/>
      <c r="F12546" s="84"/>
      <c r="G12546" s="84"/>
      <c r="I12546" s="237"/>
      <c r="J12546" s="238"/>
    </row>
    <row r="12547">
      <c r="C12547" s="82"/>
      <c r="E12547" s="84"/>
      <c r="F12547" s="84"/>
      <c r="G12547" s="84"/>
      <c r="I12547" s="237"/>
      <c r="J12547" s="238"/>
    </row>
    <row r="12548">
      <c r="C12548" s="82"/>
      <c r="E12548" s="84"/>
      <c r="F12548" s="84"/>
      <c r="G12548" s="84"/>
      <c r="I12548" s="237"/>
      <c r="J12548" s="238"/>
    </row>
    <row r="12549">
      <c r="C12549" s="82"/>
      <c r="E12549" s="84"/>
      <c r="F12549" s="84"/>
      <c r="G12549" s="84"/>
      <c r="I12549" s="237"/>
      <c r="J12549" s="238"/>
    </row>
    <row r="12550">
      <c r="C12550" s="82"/>
      <c r="E12550" s="84"/>
      <c r="F12550" s="84"/>
      <c r="G12550" s="84"/>
      <c r="I12550" s="237"/>
      <c r="J12550" s="238"/>
    </row>
    <row r="12551">
      <c r="C12551" s="82"/>
      <c r="E12551" s="84"/>
      <c r="F12551" s="84"/>
      <c r="G12551" s="84"/>
      <c r="I12551" s="237"/>
      <c r="J12551" s="238"/>
    </row>
    <row r="12552">
      <c r="C12552" s="82"/>
      <c r="E12552" s="84"/>
      <c r="F12552" s="84"/>
      <c r="G12552" s="84"/>
      <c r="I12552" s="237"/>
      <c r="J12552" s="238"/>
    </row>
    <row r="12553">
      <c r="C12553" s="82"/>
      <c r="E12553" s="84"/>
      <c r="F12553" s="84"/>
      <c r="G12553" s="84"/>
      <c r="I12553" s="237"/>
      <c r="J12553" s="238"/>
    </row>
    <row r="12554">
      <c r="C12554" s="82"/>
      <c r="E12554" s="84"/>
      <c r="F12554" s="84"/>
      <c r="G12554" s="84"/>
      <c r="I12554" s="237"/>
      <c r="J12554" s="238"/>
    </row>
    <row r="12555">
      <c r="C12555" s="82"/>
      <c r="E12555" s="84"/>
      <c r="F12555" s="84"/>
      <c r="G12555" s="84"/>
      <c r="I12555" s="237"/>
      <c r="J12555" s="238"/>
    </row>
    <row r="12556">
      <c r="C12556" s="82"/>
      <c r="E12556" s="84"/>
      <c r="F12556" s="84"/>
      <c r="G12556" s="84"/>
      <c r="I12556" s="237"/>
      <c r="J12556" s="238"/>
    </row>
    <row r="12557">
      <c r="C12557" s="82"/>
      <c r="E12557" s="84"/>
      <c r="F12557" s="84"/>
      <c r="G12557" s="84"/>
      <c r="I12557" s="237"/>
      <c r="J12557" s="238"/>
    </row>
    <row r="12558">
      <c r="C12558" s="82"/>
      <c r="E12558" s="84"/>
      <c r="F12558" s="84"/>
      <c r="G12558" s="84"/>
      <c r="I12558" s="237"/>
      <c r="J12558" s="238"/>
    </row>
    <row r="12559">
      <c r="C12559" s="82"/>
      <c r="E12559" s="84"/>
      <c r="F12559" s="84"/>
      <c r="G12559" s="84"/>
      <c r="I12559" s="237"/>
      <c r="J12559" s="238"/>
    </row>
    <row r="12560">
      <c r="C12560" s="82"/>
      <c r="E12560" s="84"/>
      <c r="F12560" s="84"/>
      <c r="G12560" s="84"/>
      <c r="I12560" s="237"/>
      <c r="J12560" s="238"/>
    </row>
    <row r="12561">
      <c r="C12561" s="82"/>
      <c r="E12561" s="84"/>
      <c r="F12561" s="84"/>
      <c r="G12561" s="84"/>
      <c r="I12561" s="237"/>
      <c r="J12561" s="238"/>
    </row>
    <row r="12562">
      <c r="C12562" s="82"/>
      <c r="E12562" s="84"/>
      <c r="F12562" s="84"/>
      <c r="G12562" s="84"/>
      <c r="I12562" s="237"/>
      <c r="J12562" s="238"/>
    </row>
    <row r="12563">
      <c r="C12563" s="82"/>
      <c r="E12563" s="84"/>
      <c r="F12563" s="84"/>
      <c r="G12563" s="84"/>
      <c r="I12563" s="237"/>
      <c r="J12563" s="238"/>
    </row>
    <row r="12564">
      <c r="C12564" s="82"/>
      <c r="E12564" s="84"/>
      <c r="F12564" s="84"/>
      <c r="G12564" s="84"/>
      <c r="I12564" s="237"/>
      <c r="J12564" s="238"/>
    </row>
    <row r="12565">
      <c r="C12565" s="82"/>
      <c r="E12565" s="84"/>
      <c r="F12565" s="84"/>
      <c r="G12565" s="84"/>
      <c r="I12565" s="237"/>
      <c r="J12565" s="238"/>
    </row>
    <row r="12566">
      <c r="C12566" s="82"/>
      <c r="E12566" s="84"/>
      <c r="F12566" s="84"/>
      <c r="G12566" s="84"/>
      <c r="I12566" s="237"/>
      <c r="J12566" s="238"/>
    </row>
    <row r="12567">
      <c r="C12567" s="82"/>
      <c r="E12567" s="84"/>
      <c r="F12567" s="84"/>
      <c r="G12567" s="84"/>
      <c r="I12567" s="237"/>
      <c r="J12567" s="238"/>
    </row>
    <row r="12568">
      <c r="C12568" s="82"/>
      <c r="E12568" s="84"/>
      <c r="F12568" s="84"/>
      <c r="G12568" s="84"/>
      <c r="I12568" s="237"/>
      <c r="J12568" s="238"/>
    </row>
    <row r="12569">
      <c r="C12569" s="82"/>
      <c r="E12569" s="84"/>
      <c r="F12569" s="84"/>
      <c r="G12569" s="84"/>
      <c r="I12569" s="237"/>
      <c r="J12569" s="238"/>
    </row>
    <row r="12570">
      <c r="C12570" s="82"/>
      <c r="E12570" s="84"/>
      <c r="F12570" s="84"/>
      <c r="G12570" s="84"/>
      <c r="I12570" s="237"/>
      <c r="J12570" s="238"/>
    </row>
    <row r="12571">
      <c r="C12571" s="82"/>
      <c r="E12571" s="84"/>
      <c r="F12571" s="84"/>
      <c r="G12571" s="84"/>
      <c r="I12571" s="237"/>
      <c r="J12571" s="238"/>
    </row>
    <row r="12572">
      <c r="C12572" s="82"/>
      <c r="E12572" s="84"/>
      <c r="F12572" s="84"/>
      <c r="G12572" s="84"/>
      <c r="I12572" s="237"/>
      <c r="J12572" s="238"/>
    </row>
    <row r="12573">
      <c r="C12573" s="82"/>
      <c r="E12573" s="84"/>
      <c r="F12573" s="84"/>
      <c r="G12573" s="84"/>
      <c r="I12573" s="237"/>
      <c r="J12573" s="238"/>
    </row>
    <row r="12574">
      <c r="C12574" s="82"/>
      <c r="E12574" s="84"/>
      <c r="F12574" s="84"/>
      <c r="G12574" s="84"/>
      <c r="I12574" s="237"/>
      <c r="J12574" s="238"/>
    </row>
    <row r="12575">
      <c r="C12575" s="82"/>
      <c r="E12575" s="84"/>
      <c r="F12575" s="84"/>
      <c r="G12575" s="84"/>
      <c r="I12575" s="237"/>
      <c r="J12575" s="238"/>
    </row>
    <row r="12576">
      <c r="C12576" s="82"/>
      <c r="E12576" s="84"/>
      <c r="F12576" s="84"/>
      <c r="G12576" s="84"/>
      <c r="I12576" s="237"/>
      <c r="J12576" s="238"/>
    </row>
    <row r="12577">
      <c r="C12577" s="82"/>
      <c r="E12577" s="84"/>
      <c r="F12577" s="84"/>
      <c r="G12577" s="84"/>
      <c r="I12577" s="237"/>
      <c r="J12577" s="238"/>
    </row>
    <row r="12578">
      <c r="C12578" s="82"/>
      <c r="E12578" s="84"/>
      <c r="F12578" s="84"/>
      <c r="G12578" s="84"/>
      <c r="I12578" s="237"/>
      <c r="J12578" s="238"/>
    </row>
    <row r="12579">
      <c r="C12579" s="82"/>
      <c r="E12579" s="84"/>
      <c r="F12579" s="84"/>
      <c r="G12579" s="84"/>
      <c r="I12579" s="237"/>
      <c r="J12579" s="238"/>
    </row>
    <row r="12580">
      <c r="C12580" s="82"/>
      <c r="E12580" s="84"/>
      <c r="F12580" s="84"/>
      <c r="G12580" s="84"/>
      <c r="I12580" s="237"/>
      <c r="J12580" s="238"/>
    </row>
    <row r="12581">
      <c r="C12581" s="82"/>
      <c r="E12581" s="84"/>
      <c r="F12581" s="84"/>
      <c r="G12581" s="84"/>
      <c r="I12581" s="237"/>
      <c r="J12581" s="238"/>
    </row>
    <row r="12582">
      <c r="C12582" s="82"/>
      <c r="E12582" s="84"/>
      <c r="F12582" s="84"/>
      <c r="G12582" s="84"/>
      <c r="I12582" s="237"/>
      <c r="J12582" s="238"/>
    </row>
    <row r="12583">
      <c r="C12583" s="82"/>
      <c r="E12583" s="84"/>
      <c r="F12583" s="84"/>
      <c r="G12583" s="84"/>
      <c r="I12583" s="237"/>
      <c r="J12583" s="238"/>
    </row>
    <row r="12584">
      <c r="C12584" s="82"/>
      <c r="E12584" s="84"/>
      <c r="F12584" s="84"/>
      <c r="G12584" s="84"/>
      <c r="I12584" s="237"/>
      <c r="J12584" s="238"/>
    </row>
    <row r="12585">
      <c r="C12585" s="82"/>
      <c r="E12585" s="84"/>
      <c r="F12585" s="84"/>
      <c r="G12585" s="84"/>
      <c r="I12585" s="237"/>
      <c r="J12585" s="238"/>
    </row>
    <row r="12586">
      <c r="C12586" s="82"/>
      <c r="E12586" s="84"/>
      <c r="F12586" s="84"/>
      <c r="G12586" s="84"/>
      <c r="I12586" s="237"/>
      <c r="J12586" s="238"/>
    </row>
    <row r="12587">
      <c r="C12587" s="82"/>
      <c r="E12587" s="84"/>
      <c r="F12587" s="84"/>
      <c r="G12587" s="84"/>
      <c r="I12587" s="237"/>
      <c r="J12587" s="238"/>
    </row>
    <row r="12588">
      <c r="C12588" s="82"/>
      <c r="E12588" s="84"/>
      <c r="F12588" s="84"/>
      <c r="G12588" s="84"/>
      <c r="I12588" s="237"/>
      <c r="J12588" s="238"/>
    </row>
    <row r="12589">
      <c r="C12589" s="82"/>
      <c r="E12589" s="84"/>
      <c r="F12589" s="84"/>
      <c r="G12589" s="84"/>
      <c r="I12589" s="237"/>
      <c r="J12589" s="238"/>
    </row>
    <row r="12590">
      <c r="C12590" s="82"/>
      <c r="E12590" s="84"/>
      <c r="F12590" s="84"/>
      <c r="G12590" s="84"/>
      <c r="I12590" s="237"/>
      <c r="J12590" s="238"/>
    </row>
    <row r="12591">
      <c r="C12591" s="82"/>
      <c r="E12591" s="84"/>
      <c r="F12591" s="84"/>
      <c r="G12591" s="84"/>
      <c r="I12591" s="237"/>
      <c r="J12591" s="238"/>
    </row>
    <row r="12592">
      <c r="C12592" s="82"/>
      <c r="E12592" s="84"/>
      <c r="F12592" s="84"/>
      <c r="G12592" s="84"/>
      <c r="I12592" s="237"/>
      <c r="J12592" s="238"/>
    </row>
    <row r="12593">
      <c r="C12593" s="82"/>
      <c r="E12593" s="84"/>
      <c r="F12593" s="84"/>
      <c r="G12593" s="84"/>
      <c r="I12593" s="237"/>
      <c r="J12593" s="238"/>
    </row>
    <row r="12594">
      <c r="C12594" s="82"/>
      <c r="E12594" s="84"/>
      <c r="F12594" s="84"/>
      <c r="G12594" s="84"/>
      <c r="I12594" s="237"/>
      <c r="J12594" s="238"/>
    </row>
    <row r="12595">
      <c r="C12595" s="82"/>
      <c r="E12595" s="84"/>
      <c r="F12595" s="84"/>
      <c r="G12595" s="84"/>
      <c r="I12595" s="237"/>
      <c r="J12595" s="238"/>
    </row>
    <row r="12596">
      <c r="C12596" s="82"/>
      <c r="E12596" s="84"/>
      <c r="F12596" s="84"/>
      <c r="G12596" s="84"/>
      <c r="I12596" s="237"/>
      <c r="J12596" s="238"/>
    </row>
    <row r="12597">
      <c r="C12597" s="82"/>
      <c r="E12597" s="84"/>
      <c r="F12597" s="84"/>
      <c r="G12597" s="84"/>
      <c r="I12597" s="237"/>
      <c r="J12597" s="238"/>
    </row>
    <row r="12598">
      <c r="C12598" s="82"/>
      <c r="E12598" s="84"/>
      <c r="F12598" s="84"/>
      <c r="G12598" s="84"/>
      <c r="I12598" s="237"/>
      <c r="J12598" s="238"/>
    </row>
    <row r="12599">
      <c r="C12599" s="82"/>
      <c r="E12599" s="84"/>
      <c r="F12599" s="84"/>
      <c r="G12599" s="84"/>
      <c r="I12599" s="237"/>
      <c r="J12599" s="238"/>
    </row>
    <row r="12600">
      <c r="C12600" s="82"/>
      <c r="E12600" s="84"/>
      <c r="F12600" s="84"/>
      <c r="G12600" s="84"/>
      <c r="I12600" s="237"/>
      <c r="J12600" s="238"/>
    </row>
    <row r="12601">
      <c r="C12601" s="82"/>
      <c r="E12601" s="84"/>
      <c r="F12601" s="84"/>
      <c r="G12601" s="84"/>
      <c r="I12601" s="237"/>
      <c r="J12601" s="238"/>
    </row>
    <row r="12602">
      <c r="C12602" s="82"/>
      <c r="E12602" s="84"/>
      <c r="F12602" s="84"/>
      <c r="G12602" s="84"/>
      <c r="I12602" s="237"/>
      <c r="J12602" s="238"/>
    </row>
    <row r="12603">
      <c r="C12603" s="82"/>
      <c r="E12603" s="84"/>
      <c r="F12603" s="84"/>
      <c r="G12603" s="84"/>
      <c r="I12603" s="237"/>
      <c r="J12603" s="238"/>
    </row>
    <row r="12604">
      <c r="C12604" s="82"/>
      <c r="E12604" s="84"/>
      <c r="F12604" s="84"/>
      <c r="G12604" s="84"/>
      <c r="I12604" s="237"/>
      <c r="J12604" s="238"/>
    </row>
    <row r="12605">
      <c r="C12605" s="82"/>
      <c r="E12605" s="84"/>
      <c r="F12605" s="84"/>
      <c r="G12605" s="84"/>
      <c r="I12605" s="237"/>
      <c r="J12605" s="238"/>
    </row>
    <row r="12606">
      <c r="C12606" s="82"/>
      <c r="E12606" s="84"/>
      <c r="F12606" s="84"/>
      <c r="G12606" s="84"/>
      <c r="I12606" s="237"/>
      <c r="J12606" s="238"/>
    </row>
    <row r="12607">
      <c r="C12607" s="82"/>
      <c r="E12607" s="84"/>
      <c r="F12607" s="84"/>
      <c r="G12607" s="84"/>
      <c r="I12607" s="237"/>
      <c r="J12607" s="238"/>
    </row>
    <row r="12608">
      <c r="C12608" s="82"/>
      <c r="E12608" s="84"/>
      <c r="F12608" s="84"/>
      <c r="G12608" s="84"/>
      <c r="I12608" s="237"/>
      <c r="J12608" s="238"/>
    </row>
    <row r="12609">
      <c r="C12609" s="82"/>
      <c r="E12609" s="84"/>
      <c r="F12609" s="84"/>
      <c r="G12609" s="84"/>
      <c r="I12609" s="237"/>
      <c r="J12609" s="238"/>
    </row>
    <row r="12610">
      <c r="C12610" s="82"/>
      <c r="E12610" s="84"/>
      <c r="F12610" s="84"/>
      <c r="G12610" s="84"/>
      <c r="I12610" s="237"/>
      <c r="J12610" s="238"/>
    </row>
    <row r="12611">
      <c r="C12611" s="82"/>
      <c r="E12611" s="84"/>
      <c r="F12611" s="84"/>
      <c r="G12611" s="84"/>
      <c r="I12611" s="237"/>
      <c r="J12611" s="238"/>
    </row>
    <row r="12612">
      <c r="C12612" s="82"/>
      <c r="E12612" s="84"/>
      <c r="F12612" s="84"/>
      <c r="G12612" s="84"/>
      <c r="I12612" s="237"/>
      <c r="J12612" s="238"/>
    </row>
    <row r="12613">
      <c r="C12613" s="82"/>
      <c r="E12613" s="84"/>
      <c r="F12613" s="84"/>
      <c r="G12613" s="84"/>
      <c r="I12613" s="237"/>
      <c r="J12613" s="238"/>
    </row>
    <row r="12614">
      <c r="C12614" s="82"/>
      <c r="E12614" s="84"/>
      <c r="F12614" s="84"/>
      <c r="G12614" s="84"/>
      <c r="I12614" s="237"/>
      <c r="J12614" s="238"/>
    </row>
    <row r="12615">
      <c r="C12615" s="82"/>
      <c r="E12615" s="84"/>
      <c r="F12615" s="84"/>
      <c r="G12615" s="84"/>
      <c r="I12615" s="237"/>
      <c r="J12615" s="238"/>
    </row>
    <row r="12616">
      <c r="C12616" s="82"/>
      <c r="E12616" s="84"/>
      <c r="F12616" s="84"/>
      <c r="G12616" s="84"/>
      <c r="I12616" s="237"/>
      <c r="J12616" s="238"/>
    </row>
    <row r="12617">
      <c r="C12617" s="82"/>
      <c r="E12617" s="84"/>
      <c r="F12617" s="84"/>
      <c r="G12617" s="84"/>
      <c r="I12617" s="237"/>
      <c r="J12617" s="238"/>
    </row>
    <row r="12618">
      <c r="C12618" s="82"/>
      <c r="E12618" s="84"/>
      <c r="F12618" s="84"/>
      <c r="G12618" s="84"/>
      <c r="I12618" s="237"/>
      <c r="J12618" s="238"/>
    </row>
    <row r="12619">
      <c r="C12619" s="82"/>
      <c r="E12619" s="84"/>
      <c r="F12619" s="84"/>
      <c r="G12619" s="84"/>
      <c r="I12619" s="237"/>
      <c r="J12619" s="238"/>
    </row>
    <row r="12620">
      <c r="C12620" s="82"/>
      <c r="E12620" s="84"/>
      <c r="F12620" s="84"/>
      <c r="G12620" s="84"/>
      <c r="I12620" s="237"/>
      <c r="J12620" s="238"/>
    </row>
    <row r="12621">
      <c r="C12621" s="82"/>
      <c r="E12621" s="84"/>
      <c r="F12621" s="84"/>
      <c r="G12621" s="84"/>
      <c r="I12621" s="237"/>
      <c r="J12621" s="238"/>
    </row>
    <row r="12622">
      <c r="C12622" s="82"/>
      <c r="E12622" s="84"/>
      <c r="F12622" s="84"/>
      <c r="G12622" s="84"/>
      <c r="I12622" s="237"/>
      <c r="J12622" s="238"/>
    </row>
    <row r="12623">
      <c r="C12623" s="82"/>
      <c r="E12623" s="84"/>
      <c r="F12623" s="84"/>
      <c r="G12623" s="84"/>
      <c r="I12623" s="237"/>
      <c r="J12623" s="238"/>
    </row>
    <row r="12624">
      <c r="C12624" s="82"/>
      <c r="E12624" s="84"/>
      <c r="F12624" s="84"/>
      <c r="G12624" s="84"/>
      <c r="I12624" s="237"/>
      <c r="J12624" s="238"/>
    </row>
    <row r="12625">
      <c r="C12625" s="82"/>
      <c r="E12625" s="84"/>
      <c r="F12625" s="84"/>
      <c r="G12625" s="84"/>
      <c r="I12625" s="237"/>
      <c r="J12625" s="238"/>
    </row>
    <row r="12626">
      <c r="C12626" s="82"/>
      <c r="E12626" s="84"/>
      <c r="F12626" s="84"/>
      <c r="G12626" s="84"/>
      <c r="I12626" s="237"/>
      <c r="J12626" s="238"/>
    </row>
    <row r="12627">
      <c r="C12627" s="82"/>
      <c r="E12627" s="84"/>
      <c r="F12627" s="84"/>
      <c r="G12627" s="84"/>
      <c r="I12627" s="237"/>
      <c r="J12627" s="238"/>
    </row>
    <row r="12628">
      <c r="C12628" s="82"/>
      <c r="E12628" s="84"/>
      <c r="F12628" s="84"/>
      <c r="G12628" s="84"/>
      <c r="I12628" s="237"/>
      <c r="J12628" s="238"/>
    </row>
    <row r="12629">
      <c r="C12629" s="82"/>
      <c r="E12629" s="84"/>
      <c r="F12629" s="84"/>
      <c r="G12629" s="84"/>
      <c r="I12629" s="237"/>
      <c r="J12629" s="238"/>
    </row>
    <row r="12630">
      <c r="C12630" s="82"/>
      <c r="E12630" s="84"/>
      <c r="F12630" s="84"/>
      <c r="G12630" s="84"/>
      <c r="I12630" s="237"/>
      <c r="J12630" s="238"/>
    </row>
    <row r="12631">
      <c r="C12631" s="82"/>
      <c r="E12631" s="84"/>
      <c r="F12631" s="84"/>
      <c r="G12631" s="84"/>
      <c r="I12631" s="237"/>
      <c r="J12631" s="238"/>
    </row>
    <row r="12632">
      <c r="C12632" s="82"/>
      <c r="E12632" s="84"/>
      <c r="F12632" s="84"/>
      <c r="G12632" s="84"/>
      <c r="I12632" s="237"/>
      <c r="J12632" s="238"/>
    </row>
    <row r="12633">
      <c r="C12633" s="82"/>
      <c r="E12633" s="84"/>
      <c r="F12633" s="84"/>
      <c r="G12633" s="84"/>
      <c r="I12633" s="237"/>
      <c r="J12633" s="238"/>
    </row>
    <row r="12634">
      <c r="C12634" s="82"/>
      <c r="E12634" s="84"/>
      <c r="F12634" s="84"/>
      <c r="G12634" s="84"/>
      <c r="I12634" s="237"/>
      <c r="J12634" s="238"/>
    </row>
    <row r="12635">
      <c r="C12635" s="82"/>
      <c r="E12635" s="84"/>
      <c r="F12635" s="84"/>
      <c r="G12635" s="84"/>
      <c r="I12635" s="237"/>
      <c r="J12635" s="238"/>
    </row>
    <row r="12636">
      <c r="C12636" s="82"/>
      <c r="E12636" s="84"/>
      <c r="F12636" s="84"/>
      <c r="G12636" s="84"/>
      <c r="I12636" s="237"/>
      <c r="J12636" s="238"/>
    </row>
    <row r="12637">
      <c r="C12637" s="82"/>
      <c r="E12637" s="84"/>
      <c r="F12637" s="84"/>
      <c r="G12637" s="84"/>
      <c r="I12637" s="237"/>
      <c r="J12637" s="238"/>
    </row>
    <row r="12638">
      <c r="C12638" s="82"/>
      <c r="E12638" s="84"/>
      <c r="F12638" s="84"/>
      <c r="G12638" s="84"/>
      <c r="I12638" s="237"/>
      <c r="J12638" s="238"/>
    </row>
    <row r="12639">
      <c r="C12639" s="82"/>
      <c r="E12639" s="84"/>
      <c r="F12639" s="84"/>
      <c r="G12639" s="84"/>
      <c r="I12639" s="237"/>
      <c r="J12639" s="238"/>
    </row>
    <row r="12640">
      <c r="C12640" s="82"/>
      <c r="E12640" s="84"/>
      <c r="F12640" s="84"/>
      <c r="G12640" s="84"/>
      <c r="I12640" s="237"/>
      <c r="J12640" s="238"/>
    </row>
    <row r="12641">
      <c r="C12641" s="82"/>
      <c r="E12641" s="84"/>
      <c r="F12641" s="84"/>
      <c r="G12641" s="84"/>
      <c r="I12641" s="237"/>
      <c r="J12641" s="238"/>
    </row>
    <row r="12642">
      <c r="C12642" s="82"/>
      <c r="E12642" s="84"/>
      <c r="F12642" s="84"/>
      <c r="G12642" s="84"/>
      <c r="I12642" s="237"/>
      <c r="J12642" s="238"/>
    </row>
    <row r="12643">
      <c r="C12643" s="82"/>
      <c r="E12643" s="84"/>
      <c r="F12643" s="84"/>
      <c r="G12643" s="84"/>
      <c r="I12643" s="237"/>
      <c r="J12643" s="238"/>
    </row>
    <row r="12644">
      <c r="C12644" s="82"/>
      <c r="E12644" s="84"/>
      <c r="F12644" s="84"/>
      <c r="G12644" s="84"/>
      <c r="I12644" s="237"/>
      <c r="J12644" s="238"/>
    </row>
    <row r="12645">
      <c r="C12645" s="82"/>
      <c r="E12645" s="84"/>
      <c r="F12645" s="84"/>
      <c r="G12645" s="84"/>
      <c r="I12645" s="237"/>
      <c r="J12645" s="238"/>
    </row>
    <row r="12646">
      <c r="C12646" s="82"/>
      <c r="E12646" s="84"/>
      <c r="F12646" s="84"/>
      <c r="G12646" s="84"/>
      <c r="I12646" s="237"/>
      <c r="J12646" s="238"/>
    </row>
    <row r="12647">
      <c r="C12647" s="82"/>
      <c r="E12647" s="84"/>
      <c r="F12647" s="84"/>
      <c r="G12647" s="84"/>
      <c r="I12647" s="237"/>
      <c r="J12647" s="238"/>
    </row>
    <row r="12648">
      <c r="C12648" s="82"/>
      <c r="E12648" s="84"/>
      <c r="F12648" s="84"/>
      <c r="G12648" s="84"/>
      <c r="I12648" s="237"/>
      <c r="J12648" s="238"/>
    </row>
    <row r="12649">
      <c r="C12649" s="82"/>
      <c r="E12649" s="84"/>
      <c r="F12649" s="84"/>
      <c r="G12649" s="84"/>
      <c r="I12649" s="237"/>
      <c r="J12649" s="238"/>
    </row>
    <row r="12650">
      <c r="C12650" s="82"/>
      <c r="E12650" s="84"/>
      <c r="F12650" s="84"/>
      <c r="G12650" s="84"/>
      <c r="I12650" s="237"/>
      <c r="J12650" s="238"/>
    </row>
    <row r="12651">
      <c r="C12651" s="82"/>
      <c r="E12651" s="84"/>
      <c r="F12651" s="84"/>
      <c r="G12651" s="84"/>
      <c r="I12651" s="237"/>
      <c r="J12651" s="238"/>
    </row>
    <row r="12652">
      <c r="C12652" s="82"/>
      <c r="E12652" s="84"/>
      <c r="F12652" s="84"/>
      <c r="G12652" s="84"/>
      <c r="I12652" s="237"/>
      <c r="J12652" s="238"/>
    </row>
    <row r="12653">
      <c r="C12653" s="82"/>
      <c r="E12653" s="84"/>
      <c r="F12653" s="84"/>
      <c r="G12653" s="84"/>
      <c r="I12653" s="237"/>
      <c r="J12653" s="238"/>
    </row>
    <row r="12654">
      <c r="C12654" s="82"/>
      <c r="E12654" s="84"/>
      <c r="F12654" s="84"/>
      <c r="G12654" s="84"/>
      <c r="I12654" s="237"/>
      <c r="J12654" s="238"/>
    </row>
    <row r="12655">
      <c r="C12655" s="82"/>
      <c r="E12655" s="84"/>
      <c r="F12655" s="84"/>
      <c r="G12655" s="84"/>
      <c r="I12655" s="237"/>
      <c r="J12655" s="238"/>
    </row>
    <row r="12656">
      <c r="C12656" s="82"/>
      <c r="E12656" s="84"/>
      <c r="F12656" s="84"/>
      <c r="G12656" s="84"/>
      <c r="I12656" s="237"/>
      <c r="J12656" s="238"/>
    </row>
    <row r="12657">
      <c r="C12657" s="82"/>
      <c r="E12657" s="84"/>
      <c r="F12657" s="84"/>
      <c r="G12657" s="84"/>
      <c r="I12657" s="237"/>
      <c r="J12657" s="238"/>
    </row>
    <row r="12658">
      <c r="C12658" s="82"/>
      <c r="E12658" s="84"/>
      <c r="F12658" s="84"/>
      <c r="G12658" s="84"/>
      <c r="I12658" s="237"/>
      <c r="J12658" s="238"/>
    </row>
    <row r="12659">
      <c r="C12659" s="82"/>
      <c r="E12659" s="84"/>
      <c r="F12659" s="84"/>
      <c r="G12659" s="84"/>
      <c r="I12659" s="237"/>
      <c r="J12659" s="238"/>
    </row>
    <row r="12660">
      <c r="C12660" s="82"/>
      <c r="E12660" s="84"/>
      <c r="F12660" s="84"/>
      <c r="G12660" s="84"/>
      <c r="I12660" s="237"/>
      <c r="J12660" s="238"/>
    </row>
    <row r="12661">
      <c r="C12661" s="82"/>
      <c r="E12661" s="84"/>
      <c r="F12661" s="84"/>
      <c r="G12661" s="84"/>
      <c r="I12661" s="237"/>
      <c r="J12661" s="238"/>
    </row>
    <row r="12662">
      <c r="C12662" s="82"/>
      <c r="E12662" s="84"/>
      <c r="F12662" s="84"/>
      <c r="G12662" s="84"/>
      <c r="I12662" s="237"/>
      <c r="J12662" s="238"/>
    </row>
    <row r="12663">
      <c r="C12663" s="82"/>
      <c r="E12663" s="84"/>
      <c r="F12663" s="84"/>
      <c r="G12663" s="84"/>
      <c r="I12663" s="237"/>
      <c r="J12663" s="238"/>
    </row>
    <row r="12664">
      <c r="C12664" s="82"/>
      <c r="E12664" s="84"/>
      <c r="F12664" s="84"/>
      <c r="G12664" s="84"/>
      <c r="I12664" s="237"/>
      <c r="J12664" s="238"/>
    </row>
    <row r="12665">
      <c r="C12665" s="82"/>
      <c r="E12665" s="84"/>
      <c r="F12665" s="84"/>
      <c r="G12665" s="84"/>
      <c r="I12665" s="237"/>
      <c r="J12665" s="238"/>
    </row>
    <row r="12666">
      <c r="C12666" s="82"/>
      <c r="E12666" s="84"/>
      <c r="F12666" s="84"/>
      <c r="G12666" s="84"/>
      <c r="I12666" s="237"/>
      <c r="J12666" s="238"/>
    </row>
    <row r="12667">
      <c r="C12667" s="82"/>
      <c r="E12667" s="84"/>
      <c r="F12667" s="84"/>
      <c r="G12667" s="84"/>
      <c r="I12667" s="237"/>
      <c r="J12667" s="238"/>
    </row>
    <row r="12668">
      <c r="C12668" s="82"/>
      <c r="E12668" s="84"/>
      <c r="F12668" s="84"/>
      <c r="G12668" s="84"/>
      <c r="I12668" s="237"/>
      <c r="J12668" s="238"/>
    </row>
    <row r="12669">
      <c r="C12669" s="82"/>
      <c r="E12669" s="84"/>
      <c r="F12669" s="84"/>
      <c r="G12669" s="84"/>
      <c r="I12669" s="237"/>
      <c r="J12669" s="238"/>
    </row>
    <row r="12670">
      <c r="C12670" s="82"/>
      <c r="E12670" s="84"/>
      <c r="F12670" s="84"/>
      <c r="G12670" s="84"/>
      <c r="I12670" s="237"/>
      <c r="J12670" s="238"/>
    </row>
    <row r="12671">
      <c r="C12671" s="82"/>
      <c r="E12671" s="84"/>
      <c r="F12671" s="84"/>
      <c r="G12671" s="84"/>
      <c r="I12671" s="237"/>
      <c r="J12671" s="238"/>
    </row>
    <row r="12672">
      <c r="C12672" s="82"/>
      <c r="E12672" s="84"/>
      <c r="F12672" s="84"/>
      <c r="G12672" s="84"/>
      <c r="I12672" s="237"/>
      <c r="J12672" s="238"/>
    </row>
    <row r="12673">
      <c r="C12673" s="82"/>
      <c r="E12673" s="84"/>
      <c r="F12673" s="84"/>
      <c r="G12673" s="84"/>
      <c r="I12673" s="237"/>
      <c r="J12673" s="238"/>
    </row>
    <row r="12674">
      <c r="C12674" s="82"/>
      <c r="E12674" s="84"/>
      <c r="F12674" s="84"/>
      <c r="G12674" s="84"/>
      <c r="I12674" s="237"/>
      <c r="J12674" s="238"/>
    </row>
    <row r="12675">
      <c r="C12675" s="82"/>
      <c r="E12675" s="84"/>
      <c r="F12675" s="84"/>
      <c r="G12675" s="84"/>
      <c r="I12675" s="237"/>
      <c r="J12675" s="238"/>
    </row>
    <row r="12676">
      <c r="C12676" s="82"/>
      <c r="E12676" s="84"/>
      <c r="F12676" s="84"/>
      <c r="G12676" s="84"/>
      <c r="I12676" s="237"/>
      <c r="J12676" s="238"/>
    </row>
    <row r="12677">
      <c r="C12677" s="82"/>
      <c r="E12677" s="84"/>
      <c r="F12677" s="84"/>
      <c r="G12677" s="84"/>
      <c r="I12677" s="237"/>
      <c r="J12677" s="238"/>
    </row>
    <row r="12678">
      <c r="C12678" s="82"/>
      <c r="E12678" s="84"/>
      <c r="F12678" s="84"/>
      <c r="G12678" s="84"/>
      <c r="I12678" s="237"/>
      <c r="J12678" s="238"/>
    </row>
    <row r="12679">
      <c r="C12679" s="82"/>
      <c r="E12679" s="84"/>
      <c r="F12679" s="84"/>
      <c r="G12679" s="84"/>
      <c r="I12679" s="237"/>
      <c r="J12679" s="238"/>
    </row>
    <row r="12680">
      <c r="C12680" s="82"/>
      <c r="E12680" s="84"/>
      <c r="F12680" s="84"/>
      <c r="G12680" s="84"/>
      <c r="I12680" s="237"/>
      <c r="J12680" s="238"/>
    </row>
    <row r="12681">
      <c r="C12681" s="82"/>
      <c r="E12681" s="84"/>
      <c r="F12681" s="84"/>
      <c r="G12681" s="84"/>
      <c r="I12681" s="237"/>
      <c r="J12681" s="238"/>
    </row>
    <row r="12682">
      <c r="C12682" s="82"/>
      <c r="E12682" s="84"/>
      <c r="F12682" s="84"/>
      <c r="G12682" s="84"/>
      <c r="I12682" s="237"/>
      <c r="J12682" s="238"/>
    </row>
    <row r="12683">
      <c r="C12683" s="82"/>
      <c r="E12683" s="84"/>
      <c r="F12683" s="84"/>
      <c r="G12683" s="84"/>
      <c r="I12683" s="237"/>
      <c r="J12683" s="238"/>
    </row>
    <row r="12684">
      <c r="C12684" s="82"/>
      <c r="E12684" s="84"/>
      <c r="F12684" s="84"/>
      <c r="G12684" s="84"/>
      <c r="I12684" s="237"/>
      <c r="J12684" s="238"/>
    </row>
    <row r="12685">
      <c r="C12685" s="82"/>
      <c r="E12685" s="84"/>
      <c r="F12685" s="84"/>
      <c r="G12685" s="84"/>
      <c r="I12685" s="237"/>
      <c r="J12685" s="238"/>
    </row>
    <row r="12686">
      <c r="C12686" s="82"/>
      <c r="E12686" s="84"/>
      <c r="F12686" s="84"/>
      <c r="G12686" s="84"/>
      <c r="I12686" s="237"/>
      <c r="J12686" s="238"/>
    </row>
    <row r="12687">
      <c r="C12687" s="82"/>
      <c r="E12687" s="84"/>
      <c r="F12687" s="84"/>
      <c r="G12687" s="84"/>
      <c r="I12687" s="237"/>
      <c r="J12687" s="238"/>
    </row>
    <row r="12688">
      <c r="C12688" s="82"/>
      <c r="E12688" s="84"/>
      <c r="F12688" s="84"/>
      <c r="G12688" s="84"/>
      <c r="I12688" s="237"/>
      <c r="J12688" s="238"/>
    </row>
    <row r="12689">
      <c r="C12689" s="82"/>
      <c r="E12689" s="84"/>
      <c r="F12689" s="84"/>
      <c r="G12689" s="84"/>
      <c r="I12689" s="237"/>
      <c r="J12689" s="238"/>
    </row>
    <row r="12690">
      <c r="C12690" s="82"/>
      <c r="E12690" s="84"/>
      <c r="F12690" s="84"/>
      <c r="G12690" s="84"/>
      <c r="I12690" s="237"/>
      <c r="J12690" s="238"/>
    </row>
    <row r="12691">
      <c r="C12691" s="82"/>
      <c r="E12691" s="84"/>
      <c r="F12691" s="84"/>
      <c r="G12691" s="84"/>
      <c r="I12691" s="237"/>
      <c r="J12691" s="238"/>
    </row>
    <row r="12692">
      <c r="C12692" s="82"/>
      <c r="E12692" s="84"/>
      <c r="F12692" s="84"/>
      <c r="G12692" s="84"/>
      <c r="I12692" s="237"/>
      <c r="J12692" s="238"/>
    </row>
    <row r="12693">
      <c r="C12693" s="82"/>
      <c r="E12693" s="84"/>
      <c r="F12693" s="84"/>
      <c r="G12693" s="84"/>
      <c r="I12693" s="237"/>
      <c r="J12693" s="238"/>
    </row>
    <row r="12694">
      <c r="C12694" s="82"/>
      <c r="E12694" s="84"/>
      <c r="F12694" s="84"/>
      <c r="G12694" s="84"/>
      <c r="I12694" s="237"/>
      <c r="J12694" s="238"/>
    </row>
    <row r="12695">
      <c r="C12695" s="82"/>
      <c r="E12695" s="84"/>
      <c r="F12695" s="84"/>
      <c r="G12695" s="84"/>
      <c r="I12695" s="237"/>
      <c r="J12695" s="238"/>
    </row>
    <row r="12696">
      <c r="C12696" s="82"/>
      <c r="E12696" s="84"/>
      <c r="F12696" s="84"/>
      <c r="G12696" s="84"/>
      <c r="I12696" s="237"/>
      <c r="J12696" s="238"/>
    </row>
    <row r="12697">
      <c r="C12697" s="82"/>
      <c r="E12697" s="84"/>
      <c r="F12697" s="84"/>
      <c r="G12697" s="84"/>
      <c r="I12697" s="237"/>
      <c r="J12697" s="238"/>
    </row>
    <row r="12698">
      <c r="C12698" s="82"/>
      <c r="E12698" s="84"/>
      <c r="F12698" s="84"/>
      <c r="G12698" s="84"/>
      <c r="I12698" s="237"/>
      <c r="J12698" s="238"/>
    </row>
    <row r="12699">
      <c r="C12699" s="82"/>
      <c r="E12699" s="84"/>
      <c r="F12699" s="84"/>
      <c r="G12699" s="84"/>
      <c r="I12699" s="237"/>
      <c r="J12699" s="238"/>
    </row>
    <row r="12700">
      <c r="C12700" s="82"/>
      <c r="E12700" s="84"/>
      <c r="F12700" s="84"/>
      <c r="G12700" s="84"/>
      <c r="I12700" s="237"/>
      <c r="J12700" s="238"/>
    </row>
    <row r="12701">
      <c r="C12701" s="82"/>
      <c r="E12701" s="84"/>
      <c r="F12701" s="84"/>
      <c r="G12701" s="84"/>
      <c r="I12701" s="237"/>
      <c r="J12701" s="238"/>
    </row>
    <row r="12702">
      <c r="C12702" s="82"/>
      <c r="E12702" s="84"/>
      <c r="F12702" s="84"/>
      <c r="G12702" s="84"/>
      <c r="I12702" s="237"/>
      <c r="J12702" s="238"/>
    </row>
    <row r="12703">
      <c r="C12703" s="82"/>
      <c r="E12703" s="84"/>
      <c r="F12703" s="84"/>
      <c r="G12703" s="84"/>
      <c r="I12703" s="237"/>
      <c r="J12703" s="238"/>
    </row>
    <row r="12704">
      <c r="C12704" s="82"/>
      <c r="E12704" s="84"/>
      <c r="F12704" s="84"/>
      <c r="G12704" s="84"/>
      <c r="I12704" s="237"/>
      <c r="J12704" s="238"/>
    </row>
    <row r="12705">
      <c r="C12705" s="82"/>
      <c r="E12705" s="84"/>
      <c r="F12705" s="84"/>
      <c r="G12705" s="84"/>
      <c r="I12705" s="237"/>
      <c r="J12705" s="238"/>
    </row>
    <row r="12706">
      <c r="C12706" s="82"/>
      <c r="E12706" s="84"/>
      <c r="F12706" s="84"/>
      <c r="G12706" s="84"/>
      <c r="I12706" s="237"/>
      <c r="J12706" s="238"/>
    </row>
    <row r="12707">
      <c r="C12707" s="82"/>
      <c r="E12707" s="84"/>
      <c r="F12707" s="84"/>
      <c r="G12707" s="84"/>
      <c r="I12707" s="237"/>
      <c r="J12707" s="238"/>
    </row>
    <row r="12708">
      <c r="C12708" s="82"/>
      <c r="E12708" s="84"/>
      <c r="F12708" s="84"/>
      <c r="G12708" s="84"/>
      <c r="I12708" s="237"/>
      <c r="J12708" s="238"/>
    </row>
    <row r="12709">
      <c r="C12709" s="82"/>
      <c r="E12709" s="84"/>
      <c r="F12709" s="84"/>
      <c r="G12709" s="84"/>
      <c r="I12709" s="237"/>
      <c r="J12709" s="238"/>
    </row>
    <row r="12710">
      <c r="C12710" s="82"/>
      <c r="E12710" s="84"/>
      <c r="F12710" s="84"/>
      <c r="G12710" s="84"/>
      <c r="I12710" s="237"/>
      <c r="J12710" s="238"/>
    </row>
    <row r="12711">
      <c r="C12711" s="82"/>
      <c r="E12711" s="84"/>
      <c r="F12711" s="84"/>
      <c r="G12711" s="84"/>
      <c r="I12711" s="237"/>
      <c r="J12711" s="238"/>
    </row>
    <row r="12712">
      <c r="C12712" s="82"/>
      <c r="E12712" s="84"/>
      <c r="F12712" s="84"/>
      <c r="G12712" s="84"/>
      <c r="I12712" s="237"/>
      <c r="J12712" s="238"/>
    </row>
    <row r="12713">
      <c r="C12713" s="82"/>
      <c r="E12713" s="84"/>
      <c r="F12713" s="84"/>
      <c r="G12713" s="84"/>
      <c r="I12713" s="237"/>
      <c r="J12713" s="238"/>
    </row>
    <row r="12714">
      <c r="C12714" s="82"/>
      <c r="E12714" s="84"/>
      <c r="F12714" s="84"/>
      <c r="G12714" s="84"/>
      <c r="I12714" s="237"/>
      <c r="J12714" s="238"/>
    </row>
    <row r="12715">
      <c r="C12715" s="82"/>
      <c r="E12715" s="84"/>
      <c r="F12715" s="84"/>
      <c r="G12715" s="84"/>
      <c r="I12715" s="237"/>
      <c r="J12715" s="238"/>
    </row>
    <row r="12716">
      <c r="C12716" s="82"/>
      <c r="E12716" s="84"/>
      <c r="F12716" s="84"/>
      <c r="G12716" s="84"/>
      <c r="I12716" s="237"/>
      <c r="J12716" s="238"/>
    </row>
    <row r="12717">
      <c r="C12717" s="82"/>
      <c r="E12717" s="84"/>
      <c r="F12717" s="84"/>
      <c r="G12717" s="84"/>
      <c r="I12717" s="237"/>
      <c r="J12717" s="238"/>
    </row>
    <row r="12718">
      <c r="C12718" s="82"/>
      <c r="E12718" s="84"/>
      <c r="F12718" s="84"/>
      <c r="G12718" s="84"/>
      <c r="I12718" s="237"/>
      <c r="J12718" s="238"/>
    </row>
    <row r="12719">
      <c r="C12719" s="82"/>
      <c r="E12719" s="84"/>
      <c r="F12719" s="84"/>
      <c r="G12719" s="84"/>
      <c r="I12719" s="237"/>
      <c r="J12719" s="238"/>
    </row>
    <row r="12720">
      <c r="C12720" s="82"/>
      <c r="E12720" s="84"/>
      <c r="F12720" s="84"/>
      <c r="G12720" s="84"/>
      <c r="I12720" s="237"/>
      <c r="J12720" s="238"/>
    </row>
    <row r="12721">
      <c r="C12721" s="82"/>
      <c r="E12721" s="84"/>
      <c r="F12721" s="84"/>
      <c r="G12721" s="84"/>
      <c r="I12721" s="237"/>
      <c r="J12721" s="238"/>
    </row>
    <row r="12722">
      <c r="C12722" s="82"/>
      <c r="E12722" s="84"/>
      <c r="F12722" s="84"/>
      <c r="G12722" s="84"/>
      <c r="I12722" s="237"/>
      <c r="J12722" s="238"/>
    </row>
    <row r="12723">
      <c r="C12723" s="82"/>
      <c r="E12723" s="84"/>
      <c r="F12723" s="84"/>
      <c r="G12723" s="84"/>
      <c r="I12723" s="237"/>
      <c r="J12723" s="238"/>
    </row>
    <row r="12724">
      <c r="C12724" s="82"/>
      <c r="E12724" s="84"/>
      <c r="F12724" s="84"/>
      <c r="G12724" s="84"/>
      <c r="I12724" s="237"/>
      <c r="J12724" s="238"/>
    </row>
    <row r="12725">
      <c r="C12725" s="82"/>
      <c r="E12725" s="84"/>
      <c r="F12725" s="84"/>
      <c r="G12725" s="84"/>
      <c r="I12725" s="237"/>
      <c r="J12725" s="238"/>
    </row>
    <row r="12726">
      <c r="C12726" s="82"/>
      <c r="E12726" s="84"/>
      <c r="F12726" s="84"/>
      <c r="G12726" s="84"/>
      <c r="I12726" s="237"/>
      <c r="J12726" s="238"/>
    </row>
    <row r="12727">
      <c r="C12727" s="82"/>
      <c r="E12727" s="84"/>
      <c r="F12727" s="84"/>
      <c r="G12727" s="84"/>
      <c r="I12727" s="237"/>
      <c r="J12727" s="238"/>
    </row>
    <row r="12728">
      <c r="C12728" s="82"/>
      <c r="E12728" s="84"/>
      <c r="F12728" s="84"/>
      <c r="G12728" s="84"/>
      <c r="I12728" s="237"/>
      <c r="J12728" s="238"/>
    </row>
    <row r="12729">
      <c r="C12729" s="82"/>
      <c r="E12729" s="84"/>
      <c r="F12729" s="84"/>
      <c r="G12729" s="84"/>
      <c r="I12729" s="237"/>
      <c r="J12729" s="238"/>
    </row>
    <row r="12730">
      <c r="C12730" s="82"/>
      <c r="E12730" s="84"/>
      <c r="F12730" s="84"/>
      <c r="G12730" s="84"/>
      <c r="I12730" s="237"/>
      <c r="J12730" s="238"/>
    </row>
    <row r="12731">
      <c r="C12731" s="82"/>
      <c r="E12731" s="84"/>
      <c r="F12731" s="84"/>
      <c r="G12731" s="84"/>
      <c r="I12731" s="237"/>
      <c r="J12731" s="238"/>
    </row>
    <row r="12732">
      <c r="C12732" s="82"/>
      <c r="E12732" s="84"/>
      <c r="F12732" s="84"/>
      <c r="G12732" s="84"/>
      <c r="I12732" s="237"/>
      <c r="J12732" s="238"/>
    </row>
    <row r="12733">
      <c r="C12733" s="82"/>
      <c r="E12733" s="84"/>
      <c r="F12733" s="84"/>
      <c r="G12733" s="84"/>
      <c r="I12733" s="237"/>
      <c r="J12733" s="238"/>
    </row>
    <row r="12734">
      <c r="C12734" s="82"/>
      <c r="E12734" s="84"/>
      <c r="F12734" s="84"/>
      <c r="G12734" s="84"/>
      <c r="I12734" s="237"/>
      <c r="J12734" s="238"/>
    </row>
    <row r="12735">
      <c r="C12735" s="82"/>
      <c r="E12735" s="84"/>
      <c r="F12735" s="84"/>
      <c r="G12735" s="84"/>
      <c r="I12735" s="237"/>
      <c r="J12735" s="238"/>
    </row>
    <row r="12736">
      <c r="C12736" s="82"/>
      <c r="E12736" s="84"/>
      <c r="F12736" s="84"/>
      <c r="G12736" s="84"/>
      <c r="I12736" s="237"/>
      <c r="J12736" s="238"/>
    </row>
    <row r="12737">
      <c r="C12737" s="82"/>
      <c r="E12737" s="84"/>
      <c r="F12737" s="84"/>
      <c r="G12737" s="84"/>
      <c r="I12737" s="237"/>
      <c r="J12737" s="238"/>
    </row>
    <row r="12738">
      <c r="C12738" s="82"/>
      <c r="E12738" s="84"/>
      <c r="F12738" s="84"/>
      <c r="G12738" s="84"/>
      <c r="I12738" s="237"/>
      <c r="J12738" s="238"/>
    </row>
    <row r="12739">
      <c r="C12739" s="82"/>
      <c r="E12739" s="84"/>
      <c r="F12739" s="84"/>
      <c r="G12739" s="84"/>
      <c r="I12739" s="237"/>
      <c r="J12739" s="238"/>
    </row>
    <row r="12740">
      <c r="C12740" s="82"/>
      <c r="E12740" s="84"/>
      <c r="F12740" s="84"/>
      <c r="G12740" s="84"/>
      <c r="I12740" s="237"/>
      <c r="J12740" s="238"/>
    </row>
    <row r="12741">
      <c r="C12741" s="82"/>
      <c r="E12741" s="84"/>
      <c r="F12741" s="84"/>
      <c r="G12741" s="84"/>
      <c r="I12741" s="237"/>
      <c r="J12741" s="238"/>
    </row>
    <row r="12742">
      <c r="C12742" s="82"/>
      <c r="E12742" s="84"/>
      <c r="F12742" s="84"/>
      <c r="G12742" s="84"/>
      <c r="I12742" s="237"/>
      <c r="J12742" s="238"/>
    </row>
    <row r="12743">
      <c r="C12743" s="82"/>
      <c r="E12743" s="84"/>
      <c r="F12743" s="84"/>
      <c r="G12743" s="84"/>
      <c r="I12743" s="237"/>
      <c r="J12743" s="238"/>
    </row>
    <row r="12744">
      <c r="C12744" s="82"/>
      <c r="E12744" s="84"/>
      <c r="F12744" s="84"/>
      <c r="G12744" s="84"/>
      <c r="I12744" s="237"/>
      <c r="J12744" s="238"/>
    </row>
    <row r="12745">
      <c r="C12745" s="82"/>
      <c r="E12745" s="84"/>
      <c r="F12745" s="84"/>
      <c r="G12745" s="84"/>
      <c r="I12745" s="237"/>
      <c r="J12745" s="238"/>
    </row>
    <row r="12746">
      <c r="C12746" s="82"/>
      <c r="E12746" s="84"/>
      <c r="F12746" s="84"/>
      <c r="G12746" s="84"/>
      <c r="I12746" s="237"/>
      <c r="J12746" s="238"/>
    </row>
    <row r="12747">
      <c r="C12747" s="82"/>
      <c r="E12747" s="84"/>
      <c r="F12747" s="84"/>
      <c r="G12747" s="84"/>
      <c r="I12747" s="237"/>
      <c r="J12747" s="238"/>
    </row>
    <row r="12748">
      <c r="C12748" s="82"/>
      <c r="E12748" s="84"/>
      <c r="F12748" s="84"/>
      <c r="G12748" s="84"/>
      <c r="I12748" s="237"/>
      <c r="J12748" s="238"/>
    </row>
    <row r="12749">
      <c r="C12749" s="82"/>
      <c r="E12749" s="84"/>
      <c r="F12749" s="84"/>
      <c r="G12749" s="84"/>
      <c r="I12749" s="237"/>
      <c r="J12749" s="238"/>
    </row>
    <row r="12750">
      <c r="C12750" s="82"/>
      <c r="E12750" s="84"/>
      <c r="F12750" s="84"/>
      <c r="G12750" s="84"/>
      <c r="I12750" s="237"/>
      <c r="J12750" s="238"/>
    </row>
    <row r="12751">
      <c r="C12751" s="82"/>
      <c r="E12751" s="84"/>
      <c r="F12751" s="84"/>
      <c r="G12751" s="84"/>
      <c r="I12751" s="237"/>
      <c r="J12751" s="238"/>
    </row>
    <row r="12752">
      <c r="C12752" s="82"/>
      <c r="E12752" s="84"/>
      <c r="F12752" s="84"/>
      <c r="G12752" s="84"/>
      <c r="I12752" s="237"/>
      <c r="J12752" s="238"/>
    </row>
    <row r="12753">
      <c r="C12753" s="82"/>
      <c r="E12753" s="84"/>
      <c r="F12753" s="84"/>
      <c r="G12753" s="84"/>
      <c r="I12753" s="237"/>
      <c r="J12753" s="238"/>
    </row>
    <row r="12754">
      <c r="C12754" s="82"/>
      <c r="E12754" s="84"/>
      <c r="F12754" s="84"/>
      <c r="G12754" s="84"/>
      <c r="I12754" s="237"/>
      <c r="J12754" s="238"/>
    </row>
    <row r="12755">
      <c r="C12755" s="82"/>
      <c r="E12755" s="84"/>
      <c r="F12755" s="84"/>
      <c r="G12755" s="84"/>
      <c r="I12755" s="237"/>
      <c r="J12755" s="238"/>
    </row>
    <row r="12756">
      <c r="C12756" s="82"/>
      <c r="E12756" s="84"/>
      <c r="F12756" s="84"/>
      <c r="G12756" s="84"/>
      <c r="I12756" s="237"/>
      <c r="J12756" s="238"/>
    </row>
    <row r="12757">
      <c r="C12757" s="82"/>
      <c r="E12757" s="84"/>
      <c r="F12757" s="84"/>
      <c r="G12757" s="84"/>
      <c r="I12757" s="237"/>
      <c r="J12757" s="238"/>
    </row>
    <row r="12758">
      <c r="C12758" s="82"/>
      <c r="E12758" s="84"/>
      <c r="F12758" s="84"/>
      <c r="G12758" s="84"/>
      <c r="I12758" s="237"/>
      <c r="J12758" s="238"/>
    </row>
    <row r="12759">
      <c r="C12759" s="82"/>
      <c r="E12759" s="84"/>
      <c r="F12759" s="84"/>
      <c r="G12759" s="84"/>
      <c r="I12759" s="237"/>
      <c r="J12759" s="238"/>
    </row>
    <row r="12760">
      <c r="C12760" s="82"/>
      <c r="E12760" s="84"/>
      <c r="F12760" s="84"/>
      <c r="G12760" s="84"/>
      <c r="I12760" s="237"/>
      <c r="J12760" s="238"/>
    </row>
    <row r="12761">
      <c r="C12761" s="82"/>
      <c r="E12761" s="84"/>
      <c r="F12761" s="84"/>
      <c r="G12761" s="84"/>
      <c r="I12761" s="237"/>
      <c r="J12761" s="238"/>
    </row>
    <row r="12762">
      <c r="C12762" s="82"/>
      <c r="E12762" s="84"/>
      <c r="F12762" s="84"/>
      <c r="G12762" s="84"/>
      <c r="I12762" s="237"/>
      <c r="J12762" s="238"/>
    </row>
    <row r="12763">
      <c r="C12763" s="82"/>
      <c r="E12763" s="84"/>
      <c r="F12763" s="84"/>
      <c r="G12763" s="84"/>
      <c r="I12763" s="237"/>
      <c r="J12763" s="238"/>
    </row>
    <row r="12764">
      <c r="C12764" s="82"/>
      <c r="E12764" s="84"/>
      <c r="F12764" s="84"/>
      <c r="G12764" s="84"/>
      <c r="I12764" s="237"/>
      <c r="J12764" s="238"/>
    </row>
    <row r="12765">
      <c r="C12765" s="82"/>
      <c r="E12765" s="84"/>
      <c r="F12765" s="84"/>
      <c r="G12765" s="84"/>
      <c r="I12765" s="237"/>
      <c r="J12765" s="238"/>
    </row>
    <row r="12766">
      <c r="C12766" s="82"/>
      <c r="E12766" s="84"/>
      <c r="F12766" s="84"/>
      <c r="G12766" s="84"/>
      <c r="I12766" s="237"/>
      <c r="J12766" s="238"/>
    </row>
    <row r="12767">
      <c r="C12767" s="82"/>
      <c r="E12767" s="84"/>
      <c r="F12767" s="84"/>
      <c r="G12767" s="84"/>
      <c r="I12767" s="237"/>
      <c r="J12767" s="238"/>
    </row>
    <row r="12768">
      <c r="C12768" s="82"/>
      <c r="E12768" s="84"/>
      <c r="F12768" s="84"/>
      <c r="G12768" s="84"/>
      <c r="I12768" s="237"/>
      <c r="J12768" s="238"/>
    </row>
    <row r="12769">
      <c r="C12769" s="82"/>
      <c r="E12769" s="84"/>
      <c r="F12769" s="84"/>
      <c r="G12769" s="84"/>
      <c r="I12769" s="237"/>
      <c r="J12769" s="238"/>
    </row>
    <row r="12770">
      <c r="C12770" s="82"/>
      <c r="E12770" s="84"/>
      <c r="F12770" s="84"/>
      <c r="G12770" s="84"/>
      <c r="I12770" s="237"/>
      <c r="J12770" s="238"/>
    </row>
    <row r="12771">
      <c r="C12771" s="82"/>
      <c r="E12771" s="84"/>
      <c r="F12771" s="84"/>
      <c r="G12771" s="84"/>
      <c r="I12771" s="237"/>
      <c r="J12771" s="238"/>
    </row>
    <row r="12772">
      <c r="C12772" s="82"/>
      <c r="E12772" s="84"/>
      <c r="F12772" s="84"/>
      <c r="G12772" s="84"/>
      <c r="I12772" s="237"/>
      <c r="J12772" s="238"/>
    </row>
    <row r="12773">
      <c r="C12773" s="82"/>
      <c r="E12773" s="84"/>
      <c r="F12773" s="84"/>
      <c r="G12773" s="84"/>
      <c r="I12773" s="237"/>
      <c r="J12773" s="238"/>
    </row>
    <row r="12774">
      <c r="C12774" s="82"/>
      <c r="E12774" s="84"/>
      <c r="F12774" s="84"/>
      <c r="G12774" s="84"/>
      <c r="I12774" s="237"/>
      <c r="J12774" s="238"/>
    </row>
    <row r="12775">
      <c r="C12775" s="82"/>
      <c r="E12775" s="84"/>
      <c r="F12775" s="84"/>
      <c r="G12775" s="84"/>
      <c r="I12775" s="237"/>
      <c r="J12775" s="238"/>
    </row>
    <row r="12776">
      <c r="C12776" s="82"/>
      <c r="E12776" s="84"/>
      <c r="F12776" s="84"/>
      <c r="G12776" s="84"/>
      <c r="I12776" s="237"/>
      <c r="J12776" s="238"/>
    </row>
    <row r="12777">
      <c r="C12777" s="82"/>
      <c r="E12777" s="84"/>
      <c r="F12777" s="84"/>
      <c r="G12777" s="84"/>
      <c r="I12777" s="237"/>
      <c r="J12777" s="238"/>
    </row>
    <row r="12778">
      <c r="C12778" s="82"/>
      <c r="E12778" s="84"/>
      <c r="F12778" s="84"/>
      <c r="G12778" s="84"/>
      <c r="I12778" s="237"/>
      <c r="J12778" s="238"/>
    </row>
    <row r="12779">
      <c r="C12779" s="82"/>
      <c r="E12779" s="84"/>
      <c r="F12779" s="84"/>
      <c r="G12779" s="84"/>
      <c r="I12779" s="237"/>
      <c r="J12779" s="238"/>
    </row>
    <row r="12780">
      <c r="C12780" s="82"/>
      <c r="E12780" s="84"/>
      <c r="F12780" s="84"/>
      <c r="G12780" s="84"/>
      <c r="I12780" s="237"/>
      <c r="J12780" s="238"/>
    </row>
    <row r="12781">
      <c r="C12781" s="82"/>
      <c r="E12781" s="84"/>
      <c r="F12781" s="84"/>
      <c r="G12781" s="84"/>
      <c r="I12781" s="237"/>
      <c r="J12781" s="238"/>
    </row>
    <row r="12782">
      <c r="C12782" s="82"/>
      <c r="E12782" s="84"/>
      <c r="F12782" s="84"/>
      <c r="G12782" s="84"/>
      <c r="I12782" s="237"/>
      <c r="J12782" s="238"/>
    </row>
    <row r="12783">
      <c r="C12783" s="82"/>
      <c r="E12783" s="84"/>
      <c r="F12783" s="84"/>
      <c r="G12783" s="84"/>
      <c r="I12783" s="237"/>
      <c r="J12783" s="238"/>
    </row>
    <row r="12784">
      <c r="C12784" s="82"/>
      <c r="E12784" s="84"/>
      <c r="F12784" s="84"/>
      <c r="G12784" s="84"/>
      <c r="I12784" s="237"/>
      <c r="J12784" s="238"/>
    </row>
    <row r="12785">
      <c r="C12785" s="82"/>
      <c r="E12785" s="84"/>
      <c r="F12785" s="84"/>
      <c r="G12785" s="84"/>
      <c r="I12785" s="237"/>
      <c r="J12785" s="238"/>
    </row>
    <row r="12786">
      <c r="C12786" s="82"/>
      <c r="E12786" s="84"/>
      <c r="F12786" s="84"/>
      <c r="G12786" s="84"/>
      <c r="I12786" s="237"/>
      <c r="J12786" s="238"/>
    </row>
    <row r="12787">
      <c r="C12787" s="82"/>
      <c r="E12787" s="84"/>
      <c r="F12787" s="84"/>
      <c r="G12787" s="84"/>
      <c r="I12787" s="237"/>
      <c r="J12787" s="238"/>
    </row>
    <row r="12788">
      <c r="C12788" s="82"/>
      <c r="E12788" s="84"/>
      <c r="F12788" s="84"/>
      <c r="G12788" s="84"/>
      <c r="I12788" s="237"/>
      <c r="J12788" s="238"/>
    </row>
    <row r="12789">
      <c r="C12789" s="82"/>
      <c r="E12789" s="84"/>
      <c r="F12789" s="84"/>
      <c r="G12789" s="84"/>
      <c r="I12789" s="237"/>
      <c r="J12789" s="238"/>
    </row>
    <row r="12790">
      <c r="C12790" s="82"/>
      <c r="E12790" s="84"/>
      <c r="F12790" s="84"/>
      <c r="G12790" s="84"/>
      <c r="I12790" s="237"/>
      <c r="J12790" s="238"/>
    </row>
    <row r="12791">
      <c r="C12791" s="82"/>
      <c r="E12791" s="84"/>
      <c r="F12791" s="84"/>
      <c r="G12791" s="84"/>
      <c r="I12791" s="237"/>
      <c r="J12791" s="238"/>
    </row>
    <row r="12792">
      <c r="C12792" s="82"/>
      <c r="E12792" s="84"/>
      <c r="F12792" s="84"/>
      <c r="G12792" s="84"/>
      <c r="I12792" s="237"/>
      <c r="J12792" s="238"/>
    </row>
    <row r="12793">
      <c r="C12793" s="82"/>
      <c r="E12793" s="84"/>
      <c r="F12793" s="84"/>
      <c r="G12793" s="84"/>
      <c r="I12793" s="237"/>
      <c r="J12793" s="238"/>
    </row>
    <row r="12794">
      <c r="C12794" s="82"/>
      <c r="E12794" s="84"/>
      <c r="F12794" s="84"/>
      <c r="G12794" s="84"/>
      <c r="I12794" s="237"/>
      <c r="J12794" s="238"/>
    </row>
    <row r="12795">
      <c r="C12795" s="82"/>
      <c r="E12795" s="84"/>
      <c r="F12795" s="84"/>
      <c r="G12795" s="84"/>
      <c r="I12795" s="237"/>
      <c r="J12795" s="238"/>
    </row>
    <row r="12796">
      <c r="C12796" s="82"/>
      <c r="E12796" s="84"/>
      <c r="F12796" s="84"/>
      <c r="G12796" s="84"/>
      <c r="I12796" s="237"/>
      <c r="J12796" s="238"/>
    </row>
    <row r="12797">
      <c r="C12797" s="82"/>
      <c r="E12797" s="84"/>
      <c r="F12797" s="84"/>
      <c r="G12797" s="84"/>
      <c r="I12797" s="237"/>
      <c r="J12797" s="238"/>
    </row>
    <row r="12798">
      <c r="C12798" s="82"/>
      <c r="E12798" s="84"/>
      <c r="F12798" s="84"/>
      <c r="G12798" s="84"/>
      <c r="I12798" s="237"/>
      <c r="J12798" s="238"/>
    </row>
    <row r="12799">
      <c r="C12799" s="82"/>
      <c r="E12799" s="84"/>
      <c r="F12799" s="84"/>
      <c r="G12799" s="84"/>
      <c r="I12799" s="237"/>
      <c r="J12799" s="238"/>
    </row>
    <row r="12800">
      <c r="C12800" s="82"/>
      <c r="E12800" s="84"/>
      <c r="F12800" s="84"/>
      <c r="G12800" s="84"/>
      <c r="I12800" s="237"/>
      <c r="J12800" s="238"/>
    </row>
    <row r="12801">
      <c r="C12801" s="82"/>
      <c r="E12801" s="84"/>
      <c r="F12801" s="84"/>
      <c r="G12801" s="84"/>
      <c r="I12801" s="237"/>
      <c r="J12801" s="238"/>
    </row>
    <row r="12802">
      <c r="C12802" s="82"/>
      <c r="E12802" s="84"/>
      <c r="F12802" s="84"/>
      <c r="G12802" s="84"/>
      <c r="I12802" s="237"/>
      <c r="J12802" s="238"/>
    </row>
    <row r="12803">
      <c r="C12803" s="82"/>
      <c r="E12803" s="84"/>
      <c r="F12803" s="84"/>
      <c r="G12803" s="84"/>
      <c r="I12803" s="237"/>
      <c r="J12803" s="238"/>
    </row>
    <row r="12804">
      <c r="C12804" s="82"/>
      <c r="E12804" s="84"/>
      <c r="F12804" s="84"/>
      <c r="G12804" s="84"/>
      <c r="I12804" s="237"/>
      <c r="J12804" s="238"/>
    </row>
    <row r="12805">
      <c r="C12805" s="82"/>
      <c r="E12805" s="84"/>
      <c r="F12805" s="84"/>
      <c r="G12805" s="84"/>
      <c r="I12805" s="237"/>
      <c r="J12805" s="238"/>
    </row>
    <row r="12806">
      <c r="C12806" s="82"/>
      <c r="E12806" s="84"/>
      <c r="F12806" s="84"/>
      <c r="G12806" s="84"/>
      <c r="I12806" s="237"/>
      <c r="J12806" s="238"/>
    </row>
    <row r="12807">
      <c r="C12807" s="82"/>
      <c r="E12807" s="84"/>
      <c r="F12807" s="84"/>
      <c r="G12807" s="84"/>
      <c r="I12807" s="237"/>
      <c r="J12807" s="238"/>
    </row>
    <row r="12808">
      <c r="C12808" s="82"/>
      <c r="E12808" s="84"/>
      <c r="F12808" s="84"/>
      <c r="G12808" s="84"/>
      <c r="I12808" s="237"/>
      <c r="J12808" s="238"/>
    </row>
    <row r="12809">
      <c r="C12809" s="82"/>
      <c r="E12809" s="84"/>
      <c r="F12809" s="84"/>
      <c r="G12809" s="84"/>
      <c r="I12809" s="237"/>
      <c r="J12809" s="238"/>
    </row>
    <row r="12810">
      <c r="C12810" s="82"/>
      <c r="E12810" s="84"/>
      <c r="F12810" s="84"/>
      <c r="G12810" s="84"/>
      <c r="I12810" s="237"/>
      <c r="J12810" s="238"/>
    </row>
    <row r="12811">
      <c r="C12811" s="82"/>
      <c r="E12811" s="84"/>
      <c r="F12811" s="84"/>
      <c r="G12811" s="84"/>
      <c r="I12811" s="237"/>
      <c r="J12811" s="238"/>
    </row>
    <row r="12812">
      <c r="C12812" s="82"/>
      <c r="E12812" s="84"/>
      <c r="F12812" s="84"/>
      <c r="G12812" s="84"/>
      <c r="I12812" s="237"/>
      <c r="J12812" s="238"/>
    </row>
    <row r="12813">
      <c r="C12813" s="82"/>
      <c r="E12813" s="84"/>
      <c r="F12813" s="84"/>
      <c r="G12813" s="84"/>
      <c r="I12813" s="237"/>
      <c r="J12813" s="238"/>
    </row>
    <row r="12814">
      <c r="C12814" s="82"/>
      <c r="E12814" s="84"/>
      <c r="F12814" s="84"/>
      <c r="G12814" s="84"/>
      <c r="I12814" s="237"/>
      <c r="J12814" s="238"/>
    </row>
    <row r="12815">
      <c r="C12815" s="82"/>
      <c r="E12815" s="84"/>
      <c r="F12815" s="84"/>
      <c r="G12815" s="84"/>
      <c r="I12815" s="237"/>
      <c r="J12815" s="238"/>
    </row>
    <row r="12816">
      <c r="C12816" s="82"/>
      <c r="E12816" s="84"/>
      <c r="F12816" s="84"/>
      <c r="G12816" s="84"/>
      <c r="I12816" s="237"/>
      <c r="J12816" s="238"/>
    </row>
    <row r="12817">
      <c r="C12817" s="82"/>
      <c r="E12817" s="84"/>
      <c r="F12817" s="84"/>
      <c r="G12817" s="84"/>
      <c r="I12817" s="237"/>
      <c r="J12817" s="238"/>
    </row>
    <row r="12818">
      <c r="C12818" s="82"/>
      <c r="E12818" s="84"/>
      <c r="F12818" s="84"/>
      <c r="G12818" s="84"/>
      <c r="I12818" s="237"/>
      <c r="J12818" s="238"/>
    </row>
    <row r="12819">
      <c r="C12819" s="82"/>
      <c r="E12819" s="84"/>
      <c r="F12819" s="84"/>
      <c r="G12819" s="84"/>
      <c r="I12819" s="237"/>
      <c r="J12819" s="238"/>
    </row>
    <row r="12820">
      <c r="C12820" s="82"/>
      <c r="E12820" s="84"/>
      <c r="F12820" s="84"/>
      <c r="G12820" s="84"/>
      <c r="I12820" s="237"/>
      <c r="J12820" s="238"/>
    </row>
    <row r="12821">
      <c r="C12821" s="82"/>
      <c r="E12821" s="84"/>
      <c r="F12821" s="84"/>
      <c r="G12821" s="84"/>
      <c r="I12821" s="237"/>
      <c r="J12821" s="238"/>
    </row>
    <row r="12822">
      <c r="C12822" s="82"/>
      <c r="E12822" s="84"/>
      <c r="F12822" s="84"/>
      <c r="G12822" s="84"/>
      <c r="I12822" s="237"/>
      <c r="J12822" s="238"/>
    </row>
    <row r="12823">
      <c r="C12823" s="82"/>
      <c r="E12823" s="84"/>
      <c r="F12823" s="84"/>
      <c r="G12823" s="84"/>
      <c r="I12823" s="237"/>
      <c r="J12823" s="238"/>
    </row>
    <row r="12824">
      <c r="C12824" s="82"/>
      <c r="E12824" s="84"/>
      <c r="F12824" s="84"/>
      <c r="G12824" s="84"/>
      <c r="I12824" s="237"/>
      <c r="J12824" s="238"/>
    </row>
    <row r="12825">
      <c r="C12825" s="82"/>
      <c r="E12825" s="84"/>
      <c r="F12825" s="84"/>
      <c r="G12825" s="84"/>
      <c r="I12825" s="237"/>
      <c r="J12825" s="238"/>
    </row>
    <row r="12826">
      <c r="C12826" s="82"/>
      <c r="E12826" s="84"/>
      <c r="F12826" s="84"/>
      <c r="G12826" s="84"/>
      <c r="I12826" s="237"/>
      <c r="J12826" s="238"/>
    </row>
    <row r="12827">
      <c r="C12827" s="82"/>
      <c r="E12827" s="84"/>
      <c r="F12827" s="84"/>
      <c r="G12827" s="84"/>
      <c r="I12827" s="237"/>
      <c r="J12827" s="238"/>
    </row>
    <row r="12828">
      <c r="C12828" s="82"/>
      <c r="E12828" s="84"/>
      <c r="F12828" s="84"/>
      <c r="G12828" s="84"/>
      <c r="I12828" s="237"/>
      <c r="J12828" s="238"/>
    </row>
    <row r="12829">
      <c r="C12829" s="82"/>
      <c r="E12829" s="84"/>
      <c r="F12829" s="84"/>
      <c r="G12829" s="84"/>
      <c r="I12829" s="237"/>
      <c r="J12829" s="238"/>
    </row>
    <row r="12830">
      <c r="C12830" s="82"/>
      <c r="E12830" s="84"/>
      <c r="F12830" s="84"/>
      <c r="G12830" s="84"/>
      <c r="I12830" s="237"/>
      <c r="J12830" s="238"/>
    </row>
    <row r="12831">
      <c r="C12831" s="82"/>
      <c r="E12831" s="84"/>
      <c r="F12831" s="84"/>
      <c r="G12831" s="84"/>
      <c r="I12831" s="237"/>
      <c r="J12831" s="238"/>
    </row>
    <row r="12832">
      <c r="C12832" s="82"/>
      <c r="E12832" s="84"/>
      <c r="F12832" s="84"/>
      <c r="G12832" s="84"/>
      <c r="I12832" s="237"/>
      <c r="J12832" s="238"/>
    </row>
    <row r="12833">
      <c r="C12833" s="82"/>
      <c r="E12833" s="84"/>
      <c r="F12833" s="84"/>
      <c r="G12833" s="84"/>
      <c r="I12833" s="237"/>
      <c r="J12833" s="238"/>
    </row>
    <row r="12834">
      <c r="C12834" s="82"/>
      <c r="E12834" s="84"/>
      <c r="F12834" s="84"/>
      <c r="G12834" s="84"/>
      <c r="I12834" s="237"/>
      <c r="J12834" s="238"/>
    </row>
    <row r="12835">
      <c r="C12835" s="82"/>
      <c r="E12835" s="84"/>
      <c r="F12835" s="84"/>
      <c r="G12835" s="84"/>
      <c r="I12835" s="237"/>
      <c r="J12835" s="238"/>
    </row>
    <row r="12836">
      <c r="C12836" s="82"/>
      <c r="E12836" s="84"/>
      <c r="F12836" s="84"/>
      <c r="G12836" s="84"/>
      <c r="I12836" s="237"/>
      <c r="J12836" s="238"/>
    </row>
    <row r="12837">
      <c r="C12837" s="82"/>
      <c r="E12837" s="84"/>
      <c r="F12837" s="84"/>
      <c r="G12837" s="84"/>
      <c r="I12837" s="237"/>
      <c r="J12837" s="238"/>
    </row>
    <row r="12838">
      <c r="C12838" s="82"/>
      <c r="E12838" s="84"/>
      <c r="F12838" s="84"/>
      <c r="G12838" s="84"/>
      <c r="I12838" s="237"/>
      <c r="J12838" s="238"/>
    </row>
    <row r="12839">
      <c r="C12839" s="82"/>
      <c r="E12839" s="84"/>
      <c r="F12839" s="84"/>
      <c r="G12839" s="84"/>
      <c r="I12839" s="237"/>
      <c r="J12839" s="238"/>
    </row>
    <row r="12840">
      <c r="C12840" s="82"/>
      <c r="E12840" s="84"/>
      <c r="F12840" s="84"/>
      <c r="G12840" s="84"/>
      <c r="I12840" s="237"/>
      <c r="J12840" s="238"/>
    </row>
    <row r="12841">
      <c r="C12841" s="82"/>
      <c r="E12841" s="84"/>
      <c r="F12841" s="84"/>
      <c r="G12841" s="84"/>
      <c r="I12841" s="237"/>
      <c r="J12841" s="238"/>
    </row>
    <row r="12842">
      <c r="C12842" s="82"/>
      <c r="E12842" s="84"/>
      <c r="F12842" s="84"/>
      <c r="G12842" s="84"/>
      <c r="I12842" s="237"/>
      <c r="J12842" s="238"/>
    </row>
    <row r="12843">
      <c r="C12843" s="82"/>
      <c r="E12843" s="84"/>
      <c r="F12843" s="84"/>
      <c r="G12843" s="84"/>
      <c r="I12843" s="237"/>
      <c r="J12843" s="238"/>
    </row>
    <row r="12844">
      <c r="C12844" s="82"/>
      <c r="E12844" s="84"/>
      <c r="F12844" s="84"/>
      <c r="G12844" s="84"/>
      <c r="I12844" s="237"/>
      <c r="J12844" s="238"/>
    </row>
    <row r="12845">
      <c r="C12845" s="82"/>
      <c r="E12845" s="84"/>
      <c r="F12845" s="84"/>
      <c r="G12845" s="84"/>
      <c r="I12845" s="237"/>
      <c r="J12845" s="238"/>
    </row>
    <row r="12846">
      <c r="C12846" s="82"/>
      <c r="E12846" s="84"/>
      <c r="F12846" s="84"/>
      <c r="G12846" s="84"/>
      <c r="I12846" s="237"/>
      <c r="J12846" s="238"/>
    </row>
    <row r="12847">
      <c r="C12847" s="82"/>
      <c r="E12847" s="84"/>
      <c r="F12847" s="84"/>
      <c r="G12847" s="84"/>
      <c r="I12847" s="237"/>
      <c r="J12847" s="238"/>
    </row>
    <row r="12848">
      <c r="C12848" s="82"/>
      <c r="E12848" s="84"/>
      <c r="F12848" s="84"/>
      <c r="G12848" s="84"/>
      <c r="I12848" s="237"/>
      <c r="J12848" s="238"/>
    </row>
    <row r="12849">
      <c r="C12849" s="82"/>
      <c r="E12849" s="84"/>
      <c r="F12849" s="84"/>
      <c r="G12849" s="84"/>
      <c r="I12849" s="237"/>
      <c r="J12849" s="238"/>
    </row>
    <row r="12850">
      <c r="C12850" s="82"/>
      <c r="E12850" s="84"/>
      <c r="F12850" s="84"/>
      <c r="G12850" s="84"/>
      <c r="I12850" s="237"/>
      <c r="J12850" s="238"/>
    </row>
    <row r="12851">
      <c r="C12851" s="82"/>
      <c r="E12851" s="84"/>
      <c r="F12851" s="84"/>
      <c r="G12851" s="84"/>
      <c r="I12851" s="237"/>
      <c r="J12851" s="238"/>
    </row>
    <row r="12852">
      <c r="C12852" s="82"/>
      <c r="E12852" s="84"/>
      <c r="F12852" s="84"/>
      <c r="G12852" s="84"/>
      <c r="I12852" s="237"/>
      <c r="J12852" s="238"/>
    </row>
    <row r="12853">
      <c r="C12853" s="82"/>
      <c r="E12853" s="84"/>
      <c r="F12853" s="84"/>
      <c r="G12853" s="84"/>
      <c r="I12853" s="237"/>
      <c r="J12853" s="238"/>
    </row>
    <row r="12854">
      <c r="C12854" s="82"/>
      <c r="E12854" s="84"/>
      <c r="F12854" s="84"/>
      <c r="G12854" s="84"/>
      <c r="I12854" s="237"/>
      <c r="J12854" s="238"/>
    </row>
    <row r="12855">
      <c r="C12855" s="82"/>
      <c r="E12855" s="84"/>
      <c r="F12855" s="84"/>
      <c r="G12855" s="84"/>
      <c r="I12855" s="237"/>
      <c r="J12855" s="238"/>
    </row>
    <row r="12856">
      <c r="C12856" s="82"/>
      <c r="E12856" s="84"/>
      <c r="F12856" s="84"/>
      <c r="G12856" s="84"/>
      <c r="I12856" s="237"/>
      <c r="J12856" s="238"/>
    </row>
    <row r="12857">
      <c r="C12857" s="82"/>
      <c r="E12857" s="84"/>
      <c r="F12857" s="84"/>
      <c r="G12857" s="84"/>
      <c r="I12857" s="237"/>
      <c r="J12857" s="238"/>
    </row>
    <row r="12858">
      <c r="C12858" s="82"/>
      <c r="E12858" s="84"/>
      <c r="F12858" s="84"/>
      <c r="G12858" s="84"/>
      <c r="I12858" s="237"/>
      <c r="J12858" s="238"/>
    </row>
    <row r="12859">
      <c r="C12859" s="82"/>
      <c r="E12859" s="84"/>
      <c r="F12859" s="84"/>
      <c r="G12859" s="84"/>
      <c r="I12859" s="237"/>
      <c r="J12859" s="238"/>
    </row>
    <row r="12860">
      <c r="C12860" s="82"/>
      <c r="E12860" s="84"/>
      <c r="F12860" s="84"/>
      <c r="G12860" s="84"/>
      <c r="I12860" s="237"/>
      <c r="J12860" s="238"/>
    </row>
    <row r="12861">
      <c r="C12861" s="82"/>
      <c r="E12861" s="84"/>
      <c r="F12861" s="84"/>
      <c r="G12861" s="84"/>
      <c r="I12861" s="237"/>
      <c r="J12861" s="238"/>
    </row>
    <row r="12862">
      <c r="C12862" s="82"/>
      <c r="E12862" s="84"/>
      <c r="F12862" s="84"/>
      <c r="G12862" s="84"/>
      <c r="I12862" s="237"/>
      <c r="J12862" s="238"/>
    </row>
    <row r="12863">
      <c r="C12863" s="82"/>
      <c r="E12863" s="84"/>
      <c r="F12863" s="84"/>
      <c r="G12863" s="84"/>
      <c r="I12863" s="237"/>
      <c r="J12863" s="238"/>
    </row>
    <row r="12864">
      <c r="C12864" s="82"/>
      <c r="E12864" s="84"/>
      <c r="F12864" s="84"/>
      <c r="G12864" s="84"/>
      <c r="I12864" s="237"/>
      <c r="J12864" s="238"/>
    </row>
    <row r="12865">
      <c r="C12865" s="82"/>
      <c r="E12865" s="84"/>
      <c r="F12865" s="84"/>
      <c r="G12865" s="84"/>
      <c r="I12865" s="237"/>
      <c r="J12865" s="238"/>
    </row>
    <row r="12866">
      <c r="C12866" s="82"/>
      <c r="E12866" s="84"/>
      <c r="F12866" s="84"/>
      <c r="G12866" s="84"/>
      <c r="I12866" s="237"/>
      <c r="J12866" s="238"/>
    </row>
    <row r="12867">
      <c r="C12867" s="82"/>
      <c r="E12867" s="84"/>
      <c r="F12867" s="84"/>
      <c r="G12867" s="84"/>
      <c r="I12867" s="237"/>
      <c r="J12867" s="238"/>
    </row>
    <row r="12868">
      <c r="C12868" s="82"/>
      <c r="E12868" s="84"/>
      <c r="F12868" s="84"/>
      <c r="G12868" s="84"/>
      <c r="I12868" s="237"/>
      <c r="J12868" s="238"/>
    </row>
    <row r="12869">
      <c r="C12869" s="82"/>
      <c r="E12869" s="84"/>
      <c r="F12869" s="84"/>
      <c r="G12869" s="84"/>
      <c r="I12869" s="237"/>
      <c r="J12869" s="238"/>
    </row>
    <row r="12870">
      <c r="C12870" s="82"/>
      <c r="E12870" s="84"/>
      <c r="F12870" s="84"/>
      <c r="G12870" s="84"/>
      <c r="I12870" s="237"/>
      <c r="J12870" s="238"/>
    </row>
    <row r="12871">
      <c r="C12871" s="82"/>
      <c r="E12871" s="84"/>
      <c r="F12871" s="84"/>
      <c r="G12871" s="84"/>
      <c r="I12871" s="237"/>
      <c r="J12871" s="238"/>
    </row>
    <row r="12872">
      <c r="C12872" s="82"/>
      <c r="E12872" s="84"/>
      <c r="F12872" s="84"/>
      <c r="G12872" s="84"/>
      <c r="I12872" s="237"/>
      <c r="J12872" s="238"/>
    </row>
    <row r="12873">
      <c r="C12873" s="82"/>
      <c r="E12873" s="84"/>
      <c r="F12873" s="84"/>
      <c r="G12873" s="84"/>
      <c r="I12873" s="237"/>
      <c r="J12873" s="238"/>
    </row>
    <row r="12874">
      <c r="C12874" s="82"/>
      <c r="E12874" s="84"/>
      <c r="F12874" s="84"/>
      <c r="G12874" s="84"/>
      <c r="I12874" s="237"/>
      <c r="J12874" s="238"/>
    </row>
    <row r="12875">
      <c r="C12875" s="82"/>
      <c r="E12875" s="84"/>
      <c r="F12875" s="84"/>
      <c r="G12875" s="84"/>
      <c r="I12875" s="237"/>
      <c r="J12875" s="238"/>
    </row>
    <row r="12876">
      <c r="C12876" s="82"/>
      <c r="E12876" s="84"/>
      <c r="F12876" s="84"/>
      <c r="G12876" s="84"/>
      <c r="I12876" s="237"/>
      <c r="J12876" s="238"/>
    </row>
    <row r="12877">
      <c r="C12877" s="82"/>
      <c r="E12877" s="84"/>
      <c r="F12877" s="84"/>
      <c r="G12877" s="84"/>
      <c r="I12877" s="237"/>
      <c r="J12877" s="238"/>
    </row>
    <row r="12878">
      <c r="C12878" s="82"/>
      <c r="E12878" s="84"/>
      <c r="F12878" s="84"/>
      <c r="G12878" s="84"/>
      <c r="I12878" s="237"/>
      <c r="J12878" s="238"/>
    </row>
    <row r="12879">
      <c r="C12879" s="82"/>
      <c r="E12879" s="84"/>
      <c r="F12879" s="84"/>
      <c r="G12879" s="84"/>
      <c r="I12879" s="237"/>
      <c r="J12879" s="238"/>
    </row>
    <row r="12880">
      <c r="C12880" s="82"/>
      <c r="E12880" s="84"/>
      <c r="F12880" s="84"/>
      <c r="G12880" s="84"/>
      <c r="I12880" s="237"/>
      <c r="J12880" s="238"/>
    </row>
    <row r="12881">
      <c r="C12881" s="82"/>
      <c r="E12881" s="84"/>
      <c r="F12881" s="84"/>
      <c r="G12881" s="84"/>
      <c r="I12881" s="237"/>
      <c r="J12881" s="238"/>
    </row>
    <row r="12882">
      <c r="C12882" s="82"/>
      <c r="E12882" s="84"/>
      <c r="F12882" s="84"/>
      <c r="G12882" s="84"/>
      <c r="I12882" s="237"/>
      <c r="J12882" s="238"/>
    </row>
    <row r="12883">
      <c r="C12883" s="82"/>
      <c r="E12883" s="84"/>
      <c r="F12883" s="84"/>
      <c r="G12883" s="84"/>
      <c r="I12883" s="237"/>
      <c r="J12883" s="238"/>
    </row>
    <row r="12884">
      <c r="C12884" s="82"/>
      <c r="E12884" s="84"/>
      <c r="F12884" s="84"/>
      <c r="G12884" s="84"/>
      <c r="I12884" s="237"/>
      <c r="J12884" s="238"/>
    </row>
    <row r="12885">
      <c r="C12885" s="82"/>
      <c r="E12885" s="84"/>
      <c r="F12885" s="84"/>
      <c r="G12885" s="84"/>
      <c r="I12885" s="237"/>
      <c r="J12885" s="238"/>
    </row>
    <row r="12886">
      <c r="C12886" s="82"/>
      <c r="E12886" s="84"/>
      <c r="F12886" s="84"/>
      <c r="G12886" s="84"/>
      <c r="I12886" s="237"/>
      <c r="J12886" s="238"/>
    </row>
    <row r="12887">
      <c r="C12887" s="82"/>
      <c r="E12887" s="84"/>
      <c r="F12887" s="84"/>
      <c r="G12887" s="84"/>
      <c r="I12887" s="237"/>
      <c r="J12887" s="238"/>
    </row>
    <row r="12888">
      <c r="C12888" s="82"/>
      <c r="E12888" s="84"/>
      <c r="F12888" s="84"/>
      <c r="G12888" s="84"/>
      <c r="I12888" s="237"/>
      <c r="J12888" s="238"/>
    </row>
    <row r="12889">
      <c r="C12889" s="82"/>
      <c r="E12889" s="84"/>
      <c r="F12889" s="84"/>
      <c r="G12889" s="84"/>
      <c r="I12889" s="237"/>
      <c r="J12889" s="238"/>
    </row>
    <row r="12890">
      <c r="C12890" s="82"/>
      <c r="E12890" s="84"/>
      <c r="F12890" s="84"/>
      <c r="G12890" s="84"/>
      <c r="I12890" s="237"/>
      <c r="J12890" s="238"/>
    </row>
    <row r="12891">
      <c r="C12891" s="82"/>
      <c r="E12891" s="84"/>
      <c r="F12891" s="84"/>
      <c r="G12891" s="84"/>
      <c r="I12891" s="237"/>
      <c r="J12891" s="238"/>
    </row>
    <row r="12892">
      <c r="C12892" s="82"/>
      <c r="E12892" s="84"/>
      <c r="F12892" s="84"/>
      <c r="G12892" s="84"/>
      <c r="I12892" s="237"/>
      <c r="J12892" s="238"/>
    </row>
    <row r="12893">
      <c r="C12893" s="82"/>
      <c r="E12893" s="84"/>
      <c r="F12893" s="84"/>
      <c r="G12893" s="84"/>
      <c r="I12893" s="237"/>
      <c r="J12893" s="238"/>
    </row>
    <row r="12894">
      <c r="C12894" s="82"/>
      <c r="E12894" s="84"/>
      <c r="F12894" s="84"/>
      <c r="G12894" s="84"/>
      <c r="I12894" s="237"/>
      <c r="J12894" s="238"/>
    </row>
    <row r="12895">
      <c r="C12895" s="82"/>
      <c r="E12895" s="84"/>
      <c r="F12895" s="84"/>
      <c r="G12895" s="84"/>
      <c r="I12895" s="237"/>
      <c r="J12895" s="238"/>
    </row>
    <row r="12896">
      <c r="C12896" s="82"/>
      <c r="E12896" s="84"/>
      <c r="F12896" s="84"/>
      <c r="G12896" s="84"/>
      <c r="I12896" s="237"/>
      <c r="J12896" s="238"/>
    </row>
    <row r="12897">
      <c r="C12897" s="82"/>
      <c r="E12897" s="84"/>
      <c r="F12897" s="84"/>
      <c r="G12897" s="84"/>
      <c r="I12897" s="237"/>
      <c r="J12897" s="238"/>
    </row>
    <row r="12898">
      <c r="C12898" s="82"/>
      <c r="E12898" s="84"/>
      <c r="F12898" s="84"/>
      <c r="G12898" s="84"/>
      <c r="I12898" s="237"/>
      <c r="J12898" s="238"/>
    </row>
    <row r="12899">
      <c r="C12899" s="82"/>
      <c r="E12899" s="84"/>
      <c r="F12899" s="84"/>
      <c r="G12899" s="84"/>
      <c r="I12899" s="237"/>
      <c r="J12899" s="238"/>
    </row>
    <row r="12900">
      <c r="C12900" s="82"/>
      <c r="E12900" s="84"/>
      <c r="F12900" s="84"/>
      <c r="G12900" s="84"/>
      <c r="I12900" s="237"/>
      <c r="J12900" s="238"/>
    </row>
    <row r="12901">
      <c r="C12901" s="82"/>
      <c r="E12901" s="84"/>
      <c r="F12901" s="84"/>
      <c r="G12901" s="84"/>
      <c r="I12901" s="237"/>
      <c r="J12901" s="238"/>
    </row>
    <row r="12902">
      <c r="C12902" s="82"/>
      <c r="E12902" s="84"/>
      <c r="F12902" s="84"/>
      <c r="G12902" s="84"/>
      <c r="I12902" s="237"/>
      <c r="J12902" s="238"/>
    </row>
    <row r="12903">
      <c r="C12903" s="82"/>
      <c r="E12903" s="84"/>
      <c r="F12903" s="84"/>
      <c r="G12903" s="84"/>
      <c r="I12903" s="237"/>
      <c r="J12903" s="238"/>
    </row>
    <row r="12904">
      <c r="C12904" s="82"/>
      <c r="E12904" s="84"/>
      <c r="F12904" s="84"/>
      <c r="G12904" s="84"/>
      <c r="I12904" s="237"/>
      <c r="J12904" s="238"/>
    </row>
    <row r="12905">
      <c r="C12905" s="82"/>
      <c r="E12905" s="84"/>
      <c r="F12905" s="84"/>
      <c r="G12905" s="84"/>
      <c r="I12905" s="237"/>
      <c r="J12905" s="238"/>
    </row>
    <row r="12906">
      <c r="C12906" s="82"/>
      <c r="E12906" s="84"/>
      <c r="F12906" s="84"/>
      <c r="G12906" s="84"/>
      <c r="I12906" s="237"/>
      <c r="J12906" s="238"/>
    </row>
    <row r="12907">
      <c r="C12907" s="82"/>
      <c r="E12907" s="84"/>
      <c r="F12907" s="84"/>
      <c r="G12907" s="84"/>
      <c r="I12907" s="237"/>
      <c r="J12907" s="238"/>
    </row>
    <row r="12908">
      <c r="C12908" s="82"/>
      <c r="E12908" s="84"/>
      <c r="F12908" s="84"/>
      <c r="G12908" s="84"/>
      <c r="I12908" s="237"/>
      <c r="J12908" s="238"/>
    </row>
    <row r="12909">
      <c r="C12909" s="82"/>
      <c r="E12909" s="84"/>
      <c r="F12909" s="84"/>
      <c r="G12909" s="84"/>
      <c r="I12909" s="237"/>
      <c r="J12909" s="238"/>
    </row>
    <row r="12910">
      <c r="C12910" s="82"/>
      <c r="E12910" s="84"/>
      <c r="F12910" s="84"/>
      <c r="G12910" s="84"/>
      <c r="I12910" s="237"/>
      <c r="J12910" s="238"/>
    </row>
    <row r="12911">
      <c r="C12911" s="82"/>
      <c r="E12911" s="84"/>
      <c r="F12911" s="84"/>
      <c r="G12911" s="84"/>
      <c r="I12911" s="237"/>
      <c r="J12911" s="238"/>
    </row>
    <row r="12912">
      <c r="C12912" s="82"/>
      <c r="E12912" s="84"/>
      <c r="F12912" s="84"/>
      <c r="G12912" s="84"/>
      <c r="I12912" s="237"/>
      <c r="J12912" s="238"/>
    </row>
    <row r="12913">
      <c r="C12913" s="82"/>
      <c r="E12913" s="84"/>
      <c r="F12913" s="84"/>
      <c r="G12913" s="84"/>
      <c r="I12913" s="237"/>
      <c r="J12913" s="238"/>
    </row>
    <row r="12914">
      <c r="C12914" s="82"/>
      <c r="E12914" s="84"/>
      <c r="F12914" s="84"/>
      <c r="G12914" s="84"/>
      <c r="I12914" s="237"/>
      <c r="J12914" s="238"/>
    </row>
    <row r="12915">
      <c r="C12915" s="82"/>
      <c r="E12915" s="84"/>
      <c r="F12915" s="84"/>
      <c r="G12915" s="84"/>
      <c r="I12915" s="237"/>
      <c r="J12915" s="238"/>
    </row>
    <row r="12916">
      <c r="C12916" s="82"/>
      <c r="E12916" s="84"/>
      <c r="F12916" s="84"/>
      <c r="G12916" s="84"/>
      <c r="I12916" s="237"/>
      <c r="J12916" s="238"/>
    </row>
    <row r="12917">
      <c r="C12917" s="82"/>
      <c r="E12917" s="84"/>
      <c r="F12917" s="84"/>
      <c r="G12917" s="84"/>
      <c r="I12917" s="237"/>
      <c r="J12917" s="238"/>
    </row>
    <row r="12918">
      <c r="C12918" s="82"/>
      <c r="E12918" s="84"/>
      <c r="F12918" s="84"/>
      <c r="G12918" s="84"/>
      <c r="I12918" s="237"/>
      <c r="J12918" s="238"/>
    </row>
    <row r="12919">
      <c r="C12919" s="82"/>
      <c r="E12919" s="84"/>
      <c r="F12919" s="84"/>
      <c r="G12919" s="84"/>
      <c r="I12919" s="237"/>
      <c r="J12919" s="238"/>
    </row>
    <row r="12920">
      <c r="C12920" s="82"/>
      <c r="E12920" s="84"/>
      <c r="F12920" s="84"/>
      <c r="G12920" s="84"/>
      <c r="I12920" s="237"/>
      <c r="J12920" s="238"/>
    </row>
    <row r="12921">
      <c r="C12921" s="82"/>
      <c r="E12921" s="84"/>
      <c r="F12921" s="84"/>
      <c r="G12921" s="84"/>
      <c r="I12921" s="237"/>
      <c r="J12921" s="238"/>
    </row>
    <row r="12922">
      <c r="C12922" s="82"/>
      <c r="E12922" s="84"/>
      <c r="F12922" s="84"/>
      <c r="G12922" s="84"/>
      <c r="I12922" s="237"/>
      <c r="J12922" s="238"/>
    </row>
    <row r="12923">
      <c r="C12923" s="82"/>
      <c r="E12923" s="84"/>
      <c r="F12923" s="84"/>
      <c r="G12923" s="84"/>
      <c r="I12923" s="237"/>
      <c r="J12923" s="238"/>
    </row>
    <row r="12924">
      <c r="C12924" s="82"/>
      <c r="E12924" s="84"/>
      <c r="F12924" s="84"/>
      <c r="G12924" s="84"/>
      <c r="I12924" s="237"/>
      <c r="J12924" s="238"/>
    </row>
    <row r="12925">
      <c r="C12925" s="82"/>
      <c r="E12925" s="84"/>
      <c r="F12925" s="84"/>
      <c r="G12925" s="84"/>
      <c r="I12925" s="237"/>
      <c r="J12925" s="238"/>
    </row>
    <row r="12926">
      <c r="C12926" s="82"/>
      <c r="E12926" s="84"/>
      <c r="F12926" s="84"/>
      <c r="G12926" s="84"/>
      <c r="I12926" s="237"/>
      <c r="J12926" s="238"/>
    </row>
    <row r="12927">
      <c r="C12927" s="82"/>
      <c r="E12927" s="84"/>
      <c r="F12927" s="84"/>
      <c r="G12927" s="84"/>
      <c r="I12927" s="237"/>
      <c r="J12927" s="238"/>
    </row>
    <row r="12928">
      <c r="C12928" s="82"/>
      <c r="E12928" s="84"/>
      <c r="F12928" s="84"/>
      <c r="G12928" s="84"/>
      <c r="I12928" s="237"/>
      <c r="J12928" s="238"/>
    </row>
    <row r="12929">
      <c r="C12929" s="82"/>
      <c r="E12929" s="84"/>
      <c r="F12929" s="84"/>
      <c r="G12929" s="84"/>
      <c r="I12929" s="237"/>
      <c r="J12929" s="238"/>
    </row>
    <row r="12930">
      <c r="C12930" s="82"/>
      <c r="E12930" s="84"/>
      <c r="F12930" s="84"/>
      <c r="G12930" s="84"/>
      <c r="I12930" s="237"/>
      <c r="J12930" s="238"/>
    </row>
    <row r="12931">
      <c r="C12931" s="82"/>
      <c r="E12931" s="84"/>
      <c r="F12931" s="84"/>
      <c r="G12931" s="84"/>
      <c r="I12931" s="237"/>
      <c r="J12931" s="238"/>
    </row>
    <row r="12932">
      <c r="C12932" s="82"/>
      <c r="E12932" s="84"/>
      <c r="F12932" s="84"/>
      <c r="G12932" s="84"/>
      <c r="I12932" s="237"/>
      <c r="J12932" s="238"/>
    </row>
    <row r="12933">
      <c r="C12933" s="82"/>
      <c r="E12933" s="84"/>
      <c r="F12933" s="84"/>
      <c r="G12933" s="84"/>
      <c r="I12933" s="237"/>
      <c r="J12933" s="238"/>
    </row>
    <row r="12934">
      <c r="C12934" s="82"/>
      <c r="E12934" s="84"/>
      <c r="F12934" s="84"/>
      <c r="G12934" s="84"/>
      <c r="I12934" s="237"/>
      <c r="J12934" s="238"/>
    </row>
    <row r="12935">
      <c r="C12935" s="82"/>
      <c r="E12935" s="84"/>
      <c r="F12935" s="84"/>
      <c r="G12935" s="84"/>
      <c r="I12935" s="237"/>
      <c r="J12935" s="238"/>
    </row>
    <row r="12936">
      <c r="C12936" s="82"/>
      <c r="E12936" s="84"/>
      <c r="F12936" s="84"/>
      <c r="G12936" s="84"/>
      <c r="I12936" s="237"/>
      <c r="J12936" s="238"/>
    </row>
    <row r="12937">
      <c r="C12937" s="82"/>
      <c r="E12937" s="84"/>
      <c r="F12937" s="84"/>
      <c r="G12937" s="84"/>
      <c r="I12937" s="237"/>
      <c r="J12937" s="238"/>
    </row>
    <row r="12938">
      <c r="C12938" s="82"/>
      <c r="E12938" s="84"/>
      <c r="F12938" s="84"/>
      <c r="G12938" s="84"/>
      <c r="I12938" s="237"/>
      <c r="J12938" s="238"/>
    </row>
    <row r="12939">
      <c r="C12939" s="82"/>
      <c r="E12939" s="84"/>
      <c r="F12939" s="84"/>
      <c r="G12939" s="84"/>
      <c r="I12939" s="237"/>
      <c r="J12939" s="238"/>
    </row>
    <row r="12940">
      <c r="C12940" s="82"/>
      <c r="E12940" s="84"/>
      <c r="F12940" s="84"/>
      <c r="G12940" s="84"/>
      <c r="I12940" s="237"/>
      <c r="J12940" s="238"/>
    </row>
    <row r="12941">
      <c r="C12941" s="82"/>
      <c r="E12941" s="84"/>
      <c r="F12941" s="84"/>
      <c r="G12941" s="84"/>
      <c r="I12941" s="237"/>
      <c r="J12941" s="238"/>
    </row>
    <row r="12942">
      <c r="C12942" s="82"/>
      <c r="E12942" s="84"/>
      <c r="F12942" s="84"/>
      <c r="G12942" s="84"/>
      <c r="I12942" s="237"/>
      <c r="J12942" s="238"/>
    </row>
    <row r="12943">
      <c r="C12943" s="82"/>
      <c r="E12943" s="84"/>
      <c r="F12943" s="84"/>
      <c r="G12943" s="84"/>
      <c r="I12943" s="237"/>
      <c r="J12943" s="238"/>
    </row>
    <row r="12944">
      <c r="C12944" s="82"/>
      <c r="E12944" s="84"/>
      <c r="F12944" s="84"/>
      <c r="G12944" s="84"/>
      <c r="I12944" s="237"/>
      <c r="J12944" s="238"/>
    </row>
    <row r="12945">
      <c r="C12945" s="82"/>
      <c r="E12945" s="84"/>
      <c r="F12945" s="84"/>
      <c r="G12945" s="84"/>
      <c r="I12945" s="237"/>
      <c r="J12945" s="238"/>
    </row>
    <row r="12946">
      <c r="C12946" s="82"/>
      <c r="E12946" s="84"/>
      <c r="F12946" s="84"/>
      <c r="G12946" s="84"/>
      <c r="I12946" s="237"/>
      <c r="J12946" s="238"/>
    </row>
    <row r="12947">
      <c r="C12947" s="82"/>
      <c r="E12947" s="84"/>
      <c r="F12947" s="84"/>
      <c r="G12947" s="84"/>
      <c r="I12947" s="237"/>
      <c r="J12947" s="238"/>
    </row>
    <row r="12948">
      <c r="C12948" s="82"/>
      <c r="E12948" s="84"/>
      <c r="F12948" s="84"/>
      <c r="G12948" s="84"/>
      <c r="I12948" s="237"/>
      <c r="J12948" s="238"/>
    </row>
    <row r="12949">
      <c r="C12949" s="82"/>
      <c r="E12949" s="84"/>
      <c r="F12949" s="84"/>
      <c r="G12949" s="84"/>
      <c r="I12949" s="237"/>
      <c r="J12949" s="238"/>
    </row>
    <row r="12950">
      <c r="C12950" s="82"/>
      <c r="E12950" s="84"/>
      <c r="F12950" s="84"/>
      <c r="G12950" s="84"/>
      <c r="I12950" s="237"/>
      <c r="J12950" s="238"/>
    </row>
    <row r="12951">
      <c r="C12951" s="82"/>
      <c r="E12951" s="84"/>
      <c r="F12951" s="84"/>
      <c r="G12951" s="84"/>
      <c r="I12951" s="237"/>
      <c r="J12951" s="238"/>
    </row>
    <row r="12952">
      <c r="C12952" s="82"/>
      <c r="E12952" s="84"/>
      <c r="F12952" s="84"/>
      <c r="G12952" s="84"/>
      <c r="I12952" s="237"/>
      <c r="J12952" s="238"/>
    </row>
    <row r="12953">
      <c r="C12953" s="82"/>
      <c r="E12953" s="84"/>
      <c r="F12953" s="84"/>
      <c r="G12953" s="84"/>
      <c r="I12953" s="237"/>
      <c r="J12953" s="238"/>
    </row>
    <row r="12954">
      <c r="C12954" s="82"/>
      <c r="E12954" s="84"/>
      <c r="F12954" s="84"/>
      <c r="G12954" s="84"/>
      <c r="I12954" s="237"/>
      <c r="J12954" s="238"/>
    </row>
    <row r="12955">
      <c r="C12955" s="82"/>
      <c r="E12955" s="84"/>
      <c r="F12955" s="84"/>
      <c r="G12955" s="84"/>
      <c r="I12955" s="237"/>
      <c r="J12955" s="238"/>
    </row>
    <row r="12956">
      <c r="C12956" s="82"/>
      <c r="E12956" s="84"/>
      <c r="F12956" s="84"/>
      <c r="G12956" s="84"/>
      <c r="I12956" s="237"/>
      <c r="J12956" s="238"/>
    </row>
    <row r="12957">
      <c r="C12957" s="82"/>
      <c r="E12957" s="84"/>
      <c r="F12957" s="84"/>
      <c r="G12957" s="84"/>
      <c r="I12957" s="237"/>
      <c r="J12957" s="238"/>
    </row>
    <row r="12958">
      <c r="C12958" s="82"/>
      <c r="E12958" s="84"/>
      <c r="F12958" s="84"/>
      <c r="G12958" s="84"/>
      <c r="I12958" s="237"/>
      <c r="J12958" s="238"/>
    </row>
    <row r="12959">
      <c r="C12959" s="82"/>
      <c r="E12959" s="84"/>
      <c r="F12959" s="84"/>
      <c r="G12959" s="84"/>
      <c r="I12959" s="237"/>
      <c r="J12959" s="238"/>
    </row>
    <row r="12960">
      <c r="C12960" s="82"/>
      <c r="E12960" s="84"/>
      <c r="F12960" s="84"/>
      <c r="G12960" s="84"/>
      <c r="I12960" s="237"/>
      <c r="J12960" s="238"/>
    </row>
    <row r="12961">
      <c r="C12961" s="82"/>
      <c r="E12961" s="84"/>
      <c r="F12961" s="84"/>
      <c r="G12961" s="84"/>
      <c r="I12961" s="237"/>
      <c r="J12961" s="238"/>
    </row>
    <row r="12962">
      <c r="C12962" s="82"/>
      <c r="E12962" s="84"/>
      <c r="F12962" s="84"/>
      <c r="G12962" s="84"/>
      <c r="I12962" s="237"/>
      <c r="J12962" s="238"/>
    </row>
    <row r="12963">
      <c r="C12963" s="82"/>
      <c r="E12963" s="84"/>
      <c r="F12963" s="84"/>
      <c r="G12963" s="84"/>
      <c r="I12963" s="237"/>
      <c r="J12963" s="238"/>
    </row>
    <row r="12964">
      <c r="C12964" s="82"/>
      <c r="E12964" s="84"/>
      <c r="F12964" s="84"/>
      <c r="G12964" s="84"/>
      <c r="I12964" s="237"/>
      <c r="J12964" s="238"/>
    </row>
    <row r="12965">
      <c r="C12965" s="82"/>
      <c r="E12965" s="84"/>
      <c r="F12965" s="84"/>
      <c r="G12965" s="84"/>
      <c r="I12965" s="237"/>
      <c r="J12965" s="238"/>
    </row>
    <row r="12966">
      <c r="C12966" s="82"/>
      <c r="E12966" s="84"/>
      <c r="F12966" s="84"/>
      <c r="G12966" s="84"/>
      <c r="I12966" s="237"/>
      <c r="J12966" s="238"/>
    </row>
    <row r="12967">
      <c r="C12967" s="82"/>
      <c r="E12967" s="84"/>
      <c r="F12967" s="84"/>
      <c r="G12967" s="84"/>
      <c r="I12967" s="237"/>
      <c r="J12967" s="238"/>
    </row>
    <row r="12968">
      <c r="C12968" s="82"/>
      <c r="E12968" s="84"/>
      <c r="F12968" s="84"/>
      <c r="G12968" s="84"/>
      <c r="I12968" s="237"/>
      <c r="J12968" s="238"/>
    </row>
    <row r="12969">
      <c r="C12969" s="82"/>
      <c r="E12969" s="84"/>
      <c r="F12969" s="84"/>
      <c r="G12969" s="84"/>
      <c r="I12969" s="237"/>
      <c r="J12969" s="238"/>
    </row>
    <row r="12970">
      <c r="C12970" s="82"/>
      <c r="E12970" s="84"/>
      <c r="F12970" s="84"/>
      <c r="G12970" s="84"/>
      <c r="I12970" s="237"/>
      <c r="J12970" s="238"/>
    </row>
    <row r="12971">
      <c r="C12971" s="82"/>
      <c r="E12971" s="84"/>
      <c r="F12971" s="84"/>
      <c r="G12971" s="84"/>
      <c r="I12971" s="237"/>
      <c r="J12971" s="238"/>
    </row>
    <row r="12972">
      <c r="C12972" s="82"/>
      <c r="E12972" s="84"/>
      <c r="F12972" s="84"/>
      <c r="G12972" s="84"/>
      <c r="I12972" s="237"/>
      <c r="J12972" s="238"/>
    </row>
    <row r="12973">
      <c r="C12973" s="82"/>
      <c r="E12973" s="84"/>
      <c r="F12973" s="84"/>
      <c r="G12973" s="84"/>
      <c r="I12973" s="237"/>
      <c r="J12973" s="238"/>
    </row>
    <row r="12974">
      <c r="C12974" s="82"/>
      <c r="E12974" s="84"/>
      <c r="F12974" s="84"/>
      <c r="G12974" s="84"/>
      <c r="I12974" s="237"/>
      <c r="J12974" s="238"/>
    </row>
    <row r="12975">
      <c r="C12975" s="82"/>
      <c r="E12975" s="84"/>
      <c r="F12975" s="84"/>
      <c r="G12975" s="84"/>
      <c r="I12975" s="237"/>
      <c r="J12975" s="238"/>
    </row>
    <row r="12976">
      <c r="C12976" s="82"/>
      <c r="E12976" s="84"/>
      <c r="F12976" s="84"/>
      <c r="G12976" s="84"/>
      <c r="I12976" s="237"/>
      <c r="J12976" s="238"/>
    </row>
    <row r="12977">
      <c r="C12977" s="82"/>
      <c r="E12977" s="84"/>
      <c r="F12977" s="84"/>
      <c r="G12977" s="84"/>
      <c r="I12977" s="237"/>
      <c r="J12977" s="238"/>
    </row>
    <row r="12978">
      <c r="C12978" s="82"/>
      <c r="E12978" s="84"/>
      <c r="F12978" s="84"/>
      <c r="G12978" s="84"/>
      <c r="I12978" s="237"/>
      <c r="J12978" s="238"/>
    </row>
    <row r="12979">
      <c r="C12979" s="82"/>
      <c r="E12979" s="84"/>
      <c r="F12979" s="84"/>
      <c r="G12979" s="84"/>
      <c r="I12979" s="237"/>
      <c r="J12979" s="238"/>
    </row>
    <row r="12980">
      <c r="C12980" s="82"/>
      <c r="E12980" s="84"/>
      <c r="F12980" s="84"/>
      <c r="G12980" s="84"/>
      <c r="I12980" s="237"/>
      <c r="J12980" s="238"/>
    </row>
    <row r="12981">
      <c r="C12981" s="82"/>
      <c r="E12981" s="84"/>
      <c r="F12981" s="84"/>
      <c r="G12981" s="84"/>
      <c r="I12981" s="237"/>
      <c r="J12981" s="238"/>
    </row>
    <row r="12982">
      <c r="C12982" s="82"/>
      <c r="E12982" s="84"/>
      <c r="F12982" s="84"/>
      <c r="G12982" s="84"/>
      <c r="I12982" s="237"/>
      <c r="J12982" s="238"/>
    </row>
    <row r="12983">
      <c r="C12983" s="82"/>
      <c r="E12983" s="84"/>
      <c r="F12983" s="84"/>
      <c r="G12983" s="84"/>
      <c r="I12983" s="237"/>
      <c r="J12983" s="238"/>
    </row>
    <row r="12984">
      <c r="C12984" s="82"/>
      <c r="E12984" s="84"/>
      <c r="F12984" s="84"/>
      <c r="G12984" s="84"/>
      <c r="I12984" s="237"/>
      <c r="J12984" s="238"/>
    </row>
    <row r="12985">
      <c r="C12985" s="82"/>
      <c r="E12985" s="84"/>
      <c r="F12985" s="84"/>
      <c r="G12985" s="84"/>
      <c r="I12985" s="237"/>
      <c r="J12985" s="238"/>
    </row>
    <row r="12986">
      <c r="C12986" s="82"/>
      <c r="E12986" s="84"/>
      <c r="F12986" s="84"/>
      <c r="G12986" s="84"/>
      <c r="I12986" s="237"/>
      <c r="J12986" s="238"/>
    </row>
    <row r="12987">
      <c r="C12987" s="82"/>
      <c r="E12987" s="84"/>
      <c r="F12987" s="84"/>
      <c r="G12987" s="84"/>
      <c r="I12987" s="237"/>
      <c r="J12987" s="238"/>
    </row>
    <row r="12988">
      <c r="C12988" s="82"/>
      <c r="E12988" s="84"/>
      <c r="F12988" s="84"/>
      <c r="G12988" s="84"/>
      <c r="I12988" s="237"/>
      <c r="J12988" s="238"/>
    </row>
    <row r="12989">
      <c r="C12989" s="82"/>
      <c r="E12989" s="84"/>
      <c r="F12989" s="84"/>
      <c r="G12989" s="84"/>
      <c r="I12989" s="237"/>
      <c r="J12989" s="238"/>
    </row>
    <row r="12990">
      <c r="C12990" s="82"/>
      <c r="E12990" s="84"/>
      <c r="F12990" s="84"/>
      <c r="G12990" s="84"/>
      <c r="I12990" s="237"/>
      <c r="J12990" s="238"/>
    </row>
    <row r="12991">
      <c r="C12991" s="82"/>
      <c r="E12991" s="84"/>
      <c r="F12991" s="84"/>
      <c r="G12991" s="84"/>
      <c r="I12991" s="237"/>
      <c r="J12991" s="238"/>
    </row>
    <row r="12992">
      <c r="C12992" s="82"/>
      <c r="E12992" s="84"/>
      <c r="F12992" s="84"/>
      <c r="G12992" s="84"/>
      <c r="I12992" s="237"/>
      <c r="J12992" s="238"/>
    </row>
    <row r="12993">
      <c r="C12993" s="82"/>
      <c r="E12993" s="84"/>
      <c r="F12993" s="84"/>
      <c r="G12993" s="84"/>
      <c r="I12993" s="237"/>
      <c r="J12993" s="238"/>
    </row>
    <row r="12994">
      <c r="C12994" s="82"/>
      <c r="E12994" s="84"/>
      <c r="F12994" s="84"/>
      <c r="G12994" s="84"/>
      <c r="I12994" s="237"/>
      <c r="J12994" s="238"/>
    </row>
    <row r="12995">
      <c r="C12995" s="82"/>
      <c r="E12995" s="84"/>
      <c r="F12995" s="84"/>
      <c r="G12995" s="84"/>
      <c r="I12995" s="237"/>
      <c r="J12995" s="238"/>
    </row>
    <row r="12996">
      <c r="C12996" s="82"/>
      <c r="E12996" s="84"/>
      <c r="F12996" s="84"/>
      <c r="G12996" s="84"/>
      <c r="I12996" s="237"/>
      <c r="J12996" s="238"/>
    </row>
    <row r="12997">
      <c r="C12997" s="82"/>
      <c r="E12997" s="84"/>
      <c r="F12997" s="84"/>
      <c r="G12997" s="84"/>
      <c r="I12997" s="237"/>
      <c r="J12997" s="238"/>
    </row>
    <row r="12998">
      <c r="C12998" s="82"/>
      <c r="E12998" s="84"/>
      <c r="F12998" s="84"/>
      <c r="G12998" s="84"/>
      <c r="I12998" s="237"/>
      <c r="J12998" s="238"/>
    </row>
    <row r="12999">
      <c r="C12999" s="82"/>
      <c r="E12999" s="84"/>
      <c r="F12999" s="84"/>
      <c r="G12999" s="84"/>
      <c r="I12999" s="237"/>
      <c r="J12999" s="238"/>
    </row>
    <row r="13000">
      <c r="C13000" s="82"/>
      <c r="E13000" s="84"/>
      <c r="F13000" s="84"/>
      <c r="G13000" s="84"/>
      <c r="I13000" s="237"/>
      <c r="J13000" s="238"/>
    </row>
    <row r="13001">
      <c r="C13001" s="82"/>
      <c r="E13001" s="84"/>
      <c r="F13001" s="84"/>
      <c r="G13001" s="84"/>
      <c r="I13001" s="237"/>
      <c r="J13001" s="238"/>
    </row>
    <row r="13002">
      <c r="C13002" s="82"/>
      <c r="E13002" s="84"/>
      <c r="F13002" s="84"/>
      <c r="G13002" s="84"/>
      <c r="I13002" s="237"/>
      <c r="J13002" s="238"/>
    </row>
    <row r="13003">
      <c r="C13003" s="82"/>
      <c r="E13003" s="84"/>
      <c r="F13003" s="84"/>
      <c r="G13003" s="84"/>
      <c r="I13003" s="237"/>
      <c r="J13003" s="238"/>
    </row>
    <row r="13004">
      <c r="C13004" s="82"/>
      <c r="E13004" s="84"/>
      <c r="F13004" s="84"/>
      <c r="G13004" s="84"/>
      <c r="I13004" s="237"/>
      <c r="J13004" s="238"/>
    </row>
    <row r="13005">
      <c r="C13005" s="82"/>
      <c r="E13005" s="84"/>
      <c r="F13005" s="84"/>
      <c r="G13005" s="84"/>
      <c r="I13005" s="237"/>
      <c r="J13005" s="238"/>
    </row>
    <row r="13006">
      <c r="C13006" s="82"/>
      <c r="E13006" s="84"/>
      <c r="F13006" s="84"/>
      <c r="G13006" s="84"/>
      <c r="I13006" s="237"/>
      <c r="J13006" s="238"/>
    </row>
    <row r="13007">
      <c r="C13007" s="82"/>
      <c r="E13007" s="84"/>
      <c r="F13007" s="84"/>
      <c r="G13007" s="84"/>
      <c r="I13007" s="237"/>
      <c r="J13007" s="238"/>
    </row>
    <row r="13008">
      <c r="C13008" s="82"/>
      <c r="E13008" s="84"/>
      <c r="F13008" s="84"/>
      <c r="G13008" s="84"/>
      <c r="I13008" s="237"/>
      <c r="J13008" s="238"/>
    </row>
    <row r="13009">
      <c r="C13009" s="82"/>
      <c r="E13009" s="84"/>
      <c r="F13009" s="84"/>
      <c r="G13009" s="84"/>
      <c r="I13009" s="237"/>
      <c r="J13009" s="238"/>
    </row>
    <row r="13010">
      <c r="C13010" s="82"/>
      <c r="E13010" s="84"/>
      <c r="F13010" s="84"/>
      <c r="G13010" s="84"/>
      <c r="I13010" s="237"/>
      <c r="J13010" s="238"/>
    </row>
    <row r="13011">
      <c r="C13011" s="82"/>
      <c r="E13011" s="84"/>
      <c r="F13011" s="84"/>
      <c r="G13011" s="84"/>
      <c r="I13011" s="237"/>
      <c r="J13011" s="238"/>
    </row>
    <row r="13012">
      <c r="C13012" s="82"/>
      <c r="E13012" s="84"/>
      <c r="F13012" s="84"/>
      <c r="G13012" s="84"/>
      <c r="I13012" s="237"/>
      <c r="J13012" s="238"/>
    </row>
    <row r="13013">
      <c r="C13013" s="82"/>
      <c r="E13013" s="84"/>
      <c r="F13013" s="84"/>
      <c r="G13013" s="84"/>
      <c r="I13013" s="237"/>
      <c r="J13013" s="238"/>
    </row>
    <row r="13014">
      <c r="C13014" s="82"/>
      <c r="E13014" s="84"/>
      <c r="F13014" s="84"/>
      <c r="G13014" s="84"/>
      <c r="I13014" s="237"/>
      <c r="J13014" s="238"/>
    </row>
    <row r="13015">
      <c r="C13015" s="82"/>
      <c r="E13015" s="84"/>
      <c r="F13015" s="84"/>
      <c r="G13015" s="84"/>
      <c r="I13015" s="237"/>
      <c r="J13015" s="238"/>
    </row>
    <row r="13016">
      <c r="C13016" s="82"/>
      <c r="E13016" s="84"/>
      <c r="F13016" s="84"/>
      <c r="G13016" s="84"/>
      <c r="I13016" s="237"/>
      <c r="J13016" s="238"/>
    </row>
    <row r="13017">
      <c r="C13017" s="82"/>
      <c r="E13017" s="84"/>
      <c r="F13017" s="84"/>
      <c r="G13017" s="84"/>
      <c r="I13017" s="237"/>
      <c r="J13017" s="238"/>
    </row>
    <row r="13018">
      <c r="C13018" s="82"/>
      <c r="E13018" s="84"/>
      <c r="F13018" s="84"/>
      <c r="G13018" s="84"/>
      <c r="I13018" s="237"/>
      <c r="J13018" s="238"/>
    </row>
    <row r="13019">
      <c r="C13019" s="82"/>
      <c r="E13019" s="84"/>
      <c r="F13019" s="84"/>
      <c r="G13019" s="84"/>
      <c r="I13019" s="237"/>
      <c r="J13019" s="238"/>
    </row>
    <row r="13020">
      <c r="C13020" s="82"/>
      <c r="E13020" s="84"/>
      <c r="F13020" s="84"/>
      <c r="G13020" s="84"/>
      <c r="I13020" s="237"/>
      <c r="J13020" s="238"/>
    </row>
    <row r="13021">
      <c r="C13021" s="82"/>
      <c r="E13021" s="84"/>
      <c r="F13021" s="84"/>
      <c r="G13021" s="84"/>
      <c r="I13021" s="237"/>
      <c r="J13021" s="238"/>
    </row>
    <row r="13022">
      <c r="C13022" s="82"/>
      <c r="E13022" s="84"/>
      <c r="F13022" s="84"/>
      <c r="G13022" s="84"/>
      <c r="I13022" s="237"/>
      <c r="J13022" s="238"/>
    </row>
    <row r="13023">
      <c r="C13023" s="82"/>
      <c r="E13023" s="84"/>
      <c r="F13023" s="84"/>
      <c r="G13023" s="84"/>
      <c r="I13023" s="237"/>
      <c r="J13023" s="238"/>
    </row>
    <row r="13024">
      <c r="C13024" s="82"/>
      <c r="E13024" s="84"/>
      <c r="F13024" s="84"/>
      <c r="G13024" s="84"/>
      <c r="I13024" s="237"/>
      <c r="J13024" s="238"/>
    </row>
    <row r="13025">
      <c r="C13025" s="82"/>
      <c r="E13025" s="84"/>
      <c r="F13025" s="84"/>
      <c r="G13025" s="84"/>
      <c r="I13025" s="237"/>
      <c r="J13025" s="238"/>
    </row>
    <row r="13026">
      <c r="C13026" s="82"/>
      <c r="E13026" s="84"/>
      <c r="F13026" s="84"/>
      <c r="G13026" s="84"/>
      <c r="I13026" s="237"/>
      <c r="J13026" s="238"/>
    </row>
    <row r="13027">
      <c r="C13027" s="82"/>
      <c r="E13027" s="84"/>
      <c r="F13027" s="84"/>
      <c r="G13027" s="84"/>
      <c r="I13027" s="237"/>
      <c r="J13027" s="238"/>
    </row>
    <row r="13028">
      <c r="C13028" s="82"/>
      <c r="E13028" s="84"/>
      <c r="F13028" s="84"/>
      <c r="G13028" s="84"/>
      <c r="I13028" s="237"/>
      <c r="J13028" s="238"/>
    </row>
    <row r="13029">
      <c r="C13029" s="82"/>
      <c r="E13029" s="84"/>
      <c r="F13029" s="84"/>
      <c r="G13029" s="84"/>
      <c r="I13029" s="237"/>
      <c r="J13029" s="238"/>
    </row>
    <row r="13030">
      <c r="C13030" s="82"/>
      <c r="E13030" s="84"/>
      <c r="F13030" s="84"/>
      <c r="G13030" s="84"/>
      <c r="I13030" s="237"/>
      <c r="J13030" s="238"/>
    </row>
    <row r="13031">
      <c r="C13031" s="82"/>
      <c r="E13031" s="84"/>
      <c r="F13031" s="84"/>
      <c r="G13031" s="84"/>
      <c r="I13031" s="237"/>
      <c r="J13031" s="238"/>
    </row>
    <row r="13032">
      <c r="C13032" s="82"/>
      <c r="E13032" s="84"/>
      <c r="F13032" s="84"/>
      <c r="G13032" s="84"/>
      <c r="I13032" s="237"/>
      <c r="J13032" s="238"/>
    </row>
    <row r="13033">
      <c r="C13033" s="82"/>
      <c r="E13033" s="84"/>
      <c r="F13033" s="84"/>
      <c r="G13033" s="84"/>
      <c r="I13033" s="237"/>
      <c r="J13033" s="238"/>
    </row>
    <row r="13034">
      <c r="C13034" s="82"/>
      <c r="E13034" s="84"/>
      <c r="F13034" s="84"/>
      <c r="G13034" s="84"/>
      <c r="I13034" s="237"/>
      <c r="J13034" s="238"/>
    </row>
    <row r="13035">
      <c r="C13035" s="82"/>
      <c r="E13035" s="84"/>
      <c r="F13035" s="84"/>
      <c r="G13035" s="84"/>
      <c r="I13035" s="237"/>
      <c r="J13035" s="238"/>
    </row>
    <row r="13036">
      <c r="C13036" s="82"/>
      <c r="E13036" s="84"/>
      <c r="F13036" s="84"/>
      <c r="G13036" s="84"/>
      <c r="I13036" s="237"/>
      <c r="J13036" s="238"/>
    </row>
    <row r="13037">
      <c r="C13037" s="82"/>
      <c r="E13037" s="84"/>
      <c r="F13037" s="84"/>
      <c r="G13037" s="84"/>
      <c r="I13037" s="237"/>
      <c r="J13037" s="238"/>
    </row>
    <row r="13038">
      <c r="C13038" s="82"/>
      <c r="E13038" s="84"/>
      <c r="F13038" s="84"/>
      <c r="G13038" s="84"/>
      <c r="I13038" s="237"/>
      <c r="J13038" s="238"/>
    </row>
    <row r="13039">
      <c r="C13039" s="82"/>
      <c r="E13039" s="84"/>
      <c r="F13039" s="84"/>
      <c r="G13039" s="84"/>
      <c r="I13039" s="237"/>
      <c r="J13039" s="238"/>
    </row>
    <row r="13040">
      <c r="C13040" s="82"/>
      <c r="E13040" s="84"/>
      <c r="F13040" s="84"/>
      <c r="G13040" s="84"/>
      <c r="I13040" s="237"/>
      <c r="J13040" s="238"/>
    </row>
    <row r="13041">
      <c r="C13041" s="82"/>
      <c r="E13041" s="84"/>
      <c r="F13041" s="84"/>
      <c r="G13041" s="84"/>
      <c r="I13041" s="237"/>
      <c r="J13041" s="238"/>
    </row>
    <row r="13042">
      <c r="C13042" s="82"/>
      <c r="E13042" s="84"/>
      <c r="F13042" s="84"/>
      <c r="G13042" s="84"/>
      <c r="I13042" s="237"/>
      <c r="J13042" s="238"/>
    </row>
    <row r="13043">
      <c r="C13043" s="82"/>
      <c r="E13043" s="84"/>
      <c r="F13043" s="84"/>
      <c r="G13043" s="84"/>
      <c r="I13043" s="237"/>
      <c r="J13043" s="238"/>
    </row>
    <row r="13044">
      <c r="C13044" s="82"/>
      <c r="E13044" s="84"/>
      <c r="F13044" s="84"/>
      <c r="G13044" s="84"/>
      <c r="I13044" s="237"/>
      <c r="J13044" s="238"/>
    </row>
    <row r="13045">
      <c r="C13045" s="82"/>
      <c r="E13045" s="84"/>
      <c r="F13045" s="84"/>
      <c r="G13045" s="84"/>
      <c r="I13045" s="237"/>
      <c r="J13045" s="238"/>
    </row>
    <row r="13046">
      <c r="C13046" s="82"/>
      <c r="E13046" s="84"/>
      <c r="F13046" s="84"/>
      <c r="G13046" s="84"/>
      <c r="I13046" s="237"/>
      <c r="J13046" s="238"/>
    </row>
    <row r="13047">
      <c r="C13047" s="82"/>
      <c r="E13047" s="84"/>
      <c r="F13047" s="84"/>
      <c r="G13047" s="84"/>
      <c r="I13047" s="237"/>
      <c r="J13047" s="238"/>
    </row>
    <row r="13048">
      <c r="C13048" s="82"/>
      <c r="E13048" s="84"/>
      <c r="F13048" s="84"/>
      <c r="G13048" s="84"/>
      <c r="I13048" s="237"/>
      <c r="J13048" s="238"/>
    </row>
    <row r="13049">
      <c r="C13049" s="82"/>
      <c r="E13049" s="84"/>
      <c r="F13049" s="84"/>
      <c r="G13049" s="84"/>
      <c r="I13049" s="237"/>
      <c r="J13049" s="238"/>
    </row>
    <row r="13050">
      <c r="C13050" s="82"/>
      <c r="E13050" s="84"/>
      <c r="F13050" s="84"/>
      <c r="G13050" s="84"/>
      <c r="I13050" s="237"/>
      <c r="J13050" s="238"/>
    </row>
    <row r="13051">
      <c r="C13051" s="82"/>
      <c r="E13051" s="84"/>
      <c r="F13051" s="84"/>
      <c r="G13051" s="84"/>
      <c r="I13051" s="237"/>
      <c r="J13051" s="238"/>
    </row>
    <row r="13052">
      <c r="C13052" s="82"/>
      <c r="E13052" s="84"/>
      <c r="F13052" s="84"/>
      <c r="G13052" s="84"/>
      <c r="I13052" s="237"/>
      <c r="J13052" s="238"/>
    </row>
    <row r="13053">
      <c r="C13053" s="82"/>
      <c r="E13053" s="84"/>
      <c r="F13053" s="84"/>
      <c r="G13053" s="84"/>
      <c r="I13053" s="237"/>
      <c r="J13053" s="238"/>
    </row>
    <row r="13054">
      <c r="C13054" s="82"/>
      <c r="E13054" s="84"/>
      <c r="F13054" s="84"/>
      <c r="G13054" s="84"/>
      <c r="I13054" s="237"/>
      <c r="J13054" s="238"/>
    </row>
    <row r="13055">
      <c r="C13055" s="82"/>
      <c r="E13055" s="84"/>
      <c r="F13055" s="84"/>
      <c r="G13055" s="84"/>
      <c r="I13055" s="237"/>
      <c r="J13055" s="238"/>
    </row>
    <row r="13056">
      <c r="C13056" s="82"/>
      <c r="E13056" s="84"/>
      <c r="F13056" s="84"/>
      <c r="G13056" s="84"/>
      <c r="I13056" s="237"/>
      <c r="J13056" s="238"/>
    </row>
    <row r="13057">
      <c r="C13057" s="82"/>
      <c r="E13057" s="84"/>
      <c r="F13057" s="84"/>
      <c r="G13057" s="84"/>
      <c r="I13057" s="237"/>
      <c r="J13057" s="238"/>
    </row>
    <row r="13058">
      <c r="C13058" s="82"/>
      <c r="E13058" s="84"/>
      <c r="F13058" s="84"/>
      <c r="G13058" s="84"/>
      <c r="I13058" s="237"/>
      <c r="J13058" s="238"/>
    </row>
    <row r="13059">
      <c r="C13059" s="82"/>
      <c r="E13059" s="84"/>
      <c r="F13059" s="84"/>
      <c r="G13059" s="84"/>
      <c r="I13059" s="237"/>
      <c r="J13059" s="238"/>
    </row>
    <row r="13060">
      <c r="C13060" s="82"/>
      <c r="E13060" s="84"/>
      <c r="F13060" s="84"/>
      <c r="G13060" s="84"/>
      <c r="I13060" s="237"/>
      <c r="J13060" s="238"/>
    </row>
    <row r="13061">
      <c r="C13061" s="82"/>
      <c r="E13061" s="84"/>
      <c r="F13061" s="84"/>
      <c r="G13061" s="84"/>
      <c r="I13061" s="237"/>
      <c r="J13061" s="238"/>
    </row>
    <row r="13062">
      <c r="C13062" s="82"/>
      <c r="E13062" s="84"/>
      <c r="F13062" s="84"/>
      <c r="G13062" s="84"/>
      <c r="I13062" s="237"/>
      <c r="J13062" s="238"/>
    </row>
    <row r="13063">
      <c r="C13063" s="82"/>
      <c r="E13063" s="84"/>
      <c r="F13063" s="84"/>
      <c r="G13063" s="84"/>
      <c r="I13063" s="237"/>
      <c r="J13063" s="238"/>
    </row>
    <row r="13064">
      <c r="C13064" s="82"/>
      <c r="E13064" s="84"/>
      <c r="F13064" s="84"/>
      <c r="G13064" s="84"/>
      <c r="I13064" s="237"/>
      <c r="J13064" s="238"/>
    </row>
    <row r="13065">
      <c r="C13065" s="82"/>
      <c r="E13065" s="84"/>
      <c r="F13065" s="84"/>
      <c r="G13065" s="84"/>
      <c r="I13065" s="237"/>
      <c r="J13065" s="238"/>
    </row>
    <row r="13066">
      <c r="C13066" s="82"/>
      <c r="E13066" s="84"/>
      <c r="F13066" s="84"/>
      <c r="G13066" s="84"/>
      <c r="I13066" s="237"/>
      <c r="J13066" s="238"/>
    </row>
    <row r="13067">
      <c r="C13067" s="82"/>
      <c r="E13067" s="84"/>
      <c r="F13067" s="84"/>
      <c r="G13067" s="84"/>
      <c r="I13067" s="237"/>
      <c r="J13067" s="238"/>
    </row>
    <row r="13068">
      <c r="C13068" s="82"/>
      <c r="E13068" s="84"/>
      <c r="F13068" s="84"/>
      <c r="G13068" s="84"/>
      <c r="I13068" s="237"/>
      <c r="J13068" s="238"/>
    </row>
    <row r="13069">
      <c r="C13069" s="82"/>
      <c r="E13069" s="84"/>
      <c r="F13069" s="84"/>
      <c r="G13069" s="84"/>
      <c r="I13069" s="237"/>
      <c r="J13069" s="238"/>
    </row>
    <row r="13070">
      <c r="C13070" s="82"/>
      <c r="E13070" s="84"/>
      <c r="F13070" s="84"/>
      <c r="G13070" s="84"/>
      <c r="I13070" s="237"/>
      <c r="J13070" s="238"/>
    </row>
    <row r="13071">
      <c r="C13071" s="82"/>
      <c r="E13071" s="84"/>
      <c r="F13071" s="84"/>
      <c r="G13071" s="84"/>
      <c r="I13071" s="237"/>
      <c r="J13071" s="238"/>
    </row>
    <row r="13072">
      <c r="C13072" s="82"/>
      <c r="E13072" s="84"/>
      <c r="F13072" s="84"/>
      <c r="G13072" s="84"/>
      <c r="I13072" s="237"/>
      <c r="J13072" s="238"/>
    </row>
    <row r="13073">
      <c r="C13073" s="82"/>
      <c r="E13073" s="84"/>
      <c r="F13073" s="84"/>
      <c r="G13073" s="84"/>
      <c r="I13073" s="237"/>
      <c r="J13073" s="238"/>
    </row>
    <row r="13074">
      <c r="C13074" s="82"/>
      <c r="E13074" s="84"/>
      <c r="F13074" s="84"/>
      <c r="G13074" s="84"/>
      <c r="I13074" s="237"/>
      <c r="J13074" s="238"/>
    </row>
    <row r="13075">
      <c r="C13075" s="82"/>
      <c r="E13075" s="84"/>
      <c r="F13075" s="84"/>
      <c r="G13075" s="84"/>
      <c r="I13075" s="237"/>
      <c r="J13075" s="238"/>
    </row>
    <row r="13076">
      <c r="C13076" s="82"/>
      <c r="E13076" s="84"/>
      <c r="F13076" s="84"/>
      <c r="G13076" s="84"/>
      <c r="I13076" s="237"/>
      <c r="J13076" s="238"/>
    </row>
    <row r="13077">
      <c r="C13077" s="82"/>
      <c r="E13077" s="84"/>
      <c r="F13077" s="84"/>
      <c r="G13077" s="84"/>
      <c r="I13077" s="237"/>
      <c r="J13077" s="238"/>
    </row>
    <row r="13078">
      <c r="C13078" s="82"/>
      <c r="E13078" s="84"/>
      <c r="F13078" s="84"/>
      <c r="G13078" s="84"/>
      <c r="I13078" s="237"/>
      <c r="J13078" s="238"/>
    </row>
    <row r="13079">
      <c r="C13079" s="82"/>
      <c r="E13079" s="84"/>
      <c r="F13079" s="84"/>
      <c r="G13079" s="84"/>
      <c r="I13079" s="237"/>
      <c r="J13079" s="238"/>
    </row>
    <row r="13080">
      <c r="C13080" s="82"/>
      <c r="E13080" s="84"/>
      <c r="F13080" s="84"/>
      <c r="G13080" s="84"/>
      <c r="I13080" s="237"/>
      <c r="J13080" s="238"/>
    </row>
    <row r="13081">
      <c r="C13081" s="82"/>
      <c r="E13081" s="84"/>
      <c r="F13081" s="84"/>
      <c r="G13081" s="84"/>
      <c r="I13081" s="237"/>
      <c r="J13081" s="238"/>
    </row>
    <row r="13082">
      <c r="C13082" s="82"/>
      <c r="E13082" s="84"/>
      <c r="F13082" s="84"/>
      <c r="G13082" s="84"/>
      <c r="I13082" s="237"/>
      <c r="J13082" s="238"/>
    </row>
    <row r="13083">
      <c r="C13083" s="82"/>
      <c r="E13083" s="84"/>
      <c r="F13083" s="84"/>
      <c r="G13083" s="84"/>
      <c r="I13083" s="237"/>
      <c r="J13083" s="238"/>
    </row>
    <row r="13084">
      <c r="C13084" s="82"/>
      <c r="E13084" s="84"/>
      <c r="F13084" s="84"/>
      <c r="G13084" s="84"/>
      <c r="I13084" s="237"/>
      <c r="J13084" s="238"/>
    </row>
    <row r="13085">
      <c r="C13085" s="82"/>
      <c r="E13085" s="84"/>
      <c r="F13085" s="84"/>
      <c r="G13085" s="84"/>
      <c r="I13085" s="237"/>
      <c r="J13085" s="238"/>
    </row>
    <row r="13086">
      <c r="C13086" s="82"/>
      <c r="E13086" s="84"/>
      <c r="F13086" s="84"/>
      <c r="G13086" s="84"/>
      <c r="I13086" s="237"/>
      <c r="J13086" s="238"/>
    </row>
    <row r="13087">
      <c r="C13087" s="82"/>
      <c r="E13087" s="84"/>
      <c r="F13087" s="84"/>
      <c r="G13087" s="84"/>
      <c r="I13087" s="237"/>
      <c r="J13087" s="238"/>
    </row>
    <row r="13088">
      <c r="C13088" s="82"/>
      <c r="E13088" s="84"/>
      <c r="F13088" s="84"/>
      <c r="G13088" s="84"/>
      <c r="I13088" s="237"/>
      <c r="J13088" s="238"/>
    </row>
    <row r="13089">
      <c r="C13089" s="82"/>
      <c r="E13089" s="84"/>
      <c r="F13089" s="84"/>
      <c r="G13089" s="84"/>
      <c r="I13089" s="237"/>
      <c r="J13089" s="238"/>
    </row>
    <row r="13090">
      <c r="C13090" s="82"/>
      <c r="E13090" s="84"/>
      <c r="F13090" s="84"/>
      <c r="G13090" s="84"/>
      <c r="I13090" s="237"/>
      <c r="J13090" s="238"/>
    </row>
    <row r="13091">
      <c r="C13091" s="82"/>
      <c r="E13091" s="84"/>
      <c r="F13091" s="84"/>
      <c r="G13091" s="84"/>
      <c r="I13091" s="237"/>
      <c r="J13091" s="238"/>
    </row>
    <row r="13092">
      <c r="C13092" s="82"/>
      <c r="E13092" s="84"/>
      <c r="F13092" s="84"/>
      <c r="G13092" s="84"/>
      <c r="I13092" s="237"/>
      <c r="J13092" s="238"/>
    </row>
    <row r="13093">
      <c r="C13093" s="82"/>
      <c r="E13093" s="84"/>
      <c r="F13093" s="84"/>
      <c r="G13093" s="84"/>
      <c r="I13093" s="237"/>
      <c r="J13093" s="238"/>
    </row>
    <row r="13094">
      <c r="C13094" s="82"/>
      <c r="E13094" s="84"/>
      <c r="F13094" s="84"/>
      <c r="G13094" s="84"/>
      <c r="I13094" s="237"/>
      <c r="J13094" s="238"/>
    </row>
    <row r="13095">
      <c r="C13095" s="82"/>
      <c r="E13095" s="84"/>
      <c r="F13095" s="84"/>
      <c r="G13095" s="84"/>
      <c r="I13095" s="237"/>
      <c r="J13095" s="238"/>
    </row>
    <row r="13096">
      <c r="C13096" s="82"/>
      <c r="E13096" s="84"/>
      <c r="F13096" s="84"/>
      <c r="G13096" s="84"/>
      <c r="I13096" s="237"/>
      <c r="J13096" s="238"/>
    </row>
    <row r="13097">
      <c r="C13097" s="82"/>
      <c r="E13097" s="84"/>
      <c r="F13097" s="84"/>
      <c r="G13097" s="84"/>
      <c r="I13097" s="237"/>
      <c r="J13097" s="238"/>
    </row>
    <row r="13098">
      <c r="C13098" s="82"/>
      <c r="E13098" s="84"/>
      <c r="F13098" s="84"/>
      <c r="G13098" s="84"/>
      <c r="I13098" s="237"/>
      <c r="J13098" s="238"/>
    </row>
    <row r="13099">
      <c r="C13099" s="82"/>
      <c r="E13099" s="84"/>
      <c r="F13099" s="84"/>
      <c r="G13099" s="84"/>
      <c r="I13099" s="237"/>
      <c r="J13099" s="238"/>
    </row>
    <row r="13100">
      <c r="C13100" s="82"/>
      <c r="E13100" s="84"/>
      <c r="F13100" s="84"/>
      <c r="G13100" s="84"/>
      <c r="I13100" s="237"/>
      <c r="J13100" s="238"/>
    </row>
    <row r="13101">
      <c r="C13101" s="82"/>
      <c r="E13101" s="84"/>
      <c r="F13101" s="84"/>
      <c r="G13101" s="84"/>
      <c r="I13101" s="237"/>
      <c r="J13101" s="238"/>
    </row>
    <row r="13102">
      <c r="C13102" s="82"/>
      <c r="E13102" s="84"/>
      <c r="F13102" s="84"/>
      <c r="G13102" s="84"/>
      <c r="I13102" s="237"/>
      <c r="J13102" s="238"/>
    </row>
    <row r="13103">
      <c r="C13103" s="82"/>
      <c r="E13103" s="84"/>
      <c r="F13103" s="84"/>
      <c r="G13103" s="84"/>
      <c r="I13103" s="237"/>
      <c r="J13103" s="238"/>
    </row>
    <row r="13104">
      <c r="C13104" s="82"/>
      <c r="E13104" s="84"/>
      <c r="F13104" s="84"/>
      <c r="G13104" s="84"/>
      <c r="I13104" s="237"/>
      <c r="J13104" s="238"/>
    </row>
    <row r="13105">
      <c r="C13105" s="82"/>
      <c r="E13105" s="84"/>
      <c r="F13105" s="84"/>
      <c r="G13105" s="84"/>
      <c r="I13105" s="237"/>
      <c r="J13105" s="238"/>
    </row>
    <row r="13106">
      <c r="C13106" s="82"/>
      <c r="E13106" s="84"/>
      <c r="F13106" s="84"/>
      <c r="G13106" s="84"/>
      <c r="I13106" s="237"/>
      <c r="J13106" s="238"/>
    </row>
    <row r="13107">
      <c r="C13107" s="82"/>
      <c r="E13107" s="84"/>
      <c r="F13107" s="84"/>
      <c r="G13107" s="84"/>
      <c r="I13107" s="237"/>
      <c r="J13107" s="238"/>
    </row>
    <row r="13108">
      <c r="C13108" s="82"/>
      <c r="E13108" s="84"/>
      <c r="F13108" s="84"/>
      <c r="G13108" s="84"/>
      <c r="I13108" s="237"/>
      <c r="J13108" s="238"/>
    </row>
    <row r="13109">
      <c r="C13109" s="82"/>
      <c r="E13109" s="84"/>
      <c r="F13109" s="84"/>
      <c r="G13109" s="84"/>
      <c r="I13109" s="237"/>
      <c r="J13109" s="238"/>
    </row>
    <row r="13110">
      <c r="C13110" s="82"/>
      <c r="E13110" s="84"/>
      <c r="F13110" s="84"/>
      <c r="G13110" s="84"/>
      <c r="I13110" s="237"/>
      <c r="J13110" s="238"/>
    </row>
    <row r="13111">
      <c r="C13111" s="82"/>
      <c r="E13111" s="84"/>
      <c r="F13111" s="84"/>
      <c r="G13111" s="84"/>
      <c r="I13111" s="237"/>
      <c r="J13111" s="238"/>
    </row>
    <row r="13112">
      <c r="C13112" s="82"/>
      <c r="E13112" s="84"/>
      <c r="F13112" s="84"/>
      <c r="G13112" s="84"/>
      <c r="I13112" s="237"/>
      <c r="J13112" s="238"/>
    </row>
    <row r="13113">
      <c r="C13113" s="82"/>
      <c r="E13113" s="84"/>
      <c r="F13113" s="84"/>
      <c r="G13113" s="84"/>
      <c r="I13113" s="237"/>
      <c r="J13113" s="238"/>
    </row>
    <row r="13114">
      <c r="C13114" s="82"/>
      <c r="E13114" s="84"/>
      <c r="F13114" s="84"/>
      <c r="G13114" s="84"/>
      <c r="I13114" s="237"/>
      <c r="J13114" s="238"/>
    </row>
    <row r="13115">
      <c r="C13115" s="82"/>
      <c r="E13115" s="84"/>
      <c r="F13115" s="84"/>
      <c r="G13115" s="84"/>
      <c r="I13115" s="237"/>
      <c r="J13115" s="238"/>
    </row>
    <row r="13116">
      <c r="C13116" s="82"/>
      <c r="E13116" s="84"/>
      <c r="F13116" s="84"/>
      <c r="G13116" s="84"/>
      <c r="I13116" s="237"/>
      <c r="J13116" s="238"/>
    </row>
    <row r="13117">
      <c r="C13117" s="82"/>
      <c r="E13117" s="84"/>
      <c r="F13117" s="84"/>
      <c r="G13117" s="84"/>
      <c r="I13117" s="237"/>
      <c r="J13117" s="238"/>
    </row>
    <row r="13118">
      <c r="C13118" s="82"/>
      <c r="E13118" s="84"/>
      <c r="F13118" s="84"/>
      <c r="G13118" s="84"/>
      <c r="I13118" s="237"/>
      <c r="J13118" s="238"/>
    </row>
    <row r="13119">
      <c r="C13119" s="82"/>
      <c r="E13119" s="84"/>
      <c r="F13119" s="84"/>
      <c r="G13119" s="84"/>
      <c r="I13119" s="237"/>
      <c r="J13119" s="238"/>
    </row>
    <row r="13120">
      <c r="C13120" s="82"/>
      <c r="E13120" s="84"/>
      <c r="F13120" s="84"/>
      <c r="G13120" s="84"/>
      <c r="I13120" s="237"/>
      <c r="J13120" s="238"/>
    </row>
    <row r="13121">
      <c r="C13121" s="82"/>
      <c r="E13121" s="84"/>
      <c r="F13121" s="84"/>
      <c r="G13121" s="84"/>
      <c r="I13121" s="237"/>
      <c r="J13121" s="238"/>
    </row>
    <row r="13122">
      <c r="C13122" s="82"/>
      <c r="E13122" s="84"/>
      <c r="F13122" s="84"/>
      <c r="G13122" s="84"/>
      <c r="I13122" s="237"/>
      <c r="J13122" s="238"/>
    </row>
    <row r="13123">
      <c r="C13123" s="82"/>
      <c r="E13123" s="84"/>
      <c r="F13123" s="84"/>
      <c r="G13123" s="84"/>
      <c r="I13123" s="237"/>
      <c r="J13123" s="238"/>
    </row>
    <row r="13124">
      <c r="C13124" s="82"/>
      <c r="E13124" s="84"/>
      <c r="F13124" s="84"/>
      <c r="G13124" s="84"/>
      <c r="I13124" s="237"/>
      <c r="J13124" s="238"/>
    </row>
    <row r="13125">
      <c r="C13125" s="82"/>
      <c r="E13125" s="84"/>
      <c r="F13125" s="84"/>
      <c r="G13125" s="84"/>
      <c r="I13125" s="237"/>
      <c r="J13125" s="238"/>
    </row>
    <row r="13126">
      <c r="C13126" s="82"/>
      <c r="E13126" s="84"/>
      <c r="F13126" s="84"/>
      <c r="G13126" s="84"/>
      <c r="I13126" s="237"/>
      <c r="J13126" s="238"/>
    </row>
    <row r="13127">
      <c r="C13127" s="82"/>
      <c r="E13127" s="84"/>
      <c r="F13127" s="84"/>
      <c r="G13127" s="84"/>
      <c r="I13127" s="237"/>
      <c r="J13127" s="238"/>
    </row>
    <row r="13128">
      <c r="C13128" s="82"/>
      <c r="E13128" s="84"/>
      <c r="F13128" s="84"/>
      <c r="G13128" s="84"/>
      <c r="I13128" s="237"/>
      <c r="J13128" s="238"/>
    </row>
    <row r="13129">
      <c r="C13129" s="82"/>
      <c r="E13129" s="84"/>
      <c r="F13129" s="84"/>
      <c r="G13129" s="84"/>
      <c r="I13129" s="237"/>
      <c r="J13129" s="238"/>
    </row>
    <row r="13130">
      <c r="C13130" s="82"/>
      <c r="E13130" s="84"/>
      <c r="F13130" s="84"/>
      <c r="G13130" s="84"/>
      <c r="I13130" s="237"/>
      <c r="J13130" s="238"/>
    </row>
    <row r="13131">
      <c r="C13131" s="82"/>
      <c r="E13131" s="84"/>
      <c r="F13131" s="84"/>
      <c r="G13131" s="84"/>
      <c r="I13131" s="237"/>
      <c r="J13131" s="238"/>
    </row>
    <row r="13132">
      <c r="C13132" s="82"/>
      <c r="E13132" s="84"/>
      <c r="F13132" s="84"/>
      <c r="G13132" s="84"/>
      <c r="I13132" s="237"/>
      <c r="J13132" s="238"/>
    </row>
    <row r="13133">
      <c r="C13133" s="82"/>
      <c r="E13133" s="84"/>
      <c r="F13133" s="84"/>
      <c r="G13133" s="84"/>
      <c r="I13133" s="237"/>
      <c r="J13133" s="238"/>
    </row>
    <row r="13134">
      <c r="C13134" s="82"/>
      <c r="E13134" s="84"/>
      <c r="F13134" s="84"/>
      <c r="G13134" s="84"/>
      <c r="I13134" s="237"/>
      <c r="J13134" s="238"/>
    </row>
    <row r="13135">
      <c r="C13135" s="82"/>
      <c r="E13135" s="84"/>
      <c r="F13135" s="84"/>
      <c r="G13135" s="84"/>
      <c r="I13135" s="237"/>
      <c r="J13135" s="238"/>
    </row>
    <row r="13136">
      <c r="C13136" s="82"/>
      <c r="E13136" s="84"/>
      <c r="F13136" s="84"/>
      <c r="G13136" s="84"/>
      <c r="I13136" s="237"/>
      <c r="J13136" s="238"/>
    </row>
    <row r="13137">
      <c r="C13137" s="82"/>
      <c r="E13137" s="84"/>
      <c r="F13137" s="84"/>
      <c r="G13137" s="84"/>
      <c r="I13137" s="237"/>
      <c r="J13137" s="238"/>
    </row>
    <row r="13138">
      <c r="C13138" s="82"/>
      <c r="E13138" s="84"/>
      <c r="F13138" s="84"/>
      <c r="G13138" s="84"/>
      <c r="I13138" s="237"/>
      <c r="J13138" s="238"/>
    </row>
    <row r="13139">
      <c r="C13139" s="82"/>
      <c r="E13139" s="84"/>
      <c r="F13139" s="84"/>
      <c r="G13139" s="84"/>
      <c r="I13139" s="237"/>
      <c r="J13139" s="238"/>
    </row>
    <row r="13140">
      <c r="C13140" s="82"/>
      <c r="E13140" s="84"/>
      <c r="F13140" s="84"/>
      <c r="G13140" s="84"/>
      <c r="I13140" s="237"/>
      <c r="J13140" s="238"/>
    </row>
    <row r="13141">
      <c r="C13141" s="82"/>
      <c r="E13141" s="84"/>
      <c r="F13141" s="84"/>
      <c r="G13141" s="84"/>
      <c r="I13141" s="237"/>
      <c r="J13141" s="238"/>
    </row>
    <row r="13142">
      <c r="C13142" s="82"/>
      <c r="E13142" s="84"/>
      <c r="F13142" s="84"/>
      <c r="G13142" s="84"/>
      <c r="I13142" s="237"/>
      <c r="J13142" s="238"/>
    </row>
    <row r="13143">
      <c r="C13143" s="82"/>
      <c r="E13143" s="84"/>
      <c r="F13143" s="84"/>
      <c r="G13143" s="84"/>
      <c r="I13143" s="237"/>
      <c r="J13143" s="238"/>
    </row>
    <row r="13144">
      <c r="C13144" s="82"/>
      <c r="E13144" s="84"/>
      <c r="F13144" s="84"/>
      <c r="G13144" s="84"/>
      <c r="I13144" s="237"/>
      <c r="J13144" s="238"/>
    </row>
    <row r="13145">
      <c r="C13145" s="82"/>
      <c r="E13145" s="84"/>
      <c r="F13145" s="84"/>
      <c r="G13145" s="84"/>
      <c r="I13145" s="237"/>
      <c r="J13145" s="238"/>
    </row>
    <row r="13146">
      <c r="C13146" s="82"/>
      <c r="E13146" s="84"/>
      <c r="F13146" s="84"/>
      <c r="G13146" s="84"/>
      <c r="I13146" s="237"/>
      <c r="J13146" s="238"/>
    </row>
    <row r="13147">
      <c r="C13147" s="82"/>
      <c r="E13147" s="84"/>
      <c r="F13147" s="84"/>
      <c r="G13147" s="84"/>
      <c r="I13147" s="237"/>
      <c r="J13147" s="238"/>
    </row>
    <row r="13148">
      <c r="C13148" s="82"/>
      <c r="E13148" s="84"/>
      <c r="F13148" s="84"/>
      <c r="G13148" s="84"/>
      <c r="I13148" s="237"/>
      <c r="J13148" s="238"/>
    </row>
    <row r="13149">
      <c r="C13149" s="82"/>
      <c r="E13149" s="84"/>
      <c r="F13149" s="84"/>
      <c r="G13149" s="84"/>
      <c r="I13149" s="237"/>
      <c r="J13149" s="238"/>
    </row>
    <row r="13150">
      <c r="C13150" s="82"/>
      <c r="E13150" s="84"/>
      <c r="F13150" s="84"/>
      <c r="G13150" s="84"/>
      <c r="I13150" s="237"/>
      <c r="J13150" s="238"/>
    </row>
    <row r="13151">
      <c r="C13151" s="82"/>
      <c r="E13151" s="84"/>
      <c r="F13151" s="84"/>
      <c r="G13151" s="84"/>
      <c r="I13151" s="237"/>
      <c r="J13151" s="238"/>
    </row>
    <row r="13152">
      <c r="C13152" s="82"/>
      <c r="E13152" s="84"/>
      <c r="F13152" s="84"/>
      <c r="G13152" s="84"/>
      <c r="I13152" s="237"/>
      <c r="J13152" s="238"/>
    </row>
    <row r="13153">
      <c r="C13153" s="82"/>
      <c r="E13153" s="84"/>
      <c r="F13153" s="84"/>
      <c r="G13153" s="84"/>
      <c r="I13153" s="237"/>
      <c r="J13153" s="238"/>
    </row>
    <row r="13154">
      <c r="C13154" s="82"/>
      <c r="E13154" s="84"/>
      <c r="F13154" s="84"/>
      <c r="G13154" s="84"/>
      <c r="I13154" s="237"/>
      <c r="J13154" s="238"/>
    </row>
    <row r="13155">
      <c r="C13155" s="82"/>
      <c r="E13155" s="84"/>
      <c r="F13155" s="84"/>
      <c r="G13155" s="84"/>
      <c r="I13155" s="237"/>
      <c r="J13155" s="238"/>
    </row>
    <row r="13156">
      <c r="C13156" s="82"/>
      <c r="E13156" s="84"/>
      <c r="F13156" s="84"/>
      <c r="G13156" s="84"/>
      <c r="I13156" s="237"/>
      <c r="J13156" s="238"/>
    </row>
    <row r="13157">
      <c r="C13157" s="82"/>
      <c r="E13157" s="84"/>
      <c r="F13157" s="84"/>
      <c r="G13157" s="84"/>
      <c r="I13157" s="237"/>
      <c r="J13157" s="238"/>
    </row>
    <row r="13158">
      <c r="C13158" s="82"/>
      <c r="E13158" s="84"/>
      <c r="F13158" s="84"/>
      <c r="G13158" s="84"/>
      <c r="I13158" s="237"/>
      <c r="J13158" s="238"/>
    </row>
    <row r="13159">
      <c r="C13159" s="82"/>
      <c r="E13159" s="84"/>
      <c r="F13159" s="84"/>
      <c r="G13159" s="84"/>
      <c r="I13159" s="237"/>
      <c r="J13159" s="238"/>
    </row>
    <row r="13160">
      <c r="C13160" s="82"/>
      <c r="E13160" s="84"/>
      <c r="F13160" s="84"/>
      <c r="G13160" s="84"/>
      <c r="I13160" s="237"/>
      <c r="J13160" s="238"/>
    </row>
    <row r="13161">
      <c r="C13161" s="82"/>
      <c r="E13161" s="84"/>
      <c r="F13161" s="84"/>
      <c r="G13161" s="84"/>
      <c r="I13161" s="237"/>
      <c r="J13161" s="238"/>
    </row>
    <row r="13162">
      <c r="C13162" s="82"/>
      <c r="E13162" s="84"/>
      <c r="F13162" s="84"/>
      <c r="G13162" s="84"/>
      <c r="I13162" s="237"/>
      <c r="J13162" s="238"/>
    </row>
    <row r="13163">
      <c r="C13163" s="82"/>
      <c r="E13163" s="84"/>
      <c r="F13163" s="84"/>
      <c r="G13163" s="84"/>
      <c r="I13163" s="237"/>
      <c r="J13163" s="238"/>
    </row>
    <row r="13164">
      <c r="C13164" s="82"/>
      <c r="E13164" s="84"/>
      <c r="F13164" s="84"/>
      <c r="G13164" s="84"/>
      <c r="I13164" s="237"/>
      <c r="J13164" s="238"/>
    </row>
    <row r="13165">
      <c r="C13165" s="82"/>
      <c r="E13165" s="84"/>
      <c r="F13165" s="84"/>
      <c r="G13165" s="84"/>
      <c r="I13165" s="237"/>
      <c r="J13165" s="238"/>
    </row>
    <row r="13166">
      <c r="C13166" s="82"/>
      <c r="E13166" s="84"/>
      <c r="F13166" s="84"/>
      <c r="G13166" s="84"/>
      <c r="I13166" s="237"/>
      <c r="J13166" s="238"/>
    </row>
    <row r="13167">
      <c r="C13167" s="82"/>
      <c r="E13167" s="84"/>
      <c r="F13167" s="84"/>
      <c r="G13167" s="84"/>
      <c r="I13167" s="237"/>
      <c r="J13167" s="238"/>
    </row>
    <row r="13168">
      <c r="C13168" s="82"/>
      <c r="E13168" s="84"/>
      <c r="F13168" s="84"/>
      <c r="G13168" s="84"/>
      <c r="I13168" s="237"/>
      <c r="J13168" s="238"/>
    </row>
    <row r="13169">
      <c r="C13169" s="82"/>
      <c r="E13169" s="84"/>
      <c r="F13169" s="84"/>
      <c r="G13169" s="84"/>
      <c r="I13169" s="237"/>
      <c r="J13169" s="238"/>
    </row>
    <row r="13170">
      <c r="C13170" s="82"/>
      <c r="E13170" s="84"/>
      <c r="F13170" s="84"/>
      <c r="G13170" s="84"/>
      <c r="I13170" s="237"/>
      <c r="J13170" s="238"/>
    </row>
    <row r="13171">
      <c r="C13171" s="82"/>
      <c r="E13171" s="84"/>
      <c r="F13171" s="84"/>
      <c r="G13171" s="84"/>
      <c r="I13171" s="237"/>
      <c r="J13171" s="238"/>
    </row>
    <row r="13172">
      <c r="C13172" s="82"/>
      <c r="E13172" s="84"/>
      <c r="F13172" s="84"/>
      <c r="G13172" s="84"/>
      <c r="I13172" s="237"/>
      <c r="J13172" s="238"/>
    </row>
    <row r="13173">
      <c r="C13173" s="82"/>
      <c r="E13173" s="84"/>
      <c r="F13173" s="84"/>
      <c r="G13173" s="84"/>
      <c r="I13173" s="237"/>
      <c r="J13173" s="238"/>
    </row>
    <row r="13174">
      <c r="C13174" s="82"/>
      <c r="E13174" s="84"/>
      <c r="F13174" s="84"/>
      <c r="G13174" s="84"/>
      <c r="I13174" s="237"/>
      <c r="J13174" s="238"/>
    </row>
    <row r="13175">
      <c r="C13175" s="82"/>
      <c r="E13175" s="84"/>
      <c r="F13175" s="84"/>
      <c r="G13175" s="84"/>
      <c r="I13175" s="237"/>
      <c r="J13175" s="238"/>
    </row>
    <row r="13176">
      <c r="C13176" s="82"/>
      <c r="E13176" s="84"/>
      <c r="F13176" s="84"/>
      <c r="G13176" s="84"/>
      <c r="I13176" s="237"/>
      <c r="J13176" s="238"/>
    </row>
    <row r="13177">
      <c r="C13177" s="82"/>
      <c r="E13177" s="84"/>
      <c r="F13177" s="84"/>
      <c r="G13177" s="84"/>
      <c r="I13177" s="237"/>
      <c r="J13177" s="238"/>
    </row>
    <row r="13178">
      <c r="C13178" s="82"/>
      <c r="E13178" s="84"/>
      <c r="F13178" s="84"/>
      <c r="G13178" s="84"/>
      <c r="I13178" s="237"/>
      <c r="J13178" s="238"/>
    </row>
    <row r="13179">
      <c r="C13179" s="82"/>
      <c r="E13179" s="84"/>
      <c r="F13179" s="84"/>
      <c r="G13179" s="84"/>
      <c r="I13179" s="237"/>
      <c r="J13179" s="238"/>
    </row>
    <row r="13180">
      <c r="C13180" s="82"/>
      <c r="E13180" s="84"/>
      <c r="F13180" s="84"/>
      <c r="G13180" s="84"/>
      <c r="I13180" s="237"/>
      <c r="J13180" s="238"/>
    </row>
    <row r="13181">
      <c r="C13181" s="82"/>
      <c r="E13181" s="84"/>
      <c r="F13181" s="84"/>
      <c r="G13181" s="84"/>
      <c r="I13181" s="237"/>
      <c r="J13181" s="238"/>
    </row>
    <row r="13182">
      <c r="C13182" s="82"/>
      <c r="E13182" s="84"/>
      <c r="F13182" s="84"/>
      <c r="G13182" s="84"/>
      <c r="I13182" s="237"/>
      <c r="J13182" s="238"/>
    </row>
    <row r="13183">
      <c r="C13183" s="82"/>
      <c r="E13183" s="84"/>
      <c r="F13183" s="84"/>
      <c r="G13183" s="84"/>
      <c r="I13183" s="237"/>
      <c r="J13183" s="238"/>
    </row>
    <row r="13184">
      <c r="C13184" s="82"/>
      <c r="E13184" s="84"/>
      <c r="F13184" s="84"/>
      <c r="G13184" s="84"/>
      <c r="I13184" s="237"/>
      <c r="J13184" s="238"/>
    </row>
    <row r="13185">
      <c r="C13185" s="82"/>
      <c r="E13185" s="84"/>
      <c r="F13185" s="84"/>
      <c r="G13185" s="84"/>
      <c r="I13185" s="237"/>
      <c r="J13185" s="238"/>
    </row>
    <row r="13186">
      <c r="C13186" s="82"/>
      <c r="E13186" s="84"/>
      <c r="F13186" s="84"/>
      <c r="G13186" s="84"/>
      <c r="I13186" s="237"/>
      <c r="J13186" s="238"/>
    </row>
    <row r="13187">
      <c r="C13187" s="82"/>
      <c r="E13187" s="84"/>
      <c r="F13187" s="84"/>
      <c r="G13187" s="84"/>
      <c r="I13187" s="237"/>
      <c r="J13187" s="238"/>
    </row>
    <row r="13188">
      <c r="C13188" s="82"/>
      <c r="E13188" s="84"/>
      <c r="F13188" s="84"/>
      <c r="G13188" s="84"/>
      <c r="I13188" s="237"/>
      <c r="J13188" s="238"/>
    </row>
    <row r="13189">
      <c r="C13189" s="82"/>
      <c r="E13189" s="84"/>
      <c r="F13189" s="84"/>
      <c r="G13189" s="84"/>
      <c r="I13189" s="237"/>
      <c r="J13189" s="238"/>
    </row>
    <row r="13190">
      <c r="C13190" s="82"/>
      <c r="E13190" s="84"/>
      <c r="F13190" s="84"/>
      <c r="G13190" s="84"/>
      <c r="I13190" s="237"/>
      <c r="J13190" s="238"/>
    </row>
    <row r="13191">
      <c r="C13191" s="82"/>
      <c r="E13191" s="84"/>
      <c r="F13191" s="84"/>
      <c r="G13191" s="84"/>
      <c r="I13191" s="237"/>
      <c r="J13191" s="238"/>
    </row>
    <row r="13192">
      <c r="C13192" s="82"/>
      <c r="E13192" s="84"/>
      <c r="F13192" s="84"/>
      <c r="G13192" s="84"/>
      <c r="I13192" s="237"/>
      <c r="J13192" s="238"/>
    </row>
    <row r="13193">
      <c r="C13193" s="82"/>
      <c r="E13193" s="84"/>
      <c r="F13193" s="84"/>
      <c r="G13193" s="84"/>
      <c r="I13193" s="237"/>
      <c r="J13193" s="238"/>
    </row>
    <row r="13194">
      <c r="C13194" s="82"/>
      <c r="E13194" s="84"/>
      <c r="F13194" s="84"/>
      <c r="G13194" s="84"/>
      <c r="I13194" s="237"/>
      <c r="J13194" s="238"/>
    </row>
    <row r="13195">
      <c r="C13195" s="82"/>
      <c r="E13195" s="84"/>
      <c r="F13195" s="84"/>
      <c r="G13195" s="84"/>
      <c r="I13195" s="237"/>
      <c r="J13195" s="238"/>
    </row>
    <row r="13196">
      <c r="C13196" s="82"/>
      <c r="E13196" s="84"/>
      <c r="F13196" s="84"/>
      <c r="G13196" s="84"/>
      <c r="I13196" s="237"/>
      <c r="J13196" s="238"/>
    </row>
    <row r="13197">
      <c r="C13197" s="82"/>
      <c r="E13197" s="84"/>
      <c r="F13197" s="84"/>
      <c r="G13197" s="84"/>
      <c r="I13197" s="237"/>
      <c r="J13197" s="238"/>
    </row>
    <row r="13198">
      <c r="C13198" s="82"/>
      <c r="E13198" s="84"/>
      <c r="F13198" s="84"/>
      <c r="G13198" s="84"/>
      <c r="I13198" s="237"/>
      <c r="J13198" s="238"/>
    </row>
    <row r="13199">
      <c r="C13199" s="82"/>
      <c r="E13199" s="84"/>
      <c r="F13199" s="84"/>
      <c r="G13199" s="84"/>
      <c r="I13199" s="237"/>
      <c r="J13199" s="238"/>
    </row>
    <row r="13200">
      <c r="C13200" s="82"/>
      <c r="E13200" s="84"/>
      <c r="F13200" s="84"/>
      <c r="G13200" s="84"/>
      <c r="I13200" s="237"/>
      <c r="J13200" s="238"/>
    </row>
    <row r="13201">
      <c r="C13201" s="82"/>
      <c r="E13201" s="84"/>
      <c r="F13201" s="84"/>
      <c r="G13201" s="84"/>
      <c r="I13201" s="237"/>
      <c r="J13201" s="238"/>
    </row>
    <row r="13202">
      <c r="C13202" s="82"/>
      <c r="E13202" s="84"/>
      <c r="F13202" s="84"/>
      <c r="G13202" s="84"/>
      <c r="I13202" s="237"/>
      <c r="J13202" s="238"/>
    </row>
    <row r="13203">
      <c r="C13203" s="82"/>
      <c r="E13203" s="84"/>
      <c r="F13203" s="84"/>
      <c r="G13203" s="84"/>
      <c r="I13203" s="237"/>
      <c r="J13203" s="238"/>
    </row>
    <row r="13204">
      <c r="C13204" s="82"/>
      <c r="E13204" s="84"/>
      <c r="F13204" s="84"/>
      <c r="G13204" s="84"/>
      <c r="I13204" s="237"/>
      <c r="J13204" s="238"/>
    </row>
    <row r="13205">
      <c r="C13205" s="82"/>
      <c r="E13205" s="84"/>
      <c r="F13205" s="84"/>
      <c r="G13205" s="84"/>
      <c r="I13205" s="237"/>
      <c r="J13205" s="238"/>
    </row>
    <row r="13206">
      <c r="C13206" s="82"/>
      <c r="E13206" s="84"/>
      <c r="F13206" s="84"/>
      <c r="G13206" s="84"/>
      <c r="I13206" s="237"/>
      <c r="J13206" s="238"/>
    </row>
    <row r="13207">
      <c r="C13207" s="82"/>
      <c r="E13207" s="84"/>
      <c r="F13207" s="84"/>
      <c r="G13207" s="84"/>
      <c r="I13207" s="237"/>
      <c r="J13207" s="238"/>
    </row>
    <row r="13208">
      <c r="C13208" s="82"/>
      <c r="E13208" s="84"/>
      <c r="F13208" s="84"/>
      <c r="G13208" s="84"/>
      <c r="I13208" s="237"/>
      <c r="J13208" s="238"/>
    </row>
    <row r="13209">
      <c r="C13209" s="82"/>
      <c r="E13209" s="84"/>
      <c r="F13209" s="84"/>
      <c r="G13209" s="84"/>
      <c r="I13209" s="237"/>
      <c r="J13209" s="238"/>
    </row>
    <row r="13210">
      <c r="C13210" s="82"/>
      <c r="E13210" s="84"/>
      <c r="F13210" s="84"/>
      <c r="G13210" s="84"/>
      <c r="I13210" s="237"/>
      <c r="J13210" s="238"/>
    </row>
    <row r="13211">
      <c r="C13211" s="82"/>
      <c r="E13211" s="84"/>
      <c r="F13211" s="84"/>
      <c r="G13211" s="84"/>
      <c r="I13211" s="237"/>
      <c r="J13211" s="238"/>
    </row>
    <row r="13212">
      <c r="C13212" s="82"/>
      <c r="E13212" s="84"/>
      <c r="F13212" s="84"/>
      <c r="G13212" s="84"/>
      <c r="I13212" s="237"/>
      <c r="J13212" s="238"/>
    </row>
    <row r="13213">
      <c r="C13213" s="82"/>
      <c r="E13213" s="84"/>
      <c r="F13213" s="84"/>
      <c r="G13213" s="84"/>
      <c r="I13213" s="237"/>
      <c r="J13213" s="238"/>
    </row>
    <row r="13214">
      <c r="C13214" s="82"/>
      <c r="E13214" s="84"/>
      <c r="F13214" s="84"/>
      <c r="G13214" s="84"/>
      <c r="I13214" s="237"/>
      <c r="J13214" s="238"/>
    </row>
    <row r="13215">
      <c r="C13215" s="82"/>
      <c r="E13215" s="84"/>
      <c r="F13215" s="84"/>
      <c r="G13215" s="84"/>
      <c r="I13215" s="237"/>
      <c r="J13215" s="238"/>
    </row>
    <row r="13216">
      <c r="C13216" s="82"/>
      <c r="E13216" s="84"/>
      <c r="F13216" s="84"/>
      <c r="G13216" s="84"/>
      <c r="I13216" s="237"/>
      <c r="J13216" s="238"/>
    </row>
    <row r="13217">
      <c r="C13217" s="82"/>
      <c r="E13217" s="84"/>
      <c r="F13217" s="84"/>
      <c r="G13217" s="84"/>
      <c r="I13217" s="237"/>
      <c r="J13217" s="238"/>
    </row>
    <row r="13218">
      <c r="C13218" s="82"/>
      <c r="E13218" s="84"/>
      <c r="F13218" s="84"/>
      <c r="G13218" s="84"/>
      <c r="I13218" s="237"/>
      <c r="J13218" s="238"/>
    </row>
    <row r="13219">
      <c r="C13219" s="82"/>
      <c r="E13219" s="84"/>
      <c r="F13219" s="84"/>
      <c r="G13219" s="84"/>
      <c r="I13219" s="237"/>
      <c r="J13219" s="238"/>
    </row>
    <row r="13220">
      <c r="C13220" s="82"/>
      <c r="E13220" s="84"/>
      <c r="F13220" s="84"/>
      <c r="G13220" s="84"/>
      <c r="I13220" s="237"/>
      <c r="J13220" s="238"/>
    </row>
    <row r="13221">
      <c r="C13221" s="82"/>
      <c r="E13221" s="84"/>
      <c r="F13221" s="84"/>
      <c r="G13221" s="84"/>
      <c r="I13221" s="237"/>
      <c r="J13221" s="238"/>
    </row>
    <row r="13222">
      <c r="C13222" s="82"/>
      <c r="E13222" s="84"/>
      <c r="F13222" s="84"/>
      <c r="G13222" s="84"/>
      <c r="I13222" s="237"/>
      <c r="J13222" s="238"/>
    </row>
    <row r="13223">
      <c r="C13223" s="82"/>
      <c r="E13223" s="84"/>
      <c r="F13223" s="84"/>
      <c r="G13223" s="84"/>
      <c r="I13223" s="237"/>
      <c r="J13223" s="238"/>
    </row>
    <row r="13224">
      <c r="C13224" s="82"/>
      <c r="E13224" s="84"/>
      <c r="F13224" s="84"/>
      <c r="G13224" s="84"/>
      <c r="I13224" s="237"/>
      <c r="J13224" s="238"/>
    </row>
    <row r="13225">
      <c r="C13225" s="82"/>
      <c r="E13225" s="84"/>
      <c r="F13225" s="84"/>
      <c r="G13225" s="84"/>
      <c r="I13225" s="237"/>
      <c r="J13225" s="238"/>
    </row>
    <row r="13226">
      <c r="C13226" s="82"/>
      <c r="E13226" s="84"/>
      <c r="F13226" s="84"/>
      <c r="G13226" s="84"/>
      <c r="I13226" s="237"/>
      <c r="J13226" s="238"/>
    </row>
    <row r="13227">
      <c r="C13227" s="82"/>
      <c r="E13227" s="84"/>
      <c r="F13227" s="84"/>
      <c r="G13227" s="84"/>
      <c r="I13227" s="237"/>
      <c r="J13227" s="238"/>
    </row>
    <row r="13228">
      <c r="C13228" s="82"/>
      <c r="E13228" s="84"/>
      <c r="F13228" s="84"/>
      <c r="G13228" s="84"/>
      <c r="I13228" s="237"/>
      <c r="J13228" s="238"/>
    </row>
    <row r="13229">
      <c r="C13229" s="82"/>
      <c r="E13229" s="84"/>
      <c r="F13229" s="84"/>
      <c r="G13229" s="84"/>
      <c r="I13229" s="237"/>
      <c r="J13229" s="238"/>
    </row>
    <row r="13230">
      <c r="C13230" s="82"/>
      <c r="E13230" s="84"/>
      <c r="F13230" s="84"/>
      <c r="G13230" s="84"/>
      <c r="I13230" s="237"/>
      <c r="J13230" s="238"/>
    </row>
    <row r="13231">
      <c r="C13231" s="82"/>
      <c r="E13231" s="84"/>
      <c r="F13231" s="84"/>
      <c r="G13231" s="84"/>
      <c r="I13231" s="237"/>
      <c r="J13231" s="238"/>
    </row>
    <row r="13232">
      <c r="C13232" s="82"/>
      <c r="E13232" s="84"/>
      <c r="F13232" s="84"/>
      <c r="G13232" s="84"/>
      <c r="I13232" s="237"/>
      <c r="J13232" s="238"/>
    </row>
    <row r="13233">
      <c r="C13233" s="82"/>
      <c r="E13233" s="84"/>
      <c r="F13233" s="84"/>
      <c r="G13233" s="84"/>
      <c r="I13233" s="237"/>
      <c r="J13233" s="238"/>
    </row>
    <row r="13234">
      <c r="C13234" s="82"/>
      <c r="E13234" s="84"/>
      <c r="F13234" s="84"/>
      <c r="G13234" s="84"/>
      <c r="I13234" s="237"/>
      <c r="J13234" s="238"/>
    </row>
    <row r="13235">
      <c r="C13235" s="82"/>
      <c r="E13235" s="84"/>
      <c r="F13235" s="84"/>
      <c r="G13235" s="84"/>
      <c r="I13235" s="237"/>
      <c r="J13235" s="238"/>
    </row>
    <row r="13236">
      <c r="C13236" s="82"/>
      <c r="E13236" s="84"/>
      <c r="F13236" s="84"/>
      <c r="G13236" s="84"/>
      <c r="I13236" s="237"/>
      <c r="J13236" s="238"/>
    </row>
    <row r="13237">
      <c r="C13237" s="82"/>
      <c r="E13237" s="84"/>
      <c r="F13237" s="84"/>
      <c r="G13237" s="84"/>
      <c r="I13237" s="237"/>
      <c r="J13237" s="238"/>
    </row>
    <row r="13238">
      <c r="C13238" s="82"/>
      <c r="E13238" s="84"/>
      <c r="F13238" s="84"/>
      <c r="G13238" s="84"/>
      <c r="I13238" s="237"/>
      <c r="J13238" s="238"/>
    </row>
    <row r="13239">
      <c r="C13239" s="82"/>
      <c r="E13239" s="84"/>
      <c r="F13239" s="84"/>
      <c r="G13239" s="84"/>
      <c r="I13239" s="237"/>
      <c r="J13239" s="238"/>
    </row>
    <row r="13240">
      <c r="C13240" s="82"/>
      <c r="E13240" s="84"/>
      <c r="F13240" s="84"/>
      <c r="G13240" s="84"/>
      <c r="I13240" s="237"/>
      <c r="J13240" s="238"/>
    </row>
    <row r="13241">
      <c r="C13241" s="82"/>
      <c r="E13241" s="84"/>
      <c r="F13241" s="84"/>
      <c r="G13241" s="84"/>
      <c r="I13241" s="237"/>
      <c r="J13241" s="238"/>
    </row>
    <row r="13242">
      <c r="C13242" s="82"/>
      <c r="E13242" s="84"/>
      <c r="F13242" s="84"/>
      <c r="G13242" s="84"/>
      <c r="I13242" s="237"/>
      <c r="J13242" s="238"/>
    </row>
    <row r="13243">
      <c r="C13243" s="82"/>
      <c r="E13243" s="84"/>
      <c r="F13243" s="84"/>
      <c r="G13243" s="84"/>
      <c r="I13243" s="237"/>
      <c r="J13243" s="238"/>
    </row>
    <row r="13244">
      <c r="C13244" s="82"/>
      <c r="E13244" s="84"/>
      <c r="F13244" s="84"/>
      <c r="G13244" s="84"/>
      <c r="I13244" s="237"/>
      <c r="J13244" s="238"/>
    </row>
    <row r="13245">
      <c r="C13245" s="82"/>
      <c r="E13245" s="84"/>
      <c r="F13245" s="84"/>
      <c r="G13245" s="84"/>
      <c r="I13245" s="237"/>
      <c r="J13245" s="238"/>
    </row>
    <row r="13246">
      <c r="C13246" s="82"/>
      <c r="E13246" s="84"/>
      <c r="F13246" s="84"/>
      <c r="G13246" s="84"/>
      <c r="I13246" s="237"/>
      <c r="J13246" s="238"/>
    </row>
    <row r="13247">
      <c r="C13247" s="82"/>
      <c r="E13247" s="84"/>
      <c r="F13247" s="84"/>
      <c r="G13247" s="84"/>
      <c r="I13247" s="237"/>
      <c r="J13247" s="238"/>
    </row>
    <row r="13248">
      <c r="C13248" s="82"/>
      <c r="E13248" s="84"/>
      <c r="F13248" s="84"/>
      <c r="G13248" s="84"/>
      <c r="I13248" s="237"/>
      <c r="J13248" s="238"/>
    </row>
    <row r="13249">
      <c r="C13249" s="82"/>
      <c r="E13249" s="84"/>
      <c r="F13249" s="84"/>
      <c r="G13249" s="84"/>
      <c r="I13249" s="237"/>
      <c r="J13249" s="238"/>
    </row>
    <row r="13250">
      <c r="C13250" s="82"/>
      <c r="E13250" s="84"/>
      <c r="F13250" s="84"/>
      <c r="G13250" s="84"/>
      <c r="I13250" s="237"/>
      <c r="J13250" s="238"/>
    </row>
    <row r="13251">
      <c r="C13251" s="82"/>
      <c r="E13251" s="84"/>
      <c r="F13251" s="84"/>
      <c r="G13251" s="84"/>
      <c r="I13251" s="237"/>
      <c r="J13251" s="238"/>
    </row>
    <row r="13252">
      <c r="C13252" s="82"/>
      <c r="E13252" s="84"/>
      <c r="F13252" s="84"/>
      <c r="G13252" s="84"/>
      <c r="I13252" s="237"/>
      <c r="J13252" s="238"/>
    </row>
    <row r="13253">
      <c r="C13253" s="82"/>
      <c r="E13253" s="84"/>
      <c r="F13253" s="84"/>
      <c r="G13253" s="84"/>
      <c r="I13253" s="237"/>
      <c r="J13253" s="238"/>
    </row>
    <row r="13254">
      <c r="C13254" s="82"/>
      <c r="E13254" s="84"/>
      <c r="F13254" s="84"/>
      <c r="G13254" s="84"/>
      <c r="I13254" s="237"/>
      <c r="J13254" s="238"/>
    </row>
    <row r="13255">
      <c r="C13255" s="82"/>
      <c r="E13255" s="84"/>
      <c r="F13255" s="84"/>
      <c r="G13255" s="84"/>
      <c r="I13255" s="237"/>
      <c r="J13255" s="238"/>
    </row>
    <row r="13256">
      <c r="C13256" s="82"/>
      <c r="E13256" s="84"/>
      <c r="F13256" s="84"/>
      <c r="G13256" s="84"/>
      <c r="I13256" s="237"/>
      <c r="J13256" s="238"/>
    </row>
    <row r="13257">
      <c r="C13257" s="82"/>
      <c r="E13257" s="84"/>
      <c r="F13257" s="84"/>
      <c r="G13257" s="84"/>
      <c r="I13257" s="237"/>
      <c r="J13257" s="238"/>
    </row>
    <row r="13258">
      <c r="C13258" s="82"/>
      <c r="E13258" s="84"/>
      <c r="F13258" s="84"/>
      <c r="G13258" s="84"/>
      <c r="I13258" s="237"/>
      <c r="J13258" s="238"/>
    </row>
    <row r="13259">
      <c r="C13259" s="82"/>
      <c r="E13259" s="84"/>
      <c r="F13259" s="84"/>
      <c r="G13259" s="84"/>
      <c r="I13259" s="237"/>
      <c r="J13259" s="238"/>
    </row>
    <row r="13260">
      <c r="C13260" s="82"/>
      <c r="E13260" s="84"/>
      <c r="F13260" s="84"/>
      <c r="G13260" s="84"/>
      <c r="I13260" s="237"/>
      <c r="J13260" s="238"/>
    </row>
    <row r="13261">
      <c r="C13261" s="82"/>
      <c r="E13261" s="84"/>
      <c r="F13261" s="84"/>
      <c r="G13261" s="84"/>
      <c r="I13261" s="237"/>
      <c r="J13261" s="238"/>
    </row>
    <row r="13262">
      <c r="C13262" s="82"/>
      <c r="E13262" s="84"/>
      <c r="F13262" s="84"/>
      <c r="G13262" s="84"/>
      <c r="I13262" s="237"/>
      <c r="J13262" s="238"/>
    </row>
    <row r="13263">
      <c r="C13263" s="82"/>
      <c r="E13263" s="84"/>
      <c r="F13263" s="84"/>
      <c r="G13263" s="84"/>
      <c r="I13263" s="237"/>
      <c r="J13263" s="238"/>
    </row>
    <row r="13264">
      <c r="C13264" s="82"/>
      <c r="E13264" s="84"/>
      <c r="F13264" s="84"/>
      <c r="G13264" s="84"/>
      <c r="I13264" s="237"/>
      <c r="J13264" s="238"/>
    </row>
    <row r="13265">
      <c r="C13265" s="82"/>
      <c r="E13265" s="84"/>
      <c r="F13265" s="84"/>
      <c r="G13265" s="84"/>
      <c r="I13265" s="237"/>
      <c r="J13265" s="238"/>
    </row>
    <row r="13266">
      <c r="C13266" s="82"/>
      <c r="E13266" s="84"/>
      <c r="F13266" s="84"/>
      <c r="G13266" s="84"/>
      <c r="I13266" s="237"/>
      <c r="J13266" s="238"/>
    </row>
    <row r="13267">
      <c r="C13267" s="82"/>
      <c r="E13267" s="84"/>
      <c r="F13267" s="84"/>
      <c r="G13267" s="84"/>
      <c r="I13267" s="237"/>
      <c r="J13267" s="238"/>
    </row>
    <row r="13268">
      <c r="C13268" s="82"/>
      <c r="E13268" s="84"/>
      <c r="F13268" s="84"/>
      <c r="G13268" s="84"/>
      <c r="I13268" s="237"/>
      <c r="J13268" s="238"/>
    </row>
    <row r="13269">
      <c r="C13269" s="82"/>
      <c r="E13269" s="84"/>
      <c r="F13269" s="84"/>
      <c r="G13269" s="84"/>
      <c r="I13269" s="237"/>
      <c r="J13269" s="238"/>
    </row>
    <row r="13270">
      <c r="C13270" s="82"/>
      <c r="E13270" s="84"/>
      <c r="F13270" s="84"/>
      <c r="G13270" s="84"/>
      <c r="I13270" s="237"/>
      <c r="J13270" s="238"/>
    </row>
    <row r="13271">
      <c r="C13271" s="82"/>
      <c r="E13271" s="84"/>
      <c r="F13271" s="84"/>
      <c r="G13271" s="84"/>
      <c r="I13271" s="237"/>
      <c r="J13271" s="238"/>
    </row>
    <row r="13272">
      <c r="C13272" s="82"/>
      <c r="E13272" s="84"/>
      <c r="F13272" s="84"/>
      <c r="G13272" s="84"/>
      <c r="I13272" s="237"/>
      <c r="J13272" s="238"/>
    </row>
    <row r="13273">
      <c r="C13273" s="82"/>
      <c r="E13273" s="84"/>
      <c r="F13273" s="84"/>
      <c r="G13273" s="84"/>
      <c r="I13273" s="237"/>
      <c r="J13273" s="238"/>
    </row>
    <row r="13274">
      <c r="C13274" s="82"/>
      <c r="E13274" s="84"/>
      <c r="F13274" s="84"/>
      <c r="G13274" s="84"/>
      <c r="I13274" s="237"/>
      <c r="J13274" s="238"/>
    </row>
    <row r="13275">
      <c r="C13275" s="82"/>
      <c r="E13275" s="84"/>
      <c r="F13275" s="84"/>
      <c r="G13275" s="84"/>
      <c r="I13275" s="237"/>
      <c r="J13275" s="238"/>
    </row>
    <row r="13276">
      <c r="C13276" s="82"/>
      <c r="E13276" s="84"/>
      <c r="F13276" s="84"/>
      <c r="G13276" s="84"/>
      <c r="I13276" s="237"/>
      <c r="J13276" s="238"/>
    </row>
    <row r="13277">
      <c r="C13277" s="82"/>
      <c r="E13277" s="84"/>
      <c r="F13277" s="84"/>
      <c r="G13277" s="84"/>
      <c r="I13277" s="237"/>
      <c r="J13277" s="238"/>
    </row>
    <row r="13278">
      <c r="C13278" s="82"/>
      <c r="E13278" s="84"/>
      <c r="F13278" s="84"/>
      <c r="G13278" s="84"/>
      <c r="I13278" s="237"/>
      <c r="J13278" s="238"/>
    </row>
    <row r="13279">
      <c r="C13279" s="82"/>
      <c r="E13279" s="84"/>
      <c r="F13279" s="84"/>
      <c r="G13279" s="84"/>
      <c r="I13279" s="237"/>
      <c r="J13279" s="238"/>
    </row>
    <row r="13280">
      <c r="C13280" s="82"/>
      <c r="E13280" s="84"/>
      <c r="F13280" s="84"/>
      <c r="G13280" s="84"/>
      <c r="I13280" s="237"/>
      <c r="J13280" s="238"/>
    </row>
    <row r="13281">
      <c r="C13281" s="82"/>
      <c r="E13281" s="84"/>
      <c r="F13281" s="84"/>
      <c r="G13281" s="84"/>
      <c r="I13281" s="237"/>
      <c r="J13281" s="238"/>
    </row>
    <row r="13282">
      <c r="C13282" s="82"/>
      <c r="E13282" s="84"/>
      <c r="F13282" s="84"/>
      <c r="G13282" s="84"/>
      <c r="I13282" s="237"/>
      <c r="J13282" s="238"/>
    </row>
    <row r="13283">
      <c r="C13283" s="82"/>
      <c r="E13283" s="84"/>
      <c r="F13283" s="84"/>
      <c r="G13283" s="84"/>
      <c r="I13283" s="237"/>
      <c r="J13283" s="238"/>
    </row>
    <row r="13284">
      <c r="C13284" s="82"/>
      <c r="E13284" s="84"/>
      <c r="F13284" s="84"/>
      <c r="G13284" s="84"/>
      <c r="I13284" s="237"/>
      <c r="J13284" s="238"/>
    </row>
    <row r="13285">
      <c r="C13285" s="82"/>
      <c r="E13285" s="84"/>
      <c r="F13285" s="84"/>
      <c r="G13285" s="84"/>
      <c r="I13285" s="237"/>
      <c r="J13285" s="238"/>
    </row>
    <row r="13286">
      <c r="C13286" s="82"/>
      <c r="E13286" s="84"/>
      <c r="F13286" s="84"/>
      <c r="G13286" s="84"/>
      <c r="I13286" s="237"/>
      <c r="J13286" s="238"/>
    </row>
    <row r="13287">
      <c r="C13287" s="82"/>
      <c r="E13287" s="84"/>
      <c r="F13287" s="84"/>
      <c r="G13287" s="84"/>
      <c r="I13287" s="237"/>
      <c r="J13287" s="238"/>
    </row>
    <row r="13288">
      <c r="C13288" s="82"/>
      <c r="E13288" s="84"/>
      <c r="F13288" s="84"/>
      <c r="G13288" s="84"/>
      <c r="I13288" s="237"/>
      <c r="J13288" s="238"/>
    </row>
    <row r="13289">
      <c r="C13289" s="82"/>
      <c r="E13289" s="84"/>
      <c r="F13289" s="84"/>
      <c r="G13289" s="84"/>
      <c r="I13289" s="237"/>
      <c r="J13289" s="238"/>
    </row>
    <row r="13290">
      <c r="C13290" s="82"/>
      <c r="E13290" s="84"/>
      <c r="F13290" s="84"/>
      <c r="G13290" s="84"/>
      <c r="I13290" s="237"/>
      <c r="J13290" s="238"/>
    </row>
    <row r="13291">
      <c r="C13291" s="82"/>
      <c r="E13291" s="84"/>
      <c r="F13291" s="84"/>
      <c r="G13291" s="84"/>
      <c r="I13291" s="237"/>
      <c r="J13291" s="238"/>
    </row>
    <row r="13292">
      <c r="C13292" s="82"/>
      <c r="E13292" s="84"/>
      <c r="F13292" s="84"/>
      <c r="G13292" s="84"/>
      <c r="I13292" s="237"/>
      <c r="J13292" s="238"/>
    </row>
    <row r="13293">
      <c r="C13293" s="82"/>
      <c r="E13293" s="84"/>
      <c r="F13293" s="84"/>
      <c r="G13293" s="84"/>
      <c r="I13293" s="237"/>
      <c r="J13293" s="238"/>
    </row>
    <row r="13294">
      <c r="C13294" s="82"/>
      <c r="E13294" s="84"/>
      <c r="F13294" s="84"/>
      <c r="G13294" s="84"/>
      <c r="I13294" s="237"/>
      <c r="J13294" s="238"/>
    </row>
    <row r="13295">
      <c r="C13295" s="82"/>
      <c r="E13295" s="84"/>
      <c r="F13295" s="84"/>
      <c r="G13295" s="84"/>
      <c r="I13295" s="237"/>
      <c r="J13295" s="238"/>
    </row>
    <row r="13296">
      <c r="C13296" s="82"/>
      <c r="E13296" s="84"/>
      <c r="F13296" s="84"/>
      <c r="G13296" s="84"/>
      <c r="I13296" s="237"/>
      <c r="J13296" s="238"/>
    </row>
    <row r="13297">
      <c r="C13297" s="82"/>
      <c r="E13297" s="84"/>
      <c r="F13297" s="84"/>
      <c r="G13297" s="84"/>
      <c r="I13297" s="237"/>
      <c r="J13297" s="238"/>
    </row>
    <row r="13298">
      <c r="C13298" s="82"/>
      <c r="E13298" s="84"/>
      <c r="F13298" s="84"/>
      <c r="G13298" s="84"/>
      <c r="I13298" s="237"/>
      <c r="J13298" s="238"/>
    </row>
    <row r="13299">
      <c r="C13299" s="82"/>
      <c r="E13299" s="84"/>
      <c r="F13299" s="84"/>
      <c r="G13299" s="84"/>
      <c r="I13299" s="237"/>
      <c r="J13299" s="238"/>
    </row>
    <row r="13300">
      <c r="C13300" s="82"/>
      <c r="E13300" s="84"/>
      <c r="F13300" s="84"/>
      <c r="G13300" s="84"/>
      <c r="I13300" s="237"/>
      <c r="J13300" s="238"/>
    </row>
    <row r="13301">
      <c r="C13301" s="82"/>
      <c r="E13301" s="84"/>
      <c r="F13301" s="84"/>
      <c r="G13301" s="84"/>
      <c r="I13301" s="237"/>
      <c r="J13301" s="238"/>
    </row>
    <row r="13302">
      <c r="C13302" s="82"/>
      <c r="E13302" s="84"/>
      <c r="F13302" s="84"/>
      <c r="G13302" s="84"/>
      <c r="I13302" s="237"/>
      <c r="J13302" s="238"/>
    </row>
    <row r="13303">
      <c r="C13303" s="82"/>
      <c r="E13303" s="84"/>
      <c r="F13303" s="84"/>
      <c r="G13303" s="84"/>
      <c r="I13303" s="237"/>
      <c r="J13303" s="238"/>
    </row>
    <row r="13304">
      <c r="C13304" s="82"/>
      <c r="E13304" s="84"/>
      <c r="F13304" s="84"/>
      <c r="G13304" s="84"/>
      <c r="I13304" s="237"/>
      <c r="J13304" s="238"/>
    </row>
    <row r="13305">
      <c r="C13305" s="82"/>
      <c r="E13305" s="84"/>
      <c r="F13305" s="84"/>
      <c r="G13305" s="84"/>
      <c r="I13305" s="237"/>
      <c r="J13305" s="238"/>
    </row>
    <row r="13306">
      <c r="C13306" s="82"/>
      <c r="E13306" s="84"/>
      <c r="F13306" s="84"/>
      <c r="G13306" s="84"/>
      <c r="I13306" s="237"/>
      <c r="J13306" s="238"/>
    </row>
    <row r="13307">
      <c r="C13307" s="82"/>
      <c r="E13307" s="84"/>
      <c r="F13307" s="84"/>
      <c r="G13307" s="84"/>
      <c r="I13307" s="237"/>
      <c r="J13307" s="238"/>
    </row>
    <row r="13308">
      <c r="C13308" s="82"/>
      <c r="E13308" s="84"/>
      <c r="F13308" s="84"/>
      <c r="G13308" s="84"/>
      <c r="I13308" s="237"/>
      <c r="J13308" s="238"/>
    </row>
    <row r="13309">
      <c r="C13309" s="82"/>
      <c r="E13309" s="84"/>
      <c r="F13309" s="84"/>
      <c r="G13309" s="84"/>
      <c r="I13309" s="237"/>
      <c r="J13309" s="238"/>
    </row>
    <row r="13310">
      <c r="C13310" s="82"/>
      <c r="E13310" s="84"/>
      <c r="F13310" s="84"/>
      <c r="G13310" s="84"/>
      <c r="I13310" s="237"/>
      <c r="J13310" s="238"/>
    </row>
    <row r="13311">
      <c r="C13311" s="82"/>
      <c r="E13311" s="84"/>
      <c r="F13311" s="84"/>
      <c r="G13311" s="84"/>
      <c r="I13311" s="237"/>
      <c r="J13311" s="238"/>
    </row>
    <row r="13312">
      <c r="C13312" s="82"/>
      <c r="E13312" s="84"/>
      <c r="F13312" s="84"/>
      <c r="G13312" s="84"/>
      <c r="I13312" s="237"/>
      <c r="J13312" s="238"/>
    </row>
    <row r="13313">
      <c r="C13313" s="82"/>
      <c r="E13313" s="84"/>
      <c r="F13313" s="84"/>
      <c r="G13313" s="84"/>
      <c r="I13313" s="237"/>
      <c r="J13313" s="238"/>
    </row>
    <row r="13314">
      <c r="C13314" s="82"/>
      <c r="E13314" s="84"/>
      <c r="F13314" s="84"/>
      <c r="G13314" s="84"/>
      <c r="I13314" s="237"/>
      <c r="J13314" s="238"/>
    </row>
    <row r="13315">
      <c r="C13315" s="82"/>
      <c r="E13315" s="84"/>
      <c r="F13315" s="84"/>
      <c r="G13315" s="84"/>
      <c r="I13315" s="237"/>
      <c r="J13315" s="238"/>
    </row>
    <row r="13316">
      <c r="C13316" s="82"/>
      <c r="E13316" s="84"/>
      <c r="F13316" s="84"/>
      <c r="G13316" s="84"/>
      <c r="I13316" s="237"/>
      <c r="J13316" s="238"/>
    </row>
    <row r="13317">
      <c r="C13317" s="82"/>
      <c r="E13317" s="84"/>
      <c r="F13317" s="84"/>
      <c r="G13317" s="84"/>
      <c r="I13317" s="237"/>
      <c r="J13317" s="238"/>
    </row>
    <row r="13318">
      <c r="C13318" s="82"/>
      <c r="E13318" s="84"/>
      <c r="F13318" s="84"/>
      <c r="G13318" s="84"/>
      <c r="I13318" s="237"/>
      <c r="J13318" s="238"/>
    </row>
    <row r="13319">
      <c r="C13319" s="82"/>
      <c r="E13319" s="84"/>
      <c r="F13319" s="84"/>
      <c r="G13319" s="84"/>
      <c r="I13319" s="237"/>
      <c r="J13319" s="238"/>
    </row>
    <row r="13320">
      <c r="C13320" s="82"/>
      <c r="E13320" s="84"/>
      <c r="F13320" s="84"/>
      <c r="G13320" s="84"/>
      <c r="I13320" s="237"/>
      <c r="J13320" s="238"/>
    </row>
    <row r="13321">
      <c r="C13321" s="82"/>
      <c r="E13321" s="84"/>
      <c r="F13321" s="84"/>
      <c r="G13321" s="84"/>
      <c r="I13321" s="237"/>
      <c r="J13321" s="238"/>
    </row>
    <row r="13322">
      <c r="C13322" s="82"/>
      <c r="E13322" s="84"/>
      <c r="F13322" s="84"/>
      <c r="G13322" s="84"/>
      <c r="I13322" s="237"/>
      <c r="J13322" s="238"/>
    </row>
    <row r="13323">
      <c r="C13323" s="82"/>
      <c r="E13323" s="84"/>
      <c r="F13323" s="84"/>
      <c r="G13323" s="84"/>
      <c r="I13323" s="237"/>
      <c r="J13323" s="238"/>
    </row>
    <row r="13324">
      <c r="C13324" s="82"/>
      <c r="E13324" s="84"/>
      <c r="F13324" s="84"/>
      <c r="G13324" s="84"/>
      <c r="I13324" s="237"/>
      <c r="J13324" s="238"/>
    </row>
    <row r="13325">
      <c r="C13325" s="82"/>
      <c r="E13325" s="84"/>
      <c r="F13325" s="84"/>
      <c r="G13325" s="84"/>
      <c r="I13325" s="237"/>
      <c r="J13325" s="238"/>
    </row>
    <row r="13326">
      <c r="C13326" s="82"/>
      <c r="E13326" s="84"/>
      <c r="F13326" s="84"/>
      <c r="G13326" s="84"/>
      <c r="I13326" s="237"/>
      <c r="J13326" s="238"/>
    </row>
    <row r="13327">
      <c r="C13327" s="82"/>
      <c r="E13327" s="84"/>
      <c r="F13327" s="84"/>
      <c r="G13327" s="84"/>
      <c r="I13327" s="237"/>
      <c r="J13327" s="238"/>
    </row>
    <row r="13328">
      <c r="C13328" s="82"/>
      <c r="E13328" s="84"/>
      <c r="F13328" s="84"/>
      <c r="G13328" s="84"/>
      <c r="I13328" s="237"/>
      <c r="J13328" s="238"/>
    </row>
    <row r="13329">
      <c r="C13329" s="82"/>
      <c r="E13329" s="84"/>
      <c r="F13329" s="84"/>
      <c r="G13329" s="84"/>
      <c r="I13329" s="237"/>
      <c r="J13329" s="238"/>
    </row>
    <row r="13330">
      <c r="C13330" s="82"/>
      <c r="E13330" s="84"/>
      <c r="F13330" s="84"/>
      <c r="G13330" s="84"/>
      <c r="I13330" s="237"/>
      <c r="J13330" s="238"/>
    </row>
    <row r="13331">
      <c r="C13331" s="82"/>
      <c r="E13331" s="84"/>
      <c r="F13331" s="84"/>
      <c r="G13331" s="84"/>
      <c r="I13331" s="237"/>
      <c r="J13331" s="238"/>
    </row>
    <row r="13332">
      <c r="C13332" s="82"/>
      <c r="E13332" s="84"/>
      <c r="F13332" s="84"/>
      <c r="G13332" s="84"/>
      <c r="I13332" s="237"/>
      <c r="J13332" s="238"/>
    </row>
    <row r="13333">
      <c r="C13333" s="82"/>
      <c r="E13333" s="84"/>
      <c r="F13333" s="84"/>
      <c r="G13333" s="84"/>
      <c r="I13333" s="237"/>
      <c r="J13333" s="238"/>
    </row>
    <row r="13334">
      <c r="C13334" s="82"/>
      <c r="E13334" s="84"/>
      <c r="F13334" s="84"/>
      <c r="G13334" s="84"/>
      <c r="I13334" s="237"/>
      <c r="J13334" s="238"/>
    </row>
    <row r="13335">
      <c r="C13335" s="82"/>
      <c r="E13335" s="84"/>
      <c r="F13335" s="84"/>
      <c r="G13335" s="84"/>
      <c r="I13335" s="237"/>
      <c r="J13335" s="238"/>
    </row>
    <row r="13336">
      <c r="C13336" s="82"/>
      <c r="E13336" s="84"/>
      <c r="F13336" s="84"/>
      <c r="G13336" s="84"/>
      <c r="I13336" s="237"/>
      <c r="J13336" s="238"/>
    </row>
    <row r="13337">
      <c r="C13337" s="82"/>
      <c r="E13337" s="84"/>
      <c r="F13337" s="84"/>
      <c r="G13337" s="84"/>
      <c r="I13337" s="237"/>
      <c r="J13337" s="238"/>
    </row>
    <row r="13338">
      <c r="C13338" s="82"/>
      <c r="E13338" s="84"/>
      <c r="F13338" s="84"/>
      <c r="G13338" s="84"/>
      <c r="I13338" s="237"/>
      <c r="J13338" s="238"/>
    </row>
    <row r="13339">
      <c r="C13339" s="82"/>
      <c r="E13339" s="84"/>
      <c r="F13339" s="84"/>
      <c r="G13339" s="84"/>
      <c r="I13339" s="237"/>
      <c r="J13339" s="238"/>
    </row>
    <row r="13340">
      <c r="C13340" s="82"/>
      <c r="E13340" s="84"/>
      <c r="F13340" s="84"/>
      <c r="G13340" s="84"/>
      <c r="I13340" s="237"/>
      <c r="J13340" s="238"/>
    </row>
    <row r="13341">
      <c r="C13341" s="82"/>
      <c r="E13341" s="84"/>
      <c r="F13341" s="84"/>
      <c r="G13341" s="84"/>
      <c r="I13341" s="237"/>
      <c r="J13341" s="238"/>
    </row>
    <row r="13342">
      <c r="C13342" s="82"/>
      <c r="E13342" s="84"/>
      <c r="F13342" s="84"/>
      <c r="G13342" s="84"/>
      <c r="I13342" s="237"/>
      <c r="J13342" s="238"/>
    </row>
    <row r="13343">
      <c r="C13343" s="82"/>
      <c r="E13343" s="84"/>
      <c r="F13343" s="84"/>
      <c r="G13343" s="84"/>
      <c r="I13343" s="237"/>
      <c r="J13343" s="238"/>
    </row>
    <row r="13344">
      <c r="C13344" s="82"/>
      <c r="E13344" s="84"/>
      <c r="F13344" s="84"/>
      <c r="G13344" s="84"/>
      <c r="I13344" s="237"/>
      <c r="J13344" s="238"/>
    </row>
    <row r="13345">
      <c r="C13345" s="82"/>
      <c r="E13345" s="84"/>
      <c r="F13345" s="84"/>
      <c r="G13345" s="84"/>
      <c r="I13345" s="237"/>
      <c r="J13345" s="238"/>
    </row>
    <row r="13346">
      <c r="C13346" s="82"/>
      <c r="E13346" s="84"/>
      <c r="F13346" s="84"/>
      <c r="G13346" s="84"/>
      <c r="I13346" s="237"/>
      <c r="J13346" s="238"/>
    </row>
    <row r="13347">
      <c r="C13347" s="82"/>
      <c r="E13347" s="84"/>
      <c r="F13347" s="84"/>
      <c r="G13347" s="84"/>
      <c r="I13347" s="237"/>
      <c r="J13347" s="238"/>
    </row>
    <row r="13348">
      <c r="C13348" s="82"/>
      <c r="E13348" s="84"/>
      <c r="F13348" s="84"/>
      <c r="G13348" s="84"/>
      <c r="I13348" s="237"/>
      <c r="J13348" s="238"/>
    </row>
    <row r="13349">
      <c r="C13349" s="82"/>
      <c r="E13349" s="84"/>
      <c r="F13349" s="84"/>
      <c r="G13349" s="84"/>
      <c r="I13349" s="237"/>
      <c r="J13349" s="238"/>
    </row>
    <row r="13350">
      <c r="C13350" s="82"/>
      <c r="E13350" s="84"/>
      <c r="F13350" s="84"/>
      <c r="G13350" s="84"/>
      <c r="I13350" s="237"/>
      <c r="J13350" s="238"/>
    </row>
    <row r="13351">
      <c r="C13351" s="82"/>
      <c r="E13351" s="84"/>
      <c r="F13351" s="84"/>
      <c r="G13351" s="84"/>
      <c r="I13351" s="237"/>
      <c r="J13351" s="238"/>
    </row>
    <row r="13352">
      <c r="C13352" s="82"/>
      <c r="E13352" s="84"/>
      <c r="F13352" s="84"/>
      <c r="G13352" s="84"/>
      <c r="I13352" s="237"/>
      <c r="J13352" s="238"/>
    </row>
    <row r="13353">
      <c r="C13353" s="82"/>
      <c r="E13353" s="84"/>
      <c r="F13353" s="84"/>
      <c r="G13353" s="84"/>
      <c r="I13353" s="237"/>
      <c r="J13353" s="238"/>
    </row>
    <row r="13354">
      <c r="C13354" s="82"/>
      <c r="E13354" s="84"/>
      <c r="F13354" s="84"/>
      <c r="G13354" s="84"/>
      <c r="I13354" s="237"/>
      <c r="J13354" s="238"/>
    </row>
    <row r="13355">
      <c r="C13355" s="82"/>
      <c r="E13355" s="84"/>
      <c r="F13355" s="84"/>
      <c r="G13355" s="84"/>
      <c r="I13355" s="237"/>
      <c r="J13355" s="238"/>
    </row>
    <row r="13356">
      <c r="C13356" s="82"/>
      <c r="E13356" s="84"/>
      <c r="F13356" s="84"/>
      <c r="G13356" s="84"/>
      <c r="I13356" s="237"/>
      <c r="J13356" s="238"/>
    </row>
    <row r="13357">
      <c r="C13357" s="82"/>
      <c r="E13357" s="84"/>
      <c r="F13357" s="84"/>
      <c r="G13357" s="84"/>
      <c r="I13357" s="237"/>
      <c r="J13357" s="238"/>
    </row>
    <row r="13358">
      <c r="C13358" s="82"/>
      <c r="E13358" s="84"/>
      <c r="F13358" s="84"/>
      <c r="G13358" s="84"/>
      <c r="I13358" s="237"/>
      <c r="J13358" s="238"/>
    </row>
    <row r="13359">
      <c r="C13359" s="82"/>
      <c r="E13359" s="84"/>
      <c r="F13359" s="84"/>
      <c r="G13359" s="84"/>
      <c r="I13359" s="237"/>
      <c r="J13359" s="238"/>
    </row>
    <row r="13360">
      <c r="C13360" s="82"/>
      <c r="E13360" s="84"/>
      <c r="F13360" s="84"/>
      <c r="G13360" s="84"/>
      <c r="I13360" s="237"/>
      <c r="J13360" s="238"/>
    </row>
    <row r="13361">
      <c r="C13361" s="82"/>
      <c r="E13361" s="84"/>
      <c r="F13361" s="84"/>
      <c r="G13361" s="84"/>
      <c r="I13361" s="237"/>
      <c r="J13361" s="238"/>
    </row>
    <row r="13362">
      <c r="C13362" s="82"/>
      <c r="E13362" s="84"/>
      <c r="F13362" s="84"/>
      <c r="G13362" s="84"/>
      <c r="I13362" s="237"/>
      <c r="J13362" s="238"/>
    </row>
    <row r="13363">
      <c r="C13363" s="82"/>
      <c r="E13363" s="84"/>
      <c r="F13363" s="84"/>
      <c r="G13363" s="84"/>
      <c r="I13363" s="237"/>
      <c r="J13363" s="238"/>
    </row>
    <row r="13364">
      <c r="C13364" s="82"/>
      <c r="E13364" s="84"/>
      <c r="F13364" s="84"/>
      <c r="G13364" s="84"/>
      <c r="I13364" s="237"/>
      <c r="J13364" s="238"/>
    </row>
    <row r="13365">
      <c r="C13365" s="82"/>
      <c r="E13365" s="84"/>
      <c r="F13365" s="84"/>
      <c r="G13365" s="84"/>
      <c r="I13365" s="237"/>
      <c r="J13365" s="238"/>
    </row>
    <row r="13366">
      <c r="C13366" s="82"/>
      <c r="E13366" s="84"/>
      <c r="F13366" s="84"/>
      <c r="G13366" s="84"/>
      <c r="I13366" s="237"/>
      <c r="J13366" s="238"/>
    </row>
    <row r="13367">
      <c r="C13367" s="82"/>
      <c r="E13367" s="84"/>
      <c r="F13367" s="84"/>
      <c r="G13367" s="84"/>
      <c r="I13367" s="237"/>
      <c r="J13367" s="238"/>
    </row>
    <row r="13368">
      <c r="C13368" s="82"/>
      <c r="E13368" s="84"/>
      <c r="F13368" s="84"/>
      <c r="G13368" s="84"/>
      <c r="I13368" s="237"/>
      <c r="J13368" s="238"/>
    </row>
    <row r="13369">
      <c r="C13369" s="82"/>
      <c r="E13369" s="84"/>
      <c r="F13369" s="84"/>
      <c r="G13369" s="84"/>
      <c r="I13369" s="237"/>
      <c r="J13369" s="238"/>
    </row>
    <row r="13370">
      <c r="C13370" s="82"/>
      <c r="E13370" s="84"/>
      <c r="F13370" s="84"/>
      <c r="G13370" s="84"/>
      <c r="I13370" s="237"/>
      <c r="J13370" s="238"/>
    </row>
    <row r="13371">
      <c r="C13371" s="82"/>
      <c r="E13371" s="84"/>
      <c r="F13371" s="84"/>
      <c r="G13371" s="84"/>
      <c r="I13371" s="237"/>
      <c r="J13371" s="238"/>
    </row>
    <row r="13372">
      <c r="C13372" s="82"/>
      <c r="E13372" s="84"/>
      <c r="F13372" s="84"/>
      <c r="G13372" s="84"/>
      <c r="I13372" s="237"/>
      <c r="J13372" s="238"/>
    </row>
    <row r="13373">
      <c r="C13373" s="82"/>
      <c r="E13373" s="84"/>
      <c r="F13373" s="84"/>
      <c r="G13373" s="84"/>
      <c r="I13373" s="237"/>
      <c r="J13373" s="238"/>
    </row>
    <row r="13374">
      <c r="C13374" s="82"/>
      <c r="E13374" s="84"/>
      <c r="F13374" s="84"/>
      <c r="G13374" s="84"/>
      <c r="I13374" s="237"/>
      <c r="J13374" s="238"/>
    </row>
    <row r="13375">
      <c r="C13375" s="82"/>
      <c r="E13375" s="84"/>
      <c r="F13375" s="84"/>
      <c r="G13375" s="84"/>
      <c r="I13375" s="237"/>
      <c r="J13375" s="238"/>
    </row>
    <row r="13376">
      <c r="C13376" s="82"/>
      <c r="E13376" s="84"/>
      <c r="F13376" s="84"/>
      <c r="G13376" s="84"/>
      <c r="I13376" s="237"/>
      <c r="J13376" s="238"/>
    </row>
    <row r="13377">
      <c r="C13377" s="82"/>
      <c r="E13377" s="84"/>
      <c r="F13377" s="84"/>
      <c r="G13377" s="84"/>
      <c r="I13377" s="237"/>
      <c r="J13377" s="238"/>
    </row>
    <row r="13378">
      <c r="C13378" s="82"/>
      <c r="E13378" s="84"/>
      <c r="F13378" s="84"/>
      <c r="G13378" s="84"/>
      <c r="I13378" s="237"/>
      <c r="J13378" s="238"/>
    </row>
    <row r="13379">
      <c r="C13379" s="82"/>
      <c r="E13379" s="84"/>
      <c r="F13379" s="84"/>
      <c r="G13379" s="84"/>
      <c r="I13379" s="237"/>
      <c r="J13379" s="238"/>
    </row>
    <row r="13380">
      <c r="C13380" s="82"/>
      <c r="E13380" s="84"/>
      <c r="F13380" s="84"/>
      <c r="G13380" s="84"/>
      <c r="I13380" s="237"/>
      <c r="J13380" s="238"/>
    </row>
    <row r="13381">
      <c r="C13381" s="82"/>
      <c r="E13381" s="84"/>
      <c r="F13381" s="84"/>
      <c r="G13381" s="84"/>
      <c r="I13381" s="237"/>
      <c r="J13381" s="238"/>
    </row>
    <row r="13382">
      <c r="C13382" s="82"/>
      <c r="E13382" s="84"/>
      <c r="F13382" s="84"/>
      <c r="G13382" s="84"/>
      <c r="I13382" s="237"/>
      <c r="J13382" s="238"/>
    </row>
    <row r="13383">
      <c r="C13383" s="82"/>
      <c r="E13383" s="84"/>
      <c r="F13383" s="84"/>
      <c r="G13383" s="84"/>
      <c r="I13383" s="237"/>
      <c r="J13383" s="238"/>
    </row>
    <row r="13384">
      <c r="C13384" s="82"/>
      <c r="E13384" s="84"/>
      <c r="F13384" s="84"/>
      <c r="G13384" s="84"/>
      <c r="I13384" s="237"/>
      <c r="J13384" s="238"/>
    </row>
    <row r="13385">
      <c r="C13385" s="82"/>
      <c r="E13385" s="84"/>
      <c r="F13385" s="84"/>
      <c r="G13385" s="84"/>
      <c r="I13385" s="237"/>
      <c r="J13385" s="238"/>
    </row>
    <row r="13386">
      <c r="C13386" s="82"/>
      <c r="E13386" s="84"/>
      <c r="F13386" s="84"/>
      <c r="G13386" s="84"/>
      <c r="I13386" s="237"/>
      <c r="J13386" s="238"/>
    </row>
    <row r="13387">
      <c r="C13387" s="82"/>
      <c r="E13387" s="84"/>
      <c r="F13387" s="84"/>
      <c r="G13387" s="84"/>
      <c r="I13387" s="237"/>
      <c r="J13387" s="238"/>
    </row>
    <row r="13388">
      <c r="C13388" s="82"/>
      <c r="E13388" s="84"/>
      <c r="F13388" s="84"/>
      <c r="G13388" s="84"/>
      <c r="I13388" s="237"/>
      <c r="J13388" s="238"/>
    </row>
    <row r="13389">
      <c r="C13389" s="82"/>
      <c r="E13389" s="84"/>
      <c r="F13389" s="84"/>
      <c r="G13389" s="84"/>
      <c r="I13389" s="237"/>
      <c r="J13389" s="238"/>
    </row>
    <row r="13390">
      <c r="C13390" s="82"/>
      <c r="E13390" s="84"/>
      <c r="F13390" s="84"/>
      <c r="G13390" s="84"/>
      <c r="I13390" s="237"/>
      <c r="J13390" s="238"/>
    </row>
    <row r="13391">
      <c r="C13391" s="82"/>
      <c r="E13391" s="84"/>
      <c r="F13391" s="84"/>
      <c r="G13391" s="84"/>
      <c r="I13391" s="237"/>
      <c r="J13391" s="238"/>
    </row>
    <row r="13392">
      <c r="C13392" s="82"/>
      <c r="E13392" s="84"/>
      <c r="F13392" s="84"/>
      <c r="G13392" s="84"/>
      <c r="I13392" s="237"/>
      <c r="J13392" s="238"/>
    </row>
    <row r="13393">
      <c r="C13393" s="82"/>
      <c r="E13393" s="84"/>
      <c r="F13393" s="84"/>
      <c r="G13393" s="84"/>
      <c r="I13393" s="237"/>
      <c r="J13393" s="238"/>
    </row>
    <row r="13394">
      <c r="C13394" s="82"/>
      <c r="E13394" s="84"/>
      <c r="F13394" s="84"/>
      <c r="G13394" s="84"/>
      <c r="I13394" s="237"/>
      <c r="J13394" s="238"/>
    </row>
    <row r="13395">
      <c r="C13395" s="82"/>
      <c r="E13395" s="84"/>
      <c r="F13395" s="84"/>
      <c r="G13395" s="84"/>
      <c r="I13395" s="237"/>
      <c r="J13395" s="238"/>
    </row>
    <row r="13396">
      <c r="C13396" s="82"/>
      <c r="E13396" s="84"/>
      <c r="F13396" s="84"/>
      <c r="G13396" s="84"/>
      <c r="I13396" s="237"/>
      <c r="J13396" s="238"/>
    </row>
    <row r="13397">
      <c r="C13397" s="82"/>
      <c r="E13397" s="84"/>
      <c r="F13397" s="84"/>
      <c r="G13397" s="84"/>
      <c r="I13397" s="237"/>
      <c r="J13397" s="238"/>
    </row>
    <row r="13398">
      <c r="C13398" s="82"/>
      <c r="E13398" s="84"/>
      <c r="F13398" s="84"/>
      <c r="G13398" s="84"/>
      <c r="I13398" s="237"/>
      <c r="J13398" s="238"/>
    </row>
    <row r="13399">
      <c r="C13399" s="82"/>
      <c r="E13399" s="84"/>
      <c r="F13399" s="84"/>
      <c r="G13399" s="84"/>
      <c r="I13399" s="237"/>
      <c r="J13399" s="238"/>
    </row>
    <row r="13400">
      <c r="C13400" s="82"/>
      <c r="E13400" s="84"/>
      <c r="F13400" s="84"/>
      <c r="G13400" s="84"/>
      <c r="I13400" s="237"/>
      <c r="J13400" s="238"/>
    </row>
    <row r="13401">
      <c r="C13401" s="82"/>
      <c r="E13401" s="84"/>
      <c r="F13401" s="84"/>
      <c r="G13401" s="84"/>
      <c r="I13401" s="237"/>
      <c r="J13401" s="238"/>
    </row>
    <row r="13402">
      <c r="C13402" s="82"/>
      <c r="E13402" s="84"/>
      <c r="F13402" s="84"/>
      <c r="G13402" s="84"/>
      <c r="I13402" s="237"/>
      <c r="J13402" s="238"/>
    </row>
    <row r="13403">
      <c r="C13403" s="82"/>
      <c r="E13403" s="84"/>
      <c r="F13403" s="84"/>
      <c r="G13403" s="84"/>
      <c r="I13403" s="237"/>
      <c r="J13403" s="238"/>
    </row>
    <row r="13404">
      <c r="C13404" s="82"/>
      <c r="E13404" s="84"/>
      <c r="F13404" s="84"/>
      <c r="G13404" s="84"/>
      <c r="I13404" s="237"/>
      <c r="J13404" s="238"/>
    </row>
    <row r="13405">
      <c r="C13405" s="82"/>
      <c r="E13405" s="84"/>
      <c r="F13405" s="84"/>
      <c r="G13405" s="84"/>
      <c r="I13405" s="237"/>
      <c r="J13405" s="238"/>
    </row>
    <row r="13406">
      <c r="C13406" s="82"/>
      <c r="E13406" s="84"/>
      <c r="F13406" s="84"/>
      <c r="G13406" s="84"/>
      <c r="I13406" s="237"/>
      <c r="J13406" s="238"/>
    </row>
    <row r="13407">
      <c r="C13407" s="82"/>
      <c r="E13407" s="84"/>
      <c r="F13407" s="84"/>
      <c r="G13407" s="84"/>
      <c r="I13407" s="237"/>
      <c r="J13407" s="238"/>
    </row>
    <row r="13408">
      <c r="C13408" s="82"/>
      <c r="E13408" s="84"/>
      <c r="F13408" s="84"/>
      <c r="G13408" s="84"/>
      <c r="I13408" s="237"/>
      <c r="J13408" s="238"/>
    </row>
    <row r="13409">
      <c r="C13409" s="82"/>
      <c r="E13409" s="84"/>
      <c r="F13409" s="84"/>
      <c r="G13409" s="84"/>
      <c r="I13409" s="237"/>
      <c r="J13409" s="238"/>
    </row>
    <row r="13410">
      <c r="C13410" s="82"/>
      <c r="E13410" s="84"/>
      <c r="F13410" s="84"/>
      <c r="G13410" s="84"/>
      <c r="I13410" s="237"/>
      <c r="J13410" s="238"/>
    </row>
    <row r="13411">
      <c r="C13411" s="82"/>
      <c r="E13411" s="84"/>
      <c r="F13411" s="84"/>
      <c r="G13411" s="84"/>
      <c r="I13411" s="237"/>
      <c r="J13411" s="238"/>
    </row>
    <row r="13412">
      <c r="C13412" s="82"/>
      <c r="E13412" s="84"/>
      <c r="F13412" s="84"/>
      <c r="G13412" s="84"/>
      <c r="I13412" s="237"/>
      <c r="J13412" s="238"/>
    </row>
    <row r="13413">
      <c r="C13413" s="82"/>
      <c r="E13413" s="84"/>
      <c r="F13413" s="84"/>
      <c r="G13413" s="84"/>
      <c r="I13413" s="237"/>
      <c r="J13413" s="238"/>
    </row>
    <row r="13414">
      <c r="C13414" s="82"/>
      <c r="E13414" s="84"/>
      <c r="F13414" s="84"/>
      <c r="G13414" s="84"/>
      <c r="I13414" s="237"/>
      <c r="J13414" s="238"/>
    </row>
    <row r="13415">
      <c r="C13415" s="82"/>
      <c r="E13415" s="84"/>
      <c r="F13415" s="84"/>
      <c r="G13415" s="84"/>
      <c r="I13415" s="237"/>
      <c r="J13415" s="238"/>
    </row>
    <row r="13416">
      <c r="C13416" s="82"/>
      <c r="E13416" s="84"/>
      <c r="F13416" s="84"/>
      <c r="G13416" s="84"/>
      <c r="I13416" s="237"/>
      <c r="J13416" s="238"/>
    </row>
    <row r="13417">
      <c r="C13417" s="82"/>
      <c r="E13417" s="84"/>
      <c r="F13417" s="84"/>
      <c r="G13417" s="84"/>
      <c r="I13417" s="237"/>
      <c r="J13417" s="238"/>
    </row>
    <row r="13418">
      <c r="C13418" s="82"/>
      <c r="E13418" s="84"/>
      <c r="F13418" s="84"/>
      <c r="G13418" s="84"/>
      <c r="I13418" s="237"/>
      <c r="J13418" s="238"/>
    </row>
    <row r="13419">
      <c r="C13419" s="82"/>
      <c r="E13419" s="84"/>
      <c r="F13419" s="84"/>
      <c r="G13419" s="84"/>
      <c r="I13419" s="237"/>
      <c r="J13419" s="238"/>
    </row>
    <row r="13420">
      <c r="C13420" s="82"/>
      <c r="E13420" s="84"/>
      <c r="F13420" s="84"/>
      <c r="G13420" s="84"/>
      <c r="I13420" s="237"/>
      <c r="J13420" s="238"/>
    </row>
    <row r="13421">
      <c r="C13421" s="82"/>
      <c r="E13421" s="84"/>
      <c r="F13421" s="84"/>
      <c r="G13421" s="84"/>
      <c r="I13421" s="237"/>
      <c r="J13421" s="238"/>
    </row>
    <row r="13422">
      <c r="C13422" s="82"/>
      <c r="E13422" s="84"/>
      <c r="F13422" s="84"/>
      <c r="G13422" s="84"/>
      <c r="I13422" s="237"/>
      <c r="J13422" s="238"/>
    </row>
    <row r="13423">
      <c r="C13423" s="82"/>
      <c r="E13423" s="84"/>
      <c r="F13423" s="84"/>
      <c r="G13423" s="84"/>
      <c r="I13423" s="237"/>
      <c r="J13423" s="238"/>
    </row>
    <row r="13424">
      <c r="C13424" s="82"/>
      <c r="E13424" s="84"/>
      <c r="F13424" s="84"/>
      <c r="G13424" s="84"/>
      <c r="I13424" s="237"/>
      <c r="J13424" s="238"/>
    </row>
    <row r="13425">
      <c r="C13425" s="82"/>
      <c r="E13425" s="84"/>
      <c r="F13425" s="84"/>
      <c r="G13425" s="84"/>
      <c r="I13425" s="237"/>
      <c r="J13425" s="238"/>
    </row>
    <row r="13426">
      <c r="C13426" s="82"/>
      <c r="E13426" s="84"/>
      <c r="F13426" s="84"/>
      <c r="G13426" s="84"/>
      <c r="I13426" s="237"/>
      <c r="J13426" s="238"/>
    </row>
    <row r="13427">
      <c r="C13427" s="82"/>
      <c r="E13427" s="84"/>
      <c r="F13427" s="84"/>
      <c r="G13427" s="84"/>
      <c r="I13427" s="237"/>
      <c r="J13427" s="238"/>
    </row>
    <row r="13428">
      <c r="C13428" s="82"/>
      <c r="E13428" s="84"/>
      <c r="F13428" s="84"/>
      <c r="G13428" s="84"/>
      <c r="I13428" s="237"/>
      <c r="J13428" s="238"/>
    </row>
    <row r="13429">
      <c r="C13429" s="82"/>
      <c r="E13429" s="84"/>
      <c r="F13429" s="84"/>
      <c r="G13429" s="84"/>
      <c r="I13429" s="237"/>
      <c r="J13429" s="238"/>
    </row>
    <row r="13430">
      <c r="C13430" s="82"/>
      <c r="E13430" s="84"/>
      <c r="F13430" s="84"/>
      <c r="G13430" s="84"/>
      <c r="I13430" s="237"/>
      <c r="J13430" s="238"/>
    </row>
    <row r="13431">
      <c r="C13431" s="82"/>
      <c r="E13431" s="84"/>
      <c r="F13431" s="84"/>
      <c r="G13431" s="84"/>
      <c r="I13431" s="237"/>
      <c r="J13431" s="238"/>
    </row>
    <row r="13432">
      <c r="C13432" s="82"/>
      <c r="E13432" s="84"/>
      <c r="F13432" s="84"/>
      <c r="G13432" s="84"/>
      <c r="I13432" s="237"/>
      <c r="J13432" s="238"/>
    </row>
    <row r="13433">
      <c r="C13433" s="82"/>
      <c r="E13433" s="84"/>
      <c r="F13433" s="84"/>
      <c r="G13433" s="84"/>
      <c r="I13433" s="237"/>
      <c r="J13433" s="238"/>
    </row>
    <row r="13434">
      <c r="C13434" s="82"/>
      <c r="E13434" s="84"/>
      <c r="F13434" s="84"/>
      <c r="G13434" s="84"/>
      <c r="I13434" s="237"/>
      <c r="J13434" s="238"/>
    </row>
    <row r="13435">
      <c r="C13435" s="82"/>
      <c r="E13435" s="84"/>
      <c r="F13435" s="84"/>
      <c r="G13435" s="84"/>
      <c r="I13435" s="237"/>
      <c r="J13435" s="238"/>
    </row>
    <row r="13436">
      <c r="C13436" s="82"/>
      <c r="E13436" s="84"/>
      <c r="F13436" s="84"/>
      <c r="G13436" s="84"/>
      <c r="I13436" s="237"/>
      <c r="J13436" s="238"/>
    </row>
    <row r="13437">
      <c r="C13437" s="82"/>
      <c r="E13437" s="84"/>
      <c r="F13437" s="84"/>
      <c r="G13437" s="84"/>
      <c r="I13437" s="237"/>
      <c r="J13437" s="238"/>
    </row>
    <row r="13438">
      <c r="C13438" s="82"/>
      <c r="E13438" s="84"/>
      <c r="F13438" s="84"/>
      <c r="G13438" s="84"/>
      <c r="I13438" s="237"/>
      <c r="J13438" s="238"/>
    </row>
    <row r="13439">
      <c r="C13439" s="82"/>
      <c r="E13439" s="84"/>
      <c r="F13439" s="84"/>
      <c r="G13439" s="84"/>
      <c r="I13439" s="237"/>
      <c r="J13439" s="238"/>
    </row>
    <row r="13440">
      <c r="C13440" s="82"/>
      <c r="E13440" s="84"/>
      <c r="F13440" s="84"/>
      <c r="G13440" s="84"/>
      <c r="I13440" s="237"/>
      <c r="J13440" s="238"/>
    </row>
    <row r="13441">
      <c r="C13441" s="82"/>
      <c r="E13441" s="84"/>
      <c r="F13441" s="84"/>
      <c r="G13441" s="84"/>
      <c r="I13441" s="237"/>
      <c r="J13441" s="238"/>
    </row>
    <row r="13442">
      <c r="C13442" s="82"/>
      <c r="E13442" s="84"/>
      <c r="F13442" s="84"/>
      <c r="G13442" s="84"/>
      <c r="I13442" s="237"/>
      <c r="J13442" s="238"/>
    </row>
    <row r="13443">
      <c r="C13443" s="82"/>
      <c r="E13443" s="84"/>
      <c r="F13443" s="84"/>
      <c r="G13443" s="84"/>
      <c r="I13443" s="237"/>
      <c r="J13443" s="238"/>
    </row>
    <row r="13444">
      <c r="C13444" s="82"/>
      <c r="E13444" s="84"/>
      <c r="F13444" s="84"/>
      <c r="G13444" s="84"/>
      <c r="I13444" s="237"/>
      <c r="J13444" s="238"/>
    </row>
    <row r="13445">
      <c r="C13445" s="82"/>
      <c r="E13445" s="84"/>
      <c r="F13445" s="84"/>
      <c r="G13445" s="84"/>
      <c r="I13445" s="237"/>
      <c r="J13445" s="238"/>
    </row>
    <row r="13446">
      <c r="C13446" s="82"/>
      <c r="E13446" s="84"/>
      <c r="F13446" s="84"/>
      <c r="G13446" s="84"/>
      <c r="I13446" s="237"/>
      <c r="J13446" s="238"/>
    </row>
    <row r="13447">
      <c r="C13447" s="82"/>
      <c r="E13447" s="84"/>
      <c r="F13447" s="84"/>
      <c r="G13447" s="84"/>
      <c r="I13447" s="237"/>
      <c r="J13447" s="238"/>
    </row>
    <row r="13448">
      <c r="C13448" s="82"/>
      <c r="E13448" s="84"/>
      <c r="F13448" s="84"/>
      <c r="G13448" s="84"/>
      <c r="I13448" s="237"/>
      <c r="J13448" s="238"/>
    </row>
    <row r="13449">
      <c r="C13449" s="82"/>
      <c r="E13449" s="84"/>
      <c r="F13449" s="84"/>
      <c r="G13449" s="84"/>
      <c r="I13449" s="237"/>
      <c r="J13449" s="238"/>
    </row>
    <row r="13450">
      <c r="C13450" s="82"/>
      <c r="E13450" s="84"/>
      <c r="F13450" s="84"/>
      <c r="G13450" s="84"/>
      <c r="I13450" s="237"/>
      <c r="J13450" s="238"/>
    </row>
    <row r="13451">
      <c r="C13451" s="82"/>
      <c r="E13451" s="84"/>
      <c r="F13451" s="84"/>
      <c r="G13451" s="84"/>
      <c r="I13451" s="237"/>
      <c r="J13451" s="238"/>
    </row>
    <row r="13452">
      <c r="C13452" s="82"/>
      <c r="E13452" s="84"/>
      <c r="F13452" s="84"/>
      <c r="G13452" s="84"/>
      <c r="I13452" s="237"/>
      <c r="J13452" s="238"/>
    </row>
    <row r="13453">
      <c r="C13453" s="82"/>
      <c r="E13453" s="84"/>
      <c r="F13453" s="84"/>
      <c r="G13453" s="84"/>
      <c r="I13453" s="237"/>
      <c r="J13453" s="238"/>
    </row>
    <row r="13454">
      <c r="C13454" s="82"/>
      <c r="E13454" s="84"/>
      <c r="F13454" s="84"/>
      <c r="G13454" s="84"/>
      <c r="I13454" s="237"/>
      <c r="J13454" s="238"/>
    </row>
    <row r="13455">
      <c r="C13455" s="82"/>
      <c r="E13455" s="84"/>
      <c r="F13455" s="84"/>
      <c r="G13455" s="84"/>
      <c r="I13455" s="237"/>
      <c r="J13455" s="238"/>
    </row>
    <row r="13456">
      <c r="C13456" s="82"/>
      <c r="E13456" s="84"/>
      <c r="F13456" s="84"/>
      <c r="G13456" s="84"/>
      <c r="I13456" s="237"/>
      <c r="J13456" s="238"/>
    </row>
    <row r="13457">
      <c r="C13457" s="82"/>
      <c r="E13457" s="84"/>
      <c r="F13457" s="84"/>
      <c r="G13457" s="84"/>
      <c r="I13457" s="237"/>
      <c r="J13457" s="238"/>
    </row>
    <row r="13458">
      <c r="C13458" s="82"/>
      <c r="E13458" s="84"/>
      <c r="F13458" s="84"/>
      <c r="G13458" s="84"/>
      <c r="I13458" s="237"/>
      <c r="J13458" s="238"/>
    </row>
    <row r="13459">
      <c r="C13459" s="82"/>
      <c r="E13459" s="84"/>
      <c r="F13459" s="84"/>
      <c r="G13459" s="84"/>
      <c r="I13459" s="237"/>
      <c r="J13459" s="238"/>
    </row>
    <row r="13460">
      <c r="C13460" s="82"/>
      <c r="E13460" s="84"/>
      <c r="F13460" s="84"/>
      <c r="G13460" s="84"/>
      <c r="I13460" s="237"/>
      <c r="J13460" s="238"/>
    </row>
    <row r="13461">
      <c r="C13461" s="82"/>
      <c r="E13461" s="84"/>
      <c r="F13461" s="84"/>
      <c r="G13461" s="84"/>
      <c r="I13461" s="237"/>
      <c r="J13461" s="238"/>
    </row>
    <row r="13462">
      <c r="C13462" s="82"/>
      <c r="E13462" s="84"/>
      <c r="F13462" s="84"/>
      <c r="G13462" s="84"/>
      <c r="I13462" s="237"/>
      <c r="J13462" s="238"/>
    </row>
    <row r="13463">
      <c r="C13463" s="82"/>
      <c r="E13463" s="84"/>
      <c r="F13463" s="84"/>
      <c r="G13463" s="84"/>
      <c r="I13463" s="237"/>
      <c r="J13463" s="238"/>
    </row>
    <row r="13464">
      <c r="C13464" s="82"/>
      <c r="E13464" s="84"/>
      <c r="F13464" s="84"/>
      <c r="G13464" s="84"/>
      <c r="I13464" s="237"/>
      <c r="J13464" s="238"/>
    </row>
    <row r="13465">
      <c r="C13465" s="82"/>
      <c r="E13465" s="84"/>
      <c r="F13465" s="84"/>
      <c r="G13465" s="84"/>
      <c r="I13465" s="237"/>
      <c r="J13465" s="238"/>
    </row>
    <row r="13466">
      <c r="C13466" s="82"/>
      <c r="E13466" s="84"/>
      <c r="F13466" s="84"/>
      <c r="G13466" s="84"/>
      <c r="I13466" s="237"/>
      <c r="J13466" s="238"/>
    </row>
    <row r="13467">
      <c r="C13467" s="82"/>
      <c r="E13467" s="84"/>
      <c r="F13467" s="84"/>
      <c r="G13467" s="84"/>
      <c r="I13467" s="237"/>
      <c r="J13467" s="238"/>
    </row>
    <row r="13468">
      <c r="C13468" s="82"/>
      <c r="E13468" s="84"/>
      <c r="F13468" s="84"/>
      <c r="G13468" s="84"/>
      <c r="I13468" s="237"/>
      <c r="J13468" s="238"/>
    </row>
    <row r="13469">
      <c r="C13469" s="82"/>
      <c r="E13469" s="84"/>
      <c r="F13469" s="84"/>
      <c r="G13469" s="84"/>
      <c r="I13469" s="237"/>
      <c r="J13469" s="238"/>
    </row>
    <row r="13470">
      <c r="C13470" s="82"/>
      <c r="E13470" s="84"/>
      <c r="F13470" s="84"/>
      <c r="G13470" s="84"/>
      <c r="I13470" s="237"/>
      <c r="J13470" s="238"/>
    </row>
    <row r="13471">
      <c r="C13471" s="82"/>
      <c r="E13471" s="84"/>
      <c r="F13471" s="84"/>
      <c r="G13471" s="84"/>
      <c r="I13471" s="237"/>
      <c r="J13471" s="238"/>
    </row>
    <row r="13472">
      <c r="C13472" s="82"/>
      <c r="E13472" s="84"/>
      <c r="F13472" s="84"/>
      <c r="G13472" s="84"/>
      <c r="I13472" s="237"/>
      <c r="J13472" s="238"/>
    </row>
    <row r="13473">
      <c r="C13473" s="82"/>
      <c r="E13473" s="84"/>
      <c r="F13473" s="84"/>
      <c r="G13473" s="84"/>
      <c r="I13473" s="237"/>
      <c r="J13473" s="238"/>
    </row>
    <row r="13474">
      <c r="C13474" s="82"/>
      <c r="E13474" s="84"/>
      <c r="F13474" s="84"/>
      <c r="G13474" s="84"/>
      <c r="I13474" s="237"/>
      <c r="J13474" s="238"/>
    </row>
    <row r="13475">
      <c r="C13475" s="82"/>
      <c r="E13475" s="84"/>
      <c r="F13475" s="84"/>
      <c r="G13475" s="84"/>
      <c r="I13475" s="237"/>
      <c r="J13475" s="238"/>
    </row>
    <row r="13476">
      <c r="C13476" s="82"/>
      <c r="E13476" s="84"/>
      <c r="F13476" s="84"/>
      <c r="G13476" s="84"/>
      <c r="I13476" s="237"/>
      <c r="J13476" s="238"/>
    </row>
    <row r="13477">
      <c r="C13477" s="82"/>
      <c r="E13477" s="84"/>
      <c r="F13477" s="84"/>
      <c r="G13477" s="84"/>
      <c r="I13477" s="237"/>
      <c r="J13477" s="238"/>
    </row>
    <row r="13478">
      <c r="C13478" s="82"/>
      <c r="E13478" s="84"/>
      <c r="F13478" s="84"/>
      <c r="G13478" s="84"/>
      <c r="I13478" s="237"/>
      <c r="J13478" s="238"/>
    </row>
    <row r="13479">
      <c r="C13479" s="82"/>
      <c r="E13479" s="84"/>
      <c r="F13479" s="84"/>
      <c r="G13479" s="84"/>
      <c r="I13479" s="237"/>
      <c r="J13479" s="238"/>
    </row>
    <row r="13480">
      <c r="C13480" s="82"/>
      <c r="E13480" s="84"/>
      <c r="F13480" s="84"/>
      <c r="G13480" s="84"/>
      <c r="I13480" s="237"/>
      <c r="J13480" s="238"/>
    </row>
    <row r="13481">
      <c r="C13481" s="82"/>
      <c r="E13481" s="84"/>
      <c r="F13481" s="84"/>
      <c r="G13481" s="84"/>
      <c r="I13481" s="237"/>
      <c r="J13481" s="238"/>
    </row>
    <row r="13482">
      <c r="C13482" s="82"/>
      <c r="E13482" s="84"/>
      <c r="F13482" s="84"/>
      <c r="G13482" s="84"/>
      <c r="I13482" s="237"/>
      <c r="J13482" s="238"/>
    </row>
    <row r="13483">
      <c r="C13483" s="82"/>
      <c r="E13483" s="84"/>
      <c r="F13483" s="84"/>
      <c r="G13483" s="84"/>
      <c r="I13483" s="237"/>
      <c r="J13483" s="238"/>
    </row>
    <row r="13484">
      <c r="C13484" s="82"/>
      <c r="E13484" s="84"/>
      <c r="F13484" s="84"/>
      <c r="G13484" s="84"/>
      <c r="I13484" s="237"/>
      <c r="J13484" s="238"/>
    </row>
    <row r="13485">
      <c r="C13485" s="82"/>
      <c r="E13485" s="84"/>
      <c r="F13485" s="84"/>
      <c r="G13485" s="84"/>
      <c r="I13485" s="237"/>
      <c r="J13485" s="238"/>
    </row>
    <row r="13486">
      <c r="C13486" s="82"/>
      <c r="E13486" s="84"/>
      <c r="F13486" s="84"/>
      <c r="G13486" s="84"/>
      <c r="I13486" s="237"/>
      <c r="J13486" s="238"/>
    </row>
    <row r="13487">
      <c r="C13487" s="82"/>
      <c r="E13487" s="84"/>
      <c r="F13487" s="84"/>
      <c r="G13487" s="84"/>
      <c r="I13487" s="237"/>
      <c r="J13487" s="238"/>
    </row>
    <row r="13488">
      <c r="C13488" s="82"/>
      <c r="E13488" s="84"/>
      <c r="F13488" s="84"/>
      <c r="G13488" s="84"/>
      <c r="I13488" s="237"/>
      <c r="J13488" s="238"/>
    </row>
    <row r="13489">
      <c r="C13489" s="82"/>
      <c r="E13489" s="84"/>
      <c r="F13489" s="84"/>
      <c r="G13489" s="84"/>
      <c r="I13489" s="237"/>
      <c r="J13489" s="238"/>
    </row>
    <row r="13490">
      <c r="C13490" s="82"/>
      <c r="E13490" s="84"/>
      <c r="F13490" s="84"/>
      <c r="G13490" s="84"/>
      <c r="I13490" s="237"/>
      <c r="J13490" s="238"/>
    </row>
    <row r="13491">
      <c r="C13491" s="82"/>
      <c r="E13491" s="84"/>
      <c r="F13491" s="84"/>
      <c r="G13491" s="84"/>
      <c r="I13491" s="237"/>
      <c r="J13491" s="238"/>
    </row>
    <row r="13492">
      <c r="C13492" s="82"/>
      <c r="E13492" s="84"/>
      <c r="F13492" s="84"/>
      <c r="G13492" s="84"/>
      <c r="I13492" s="237"/>
      <c r="J13492" s="238"/>
    </row>
    <row r="13493">
      <c r="C13493" s="82"/>
      <c r="E13493" s="84"/>
      <c r="F13493" s="84"/>
      <c r="G13493" s="84"/>
      <c r="I13493" s="237"/>
      <c r="J13493" s="238"/>
    </row>
    <row r="13494">
      <c r="C13494" s="82"/>
      <c r="E13494" s="84"/>
      <c r="F13494" s="84"/>
      <c r="G13494" s="84"/>
      <c r="I13494" s="237"/>
      <c r="J13494" s="238"/>
    </row>
    <row r="13495">
      <c r="C13495" s="82"/>
      <c r="E13495" s="84"/>
      <c r="F13495" s="84"/>
      <c r="G13495" s="84"/>
      <c r="I13495" s="237"/>
      <c r="J13495" s="238"/>
    </row>
    <row r="13496">
      <c r="C13496" s="82"/>
      <c r="E13496" s="84"/>
      <c r="F13496" s="84"/>
      <c r="G13496" s="84"/>
      <c r="I13496" s="237"/>
      <c r="J13496" s="238"/>
    </row>
    <row r="13497">
      <c r="C13497" s="82"/>
      <c r="E13497" s="84"/>
      <c r="F13497" s="84"/>
      <c r="G13497" s="84"/>
      <c r="I13497" s="237"/>
      <c r="J13497" s="238"/>
    </row>
    <row r="13498">
      <c r="C13498" s="82"/>
      <c r="E13498" s="84"/>
      <c r="F13498" s="84"/>
      <c r="G13498" s="84"/>
      <c r="I13498" s="237"/>
      <c r="J13498" s="238"/>
    </row>
    <row r="13499">
      <c r="C13499" s="82"/>
      <c r="E13499" s="84"/>
      <c r="F13499" s="84"/>
      <c r="G13499" s="84"/>
      <c r="I13499" s="237"/>
      <c r="J13499" s="238"/>
    </row>
    <row r="13500">
      <c r="C13500" s="82"/>
      <c r="E13500" s="84"/>
      <c r="F13500" s="84"/>
      <c r="G13500" s="84"/>
      <c r="I13500" s="237"/>
      <c r="J13500" s="238"/>
    </row>
    <row r="13501">
      <c r="C13501" s="82"/>
      <c r="E13501" s="84"/>
      <c r="F13501" s="84"/>
      <c r="G13501" s="84"/>
      <c r="I13501" s="237"/>
      <c r="J13501" s="238"/>
    </row>
    <row r="13502">
      <c r="C13502" s="82"/>
      <c r="E13502" s="84"/>
      <c r="F13502" s="84"/>
      <c r="G13502" s="84"/>
      <c r="I13502" s="237"/>
      <c r="J13502" s="238"/>
    </row>
    <row r="13503">
      <c r="C13503" s="82"/>
      <c r="E13503" s="84"/>
      <c r="F13503" s="84"/>
      <c r="G13503" s="84"/>
      <c r="I13503" s="237"/>
      <c r="J13503" s="238"/>
    </row>
    <row r="13504">
      <c r="C13504" s="82"/>
      <c r="E13504" s="84"/>
      <c r="F13504" s="84"/>
      <c r="G13504" s="84"/>
      <c r="I13504" s="237"/>
      <c r="J13504" s="238"/>
    </row>
    <row r="13505">
      <c r="C13505" s="82"/>
      <c r="E13505" s="84"/>
      <c r="F13505" s="84"/>
      <c r="G13505" s="84"/>
      <c r="I13505" s="237"/>
      <c r="J13505" s="238"/>
    </row>
    <row r="13506">
      <c r="C13506" s="82"/>
      <c r="E13506" s="84"/>
      <c r="F13506" s="84"/>
      <c r="G13506" s="84"/>
      <c r="I13506" s="237"/>
      <c r="J13506" s="238"/>
    </row>
    <row r="13507">
      <c r="C13507" s="82"/>
      <c r="E13507" s="84"/>
      <c r="F13507" s="84"/>
      <c r="G13507" s="84"/>
      <c r="I13507" s="237"/>
      <c r="J13507" s="238"/>
    </row>
    <row r="13508">
      <c r="C13508" s="82"/>
      <c r="E13508" s="84"/>
      <c r="F13508" s="84"/>
      <c r="G13508" s="84"/>
      <c r="I13508" s="237"/>
      <c r="J13508" s="238"/>
    </row>
    <row r="13509">
      <c r="C13509" s="82"/>
      <c r="E13509" s="84"/>
      <c r="F13509" s="84"/>
      <c r="G13509" s="84"/>
      <c r="I13509" s="237"/>
      <c r="J13509" s="238"/>
    </row>
    <row r="13510">
      <c r="C13510" s="82"/>
      <c r="E13510" s="84"/>
      <c r="F13510" s="84"/>
      <c r="G13510" s="84"/>
      <c r="I13510" s="237"/>
      <c r="J13510" s="238"/>
    </row>
    <row r="13511">
      <c r="C13511" s="82"/>
      <c r="E13511" s="84"/>
      <c r="F13511" s="84"/>
      <c r="G13511" s="84"/>
      <c r="I13511" s="237"/>
      <c r="J13511" s="238"/>
    </row>
    <row r="13512">
      <c r="C13512" s="82"/>
      <c r="E13512" s="84"/>
      <c r="F13512" s="84"/>
      <c r="G13512" s="84"/>
      <c r="I13512" s="237"/>
      <c r="J13512" s="238"/>
    </row>
    <row r="13513">
      <c r="C13513" s="82"/>
      <c r="E13513" s="84"/>
      <c r="F13513" s="84"/>
      <c r="G13513" s="84"/>
      <c r="I13513" s="237"/>
      <c r="J13513" s="238"/>
    </row>
    <row r="13514">
      <c r="C13514" s="82"/>
      <c r="E13514" s="84"/>
      <c r="F13514" s="84"/>
      <c r="G13514" s="84"/>
      <c r="I13514" s="237"/>
      <c r="J13514" s="238"/>
    </row>
    <row r="13515">
      <c r="C13515" s="82"/>
      <c r="E13515" s="84"/>
      <c r="F13515" s="84"/>
      <c r="G13515" s="84"/>
      <c r="I13515" s="237"/>
      <c r="J13515" s="238"/>
    </row>
    <row r="13516">
      <c r="C13516" s="82"/>
      <c r="E13516" s="84"/>
      <c r="F13516" s="84"/>
      <c r="G13516" s="84"/>
      <c r="I13516" s="237"/>
      <c r="J13516" s="238"/>
    </row>
    <row r="13517">
      <c r="C13517" s="82"/>
      <c r="E13517" s="84"/>
      <c r="F13517" s="84"/>
      <c r="G13517" s="84"/>
      <c r="I13517" s="237"/>
      <c r="J13517" s="238"/>
    </row>
    <row r="13518">
      <c r="C13518" s="82"/>
      <c r="E13518" s="84"/>
      <c r="F13518" s="84"/>
      <c r="G13518" s="84"/>
      <c r="I13518" s="237"/>
      <c r="J13518" s="238"/>
    </row>
    <row r="13519">
      <c r="C13519" s="82"/>
      <c r="E13519" s="84"/>
      <c r="F13519" s="84"/>
      <c r="G13519" s="84"/>
      <c r="I13519" s="237"/>
      <c r="J13519" s="238"/>
    </row>
    <row r="13520">
      <c r="C13520" s="82"/>
      <c r="E13520" s="84"/>
      <c r="F13520" s="84"/>
      <c r="G13520" s="84"/>
      <c r="I13520" s="237"/>
      <c r="J13520" s="238"/>
    </row>
    <row r="13521">
      <c r="C13521" s="82"/>
      <c r="E13521" s="84"/>
      <c r="F13521" s="84"/>
      <c r="G13521" s="84"/>
      <c r="I13521" s="237"/>
      <c r="J13521" s="238"/>
    </row>
    <row r="13522">
      <c r="C13522" s="82"/>
      <c r="E13522" s="84"/>
      <c r="F13522" s="84"/>
      <c r="G13522" s="84"/>
      <c r="I13522" s="237"/>
      <c r="J13522" s="238"/>
    </row>
    <row r="13523">
      <c r="C13523" s="82"/>
      <c r="E13523" s="84"/>
      <c r="F13523" s="84"/>
      <c r="G13523" s="84"/>
      <c r="I13523" s="237"/>
      <c r="J13523" s="238"/>
    </row>
    <row r="13524">
      <c r="C13524" s="82"/>
      <c r="E13524" s="84"/>
      <c r="F13524" s="84"/>
      <c r="G13524" s="84"/>
      <c r="I13524" s="237"/>
      <c r="J13524" s="238"/>
    </row>
    <row r="13525">
      <c r="C13525" s="82"/>
      <c r="E13525" s="84"/>
      <c r="F13525" s="84"/>
      <c r="G13525" s="84"/>
      <c r="I13525" s="237"/>
      <c r="J13525" s="238"/>
    </row>
    <row r="13526">
      <c r="C13526" s="82"/>
      <c r="E13526" s="84"/>
      <c r="F13526" s="84"/>
      <c r="G13526" s="84"/>
      <c r="I13526" s="237"/>
      <c r="J13526" s="238"/>
    </row>
    <row r="13527">
      <c r="C13527" s="82"/>
      <c r="E13527" s="84"/>
      <c r="F13527" s="84"/>
      <c r="G13527" s="84"/>
      <c r="I13527" s="237"/>
      <c r="J13527" s="238"/>
    </row>
    <row r="13528">
      <c r="C13528" s="82"/>
      <c r="E13528" s="84"/>
      <c r="F13528" s="84"/>
      <c r="G13528" s="84"/>
      <c r="I13528" s="237"/>
      <c r="J13528" s="238"/>
    </row>
    <row r="13529">
      <c r="C13529" s="82"/>
      <c r="E13529" s="84"/>
      <c r="F13529" s="84"/>
      <c r="G13529" s="84"/>
      <c r="I13529" s="237"/>
      <c r="J13529" s="238"/>
    </row>
    <row r="13530">
      <c r="C13530" s="82"/>
      <c r="E13530" s="84"/>
      <c r="F13530" s="84"/>
      <c r="G13530" s="84"/>
      <c r="I13530" s="237"/>
      <c r="J13530" s="238"/>
    </row>
    <row r="13531">
      <c r="C13531" s="82"/>
      <c r="E13531" s="84"/>
      <c r="F13531" s="84"/>
      <c r="G13531" s="84"/>
      <c r="I13531" s="237"/>
      <c r="J13531" s="238"/>
    </row>
    <row r="13532">
      <c r="C13532" s="82"/>
      <c r="E13532" s="84"/>
      <c r="F13532" s="84"/>
      <c r="G13532" s="84"/>
      <c r="I13532" s="237"/>
      <c r="J13532" s="238"/>
    </row>
    <row r="13533">
      <c r="C13533" s="82"/>
      <c r="E13533" s="84"/>
      <c r="F13533" s="84"/>
      <c r="G13533" s="84"/>
      <c r="I13533" s="237"/>
      <c r="J13533" s="238"/>
    </row>
    <row r="13534">
      <c r="C13534" s="82"/>
      <c r="E13534" s="84"/>
      <c r="F13534" s="84"/>
      <c r="G13534" s="84"/>
      <c r="I13534" s="237"/>
      <c r="J13534" s="238"/>
    </row>
    <row r="13535">
      <c r="C13535" s="82"/>
      <c r="E13535" s="84"/>
      <c r="F13535" s="84"/>
      <c r="G13535" s="84"/>
      <c r="I13535" s="237"/>
      <c r="J13535" s="238"/>
    </row>
    <row r="13536">
      <c r="C13536" s="82"/>
      <c r="E13536" s="84"/>
      <c r="F13536" s="84"/>
      <c r="G13536" s="84"/>
      <c r="I13536" s="237"/>
      <c r="J13536" s="238"/>
    </row>
    <row r="13537">
      <c r="C13537" s="82"/>
      <c r="E13537" s="84"/>
      <c r="F13537" s="84"/>
      <c r="G13537" s="84"/>
      <c r="I13537" s="237"/>
      <c r="J13537" s="238"/>
    </row>
    <row r="13538">
      <c r="C13538" s="82"/>
      <c r="E13538" s="84"/>
      <c r="F13538" s="84"/>
      <c r="G13538" s="84"/>
      <c r="I13538" s="237"/>
      <c r="J13538" s="238"/>
    </row>
    <row r="13539">
      <c r="C13539" s="82"/>
      <c r="E13539" s="84"/>
      <c r="F13539" s="84"/>
      <c r="G13539" s="84"/>
      <c r="I13539" s="237"/>
      <c r="J13539" s="238"/>
    </row>
    <row r="13540">
      <c r="C13540" s="82"/>
      <c r="E13540" s="84"/>
      <c r="F13540" s="84"/>
      <c r="G13540" s="84"/>
      <c r="I13540" s="237"/>
      <c r="J13540" s="238"/>
    </row>
    <row r="13541">
      <c r="C13541" s="82"/>
      <c r="E13541" s="84"/>
      <c r="F13541" s="84"/>
      <c r="G13541" s="84"/>
      <c r="I13541" s="237"/>
      <c r="J13541" s="238"/>
    </row>
    <row r="13542">
      <c r="C13542" s="82"/>
      <c r="E13542" s="84"/>
      <c r="F13542" s="84"/>
      <c r="G13542" s="84"/>
      <c r="I13542" s="237"/>
      <c r="J13542" s="238"/>
    </row>
    <row r="13543">
      <c r="C13543" s="82"/>
      <c r="E13543" s="84"/>
      <c r="F13543" s="84"/>
      <c r="G13543" s="84"/>
      <c r="I13543" s="237"/>
      <c r="J13543" s="238"/>
    </row>
    <row r="13544">
      <c r="C13544" s="82"/>
      <c r="E13544" s="84"/>
      <c r="F13544" s="84"/>
      <c r="G13544" s="84"/>
      <c r="I13544" s="237"/>
      <c r="J13544" s="238"/>
    </row>
    <row r="13545">
      <c r="C13545" s="82"/>
      <c r="E13545" s="84"/>
      <c r="F13545" s="84"/>
      <c r="G13545" s="84"/>
      <c r="I13545" s="237"/>
      <c r="J13545" s="238"/>
    </row>
    <row r="13546">
      <c r="C13546" s="82"/>
      <c r="E13546" s="84"/>
      <c r="F13546" s="84"/>
      <c r="G13546" s="84"/>
      <c r="I13546" s="237"/>
      <c r="J13546" s="238"/>
    </row>
    <row r="13547">
      <c r="C13547" s="82"/>
      <c r="E13547" s="84"/>
      <c r="F13547" s="84"/>
      <c r="G13547" s="84"/>
      <c r="I13547" s="237"/>
      <c r="J13547" s="238"/>
    </row>
    <row r="13548">
      <c r="C13548" s="82"/>
      <c r="E13548" s="84"/>
      <c r="F13548" s="84"/>
      <c r="G13548" s="84"/>
      <c r="I13548" s="237"/>
      <c r="J13548" s="238"/>
    </row>
    <row r="13549">
      <c r="C13549" s="82"/>
      <c r="E13549" s="84"/>
      <c r="F13549" s="84"/>
      <c r="G13549" s="84"/>
      <c r="I13549" s="237"/>
      <c r="J13549" s="238"/>
    </row>
    <row r="13550">
      <c r="C13550" s="82"/>
      <c r="E13550" s="84"/>
      <c r="F13550" s="84"/>
      <c r="G13550" s="84"/>
      <c r="I13550" s="237"/>
      <c r="J13550" s="238"/>
    </row>
    <row r="13551">
      <c r="C13551" s="82"/>
      <c r="E13551" s="84"/>
      <c r="F13551" s="84"/>
      <c r="G13551" s="84"/>
      <c r="I13551" s="237"/>
      <c r="J13551" s="238"/>
    </row>
    <row r="13552">
      <c r="C13552" s="82"/>
      <c r="E13552" s="84"/>
      <c r="F13552" s="84"/>
      <c r="G13552" s="84"/>
      <c r="I13552" s="237"/>
      <c r="J13552" s="238"/>
    </row>
    <row r="13553">
      <c r="C13553" s="82"/>
      <c r="E13553" s="84"/>
      <c r="F13553" s="84"/>
      <c r="G13553" s="84"/>
      <c r="I13553" s="237"/>
      <c r="J13553" s="238"/>
    </row>
    <row r="13554">
      <c r="C13554" s="82"/>
      <c r="E13554" s="84"/>
      <c r="F13554" s="84"/>
      <c r="G13554" s="84"/>
      <c r="I13554" s="237"/>
      <c r="J13554" s="238"/>
    </row>
    <row r="13555">
      <c r="C13555" s="82"/>
      <c r="E13555" s="84"/>
      <c r="F13555" s="84"/>
      <c r="G13555" s="84"/>
      <c r="I13555" s="237"/>
      <c r="J13555" s="238"/>
    </row>
    <row r="13556">
      <c r="C13556" s="82"/>
      <c r="E13556" s="84"/>
      <c r="F13556" s="84"/>
      <c r="G13556" s="84"/>
      <c r="I13556" s="237"/>
      <c r="J13556" s="238"/>
    </row>
    <row r="13557">
      <c r="C13557" s="82"/>
      <c r="E13557" s="84"/>
      <c r="F13557" s="84"/>
      <c r="G13557" s="84"/>
      <c r="I13557" s="237"/>
      <c r="J13557" s="238"/>
    </row>
    <row r="13558">
      <c r="C13558" s="82"/>
      <c r="E13558" s="84"/>
      <c r="F13558" s="84"/>
      <c r="G13558" s="84"/>
      <c r="I13558" s="237"/>
      <c r="J13558" s="238"/>
    </row>
    <row r="13559">
      <c r="C13559" s="82"/>
      <c r="E13559" s="84"/>
      <c r="F13559" s="84"/>
      <c r="G13559" s="84"/>
      <c r="I13559" s="237"/>
      <c r="J13559" s="238"/>
    </row>
    <row r="13560">
      <c r="C13560" s="82"/>
      <c r="E13560" s="84"/>
      <c r="F13560" s="84"/>
      <c r="G13560" s="84"/>
      <c r="I13560" s="237"/>
      <c r="J13560" s="238"/>
    </row>
    <row r="13561">
      <c r="C13561" s="82"/>
      <c r="E13561" s="84"/>
      <c r="F13561" s="84"/>
      <c r="G13561" s="84"/>
      <c r="I13561" s="237"/>
      <c r="J13561" s="238"/>
    </row>
    <row r="13562">
      <c r="C13562" s="82"/>
      <c r="E13562" s="84"/>
      <c r="F13562" s="84"/>
      <c r="G13562" s="84"/>
      <c r="I13562" s="237"/>
      <c r="J13562" s="238"/>
    </row>
    <row r="13563">
      <c r="C13563" s="82"/>
      <c r="E13563" s="84"/>
      <c r="F13563" s="84"/>
      <c r="G13563" s="84"/>
      <c r="I13563" s="237"/>
      <c r="J13563" s="238"/>
    </row>
    <row r="13564">
      <c r="C13564" s="82"/>
      <c r="E13564" s="84"/>
      <c r="F13564" s="84"/>
      <c r="G13564" s="84"/>
      <c r="I13564" s="237"/>
      <c r="J13564" s="238"/>
    </row>
    <row r="13565">
      <c r="C13565" s="82"/>
      <c r="E13565" s="84"/>
      <c r="F13565" s="84"/>
      <c r="G13565" s="84"/>
      <c r="I13565" s="237"/>
      <c r="J13565" s="238"/>
    </row>
    <row r="13566">
      <c r="C13566" s="82"/>
      <c r="E13566" s="84"/>
      <c r="F13566" s="84"/>
      <c r="G13566" s="84"/>
      <c r="I13566" s="237"/>
      <c r="J13566" s="238"/>
    </row>
    <row r="13567">
      <c r="C13567" s="82"/>
      <c r="E13567" s="84"/>
      <c r="F13567" s="84"/>
      <c r="G13567" s="84"/>
      <c r="I13567" s="237"/>
      <c r="J13567" s="238"/>
    </row>
    <row r="13568">
      <c r="C13568" s="82"/>
      <c r="E13568" s="84"/>
      <c r="F13568" s="84"/>
      <c r="G13568" s="84"/>
      <c r="I13568" s="237"/>
      <c r="J13568" s="238"/>
    </row>
    <row r="13569">
      <c r="C13569" s="82"/>
      <c r="E13569" s="84"/>
      <c r="F13569" s="84"/>
      <c r="G13569" s="84"/>
      <c r="I13569" s="237"/>
      <c r="J13569" s="238"/>
    </row>
    <row r="13570">
      <c r="C13570" s="82"/>
      <c r="E13570" s="84"/>
      <c r="F13570" s="84"/>
      <c r="G13570" s="84"/>
      <c r="I13570" s="237"/>
      <c r="J13570" s="238"/>
    </row>
    <row r="13571">
      <c r="C13571" s="82"/>
      <c r="E13571" s="84"/>
      <c r="F13571" s="84"/>
      <c r="G13571" s="84"/>
      <c r="I13571" s="237"/>
      <c r="J13571" s="238"/>
    </row>
    <row r="13572">
      <c r="C13572" s="82"/>
      <c r="E13572" s="84"/>
      <c r="F13572" s="84"/>
      <c r="G13572" s="84"/>
      <c r="I13572" s="237"/>
      <c r="J13572" s="238"/>
    </row>
    <row r="13573">
      <c r="C13573" s="82"/>
      <c r="E13573" s="84"/>
      <c r="F13573" s="84"/>
      <c r="G13573" s="84"/>
      <c r="I13573" s="237"/>
      <c r="J13573" s="238"/>
    </row>
    <row r="13574">
      <c r="C13574" s="82"/>
      <c r="E13574" s="84"/>
      <c r="F13574" s="84"/>
      <c r="G13574" s="84"/>
      <c r="I13574" s="237"/>
      <c r="J13574" s="238"/>
    </row>
    <row r="13575">
      <c r="C13575" s="82"/>
      <c r="E13575" s="84"/>
      <c r="F13575" s="84"/>
      <c r="G13575" s="84"/>
      <c r="I13575" s="237"/>
      <c r="J13575" s="238"/>
    </row>
    <row r="13576">
      <c r="C13576" s="82"/>
      <c r="E13576" s="84"/>
      <c r="F13576" s="84"/>
      <c r="G13576" s="84"/>
      <c r="I13576" s="237"/>
      <c r="J13576" s="238"/>
    </row>
    <row r="13577">
      <c r="C13577" s="82"/>
      <c r="E13577" s="84"/>
      <c r="F13577" s="84"/>
      <c r="G13577" s="84"/>
      <c r="I13577" s="237"/>
      <c r="J13577" s="238"/>
    </row>
    <row r="13578">
      <c r="C13578" s="82"/>
      <c r="E13578" s="84"/>
      <c r="F13578" s="84"/>
      <c r="G13578" s="84"/>
      <c r="I13578" s="237"/>
      <c r="J13578" s="238"/>
    </row>
    <row r="13579">
      <c r="C13579" s="82"/>
      <c r="E13579" s="84"/>
      <c r="F13579" s="84"/>
      <c r="G13579" s="84"/>
      <c r="I13579" s="237"/>
      <c r="J13579" s="238"/>
    </row>
    <row r="13580">
      <c r="C13580" s="82"/>
      <c r="E13580" s="84"/>
      <c r="F13580" s="84"/>
      <c r="G13580" s="84"/>
      <c r="I13580" s="237"/>
      <c r="J13580" s="238"/>
    </row>
    <row r="13581">
      <c r="C13581" s="82"/>
      <c r="E13581" s="84"/>
      <c r="F13581" s="84"/>
      <c r="G13581" s="84"/>
      <c r="I13581" s="237"/>
      <c r="J13581" s="238"/>
    </row>
    <row r="13582">
      <c r="C13582" s="82"/>
      <c r="E13582" s="84"/>
      <c r="F13582" s="84"/>
      <c r="G13582" s="84"/>
      <c r="I13582" s="237"/>
      <c r="J13582" s="238"/>
    </row>
    <row r="13583">
      <c r="C13583" s="82"/>
      <c r="E13583" s="84"/>
      <c r="F13583" s="84"/>
      <c r="G13583" s="84"/>
      <c r="I13583" s="237"/>
      <c r="J13583" s="238"/>
    </row>
    <row r="13584">
      <c r="C13584" s="82"/>
      <c r="E13584" s="84"/>
      <c r="F13584" s="84"/>
      <c r="G13584" s="84"/>
      <c r="I13584" s="237"/>
      <c r="J13584" s="238"/>
    </row>
    <row r="13585">
      <c r="C13585" s="82"/>
      <c r="E13585" s="84"/>
      <c r="F13585" s="84"/>
      <c r="G13585" s="84"/>
      <c r="I13585" s="237"/>
      <c r="J13585" s="238"/>
    </row>
    <row r="13586">
      <c r="C13586" s="82"/>
      <c r="E13586" s="84"/>
      <c r="F13586" s="84"/>
      <c r="G13586" s="84"/>
      <c r="I13586" s="237"/>
      <c r="J13586" s="238"/>
    </row>
    <row r="13587">
      <c r="C13587" s="82"/>
      <c r="E13587" s="84"/>
      <c r="F13587" s="84"/>
      <c r="G13587" s="84"/>
      <c r="I13587" s="237"/>
      <c r="J13587" s="238"/>
    </row>
    <row r="13588">
      <c r="C13588" s="82"/>
      <c r="E13588" s="84"/>
      <c r="F13588" s="84"/>
      <c r="G13588" s="84"/>
      <c r="I13588" s="237"/>
      <c r="J13588" s="238"/>
    </row>
    <row r="13589">
      <c r="C13589" s="82"/>
      <c r="E13589" s="84"/>
      <c r="F13589" s="84"/>
      <c r="G13589" s="84"/>
      <c r="I13589" s="237"/>
      <c r="J13589" s="238"/>
    </row>
    <row r="13590">
      <c r="C13590" s="82"/>
      <c r="E13590" s="84"/>
      <c r="F13590" s="84"/>
      <c r="G13590" s="84"/>
      <c r="I13590" s="237"/>
      <c r="J13590" s="238"/>
    </row>
    <row r="13591">
      <c r="C13591" s="82"/>
      <c r="E13591" s="84"/>
      <c r="F13591" s="84"/>
      <c r="G13591" s="84"/>
      <c r="I13591" s="237"/>
      <c r="J13591" s="238"/>
    </row>
    <row r="13592">
      <c r="C13592" s="82"/>
      <c r="E13592" s="84"/>
      <c r="F13592" s="84"/>
      <c r="G13592" s="84"/>
      <c r="I13592" s="237"/>
      <c r="J13592" s="238"/>
    </row>
    <row r="13593">
      <c r="C13593" s="82"/>
      <c r="E13593" s="84"/>
      <c r="F13593" s="84"/>
      <c r="G13593" s="84"/>
      <c r="I13593" s="237"/>
      <c r="J13593" s="238"/>
    </row>
    <row r="13594">
      <c r="C13594" s="82"/>
      <c r="E13594" s="84"/>
      <c r="F13594" s="84"/>
      <c r="G13594" s="84"/>
      <c r="I13594" s="237"/>
      <c r="J13594" s="238"/>
    </row>
    <row r="13595">
      <c r="C13595" s="82"/>
      <c r="E13595" s="84"/>
      <c r="F13595" s="84"/>
      <c r="G13595" s="84"/>
      <c r="I13595" s="237"/>
      <c r="J13595" s="238"/>
    </row>
    <row r="13596">
      <c r="C13596" s="82"/>
      <c r="E13596" s="84"/>
      <c r="F13596" s="84"/>
      <c r="G13596" s="84"/>
      <c r="I13596" s="237"/>
      <c r="J13596" s="238"/>
    </row>
    <row r="13597">
      <c r="C13597" s="82"/>
      <c r="E13597" s="84"/>
      <c r="F13597" s="84"/>
      <c r="G13597" s="84"/>
      <c r="I13597" s="237"/>
      <c r="J13597" s="238"/>
    </row>
    <row r="13598">
      <c r="C13598" s="82"/>
      <c r="E13598" s="84"/>
      <c r="F13598" s="84"/>
      <c r="G13598" s="84"/>
      <c r="I13598" s="237"/>
      <c r="J13598" s="238"/>
    </row>
    <row r="13599">
      <c r="C13599" s="82"/>
      <c r="E13599" s="84"/>
      <c r="F13599" s="84"/>
      <c r="G13599" s="84"/>
      <c r="I13599" s="237"/>
      <c r="J13599" s="238"/>
    </row>
    <row r="13600">
      <c r="C13600" s="82"/>
      <c r="E13600" s="84"/>
      <c r="F13600" s="84"/>
      <c r="G13600" s="84"/>
      <c r="I13600" s="237"/>
      <c r="J13600" s="238"/>
    </row>
    <row r="13601">
      <c r="C13601" s="82"/>
      <c r="E13601" s="84"/>
      <c r="F13601" s="84"/>
      <c r="G13601" s="84"/>
      <c r="I13601" s="237"/>
      <c r="J13601" s="238"/>
    </row>
    <row r="13602">
      <c r="C13602" s="82"/>
      <c r="E13602" s="84"/>
      <c r="F13602" s="84"/>
      <c r="G13602" s="84"/>
      <c r="I13602" s="237"/>
      <c r="J13602" s="238"/>
    </row>
    <row r="13603">
      <c r="C13603" s="82"/>
      <c r="E13603" s="84"/>
      <c r="F13603" s="84"/>
      <c r="G13603" s="84"/>
      <c r="I13603" s="237"/>
      <c r="J13603" s="238"/>
    </row>
    <row r="13604">
      <c r="C13604" s="82"/>
      <c r="E13604" s="84"/>
      <c r="F13604" s="84"/>
      <c r="G13604" s="84"/>
      <c r="I13604" s="237"/>
      <c r="J13604" s="238"/>
    </row>
    <row r="13605">
      <c r="C13605" s="82"/>
      <c r="E13605" s="84"/>
      <c r="F13605" s="84"/>
      <c r="G13605" s="84"/>
      <c r="I13605" s="237"/>
      <c r="J13605" s="238"/>
    </row>
    <row r="13606">
      <c r="C13606" s="82"/>
      <c r="E13606" s="84"/>
      <c r="F13606" s="84"/>
      <c r="G13606" s="84"/>
      <c r="I13606" s="237"/>
      <c r="J13606" s="238"/>
    </row>
    <row r="13607">
      <c r="C13607" s="82"/>
      <c r="E13607" s="84"/>
      <c r="F13607" s="84"/>
      <c r="G13607" s="84"/>
      <c r="I13607" s="237"/>
      <c r="J13607" s="238"/>
    </row>
    <row r="13608">
      <c r="C13608" s="82"/>
      <c r="E13608" s="84"/>
      <c r="F13608" s="84"/>
      <c r="G13608" s="84"/>
      <c r="I13608" s="237"/>
      <c r="J13608" s="238"/>
    </row>
    <row r="13609">
      <c r="C13609" s="82"/>
      <c r="E13609" s="84"/>
      <c r="F13609" s="84"/>
      <c r="G13609" s="84"/>
      <c r="I13609" s="237"/>
      <c r="J13609" s="238"/>
    </row>
    <row r="13610">
      <c r="C13610" s="82"/>
      <c r="E13610" s="84"/>
      <c r="F13610" s="84"/>
      <c r="G13610" s="84"/>
      <c r="I13610" s="237"/>
      <c r="J13610" s="238"/>
    </row>
    <row r="13611">
      <c r="C13611" s="82"/>
      <c r="E13611" s="84"/>
      <c r="F13611" s="84"/>
      <c r="G13611" s="84"/>
      <c r="I13611" s="237"/>
      <c r="J13611" s="238"/>
    </row>
    <row r="13612">
      <c r="C13612" s="82"/>
      <c r="E13612" s="84"/>
      <c r="F13612" s="84"/>
      <c r="G13612" s="84"/>
      <c r="I13612" s="237"/>
      <c r="J13612" s="238"/>
    </row>
    <row r="13613">
      <c r="C13613" s="82"/>
      <c r="E13613" s="84"/>
      <c r="F13613" s="84"/>
      <c r="G13613" s="84"/>
      <c r="I13613" s="237"/>
      <c r="J13613" s="238"/>
    </row>
    <row r="13614">
      <c r="C13614" s="82"/>
      <c r="E13614" s="84"/>
      <c r="F13614" s="84"/>
      <c r="G13614" s="84"/>
      <c r="I13614" s="237"/>
      <c r="J13614" s="238"/>
    </row>
    <row r="13615">
      <c r="C13615" s="82"/>
      <c r="E13615" s="84"/>
      <c r="F13615" s="84"/>
      <c r="G13615" s="84"/>
      <c r="I13615" s="237"/>
      <c r="J13615" s="238"/>
    </row>
    <row r="13616">
      <c r="C13616" s="82"/>
      <c r="E13616" s="84"/>
      <c r="F13616" s="84"/>
      <c r="G13616" s="84"/>
      <c r="I13616" s="237"/>
      <c r="J13616" s="238"/>
    </row>
    <row r="13617">
      <c r="C13617" s="82"/>
      <c r="E13617" s="84"/>
      <c r="F13617" s="84"/>
      <c r="G13617" s="84"/>
      <c r="I13617" s="237"/>
      <c r="J13617" s="238"/>
    </row>
    <row r="13618">
      <c r="C13618" s="82"/>
      <c r="E13618" s="84"/>
      <c r="F13618" s="84"/>
      <c r="G13618" s="84"/>
      <c r="I13618" s="237"/>
      <c r="J13618" s="238"/>
    </row>
    <row r="13619">
      <c r="C13619" s="82"/>
      <c r="E13619" s="84"/>
      <c r="F13619" s="84"/>
      <c r="G13619" s="84"/>
      <c r="I13619" s="237"/>
      <c r="J13619" s="238"/>
    </row>
    <row r="13620">
      <c r="C13620" s="82"/>
      <c r="E13620" s="84"/>
      <c r="F13620" s="84"/>
      <c r="G13620" s="84"/>
      <c r="I13620" s="237"/>
      <c r="J13620" s="238"/>
    </row>
    <row r="13621">
      <c r="C13621" s="82"/>
      <c r="E13621" s="84"/>
      <c r="F13621" s="84"/>
      <c r="G13621" s="84"/>
      <c r="I13621" s="237"/>
      <c r="J13621" s="238"/>
    </row>
    <row r="13622">
      <c r="C13622" s="82"/>
      <c r="E13622" s="84"/>
      <c r="F13622" s="84"/>
      <c r="G13622" s="84"/>
      <c r="I13622" s="237"/>
      <c r="J13622" s="238"/>
    </row>
    <row r="13623">
      <c r="C13623" s="82"/>
      <c r="E13623" s="84"/>
      <c r="F13623" s="84"/>
      <c r="G13623" s="84"/>
      <c r="I13623" s="237"/>
      <c r="J13623" s="238"/>
    </row>
    <row r="13624">
      <c r="C13624" s="82"/>
      <c r="E13624" s="84"/>
      <c r="F13624" s="84"/>
      <c r="G13624" s="84"/>
      <c r="I13624" s="237"/>
      <c r="J13624" s="238"/>
    </row>
    <row r="13625">
      <c r="C13625" s="82"/>
      <c r="E13625" s="84"/>
      <c r="F13625" s="84"/>
      <c r="G13625" s="84"/>
      <c r="I13625" s="237"/>
      <c r="J13625" s="238"/>
    </row>
    <row r="13626">
      <c r="C13626" s="82"/>
      <c r="E13626" s="84"/>
      <c r="F13626" s="84"/>
      <c r="G13626" s="84"/>
      <c r="I13626" s="237"/>
      <c r="J13626" s="238"/>
    </row>
    <row r="13627">
      <c r="C13627" s="82"/>
      <c r="E13627" s="84"/>
      <c r="F13627" s="84"/>
      <c r="G13627" s="84"/>
      <c r="I13627" s="237"/>
      <c r="J13627" s="238"/>
    </row>
    <row r="13628">
      <c r="C13628" s="82"/>
      <c r="E13628" s="84"/>
      <c r="F13628" s="84"/>
      <c r="G13628" s="84"/>
      <c r="I13628" s="237"/>
      <c r="J13628" s="238"/>
    </row>
    <row r="13629">
      <c r="C13629" s="82"/>
      <c r="E13629" s="84"/>
      <c r="F13629" s="84"/>
      <c r="G13629" s="84"/>
      <c r="I13629" s="237"/>
      <c r="J13629" s="238"/>
    </row>
    <row r="13630">
      <c r="C13630" s="82"/>
      <c r="E13630" s="84"/>
      <c r="F13630" s="84"/>
      <c r="G13630" s="84"/>
      <c r="I13630" s="237"/>
      <c r="J13630" s="238"/>
    </row>
    <row r="13631">
      <c r="C13631" s="82"/>
      <c r="E13631" s="84"/>
      <c r="F13631" s="84"/>
      <c r="G13631" s="84"/>
      <c r="I13631" s="237"/>
      <c r="J13631" s="238"/>
    </row>
    <row r="13632">
      <c r="C13632" s="82"/>
      <c r="E13632" s="84"/>
      <c r="F13632" s="84"/>
      <c r="G13632" s="84"/>
      <c r="I13632" s="237"/>
      <c r="J13632" s="238"/>
    </row>
    <row r="13633">
      <c r="C13633" s="82"/>
      <c r="E13633" s="84"/>
      <c r="F13633" s="84"/>
      <c r="G13633" s="84"/>
      <c r="I13633" s="237"/>
      <c r="J13633" s="238"/>
    </row>
    <row r="13634">
      <c r="C13634" s="82"/>
      <c r="E13634" s="84"/>
      <c r="F13634" s="84"/>
      <c r="G13634" s="84"/>
      <c r="I13634" s="237"/>
      <c r="J13634" s="238"/>
    </row>
    <row r="13635">
      <c r="C13635" s="82"/>
      <c r="E13635" s="84"/>
      <c r="F13635" s="84"/>
      <c r="G13635" s="84"/>
      <c r="I13635" s="237"/>
      <c r="J13635" s="238"/>
    </row>
    <row r="13636">
      <c r="C13636" s="82"/>
      <c r="E13636" s="84"/>
      <c r="F13636" s="84"/>
      <c r="G13636" s="84"/>
      <c r="I13636" s="237"/>
      <c r="J13636" s="238"/>
    </row>
    <row r="13637">
      <c r="C13637" s="82"/>
      <c r="E13637" s="84"/>
      <c r="F13637" s="84"/>
      <c r="G13637" s="84"/>
      <c r="I13637" s="237"/>
      <c r="J13637" s="238"/>
    </row>
    <row r="13638">
      <c r="C13638" s="82"/>
      <c r="E13638" s="84"/>
      <c r="F13638" s="84"/>
      <c r="G13638" s="84"/>
      <c r="I13638" s="237"/>
      <c r="J13638" s="238"/>
    </row>
    <row r="13639">
      <c r="C13639" s="82"/>
      <c r="E13639" s="84"/>
      <c r="F13639" s="84"/>
      <c r="G13639" s="84"/>
      <c r="I13639" s="237"/>
      <c r="J13639" s="238"/>
    </row>
    <row r="13640">
      <c r="C13640" s="82"/>
      <c r="E13640" s="84"/>
      <c r="F13640" s="84"/>
      <c r="G13640" s="84"/>
      <c r="I13640" s="237"/>
      <c r="J13640" s="238"/>
    </row>
    <row r="13641">
      <c r="C13641" s="82"/>
      <c r="E13641" s="84"/>
      <c r="F13641" s="84"/>
      <c r="G13641" s="84"/>
      <c r="I13641" s="237"/>
      <c r="J13641" s="238"/>
    </row>
    <row r="13642">
      <c r="C13642" s="82"/>
      <c r="E13642" s="84"/>
      <c r="F13642" s="84"/>
      <c r="G13642" s="84"/>
      <c r="I13642" s="237"/>
      <c r="J13642" s="238"/>
    </row>
    <row r="13643">
      <c r="C13643" s="82"/>
      <c r="E13643" s="84"/>
      <c r="F13643" s="84"/>
      <c r="G13643" s="84"/>
      <c r="I13643" s="237"/>
      <c r="J13643" s="238"/>
    </row>
    <row r="13644">
      <c r="C13644" s="82"/>
      <c r="E13644" s="84"/>
      <c r="F13644" s="84"/>
      <c r="G13644" s="84"/>
      <c r="I13644" s="237"/>
      <c r="J13644" s="238"/>
    </row>
    <row r="13645">
      <c r="C13645" s="82"/>
      <c r="E13645" s="84"/>
      <c r="F13645" s="84"/>
      <c r="G13645" s="84"/>
      <c r="I13645" s="237"/>
      <c r="J13645" s="238"/>
    </row>
    <row r="13646">
      <c r="C13646" s="82"/>
      <c r="E13646" s="84"/>
      <c r="F13646" s="84"/>
      <c r="G13646" s="84"/>
      <c r="I13646" s="237"/>
      <c r="J13646" s="238"/>
    </row>
    <row r="13647">
      <c r="C13647" s="82"/>
      <c r="E13647" s="84"/>
      <c r="F13647" s="84"/>
      <c r="G13647" s="84"/>
      <c r="I13647" s="237"/>
      <c r="J13647" s="238"/>
    </row>
    <row r="13648">
      <c r="C13648" s="82"/>
      <c r="E13648" s="84"/>
      <c r="F13648" s="84"/>
      <c r="G13648" s="84"/>
      <c r="I13648" s="237"/>
      <c r="J13648" s="238"/>
    </row>
    <row r="13649">
      <c r="C13649" s="82"/>
      <c r="E13649" s="84"/>
      <c r="F13649" s="84"/>
      <c r="G13649" s="84"/>
      <c r="I13649" s="237"/>
      <c r="J13649" s="238"/>
    </row>
    <row r="13650">
      <c r="C13650" s="82"/>
      <c r="E13650" s="84"/>
      <c r="F13650" s="84"/>
      <c r="G13650" s="84"/>
      <c r="I13650" s="237"/>
      <c r="J13650" s="238"/>
    </row>
    <row r="13651">
      <c r="C13651" s="82"/>
      <c r="E13651" s="84"/>
      <c r="F13651" s="84"/>
      <c r="G13651" s="84"/>
      <c r="I13651" s="237"/>
      <c r="J13651" s="238"/>
    </row>
    <row r="13652">
      <c r="C13652" s="82"/>
      <c r="E13652" s="84"/>
      <c r="F13652" s="84"/>
      <c r="G13652" s="84"/>
      <c r="I13652" s="237"/>
      <c r="J13652" s="238"/>
    </row>
    <row r="13653">
      <c r="C13653" s="82"/>
      <c r="E13653" s="84"/>
      <c r="F13653" s="84"/>
      <c r="G13653" s="84"/>
      <c r="I13653" s="237"/>
      <c r="J13653" s="238"/>
    </row>
    <row r="13654">
      <c r="C13654" s="82"/>
      <c r="E13654" s="84"/>
      <c r="F13654" s="84"/>
      <c r="G13654" s="84"/>
      <c r="I13654" s="237"/>
      <c r="J13654" s="238"/>
    </row>
    <row r="13655">
      <c r="C13655" s="82"/>
      <c r="E13655" s="84"/>
      <c r="F13655" s="84"/>
      <c r="G13655" s="84"/>
      <c r="I13655" s="237"/>
      <c r="J13655" s="238"/>
    </row>
    <row r="13656">
      <c r="C13656" s="82"/>
      <c r="E13656" s="84"/>
      <c r="F13656" s="84"/>
      <c r="G13656" s="84"/>
      <c r="I13656" s="237"/>
      <c r="J13656" s="238"/>
    </row>
    <row r="13657">
      <c r="C13657" s="82"/>
      <c r="E13657" s="84"/>
      <c r="F13657" s="84"/>
      <c r="G13657" s="84"/>
      <c r="I13657" s="237"/>
      <c r="J13657" s="238"/>
    </row>
    <row r="13658">
      <c r="C13658" s="82"/>
      <c r="E13658" s="84"/>
      <c r="F13658" s="84"/>
      <c r="G13658" s="84"/>
      <c r="I13658" s="237"/>
      <c r="J13658" s="238"/>
    </row>
    <row r="13659">
      <c r="C13659" s="82"/>
      <c r="E13659" s="84"/>
      <c r="F13659" s="84"/>
      <c r="G13659" s="84"/>
      <c r="I13659" s="237"/>
      <c r="J13659" s="238"/>
    </row>
    <row r="13660">
      <c r="C13660" s="82"/>
      <c r="E13660" s="84"/>
      <c r="F13660" s="84"/>
      <c r="G13660" s="84"/>
      <c r="I13660" s="237"/>
      <c r="J13660" s="238"/>
    </row>
    <row r="13661">
      <c r="C13661" s="82"/>
      <c r="E13661" s="84"/>
      <c r="F13661" s="84"/>
      <c r="G13661" s="84"/>
      <c r="I13661" s="237"/>
      <c r="J13661" s="238"/>
    </row>
    <row r="13662">
      <c r="C13662" s="82"/>
      <c r="E13662" s="84"/>
      <c r="F13662" s="84"/>
      <c r="G13662" s="84"/>
      <c r="I13662" s="237"/>
      <c r="J13662" s="238"/>
    </row>
    <row r="13663">
      <c r="C13663" s="82"/>
      <c r="E13663" s="84"/>
      <c r="F13663" s="84"/>
      <c r="G13663" s="84"/>
      <c r="I13663" s="237"/>
      <c r="J13663" s="238"/>
    </row>
    <row r="13664">
      <c r="C13664" s="82"/>
      <c r="E13664" s="84"/>
      <c r="F13664" s="84"/>
      <c r="G13664" s="84"/>
      <c r="I13664" s="237"/>
      <c r="J13664" s="238"/>
    </row>
    <row r="13665">
      <c r="C13665" s="82"/>
      <c r="E13665" s="84"/>
      <c r="F13665" s="84"/>
      <c r="G13665" s="84"/>
      <c r="I13665" s="237"/>
      <c r="J13665" s="238"/>
    </row>
    <row r="13666">
      <c r="C13666" s="82"/>
      <c r="E13666" s="84"/>
      <c r="F13666" s="84"/>
      <c r="G13666" s="84"/>
      <c r="I13666" s="237"/>
      <c r="J13666" s="238"/>
    </row>
    <row r="13667">
      <c r="C13667" s="82"/>
      <c r="E13667" s="84"/>
      <c r="F13667" s="84"/>
      <c r="G13667" s="84"/>
      <c r="I13667" s="237"/>
      <c r="J13667" s="238"/>
    </row>
    <row r="13668">
      <c r="C13668" s="82"/>
      <c r="E13668" s="84"/>
      <c r="F13668" s="84"/>
      <c r="G13668" s="84"/>
      <c r="I13668" s="237"/>
      <c r="J13668" s="238"/>
    </row>
    <row r="13669">
      <c r="C13669" s="82"/>
      <c r="E13669" s="84"/>
      <c r="F13669" s="84"/>
      <c r="G13669" s="84"/>
      <c r="I13669" s="237"/>
      <c r="J13669" s="238"/>
    </row>
    <row r="13670">
      <c r="C13670" s="82"/>
      <c r="E13670" s="84"/>
      <c r="F13670" s="84"/>
      <c r="G13670" s="84"/>
      <c r="I13670" s="237"/>
      <c r="J13670" s="238"/>
    </row>
    <row r="13671">
      <c r="C13671" s="82"/>
      <c r="E13671" s="84"/>
      <c r="F13671" s="84"/>
      <c r="G13671" s="84"/>
      <c r="I13671" s="237"/>
      <c r="J13671" s="238"/>
    </row>
    <row r="13672">
      <c r="C13672" s="82"/>
      <c r="E13672" s="84"/>
      <c r="F13672" s="84"/>
      <c r="G13672" s="84"/>
      <c r="I13672" s="237"/>
      <c r="J13672" s="238"/>
    </row>
    <row r="13673">
      <c r="C13673" s="82"/>
      <c r="E13673" s="84"/>
      <c r="F13673" s="84"/>
      <c r="G13673" s="84"/>
      <c r="I13673" s="237"/>
      <c r="J13673" s="238"/>
    </row>
    <row r="13674">
      <c r="C13674" s="82"/>
      <c r="E13674" s="84"/>
      <c r="F13674" s="84"/>
      <c r="G13674" s="84"/>
      <c r="I13674" s="237"/>
      <c r="J13674" s="238"/>
    </row>
    <row r="13675">
      <c r="C13675" s="82"/>
      <c r="E13675" s="84"/>
      <c r="F13675" s="84"/>
      <c r="G13675" s="84"/>
      <c r="I13675" s="237"/>
      <c r="J13675" s="238"/>
    </row>
    <row r="13676">
      <c r="C13676" s="82"/>
      <c r="E13676" s="84"/>
      <c r="F13676" s="84"/>
      <c r="G13676" s="84"/>
      <c r="I13676" s="237"/>
      <c r="J13676" s="238"/>
    </row>
    <row r="13677">
      <c r="C13677" s="82"/>
      <c r="E13677" s="84"/>
      <c r="F13677" s="84"/>
      <c r="G13677" s="84"/>
      <c r="I13677" s="237"/>
      <c r="J13677" s="238"/>
    </row>
    <row r="13678">
      <c r="C13678" s="82"/>
      <c r="E13678" s="84"/>
      <c r="F13678" s="84"/>
      <c r="G13678" s="84"/>
      <c r="I13678" s="237"/>
      <c r="J13678" s="238"/>
    </row>
    <row r="13679">
      <c r="C13679" s="82"/>
      <c r="E13679" s="84"/>
      <c r="F13679" s="84"/>
      <c r="G13679" s="84"/>
      <c r="I13679" s="237"/>
      <c r="J13679" s="238"/>
    </row>
    <row r="13680">
      <c r="C13680" s="82"/>
      <c r="E13680" s="84"/>
      <c r="F13680" s="84"/>
      <c r="G13680" s="84"/>
      <c r="I13680" s="237"/>
      <c r="J13680" s="238"/>
    </row>
    <row r="13681">
      <c r="C13681" s="82"/>
      <c r="E13681" s="84"/>
      <c r="F13681" s="84"/>
      <c r="G13681" s="84"/>
      <c r="I13681" s="237"/>
      <c r="J13681" s="238"/>
    </row>
    <row r="13682">
      <c r="C13682" s="82"/>
      <c r="E13682" s="84"/>
      <c r="F13682" s="84"/>
      <c r="G13682" s="84"/>
      <c r="I13682" s="237"/>
      <c r="J13682" s="238"/>
    </row>
    <row r="13683">
      <c r="C13683" s="82"/>
      <c r="E13683" s="84"/>
      <c r="F13683" s="84"/>
      <c r="G13683" s="84"/>
      <c r="I13683" s="237"/>
      <c r="J13683" s="238"/>
    </row>
    <row r="13684">
      <c r="C13684" s="82"/>
      <c r="E13684" s="84"/>
      <c r="F13684" s="84"/>
      <c r="G13684" s="84"/>
      <c r="I13684" s="237"/>
      <c r="J13684" s="238"/>
    </row>
    <row r="13685">
      <c r="C13685" s="82"/>
      <c r="E13685" s="84"/>
      <c r="F13685" s="84"/>
      <c r="G13685" s="84"/>
      <c r="I13685" s="237"/>
      <c r="J13685" s="238"/>
    </row>
    <row r="13686">
      <c r="C13686" s="82"/>
      <c r="E13686" s="84"/>
      <c r="F13686" s="84"/>
      <c r="G13686" s="84"/>
      <c r="I13686" s="237"/>
      <c r="J13686" s="238"/>
    </row>
    <row r="13687">
      <c r="C13687" s="82"/>
      <c r="E13687" s="84"/>
      <c r="F13687" s="84"/>
      <c r="G13687" s="84"/>
      <c r="I13687" s="237"/>
      <c r="J13687" s="238"/>
    </row>
    <row r="13688">
      <c r="C13688" s="82"/>
      <c r="E13688" s="84"/>
      <c r="F13688" s="84"/>
      <c r="G13688" s="84"/>
      <c r="I13688" s="237"/>
      <c r="J13688" s="238"/>
    </row>
    <row r="13689">
      <c r="C13689" s="82"/>
      <c r="E13689" s="84"/>
      <c r="F13689" s="84"/>
      <c r="G13689" s="84"/>
      <c r="I13689" s="237"/>
      <c r="J13689" s="238"/>
    </row>
    <row r="13690">
      <c r="C13690" s="82"/>
      <c r="E13690" s="84"/>
      <c r="F13690" s="84"/>
      <c r="G13690" s="84"/>
      <c r="I13690" s="237"/>
      <c r="J13690" s="238"/>
    </row>
    <row r="13691">
      <c r="C13691" s="82"/>
      <c r="E13691" s="84"/>
      <c r="F13691" s="84"/>
      <c r="G13691" s="84"/>
      <c r="I13691" s="237"/>
      <c r="J13691" s="238"/>
    </row>
    <row r="13692">
      <c r="C13692" s="82"/>
      <c r="E13692" s="84"/>
      <c r="F13692" s="84"/>
      <c r="G13692" s="84"/>
      <c r="I13692" s="237"/>
      <c r="J13692" s="238"/>
    </row>
    <row r="13693">
      <c r="C13693" s="82"/>
      <c r="E13693" s="84"/>
      <c r="F13693" s="84"/>
      <c r="G13693" s="84"/>
      <c r="I13693" s="237"/>
      <c r="J13693" s="238"/>
    </row>
    <row r="13694">
      <c r="C13694" s="82"/>
      <c r="E13694" s="84"/>
      <c r="F13694" s="84"/>
      <c r="G13694" s="84"/>
      <c r="I13694" s="237"/>
      <c r="J13694" s="238"/>
    </row>
    <row r="13695">
      <c r="C13695" s="82"/>
      <c r="E13695" s="84"/>
      <c r="F13695" s="84"/>
      <c r="G13695" s="84"/>
      <c r="I13695" s="237"/>
      <c r="J13695" s="238"/>
    </row>
    <row r="13696">
      <c r="C13696" s="82"/>
      <c r="E13696" s="84"/>
      <c r="F13696" s="84"/>
      <c r="G13696" s="84"/>
      <c r="I13696" s="237"/>
      <c r="J13696" s="238"/>
    </row>
    <row r="13697">
      <c r="C13697" s="82"/>
      <c r="E13697" s="84"/>
      <c r="F13697" s="84"/>
      <c r="G13697" s="84"/>
      <c r="I13697" s="237"/>
      <c r="J13697" s="238"/>
    </row>
    <row r="13698">
      <c r="C13698" s="82"/>
      <c r="E13698" s="84"/>
      <c r="F13698" s="84"/>
      <c r="G13698" s="84"/>
      <c r="I13698" s="237"/>
      <c r="J13698" s="238"/>
    </row>
    <row r="13699">
      <c r="C13699" s="82"/>
      <c r="E13699" s="84"/>
      <c r="F13699" s="84"/>
      <c r="G13699" s="84"/>
      <c r="I13699" s="237"/>
      <c r="J13699" s="238"/>
    </row>
    <row r="13700">
      <c r="C13700" s="82"/>
      <c r="E13700" s="84"/>
      <c r="F13700" s="84"/>
      <c r="G13700" s="84"/>
      <c r="I13700" s="237"/>
      <c r="J13700" s="238"/>
    </row>
    <row r="13701">
      <c r="C13701" s="82"/>
      <c r="E13701" s="84"/>
      <c r="F13701" s="84"/>
      <c r="G13701" s="84"/>
      <c r="I13701" s="237"/>
      <c r="J13701" s="238"/>
    </row>
    <row r="13702">
      <c r="C13702" s="82"/>
      <c r="E13702" s="84"/>
      <c r="F13702" s="84"/>
      <c r="G13702" s="84"/>
      <c r="I13702" s="237"/>
      <c r="J13702" s="238"/>
    </row>
    <row r="13703">
      <c r="C13703" s="82"/>
      <c r="E13703" s="84"/>
      <c r="F13703" s="84"/>
      <c r="G13703" s="84"/>
      <c r="I13703" s="237"/>
      <c r="J13703" s="238"/>
    </row>
    <row r="13704">
      <c r="C13704" s="82"/>
      <c r="E13704" s="84"/>
      <c r="F13704" s="84"/>
      <c r="G13704" s="84"/>
      <c r="I13704" s="237"/>
      <c r="J13704" s="238"/>
    </row>
    <row r="13705">
      <c r="C13705" s="82"/>
      <c r="E13705" s="84"/>
      <c r="F13705" s="84"/>
      <c r="G13705" s="84"/>
      <c r="I13705" s="237"/>
      <c r="J13705" s="238"/>
    </row>
    <row r="13706">
      <c r="C13706" s="82"/>
      <c r="E13706" s="84"/>
      <c r="F13706" s="84"/>
      <c r="G13706" s="84"/>
      <c r="I13706" s="237"/>
      <c r="J13706" s="238"/>
    </row>
    <row r="13707">
      <c r="C13707" s="82"/>
      <c r="E13707" s="84"/>
      <c r="F13707" s="84"/>
      <c r="G13707" s="84"/>
      <c r="I13707" s="237"/>
      <c r="J13707" s="238"/>
    </row>
    <row r="13708">
      <c r="C13708" s="82"/>
      <c r="E13708" s="84"/>
      <c r="F13708" s="84"/>
      <c r="G13708" s="84"/>
      <c r="I13708" s="237"/>
      <c r="J13708" s="238"/>
    </row>
    <row r="13709">
      <c r="C13709" s="82"/>
      <c r="E13709" s="84"/>
      <c r="F13709" s="84"/>
      <c r="G13709" s="84"/>
      <c r="I13709" s="237"/>
      <c r="J13709" s="238"/>
    </row>
    <row r="13710">
      <c r="C13710" s="82"/>
      <c r="E13710" s="84"/>
      <c r="F13710" s="84"/>
      <c r="G13710" s="84"/>
      <c r="I13710" s="237"/>
      <c r="J13710" s="238"/>
    </row>
    <row r="13711">
      <c r="C13711" s="82"/>
      <c r="E13711" s="84"/>
      <c r="F13711" s="84"/>
      <c r="G13711" s="84"/>
      <c r="I13711" s="237"/>
      <c r="J13711" s="238"/>
    </row>
    <row r="13712">
      <c r="C13712" s="82"/>
      <c r="E13712" s="84"/>
      <c r="F13712" s="84"/>
      <c r="G13712" s="84"/>
      <c r="I13712" s="237"/>
      <c r="J13712" s="238"/>
    </row>
    <row r="13713">
      <c r="C13713" s="82"/>
      <c r="E13713" s="84"/>
      <c r="F13713" s="84"/>
      <c r="G13713" s="84"/>
      <c r="I13713" s="237"/>
      <c r="J13713" s="238"/>
    </row>
    <row r="13714">
      <c r="C13714" s="82"/>
      <c r="E13714" s="84"/>
      <c r="F13714" s="84"/>
      <c r="G13714" s="84"/>
      <c r="I13714" s="237"/>
      <c r="J13714" s="238"/>
    </row>
    <row r="13715">
      <c r="C13715" s="82"/>
      <c r="E13715" s="84"/>
      <c r="F13715" s="84"/>
      <c r="G13715" s="84"/>
      <c r="I13715" s="237"/>
      <c r="J13715" s="238"/>
    </row>
    <row r="13716">
      <c r="C13716" s="82"/>
      <c r="E13716" s="84"/>
      <c r="F13716" s="84"/>
      <c r="G13716" s="84"/>
      <c r="I13716" s="237"/>
      <c r="J13716" s="238"/>
    </row>
    <row r="13717">
      <c r="C13717" s="82"/>
      <c r="E13717" s="84"/>
      <c r="F13717" s="84"/>
      <c r="G13717" s="84"/>
      <c r="I13717" s="237"/>
      <c r="J13717" s="238"/>
    </row>
    <row r="13718">
      <c r="C13718" s="82"/>
      <c r="E13718" s="84"/>
      <c r="F13718" s="84"/>
      <c r="G13718" s="84"/>
      <c r="I13718" s="237"/>
      <c r="J13718" s="238"/>
    </row>
    <row r="13719">
      <c r="C13719" s="82"/>
      <c r="E13719" s="84"/>
      <c r="F13719" s="84"/>
      <c r="G13719" s="84"/>
      <c r="I13719" s="237"/>
      <c r="J13719" s="238"/>
    </row>
    <row r="13720">
      <c r="C13720" s="82"/>
      <c r="E13720" s="84"/>
      <c r="F13720" s="84"/>
      <c r="G13720" s="84"/>
      <c r="I13720" s="237"/>
      <c r="J13720" s="238"/>
    </row>
    <row r="13721">
      <c r="C13721" s="82"/>
      <c r="E13721" s="84"/>
      <c r="F13721" s="84"/>
      <c r="G13721" s="84"/>
      <c r="I13721" s="237"/>
      <c r="J13721" s="238"/>
    </row>
    <row r="13722">
      <c r="C13722" s="82"/>
      <c r="E13722" s="84"/>
      <c r="F13722" s="84"/>
      <c r="G13722" s="84"/>
      <c r="I13722" s="237"/>
      <c r="J13722" s="238"/>
    </row>
    <row r="13723">
      <c r="C13723" s="82"/>
      <c r="E13723" s="84"/>
      <c r="F13723" s="84"/>
      <c r="G13723" s="84"/>
      <c r="I13723" s="237"/>
      <c r="J13723" s="238"/>
    </row>
    <row r="13724">
      <c r="C13724" s="82"/>
      <c r="E13724" s="84"/>
      <c r="F13724" s="84"/>
      <c r="G13724" s="84"/>
      <c r="I13724" s="237"/>
      <c r="J13724" s="238"/>
    </row>
    <row r="13725">
      <c r="C13725" s="82"/>
      <c r="E13725" s="84"/>
      <c r="F13725" s="84"/>
      <c r="G13725" s="84"/>
      <c r="I13725" s="237"/>
      <c r="J13725" s="238"/>
    </row>
    <row r="13726">
      <c r="C13726" s="82"/>
      <c r="E13726" s="84"/>
      <c r="F13726" s="84"/>
      <c r="G13726" s="84"/>
      <c r="I13726" s="237"/>
      <c r="J13726" s="238"/>
    </row>
    <row r="13727">
      <c r="C13727" s="82"/>
      <c r="E13727" s="84"/>
      <c r="F13727" s="84"/>
      <c r="G13727" s="84"/>
      <c r="I13727" s="237"/>
      <c r="J13727" s="238"/>
    </row>
    <row r="13728">
      <c r="C13728" s="82"/>
      <c r="E13728" s="84"/>
      <c r="F13728" s="84"/>
      <c r="G13728" s="84"/>
      <c r="I13728" s="237"/>
      <c r="J13728" s="238"/>
    </row>
    <row r="13729">
      <c r="C13729" s="82"/>
      <c r="E13729" s="84"/>
      <c r="F13729" s="84"/>
      <c r="G13729" s="84"/>
      <c r="I13729" s="237"/>
      <c r="J13729" s="238"/>
    </row>
    <row r="13730">
      <c r="C13730" s="82"/>
      <c r="E13730" s="84"/>
      <c r="F13730" s="84"/>
      <c r="G13730" s="84"/>
      <c r="I13730" s="237"/>
      <c r="J13730" s="238"/>
    </row>
    <row r="13731">
      <c r="C13731" s="82"/>
      <c r="E13731" s="84"/>
      <c r="F13731" s="84"/>
      <c r="G13731" s="84"/>
      <c r="I13731" s="237"/>
      <c r="J13731" s="238"/>
    </row>
    <row r="13732">
      <c r="C13732" s="82"/>
      <c r="E13732" s="84"/>
      <c r="F13732" s="84"/>
      <c r="G13732" s="84"/>
      <c r="I13732" s="237"/>
      <c r="J13732" s="238"/>
    </row>
    <row r="13733">
      <c r="C13733" s="82"/>
      <c r="E13733" s="84"/>
      <c r="F13733" s="84"/>
      <c r="G13733" s="84"/>
      <c r="I13733" s="237"/>
      <c r="J13733" s="238"/>
    </row>
    <row r="13734">
      <c r="C13734" s="82"/>
      <c r="E13734" s="84"/>
      <c r="F13734" s="84"/>
      <c r="G13734" s="84"/>
      <c r="I13734" s="237"/>
      <c r="J13734" s="238"/>
    </row>
    <row r="13735">
      <c r="C13735" s="82"/>
      <c r="E13735" s="84"/>
      <c r="F13735" s="84"/>
      <c r="G13735" s="84"/>
      <c r="I13735" s="237"/>
      <c r="J13735" s="238"/>
    </row>
    <row r="13736">
      <c r="C13736" s="82"/>
      <c r="E13736" s="84"/>
      <c r="F13736" s="84"/>
      <c r="G13736" s="84"/>
      <c r="I13736" s="237"/>
      <c r="J13736" s="238"/>
    </row>
    <row r="13737">
      <c r="C13737" s="82"/>
      <c r="E13737" s="84"/>
      <c r="F13737" s="84"/>
      <c r="G13737" s="84"/>
      <c r="I13737" s="237"/>
      <c r="J13737" s="238"/>
    </row>
    <row r="13738">
      <c r="C13738" s="82"/>
      <c r="E13738" s="84"/>
      <c r="F13738" s="84"/>
      <c r="G13738" s="84"/>
      <c r="I13738" s="237"/>
      <c r="J13738" s="238"/>
    </row>
    <row r="13739">
      <c r="C13739" s="82"/>
      <c r="E13739" s="84"/>
      <c r="F13739" s="84"/>
      <c r="G13739" s="84"/>
      <c r="I13739" s="237"/>
      <c r="J13739" s="238"/>
    </row>
    <row r="13740">
      <c r="C13740" s="82"/>
      <c r="E13740" s="84"/>
      <c r="F13740" s="84"/>
      <c r="G13740" s="84"/>
      <c r="I13740" s="237"/>
      <c r="J13740" s="238"/>
    </row>
    <row r="13741">
      <c r="C13741" s="82"/>
      <c r="E13741" s="84"/>
      <c r="F13741" s="84"/>
      <c r="G13741" s="84"/>
      <c r="I13741" s="237"/>
      <c r="J13741" s="238"/>
    </row>
    <row r="13742">
      <c r="C13742" s="82"/>
      <c r="E13742" s="84"/>
      <c r="F13742" s="84"/>
      <c r="G13742" s="84"/>
      <c r="I13742" s="237"/>
      <c r="J13742" s="238"/>
    </row>
    <row r="13743">
      <c r="C13743" s="82"/>
      <c r="E13743" s="84"/>
      <c r="F13743" s="84"/>
      <c r="G13743" s="84"/>
      <c r="I13743" s="237"/>
      <c r="J13743" s="238"/>
    </row>
    <row r="13744">
      <c r="C13744" s="82"/>
      <c r="E13744" s="84"/>
      <c r="F13744" s="84"/>
      <c r="G13744" s="84"/>
      <c r="I13744" s="237"/>
      <c r="J13744" s="238"/>
    </row>
    <row r="13745">
      <c r="C13745" s="82"/>
      <c r="E13745" s="84"/>
      <c r="F13745" s="84"/>
      <c r="G13745" s="84"/>
      <c r="I13745" s="237"/>
      <c r="J13745" s="238"/>
    </row>
    <row r="13746">
      <c r="C13746" s="82"/>
      <c r="E13746" s="84"/>
      <c r="F13746" s="84"/>
      <c r="G13746" s="84"/>
      <c r="I13746" s="237"/>
      <c r="J13746" s="238"/>
    </row>
    <row r="13747">
      <c r="C13747" s="82"/>
      <c r="E13747" s="84"/>
      <c r="F13747" s="84"/>
      <c r="G13747" s="84"/>
      <c r="I13747" s="237"/>
      <c r="J13747" s="238"/>
    </row>
    <row r="13748">
      <c r="C13748" s="82"/>
      <c r="E13748" s="84"/>
      <c r="F13748" s="84"/>
      <c r="G13748" s="84"/>
      <c r="I13748" s="237"/>
      <c r="J13748" s="238"/>
    </row>
    <row r="13749">
      <c r="C13749" s="82"/>
      <c r="E13749" s="84"/>
      <c r="F13749" s="84"/>
      <c r="G13749" s="84"/>
      <c r="I13749" s="237"/>
      <c r="J13749" s="238"/>
    </row>
    <row r="13750">
      <c r="C13750" s="82"/>
      <c r="E13750" s="84"/>
      <c r="F13750" s="84"/>
      <c r="G13750" s="84"/>
      <c r="I13750" s="237"/>
      <c r="J13750" s="238"/>
    </row>
    <row r="13751">
      <c r="C13751" s="82"/>
      <c r="E13751" s="84"/>
      <c r="F13751" s="84"/>
      <c r="G13751" s="84"/>
      <c r="I13751" s="237"/>
      <c r="J13751" s="238"/>
    </row>
    <row r="13752">
      <c r="C13752" s="82"/>
      <c r="E13752" s="84"/>
      <c r="F13752" s="84"/>
      <c r="G13752" s="84"/>
      <c r="I13752" s="237"/>
      <c r="J13752" s="238"/>
    </row>
    <row r="13753">
      <c r="C13753" s="82"/>
      <c r="E13753" s="84"/>
      <c r="F13753" s="84"/>
      <c r="G13753" s="84"/>
      <c r="I13753" s="237"/>
      <c r="J13753" s="238"/>
    </row>
    <row r="13754">
      <c r="C13754" s="82"/>
      <c r="E13754" s="84"/>
      <c r="F13754" s="84"/>
      <c r="G13754" s="84"/>
      <c r="I13754" s="237"/>
      <c r="J13754" s="238"/>
    </row>
    <row r="13755">
      <c r="C13755" s="82"/>
      <c r="E13755" s="84"/>
      <c r="F13755" s="84"/>
      <c r="G13755" s="84"/>
      <c r="I13755" s="237"/>
      <c r="J13755" s="238"/>
    </row>
    <row r="13756">
      <c r="C13756" s="82"/>
      <c r="E13756" s="84"/>
      <c r="F13756" s="84"/>
      <c r="G13756" s="84"/>
      <c r="I13756" s="237"/>
      <c r="J13756" s="238"/>
    </row>
    <row r="13757">
      <c r="C13757" s="82"/>
      <c r="E13757" s="84"/>
      <c r="F13757" s="84"/>
      <c r="G13757" s="84"/>
      <c r="I13757" s="237"/>
      <c r="J13757" s="238"/>
    </row>
    <row r="13758">
      <c r="C13758" s="82"/>
      <c r="E13758" s="84"/>
      <c r="F13758" s="84"/>
      <c r="G13758" s="84"/>
      <c r="I13758" s="237"/>
      <c r="J13758" s="238"/>
    </row>
    <row r="13759">
      <c r="C13759" s="82"/>
      <c r="E13759" s="84"/>
      <c r="F13759" s="84"/>
      <c r="G13759" s="84"/>
      <c r="I13759" s="237"/>
      <c r="J13759" s="238"/>
    </row>
    <row r="13760">
      <c r="C13760" s="82"/>
      <c r="E13760" s="84"/>
      <c r="F13760" s="84"/>
      <c r="G13760" s="84"/>
      <c r="I13760" s="237"/>
      <c r="J13760" s="238"/>
    </row>
    <row r="13761">
      <c r="C13761" s="82"/>
      <c r="E13761" s="84"/>
      <c r="F13761" s="84"/>
      <c r="G13761" s="84"/>
      <c r="I13761" s="237"/>
      <c r="J13761" s="238"/>
    </row>
    <row r="13762">
      <c r="C13762" s="82"/>
      <c r="E13762" s="84"/>
      <c r="F13762" s="84"/>
      <c r="G13762" s="84"/>
      <c r="I13762" s="237"/>
      <c r="J13762" s="238"/>
    </row>
    <row r="13763">
      <c r="C13763" s="82"/>
      <c r="E13763" s="84"/>
      <c r="F13763" s="84"/>
      <c r="G13763" s="84"/>
      <c r="I13763" s="237"/>
      <c r="J13763" s="238"/>
    </row>
    <row r="13764">
      <c r="C13764" s="82"/>
      <c r="E13764" s="84"/>
      <c r="F13764" s="84"/>
      <c r="G13764" s="84"/>
      <c r="I13764" s="237"/>
      <c r="J13764" s="238"/>
    </row>
    <row r="13765">
      <c r="C13765" s="82"/>
      <c r="E13765" s="84"/>
      <c r="F13765" s="84"/>
      <c r="G13765" s="84"/>
      <c r="I13765" s="237"/>
      <c r="J13765" s="238"/>
    </row>
    <row r="13766">
      <c r="C13766" s="82"/>
      <c r="E13766" s="84"/>
      <c r="F13766" s="84"/>
      <c r="G13766" s="84"/>
      <c r="I13766" s="237"/>
      <c r="J13766" s="238"/>
    </row>
    <row r="13767">
      <c r="C13767" s="82"/>
      <c r="E13767" s="84"/>
      <c r="F13767" s="84"/>
      <c r="G13767" s="84"/>
      <c r="I13767" s="237"/>
      <c r="J13767" s="238"/>
    </row>
    <row r="13768">
      <c r="C13768" s="82"/>
      <c r="E13768" s="84"/>
      <c r="F13768" s="84"/>
      <c r="G13768" s="84"/>
      <c r="I13768" s="237"/>
      <c r="J13768" s="238"/>
    </row>
    <row r="13769">
      <c r="C13769" s="82"/>
      <c r="E13769" s="84"/>
      <c r="F13769" s="84"/>
      <c r="G13769" s="84"/>
      <c r="I13769" s="237"/>
      <c r="J13769" s="238"/>
    </row>
    <row r="13770">
      <c r="C13770" s="82"/>
      <c r="E13770" s="84"/>
      <c r="F13770" s="84"/>
      <c r="G13770" s="84"/>
      <c r="I13770" s="237"/>
      <c r="J13770" s="238"/>
    </row>
    <row r="13771">
      <c r="C13771" s="82"/>
      <c r="E13771" s="84"/>
      <c r="F13771" s="84"/>
      <c r="G13771" s="84"/>
      <c r="I13771" s="237"/>
      <c r="J13771" s="238"/>
    </row>
    <row r="13772">
      <c r="C13772" s="82"/>
      <c r="E13772" s="84"/>
      <c r="F13772" s="84"/>
      <c r="G13772" s="84"/>
      <c r="I13772" s="237"/>
      <c r="J13772" s="238"/>
    </row>
    <row r="13773">
      <c r="C13773" s="82"/>
      <c r="E13773" s="84"/>
      <c r="F13773" s="84"/>
      <c r="G13773" s="84"/>
      <c r="I13773" s="237"/>
      <c r="J13773" s="238"/>
    </row>
    <row r="13774">
      <c r="C13774" s="82"/>
      <c r="E13774" s="84"/>
      <c r="F13774" s="84"/>
      <c r="G13774" s="84"/>
      <c r="I13774" s="237"/>
      <c r="J13774" s="238"/>
    </row>
    <row r="13775">
      <c r="C13775" s="82"/>
      <c r="E13775" s="84"/>
      <c r="F13775" s="84"/>
      <c r="G13775" s="84"/>
      <c r="I13775" s="237"/>
      <c r="J13775" s="238"/>
    </row>
    <row r="13776">
      <c r="C13776" s="82"/>
      <c r="E13776" s="84"/>
      <c r="F13776" s="84"/>
      <c r="G13776" s="84"/>
      <c r="I13776" s="237"/>
      <c r="J13776" s="238"/>
    </row>
    <row r="13777">
      <c r="C13777" s="82"/>
      <c r="E13777" s="84"/>
      <c r="F13777" s="84"/>
      <c r="G13777" s="84"/>
      <c r="I13777" s="237"/>
      <c r="J13777" s="238"/>
    </row>
    <row r="13778">
      <c r="C13778" s="82"/>
      <c r="E13778" s="84"/>
      <c r="F13778" s="84"/>
      <c r="G13778" s="84"/>
      <c r="I13778" s="237"/>
      <c r="J13778" s="238"/>
    </row>
    <row r="13779">
      <c r="C13779" s="82"/>
      <c r="E13779" s="84"/>
      <c r="F13779" s="84"/>
      <c r="G13779" s="84"/>
      <c r="I13779" s="237"/>
      <c r="J13779" s="238"/>
    </row>
    <row r="13780">
      <c r="C13780" s="82"/>
      <c r="E13780" s="84"/>
      <c r="F13780" s="84"/>
      <c r="G13780" s="84"/>
      <c r="I13780" s="237"/>
      <c r="J13780" s="238"/>
    </row>
    <row r="13781">
      <c r="C13781" s="82"/>
      <c r="E13781" s="84"/>
      <c r="F13781" s="84"/>
      <c r="G13781" s="84"/>
      <c r="I13781" s="237"/>
      <c r="J13781" s="238"/>
    </row>
    <row r="13782">
      <c r="C13782" s="82"/>
      <c r="E13782" s="84"/>
      <c r="F13782" s="84"/>
      <c r="G13782" s="84"/>
      <c r="I13782" s="237"/>
      <c r="J13782" s="238"/>
    </row>
    <row r="13783">
      <c r="C13783" s="82"/>
      <c r="E13783" s="84"/>
      <c r="F13783" s="84"/>
      <c r="G13783" s="84"/>
      <c r="I13783" s="237"/>
      <c r="J13783" s="238"/>
    </row>
    <row r="13784">
      <c r="C13784" s="82"/>
      <c r="E13784" s="84"/>
      <c r="F13784" s="84"/>
      <c r="G13784" s="84"/>
      <c r="I13784" s="237"/>
      <c r="J13784" s="238"/>
    </row>
    <row r="13785">
      <c r="C13785" s="82"/>
      <c r="E13785" s="84"/>
      <c r="F13785" s="84"/>
      <c r="G13785" s="84"/>
      <c r="I13785" s="237"/>
      <c r="J13785" s="238"/>
    </row>
    <row r="13786">
      <c r="C13786" s="82"/>
      <c r="E13786" s="84"/>
      <c r="F13786" s="84"/>
      <c r="G13786" s="84"/>
      <c r="I13786" s="237"/>
      <c r="J13786" s="238"/>
    </row>
    <row r="13787">
      <c r="C13787" s="82"/>
      <c r="E13787" s="84"/>
      <c r="F13787" s="84"/>
      <c r="G13787" s="84"/>
      <c r="I13787" s="237"/>
      <c r="J13787" s="238"/>
    </row>
    <row r="13788">
      <c r="C13788" s="82"/>
      <c r="E13788" s="84"/>
      <c r="F13788" s="84"/>
      <c r="G13788" s="84"/>
      <c r="I13788" s="237"/>
      <c r="J13788" s="238"/>
    </row>
    <row r="13789">
      <c r="C13789" s="82"/>
      <c r="E13789" s="84"/>
      <c r="F13789" s="84"/>
      <c r="G13789" s="84"/>
      <c r="I13789" s="237"/>
      <c r="J13789" s="238"/>
    </row>
    <row r="13790">
      <c r="C13790" s="82"/>
      <c r="E13790" s="84"/>
      <c r="F13790" s="84"/>
      <c r="G13790" s="84"/>
      <c r="I13790" s="237"/>
      <c r="J13790" s="238"/>
    </row>
    <row r="13791">
      <c r="C13791" s="82"/>
      <c r="E13791" s="84"/>
      <c r="F13791" s="84"/>
      <c r="G13791" s="84"/>
      <c r="I13791" s="237"/>
      <c r="J13791" s="238"/>
    </row>
    <row r="13792">
      <c r="C13792" s="82"/>
      <c r="E13792" s="84"/>
      <c r="F13792" s="84"/>
      <c r="G13792" s="84"/>
      <c r="I13792" s="237"/>
      <c r="J13792" s="238"/>
    </row>
    <row r="13793">
      <c r="C13793" s="82"/>
      <c r="E13793" s="84"/>
      <c r="F13793" s="84"/>
      <c r="G13793" s="84"/>
      <c r="I13793" s="237"/>
      <c r="J13793" s="238"/>
    </row>
    <row r="13794">
      <c r="C13794" s="82"/>
      <c r="E13794" s="84"/>
      <c r="F13794" s="84"/>
      <c r="G13794" s="84"/>
      <c r="I13794" s="237"/>
      <c r="J13794" s="238"/>
    </row>
    <row r="13795">
      <c r="C13795" s="82"/>
      <c r="E13795" s="84"/>
      <c r="F13795" s="84"/>
      <c r="G13795" s="84"/>
      <c r="I13795" s="237"/>
      <c r="J13795" s="238"/>
    </row>
    <row r="13796">
      <c r="C13796" s="82"/>
      <c r="E13796" s="84"/>
      <c r="F13796" s="84"/>
      <c r="G13796" s="84"/>
      <c r="I13796" s="237"/>
      <c r="J13796" s="238"/>
    </row>
    <row r="13797">
      <c r="C13797" s="82"/>
      <c r="E13797" s="84"/>
      <c r="F13797" s="84"/>
      <c r="G13797" s="84"/>
      <c r="I13797" s="237"/>
      <c r="J13797" s="238"/>
    </row>
    <row r="13798">
      <c r="C13798" s="82"/>
      <c r="E13798" s="84"/>
      <c r="F13798" s="84"/>
      <c r="G13798" s="84"/>
      <c r="I13798" s="237"/>
      <c r="J13798" s="238"/>
    </row>
    <row r="13799">
      <c r="C13799" s="82"/>
      <c r="E13799" s="84"/>
      <c r="F13799" s="84"/>
      <c r="G13799" s="84"/>
      <c r="I13799" s="237"/>
      <c r="J13799" s="238"/>
    </row>
    <row r="13800">
      <c r="C13800" s="82"/>
      <c r="E13800" s="84"/>
      <c r="F13800" s="84"/>
      <c r="G13800" s="84"/>
      <c r="I13800" s="237"/>
      <c r="J13800" s="238"/>
    </row>
    <row r="13801">
      <c r="C13801" s="82"/>
      <c r="E13801" s="84"/>
      <c r="F13801" s="84"/>
      <c r="G13801" s="84"/>
      <c r="I13801" s="237"/>
      <c r="J13801" s="238"/>
    </row>
    <row r="13802">
      <c r="C13802" s="82"/>
      <c r="E13802" s="84"/>
      <c r="F13802" s="84"/>
      <c r="G13802" s="84"/>
      <c r="I13802" s="237"/>
      <c r="J13802" s="238"/>
    </row>
    <row r="13803">
      <c r="C13803" s="82"/>
      <c r="E13803" s="84"/>
      <c r="F13803" s="84"/>
      <c r="G13803" s="84"/>
      <c r="I13803" s="237"/>
      <c r="J13803" s="238"/>
    </row>
    <row r="13804">
      <c r="C13804" s="82"/>
      <c r="E13804" s="84"/>
      <c r="F13804" s="84"/>
      <c r="G13804" s="84"/>
      <c r="I13804" s="237"/>
      <c r="J13804" s="238"/>
    </row>
    <row r="13805">
      <c r="C13805" s="82"/>
      <c r="E13805" s="84"/>
      <c r="F13805" s="84"/>
      <c r="G13805" s="84"/>
      <c r="I13805" s="237"/>
      <c r="J13805" s="238"/>
    </row>
    <row r="13806">
      <c r="C13806" s="82"/>
      <c r="E13806" s="84"/>
      <c r="F13806" s="84"/>
      <c r="G13806" s="84"/>
      <c r="I13806" s="237"/>
      <c r="J13806" s="238"/>
    </row>
    <row r="13807">
      <c r="C13807" s="82"/>
      <c r="E13807" s="84"/>
      <c r="F13807" s="84"/>
      <c r="G13807" s="84"/>
      <c r="I13807" s="237"/>
      <c r="J13807" s="238"/>
    </row>
    <row r="13808">
      <c r="C13808" s="82"/>
      <c r="E13808" s="84"/>
      <c r="F13808" s="84"/>
      <c r="G13808" s="84"/>
      <c r="I13808" s="237"/>
      <c r="J13808" s="238"/>
    </row>
    <row r="13809">
      <c r="C13809" s="82"/>
      <c r="E13809" s="84"/>
      <c r="F13809" s="84"/>
      <c r="G13809" s="84"/>
      <c r="I13809" s="237"/>
      <c r="J13809" s="238"/>
    </row>
    <row r="13810">
      <c r="C13810" s="82"/>
      <c r="E13810" s="84"/>
      <c r="F13810" s="84"/>
      <c r="G13810" s="84"/>
      <c r="I13810" s="237"/>
      <c r="J13810" s="238"/>
    </row>
    <row r="13811">
      <c r="C13811" s="82"/>
      <c r="E13811" s="84"/>
      <c r="F13811" s="84"/>
      <c r="G13811" s="84"/>
      <c r="I13811" s="237"/>
      <c r="J13811" s="238"/>
    </row>
    <row r="13812">
      <c r="C13812" s="82"/>
      <c r="E13812" s="84"/>
      <c r="F13812" s="84"/>
      <c r="G13812" s="84"/>
      <c r="I13812" s="237"/>
      <c r="J13812" s="238"/>
    </row>
    <row r="13813">
      <c r="C13813" s="82"/>
      <c r="E13813" s="84"/>
      <c r="F13813" s="84"/>
      <c r="G13813" s="84"/>
      <c r="I13813" s="237"/>
      <c r="J13813" s="238"/>
    </row>
    <row r="13814">
      <c r="C13814" s="82"/>
      <c r="E13814" s="84"/>
      <c r="F13814" s="84"/>
      <c r="G13814" s="84"/>
      <c r="I13814" s="237"/>
      <c r="J13814" s="238"/>
    </row>
    <row r="13815">
      <c r="C13815" s="82"/>
      <c r="E13815" s="84"/>
      <c r="F13815" s="84"/>
      <c r="G13815" s="84"/>
      <c r="I13815" s="237"/>
      <c r="J13815" s="238"/>
    </row>
    <row r="13816">
      <c r="C13816" s="82"/>
      <c r="E13816" s="84"/>
      <c r="F13816" s="84"/>
      <c r="G13816" s="84"/>
      <c r="I13816" s="237"/>
      <c r="J13816" s="238"/>
    </row>
    <row r="13817">
      <c r="C13817" s="82"/>
      <c r="E13817" s="84"/>
      <c r="F13817" s="84"/>
      <c r="G13817" s="84"/>
      <c r="I13817" s="237"/>
      <c r="J13817" s="238"/>
    </row>
    <row r="13818">
      <c r="C13818" s="82"/>
      <c r="E13818" s="84"/>
      <c r="F13818" s="84"/>
      <c r="G13818" s="84"/>
      <c r="I13818" s="237"/>
      <c r="J13818" s="238"/>
    </row>
    <row r="13819">
      <c r="C13819" s="82"/>
      <c r="E13819" s="84"/>
      <c r="F13819" s="84"/>
      <c r="G13819" s="84"/>
      <c r="I13819" s="237"/>
      <c r="J13819" s="238"/>
    </row>
    <row r="13820">
      <c r="C13820" s="82"/>
      <c r="E13820" s="84"/>
      <c r="F13820" s="84"/>
      <c r="G13820" s="84"/>
      <c r="I13820" s="237"/>
      <c r="J13820" s="238"/>
    </row>
    <row r="13821">
      <c r="C13821" s="82"/>
      <c r="E13821" s="84"/>
      <c r="F13821" s="84"/>
      <c r="G13821" s="84"/>
      <c r="I13821" s="237"/>
      <c r="J13821" s="238"/>
    </row>
    <row r="13822">
      <c r="C13822" s="82"/>
      <c r="E13822" s="84"/>
      <c r="F13822" s="84"/>
      <c r="G13822" s="84"/>
      <c r="I13822" s="237"/>
      <c r="J13822" s="238"/>
    </row>
    <row r="13823">
      <c r="C13823" s="82"/>
      <c r="E13823" s="84"/>
      <c r="F13823" s="84"/>
      <c r="G13823" s="84"/>
      <c r="I13823" s="237"/>
      <c r="J13823" s="238"/>
    </row>
    <row r="13824">
      <c r="C13824" s="82"/>
      <c r="E13824" s="84"/>
      <c r="F13824" s="84"/>
      <c r="G13824" s="84"/>
      <c r="I13824" s="237"/>
      <c r="J13824" s="238"/>
    </row>
    <row r="13825">
      <c r="C13825" s="82"/>
      <c r="E13825" s="84"/>
      <c r="F13825" s="84"/>
      <c r="G13825" s="84"/>
      <c r="I13825" s="237"/>
      <c r="J13825" s="238"/>
    </row>
    <row r="13826">
      <c r="C13826" s="82"/>
      <c r="E13826" s="84"/>
      <c r="F13826" s="84"/>
      <c r="G13826" s="84"/>
      <c r="I13826" s="237"/>
      <c r="J13826" s="238"/>
    </row>
    <row r="13827">
      <c r="C13827" s="82"/>
      <c r="E13827" s="84"/>
      <c r="F13827" s="84"/>
      <c r="G13827" s="84"/>
      <c r="I13827" s="237"/>
      <c r="J13827" s="238"/>
    </row>
    <row r="13828">
      <c r="C13828" s="82"/>
      <c r="E13828" s="84"/>
      <c r="F13828" s="84"/>
      <c r="G13828" s="84"/>
      <c r="I13828" s="237"/>
      <c r="J13828" s="238"/>
    </row>
    <row r="13829">
      <c r="C13829" s="82"/>
      <c r="E13829" s="84"/>
      <c r="F13829" s="84"/>
      <c r="G13829" s="84"/>
      <c r="I13829" s="237"/>
      <c r="J13829" s="238"/>
    </row>
    <row r="13830">
      <c r="C13830" s="82"/>
      <c r="E13830" s="84"/>
      <c r="F13830" s="84"/>
      <c r="G13830" s="84"/>
      <c r="I13830" s="237"/>
      <c r="J13830" s="238"/>
    </row>
    <row r="13831">
      <c r="C13831" s="82"/>
      <c r="E13831" s="84"/>
      <c r="F13831" s="84"/>
      <c r="G13831" s="84"/>
      <c r="I13831" s="237"/>
      <c r="J13831" s="238"/>
    </row>
    <row r="13832">
      <c r="C13832" s="82"/>
      <c r="E13832" s="84"/>
      <c r="F13832" s="84"/>
      <c r="G13832" s="84"/>
      <c r="I13832" s="237"/>
      <c r="J13832" s="238"/>
    </row>
    <row r="13833">
      <c r="C13833" s="82"/>
      <c r="E13833" s="84"/>
      <c r="F13833" s="84"/>
      <c r="G13833" s="84"/>
      <c r="I13833" s="237"/>
      <c r="J13833" s="238"/>
    </row>
    <row r="13834">
      <c r="C13834" s="82"/>
      <c r="E13834" s="84"/>
      <c r="F13834" s="84"/>
      <c r="G13834" s="84"/>
      <c r="I13834" s="237"/>
      <c r="J13834" s="238"/>
    </row>
    <row r="13835">
      <c r="C13835" s="82"/>
      <c r="E13835" s="84"/>
      <c r="F13835" s="84"/>
      <c r="G13835" s="84"/>
      <c r="I13835" s="237"/>
      <c r="J13835" s="238"/>
    </row>
    <row r="13836">
      <c r="C13836" s="82"/>
      <c r="E13836" s="84"/>
      <c r="F13836" s="84"/>
      <c r="G13836" s="84"/>
      <c r="I13836" s="237"/>
      <c r="J13836" s="238"/>
    </row>
    <row r="13837">
      <c r="C13837" s="82"/>
      <c r="E13837" s="84"/>
      <c r="F13837" s="84"/>
      <c r="G13837" s="84"/>
      <c r="I13837" s="237"/>
      <c r="J13837" s="238"/>
    </row>
    <row r="13838">
      <c r="C13838" s="82"/>
      <c r="E13838" s="84"/>
      <c r="F13838" s="84"/>
      <c r="G13838" s="84"/>
      <c r="I13838" s="237"/>
      <c r="J13838" s="238"/>
    </row>
    <row r="13839">
      <c r="C13839" s="82"/>
      <c r="E13839" s="84"/>
      <c r="F13839" s="84"/>
      <c r="G13839" s="84"/>
      <c r="I13839" s="237"/>
      <c r="J13839" s="238"/>
    </row>
    <row r="13840">
      <c r="C13840" s="82"/>
      <c r="E13840" s="84"/>
      <c r="F13840" s="84"/>
      <c r="G13840" s="84"/>
      <c r="I13840" s="237"/>
      <c r="J13840" s="238"/>
    </row>
    <row r="13841">
      <c r="C13841" s="82"/>
      <c r="E13841" s="84"/>
      <c r="F13841" s="84"/>
      <c r="G13841" s="84"/>
      <c r="I13841" s="237"/>
      <c r="J13841" s="238"/>
    </row>
    <row r="13842">
      <c r="C13842" s="82"/>
      <c r="E13842" s="84"/>
      <c r="F13842" s="84"/>
      <c r="G13842" s="84"/>
      <c r="I13842" s="237"/>
      <c r="J13842" s="238"/>
    </row>
    <row r="13843">
      <c r="C13843" s="82"/>
      <c r="E13843" s="84"/>
      <c r="F13843" s="84"/>
      <c r="G13843" s="84"/>
      <c r="I13843" s="237"/>
      <c r="J13843" s="238"/>
    </row>
    <row r="13844">
      <c r="C13844" s="82"/>
      <c r="E13844" s="84"/>
      <c r="F13844" s="84"/>
      <c r="G13844" s="84"/>
      <c r="I13844" s="237"/>
      <c r="J13844" s="238"/>
    </row>
    <row r="13845">
      <c r="C13845" s="82"/>
      <c r="E13845" s="84"/>
      <c r="F13845" s="84"/>
      <c r="G13845" s="84"/>
      <c r="I13845" s="237"/>
      <c r="J13845" s="238"/>
    </row>
    <row r="13846">
      <c r="C13846" s="82"/>
      <c r="E13846" s="84"/>
      <c r="F13846" s="84"/>
      <c r="G13846" s="84"/>
      <c r="I13846" s="237"/>
      <c r="J13846" s="238"/>
    </row>
    <row r="13847">
      <c r="C13847" s="82"/>
      <c r="E13847" s="84"/>
      <c r="F13847" s="84"/>
      <c r="G13847" s="84"/>
      <c r="I13847" s="237"/>
      <c r="J13847" s="238"/>
    </row>
    <row r="13848">
      <c r="C13848" s="82"/>
      <c r="E13848" s="84"/>
      <c r="F13848" s="84"/>
      <c r="G13848" s="84"/>
      <c r="I13848" s="237"/>
      <c r="J13848" s="238"/>
    </row>
    <row r="13849">
      <c r="C13849" s="82"/>
      <c r="E13849" s="84"/>
      <c r="F13849" s="84"/>
      <c r="G13849" s="84"/>
      <c r="I13849" s="237"/>
      <c r="J13849" s="238"/>
    </row>
    <row r="13850">
      <c r="C13850" s="82"/>
      <c r="E13850" s="84"/>
      <c r="F13850" s="84"/>
      <c r="G13850" s="84"/>
      <c r="I13850" s="237"/>
      <c r="J13850" s="238"/>
    </row>
    <row r="13851">
      <c r="C13851" s="82"/>
      <c r="E13851" s="84"/>
      <c r="F13851" s="84"/>
      <c r="G13851" s="84"/>
      <c r="I13851" s="237"/>
      <c r="J13851" s="238"/>
    </row>
    <row r="13852">
      <c r="C13852" s="82"/>
      <c r="E13852" s="84"/>
      <c r="F13852" s="84"/>
      <c r="G13852" s="84"/>
      <c r="I13852" s="237"/>
      <c r="J13852" s="238"/>
    </row>
    <row r="13853">
      <c r="C13853" s="82"/>
      <c r="E13853" s="84"/>
      <c r="F13853" s="84"/>
      <c r="G13853" s="84"/>
      <c r="I13853" s="237"/>
      <c r="J13853" s="238"/>
    </row>
    <row r="13854">
      <c r="C13854" s="82"/>
      <c r="E13854" s="84"/>
      <c r="F13854" s="84"/>
      <c r="G13854" s="84"/>
      <c r="I13854" s="237"/>
      <c r="J13854" s="238"/>
    </row>
    <row r="13855">
      <c r="C13855" s="82"/>
      <c r="E13855" s="84"/>
      <c r="F13855" s="84"/>
      <c r="G13855" s="84"/>
      <c r="I13855" s="237"/>
      <c r="J13855" s="238"/>
    </row>
    <row r="13856">
      <c r="C13856" s="82"/>
      <c r="E13856" s="84"/>
      <c r="F13856" s="84"/>
      <c r="G13856" s="84"/>
      <c r="I13856" s="237"/>
      <c r="J13856" s="238"/>
    </row>
    <row r="13857">
      <c r="C13857" s="82"/>
      <c r="E13857" s="84"/>
      <c r="F13857" s="84"/>
      <c r="G13857" s="84"/>
      <c r="I13857" s="237"/>
      <c r="J13857" s="238"/>
    </row>
    <row r="13858">
      <c r="C13858" s="82"/>
      <c r="E13858" s="84"/>
      <c r="F13858" s="84"/>
      <c r="G13858" s="84"/>
      <c r="I13858" s="237"/>
      <c r="J13858" s="238"/>
    </row>
    <row r="13859">
      <c r="C13859" s="82"/>
      <c r="E13859" s="84"/>
      <c r="F13859" s="84"/>
      <c r="G13859" s="84"/>
      <c r="I13859" s="237"/>
      <c r="J13859" s="238"/>
    </row>
    <row r="13860">
      <c r="C13860" s="82"/>
      <c r="E13860" s="84"/>
      <c r="F13860" s="84"/>
      <c r="G13860" s="84"/>
      <c r="I13860" s="237"/>
      <c r="J13860" s="238"/>
    </row>
    <row r="13861">
      <c r="C13861" s="82"/>
      <c r="E13861" s="84"/>
      <c r="F13861" s="84"/>
      <c r="G13861" s="84"/>
      <c r="I13861" s="237"/>
      <c r="J13861" s="238"/>
    </row>
    <row r="13862">
      <c r="C13862" s="82"/>
      <c r="E13862" s="84"/>
      <c r="F13862" s="84"/>
      <c r="G13862" s="84"/>
      <c r="I13862" s="237"/>
      <c r="J13862" s="238"/>
    </row>
    <row r="13863">
      <c r="C13863" s="82"/>
      <c r="E13863" s="84"/>
      <c r="F13863" s="84"/>
      <c r="G13863" s="84"/>
      <c r="I13863" s="237"/>
      <c r="J13863" s="238"/>
    </row>
    <row r="13864">
      <c r="C13864" s="82"/>
      <c r="E13864" s="84"/>
      <c r="F13864" s="84"/>
      <c r="G13864" s="84"/>
      <c r="I13864" s="237"/>
      <c r="J13864" s="238"/>
    </row>
    <row r="13865">
      <c r="C13865" s="82"/>
      <c r="E13865" s="84"/>
      <c r="F13865" s="84"/>
      <c r="G13865" s="84"/>
      <c r="I13865" s="237"/>
      <c r="J13865" s="238"/>
    </row>
    <row r="13866">
      <c r="C13866" s="82"/>
      <c r="E13866" s="84"/>
      <c r="F13866" s="84"/>
      <c r="G13866" s="84"/>
      <c r="I13866" s="237"/>
      <c r="J13866" s="238"/>
    </row>
    <row r="13867">
      <c r="C13867" s="82"/>
      <c r="E13867" s="84"/>
      <c r="F13867" s="84"/>
      <c r="G13867" s="84"/>
      <c r="I13867" s="237"/>
      <c r="J13867" s="238"/>
    </row>
    <row r="13868">
      <c r="C13868" s="82"/>
      <c r="E13868" s="84"/>
      <c r="F13868" s="84"/>
      <c r="G13868" s="84"/>
      <c r="I13868" s="237"/>
      <c r="J13868" s="238"/>
    </row>
    <row r="13869">
      <c r="C13869" s="82"/>
      <c r="E13869" s="84"/>
      <c r="F13869" s="84"/>
      <c r="G13869" s="84"/>
      <c r="I13869" s="237"/>
      <c r="J13869" s="238"/>
    </row>
    <row r="13870">
      <c r="C13870" s="82"/>
      <c r="E13870" s="84"/>
      <c r="F13870" s="84"/>
      <c r="G13870" s="84"/>
      <c r="I13870" s="237"/>
      <c r="J13870" s="238"/>
    </row>
    <row r="13871">
      <c r="C13871" s="82"/>
      <c r="E13871" s="84"/>
      <c r="F13871" s="84"/>
      <c r="G13871" s="84"/>
      <c r="I13871" s="237"/>
      <c r="J13871" s="238"/>
    </row>
    <row r="13872">
      <c r="C13872" s="82"/>
      <c r="E13872" s="84"/>
      <c r="F13872" s="84"/>
      <c r="G13872" s="84"/>
      <c r="I13872" s="237"/>
      <c r="J13872" s="238"/>
    </row>
    <row r="13873">
      <c r="C13873" s="82"/>
      <c r="E13873" s="84"/>
      <c r="F13873" s="84"/>
      <c r="G13873" s="84"/>
      <c r="I13873" s="237"/>
      <c r="J13873" s="238"/>
    </row>
    <row r="13874">
      <c r="C13874" s="82"/>
      <c r="E13874" s="84"/>
      <c r="F13874" s="84"/>
      <c r="G13874" s="84"/>
      <c r="I13874" s="237"/>
      <c r="J13874" s="238"/>
    </row>
    <row r="13875">
      <c r="C13875" s="82"/>
      <c r="E13875" s="84"/>
      <c r="F13875" s="84"/>
      <c r="G13875" s="84"/>
      <c r="I13875" s="237"/>
      <c r="J13875" s="238"/>
    </row>
    <row r="13876">
      <c r="C13876" s="82"/>
      <c r="E13876" s="84"/>
      <c r="F13876" s="84"/>
      <c r="G13876" s="84"/>
      <c r="I13876" s="237"/>
      <c r="J13876" s="238"/>
    </row>
    <row r="13877">
      <c r="C13877" s="82"/>
      <c r="E13877" s="84"/>
      <c r="F13877" s="84"/>
      <c r="G13877" s="84"/>
      <c r="I13877" s="237"/>
      <c r="J13877" s="238"/>
    </row>
    <row r="13878">
      <c r="C13878" s="82"/>
      <c r="E13878" s="84"/>
      <c r="F13878" s="84"/>
      <c r="G13878" s="84"/>
      <c r="I13878" s="237"/>
      <c r="J13878" s="238"/>
    </row>
    <row r="13879">
      <c r="C13879" s="82"/>
      <c r="E13879" s="84"/>
      <c r="F13879" s="84"/>
      <c r="G13879" s="84"/>
      <c r="I13879" s="237"/>
      <c r="J13879" s="238"/>
    </row>
    <row r="13880">
      <c r="C13880" s="82"/>
      <c r="E13880" s="84"/>
      <c r="F13880" s="84"/>
      <c r="G13880" s="84"/>
      <c r="I13880" s="237"/>
      <c r="J13880" s="238"/>
    </row>
    <row r="13881">
      <c r="C13881" s="82"/>
      <c r="E13881" s="84"/>
      <c r="F13881" s="84"/>
      <c r="G13881" s="84"/>
      <c r="I13881" s="237"/>
      <c r="J13881" s="238"/>
    </row>
    <row r="13882">
      <c r="C13882" s="82"/>
      <c r="E13882" s="84"/>
      <c r="F13882" s="84"/>
      <c r="G13882" s="84"/>
      <c r="I13882" s="237"/>
      <c r="J13882" s="238"/>
    </row>
    <row r="13883">
      <c r="C13883" s="82"/>
      <c r="E13883" s="84"/>
      <c r="F13883" s="84"/>
      <c r="G13883" s="84"/>
      <c r="I13883" s="237"/>
      <c r="J13883" s="238"/>
    </row>
    <row r="13884">
      <c r="C13884" s="82"/>
      <c r="E13884" s="84"/>
      <c r="F13884" s="84"/>
      <c r="G13884" s="84"/>
      <c r="I13884" s="237"/>
      <c r="J13884" s="238"/>
    </row>
    <row r="13885">
      <c r="C13885" s="82"/>
      <c r="E13885" s="84"/>
      <c r="F13885" s="84"/>
      <c r="G13885" s="84"/>
      <c r="I13885" s="237"/>
      <c r="J13885" s="238"/>
    </row>
    <row r="13886">
      <c r="C13886" s="82"/>
      <c r="E13886" s="84"/>
      <c r="F13886" s="84"/>
      <c r="G13886" s="84"/>
      <c r="I13886" s="237"/>
      <c r="J13886" s="238"/>
    </row>
    <row r="13887">
      <c r="C13887" s="82"/>
      <c r="E13887" s="84"/>
      <c r="F13887" s="84"/>
      <c r="G13887" s="84"/>
      <c r="I13887" s="237"/>
      <c r="J13887" s="238"/>
    </row>
    <row r="13888">
      <c r="C13888" s="82"/>
      <c r="E13888" s="84"/>
      <c r="F13888" s="84"/>
      <c r="G13888" s="84"/>
      <c r="I13888" s="237"/>
      <c r="J13888" s="238"/>
    </row>
    <row r="13889">
      <c r="C13889" s="82"/>
      <c r="E13889" s="84"/>
      <c r="F13889" s="84"/>
      <c r="G13889" s="84"/>
      <c r="I13889" s="237"/>
      <c r="J13889" s="238"/>
    </row>
    <row r="13890">
      <c r="C13890" s="82"/>
      <c r="E13890" s="84"/>
      <c r="F13890" s="84"/>
      <c r="G13890" s="84"/>
      <c r="I13890" s="237"/>
      <c r="J13890" s="238"/>
    </row>
    <row r="13891">
      <c r="C13891" s="82"/>
      <c r="E13891" s="84"/>
      <c r="F13891" s="84"/>
      <c r="G13891" s="84"/>
      <c r="I13891" s="237"/>
      <c r="J13891" s="238"/>
    </row>
    <row r="13892">
      <c r="C13892" s="82"/>
      <c r="E13892" s="84"/>
      <c r="F13892" s="84"/>
      <c r="G13892" s="84"/>
      <c r="I13892" s="237"/>
      <c r="J13892" s="238"/>
    </row>
    <row r="13893">
      <c r="C13893" s="82"/>
      <c r="E13893" s="84"/>
      <c r="F13893" s="84"/>
      <c r="G13893" s="84"/>
      <c r="I13893" s="237"/>
      <c r="J13893" s="238"/>
    </row>
    <row r="13894">
      <c r="C13894" s="82"/>
      <c r="E13894" s="84"/>
      <c r="F13894" s="84"/>
      <c r="G13894" s="84"/>
      <c r="I13894" s="237"/>
      <c r="J13894" s="238"/>
    </row>
    <row r="13895">
      <c r="C13895" s="82"/>
      <c r="E13895" s="84"/>
      <c r="F13895" s="84"/>
      <c r="G13895" s="84"/>
      <c r="I13895" s="237"/>
      <c r="J13895" s="238"/>
    </row>
    <row r="13896">
      <c r="C13896" s="82"/>
      <c r="E13896" s="84"/>
      <c r="F13896" s="84"/>
      <c r="G13896" s="84"/>
      <c r="I13896" s="237"/>
      <c r="J13896" s="238"/>
    </row>
    <row r="13897">
      <c r="C13897" s="82"/>
      <c r="E13897" s="84"/>
      <c r="F13897" s="84"/>
      <c r="G13897" s="84"/>
      <c r="I13897" s="237"/>
      <c r="J13897" s="238"/>
    </row>
    <row r="13898">
      <c r="C13898" s="82"/>
      <c r="E13898" s="84"/>
      <c r="F13898" s="84"/>
      <c r="G13898" s="84"/>
      <c r="I13898" s="237"/>
      <c r="J13898" s="238"/>
    </row>
    <row r="13899">
      <c r="C13899" s="82"/>
      <c r="E13899" s="84"/>
      <c r="F13899" s="84"/>
      <c r="G13899" s="84"/>
      <c r="I13899" s="237"/>
      <c r="J13899" s="238"/>
    </row>
    <row r="13900">
      <c r="C13900" s="82"/>
      <c r="E13900" s="84"/>
      <c r="F13900" s="84"/>
      <c r="G13900" s="84"/>
      <c r="I13900" s="237"/>
      <c r="J13900" s="238"/>
    </row>
    <row r="13901">
      <c r="C13901" s="82"/>
      <c r="E13901" s="84"/>
      <c r="F13901" s="84"/>
      <c r="G13901" s="84"/>
      <c r="I13901" s="237"/>
      <c r="J13901" s="238"/>
    </row>
    <row r="13902">
      <c r="C13902" s="82"/>
      <c r="E13902" s="84"/>
      <c r="F13902" s="84"/>
      <c r="G13902" s="84"/>
      <c r="I13902" s="237"/>
      <c r="J13902" s="238"/>
    </row>
    <row r="13903">
      <c r="C13903" s="82"/>
      <c r="E13903" s="84"/>
      <c r="F13903" s="84"/>
      <c r="G13903" s="84"/>
      <c r="I13903" s="237"/>
      <c r="J13903" s="238"/>
    </row>
    <row r="13904">
      <c r="C13904" s="82"/>
      <c r="E13904" s="84"/>
      <c r="F13904" s="84"/>
      <c r="G13904" s="84"/>
      <c r="I13904" s="237"/>
      <c r="J13904" s="238"/>
    </row>
    <row r="13905">
      <c r="C13905" s="82"/>
      <c r="E13905" s="84"/>
      <c r="F13905" s="84"/>
      <c r="G13905" s="84"/>
      <c r="I13905" s="237"/>
      <c r="J13905" s="238"/>
    </row>
    <row r="13906">
      <c r="C13906" s="82"/>
      <c r="E13906" s="84"/>
      <c r="F13906" s="84"/>
      <c r="G13906" s="84"/>
      <c r="I13906" s="237"/>
      <c r="J13906" s="238"/>
    </row>
    <row r="13907">
      <c r="C13907" s="82"/>
      <c r="E13907" s="84"/>
      <c r="F13907" s="84"/>
      <c r="G13907" s="84"/>
      <c r="I13907" s="237"/>
      <c r="J13907" s="238"/>
    </row>
    <row r="13908">
      <c r="C13908" s="82"/>
      <c r="E13908" s="84"/>
      <c r="F13908" s="84"/>
      <c r="G13908" s="84"/>
      <c r="I13908" s="237"/>
      <c r="J13908" s="238"/>
    </row>
    <row r="13909">
      <c r="C13909" s="82"/>
      <c r="E13909" s="84"/>
      <c r="F13909" s="84"/>
      <c r="G13909" s="84"/>
      <c r="I13909" s="237"/>
      <c r="J13909" s="238"/>
    </row>
    <row r="13910">
      <c r="C13910" s="82"/>
      <c r="E13910" s="84"/>
      <c r="F13910" s="84"/>
      <c r="G13910" s="84"/>
      <c r="I13910" s="237"/>
      <c r="J13910" s="238"/>
    </row>
    <row r="13911">
      <c r="C13911" s="82"/>
      <c r="E13911" s="84"/>
      <c r="F13911" s="84"/>
      <c r="G13911" s="84"/>
      <c r="I13911" s="237"/>
      <c r="J13911" s="238"/>
    </row>
    <row r="13912">
      <c r="C13912" s="82"/>
      <c r="E13912" s="84"/>
      <c r="F13912" s="84"/>
      <c r="G13912" s="84"/>
      <c r="I13912" s="237"/>
      <c r="J13912" s="238"/>
    </row>
    <row r="13913">
      <c r="C13913" s="82"/>
      <c r="E13913" s="84"/>
      <c r="F13913" s="84"/>
      <c r="G13913" s="84"/>
      <c r="I13913" s="237"/>
      <c r="J13913" s="238"/>
    </row>
    <row r="13914">
      <c r="C13914" s="82"/>
      <c r="E13914" s="84"/>
      <c r="F13914" s="84"/>
      <c r="G13914" s="84"/>
      <c r="I13914" s="237"/>
      <c r="J13914" s="238"/>
    </row>
    <row r="13915">
      <c r="C13915" s="82"/>
      <c r="E13915" s="84"/>
      <c r="F13915" s="84"/>
      <c r="G13915" s="84"/>
      <c r="I13915" s="237"/>
      <c r="J13915" s="238"/>
    </row>
    <row r="13916">
      <c r="C13916" s="82"/>
      <c r="E13916" s="84"/>
      <c r="F13916" s="84"/>
      <c r="G13916" s="84"/>
      <c r="I13916" s="237"/>
      <c r="J13916" s="238"/>
    </row>
    <row r="13917">
      <c r="C13917" s="82"/>
      <c r="E13917" s="84"/>
      <c r="F13917" s="84"/>
      <c r="G13917" s="84"/>
      <c r="I13917" s="237"/>
      <c r="J13917" s="238"/>
    </row>
    <row r="13918">
      <c r="C13918" s="82"/>
      <c r="E13918" s="84"/>
      <c r="F13918" s="84"/>
      <c r="G13918" s="84"/>
      <c r="I13918" s="237"/>
      <c r="J13918" s="238"/>
    </row>
    <row r="13919">
      <c r="C13919" s="82"/>
      <c r="E13919" s="84"/>
      <c r="F13919" s="84"/>
      <c r="G13919" s="84"/>
      <c r="I13919" s="237"/>
      <c r="J13919" s="238"/>
    </row>
    <row r="13920">
      <c r="C13920" s="82"/>
      <c r="E13920" s="84"/>
      <c r="F13920" s="84"/>
      <c r="G13920" s="84"/>
      <c r="I13920" s="237"/>
      <c r="J13920" s="238"/>
    </row>
    <row r="13921">
      <c r="C13921" s="82"/>
      <c r="E13921" s="84"/>
      <c r="F13921" s="84"/>
      <c r="G13921" s="84"/>
      <c r="I13921" s="237"/>
      <c r="J13921" s="238"/>
    </row>
    <row r="13922">
      <c r="C13922" s="82"/>
      <c r="E13922" s="84"/>
      <c r="F13922" s="84"/>
      <c r="G13922" s="84"/>
      <c r="I13922" s="237"/>
      <c r="J13922" s="238"/>
    </row>
    <row r="13923">
      <c r="C13923" s="82"/>
      <c r="E13923" s="84"/>
      <c r="F13923" s="84"/>
      <c r="G13923" s="84"/>
      <c r="I13923" s="237"/>
      <c r="J13923" s="238"/>
    </row>
    <row r="13924">
      <c r="C13924" s="82"/>
      <c r="E13924" s="84"/>
      <c r="F13924" s="84"/>
      <c r="G13924" s="84"/>
      <c r="I13924" s="237"/>
      <c r="J13924" s="238"/>
    </row>
    <row r="13925">
      <c r="C13925" s="82"/>
      <c r="E13925" s="84"/>
      <c r="F13925" s="84"/>
      <c r="G13925" s="84"/>
      <c r="I13925" s="237"/>
      <c r="J13925" s="238"/>
    </row>
    <row r="13926">
      <c r="C13926" s="82"/>
      <c r="E13926" s="84"/>
      <c r="F13926" s="84"/>
      <c r="G13926" s="84"/>
      <c r="I13926" s="237"/>
      <c r="J13926" s="238"/>
    </row>
    <row r="13927">
      <c r="C13927" s="82"/>
      <c r="E13927" s="84"/>
      <c r="F13927" s="84"/>
      <c r="G13927" s="84"/>
      <c r="I13927" s="237"/>
      <c r="J13927" s="238"/>
    </row>
    <row r="13928">
      <c r="C13928" s="82"/>
      <c r="E13928" s="84"/>
      <c r="F13928" s="84"/>
      <c r="G13928" s="84"/>
      <c r="I13928" s="237"/>
      <c r="J13928" s="238"/>
    </row>
    <row r="13929">
      <c r="C13929" s="82"/>
      <c r="E13929" s="84"/>
      <c r="F13929" s="84"/>
      <c r="G13929" s="84"/>
      <c r="I13929" s="237"/>
      <c r="J13929" s="238"/>
    </row>
    <row r="13930">
      <c r="C13930" s="82"/>
      <c r="E13930" s="84"/>
      <c r="F13930" s="84"/>
      <c r="G13930" s="84"/>
      <c r="I13930" s="237"/>
      <c r="J13930" s="238"/>
    </row>
    <row r="13931">
      <c r="C13931" s="82"/>
      <c r="E13931" s="84"/>
      <c r="F13931" s="84"/>
      <c r="G13931" s="84"/>
      <c r="I13931" s="237"/>
      <c r="J13931" s="238"/>
    </row>
    <row r="13932">
      <c r="C13932" s="82"/>
      <c r="E13932" s="84"/>
      <c r="F13932" s="84"/>
      <c r="G13932" s="84"/>
      <c r="I13932" s="237"/>
      <c r="J13932" s="238"/>
    </row>
    <row r="13933">
      <c r="C13933" s="82"/>
      <c r="E13933" s="84"/>
      <c r="F13933" s="84"/>
      <c r="G13933" s="84"/>
      <c r="I13933" s="237"/>
      <c r="J13933" s="238"/>
    </row>
    <row r="13934">
      <c r="C13934" s="82"/>
      <c r="E13934" s="84"/>
      <c r="F13934" s="84"/>
      <c r="G13934" s="84"/>
      <c r="I13934" s="237"/>
      <c r="J13934" s="238"/>
    </row>
    <row r="13935">
      <c r="C13935" s="82"/>
      <c r="E13935" s="84"/>
      <c r="F13935" s="84"/>
      <c r="G13935" s="84"/>
      <c r="I13935" s="237"/>
      <c r="J13935" s="238"/>
    </row>
    <row r="13936">
      <c r="C13936" s="82"/>
      <c r="E13936" s="84"/>
      <c r="F13936" s="84"/>
      <c r="G13936" s="84"/>
      <c r="I13936" s="237"/>
      <c r="J13936" s="238"/>
    </row>
    <row r="13937">
      <c r="C13937" s="82"/>
      <c r="E13937" s="84"/>
      <c r="F13937" s="84"/>
      <c r="G13937" s="84"/>
      <c r="I13937" s="237"/>
      <c r="J13937" s="238"/>
    </row>
    <row r="13938">
      <c r="C13938" s="82"/>
      <c r="E13938" s="84"/>
      <c r="F13938" s="84"/>
      <c r="G13938" s="84"/>
      <c r="I13938" s="237"/>
      <c r="J13938" s="238"/>
    </row>
    <row r="13939">
      <c r="C13939" s="82"/>
      <c r="E13939" s="84"/>
      <c r="F13939" s="84"/>
      <c r="G13939" s="84"/>
      <c r="I13939" s="237"/>
      <c r="J13939" s="238"/>
    </row>
    <row r="13940">
      <c r="C13940" s="82"/>
      <c r="E13940" s="84"/>
      <c r="F13940" s="84"/>
      <c r="G13940" s="84"/>
      <c r="I13940" s="237"/>
      <c r="J13940" s="238"/>
    </row>
    <row r="13941">
      <c r="C13941" s="82"/>
      <c r="E13941" s="84"/>
      <c r="F13941" s="84"/>
      <c r="G13941" s="84"/>
      <c r="I13941" s="237"/>
      <c r="J13941" s="238"/>
    </row>
    <row r="13942">
      <c r="C13942" s="82"/>
      <c r="E13942" s="84"/>
      <c r="F13942" s="84"/>
      <c r="G13942" s="84"/>
      <c r="I13942" s="237"/>
      <c r="J13942" s="238"/>
    </row>
    <row r="13943">
      <c r="C13943" s="82"/>
      <c r="E13943" s="84"/>
      <c r="F13943" s="84"/>
      <c r="G13943" s="84"/>
      <c r="I13943" s="237"/>
      <c r="J13943" s="238"/>
    </row>
    <row r="13944">
      <c r="C13944" s="82"/>
      <c r="E13944" s="84"/>
      <c r="F13944" s="84"/>
      <c r="G13944" s="84"/>
      <c r="I13944" s="237"/>
      <c r="J13944" s="238"/>
    </row>
    <row r="13945">
      <c r="C13945" s="82"/>
      <c r="E13945" s="84"/>
      <c r="F13945" s="84"/>
      <c r="G13945" s="84"/>
      <c r="I13945" s="237"/>
      <c r="J13945" s="238"/>
    </row>
    <row r="13946">
      <c r="C13946" s="82"/>
      <c r="E13946" s="84"/>
      <c r="F13946" s="84"/>
      <c r="G13946" s="84"/>
      <c r="I13946" s="237"/>
      <c r="J13946" s="238"/>
    </row>
    <row r="13947">
      <c r="C13947" s="82"/>
      <c r="E13947" s="84"/>
      <c r="F13947" s="84"/>
      <c r="G13947" s="84"/>
      <c r="I13947" s="237"/>
      <c r="J13947" s="238"/>
    </row>
    <row r="13948">
      <c r="C13948" s="82"/>
      <c r="E13948" s="84"/>
      <c r="F13948" s="84"/>
      <c r="G13948" s="84"/>
      <c r="I13948" s="237"/>
      <c r="J13948" s="238"/>
    </row>
    <row r="13949">
      <c r="C13949" s="82"/>
      <c r="E13949" s="84"/>
      <c r="F13949" s="84"/>
      <c r="G13949" s="84"/>
      <c r="I13949" s="237"/>
      <c r="J13949" s="238"/>
    </row>
    <row r="13950">
      <c r="C13950" s="82"/>
      <c r="E13950" s="84"/>
      <c r="F13950" s="84"/>
      <c r="G13950" s="84"/>
      <c r="I13950" s="237"/>
      <c r="J13950" s="238"/>
    </row>
    <row r="13951">
      <c r="C13951" s="82"/>
      <c r="E13951" s="84"/>
      <c r="F13951" s="84"/>
      <c r="G13951" s="84"/>
      <c r="I13951" s="237"/>
      <c r="J13951" s="238"/>
    </row>
    <row r="13952">
      <c r="C13952" s="82"/>
      <c r="E13952" s="84"/>
      <c r="F13952" s="84"/>
      <c r="G13952" s="84"/>
      <c r="I13952" s="237"/>
      <c r="J13952" s="238"/>
    </row>
    <row r="13953">
      <c r="C13953" s="82"/>
      <c r="E13953" s="84"/>
      <c r="F13953" s="84"/>
      <c r="G13953" s="84"/>
      <c r="I13953" s="237"/>
      <c r="J13953" s="238"/>
    </row>
    <row r="13954">
      <c r="C13954" s="82"/>
      <c r="E13954" s="84"/>
      <c r="F13954" s="84"/>
      <c r="G13954" s="84"/>
      <c r="I13954" s="237"/>
      <c r="J13954" s="238"/>
    </row>
    <row r="13955">
      <c r="C13955" s="82"/>
      <c r="E13955" s="84"/>
      <c r="F13955" s="84"/>
      <c r="G13955" s="84"/>
      <c r="I13955" s="237"/>
      <c r="J13955" s="238"/>
    </row>
    <row r="13956">
      <c r="C13956" s="82"/>
      <c r="E13956" s="84"/>
      <c r="F13956" s="84"/>
      <c r="G13956" s="84"/>
      <c r="I13956" s="237"/>
      <c r="J13956" s="238"/>
    </row>
    <row r="13957">
      <c r="C13957" s="82"/>
      <c r="E13957" s="84"/>
      <c r="F13957" s="84"/>
      <c r="G13957" s="84"/>
      <c r="I13957" s="237"/>
      <c r="J13957" s="238"/>
    </row>
    <row r="13958">
      <c r="C13958" s="82"/>
      <c r="E13958" s="84"/>
      <c r="F13958" s="84"/>
      <c r="G13958" s="84"/>
      <c r="I13958" s="237"/>
      <c r="J13958" s="238"/>
    </row>
    <row r="13959">
      <c r="C13959" s="82"/>
      <c r="E13959" s="84"/>
      <c r="F13959" s="84"/>
      <c r="G13959" s="84"/>
      <c r="I13959" s="237"/>
      <c r="J13959" s="238"/>
    </row>
    <row r="13960">
      <c r="C13960" s="82"/>
      <c r="E13960" s="84"/>
      <c r="F13960" s="84"/>
      <c r="G13960" s="84"/>
      <c r="I13960" s="237"/>
      <c r="J13960" s="238"/>
    </row>
    <row r="13961">
      <c r="C13961" s="82"/>
      <c r="E13961" s="84"/>
      <c r="F13961" s="84"/>
      <c r="G13961" s="84"/>
      <c r="I13961" s="237"/>
      <c r="J13961" s="238"/>
    </row>
    <row r="13962">
      <c r="C13962" s="82"/>
      <c r="E13962" s="84"/>
      <c r="F13962" s="84"/>
      <c r="G13962" s="84"/>
      <c r="I13962" s="237"/>
      <c r="J13962" s="238"/>
    </row>
    <row r="13963">
      <c r="C13963" s="82"/>
      <c r="E13963" s="84"/>
      <c r="F13963" s="84"/>
      <c r="G13963" s="84"/>
      <c r="I13963" s="237"/>
      <c r="J13963" s="238"/>
    </row>
    <row r="13964">
      <c r="C13964" s="82"/>
      <c r="E13964" s="84"/>
      <c r="F13964" s="84"/>
      <c r="G13964" s="84"/>
      <c r="I13964" s="237"/>
      <c r="J13964" s="238"/>
    </row>
    <row r="13965">
      <c r="C13965" s="82"/>
      <c r="E13965" s="84"/>
      <c r="F13965" s="84"/>
      <c r="G13965" s="84"/>
      <c r="I13965" s="237"/>
      <c r="J13965" s="238"/>
    </row>
    <row r="13966">
      <c r="C13966" s="82"/>
      <c r="E13966" s="84"/>
      <c r="F13966" s="84"/>
      <c r="G13966" s="84"/>
      <c r="I13966" s="237"/>
      <c r="J13966" s="238"/>
    </row>
    <row r="13967">
      <c r="C13967" s="82"/>
      <c r="E13967" s="84"/>
      <c r="F13967" s="84"/>
      <c r="G13967" s="84"/>
      <c r="I13967" s="237"/>
      <c r="J13967" s="238"/>
    </row>
    <row r="13968">
      <c r="C13968" s="82"/>
      <c r="E13968" s="84"/>
      <c r="F13968" s="84"/>
      <c r="G13968" s="84"/>
      <c r="I13968" s="237"/>
      <c r="J13968" s="238"/>
    </row>
    <row r="13969">
      <c r="C13969" s="82"/>
      <c r="E13969" s="84"/>
      <c r="F13969" s="84"/>
      <c r="G13969" s="84"/>
      <c r="I13969" s="237"/>
      <c r="J13969" s="238"/>
    </row>
    <row r="13970">
      <c r="C13970" s="82"/>
      <c r="E13970" s="84"/>
      <c r="F13970" s="84"/>
      <c r="G13970" s="84"/>
      <c r="I13970" s="237"/>
      <c r="J13970" s="238"/>
    </row>
    <row r="13971">
      <c r="C13971" s="82"/>
      <c r="E13971" s="84"/>
      <c r="F13971" s="84"/>
      <c r="G13971" s="84"/>
      <c r="I13971" s="237"/>
      <c r="J13971" s="238"/>
    </row>
    <row r="13972">
      <c r="C13972" s="82"/>
      <c r="E13972" s="84"/>
      <c r="F13972" s="84"/>
      <c r="G13972" s="84"/>
      <c r="I13972" s="237"/>
      <c r="J13972" s="238"/>
    </row>
    <row r="13973">
      <c r="C13973" s="82"/>
      <c r="E13973" s="84"/>
      <c r="F13973" s="84"/>
      <c r="G13973" s="84"/>
      <c r="I13973" s="237"/>
      <c r="J13973" s="238"/>
    </row>
    <row r="13974">
      <c r="C13974" s="82"/>
      <c r="E13974" s="84"/>
      <c r="F13974" s="84"/>
      <c r="G13974" s="84"/>
      <c r="I13974" s="237"/>
      <c r="J13974" s="238"/>
    </row>
    <row r="13975">
      <c r="C13975" s="82"/>
      <c r="E13975" s="84"/>
      <c r="F13975" s="84"/>
      <c r="G13975" s="84"/>
      <c r="I13975" s="237"/>
      <c r="J13975" s="238"/>
    </row>
    <row r="13976">
      <c r="C13976" s="82"/>
      <c r="E13976" s="84"/>
      <c r="F13976" s="84"/>
      <c r="G13976" s="84"/>
      <c r="I13976" s="237"/>
      <c r="J13976" s="238"/>
    </row>
    <row r="13977">
      <c r="C13977" s="82"/>
      <c r="E13977" s="84"/>
      <c r="F13977" s="84"/>
      <c r="G13977" s="84"/>
      <c r="I13977" s="237"/>
      <c r="J13977" s="238"/>
    </row>
    <row r="13978">
      <c r="C13978" s="82"/>
      <c r="E13978" s="84"/>
      <c r="F13978" s="84"/>
      <c r="G13978" s="84"/>
      <c r="I13978" s="237"/>
      <c r="J13978" s="238"/>
    </row>
    <row r="13979">
      <c r="C13979" s="82"/>
      <c r="E13979" s="84"/>
      <c r="F13979" s="84"/>
      <c r="G13979" s="84"/>
      <c r="I13979" s="237"/>
      <c r="J13979" s="238"/>
    </row>
    <row r="13980">
      <c r="C13980" s="82"/>
      <c r="E13980" s="84"/>
      <c r="F13980" s="84"/>
      <c r="G13980" s="84"/>
      <c r="I13980" s="237"/>
      <c r="J13980" s="238"/>
    </row>
    <row r="13981">
      <c r="C13981" s="82"/>
      <c r="E13981" s="84"/>
      <c r="F13981" s="84"/>
      <c r="G13981" s="84"/>
      <c r="I13981" s="237"/>
      <c r="J13981" s="238"/>
    </row>
    <row r="13982">
      <c r="C13982" s="82"/>
      <c r="E13982" s="84"/>
      <c r="F13982" s="84"/>
      <c r="G13982" s="84"/>
      <c r="I13982" s="237"/>
      <c r="J13982" s="238"/>
    </row>
    <row r="13983">
      <c r="C13983" s="82"/>
      <c r="E13983" s="84"/>
      <c r="F13983" s="84"/>
      <c r="G13983" s="84"/>
      <c r="I13983" s="237"/>
      <c r="J13983" s="238"/>
    </row>
    <row r="13984">
      <c r="C13984" s="82"/>
      <c r="E13984" s="84"/>
      <c r="F13984" s="84"/>
      <c r="G13984" s="84"/>
      <c r="I13984" s="237"/>
      <c r="J13984" s="238"/>
    </row>
    <row r="13985">
      <c r="C13985" s="82"/>
      <c r="E13985" s="84"/>
      <c r="F13985" s="84"/>
      <c r="G13985" s="84"/>
      <c r="I13985" s="237"/>
      <c r="J13985" s="238"/>
    </row>
    <row r="13986">
      <c r="C13986" s="82"/>
      <c r="E13986" s="84"/>
      <c r="F13986" s="84"/>
      <c r="G13986" s="84"/>
      <c r="I13986" s="237"/>
      <c r="J13986" s="238"/>
    </row>
    <row r="13987">
      <c r="C13987" s="82"/>
      <c r="E13987" s="84"/>
      <c r="F13987" s="84"/>
      <c r="G13987" s="84"/>
      <c r="I13987" s="237"/>
      <c r="J13987" s="238"/>
    </row>
    <row r="13988">
      <c r="C13988" s="82"/>
      <c r="E13988" s="84"/>
      <c r="F13988" s="84"/>
      <c r="G13988" s="84"/>
      <c r="I13988" s="237"/>
      <c r="J13988" s="238"/>
    </row>
    <row r="13989">
      <c r="C13989" s="82"/>
      <c r="E13989" s="84"/>
      <c r="F13989" s="84"/>
      <c r="G13989" s="84"/>
      <c r="I13989" s="237"/>
      <c r="J13989" s="238"/>
    </row>
    <row r="13990">
      <c r="C13990" s="82"/>
      <c r="E13990" s="84"/>
      <c r="F13990" s="84"/>
      <c r="G13990" s="84"/>
      <c r="I13990" s="237"/>
      <c r="J13990" s="238"/>
    </row>
    <row r="13991">
      <c r="C13991" s="82"/>
      <c r="E13991" s="84"/>
      <c r="F13991" s="84"/>
      <c r="G13991" s="84"/>
      <c r="I13991" s="237"/>
      <c r="J13991" s="238"/>
    </row>
    <row r="13992">
      <c r="C13992" s="82"/>
      <c r="E13992" s="84"/>
      <c r="F13992" s="84"/>
      <c r="G13992" s="84"/>
      <c r="I13992" s="237"/>
      <c r="J13992" s="238"/>
    </row>
    <row r="13993">
      <c r="C13993" s="82"/>
      <c r="E13993" s="84"/>
      <c r="F13993" s="84"/>
      <c r="G13993" s="84"/>
      <c r="I13993" s="237"/>
      <c r="J13993" s="238"/>
    </row>
    <row r="13994">
      <c r="C13994" s="82"/>
      <c r="E13994" s="84"/>
      <c r="F13994" s="84"/>
      <c r="G13994" s="84"/>
      <c r="I13994" s="237"/>
      <c r="J13994" s="238"/>
    </row>
    <row r="13995">
      <c r="C13995" s="82"/>
      <c r="E13995" s="84"/>
      <c r="F13995" s="84"/>
      <c r="G13995" s="84"/>
      <c r="I13995" s="237"/>
      <c r="J13995" s="238"/>
    </row>
    <row r="13996">
      <c r="C13996" s="82"/>
      <c r="E13996" s="84"/>
      <c r="F13996" s="84"/>
      <c r="G13996" s="84"/>
      <c r="I13996" s="237"/>
      <c r="J13996" s="238"/>
    </row>
    <row r="13997">
      <c r="C13997" s="82"/>
      <c r="E13997" s="84"/>
      <c r="F13997" s="84"/>
      <c r="G13997" s="84"/>
      <c r="I13997" s="237"/>
      <c r="J13997" s="238"/>
    </row>
    <row r="13998">
      <c r="C13998" s="82"/>
      <c r="E13998" s="84"/>
      <c r="F13998" s="84"/>
      <c r="G13998" s="84"/>
      <c r="I13998" s="237"/>
      <c r="J13998" s="238"/>
    </row>
    <row r="13999">
      <c r="C13999" s="82"/>
      <c r="E13999" s="84"/>
      <c r="F13999" s="84"/>
      <c r="G13999" s="84"/>
      <c r="I13999" s="237"/>
      <c r="J13999" s="238"/>
    </row>
    <row r="14000">
      <c r="C14000" s="82"/>
      <c r="E14000" s="84"/>
      <c r="F14000" s="84"/>
      <c r="G14000" s="84"/>
      <c r="I14000" s="237"/>
      <c r="J14000" s="238"/>
    </row>
    <row r="14001">
      <c r="C14001" s="82"/>
      <c r="E14001" s="84"/>
      <c r="F14001" s="84"/>
      <c r="G14001" s="84"/>
      <c r="I14001" s="237"/>
      <c r="J14001" s="238"/>
    </row>
    <row r="14002">
      <c r="C14002" s="82"/>
      <c r="E14002" s="84"/>
      <c r="F14002" s="84"/>
      <c r="G14002" s="84"/>
      <c r="I14002" s="237"/>
      <c r="J14002" s="238"/>
    </row>
    <row r="14003">
      <c r="C14003" s="82"/>
      <c r="E14003" s="84"/>
      <c r="F14003" s="84"/>
      <c r="G14003" s="84"/>
      <c r="I14003" s="237"/>
      <c r="J14003" s="238"/>
    </row>
    <row r="14004">
      <c r="C14004" s="82"/>
      <c r="E14004" s="84"/>
      <c r="F14004" s="84"/>
      <c r="G14004" s="84"/>
      <c r="I14004" s="237"/>
      <c r="J14004" s="238"/>
    </row>
    <row r="14005">
      <c r="C14005" s="82"/>
      <c r="E14005" s="84"/>
      <c r="F14005" s="84"/>
      <c r="G14005" s="84"/>
      <c r="I14005" s="237"/>
      <c r="J14005" s="238"/>
    </row>
    <row r="14006">
      <c r="C14006" s="82"/>
      <c r="E14006" s="84"/>
      <c r="F14006" s="84"/>
      <c r="G14006" s="84"/>
      <c r="I14006" s="237"/>
      <c r="J14006" s="238"/>
    </row>
    <row r="14007">
      <c r="C14007" s="82"/>
      <c r="E14007" s="84"/>
      <c r="F14007" s="84"/>
      <c r="G14007" s="84"/>
      <c r="I14007" s="237"/>
      <c r="J14007" s="238"/>
    </row>
    <row r="14008">
      <c r="C14008" s="82"/>
      <c r="E14008" s="84"/>
      <c r="F14008" s="84"/>
      <c r="G14008" s="84"/>
      <c r="I14008" s="237"/>
      <c r="J14008" s="238"/>
    </row>
    <row r="14009">
      <c r="C14009" s="82"/>
      <c r="E14009" s="84"/>
      <c r="F14009" s="84"/>
      <c r="G14009" s="84"/>
      <c r="I14009" s="237"/>
      <c r="J14009" s="238"/>
    </row>
    <row r="14010">
      <c r="C14010" s="82"/>
      <c r="E14010" s="84"/>
      <c r="F14010" s="84"/>
      <c r="G14010" s="84"/>
      <c r="I14010" s="237"/>
      <c r="J14010" s="238"/>
    </row>
    <row r="14011">
      <c r="C14011" s="82"/>
      <c r="E14011" s="84"/>
      <c r="F14011" s="84"/>
      <c r="G14011" s="84"/>
      <c r="I14011" s="237"/>
      <c r="J14011" s="238"/>
    </row>
    <row r="14012">
      <c r="C14012" s="82"/>
      <c r="E14012" s="84"/>
      <c r="F14012" s="84"/>
      <c r="G14012" s="84"/>
      <c r="I14012" s="237"/>
      <c r="J14012" s="238"/>
    </row>
    <row r="14013">
      <c r="C14013" s="82"/>
      <c r="E14013" s="84"/>
      <c r="F14013" s="84"/>
      <c r="G14013" s="84"/>
      <c r="I14013" s="237"/>
      <c r="J14013" s="238"/>
    </row>
    <row r="14014">
      <c r="C14014" s="82"/>
      <c r="E14014" s="84"/>
      <c r="F14014" s="84"/>
      <c r="G14014" s="84"/>
      <c r="I14014" s="237"/>
      <c r="J14014" s="238"/>
    </row>
    <row r="14015">
      <c r="C14015" s="82"/>
      <c r="E14015" s="84"/>
      <c r="F14015" s="84"/>
      <c r="G14015" s="84"/>
      <c r="I14015" s="237"/>
      <c r="J14015" s="238"/>
    </row>
    <row r="14016">
      <c r="C14016" s="82"/>
      <c r="E14016" s="84"/>
      <c r="F14016" s="84"/>
      <c r="G14016" s="84"/>
      <c r="I14016" s="237"/>
      <c r="J14016" s="238"/>
    </row>
    <row r="14017">
      <c r="C14017" s="82"/>
      <c r="E14017" s="84"/>
      <c r="F14017" s="84"/>
      <c r="G14017" s="84"/>
      <c r="I14017" s="237"/>
      <c r="J14017" s="238"/>
    </row>
    <row r="14018">
      <c r="C14018" s="82"/>
      <c r="E14018" s="84"/>
      <c r="F14018" s="84"/>
      <c r="G14018" s="84"/>
      <c r="I14018" s="237"/>
      <c r="J14018" s="238"/>
    </row>
    <row r="14019">
      <c r="C14019" s="82"/>
      <c r="E14019" s="84"/>
      <c r="F14019" s="84"/>
      <c r="G14019" s="84"/>
      <c r="I14019" s="237"/>
      <c r="J14019" s="238"/>
    </row>
    <row r="14020">
      <c r="C14020" s="82"/>
      <c r="E14020" s="84"/>
      <c r="F14020" s="84"/>
      <c r="G14020" s="84"/>
      <c r="I14020" s="237"/>
      <c r="J14020" s="238"/>
    </row>
    <row r="14021">
      <c r="C14021" s="82"/>
      <c r="E14021" s="84"/>
      <c r="F14021" s="84"/>
      <c r="G14021" s="84"/>
      <c r="I14021" s="237"/>
      <c r="J14021" s="238"/>
    </row>
    <row r="14022">
      <c r="C14022" s="82"/>
      <c r="E14022" s="84"/>
      <c r="F14022" s="84"/>
      <c r="G14022" s="84"/>
      <c r="I14022" s="237"/>
      <c r="J14022" s="238"/>
    </row>
    <row r="14023">
      <c r="C14023" s="82"/>
      <c r="E14023" s="84"/>
      <c r="F14023" s="84"/>
      <c r="G14023" s="84"/>
      <c r="I14023" s="237"/>
      <c r="J14023" s="238"/>
    </row>
    <row r="14024">
      <c r="C14024" s="82"/>
      <c r="E14024" s="84"/>
      <c r="F14024" s="84"/>
      <c r="G14024" s="84"/>
      <c r="I14024" s="237"/>
      <c r="J14024" s="238"/>
    </row>
    <row r="14025">
      <c r="C14025" s="82"/>
      <c r="E14025" s="84"/>
      <c r="F14025" s="84"/>
      <c r="G14025" s="84"/>
      <c r="I14025" s="237"/>
      <c r="J14025" s="238"/>
    </row>
    <row r="14026">
      <c r="C14026" s="82"/>
      <c r="E14026" s="84"/>
      <c r="F14026" s="84"/>
      <c r="G14026" s="84"/>
      <c r="I14026" s="237"/>
      <c r="J14026" s="238"/>
    </row>
    <row r="14027">
      <c r="C14027" s="82"/>
      <c r="E14027" s="84"/>
      <c r="F14027" s="84"/>
      <c r="G14027" s="84"/>
      <c r="I14027" s="237"/>
      <c r="J14027" s="238"/>
    </row>
    <row r="14028">
      <c r="C14028" s="82"/>
      <c r="E14028" s="84"/>
      <c r="F14028" s="84"/>
      <c r="G14028" s="84"/>
      <c r="I14028" s="237"/>
      <c r="J14028" s="238"/>
    </row>
    <row r="14029">
      <c r="C14029" s="82"/>
      <c r="E14029" s="84"/>
      <c r="F14029" s="84"/>
      <c r="G14029" s="84"/>
      <c r="I14029" s="237"/>
      <c r="J14029" s="238"/>
    </row>
    <row r="14030">
      <c r="C14030" s="82"/>
      <c r="E14030" s="84"/>
      <c r="F14030" s="84"/>
      <c r="G14030" s="84"/>
      <c r="I14030" s="237"/>
      <c r="J14030" s="238"/>
    </row>
    <row r="14031">
      <c r="C14031" s="82"/>
      <c r="E14031" s="84"/>
      <c r="F14031" s="84"/>
      <c r="G14031" s="84"/>
      <c r="I14031" s="237"/>
      <c r="J14031" s="238"/>
    </row>
    <row r="14032">
      <c r="C14032" s="82"/>
      <c r="E14032" s="84"/>
      <c r="F14032" s="84"/>
      <c r="G14032" s="84"/>
      <c r="I14032" s="237"/>
      <c r="J14032" s="238"/>
    </row>
    <row r="14033">
      <c r="C14033" s="82"/>
      <c r="E14033" s="84"/>
      <c r="F14033" s="84"/>
      <c r="G14033" s="84"/>
      <c r="I14033" s="237"/>
      <c r="J14033" s="238"/>
    </row>
    <row r="14034">
      <c r="C14034" s="82"/>
      <c r="E14034" s="84"/>
      <c r="F14034" s="84"/>
      <c r="G14034" s="84"/>
      <c r="I14034" s="237"/>
      <c r="J14034" s="238"/>
    </row>
    <row r="14035">
      <c r="C14035" s="82"/>
      <c r="E14035" s="84"/>
      <c r="F14035" s="84"/>
      <c r="G14035" s="84"/>
      <c r="I14035" s="237"/>
      <c r="J14035" s="238"/>
    </row>
    <row r="14036">
      <c r="C14036" s="82"/>
      <c r="E14036" s="84"/>
      <c r="F14036" s="84"/>
      <c r="G14036" s="84"/>
      <c r="I14036" s="237"/>
      <c r="J14036" s="238"/>
    </row>
    <row r="14037">
      <c r="C14037" s="82"/>
      <c r="E14037" s="84"/>
      <c r="F14037" s="84"/>
      <c r="G14037" s="84"/>
      <c r="I14037" s="237"/>
      <c r="J14037" s="238"/>
    </row>
    <row r="14038">
      <c r="C14038" s="82"/>
      <c r="E14038" s="84"/>
      <c r="F14038" s="84"/>
      <c r="G14038" s="84"/>
      <c r="I14038" s="237"/>
      <c r="J14038" s="238"/>
    </row>
    <row r="14039">
      <c r="C14039" s="82"/>
      <c r="E14039" s="84"/>
      <c r="F14039" s="84"/>
      <c r="G14039" s="84"/>
      <c r="I14039" s="237"/>
      <c r="J14039" s="238"/>
    </row>
    <row r="14040">
      <c r="C14040" s="82"/>
      <c r="E14040" s="84"/>
      <c r="F14040" s="84"/>
      <c r="G14040" s="84"/>
      <c r="I14040" s="237"/>
      <c r="J14040" s="238"/>
    </row>
    <row r="14041">
      <c r="C14041" s="82"/>
      <c r="E14041" s="84"/>
      <c r="F14041" s="84"/>
      <c r="G14041" s="84"/>
      <c r="I14041" s="237"/>
      <c r="J14041" s="238"/>
    </row>
    <row r="14042">
      <c r="C14042" s="82"/>
      <c r="E14042" s="84"/>
      <c r="F14042" s="84"/>
      <c r="G14042" s="84"/>
      <c r="I14042" s="237"/>
      <c r="J14042" s="238"/>
    </row>
    <row r="14043">
      <c r="C14043" s="82"/>
      <c r="E14043" s="84"/>
      <c r="F14043" s="84"/>
      <c r="G14043" s="84"/>
      <c r="I14043" s="237"/>
      <c r="J14043" s="238"/>
    </row>
    <row r="14044">
      <c r="C14044" s="82"/>
      <c r="E14044" s="84"/>
      <c r="F14044" s="84"/>
      <c r="G14044" s="84"/>
      <c r="I14044" s="237"/>
      <c r="J14044" s="238"/>
    </row>
    <row r="14045">
      <c r="C14045" s="82"/>
      <c r="E14045" s="84"/>
      <c r="F14045" s="84"/>
      <c r="G14045" s="84"/>
      <c r="I14045" s="237"/>
      <c r="J14045" s="238"/>
    </row>
    <row r="14046">
      <c r="C14046" s="82"/>
      <c r="E14046" s="84"/>
      <c r="F14046" s="84"/>
      <c r="G14046" s="84"/>
      <c r="I14046" s="237"/>
      <c r="J14046" s="238"/>
    </row>
    <row r="14047">
      <c r="C14047" s="82"/>
      <c r="E14047" s="84"/>
      <c r="F14047" s="84"/>
      <c r="G14047" s="84"/>
      <c r="I14047" s="237"/>
      <c r="J14047" s="238"/>
    </row>
    <row r="14048">
      <c r="C14048" s="82"/>
      <c r="E14048" s="84"/>
      <c r="F14048" s="84"/>
      <c r="G14048" s="84"/>
      <c r="I14048" s="237"/>
      <c r="J14048" s="238"/>
    </row>
    <row r="14049">
      <c r="C14049" s="82"/>
      <c r="E14049" s="84"/>
      <c r="F14049" s="84"/>
      <c r="G14049" s="84"/>
      <c r="I14049" s="237"/>
      <c r="J14049" s="238"/>
    </row>
    <row r="14050">
      <c r="C14050" s="82"/>
      <c r="E14050" s="84"/>
      <c r="F14050" s="84"/>
      <c r="G14050" s="84"/>
      <c r="I14050" s="237"/>
      <c r="J14050" s="238"/>
    </row>
    <row r="14051">
      <c r="C14051" s="82"/>
      <c r="E14051" s="84"/>
      <c r="F14051" s="84"/>
      <c r="G14051" s="84"/>
      <c r="I14051" s="237"/>
      <c r="J14051" s="238"/>
    </row>
    <row r="14052">
      <c r="C14052" s="82"/>
      <c r="E14052" s="84"/>
      <c r="F14052" s="84"/>
      <c r="G14052" s="84"/>
      <c r="I14052" s="237"/>
      <c r="J14052" s="238"/>
    </row>
    <row r="14053">
      <c r="C14053" s="82"/>
      <c r="E14053" s="84"/>
      <c r="F14053" s="84"/>
      <c r="G14053" s="84"/>
      <c r="I14053" s="237"/>
      <c r="J14053" s="238"/>
    </row>
    <row r="14054">
      <c r="C14054" s="82"/>
      <c r="E14054" s="84"/>
      <c r="F14054" s="84"/>
      <c r="G14054" s="84"/>
      <c r="I14054" s="237"/>
      <c r="J14054" s="238"/>
    </row>
    <row r="14055">
      <c r="C14055" s="82"/>
      <c r="E14055" s="84"/>
      <c r="F14055" s="84"/>
      <c r="G14055" s="84"/>
      <c r="I14055" s="237"/>
      <c r="J14055" s="238"/>
    </row>
    <row r="14056">
      <c r="C14056" s="82"/>
      <c r="E14056" s="84"/>
      <c r="F14056" s="84"/>
      <c r="G14056" s="84"/>
      <c r="I14056" s="237"/>
      <c r="J14056" s="238"/>
    </row>
    <row r="14057">
      <c r="C14057" s="82"/>
      <c r="E14057" s="84"/>
      <c r="F14057" s="84"/>
      <c r="G14057" s="84"/>
      <c r="I14057" s="237"/>
      <c r="J14057" s="238"/>
    </row>
    <row r="14058">
      <c r="C14058" s="82"/>
      <c r="E14058" s="84"/>
      <c r="F14058" s="84"/>
      <c r="G14058" s="84"/>
      <c r="I14058" s="237"/>
      <c r="J14058" s="238"/>
    </row>
    <row r="14059">
      <c r="C14059" s="82"/>
      <c r="E14059" s="84"/>
      <c r="F14059" s="84"/>
      <c r="G14059" s="84"/>
      <c r="I14059" s="237"/>
      <c r="J14059" s="238"/>
    </row>
    <row r="14060">
      <c r="C14060" s="82"/>
      <c r="E14060" s="84"/>
      <c r="F14060" s="84"/>
      <c r="G14060" s="84"/>
      <c r="I14060" s="237"/>
      <c r="J14060" s="238"/>
    </row>
    <row r="14061">
      <c r="C14061" s="82"/>
      <c r="E14061" s="84"/>
      <c r="F14061" s="84"/>
      <c r="G14061" s="84"/>
      <c r="I14061" s="237"/>
      <c r="J14061" s="238"/>
    </row>
    <row r="14062">
      <c r="C14062" s="82"/>
      <c r="E14062" s="84"/>
      <c r="F14062" s="84"/>
      <c r="G14062" s="84"/>
      <c r="I14062" s="237"/>
      <c r="J14062" s="238"/>
    </row>
    <row r="14063">
      <c r="C14063" s="82"/>
      <c r="E14063" s="84"/>
      <c r="F14063" s="84"/>
      <c r="G14063" s="84"/>
      <c r="I14063" s="237"/>
      <c r="J14063" s="238"/>
    </row>
    <row r="14064">
      <c r="C14064" s="82"/>
      <c r="E14064" s="84"/>
      <c r="F14064" s="84"/>
      <c r="G14064" s="84"/>
      <c r="I14064" s="237"/>
      <c r="J14064" s="238"/>
    </row>
    <row r="14065">
      <c r="C14065" s="82"/>
      <c r="E14065" s="84"/>
      <c r="F14065" s="84"/>
      <c r="G14065" s="84"/>
      <c r="I14065" s="237"/>
      <c r="J14065" s="238"/>
    </row>
    <row r="14066">
      <c r="C14066" s="82"/>
      <c r="E14066" s="84"/>
      <c r="F14066" s="84"/>
      <c r="G14066" s="84"/>
      <c r="I14066" s="237"/>
      <c r="J14066" s="238"/>
    </row>
    <row r="14067">
      <c r="C14067" s="82"/>
      <c r="E14067" s="84"/>
      <c r="F14067" s="84"/>
      <c r="G14067" s="84"/>
      <c r="I14067" s="237"/>
      <c r="J14067" s="238"/>
    </row>
    <row r="14068">
      <c r="C14068" s="82"/>
      <c r="E14068" s="84"/>
      <c r="F14068" s="84"/>
      <c r="G14068" s="84"/>
      <c r="I14068" s="237"/>
      <c r="J14068" s="238"/>
    </row>
    <row r="14069">
      <c r="C14069" s="82"/>
      <c r="E14069" s="84"/>
      <c r="F14069" s="84"/>
      <c r="G14069" s="84"/>
      <c r="I14069" s="237"/>
      <c r="J14069" s="238"/>
    </row>
    <row r="14070">
      <c r="C14070" s="82"/>
      <c r="E14070" s="84"/>
      <c r="F14070" s="84"/>
      <c r="G14070" s="84"/>
      <c r="I14070" s="237"/>
      <c r="J14070" s="238"/>
    </row>
    <row r="14071">
      <c r="C14071" s="82"/>
      <c r="E14071" s="84"/>
      <c r="F14071" s="84"/>
      <c r="G14071" s="84"/>
      <c r="I14071" s="237"/>
      <c r="J14071" s="238"/>
    </row>
    <row r="14072">
      <c r="C14072" s="82"/>
      <c r="E14072" s="84"/>
      <c r="F14072" s="84"/>
      <c r="G14072" s="84"/>
      <c r="I14072" s="237"/>
      <c r="J14072" s="238"/>
    </row>
    <row r="14073">
      <c r="C14073" s="82"/>
      <c r="E14073" s="84"/>
      <c r="F14073" s="84"/>
      <c r="G14073" s="84"/>
      <c r="I14073" s="237"/>
      <c r="J14073" s="238"/>
    </row>
    <row r="14074">
      <c r="C14074" s="82"/>
      <c r="E14074" s="84"/>
      <c r="F14074" s="84"/>
      <c r="G14074" s="84"/>
      <c r="I14074" s="237"/>
      <c r="J14074" s="238"/>
    </row>
    <row r="14075">
      <c r="C14075" s="82"/>
      <c r="E14075" s="84"/>
      <c r="F14075" s="84"/>
      <c r="G14075" s="84"/>
      <c r="I14075" s="237"/>
      <c r="J14075" s="238"/>
    </row>
    <row r="14076">
      <c r="C14076" s="82"/>
      <c r="E14076" s="84"/>
      <c r="F14076" s="84"/>
      <c r="G14076" s="84"/>
      <c r="I14076" s="237"/>
      <c r="J14076" s="238"/>
    </row>
    <row r="14077">
      <c r="C14077" s="82"/>
      <c r="E14077" s="84"/>
      <c r="F14077" s="84"/>
      <c r="G14077" s="84"/>
      <c r="I14077" s="237"/>
      <c r="J14077" s="238"/>
    </row>
    <row r="14078">
      <c r="C14078" s="82"/>
      <c r="E14078" s="84"/>
      <c r="F14078" s="84"/>
      <c r="G14078" s="84"/>
      <c r="I14078" s="237"/>
      <c r="J14078" s="238"/>
    </row>
    <row r="14079">
      <c r="C14079" s="82"/>
      <c r="E14079" s="84"/>
      <c r="F14079" s="84"/>
      <c r="G14079" s="84"/>
      <c r="I14079" s="237"/>
      <c r="J14079" s="238"/>
    </row>
    <row r="14080">
      <c r="C14080" s="82"/>
      <c r="E14080" s="84"/>
      <c r="F14080" s="84"/>
      <c r="G14080" s="84"/>
      <c r="I14080" s="237"/>
      <c r="J14080" s="238"/>
    </row>
    <row r="14081">
      <c r="C14081" s="82"/>
      <c r="E14081" s="84"/>
      <c r="F14081" s="84"/>
      <c r="G14081" s="84"/>
      <c r="I14081" s="237"/>
      <c r="J14081" s="238"/>
    </row>
    <row r="14082">
      <c r="C14082" s="82"/>
      <c r="E14082" s="84"/>
      <c r="F14082" s="84"/>
      <c r="G14082" s="84"/>
      <c r="I14082" s="237"/>
      <c r="J14082" s="238"/>
    </row>
    <row r="14083">
      <c r="C14083" s="82"/>
      <c r="E14083" s="84"/>
      <c r="F14083" s="84"/>
      <c r="G14083" s="84"/>
      <c r="I14083" s="237"/>
      <c r="J14083" s="238"/>
    </row>
    <row r="14084">
      <c r="C14084" s="82"/>
      <c r="E14084" s="84"/>
      <c r="F14084" s="84"/>
      <c r="G14084" s="84"/>
      <c r="I14084" s="237"/>
      <c r="J14084" s="238"/>
    </row>
    <row r="14085">
      <c r="C14085" s="82"/>
      <c r="E14085" s="84"/>
      <c r="F14085" s="84"/>
      <c r="G14085" s="84"/>
      <c r="I14085" s="237"/>
      <c r="J14085" s="238"/>
    </row>
    <row r="14086">
      <c r="C14086" s="82"/>
      <c r="E14086" s="84"/>
      <c r="F14086" s="84"/>
      <c r="G14086" s="84"/>
      <c r="I14086" s="237"/>
      <c r="J14086" s="238"/>
    </row>
    <row r="14087">
      <c r="C14087" s="82"/>
      <c r="E14087" s="84"/>
      <c r="F14087" s="84"/>
      <c r="G14087" s="84"/>
      <c r="I14087" s="237"/>
      <c r="J14087" s="238"/>
    </row>
    <row r="14088">
      <c r="C14088" s="82"/>
      <c r="E14088" s="84"/>
      <c r="F14088" s="84"/>
      <c r="G14088" s="84"/>
      <c r="I14088" s="237"/>
      <c r="J14088" s="238"/>
    </row>
    <row r="14089">
      <c r="C14089" s="82"/>
      <c r="E14089" s="84"/>
      <c r="F14089" s="84"/>
      <c r="G14089" s="84"/>
      <c r="I14089" s="237"/>
      <c r="J14089" s="238"/>
    </row>
    <row r="14090">
      <c r="C14090" s="82"/>
      <c r="E14090" s="84"/>
      <c r="F14090" s="84"/>
      <c r="G14090" s="84"/>
      <c r="I14090" s="237"/>
      <c r="J14090" s="238"/>
    </row>
    <row r="14091">
      <c r="C14091" s="82"/>
      <c r="E14091" s="84"/>
      <c r="F14091" s="84"/>
      <c r="G14091" s="84"/>
      <c r="I14091" s="237"/>
      <c r="J14091" s="238"/>
    </row>
    <row r="14092">
      <c r="C14092" s="82"/>
      <c r="E14092" s="84"/>
      <c r="F14092" s="84"/>
      <c r="G14092" s="84"/>
      <c r="I14092" s="237"/>
      <c r="J14092" s="238"/>
    </row>
    <row r="14093">
      <c r="C14093" s="82"/>
      <c r="E14093" s="84"/>
      <c r="F14093" s="84"/>
      <c r="G14093" s="84"/>
      <c r="I14093" s="237"/>
      <c r="J14093" s="238"/>
    </row>
    <row r="14094">
      <c r="C14094" s="82"/>
      <c r="E14094" s="84"/>
      <c r="F14094" s="84"/>
      <c r="G14094" s="84"/>
      <c r="I14094" s="237"/>
      <c r="J14094" s="238"/>
    </row>
    <row r="14095">
      <c r="C14095" s="82"/>
      <c r="E14095" s="84"/>
      <c r="F14095" s="84"/>
      <c r="G14095" s="84"/>
      <c r="I14095" s="237"/>
      <c r="J14095" s="238"/>
    </row>
    <row r="14096">
      <c r="C14096" s="82"/>
      <c r="E14096" s="84"/>
      <c r="F14096" s="84"/>
      <c r="G14096" s="84"/>
      <c r="I14096" s="237"/>
      <c r="J14096" s="238"/>
    </row>
    <row r="14097">
      <c r="C14097" s="82"/>
      <c r="E14097" s="84"/>
      <c r="F14097" s="84"/>
      <c r="G14097" s="84"/>
      <c r="I14097" s="237"/>
      <c r="J14097" s="238"/>
    </row>
    <row r="14098">
      <c r="C14098" s="82"/>
      <c r="E14098" s="84"/>
      <c r="F14098" s="84"/>
      <c r="G14098" s="84"/>
      <c r="I14098" s="237"/>
      <c r="J14098" s="238"/>
    </row>
    <row r="14099">
      <c r="C14099" s="82"/>
      <c r="E14099" s="84"/>
      <c r="F14099" s="84"/>
      <c r="G14099" s="84"/>
      <c r="I14099" s="237"/>
      <c r="J14099" s="238"/>
    </row>
    <row r="14100">
      <c r="C14100" s="82"/>
      <c r="E14100" s="84"/>
      <c r="F14100" s="84"/>
      <c r="G14100" s="84"/>
      <c r="I14100" s="237"/>
      <c r="J14100" s="238"/>
    </row>
    <row r="14101">
      <c r="C14101" s="82"/>
      <c r="E14101" s="84"/>
      <c r="F14101" s="84"/>
      <c r="G14101" s="84"/>
      <c r="I14101" s="237"/>
      <c r="J14101" s="238"/>
    </row>
    <row r="14102">
      <c r="C14102" s="82"/>
      <c r="E14102" s="84"/>
      <c r="F14102" s="84"/>
      <c r="G14102" s="84"/>
      <c r="I14102" s="237"/>
      <c r="J14102" s="238"/>
    </row>
    <row r="14103">
      <c r="C14103" s="82"/>
      <c r="E14103" s="84"/>
      <c r="F14103" s="84"/>
      <c r="G14103" s="84"/>
      <c r="I14103" s="237"/>
      <c r="J14103" s="238"/>
    </row>
    <row r="14104">
      <c r="C14104" s="82"/>
      <c r="E14104" s="84"/>
      <c r="F14104" s="84"/>
      <c r="G14104" s="84"/>
      <c r="I14104" s="237"/>
      <c r="J14104" s="238"/>
    </row>
    <row r="14105">
      <c r="C14105" s="82"/>
      <c r="E14105" s="84"/>
      <c r="F14105" s="84"/>
      <c r="G14105" s="84"/>
      <c r="I14105" s="237"/>
      <c r="J14105" s="238"/>
    </row>
    <row r="14106">
      <c r="C14106" s="82"/>
      <c r="E14106" s="84"/>
      <c r="F14106" s="84"/>
      <c r="G14106" s="84"/>
      <c r="I14106" s="237"/>
      <c r="J14106" s="238"/>
    </row>
    <row r="14107">
      <c r="C14107" s="82"/>
      <c r="E14107" s="84"/>
      <c r="F14107" s="84"/>
      <c r="G14107" s="84"/>
      <c r="I14107" s="237"/>
      <c r="J14107" s="238"/>
    </row>
    <row r="14108">
      <c r="C14108" s="82"/>
      <c r="E14108" s="84"/>
      <c r="F14108" s="84"/>
      <c r="G14108" s="84"/>
      <c r="I14108" s="237"/>
      <c r="J14108" s="238"/>
    </row>
    <row r="14109">
      <c r="C14109" s="82"/>
      <c r="E14109" s="84"/>
      <c r="F14109" s="84"/>
      <c r="G14109" s="84"/>
      <c r="I14109" s="237"/>
      <c r="J14109" s="238"/>
    </row>
    <row r="14110">
      <c r="C14110" s="82"/>
      <c r="E14110" s="84"/>
      <c r="F14110" s="84"/>
      <c r="G14110" s="84"/>
      <c r="I14110" s="237"/>
      <c r="J14110" s="238"/>
    </row>
    <row r="14111">
      <c r="C14111" s="82"/>
      <c r="E14111" s="84"/>
      <c r="F14111" s="84"/>
      <c r="G14111" s="84"/>
      <c r="I14111" s="237"/>
      <c r="J14111" s="238"/>
    </row>
    <row r="14112">
      <c r="C14112" s="82"/>
      <c r="E14112" s="84"/>
      <c r="F14112" s="84"/>
      <c r="G14112" s="84"/>
      <c r="I14112" s="237"/>
      <c r="J14112" s="238"/>
    </row>
    <row r="14113">
      <c r="C14113" s="82"/>
      <c r="E14113" s="84"/>
      <c r="F14113" s="84"/>
      <c r="G14113" s="84"/>
      <c r="I14113" s="237"/>
      <c r="J14113" s="238"/>
    </row>
    <row r="14114">
      <c r="C14114" s="82"/>
      <c r="E14114" s="84"/>
      <c r="F14114" s="84"/>
      <c r="G14114" s="84"/>
      <c r="I14114" s="237"/>
      <c r="J14114" s="238"/>
    </row>
    <row r="14115">
      <c r="C14115" s="82"/>
      <c r="E14115" s="84"/>
      <c r="F14115" s="84"/>
      <c r="G14115" s="84"/>
      <c r="I14115" s="237"/>
      <c r="J14115" s="238"/>
    </row>
    <row r="14116">
      <c r="C14116" s="82"/>
      <c r="E14116" s="84"/>
      <c r="F14116" s="84"/>
      <c r="G14116" s="84"/>
      <c r="I14116" s="237"/>
      <c r="J14116" s="238"/>
    </row>
    <row r="14117">
      <c r="C14117" s="82"/>
      <c r="E14117" s="84"/>
      <c r="F14117" s="84"/>
      <c r="G14117" s="84"/>
      <c r="I14117" s="237"/>
      <c r="J14117" s="238"/>
    </row>
    <row r="14118">
      <c r="C14118" s="82"/>
      <c r="E14118" s="84"/>
      <c r="F14118" s="84"/>
      <c r="G14118" s="84"/>
      <c r="I14118" s="237"/>
      <c r="J14118" s="238"/>
    </row>
    <row r="14119">
      <c r="C14119" s="82"/>
      <c r="E14119" s="84"/>
      <c r="F14119" s="84"/>
      <c r="G14119" s="84"/>
      <c r="I14119" s="237"/>
      <c r="J14119" s="238"/>
    </row>
    <row r="14120">
      <c r="C14120" s="82"/>
      <c r="E14120" s="84"/>
      <c r="F14120" s="84"/>
      <c r="G14120" s="84"/>
      <c r="I14120" s="237"/>
      <c r="J14120" s="238"/>
    </row>
    <row r="14121">
      <c r="C14121" s="82"/>
      <c r="E14121" s="84"/>
      <c r="F14121" s="84"/>
      <c r="G14121" s="84"/>
      <c r="I14121" s="237"/>
      <c r="J14121" s="238"/>
    </row>
    <row r="14122">
      <c r="C14122" s="82"/>
      <c r="E14122" s="84"/>
      <c r="F14122" s="84"/>
      <c r="G14122" s="84"/>
      <c r="I14122" s="237"/>
      <c r="J14122" s="238"/>
    </row>
    <row r="14123">
      <c r="C14123" s="82"/>
      <c r="E14123" s="84"/>
      <c r="F14123" s="84"/>
      <c r="G14123" s="84"/>
      <c r="I14123" s="237"/>
      <c r="J14123" s="238"/>
    </row>
    <row r="14124">
      <c r="C14124" s="82"/>
      <c r="E14124" s="84"/>
      <c r="F14124" s="84"/>
      <c r="G14124" s="84"/>
      <c r="I14124" s="237"/>
      <c r="J14124" s="238"/>
    </row>
    <row r="14125">
      <c r="C14125" s="82"/>
      <c r="E14125" s="84"/>
      <c r="F14125" s="84"/>
      <c r="G14125" s="84"/>
      <c r="I14125" s="237"/>
      <c r="J14125" s="238"/>
    </row>
    <row r="14126">
      <c r="C14126" s="82"/>
      <c r="E14126" s="84"/>
      <c r="F14126" s="84"/>
      <c r="G14126" s="84"/>
      <c r="I14126" s="237"/>
      <c r="J14126" s="238"/>
    </row>
    <row r="14127">
      <c r="C14127" s="82"/>
      <c r="E14127" s="84"/>
      <c r="F14127" s="84"/>
      <c r="G14127" s="84"/>
      <c r="I14127" s="237"/>
      <c r="J14127" s="238"/>
    </row>
    <row r="14128">
      <c r="C14128" s="82"/>
      <c r="E14128" s="84"/>
      <c r="F14128" s="84"/>
      <c r="G14128" s="84"/>
      <c r="I14128" s="237"/>
      <c r="J14128" s="238"/>
    </row>
    <row r="14129">
      <c r="C14129" s="82"/>
      <c r="E14129" s="84"/>
      <c r="F14129" s="84"/>
      <c r="G14129" s="84"/>
      <c r="I14129" s="237"/>
      <c r="J14129" s="238"/>
    </row>
    <row r="14130">
      <c r="C14130" s="82"/>
      <c r="E14130" s="84"/>
      <c r="F14130" s="84"/>
      <c r="G14130" s="84"/>
      <c r="I14130" s="237"/>
      <c r="J14130" s="238"/>
    </row>
    <row r="14131">
      <c r="C14131" s="82"/>
      <c r="E14131" s="84"/>
      <c r="F14131" s="84"/>
      <c r="G14131" s="84"/>
      <c r="I14131" s="237"/>
      <c r="J14131" s="238"/>
    </row>
    <row r="14132">
      <c r="C14132" s="82"/>
      <c r="E14132" s="84"/>
      <c r="F14132" s="84"/>
      <c r="G14132" s="84"/>
      <c r="I14132" s="237"/>
      <c r="J14132" s="238"/>
    </row>
    <row r="14133">
      <c r="C14133" s="82"/>
      <c r="E14133" s="84"/>
      <c r="F14133" s="84"/>
      <c r="G14133" s="84"/>
      <c r="I14133" s="237"/>
      <c r="J14133" s="238"/>
    </row>
    <row r="14134">
      <c r="C14134" s="82"/>
      <c r="E14134" s="84"/>
      <c r="F14134" s="84"/>
      <c r="G14134" s="84"/>
      <c r="I14134" s="237"/>
      <c r="J14134" s="238"/>
    </row>
    <row r="14135">
      <c r="C14135" s="82"/>
      <c r="E14135" s="84"/>
      <c r="F14135" s="84"/>
      <c r="G14135" s="84"/>
      <c r="I14135" s="237"/>
      <c r="J14135" s="238"/>
    </row>
    <row r="14136">
      <c r="C14136" s="82"/>
      <c r="E14136" s="84"/>
      <c r="F14136" s="84"/>
      <c r="G14136" s="84"/>
      <c r="I14136" s="237"/>
      <c r="J14136" s="238"/>
    </row>
    <row r="14137">
      <c r="C14137" s="82"/>
      <c r="E14137" s="84"/>
      <c r="F14137" s="84"/>
      <c r="G14137" s="84"/>
      <c r="I14137" s="237"/>
      <c r="J14137" s="238"/>
    </row>
    <row r="14138">
      <c r="C14138" s="82"/>
      <c r="E14138" s="84"/>
      <c r="F14138" s="84"/>
      <c r="G14138" s="84"/>
      <c r="I14138" s="237"/>
      <c r="J14138" s="238"/>
    </row>
    <row r="14139">
      <c r="C14139" s="82"/>
      <c r="E14139" s="84"/>
      <c r="F14139" s="84"/>
      <c r="G14139" s="84"/>
      <c r="I14139" s="237"/>
      <c r="J14139" s="238"/>
    </row>
    <row r="14140">
      <c r="C14140" s="82"/>
      <c r="E14140" s="84"/>
      <c r="F14140" s="84"/>
      <c r="G14140" s="84"/>
      <c r="I14140" s="237"/>
      <c r="J14140" s="238"/>
    </row>
    <row r="14141">
      <c r="C14141" s="82"/>
      <c r="E14141" s="84"/>
      <c r="F14141" s="84"/>
      <c r="G14141" s="84"/>
      <c r="I14141" s="237"/>
      <c r="J14141" s="238"/>
    </row>
    <row r="14142">
      <c r="C14142" s="82"/>
      <c r="E14142" s="84"/>
      <c r="F14142" s="84"/>
      <c r="G14142" s="84"/>
      <c r="I14142" s="237"/>
      <c r="J14142" s="238"/>
    </row>
    <row r="14143">
      <c r="C14143" s="82"/>
      <c r="E14143" s="84"/>
      <c r="F14143" s="84"/>
      <c r="G14143" s="84"/>
      <c r="I14143" s="237"/>
      <c r="J14143" s="238"/>
    </row>
    <row r="14144">
      <c r="C14144" s="82"/>
      <c r="E14144" s="84"/>
      <c r="F14144" s="84"/>
      <c r="G14144" s="84"/>
      <c r="I14144" s="237"/>
      <c r="J14144" s="238"/>
    </row>
    <row r="14145">
      <c r="C14145" s="82"/>
      <c r="E14145" s="84"/>
      <c r="F14145" s="84"/>
      <c r="G14145" s="84"/>
      <c r="I14145" s="237"/>
      <c r="J14145" s="238"/>
    </row>
    <row r="14146">
      <c r="C14146" s="82"/>
      <c r="E14146" s="84"/>
      <c r="F14146" s="84"/>
      <c r="G14146" s="84"/>
      <c r="I14146" s="237"/>
      <c r="J14146" s="238"/>
    </row>
    <row r="14147">
      <c r="C14147" s="82"/>
      <c r="E14147" s="84"/>
      <c r="F14147" s="84"/>
      <c r="G14147" s="84"/>
      <c r="I14147" s="237"/>
      <c r="J14147" s="238"/>
    </row>
    <row r="14148">
      <c r="C14148" s="82"/>
      <c r="E14148" s="84"/>
      <c r="F14148" s="84"/>
      <c r="G14148" s="84"/>
      <c r="I14148" s="237"/>
      <c r="J14148" s="238"/>
    </row>
    <row r="14149">
      <c r="C14149" s="82"/>
      <c r="E14149" s="84"/>
      <c r="F14149" s="84"/>
      <c r="G14149" s="84"/>
      <c r="I14149" s="237"/>
      <c r="J14149" s="238"/>
    </row>
    <row r="14150">
      <c r="C14150" s="82"/>
      <c r="E14150" s="84"/>
      <c r="F14150" s="84"/>
      <c r="G14150" s="84"/>
      <c r="I14150" s="237"/>
      <c r="J14150" s="238"/>
    </row>
    <row r="14151">
      <c r="C14151" s="82"/>
      <c r="E14151" s="84"/>
      <c r="F14151" s="84"/>
      <c r="G14151" s="84"/>
      <c r="I14151" s="237"/>
      <c r="J14151" s="238"/>
    </row>
    <row r="14152">
      <c r="C14152" s="82"/>
      <c r="E14152" s="84"/>
      <c r="F14152" s="84"/>
      <c r="G14152" s="84"/>
      <c r="I14152" s="237"/>
      <c r="J14152" s="238"/>
    </row>
    <row r="14153">
      <c r="C14153" s="82"/>
      <c r="E14153" s="84"/>
      <c r="F14153" s="84"/>
      <c r="G14153" s="84"/>
      <c r="I14153" s="237"/>
      <c r="J14153" s="238"/>
    </row>
    <row r="14154">
      <c r="C14154" s="82"/>
      <c r="E14154" s="84"/>
      <c r="F14154" s="84"/>
      <c r="G14154" s="84"/>
      <c r="I14154" s="237"/>
      <c r="J14154" s="238"/>
    </row>
    <row r="14155">
      <c r="C14155" s="82"/>
      <c r="E14155" s="84"/>
      <c r="F14155" s="84"/>
      <c r="G14155" s="84"/>
      <c r="I14155" s="237"/>
      <c r="J14155" s="238"/>
    </row>
    <row r="14156">
      <c r="C14156" s="82"/>
      <c r="E14156" s="84"/>
      <c r="F14156" s="84"/>
      <c r="G14156" s="84"/>
      <c r="I14156" s="237"/>
      <c r="J14156" s="238"/>
    </row>
    <row r="14157">
      <c r="C14157" s="82"/>
      <c r="E14157" s="84"/>
      <c r="F14157" s="84"/>
      <c r="G14157" s="84"/>
      <c r="I14157" s="237"/>
      <c r="J14157" s="238"/>
    </row>
    <row r="14158">
      <c r="C14158" s="82"/>
      <c r="E14158" s="84"/>
      <c r="F14158" s="84"/>
      <c r="G14158" s="84"/>
      <c r="I14158" s="237"/>
      <c r="J14158" s="238"/>
    </row>
    <row r="14159">
      <c r="C14159" s="82"/>
      <c r="E14159" s="84"/>
      <c r="F14159" s="84"/>
      <c r="G14159" s="84"/>
      <c r="I14159" s="237"/>
      <c r="J14159" s="238"/>
    </row>
    <row r="14160">
      <c r="C14160" s="82"/>
      <c r="E14160" s="84"/>
      <c r="F14160" s="84"/>
      <c r="G14160" s="84"/>
      <c r="I14160" s="237"/>
      <c r="J14160" s="238"/>
    </row>
    <row r="14161">
      <c r="C14161" s="82"/>
      <c r="E14161" s="84"/>
      <c r="F14161" s="84"/>
      <c r="G14161" s="84"/>
      <c r="I14161" s="237"/>
      <c r="J14161" s="238"/>
    </row>
    <row r="14162">
      <c r="C14162" s="82"/>
      <c r="E14162" s="84"/>
      <c r="F14162" s="84"/>
      <c r="G14162" s="84"/>
      <c r="I14162" s="237"/>
      <c r="J14162" s="238"/>
    </row>
    <row r="14163">
      <c r="C14163" s="82"/>
      <c r="E14163" s="84"/>
      <c r="F14163" s="84"/>
      <c r="G14163" s="84"/>
      <c r="I14163" s="237"/>
      <c r="J14163" s="238"/>
    </row>
    <row r="14164">
      <c r="C14164" s="82"/>
      <c r="E14164" s="84"/>
      <c r="F14164" s="84"/>
      <c r="G14164" s="84"/>
      <c r="I14164" s="237"/>
      <c r="J14164" s="238"/>
    </row>
    <row r="14165">
      <c r="C14165" s="82"/>
      <c r="E14165" s="84"/>
      <c r="F14165" s="84"/>
      <c r="G14165" s="84"/>
      <c r="I14165" s="237"/>
      <c r="J14165" s="238"/>
    </row>
    <row r="14166">
      <c r="C14166" s="82"/>
      <c r="E14166" s="84"/>
      <c r="F14166" s="84"/>
      <c r="G14166" s="84"/>
      <c r="I14166" s="237"/>
      <c r="J14166" s="238"/>
    </row>
    <row r="14167">
      <c r="C14167" s="82"/>
      <c r="E14167" s="84"/>
      <c r="F14167" s="84"/>
      <c r="G14167" s="84"/>
      <c r="I14167" s="237"/>
      <c r="J14167" s="238"/>
    </row>
    <row r="14168">
      <c r="C14168" s="82"/>
      <c r="E14168" s="84"/>
      <c r="F14168" s="84"/>
      <c r="G14168" s="84"/>
      <c r="I14168" s="237"/>
      <c r="J14168" s="238"/>
    </row>
    <row r="14169">
      <c r="C14169" s="82"/>
      <c r="E14169" s="84"/>
      <c r="F14169" s="84"/>
      <c r="G14169" s="84"/>
      <c r="I14169" s="237"/>
      <c r="J14169" s="238"/>
    </row>
    <row r="14170">
      <c r="C14170" s="82"/>
      <c r="E14170" s="84"/>
      <c r="F14170" s="84"/>
      <c r="G14170" s="84"/>
      <c r="I14170" s="237"/>
      <c r="J14170" s="238"/>
    </row>
    <row r="14171">
      <c r="C14171" s="82"/>
      <c r="E14171" s="84"/>
      <c r="F14171" s="84"/>
      <c r="G14171" s="84"/>
      <c r="I14171" s="237"/>
      <c r="J14171" s="238"/>
    </row>
    <row r="14172">
      <c r="C14172" s="82"/>
      <c r="E14172" s="84"/>
      <c r="F14172" s="84"/>
      <c r="G14172" s="84"/>
      <c r="I14172" s="237"/>
      <c r="J14172" s="238"/>
    </row>
    <row r="14173">
      <c r="C14173" s="82"/>
      <c r="E14173" s="84"/>
      <c r="F14173" s="84"/>
      <c r="G14173" s="84"/>
      <c r="I14173" s="237"/>
      <c r="J14173" s="238"/>
    </row>
    <row r="14174">
      <c r="C14174" s="82"/>
      <c r="E14174" s="84"/>
      <c r="F14174" s="84"/>
      <c r="G14174" s="84"/>
      <c r="I14174" s="237"/>
      <c r="J14174" s="238"/>
    </row>
    <row r="14175">
      <c r="C14175" s="82"/>
      <c r="E14175" s="84"/>
      <c r="F14175" s="84"/>
      <c r="G14175" s="84"/>
      <c r="I14175" s="237"/>
      <c r="J14175" s="238"/>
    </row>
    <row r="14176">
      <c r="C14176" s="82"/>
      <c r="E14176" s="84"/>
      <c r="F14176" s="84"/>
      <c r="G14176" s="84"/>
      <c r="I14176" s="237"/>
      <c r="J14176" s="238"/>
    </row>
    <row r="14177">
      <c r="C14177" s="82"/>
      <c r="E14177" s="84"/>
      <c r="F14177" s="84"/>
      <c r="G14177" s="84"/>
      <c r="I14177" s="237"/>
      <c r="J14177" s="238"/>
    </row>
    <row r="14178">
      <c r="C14178" s="82"/>
      <c r="E14178" s="84"/>
      <c r="F14178" s="84"/>
      <c r="G14178" s="84"/>
      <c r="I14178" s="237"/>
      <c r="J14178" s="238"/>
    </row>
    <row r="14179">
      <c r="C14179" s="82"/>
      <c r="E14179" s="84"/>
      <c r="F14179" s="84"/>
      <c r="G14179" s="84"/>
      <c r="I14179" s="237"/>
      <c r="J14179" s="238"/>
    </row>
    <row r="14180">
      <c r="C14180" s="82"/>
      <c r="E14180" s="84"/>
      <c r="F14180" s="84"/>
      <c r="G14180" s="84"/>
      <c r="I14180" s="237"/>
      <c r="J14180" s="238"/>
    </row>
    <row r="14181">
      <c r="C14181" s="82"/>
      <c r="E14181" s="84"/>
      <c r="F14181" s="84"/>
      <c r="G14181" s="84"/>
      <c r="I14181" s="237"/>
      <c r="J14181" s="238"/>
    </row>
    <row r="14182">
      <c r="C14182" s="82"/>
      <c r="E14182" s="84"/>
      <c r="F14182" s="84"/>
      <c r="G14182" s="84"/>
      <c r="I14182" s="237"/>
      <c r="J14182" s="238"/>
    </row>
    <row r="14183">
      <c r="C14183" s="82"/>
      <c r="E14183" s="84"/>
      <c r="F14183" s="84"/>
      <c r="G14183" s="84"/>
      <c r="I14183" s="237"/>
      <c r="J14183" s="238"/>
    </row>
    <row r="14184">
      <c r="C14184" s="82"/>
      <c r="E14184" s="84"/>
      <c r="F14184" s="84"/>
      <c r="G14184" s="84"/>
      <c r="I14184" s="237"/>
      <c r="J14184" s="238"/>
    </row>
    <row r="14185">
      <c r="C14185" s="82"/>
      <c r="E14185" s="84"/>
      <c r="F14185" s="84"/>
      <c r="G14185" s="84"/>
      <c r="I14185" s="237"/>
      <c r="J14185" s="238"/>
    </row>
    <row r="14186">
      <c r="C14186" s="82"/>
      <c r="E14186" s="84"/>
      <c r="F14186" s="84"/>
      <c r="G14186" s="84"/>
      <c r="I14186" s="237"/>
      <c r="J14186" s="238"/>
    </row>
    <row r="14187">
      <c r="C14187" s="82"/>
      <c r="E14187" s="84"/>
      <c r="F14187" s="84"/>
      <c r="G14187" s="84"/>
      <c r="I14187" s="237"/>
      <c r="J14187" s="238"/>
    </row>
    <row r="14188">
      <c r="C14188" s="82"/>
      <c r="E14188" s="84"/>
      <c r="F14188" s="84"/>
      <c r="G14188" s="84"/>
      <c r="I14188" s="237"/>
      <c r="J14188" s="238"/>
    </row>
    <row r="14189">
      <c r="C14189" s="82"/>
      <c r="E14189" s="84"/>
      <c r="F14189" s="84"/>
      <c r="G14189" s="84"/>
      <c r="I14189" s="237"/>
      <c r="J14189" s="238"/>
    </row>
    <row r="14190">
      <c r="C14190" s="82"/>
      <c r="E14190" s="84"/>
      <c r="F14190" s="84"/>
      <c r="G14190" s="84"/>
      <c r="I14190" s="237"/>
      <c r="J14190" s="238"/>
    </row>
    <row r="14191">
      <c r="C14191" s="82"/>
      <c r="E14191" s="84"/>
      <c r="F14191" s="84"/>
      <c r="G14191" s="84"/>
      <c r="I14191" s="237"/>
      <c r="J14191" s="238"/>
    </row>
    <row r="14192">
      <c r="C14192" s="82"/>
      <c r="E14192" s="84"/>
      <c r="F14192" s="84"/>
      <c r="G14192" s="84"/>
      <c r="I14192" s="237"/>
      <c r="J14192" s="238"/>
    </row>
    <row r="14193">
      <c r="C14193" s="82"/>
      <c r="E14193" s="84"/>
      <c r="F14193" s="84"/>
      <c r="G14193" s="84"/>
      <c r="I14193" s="237"/>
      <c r="J14193" s="238"/>
    </row>
    <row r="14194">
      <c r="C14194" s="82"/>
      <c r="E14194" s="84"/>
      <c r="F14194" s="84"/>
      <c r="G14194" s="84"/>
      <c r="I14194" s="237"/>
      <c r="J14194" s="238"/>
    </row>
    <row r="14195">
      <c r="C14195" s="82"/>
      <c r="E14195" s="84"/>
      <c r="F14195" s="84"/>
      <c r="G14195" s="84"/>
      <c r="I14195" s="237"/>
      <c r="J14195" s="238"/>
    </row>
    <row r="14196">
      <c r="C14196" s="82"/>
      <c r="E14196" s="84"/>
      <c r="F14196" s="84"/>
      <c r="G14196" s="84"/>
      <c r="I14196" s="237"/>
      <c r="J14196" s="238"/>
    </row>
    <row r="14197">
      <c r="C14197" s="82"/>
      <c r="E14197" s="84"/>
      <c r="F14197" s="84"/>
      <c r="G14197" s="84"/>
      <c r="I14197" s="237"/>
      <c r="J14197" s="238"/>
    </row>
    <row r="14198">
      <c r="C14198" s="82"/>
      <c r="E14198" s="84"/>
      <c r="F14198" s="84"/>
      <c r="G14198" s="84"/>
      <c r="I14198" s="237"/>
      <c r="J14198" s="238"/>
    </row>
    <row r="14199">
      <c r="C14199" s="82"/>
      <c r="E14199" s="84"/>
      <c r="F14199" s="84"/>
      <c r="G14199" s="84"/>
      <c r="I14199" s="237"/>
      <c r="J14199" s="238"/>
    </row>
    <row r="14200">
      <c r="C14200" s="82"/>
      <c r="E14200" s="84"/>
      <c r="F14200" s="84"/>
      <c r="G14200" s="84"/>
      <c r="I14200" s="237"/>
      <c r="J14200" s="238"/>
    </row>
    <row r="14201">
      <c r="C14201" s="82"/>
      <c r="E14201" s="84"/>
      <c r="F14201" s="84"/>
      <c r="G14201" s="84"/>
      <c r="I14201" s="237"/>
      <c r="J14201" s="238"/>
    </row>
    <row r="14202">
      <c r="C14202" s="82"/>
      <c r="E14202" s="84"/>
      <c r="F14202" s="84"/>
      <c r="G14202" s="84"/>
      <c r="I14202" s="237"/>
      <c r="J14202" s="238"/>
    </row>
    <row r="14203">
      <c r="C14203" s="82"/>
      <c r="E14203" s="84"/>
      <c r="F14203" s="84"/>
      <c r="G14203" s="84"/>
      <c r="I14203" s="237"/>
      <c r="J14203" s="238"/>
    </row>
    <row r="14204">
      <c r="C14204" s="82"/>
      <c r="E14204" s="84"/>
      <c r="F14204" s="84"/>
      <c r="G14204" s="84"/>
      <c r="I14204" s="237"/>
      <c r="J14204" s="238"/>
    </row>
    <row r="14205">
      <c r="C14205" s="82"/>
      <c r="E14205" s="84"/>
      <c r="F14205" s="84"/>
      <c r="G14205" s="84"/>
      <c r="I14205" s="237"/>
      <c r="J14205" s="238"/>
    </row>
    <row r="14206">
      <c r="C14206" s="82"/>
      <c r="E14206" s="84"/>
      <c r="F14206" s="84"/>
      <c r="G14206" s="84"/>
      <c r="I14206" s="237"/>
      <c r="J14206" s="238"/>
    </row>
    <row r="14207">
      <c r="C14207" s="82"/>
      <c r="E14207" s="84"/>
      <c r="F14207" s="84"/>
      <c r="G14207" s="84"/>
      <c r="I14207" s="237"/>
      <c r="J14207" s="238"/>
    </row>
    <row r="14208">
      <c r="C14208" s="82"/>
      <c r="E14208" s="84"/>
      <c r="F14208" s="84"/>
      <c r="G14208" s="84"/>
      <c r="I14208" s="237"/>
      <c r="J14208" s="238"/>
    </row>
    <row r="14209">
      <c r="C14209" s="82"/>
      <c r="E14209" s="84"/>
      <c r="F14209" s="84"/>
      <c r="G14209" s="84"/>
      <c r="I14209" s="237"/>
      <c r="J14209" s="238"/>
    </row>
    <row r="14210">
      <c r="C14210" s="82"/>
      <c r="E14210" s="84"/>
      <c r="F14210" s="84"/>
      <c r="G14210" s="84"/>
      <c r="I14210" s="237"/>
      <c r="J14210" s="238"/>
    </row>
    <row r="14211">
      <c r="C14211" s="82"/>
      <c r="E14211" s="84"/>
      <c r="F14211" s="84"/>
      <c r="G14211" s="84"/>
      <c r="I14211" s="237"/>
      <c r="J14211" s="238"/>
    </row>
    <row r="14212">
      <c r="C14212" s="82"/>
      <c r="E14212" s="84"/>
      <c r="F14212" s="84"/>
      <c r="G14212" s="84"/>
      <c r="I14212" s="237"/>
      <c r="J14212" s="238"/>
    </row>
    <row r="14213">
      <c r="C14213" s="82"/>
      <c r="E14213" s="84"/>
      <c r="F14213" s="84"/>
      <c r="G14213" s="84"/>
      <c r="I14213" s="237"/>
      <c r="J14213" s="238"/>
    </row>
    <row r="14214">
      <c r="C14214" s="82"/>
      <c r="E14214" s="84"/>
      <c r="F14214" s="84"/>
      <c r="G14214" s="84"/>
      <c r="I14214" s="237"/>
      <c r="J14214" s="238"/>
    </row>
    <row r="14215">
      <c r="C14215" s="82"/>
      <c r="E14215" s="84"/>
      <c r="F14215" s="84"/>
      <c r="G14215" s="84"/>
      <c r="I14215" s="237"/>
      <c r="J14215" s="238"/>
    </row>
    <row r="14216">
      <c r="C14216" s="82"/>
      <c r="E14216" s="84"/>
      <c r="F14216" s="84"/>
      <c r="G14216" s="84"/>
      <c r="I14216" s="237"/>
      <c r="J14216" s="238"/>
    </row>
    <row r="14217">
      <c r="C14217" s="82"/>
      <c r="E14217" s="84"/>
      <c r="F14217" s="84"/>
      <c r="G14217" s="84"/>
      <c r="I14217" s="237"/>
      <c r="J14217" s="238"/>
    </row>
    <row r="14218">
      <c r="C14218" s="82"/>
      <c r="E14218" s="84"/>
      <c r="F14218" s="84"/>
      <c r="G14218" s="84"/>
      <c r="I14218" s="237"/>
      <c r="J14218" s="238"/>
    </row>
    <row r="14219">
      <c r="C14219" s="82"/>
      <c r="E14219" s="84"/>
      <c r="F14219" s="84"/>
      <c r="G14219" s="84"/>
      <c r="I14219" s="237"/>
      <c r="J14219" s="238"/>
    </row>
    <row r="14220">
      <c r="C14220" s="82"/>
      <c r="E14220" s="84"/>
      <c r="F14220" s="84"/>
      <c r="G14220" s="84"/>
      <c r="I14220" s="237"/>
      <c r="J14220" s="238"/>
    </row>
    <row r="14221">
      <c r="C14221" s="82"/>
      <c r="E14221" s="84"/>
      <c r="F14221" s="84"/>
      <c r="G14221" s="84"/>
      <c r="I14221" s="237"/>
      <c r="J14221" s="238"/>
    </row>
    <row r="14222">
      <c r="C14222" s="82"/>
      <c r="E14222" s="84"/>
      <c r="F14222" s="84"/>
      <c r="G14222" s="84"/>
      <c r="I14222" s="237"/>
      <c r="J14222" s="238"/>
    </row>
    <row r="14223">
      <c r="C14223" s="82"/>
      <c r="E14223" s="84"/>
      <c r="F14223" s="84"/>
      <c r="G14223" s="84"/>
      <c r="I14223" s="237"/>
      <c r="J14223" s="238"/>
    </row>
    <row r="14224">
      <c r="C14224" s="82"/>
      <c r="E14224" s="84"/>
      <c r="F14224" s="84"/>
      <c r="G14224" s="84"/>
      <c r="I14224" s="237"/>
      <c r="J14224" s="238"/>
    </row>
    <row r="14225">
      <c r="C14225" s="82"/>
      <c r="E14225" s="84"/>
      <c r="F14225" s="84"/>
      <c r="G14225" s="84"/>
      <c r="I14225" s="237"/>
      <c r="J14225" s="238"/>
    </row>
    <row r="14226">
      <c r="C14226" s="82"/>
      <c r="E14226" s="84"/>
      <c r="F14226" s="84"/>
      <c r="G14226" s="84"/>
      <c r="I14226" s="237"/>
      <c r="J14226" s="238"/>
    </row>
    <row r="14227">
      <c r="C14227" s="82"/>
      <c r="E14227" s="84"/>
      <c r="F14227" s="84"/>
      <c r="G14227" s="84"/>
      <c r="I14227" s="237"/>
      <c r="J14227" s="238"/>
    </row>
    <row r="14228">
      <c r="C14228" s="82"/>
      <c r="E14228" s="84"/>
      <c r="F14228" s="84"/>
      <c r="G14228" s="84"/>
      <c r="I14228" s="237"/>
      <c r="J14228" s="238"/>
    </row>
    <row r="14229">
      <c r="C14229" s="82"/>
      <c r="E14229" s="84"/>
      <c r="F14229" s="84"/>
      <c r="G14229" s="84"/>
      <c r="I14229" s="237"/>
      <c r="J14229" s="238"/>
    </row>
    <row r="14230">
      <c r="C14230" s="82"/>
      <c r="E14230" s="84"/>
      <c r="F14230" s="84"/>
      <c r="G14230" s="84"/>
      <c r="I14230" s="237"/>
      <c r="J14230" s="238"/>
    </row>
    <row r="14231">
      <c r="C14231" s="82"/>
      <c r="E14231" s="84"/>
      <c r="F14231" s="84"/>
      <c r="G14231" s="84"/>
      <c r="I14231" s="237"/>
      <c r="J14231" s="238"/>
    </row>
    <row r="14232">
      <c r="C14232" s="82"/>
      <c r="E14232" s="84"/>
      <c r="F14232" s="84"/>
      <c r="G14232" s="84"/>
      <c r="I14232" s="237"/>
      <c r="J14232" s="238"/>
    </row>
    <row r="14233">
      <c r="C14233" s="82"/>
      <c r="E14233" s="84"/>
      <c r="F14233" s="84"/>
      <c r="G14233" s="84"/>
      <c r="I14233" s="237"/>
      <c r="J14233" s="238"/>
    </row>
    <row r="14234">
      <c r="C14234" s="82"/>
      <c r="E14234" s="84"/>
      <c r="F14234" s="84"/>
      <c r="G14234" s="84"/>
      <c r="I14234" s="237"/>
      <c r="J14234" s="238"/>
    </row>
    <row r="14235">
      <c r="C14235" s="82"/>
      <c r="E14235" s="84"/>
      <c r="F14235" s="84"/>
      <c r="G14235" s="84"/>
      <c r="I14235" s="237"/>
      <c r="J14235" s="238"/>
    </row>
    <row r="14236">
      <c r="C14236" s="82"/>
      <c r="E14236" s="84"/>
      <c r="F14236" s="84"/>
      <c r="G14236" s="84"/>
      <c r="I14236" s="237"/>
      <c r="J14236" s="238"/>
    </row>
    <row r="14237">
      <c r="C14237" s="82"/>
      <c r="E14237" s="84"/>
      <c r="F14237" s="84"/>
      <c r="G14237" s="84"/>
      <c r="I14237" s="237"/>
      <c r="J14237" s="238"/>
    </row>
    <row r="14238">
      <c r="C14238" s="82"/>
      <c r="E14238" s="84"/>
      <c r="F14238" s="84"/>
      <c r="G14238" s="84"/>
      <c r="I14238" s="237"/>
      <c r="J14238" s="238"/>
    </row>
    <row r="14239">
      <c r="C14239" s="82"/>
      <c r="E14239" s="84"/>
      <c r="F14239" s="84"/>
      <c r="G14239" s="84"/>
      <c r="I14239" s="237"/>
      <c r="J14239" s="238"/>
    </row>
    <row r="14240">
      <c r="C14240" s="82"/>
      <c r="E14240" s="84"/>
      <c r="F14240" s="84"/>
      <c r="G14240" s="84"/>
      <c r="I14240" s="237"/>
      <c r="J14240" s="238"/>
    </row>
    <row r="14241">
      <c r="C14241" s="82"/>
      <c r="E14241" s="84"/>
      <c r="F14241" s="84"/>
      <c r="G14241" s="84"/>
      <c r="I14241" s="237"/>
      <c r="J14241" s="238"/>
    </row>
    <row r="14242">
      <c r="C14242" s="82"/>
      <c r="E14242" s="84"/>
      <c r="F14242" s="84"/>
      <c r="G14242" s="84"/>
      <c r="I14242" s="237"/>
      <c r="J14242" s="238"/>
    </row>
    <row r="14243">
      <c r="C14243" s="82"/>
      <c r="E14243" s="84"/>
      <c r="F14243" s="84"/>
      <c r="G14243" s="84"/>
      <c r="I14243" s="237"/>
      <c r="J14243" s="238"/>
    </row>
    <row r="14244">
      <c r="C14244" s="82"/>
      <c r="E14244" s="84"/>
      <c r="F14244" s="84"/>
      <c r="G14244" s="84"/>
      <c r="I14244" s="237"/>
      <c r="J14244" s="238"/>
    </row>
    <row r="14245">
      <c r="C14245" s="82"/>
      <c r="E14245" s="84"/>
      <c r="F14245" s="84"/>
      <c r="G14245" s="84"/>
      <c r="I14245" s="237"/>
      <c r="J14245" s="238"/>
    </row>
    <row r="14246">
      <c r="C14246" s="82"/>
      <c r="E14246" s="84"/>
      <c r="F14246" s="84"/>
      <c r="G14246" s="84"/>
      <c r="I14246" s="237"/>
      <c r="J14246" s="238"/>
    </row>
    <row r="14247">
      <c r="C14247" s="82"/>
      <c r="E14247" s="84"/>
      <c r="F14247" s="84"/>
      <c r="G14247" s="84"/>
      <c r="I14247" s="237"/>
      <c r="J14247" s="238"/>
    </row>
    <row r="14248">
      <c r="C14248" s="82"/>
      <c r="E14248" s="84"/>
      <c r="F14248" s="84"/>
      <c r="G14248" s="84"/>
      <c r="I14248" s="237"/>
      <c r="J14248" s="238"/>
    </row>
    <row r="14249">
      <c r="C14249" s="82"/>
      <c r="E14249" s="84"/>
      <c r="F14249" s="84"/>
      <c r="G14249" s="84"/>
      <c r="I14249" s="237"/>
      <c r="J14249" s="238"/>
    </row>
    <row r="14250">
      <c r="C14250" s="82"/>
      <c r="E14250" s="84"/>
      <c r="F14250" s="84"/>
      <c r="G14250" s="84"/>
      <c r="I14250" s="237"/>
      <c r="J14250" s="238"/>
    </row>
    <row r="14251">
      <c r="C14251" s="82"/>
      <c r="E14251" s="84"/>
      <c r="F14251" s="84"/>
      <c r="G14251" s="84"/>
      <c r="I14251" s="237"/>
      <c r="J14251" s="238"/>
    </row>
    <row r="14252">
      <c r="C14252" s="82"/>
      <c r="E14252" s="84"/>
      <c r="F14252" s="84"/>
      <c r="G14252" s="84"/>
      <c r="I14252" s="237"/>
      <c r="J14252" s="238"/>
    </row>
    <row r="14253">
      <c r="C14253" s="82"/>
      <c r="E14253" s="84"/>
      <c r="F14253" s="84"/>
      <c r="G14253" s="84"/>
      <c r="I14253" s="237"/>
      <c r="J14253" s="238"/>
    </row>
    <row r="14254">
      <c r="C14254" s="82"/>
      <c r="E14254" s="84"/>
      <c r="F14254" s="84"/>
      <c r="G14254" s="84"/>
      <c r="I14254" s="237"/>
      <c r="J14254" s="238"/>
    </row>
    <row r="14255">
      <c r="C14255" s="82"/>
      <c r="E14255" s="84"/>
      <c r="F14255" s="84"/>
      <c r="G14255" s="84"/>
      <c r="I14255" s="237"/>
      <c r="J14255" s="238"/>
    </row>
    <row r="14256">
      <c r="C14256" s="82"/>
      <c r="E14256" s="84"/>
      <c r="F14256" s="84"/>
      <c r="G14256" s="84"/>
      <c r="I14256" s="237"/>
      <c r="J14256" s="238"/>
    </row>
    <row r="14257">
      <c r="C14257" s="82"/>
      <c r="E14257" s="84"/>
      <c r="F14257" s="84"/>
      <c r="G14257" s="84"/>
      <c r="I14257" s="237"/>
      <c r="J14257" s="238"/>
    </row>
    <row r="14258">
      <c r="C14258" s="82"/>
      <c r="E14258" s="84"/>
      <c r="F14258" s="84"/>
      <c r="G14258" s="84"/>
      <c r="I14258" s="237"/>
      <c r="J14258" s="238"/>
    </row>
    <row r="14259">
      <c r="C14259" s="82"/>
      <c r="E14259" s="84"/>
      <c r="F14259" s="84"/>
      <c r="G14259" s="84"/>
      <c r="I14259" s="237"/>
      <c r="J14259" s="238"/>
    </row>
    <row r="14260">
      <c r="C14260" s="82"/>
      <c r="E14260" s="84"/>
      <c r="F14260" s="84"/>
      <c r="G14260" s="84"/>
      <c r="I14260" s="237"/>
      <c r="J14260" s="238"/>
    </row>
    <row r="14261">
      <c r="C14261" s="82"/>
      <c r="E14261" s="84"/>
      <c r="F14261" s="84"/>
      <c r="G14261" s="84"/>
      <c r="I14261" s="237"/>
      <c r="J14261" s="238"/>
    </row>
    <row r="14262">
      <c r="C14262" s="82"/>
      <c r="E14262" s="84"/>
      <c r="F14262" s="84"/>
      <c r="G14262" s="84"/>
      <c r="I14262" s="237"/>
      <c r="J14262" s="238"/>
    </row>
    <row r="14263">
      <c r="C14263" s="82"/>
      <c r="E14263" s="84"/>
      <c r="F14263" s="84"/>
      <c r="G14263" s="84"/>
      <c r="I14263" s="237"/>
      <c r="J14263" s="238"/>
    </row>
    <row r="14264">
      <c r="C14264" s="82"/>
      <c r="E14264" s="84"/>
      <c r="F14264" s="84"/>
      <c r="G14264" s="84"/>
      <c r="I14264" s="237"/>
      <c r="J14264" s="238"/>
    </row>
    <row r="14265">
      <c r="C14265" s="82"/>
      <c r="E14265" s="84"/>
      <c r="F14265" s="84"/>
      <c r="G14265" s="84"/>
      <c r="I14265" s="237"/>
      <c r="J14265" s="238"/>
    </row>
    <row r="14266">
      <c r="C14266" s="82"/>
      <c r="E14266" s="84"/>
      <c r="F14266" s="84"/>
      <c r="G14266" s="84"/>
      <c r="I14266" s="237"/>
      <c r="J14266" s="238"/>
    </row>
    <row r="14267">
      <c r="C14267" s="82"/>
      <c r="E14267" s="84"/>
      <c r="F14267" s="84"/>
      <c r="G14267" s="84"/>
      <c r="I14267" s="237"/>
      <c r="J14267" s="238"/>
    </row>
    <row r="14268">
      <c r="C14268" s="82"/>
      <c r="E14268" s="84"/>
      <c r="F14268" s="84"/>
      <c r="G14268" s="84"/>
      <c r="I14268" s="237"/>
      <c r="J14268" s="238"/>
    </row>
    <row r="14269">
      <c r="C14269" s="82"/>
      <c r="E14269" s="84"/>
      <c r="F14269" s="84"/>
      <c r="G14269" s="84"/>
      <c r="I14269" s="237"/>
      <c r="J14269" s="238"/>
    </row>
    <row r="14270">
      <c r="C14270" s="82"/>
      <c r="E14270" s="84"/>
      <c r="F14270" s="84"/>
      <c r="G14270" s="84"/>
      <c r="I14270" s="237"/>
      <c r="J14270" s="238"/>
    </row>
    <row r="14271">
      <c r="C14271" s="82"/>
      <c r="E14271" s="84"/>
      <c r="F14271" s="84"/>
      <c r="G14271" s="84"/>
      <c r="I14271" s="237"/>
      <c r="J14271" s="238"/>
    </row>
    <row r="14272">
      <c r="C14272" s="82"/>
      <c r="E14272" s="84"/>
      <c r="F14272" s="84"/>
      <c r="G14272" s="84"/>
      <c r="I14272" s="237"/>
      <c r="J14272" s="238"/>
    </row>
    <row r="14273">
      <c r="C14273" s="82"/>
      <c r="E14273" s="84"/>
      <c r="F14273" s="84"/>
      <c r="G14273" s="84"/>
      <c r="I14273" s="237"/>
      <c r="J14273" s="238"/>
    </row>
    <row r="14274">
      <c r="C14274" s="82"/>
      <c r="E14274" s="84"/>
      <c r="F14274" s="84"/>
      <c r="G14274" s="84"/>
      <c r="I14274" s="237"/>
      <c r="J14274" s="238"/>
    </row>
    <row r="14275">
      <c r="C14275" s="82"/>
      <c r="E14275" s="84"/>
      <c r="F14275" s="84"/>
      <c r="G14275" s="84"/>
      <c r="I14275" s="237"/>
      <c r="J14275" s="238"/>
    </row>
    <row r="14276">
      <c r="C14276" s="82"/>
      <c r="E14276" s="84"/>
      <c r="F14276" s="84"/>
      <c r="G14276" s="84"/>
      <c r="I14276" s="237"/>
      <c r="J14276" s="238"/>
    </row>
    <row r="14277">
      <c r="C14277" s="82"/>
      <c r="E14277" s="84"/>
      <c r="F14277" s="84"/>
      <c r="G14277" s="84"/>
      <c r="I14277" s="237"/>
      <c r="J14277" s="238"/>
    </row>
    <row r="14278">
      <c r="C14278" s="82"/>
      <c r="E14278" s="84"/>
      <c r="F14278" s="84"/>
      <c r="G14278" s="84"/>
      <c r="I14278" s="237"/>
      <c r="J14278" s="238"/>
    </row>
    <row r="14279">
      <c r="C14279" s="82"/>
      <c r="E14279" s="84"/>
      <c r="F14279" s="84"/>
      <c r="G14279" s="84"/>
      <c r="I14279" s="237"/>
      <c r="J14279" s="238"/>
    </row>
    <row r="14280">
      <c r="C14280" s="82"/>
      <c r="E14280" s="84"/>
      <c r="F14280" s="84"/>
      <c r="G14280" s="84"/>
      <c r="I14280" s="237"/>
      <c r="J14280" s="238"/>
    </row>
    <row r="14281">
      <c r="C14281" s="82"/>
      <c r="E14281" s="84"/>
      <c r="F14281" s="84"/>
      <c r="G14281" s="84"/>
      <c r="I14281" s="237"/>
      <c r="J14281" s="238"/>
    </row>
    <row r="14282">
      <c r="C14282" s="82"/>
      <c r="E14282" s="84"/>
      <c r="F14282" s="84"/>
      <c r="G14282" s="84"/>
      <c r="I14282" s="237"/>
      <c r="J14282" s="238"/>
    </row>
    <row r="14283">
      <c r="C14283" s="82"/>
      <c r="E14283" s="84"/>
      <c r="F14283" s="84"/>
      <c r="G14283" s="84"/>
      <c r="I14283" s="237"/>
      <c r="J14283" s="238"/>
    </row>
    <row r="14284">
      <c r="C14284" s="82"/>
      <c r="E14284" s="84"/>
      <c r="F14284" s="84"/>
      <c r="G14284" s="84"/>
      <c r="I14284" s="237"/>
      <c r="J14284" s="238"/>
    </row>
    <row r="14285">
      <c r="C14285" s="82"/>
      <c r="E14285" s="84"/>
      <c r="F14285" s="84"/>
      <c r="G14285" s="84"/>
      <c r="I14285" s="237"/>
      <c r="J14285" s="238"/>
    </row>
    <row r="14286">
      <c r="C14286" s="82"/>
      <c r="E14286" s="84"/>
      <c r="F14286" s="84"/>
      <c r="G14286" s="84"/>
      <c r="I14286" s="237"/>
      <c r="J14286" s="238"/>
    </row>
    <row r="14287">
      <c r="C14287" s="82"/>
      <c r="E14287" s="84"/>
      <c r="F14287" s="84"/>
      <c r="G14287" s="84"/>
      <c r="I14287" s="237"/>
      <c r="J14287" s="238"/>
    </row>
    <row r="14288">
      <c r="C14288" s="82"/>
      <c r="E14288" s="84"/>
      <c r="F14288" s="84"/>
      <c r="G14288" s="84"/>
      <c r="I14288" s="237"/>
      <c r="J14288" s="238"/>
    </row>
    <row r="14289">
      <c r="C14289" s="82"/>
      <c r="E14289" s="84"/>
      <c r="F14289" s="84"/>
      <c r="G14289" s="84"/>
      <c r="I14289" s="237"/>
      <c r="J14289" s="238"/>
    </row>
    <row r="14290">
      <c r="C14290" s="82"/>
      <c r="E14290" s="84"/>
      <c r="F14290" s="84"/>
      <c r="G14290" s="84"/>
      <c r="I14290" s="237"/>
      <c r="J14290" s="238"/>
    </row>
    <row r="14291">
      <c r="C14291" s="82"/>
      <c r="E14291" s="84"/>
      <c r="F14291" s="84"/>
      <c r="G14291" s="84"/>
      <c r="I14291" s="237"/>
      <c r="J14291" s="238"/>
    </row>
    <row r="14292">
      <c r="C14292" s="82"/>
      <c r="E14292" s="84"/>
      <c r="F14292" s="84"/>
      <c r="G14292" s="84"/>
      <c r="I14292" s="237"/>
      <c r="J14292" s="238"/>
    </row>
    <row r="14293">
      <c r="C14293" s="82"/>
      <c r="E14293" s="84"/>
      <c r="F14293" s="84"/>
      <c r="G14293" s="84"/>
      <c r="I14293" s="237"/>
      <c r="J14293" s="238"/>
    </row>
    <row r="14294">
      <c r="C14294" s="82"/>
      <c r="E14294" s="84"/>
      <c r="F14294" s="84"/>
      <c r="G14294" s="84"/>
      <c r="I14294" s="237"/>
      <c r="J14294" s="238"/>
    </row>
    <row r="14295">
      <c r="C14295" s="82"/>
      <c r="E14295" s="84"/>
      <c r="F14295" s="84"/>
      <c r="G14295" s="84"/>
      <c r="I14295" s="237"/>
      <c r="J14295" s="238"/>
    </row>
    <row r="14296">
      <c r="C14296" s="82"/>
      <c r="E14296" s="84"/>
      <c r="F14296" s="84"/>
      <c r="G14296" s="84"/>
      <c r="I14296" s="237"/>
      <c r="J14296" s="238"/>
    </row>
    <row r="14297">
      <c r="C14297" s="82"/>
      <c r="E14297" s="84"/>
      <c r="F14297" s="84"/>
      <c r="G14297" s="84"/>
      <c r="I14297" s="237"/>
      <c r="J14297" s="238"/>
    </row>
    <row r="14298">
      <c r="C14298" s="82"/>
      <c r="E14298" s="84"/>
      <c r="F14298" s="84"/>
      <c r="G14298" s="84"/>
      <c r="I14298" s="237"/>
      <c r="J14298" s="238"/>
    </row>
    <row r="14299">
      <c r="C14299" s="82"/>
      <c r="E14299" s="84"/>
      <c r="F14299" s="84"/>
      <c r="G14299" s="84"/>
      <c r="I14299" s="237"/>
      <c r="J14299" s="238"/>
    </row>
    <row r="14300">
      <c r="C14300" s="82"/>
      <c r="E14300" s="84"/>
      <c r="F14300" s="84"/>
      <c r="G14300" s="84"/>
      <c r="I14300" s="237"/>
      <c r="J14300" s="238"/>
    </row>
    <row r="14301">
      <c r="C14301" s="82"/>
      <c r="E14301" s="84"/>
      <c r="F14301" s="84"/>
      <c r="G14301" s="84"/>
      <c r="I14301" s="237"/>
      <c r="J14301" s="238"/>
    </row>
    <row r="14302">
      <c r="C14302" s="82"/>
      <c r="E14302" s="84"/>
      <c r="F14302" s="84"/>
      <c r="G14302" s="84"/>
      <c r="I14302" s="237"/>
      <c r="J14302" s="238"/>
    </row>
    <row r="14303">
      <c r="C14303" s="82"/>
      <c r="E14303" s="84"/>
      <c r="F14303" s="84"/>
      <c r="G14303" s="84"/>
      <c r="I14303" s="237"/>
      <c r="J14303" s="238"/>
    </row>
    <row r="14304">
      <c r="C14304" s="82"/>
      <c r="E14304" s="84"/>
      <c r="F14304" s="84"/>
      <c r="G14304" s="84"/>
      <c r="I14304" s="237"/>
      <c r="J14304" s="238"/>
    </row>
    <row r="14305">
      <c r="C14305" s="82"/>
      <c r="E14305" s="84"/>
      <c r="F14305" s="84"/>
      <c r="G14305" s="84"/>
      <c r="I14305" s="237"/>
      <c r="J14305" s="238"/>
    </row>
    <row r="14306">
      <c r="C14306" s="82"/>
      <c r="E14306" s="84"/>
      <c r="F14306" s="84"/>
      <c r="G14306" s="84"/>
      <c r="I14306" s="237"/>
      <c r="J14306" s="238"/>
    </row>
    <row r="14307">
      <c r="C14307" s="82"/>
      <c r="E14307" s="84"/>
      <c r="F14307" s="84"/>
      <c r="G14307" s="84"/>
      <c r="I14307" s="237"/>
      <c r="J14307" s="238"/>
    </row>
    <row r="14308">
      <c r="C14308" s="82"/>
      <c r="E14308" s="84"/>
      <c r="F14308" s="84"/>
      <c r="G14308" s="84"/>
      <c r="I14308" s="237"/>
      <c r="J14308" s="238"/>
    </row>
    <row r="14309">
      <c r="C14309" s="82"/>
      <c r="E14309" s="84"/>
      <c r="F14309" s="84"/>
      <c r="G14309" s="84"/>
      <c r="I14309" s="237"/>
      <c r="J14309" s="238"/>
    </row>
    <row r="14310">
      <c r="C14310" s="82"/>
      <c r="E14310" s="84"/>
      <c r="F14310" s="84"/>
      <c r="G14310" s="84"/>
      <c r="I14310" s="237"/>
      <c r="J14310" s="238"/>
    </row>
    <row r="14311">
      <c r="C14311" s="82"/>
      <c r="E14311" s="84"/>
      <c r="F14311" s="84"/>
      <c r="G14311" s="84"/>
      <c r="I14311" s="237"/>
      <c r="J14311" s="238"/>
    </row>
    <row r="14312">
      <c r="C14312" s="82"/>
      <c r="E14312" s="84"/>
      <c r="F14312" s="84"/>
      <c r="G14312" s="84"/>
      <c r="I14312" s="237"/>
      <c r="J14312" s="238"/>
    </row>
    <row r="14313">
      <c r="C14313" s="82"/>
      <c r="E14313" s="84"/>
      <c r="F14313" s="84"/>
      <c r="G14313" s="84"/>
      <c r="I14313" s="237"/>
      <c r="J14313" s="238"/>
    </row>
    <row r="14314">
      <c r="C14314" s="82"/>
      <c r="E14314" s="84"/>
      <c r="F14314" s="84"/>
      <c r="G14314" s="84"/>
      <c r="I14314" s="237"/>
      <c r="J14314" s="238"/>
    </row>
    <row r="14315">
      <c r="C14315" s="82"/>
      <c r="E14315" s="84"/>
      <c r="F14315" s="84"/>
      <c r="G14315" s="84"/>
      <c r="I14315" s="237"/>
      <c r="J14315" s="238"/>
    </row>
    <row r="14316">
      <c r="C14316" s="82"/>
      <c r="E14316" s="84"/>
      <c r="F14316" s="84"/>
      <c r="G14316" s="84"/>
      <c r="I14316" s="237"/>
      <c r="J14316" s="238"/>
    </row>
    <row r="14317">
      <c r="C14317" s="82"/>
      <c r="E14317" s="84"/>
      <c r="F14317" s="84"/>
      <c r="G14317" s="84"/>
      <c r="I14317" s="237"/>
      <c r="J14317" s="238"/>
    </row>
    <row r="14318">
      <c r="C14318" s="82"/>
      <c r="E14318" s="84"/>
      <c r="F14318" s="84"/>
      <c r="G14318" s="84"/>
      <c r="I14318" s="237"/>
      <c r="J14318" s="238"/>
    </row>
    <row r="14319">
      <c r="C14319" s="82"/>
      <c r="E14319" s="84"/>
      <c r="F14319" s="84"/>
      <c r="G14319" s="84"/>
      <c r="I14319" s="237"/>
      <c r="J14319" s="238"/>
    </row>
    <row r="14320">
      <c r="C14320" s="82"/>
      <c r="E14320" s="84"/>
      <c r="F14320" s="84"/>
      <c r="G14320" s="84"/>
      <c r="I14320" s="237"/>
      <c r="J14320" s="238"/>
    </row>
    <row r="14321">
      <c r="C14321" s="82"/>
      <c r="E14321" s="84"/>
      <c r="F14321" s="84"/>
      <c r="G14321" s="84"/>
      <c r="I14321" s="237"/>
      <c r="J14321" s="238"/>
    </row>
    <row r="14322">
      <c r="C14322" s="82"/>
      <c r="E14322" s="84"/>
      <c r="F14322" s="84"/>
      <c r="G14322" s="84"/>
      <c r="I14322" s="237"/>
      <c r="J14322" s="238"/>
    </row>
    <row r="14323">
      <c r="C14323" s="82"/>
      <c r="E14323" s="84"/>
      <c r="F14323" s="84"/>
      <c r="G14323" s="84"/>
      <c r="I14323" s="237"/>
      <c r="J14323" s="238"/>
    </row>
    <row r="14324">
      <c r="C14324" s="82"/>
      <c r="E14324" s="84"/>
      <c r="F14324" s="84"/>
      <c r="G14324" s="84"/>
      <c r="I14324" s="237"/>
      <c r="J14324" s="238"/>
    </row>
    <row r="14325">
      <c r="C14325" s="82"/>
      <c r="E14325" s="84"/>
      <c r="F14325" s="84"/>
      <c r="G14325" s="84"/>
      <c r="I14325" s="237"/>
      <c r="J14325" s="238"/>
    </row>
    <row r="14326">
      <c r="C14326" s="82"/>
      <c r="E14326" s="84"/>
      <c r="F14326" s="84"/>
      <c r="G14326" s="84"/>
      <c r="I14326" s="237"/>
      <c r="J14326" s="238"/>
    </row>
    <row r="14327">
      <c r="C14327" s="82"/>
      <c r="E14327" s="84"/>
      <c r="F14327" s="84"/>
      <c r="G14327" s="84"/>
      <c r="I14327" s="237"/>
      <c r="J14327" s="238"/>
    </row>
    <row r="14328">
      <c r="C14328" s="82"/>
      <c r="E14328" s="84"/>
      <c r="F14328" s="84"/>
      <c r="G14328" s="84"/>
      <c r="I14328" s="237"/>
      <c r="J14328" s="238"/>
    </row>
    <row r="14329">
      <c r="C14329" s="82"/>
      <c r="E14329" s="84"/>
      <c r="F14329" s="84"/>
      <c r="G14329" s="84"/>
      <c r="I14329" s="237"/>
      <c r="J14329" s="238"/>
    </row>
    <row r="14330">
      <c r="C14330" s="82"/>
      <c r="E14330" s="84"/>
      <c r="F14330" s="84"/>
      <c r="G14330" s="84"/>
      <c r="I14330" s="237"/>
      <c r="J14330" s="238"/>
    </row>
    <row r="14331">
      <c r="C14331" s="82"/>
      <c r="E14331" s="84"/>
      <c r="F14331" s="84"/>
      <c r="G14331" s="84"/>
      <c r="I14331" s="237"/>
      <c r="J14331" s="238"/>
    </row>
    <row r="14332">
      <c r="C14332" s="82"/>
      <c r="E14332" s="84"/>
      <c r="F14332" s="84"/>
      <c r="G14332" s="84"/>
      <c r="I14332" s="237"/>
      <c r="J14332" s="238"/>
    </row>
    <row r="14333">
      <c r="C14333" s="82"/>
      <c r="E14333" s="84"/>
      <c r="F14333" s="84"/>
      <c r="G14333" s="84"/>
      <c r="I14333" s="237"/>
      <c r="J14333" s="238"/>
    </row>
    <row r="14334">
      <c r="C14334" s="82"/>
      <c r="E14334" s="84"/>
      <c r="F14334" s="84"/>
      <c r="G14334" s="84"/>
      <c r="I14334" s="237"/>
      <c r="J14334" s="238"/>
    </row>
    <row r="14335">
      <c r="C14335" s="82"/>
      <c r="E14335" s="84"/>
      <c r="F14335" s="84"/>
      <c r="G14335" s="84"/>
      <c r="I14335" s="237"/>
      <c r="J14335" s="238"/>
    </row>
    <row r="14336">
      <c r="C14336" s="82"/>
      <c r="E14336" s="84"/>
      <c r="F14336" s="84"/>
      <c r="G14336" s="84"/>
      <c r="I14336" s="237"/>
      <c r="J14336" s="238"/>
    </row>
    <row r="14337">
      <c r="C14337" s="82"/>
      <c r="E14337" s="84"/>
      <c r="F14337" s="84"/>
      <c r="G14337" s="84"/>
      <c r="I14337" s="237"/>
      <c r="J14337" s="238"/>
    </row>
    <row r="14338">
      <c r="C14338" s="82"/>
      <c r="E14338" s="84"/>
      <c r="F14338" s="84"/>
      <c r="G14338" s="84"/>
      <c r="I14338" s="237"/>
      <c r="J14338" s="238"/>
    </row>
    <row r="14339">
      <c r="C14339" s="82"/>
      <c r="E14339" s="84"/>
      <c r="F14339" s="84"/>
      <c r="G14339" s="84"/>
      <c r="I14339" s="237"/>
      <c r="J14339" s="238"/>
    </row>
    <row r="14340">
      <c r="C14340" s="82"/>
      <c r="E14340" s="84"/>
      <c r="F14340" s="84"/>
      <c r="G14340" s="84"/>
      <c r="I14340" s="237"/>
      <c r="J14340" s="238"/>
    </row>
    <row r="14341">
      <c r="C14341" s="82"/>
      <c r="E14341" s="84"/>
      <c r="F14341" s="84"/>
      <c r="G14341" s="84"/>
      <c r="I14341" s="237"/>
      <c r="J14341" s="238"/>
    </row>
    <row r="14342">
      <c r="C14342" s="82"/>
      <c r="E14342" s="84"/>
      <c r="F14342" s="84"/>
      <c r="G14342" s="84"/>
      <c r="I14342" s="237"/>
      <c r="J14342" s="238"/>
    </row>
    <row r="14343">
      <c r="C14343" s="82"/>
      <c r="E14343" s="84"/>
      <c r="F14343" s="84"/>
      <c r="G14343" s="84"/>
      <c r="I14343" s="237"/>
      <c r="J14343" s="238"/>
    </row>
    <row r="14344">
      <c r="C14344" s="82"/>
      <c r="E14344" s="84"/>
      <c r="F14344" s="84"/>
      <c r="G14344" s="84"/>
      <c r="I14344" s="237"/>
      <c r="J14344" s="238"/>
    </row>
    <row r="14345">
      <c r="C14345" s="82"/>
      <c r="E14345" s="84"/>
      <c r="F14345" s="84"/>
      <c r="G14345" s="84"/>
      <c r="I14345" s="237"/>
      <c r="J14345" s="238"/>
    </row>
    <row r="14346">
      <c r="C14346" s="82"/>
      <c r="E14346" s="84"/>
      <c r="F14346" s="84"/>
      <c r="G14346" s="84"/>
      <c r="I14346" s="237"/>
      <c r="J14346" s="238"/>
    </row>
    <row r="14347">
      <c r="C14347" s="82"/>
      <c r="E14347" s="84"/>
      <c r="F14347" s="84"/>
      <c r="G14347" s="84"/>
      <c r="I14347" s="237"/>
      <c r="J14347" s="238"/>
    </row>
    <row r="14348">
      <c r="C14348" s="82"/>
      <c r="E14348" s="84"/>
      <c r="F14348" s="84"/>
      <c r="G14348" s="84"/>
      <c r="I14348" s="237"/>
      <c r="J14348" s="238"/>
    </row>
    <row r="14349">
      <c r="C14349" s="82"/>
      <c r="E14349" s="84"/>
      <c r="F14349" s="84"/>
      <c r="G14349" s="84"/>
      <c r="I14349" s="237"/>
      <c r="J14349" s="238"/>
    </row>
    <row r="14350">
      <c r="C14350" s="82"/>
      <c r="E14350" s="84"/>
      <c r="F14350" s="84"/>
      <c r="G14350" s="84"/>
      <c r="I14350" s="237"/>
      <c r="J14350" s="238"/>
    </row>
    <row r="14351">
      <c r="C14351" s="82"/>
      <c r="E14351" s="84"/>
      <c r="F14351" s="84"/>
      <c r="G14351" s="84"/>
      <c r="I14351" s="237"/>
      <c r="J14351" s="238"/>
    </row>
    <row r="14352">
      <c r="C14352" s="82"/>
      <c r="E14352" s="84"/>
      <c r="F14352" s="84"/>
      <c r="G14352" s="84"/>
      <c r="I14352" s="237"/>
      <c r="J14352" s="238"/>
    </row>
    <row r="14353">
      <c r="C14353" s="82"/>
      <c r="E14353" s="84"/>
      <c r="F14353" s="84"/>
      <c r="G14353" s="84"/>
      <c r="I14353" s="237"/>
      <c r="J14353" s="238"/>
    </row>
    <row r="14354">
      <c r="C14354" s="82"/>
      <c r="E14354" s="84"/>
      <c r="F14354" s="84"/>
      <c r="G14354" s="84"/>
      <c r="I14354" s="237"/>
      <c r="J14354" s="238"/>
    </row>
    <row r="14355">
      <c r="C14355" s="82"/>
      <c r="E14355" s="84"/>
      <c r="F14355" s="84"/>
      <c r="G14355" s="84"/>
      <c r="I14355" s="237"/>
      <c r="J14355" s="238"/>
    </row>
    <row r="14356">
      <c r="C14356" s="82"/>
      <c r="E14356" s="84"/>
      <c r="F14356" s="84"/>
      <c r="G14356" s="84"/>
      <c r="I14356" s="237"/>
      <c r="J14356" s="238"/>
    </row>
    <row r="14357">
      <c r="C14357" s="82"/>
      <c r="E14357" s="84"/>
      <c r="F14357" s="84"/>
      <c r="G14357" s="84"/>
      <c r="I14357" s="237"/>
      <c r="J14357" s="238"/>
    </row>
    <row r="14358">
      <c r="C14358" s="82"/>
      <c r="E14358" s="84"/>
      <c r="F14358" s="84"/>
      <c r="G14358" s="84"/>
      <c r="I14358" s="237"/>
      <c r="J14358" s="238"/>
    </row>
    <row r="14359">
      <c r="C14359" s="82"/>
      <c r="E14359" s="84"/>
      <c r="F14359" s="84"/>
      <c r="G14359" s="84"/>
      <c r="I14359" s="237"/>
      <c r="J14359" s="238"/>
    </row>
    <row r="14360">
      <c r="C14360" s="82"/>
      <c r="E14360" s="84"/>
      <c r="F14360" s="84"/>
      <c r="G14360" s="84"/>
      <c r="I14360" s="237"/>
      <c r="J14360" s="238"/>
    </row>
    <row r="14361">
      <c r="C14361" s="82"/>
      <c r="E14361" s="84"/>
      <c r="F14361" s="84"/>
      <c r="G14361" s="84"/>
      <c r="I14361" s="237"/>
      <c r="J14361" s="238"/>
    </row>
    <row r="14362">
      <c r="C14362" s="82"/>
      <c r="E14362" s="84"/>
      <c r="F14362" s="84"/>
      <c r="G14362" s="84"/>
      <c r="I14362" s="237"/>
      <c r="J14362" s="238"/>
    </row>
    <row r="14363">
      <c r="C14363" s="82"/>
      <c r="E14363" s="84"/>
      <c r="F14363" s="84"/>
      <c r="G14363" s="84"/>
      <c r="I14363" s="237"/>
      <c r="J14363" s="238"/>
    </row>
    <row r="14364">
      <c r="C14364" s="82"/>
      <c r="E14364" s="84"/>
      <c r="F14364" s="84"/>
      <c r="G14364" s="84"/>
      <c r="I14364" s="237"/>
      <c r="J14364" s="238"/>
    </row>
    <row r="14365">
      <c r="C14365" s="82"/>
      <c r="E14365" s="84"/>
      <c r="F14365" s="84"/>
      <c r="G14365" s="84"/>
      <c r="I14365" s="237"/>
      <c r="J14365" s="238"/>
    </row>
    <row r="14366">
      <c r="C14366" s="82"/>
      <c r="E14366" s="84"/>
      <c r="F14366" s="84"/>
      <c r="G14366" s="84"/>
      <c r="I14366" s="237"/>
      <c r="J14366" s="238"/>
    </row>
    <row r="14367">
      <c r="C14367" s="82"/>
      <c r="E14367" s="84"/>
      <c r="F14367" s="84"/>
      <c r="G14367" s="84"/>
      <c r="I14367" s="237"/>
      <c r="J14367" s="238"/>
    </row>
    <row r="14368">
      <c r="C14368" s="82"/>
      <c r="E14368" s="84"/>
      <c r="F14368" s="84"/>
      <c r="G14368" s="84"/>
      <c r="I14368" s="237"/>
      <c r="J14368" s="238"/>
    </row>
    <row r="14369">
      <c r="C14369" s="82"/>
      <c r="E14369" s="84"/>
      <c r="F14369" s="84"/>
      <c r="G14369" s="84"/>
      <c r="I14369" s="237"/>
      <c r="J14369" s="238"/>
    </row>
    <row r="14370">
      <c r="C14370" s="82"/>
      <c r="E14370" s="84"/>
      <c r="F14370" s="84"/>
      <c r="G14370" s="84"/>
      <c r="I14370" s="237"/>
      <c r="J14370" s="238"/>
    </row>
    <row r="14371">
      <c r="C14371" s="82"/>
      <c r="E14371" s="84"/>
      <c r="F14371" s="84"/>
      <c r="G14371" s="84"/>
      <c r="I14371" s="237"/>
      <c r="J14371" s="238"/>
    </row>
    <row r="14372">
      <c r="C14372" s="82"/>
      <c r="E14372" s="84"/>
      <c r="F14372" s="84"/>
      <c r="G14372" s="84"/>
      <c r="I14372" s="237"/>
      <c r="J14372" s="238"/>
    </row>
    <row r="14373">
      <c r="C14373" s="82"/>
      <c r="E14373" s="84"/>
      <c r="F14373" s="84"/>
      <c r="G14373" s="84"/>
      <c r="I14373" s="237"/>
      <c r="J14373" s="238"/>
    </row>
    <row r="14374">
      <c r="C14374" s="82"/>
      <c r="E14374" s="84"/>
      <c r="F14374" s="84"/>
      <c r="G14374" s="84"/>
      <c r="I14374" s="237"/>
      <c r="J14374" s="238"/>
    </row>
    <row r="14375">
      <c r="C14375" s="82"/>
      <c r="E14375" s="84"/>
      <c r="F14375" s="84"/>
      <c r="G14375" s="84"/>
      <c r="I14375" s="237"/>
      <c r="J14375" s="238"/>
    </row>
    <row r="14376">
      <c r="C14376" s="82"/>
      <c r="E14376" s="84"/>
      <c r="F14376" s="84"/>
      <c r="G14376" s="84"/>
      <c r="I14376" s="237"/>
      <c r="J14376" s="238"/>
    </row>
    <row r="14377">
      <c r="C14377" s="82"/>
      <c r="E14377" s="84"/>
      <c r="F14377" s="84"/>
      <c r="G14377" s="84"/>
      <c r="I14377" s="237"/>
      <c r="J14377" s="238"/>
    </row>
    <row r="14378">
      <c r="C14378" s="82"/>
      <c r="E14378" s="84"/>
      <c r="F14378" s="84"/>
      <c r="G14378" s="84"/>
      <c r="I14378" s="237"/>
      <c r="J14378" s="238"/>
    </row>
    <row r="14379">
      <c r="C14379" s="82"/>
      <c r="E14379" s="84"/>
      <c r="F14379" s="84"/>
      <c r="G14379" s="84"/>
      <c r="I14379" s="237"/>
      <c r="J14379" s="238"/>
    </row>
    <row r="14380">
      <c r="C14380" s="82"/>
      <c r="E14380" s="84"/>
      <c r="F14380" s="84"/>
      <c r="G14380" s="84"/>
      <c r="I14380" s="237"/>
      <c r="J14380" s="238"/>
    </row>
    <row r="14381">
      <c r="C14381" s="82"/>
      <c r="E14381" s="84"/>
      <c r="F14381" s="84"/>
      <c r="G14381" s="84"/>
      <c r="I14381" s="237"/>
      <c r="J14381" s="238"/>
    </row>
    <row r="14382">
      <c r="C14382" s="82"/>
      <c r="E14382" s="84"/>
      <c r="F14382" s="84"/>
      <c r="G14382" s="84"/>
      <c r="I14382" s="237"/>
      <c r="J14382" s="238"/>
    </row>
    <row r="14383">
      <c r="C14383" s="82"/>
      <c r="E14383" s="84"/>
      <c r="F14383" s="84"/>
      <c r="G14383" s="84"/>
      <c r="I14383" s="237"/>
      <c r="J14383" s="238"/>
    </row>
    <row r="14384">
      <c r="C14384" s="82"/>
      <c r="E14384" s="84"/>
      <c r="F14384" s="84"/>
      <c r="G14384" s="84"/>
      <c r="I14384" s="237"/>
      <c r="J14384" s="238"/>
    </row>
    <row r="14385">
      <c r="C14385" s="82"/>
      <c r="E14385" s="84"/>
      <c r="F14385" s="84"/>
      <c r="G14385" s="84"/>
      <c r="I14385" s="237"/>
      <c r="J14385" s="238"/>
    </row>
    <row r="14386">
      <c r="C14386" s="82"/>
      <c r="E14386" s="84"/>
      <c r="F14386" s="84"/>
      <c r="G14386" s="84"/>
      <c r="I14386" s="237"/>
      <c r="J14386" s="238"/>
    </row>
    <row r="14387">
      <c r="C14387" s="82"/>
      <c r="E14387" s="84"/>
      <c r="F14387" s="84"/>
      <c r="G14387" s="84"/>
      <c r="I14387" s="237"/>
      <c r="J14387" s="238"/>
    </row>
    <row r="14388">
      <c r="C14388" s="82"/>
      <c r="E14388" s="84"/>
      <c r="F14388" s="84"/>
      <c r="G14388" s="84"/>
      <c r="I14388" s="237"/>
      <c r="J14388" s="238"/>
    </row>
    <row r="14389">
      <c r="C14389" s="82"/>
      <c r="E14389" s="84"/>
      <c r="F14389" s="84"/>
      <c r="G14389" s="84"/>
      <c r="I14389" s="237"/>
      <c r="J14389" s="238"/>
    </row>
    <row r="14390">
      <c r="C14390" s="82"/>
      <c r="E14390" s="84"/>
      <c r="F14390" s="84"/>
      <c r="G14390" s="84"/>
      <c r="I14390" s="237"/>
      <c r="J14390" s="238"/>
    </row>
    <row r="14391">
      <c r="C14391" s="82"/>
      <c r="E14391" s="84"/>
      <c r="F14391" s="84"/>
      <c r="G14391" s="84"/>
      <c r="I14391" s="237"/>
      <c r="J14391" s="238"/>
    </row>
    <row r="14392">
      <c r="C14392" s="82"/>
      <c r="E14392" s="84"/>
      <c r="F14392" s="84"/>
      <c r="G14392" s="84"/>
      <c r="I14392" s="237"/>
      <c r="J14392" s="238"/>
    </row>
    <row r="14393">
      <c r="C14393" s="82"/>
      <c r="E14393" s="84"/>
      <c r="F14393" s="84"/>
      <c r="G14393" s="84"/>
      <c r="I14393" s="237"/>
      <c r="J14393" s="238"/>
    </row>
    <row r="14394">
      <c r="C14394" s="82"/>
      <c r="E14394" s="84"/>
      <c r="F14394" s="84"/>
      <c r="G14394" s="84"/>
      <c r="I14394" s="237"/>
      <c r="J14394" s="238"/>
    </row>
    <row r="14395">
      <c r="C14395" s="82"/>
      <c r="E14395" s="84"/>
      <c r="F14395" s="84"/>
      <c r="G14395" s="84"/>
      <c r="I14395" s="237"/>
      <c r="J14395" s="238"/>
    </row>
    <row r="14396">
      <c r="C14396" s="82"/>
      <c r="E14396" s="84"/>
      <c r="F14396" s="84"/>
      <c r="G14396" s="84"/>
      <c r="I14396" s="237"/>
      <c r="J14396" s="238"/>
    </row>
    <row r="14397">
      <c r="C14397" s="82"/>
      <c r="E14397" s="84"/>
      <c r="F14397" s="84"/>
      <c r="G14397" s="84"/>
      <c r="I14397" s="237"/>
      <c r="J14397" s="238"/>
    </row>
    <row r="14398">
      <c r="C14398" s="82"/>
      <c r="E14398" s="84"/>
      <c r="F14398" s="84"/>
      <c r="G14398" s="84"/>
      <c r="I14398" s="237"/>
      <c r="J14398" s="238"/>
    </row>
    <row r="14399">
      <c r="C14399" s="82"/>
      <c r="E14399" s="84"/>
      <c r="F14399" s="84"/>
      <c r="G14399" s="84"/>
      <c r="I14399" s="237"/>
      <c r="J14399" s="238"/>
    </row>
    <row r="14400">
      <c r="C14400" s="82"/>
      <c r="E14400" s="84"/>
      <c r="F14400" s="84"/>
      <c r="G14400" s="84"/>
      <c r="I14400" s="237"/>
      <c r="J14400" s="238"/>
    </row>
    <row r="14401">
      <c r="C14401" s="82"/>
      <c r="E14401" s="84"/>
      <c r="F14401" s="84"/>
      <c r="G14401" s="84"/>
      <c r="I14401" s="237"/>
      <c r="J14401" s="238"/>
    </row>
    <row r="14402">
      <c r="C14402" s="82"/>
      <c r="E14402" s="84"/>
      <c r="F14402" s="84"/>
      <c r="G14402" s="84"/>
      <c r="I14402" s="237"/>
      <c r="J14402" s="238"/>
    </row>
    <row r="14403">
      <c r="C14403" s="82"/>
      <c r="E14403" s="84"/>
      <c r="F14403" s="84"/>
      <c r="G14403" s="84"/>
      <c r="I14403" s="237"/>
      <c r="J14403" s="238"/>
    </row>
    <row r="14404">
      <c r="C14404" s="82"/>
      <c r="E14404" s="84"/>
      <c r="F14404" s="84"/>
      <c r="G14404" s="84"/>
      <c r="I14404" s="237"/>
      <c r="J14404" s="238"/>
    </row>
    <row r="14405">
      <c r="C14405" s="82"/>
      <c r="E14405" s="84"/>
      <c r="F14405" s="84"/>
      <c r="G14405" s="84"/>
      <c r="I14405" s="237"/>
      <c r="J14405" s="238"/>
    </row>
    <row r="14406">
      <c r="C14406" s="82"/>
      <c r="E14406" s="84"/>
      <c r="F14406" s="84"/>
      <c r="G14406" s="84"/>
      <c r="I14406" s="237"/>
      <c r="J14406" s="238"/>
    </row>
    <row r="14407">
      <c r="C14407" s="82"/>
      <c r="E14407" s="84"/>
      <c r="F14407" s="84"/>
      <c r="G14407" s="84"/>
      <c r="I14407" s="237"/>
      <c r="J14407" s="238"/>
    </row>
    <row r="14408">
      <c r="C14408" s="82"/>
      <c r="E14408" s="84"/>
      <c r="F14408" s="84"/>
      <c r="G14408" s="84"/>
      <c r="I14408" s="237"/>
      <c r="J14408" s="238"/>
    </row>
    <row r="14409">
      <c r="C14409" s="82"/>
      <c r="E14409" s="84"/>
      <c r="F14409" s="84"/>
      <c r="G14409" s="84"/>
      <c r="I14409" s="237"/>
      <c r="J14409" s="238"/>
    </row>
    <row r="14410">
      <c r="C14410" s="82"/>
      <c r="E14410" s="84"/>
      <c r="F14410" s="84"/>
      <c r="G14410" s="84"/>
      <c r="I14410" s="237"/>
      <c r="J14410" s="238"/>
    </row>
    <row r="14411">
      <c r="C14411" s="82"/>
      <c r="E14411" s="84"/>
      <c r="F14411" s="84"/>
      <c r="G14411" s="84"/>
      <c r="I14411" s="237"/>
      <c r="J14411" s="238"/>
    </row>
    <row r="14412">
      <c r="C14412" s="82"/>
      <c r="E14412" s="84"/>
      <c r="F14412" s="84"/>
      <c r="G14412" s="84"/>
      <c r="I14412" s="237"/>
      <c r="J14412" s="238"/>
    </row>
    <row r="14413">
      <c r="C14413" s="82"/>
      <c r="E14413" s="84"/>
      <c r="F14413" s="84"/>
      <c r="G14413" s="84"/>
      <c r="I14413" s="237"/>
      <c r="J14413" s="238"/>
    </row>
    <row r="14414">
      <c r="C14414" s="82"/>
      <c r="E14414" s="84"/>
      <c r="F14414" s="84"/>
      <c r="G14414" s="84"/>
      <c r="I14414" s="237"/>
      <c r="J14414" s="238"/>
    </row>
    <row r="14415">
      <c r="C14415" s="82"/>
      <c r="E14415" s="84"/>
      <c r="F14415" s="84"/>
      <c r="G14415" s="84"/>
      <c r="I14415" s="237"/>
      <c r="J14415" s="238"/>
    </row>
    <row r="14416">
      <c r="C14416" s="82"/>
      <c r="E14416" s="84"/>
      <c r="F14416" s="84"/>
      <c r="G14416" s="84"/>
      <c r="I14416" s="237"/>
      <c r="J14416" s="238"/>
    </row>
    <row r="14417">
      <c r="C14417" s="82"/>
      <c r="E14417" s="84"/>
      <c r="F14417" s="84"/>
      <c r="G14417" s="84"/>
      <c r="I14417" s="237"/>
      <c r="J14417" s="238"/>
    </row>
    <row r="14418">
      <c r="C14418" s="82"/>
      <c r="E14418" s="84"/>
      <c r="F14418" s="84"/>
      <c r="G14418" s="84"/>
      <c r="I14418" s="237"/>
      <c r="J14418" s="238"/>
    </row>
    <row r="14419">
      <c r="C14419" s="82"/>
      <c r="E14419" s="84"/>
      <c r="F14419" s="84"/>
      <c r="G14419" s="84"/>
      <c r="I14419" s="237"/>
      <c r="J14419" s="238"/>
    </row>
    <row r="14420">
      <c r="C14420" s="82"/>
      <c r="E14420" s="84"/>
      <c r="F14420" s="84"/>
      <c r="G14420" s="84"/>
      <c r="I14420" s="237"/>
      <c r="J14420" s="238"/>
    </row>
    <row r="14421">
      <c r="C14421" s="82"/>
      <c r="E14421" s="84"/>
      <c r="F14421" s="84"/>
      <c r="G14421" s="84"/>
      <c r="I14421" s="237"/>
      <c r="J14421" s="238"/>
    </row>
    <row r="14422">
      <c r="C14422" s="82"/>
      <c r="E14422" s="84"/>
      <c r="F14422" s="84"/>
      <c r="G14422" s="84"/>
      <c r="I14422" s="237"/>
      <c r="J14422" s="238"/>
    </row>
    <row r="14423">
      <c r="C14423" s="82"/>
      <c r="E14423" s="84"/>
      <c r="F14423" s="84"/>
      <c r="G14423" s="84"/>
      <c r="I14423" s="237"/>
      <c r="J14423" s="238"/>
    </row>
    <row r="14424">
      <c r="C14424" s="82"/>
      <c r="E14424" s="84"/>
      <c r="F14424" s="84"/>
      <c r="G14424" s="84"/>
      <c r="I14424" s="237"/>
      <c r="J14424" s="238"/>
    </row>
    <row r="14425">
      <c r="C14425" s="82"/>
      <c r="E14425" s="84"/>
      <c r="F14425" s="84"/>
      <c r="G14425" s="84"/>
      <c r="I14425" s="237"/>
      <c r="J14425" s="238"/>
    </row>
    <row r="14426">
      <c r="C14426" s="82"/>
      <c r="E14426" s="84"/>
      <c r="F14426" s="84"/>
      <c r="G14426" s="84"/>
      <c r="I14426" s="237"/>
      <c r="J14426" s="238"/>
    </row>
    <row r="14427">
      <c r="C14427" s="82"/>
      <c r="E14427" s="84"/>
      <c r="F14427" s="84"/>
      <c r="G14427" s="84"/>
      <c r="I14427" s="237"/>
      <c r="J14427" s="238"/>
    </row>
    <row r="14428">
      <c r="C14428" s="82"/>
      <c r="E14428" s="84"/>
      <c r="F14428" s="84"/>
      <c r="G14428" s="84"/>
      <c r="I14428" s="237"/>
      <c r="J14428" s="238"/>
    </row>
    <row r="14429">
      <c r="C14429" s="82"/>
      <c r="E14429" s="84"/>
      <c r="F14429" s="84"/>
      <c r="G14429" s="84"/>
      <c r="I14429" s="237"/>
      <c r="J14429" s="238"/>
    </row>
    <row r="14430">
      <c r="C14430" s="82"/>
      <c r="E14430" s="84"/>
      <c r="F14430" s="84"/>
      <c r="G14430" s="84"/>
      <c r="I14430" s="237"/>
      <c r="J14430" s="238"/>
    </row>
    <row r="14431">
      <c r="C14431" s="82"/>
      <c r="E14431" s="84"/>
      <c r="F14431" s="84"/>
      <c r="G14431" s="84"/>
      <c r="I14431" s="237"/>
      <c r="J14431" s="238"/>
    </row>
    <row r="14432">
      <c r="C14432" s="82"/>
      <c r="E14432" s="84"/>
      <c r="F14432" s="84"/>
      <c r="G14432" s="84"/>
      <c r="I14432" s="237"/>
      <c r="J14432" s="238"/>
    </row>
    <row r="14433">
      <c r="C14433" s="82"/>
      <c r="E14433" s="84"/>
      <c r="F14433" s="84"/>
      <c r="G14433" s="84"/>
      <c r="I14433" s="237"/>
      <c r="J14433" s="238"/>
    </row>
    <row r="14434">
      <c r="C14434" s="82"/>
      <c r="E14434" s="84"/>
      <c r="F14434" s="84"/>
      <c r="G14434" s="84"/>
      <c r="I14434" s="237"/>
      <c r="J14434" s="238"/>
    </row>
    <row r="14435">
      <c r="C14435" s="82"/>
      <c r="E14435" s="84"/>
      <c r="F14435" s="84"/>
      <c r="G14435" s="84"/>
      <c r="I14435" s="237"/>
      <c r="J14435" s="238"/>
    </row>
    <row r="14436">
      <c r="C14436" s="82"/>
      <c r="E14436" s="84"/>
      <c r="F14436" s="84"/>
      <c r="G14436" s="84"/>
      <c r="I14436" s="237"/>
      <c r="J14436" s="238"/>
    </row>
    <row r="14437">
      <c r="C14437" s="82"/>
      <c r="E14437" s="84"/>
      <c r="F14437" s="84"/>
      <c r="G14437" s="84"/>
      <c r="I14437" s="237"/>
      <c r="J14437" s="238"/>
    </row>
    <row r="14438">
      <c r="C14438" s="82"/>
      <c r="E14438" s="84"/>
      <c r="F14438" s="84"/>
      <c r="G14438" s="84"/>
      <c r="I14438" s="237"/>
      <c r="J14438" s="238"/>
    </row>
    <row r="14439">
      <c r="C14439" s="82"/>
      <c r="E14439" s="84"/>
      <c r="F14439" s="84"/>
      <c r="G14439" s="84"/>
      <c r="I14439" s="237"/>
      <c r="J14439" s="238"/>
    </row>
    <row r="14440">
      <c r="C14440" s="82"/>
      <c r="E14440" s="84"/>
      <c r="F14440" s="84"/>
      <c r="G14440" s="84"/>
      <c r="I14440" s="237"/>
      <c r="J14440" s="238"/>
    </row>
    <row r="14441">
      <c r="C14441" s="82"/>
      <c r="E14441" s="84"/>
      <c r="F14441" s="84"/>
      <c r="G14441" s="84"/>
      <c r="I14441" s="237"/>
      <c r="J14441" s="238"/>
    </row>
    <row r="14442">
      <c r="C14442" s="82"/>
      <c r="E14442" s="84"/>
      <c r="F14442" s="84"/>
      <c r="G14442" s="84"/>
      <c r="I14442" s="237"/>
      <c r="J14442" s="238"/>
    </row>
    <row r="14443">
      <c r="C14443" s="82"/>
      <c r="E14443" s="84"/>
      <c r="F14443" s="84"/>
      <c r="G14443" s="84"/>
      <c r="I14443" s="237"/>
      <c r="J14443" s="238"/>
    </row>
    <row r="14444">
      <c r="C14444" s="82"/>
      <c r="E14444" s="84"/>
      <c r="F14444" s="84"/>
      <c r="G14444" s="84"/>
      <c r="I14444" s="237"/>
      <c r="J14444" s="238"/>
    </row>
    <row r="14445">
      <c r="C14445" s="82"/>
      <c r="E14445" s="84"/>
      <c r="F14445" s="84"/>
      <c r="G14445" s="84"/>
      <c r="I14445" s="237"/>
      <c r="J14445" s="238"/>
    </row>
    <row r="14446">
      <c r="C14446" s="82"/>
      <c r="E14446" s="84"/>
      <c r="F14446" s="84"/>
      <c r="G14446" s="84"/>
      <c r="I14446" s="237"/>
      <c r="J14446" s="238"/>
    </row>
    <row r="14447">
      <c r="C14447" s="82"/>
      <c r="E14447" s="84"/>
      <c r="F14447" s="84"/>
      <c r="G14447" s="84"/>
      <c r="I14447" s="237"/>
      <c r="J14447" s="238"/>
    </row>
    <row r="14448">
      <c r="C14448" s="82"/>
      <c r="E14448" s="84"/>
      <c r="F14448" s="84"/>
      <c r="G14448" s="84"/>
      <c r="I14448" s="237"/>
      <c r="J14448" s="238"/>
    </row>
    <row r="14449">
      <c r="C14449" s="82"/>
      <c r="E14449" s="84"/>
      <c r="F14449" s="84"/>
      <c r="G14449" s="84"/>
      <c r="I14449" s="237"/>
      <c r="J14449" s="238"/>
    </row>
    <row r="14450">
      <c r="C14450" s="82"/>
      <c r="E14450" s="84"/>
      <c r="F14450" s="84"/>
      <c r="G14450" s="84"/>
      <c r="I14450" s="237"/>
      <c r="J14450" s="238"/>
    </row>
    <row r="14451">
      <c r="C14451" s="82"/>
      <c r="E14451" s="84"/>
      <c r="F14451" s="84"/>
      <c r="G14451" s="84"/>
      <c r="I14451" s="237"/>
      <c r="J14451" s="238"/>
    </row>
    <row r="14452">
      <c r="C14452" s="82"/>
      <c r="E14452" s="84"/>
      <c r="F14452" s="84"/>
      <c r="G14452" s="84"/>
      <c r="I14452" s="237"/>
      <c r="J14452" s="238"/>
    </row>
    <row r="14453">
      <c r="C14453" s="82"/>
      <c r="E14453" s="84"/>
      <c r="F14453" s="84"/>
      <c r="G14453" s="84"/>
      <c r="I14453" s="237"/>
      <c r="J14453" s="238"/>
    </row>
    <row r="14454">
      <c r="C14454" s="82"/>
      <c r="E14454" s="84"/>
      <c r="F14454" s="84"/>
      <c r="G14454" s="84"/>
      <c r="I14454" s="237"/>
      <c r="J14454" s="238"/>
    </row>
    <row r="14455">
      <c r="C14455" s="82"/>
      <c r="E14455" s="84"/>
      <c r="F14455" s="84"/>
      <c r="G14455" s="84"/>
      <c r="I14455" s="237"/>
      <c r="J14455" s="238"/>
    </row>
    <row r="14456">
      <c r="C14456" s="82"/>
      <c r="E14456" s="84"/>
      <c r="F14456" s="84"/>
      <c r="G14456" s="84"/>
      <c r="I14456" s="237"/>
      <c r="J14456" s="238"/>
    </row>
    <row r="14457">
      <c r="C14457" s="82"/>
      <c r="E14457" s="84"/>
      <c r="F14457" s="84"/>
      <c r="G14457" s="84"/>
      <c r="I14457" s="237"/>
      <c r="J14457" s="238"/>
    </row>
    <row r="14458">
      <c r="C14458" s="82"/>
      <c r="E14458" s="84"/>
      <c r="F14458" s="84"/>
      <c r="G14458" s="84"/>
      <c r="I14458" s="237"/>
      <c r="J14458" s="238"/>
    </row>
    <row r="14459">
      <c r="C14459" s="82"/>
      <c r="E14459" s="84"/>
      <c r="F14459" s="84"/>
      <c r="G14459" s="84"/>
      <c r="I14459" s="237"/>
      <c r="J14459" s="238"/>
    </row>
    <row r="14460">
      <c r="C14460" s="82"/>
      <c r="E14460" s="84"/>
      <c r="F14460" s="84"/>
      <c r="G14460" s="84"/>
      <c r="I14460" s="237"/>
      <c r="J14460" s="238"/>
    </row>
    <row r="14461">
      <c r="C14461" s="82"/>
      <c r="E14461" s="84"/>
      <c r="F14461" s="84"/>
      <c r="G14461" s="84"/>
      <c r="I14461" s="237"/>
      <c r="J14461" s="238"/>
    </row>
    <row r="14462">
      <c r="C14462" s="82"/>
      <c r="E14462" s="84"/>
      <c r="F14462" s="84"/>
      <c r="G14462" s="84"/>
      <c r="I14462" s="237"/>
      <c r="J14462" s="238"/>
    </row>
    <row r="14463">
      <c r="C14463" s="82"/>
      <c r="E14463" s="84"/>
      <c r="F14463" s="84"/>
      <c r="G14463" s="84"/>
      <c r="I14463" s="237"/>
      <c r="J14463" s="238"/>
    </row>
    <row r="14464">
      <c r="C14464" s="82"/>
      <c r="E14464" s="84"/>
      <c r="F14464" s="84"/>
      <c r="G14464" s="84"/>
      <c r="I14464" s="237"/>
      <c r="J14464" s="238"/>
    </row>
    <row r="14465">
      <c r="C14465" s="82"/>
      <c r="E14465" s="84"/>
      <c r="F14465" s="84"/>
      <c r="G14465" s="84"/>
      <c r="I14465" s="237"/>
      <c r="J14465" s="238"/>
    </row>
    <row r="14466">
      <c r="C14466" s="82"/>
      <c r="E14466" s="84"/>
      <c r="F14466" s="84"/>
      <c r="G14466" s="84"/>
      <c r="I14466" s="237"/>
      <c r="J14466" s="238"/>
    </row>
    <row r="14467">
      <c r="C14467" s="82"/>
      <c r="E14467" s="84"/>
      <c r="F14467" s="84"/>
      <c r="G14467" s="84"/>
      <c r="I14467" s="237"/>
      <c r="J14467" s="238"/>
    </row>
    <row r="14468">
      <c r="C14468" s="82"/>
      <c r="E14468" s="84"/>
      <c r="F14468" s="84"/>
      <c r="G14468" s="84"/>
      <c r="I14468" s="237"/>
      <c r="J14468" s="238"/>
    </row>
    <row r="14469">
      <c r="C14469" s="82"/>
      <c r="E14469" s="84"/>
      <c r="F14469" s="84"/>
      <c r="G14469" s="84"/>
      <c r="I14469" s="237"/>
      <c r="J14469" s="238"/>
    </row>
    <row r="14470">
      <c r="C14470" s="82"/>
      <c r="E14470" s="84"/>
      <c r="F14470" s="84"/>
      <c r="G14470" s="84"/>
      <c r="I14470" s="237"/>
      <c r="J14470" s="238"/>
    </row>
    <row r="14471">
      <c r="C14471" s="82"/>
      <c r="E14471" s="84"/>
      <c r="F14471" s="84"/>
      <c r="G14471" s="84"/>
      <c r="I14471" s="237"/>
      <c r="J14471" s="238"/>
    </row>
    <row r="14472">
      <c r="C14472" s="82"/>
      <c r="E14472" s="84"/>
      <c r="F14472" s="84"/>
      <c r="G14472" s="84"/>
      <c r="I14472" s="237"/>
      <c r="J14472" s="238"/>
    </row>
    <row r="14473">
      <c r="C14473" s="82"/>
      <c r="E14473" s="84"/>
      <c r="F14473" s="84"/>
      <c r="G14473" s="84"/>
      <c r="I14473" s="237"/>
      <c r="J14473" s="238"/>
    </row>
    <row r="14474">
      <c r="C14474" s="82"/>
      <c r="E14474" s="84"/>
      <c r="F14474" s="84"/>
      <c r="G14474" s="84"/>
      <c r="I14474" s="237"/>
      <c r="J14474" s="238"/>
    </row>
    <row r="14475">
      <c r="C14475" s="82"/>
      <c r="E14475" s="84"/>
      <c r="F14475" s="84"/>
      <c r="G14475" s="84"/>
      <c r="I14475" s="237"/>
      <c r="J14475" s="238"/>
    </row>
    <row r="14476">
      <c r="C14476" s="82"/>
      <c r="E14476" s="84"/>
      <c r="F14476" s="84"/>
      <c r="G14476" s="84"/>
      <c r="I14476" s="237"/>
      <c r="J14476" s="238"/>
    </row>
    <row r="14477">
      <c r="C14477" s="82"/>
      <c r="E14477" s="84"/>
      <c r="F14477" s="84"/>
      <c r="G14477" s="84"/>
      <c r="I14477" s="237"/>
      <c r="J14477" s="238"/>
    </row>
    <row r="14478">
      <c r="C14478" s="82"/>
      <c r="E14478" s="84"/>
      <c r="F14478" s="84"/>
      <c r="G14478" s="84"/>
      <c r="I14478" s="237"/>
      <c r="J14478" s="238"/>
    </row>
    <row r="14479">
      <c r="C14479" s="82"/>
      <c r="E14479" s="84"/>
      <c r="F14479" s="84"/>
      <c r="G14479" s="84"/>
      <c r="I14479" s="237"/>
      <c r="J14479" s="238"/>
    </row>
    <row r="14480">
      <c r="C14480" s="82"/>
      <c r="E14480" s="84"/>
      <c r="F14480" s="84"/>
      <c r="G14480" s="84"/>
      <c r="I14480" s="237"/>
      <c r="J14480" s="238"/>
    </row>
    <row r="14481">
      <c r="C14481" s="82"/>
      <c r="E14481" s="84"/>
      <c r="F14481" s="84"/>
      <c r="G14481" s="84"/>
      <c r="I14481" s="237"/>
      <c r="J14481" s="238"/>
    </row>
    <row r="14482">
      <c r="C14482" s="82"/>
      <c r="E14482" s="84"/>
      <c r="F14482" s="84"/>
      <c r="G14482" s="84"/>
      <c r="I14482" s="237"/>
      <c r="J14482" s="238"/>
    </row>
    <row r="14483">
      <c r="C14483" s="82"/>
      <c r="E14483" s="84"/>
      <c r="F14483" s="84"/>
      <c r="G14483" s="84"/>
      <c r="I14483" s="237"/>
      <c r="J14483" s="238"/>
    </row>
    <row r="14484">
      <c r="C14484" s="82"/>
      <c r="E14484" s="84"/>
      <c r="F14484" s="84"/>
      <c r="G14484" s="84"/>
      <c r="I14484" s="237"/>
      <c r="J14484" s="238"/>
    </row>
    <row r="14485">
      <c r="C14485" s="82"/>
      <c r="E14485" s="84"/>
      <c r="F14485" s="84"/>
      <c r="G14485" s="84"/>
      <c r="I14485" s="237"/>
      <c r="J14485" s="238"/>
    </row>
    <row r="14486">
      <c r="C14486" s="82"/>
      <c r="E14486" s="84"/>
      <c r="F14486" s="84"/>
      <c r="G14486" s="84"/>
      <c r="I14486" s="237"/>
      <c r="J14486" s="238"/>
    </row>
    <row r="14487">
      <c r="C14487" s="82"/>
      <c r="E14487" s="84"/>
      <c r="F14487" s="84"/>
      <c r="G14487" s="84"/>
      <c r="I14487" s="237"/>
      <c r="J14487" s="238"/>
    </row>
    <row r="14488">
      <c r="C14488" s="82"/>
      <c r="E14488" s="84"/>
      <c r="F14488" s="84"/>
      <c r="G14488" s="84"/>
      <c r="I14488" s="237"/>
      <c r="J14488" s="238"/>
    </row>
    <row r="14489">
      <c r="C14489" s="82"/>
      <c r="E14489" s="84"/>
      <c r="F14489" s="84"/>
      <c r="G14489" s="84"/>
      <c r="I14489" s="237"/>
      <c r="J14489" s="238"/>
    </row>
    <row r="14490">
      <c r="C14490" s="82"/>
      <c r="E14490" s="84"/>
      <c r="F14490" s="84"/>
      <c r="G14490" s="84"/>
      <c r="I14490" s="237"/>
      <c r="J14490" s="238"/>
    </row>
    <row r="14491">
      <c r="C14491" s="82"/>
      <c r="E14491" s="84"/>
      <c r="F14491" s="84"/>
      <c r="G14491" s="84"/>
      <c r="I14491" s="237"/>
      <c r="J14491" s="238"/>
    </row>
    <row r="14492">
      <c r="C14492" s="82"/>
      <c r="E14492" s="84"/>
      <c r="F14492" s="84"/>
      <c r="G14492" s="84"/>
      <c r="I14492" s="237"/>
      <c r="J14492" s="238"/>
    </row>
    <row r="14493">
      <c r="C14493" s="82"/>
      <c r="E14493" s="84"/>
      <c r="F14493" s="84"/>
      <c r="G14493" s="84"/>
      <c r="I14493" s="237"/>
      <c r="J14493" s="238"/>
    </row>
    <row r="14494">
      <c r="C14494" s="82"/>
      <c r="E14494" s="84"/>
      <c r="F14494" s="84"/>
      <c r="G14494" s="84"/>
      <c r="I14494" s="237"/>
      <c r="J14494" s="238"/>
    </row>
    <row r="14495">
      <c r="C14495" s="82"/>
      <c r="E14495" s="84"/>
      <c r="F14495" s="84"/>
      <c r="G14495" s="84"/>
      <c r="I14495" s="237"/>
      <c r="J14495" s="238"/>
    </row>
    <row r="14496">
      <c r="C14496" s="82"/>
      <c r="E14496" s="84"/>
      <c r="F14496" s="84"/>
      <c r="G14496" s="84"/>
      <c r="I14496" s="237"/>
      <c r="J14496" s="238"/>
    </row>
    <row r="14497">
      <c r="C14497" s="82"/>
      <c r="E14497" s="84"/>
      <c r="F14497" s="84"/>
      <c r="G14497" s="84"/>
      <c r="I14497" s="237"/>
      <c r="J14497" s="238"/>
    </row>
    <row r="14498">
      <c r="C14498" s="82"/>
      <c r="E14498" s="84"/>
      <c r="F14498" s="84"/>
      <c r="G14498" s="84"/>
      <c r="I14498" s="237"/>
      <c r="J14498" s="238"/>
    </row>
    <row r="14499">
      <c r="C14499" s="82"/>
      <c r="E14499" s="84"/>
      <c r="F14499" s="84"/>
      <c r="G14499" s="84"/>
      <c r="I14499" s="237"/>
      <c r="J14499" s="238"/>
    </row>
    <row r="14500">
      <c r="C14500" s="82"/>
      <c r="E14500" s="84"/>
      <c r="F14500" s="84"/>
      <c r="G14500" s="84"/>
      <c r="I14500" s="237"/>
      <c r="J14500" s="238"/>
    </row>
    <row r="14501">
      <c r="C14501" s="82"/>
      <c r="E14501" s="84"/>
      <c r="F14501" s="84"/>
      <c r="G14501" s="84"/>
      <c r="I14501" s="237"/>
      <c r="J14501" s="238"/>
    </row>
    <row r="14502">
      <c r="C14502" s="82"/>
      <c r="E14502" s="84"/>
      <c r="F14502" s="84"/>
      <c r="G14502" s="84"/>
      <c r="I14502" s="237"/>
      <c r="J14502" s="238"/>
    </row>
    <row r="14503">
      <c r="C14503" s="82"/>
      <c r="E14503" s="84"/>
      <c r="F14503" s="84"/>
      <c r="G14503" s="84"/>
      <c r="I14503" s="237"/>
      <c r="J14503" s="238"/>
    </row>
    <row r="14504">
      <c r="C14504" s="82"/>
      <c r="E14504" s="84"/>
      <c r="F14504" s="84"/>
      <c r="G14504" s="84"/>
      <c r="I14504" s="237"/>
      <c r="J14504" s="238"/>
    </row>
    <row r="14505">
      <c r="C14505" s="82"/>
      <c r="E14505" s="84"/>
      <c r="F14505" s="84"/>
      <c r="G14505" s="84"/>
      <c r="I14505" s="237"/>
      <c r="J14505" s="238"/>
    </row>
    <row r="14506">
      <c r="C14506" s="82"/>
      <c r="E14506" s="84"/>
      <c r="F14506" s="84"/>
      <c r="G14506" s="84"/>
      <c r="I14506" s="237"/>
      <c r="J14506" s="238"/>
    </row>
    <row r="14507">
      <c r="C14507" s="82"/>
      <c r="E14507" s="84"/>
      <c r="F14507" s="84"/>
      <c r="G14507" s="84"/>
      <c r="I14507" s="237"/>
      <c r="J14507" s="238"/>
    </row>
    <row r="14508">
      <c r="C14508" s="82"/>
      <c r="E14508" s="84"/>
      <c r="F14508" s="84"/>
      <c r="G14508" s="84"/>
      <c r="I14508" s="237"/>
      <c r="J14508" s="238"/>
    </row>
    <row r="14509">
      <c r="C14509" s="82"/>
      <c r="E14509" s="84"/>
      <c r="F14509" s="84"/>
      <c r="G14509" s="84"/>
      <c r="I14509" s="237"/>
      <c r="J14509" s="238"/>
    </row>
    <row r="14510">
      <c r="C14510" s="82"/>
      <c r="E14510" s="84"/>
      <c r="F14510" s="84"/>
      <c r="G14510" s="84"/>
      <c r="I14510" s="237"/>
      <c r="J14510" s="238"/>
    </row>
    <row r="14511">
      <c r="C14511" s="82"/>
      <c r="E14511" s="84"/>
      <c r="F14511" s="84"/>
      <c r="G14511" s="84"/>
      <c r="I14511" s="237"/>
      <c r="J14511" s="238"/>
    </row>
    <row r="14512">
      <c r="C14512" s="82"/>
      <c r="E14512" s="84"/>
      <c r="F14512" s="84"/>
      <c r="G14512" s="84"/>
      <c r="I14512" s="237"/>
      <c r="J14512" s="238"/>
    </row>
    <row r="14513">
      <c r="C14513" s="82"/>
      <c r="E14513" s="84"/>
      <c r="F14513" s="84"/>
      <c r="G14513" s="84"/>
      <c r="I14513" s="237"/>
      <c r="J14513" s="238"/>
    </row>
    <row r="14514">
      <c r="C14514" s="82"/>
      <c r="E14514" s="84"/>
      <c r="F14514" s="84"/>
      <c r="G14514" s="84"/>
      <c r="I14514" s="237"/>
      <c r="J14514" s="238"/>
    </row>
    <row r="14515">
      <c r="C14515" s="82"/>
      <c r="E14515" s="84"/>
      <c r="F14515" s="84"/>
      <c r="G14515" s="84"/>
      <c r="I14515" s="237"/>
      <c r="J14515" s="238"/>
    </row>
    <row r="14516">
      <c r="C14516" s="82"/>
      <c r="E14516" s="84"/>
      <c r="F14516" s="84"/>
      <c r="G14516" s="84"/>
      <c r="I14516" s="237"/>
      <c r="J14516" s="238"/>
    </row>
    <row r="14517">
      <c r="C14517" s="82"/>
      <c r="E14517" s="84"/>
      <c r="F14517" s="84"/>
      <c r="G14517" s="84"/>
      <c r="I14517" s="237"/>
      <c r="J14517" s="238"/>
    </row>
    <row r="14518">
      <c r="C14518" s="82"/>
      <c r="E14518" s="84"/>
      <c r="F14518" s="84"/>
      <c r="G14518" s="84"/>
      <c r="I14518" s="237"/>
      <c r="J14518" s="238"/>
    </row>
    <row r="14519">
      <c r="C14519" s="82"/>
      <c r="E14519" s="84"/>
      <c r="F14519" s="84"/>
      <c r="G14519" s="84"/>
      <c r="I14519" s="237"/>
      <c r="J14519" s="238"/>
    </row>
    <row r="14520">
      <c r="C14520" s="82"/>
      <c r="E14520" s="84"/>
      <c r="F14520" s="84"/>
      <c r="G14520" s="84"/>
      <c r="I14520" s="237"/>
      <c r="J14520" s="238"/>
    </row>
    <row r="14521">
      <c r="C14521" s="82"/>
      <c r="E14521" s="84"/>
      <c r="F14521" s="84"/>
      <c r="G14521" s="84"/>
      <c r="I14521" s="237"/>
      <c r="J14521" s="238"/>
    </row>
    <row r="14522">
      <c r="C14522" s="82"/>
      <c r="E14522" s="84"/>
      <c r="F14522" s="84"/>
      <c r="G14522" s="84"/>
      <c r="I14522" s="237"/>
      <c r="J14522" s="238"/>
    </row>
    <row r="14523">
      <c r="C14523" s="82"/>
      <c r="E14523" s="84"/>
      <c r="F14523" s="84"/>
      <c r="G14523" s="84"/>
      <c r="I14523" s="237"/>
      <c r="J14523" s="238"/>
    </row>
    <row r="14524">
      <c r="C14524" s="82"/>
      <c r="E14524" s="84"/>
      <c r="F14524" s="84"/>
      <c r="G14524" s="84"/>
      <c r="I14524" s="237"/>
      <c r="J14524" s="238"/>
    </row>
    <row r="14525">
      <c r="C14525" s="82"/>
      <c r="E14525" s="84"/>
      <c r="F14525" s="84"/>
      <c r="G14525" s="84"/>
      <c r="I14525" s="237"/>
      <c r="J14525" s="238"/>
    </row>
    <row r="14526">
      <c r="C14526" s="82"/>
      <c r="E14526" s="84"/>
      <c r="F14526" s="84"/>
      <c r="G14526" s="84"/>
      <c r="I14526" s="237"/>
      <c r="J14526" s="238"/>
    </row>
    <row r="14527">
      <c r="C14527" s="82"/>
      <c r="E14527" s="84"/>
      <c r="F14527" s="84"/>
      <c r="G14527" s="84"/>
      <c r="I14527" s="237"/>
      <c r="J14527" s="238"/>
    </row>
    <row r="14528">
      <c r="C14528" s="82"/>
      <c r="E14528" s="84"/>
      <c r="F14528" s="84"/>
      <c r="G14528" s="84"/>
      <c r="I14528" s="237"/>
      <c r="J14528" s="238"/>
    </row>
    <row r="14529">
      <c r="C14529" s="82"/>
      <c r="E14529" s="84"/>
      <c r="F14529" s="84"/>
      <c r="G14529" s="84"/>
      <c r="I14529" s="237"/>
      <c r="J14529" s="238"/>
    </row>
    <row r="14530">
      <c r="C14530" s="82"/>
      <c r="E14530" s="84"/>
      <c r="F14530" s="84"/>
      <c r="G14530" s="84"/>
      <c r="I14530" s="237"/>
      <c r="J14530" s="238"/>
    </row>
    <row r="14531">
      <c r="C14531" s="82"/>
      <c r="E14531" s="84"/>
      <c r="F14531" s="84"/>
      <c r="G14531" s="84"/>
      <c r="I14531" s="237"/>
      <c r="J14531" s="238"/>
    </row>
    <row r="14532">
      <c r="C14532" s="82"/>
      <c r="E14532" s="84"/>
      <c r="F14532" s="84"/>
      <c r="G14532" s="84"/>
      <c r="I14532" s="237"/>
      <c r="J14532" s="238"/>
    </row>
    <row r="14533">
      <c r="C14533" s="82"/>
      <c r="E14533" s="84"/>
      <c r="F14533" s="84"/>
      <c r="G14533" s="84"/>
      <c r="I14533" s="237"/>
      <c r="J14533" s="238"/>
    </row>
    <row r="14534">
      <c r="C14534" s="82"/>
      <c r="E14534" s="84"/>
      <c r="F14534" s="84"/>
      <c r="G14534" s="84"/>
      <c r="I14534" s="237"/>
      <c r="J14534" s="238"/>
    </row>
    <row r="14535">
      <c r="C14535" s="82"/>
      <c r="E14535" s="84"/>
      <c r="F14535" s="84"/>
      <c r="G14535" s="84"/>
      <c r="I14535" s="237"/>
      <c r="J14535" s="238"/>
    </row>
    <row r="14536">
      <c r="C14536" s="82"/>
      <c r="E14536" s="84"/>
      <c r="F14536" s="84"/>
      <c r="G14536" s="84"/>
      <c r="I14536" s="237"/>
      <c r="J14536" s="238"/>
    </row>
    <row r="14537">
      <c r="C14537" s="82"/>
      <c r="E14537" s="84"/>
      <c r="F14537" s="84"/>
      <c r="G14537" s="84"/>
      <c r="I14537" s="237"/>
      <c r="J14537" s="238"/>
    </row>
    <row r="14538">
      <c r="C14538" s="82"/>
      <c r="E14538" s="84"/>
      <c r="F14538" s="84"/>
      <c r="G14538" s="84"/>
      <c r="I14538" s="237"/>
      <c r="J14538" s="238"/>
    </row>
    <row r="14539">
      <c r="C14539" s="82"/>
      <c r="E14539" s="84"/>
      <c r="F14539" s="84"/>
      <c r="G14539" s="84"/>
      <c r="I14539" s="237"/>
      <c r="J14539" s="238"/>
    </row>
    <row r="14540">
      <c r="C14540" s="82"/>
      <c r="E14540" s="84"/>
      <c r="F14540" s="84"/>
      <c r="G14540" s="84"/>
      <c r="I14540" s="237"/>
      <c r="J14540" s="238"/>
    </row>
    <row r="14541">
      <c r="C14541" s="82"/>
      <c r="E14541" s="84"/>
      <c r="F14541" s="84"/>
      <c r="G14541" s="84"/>
      <c r="I14541" s="237"/>
      <c r="J14541" s="238"/>
    </row>
    <row r="14542">
      <c r="C14542" s="82"/>
      <c r="E14542" s="84"/>
      <c r="F14542" s="84"/>
      <c r="G14542" s="84"/>
      <c r="I14542" s="237"/>
      <c r="J14542" s="238"/>
    </row>
    <row r="14543">
      <c r="C14543" s="82"/>
      <c r="E14543" s="84"/>
      <c r="F14543" s="84"/>
      <c r="G14543" s="84"/>
      <c r="I14543" s="237"/>
      <c r="J14543" s="238"/>
    </row>
    <row r="14544">
      <c r="C14544" s="82"/>
      <c r="E14544" s="84"/>
      <c r="F14544" s="84"/>
      <c r="G14544" s="84"/>
      <c r="I14544" s="237"/>
      <c r="J14544" s="238"/>
    </row>
    <row r="14545">
      <c r="C14545" s="82"/>
      <c r="E14545" s="84"/>
      <c r="F14545" s="84"/>
      <c r="G14545" s="84"/>
      <c r="I14545" s="237"/>
      <c r="J14545" s="238"/>
    </row>
    <row r="14546">
      <c r="C14546" s="82"/>
      <c r="E14546" s="84"/>
      <c r="F14546" s="84"/>
      <c r="G14546" s="84"/>
      <c r="I14546" s="237"/>
      <c r="J14546" s="238"/>
    </row>
    <row r="14547">
      <c r="C14547" s="82"/>
      <c r="E14547" s="84"/>
      <c r="F14547" s="84"/>
      <c r="G14547" s="84"/>
      <c r="I14547" s="237"/>
      <c r="J14547" s="238"/>
    </row>
    <row r="14548">
      <c r="C14548" s="82"/>
      <c r="E14548" s="84"/>
      <c r="F14548" s="84"/>
      <c r="G14548" s="84"/>
      <c r="I14548" s="237"/>
      <c r="J14548" s="238"/>
    </row>
    <row r="14549">
      <c r="C14549" s="82"/>
      <c r="E14549" s="84"/>
      <c r="F14549" s="84"/>
      <c r="G14549" s="84"/>
      <c r="I14549" s="237"/>
      <c r="J14549" s="238"/>
    </row>
    <row r="14550">
      <c r="C14550" s="82"/>
      <c r="E14550" s="84"/>
      <c r="F14550" s="84"/>
      <c r="G14550" s="84"/>
      <c r="I14550" s="237"/>
      <c r="J14550" s="238"/>
    </row>
    <row r="14551">
      <c r="C14551" s="82"/>
      <c r="E14551" s="84"/>
      <c r="F14551" s="84"/>
      <c r="G14551" s="84"/>
      <c r="I14551" s="237"/>
      <c r="J14551" s="238"/>
    </row>
    <row r="14552">
      <c r="C14552" s="82"/>
      <c r="E14552" s="84"/>
      <c r="F14552" s="84"/>
      <c r="G14552" s="84"/>
      <c r="I14552" s="237"/>
      <c r="J14552" s="238"/>
    </row>
    <row r="14553">
      <c r="C14553" s="82"/>
      <c r="E14553" s="84"/>
      <c r="F14553" s="84"/>
      <c r="G14553" s="84"/>
      <c r="I14553" s="237"/>
      <c r="J14553" s="238"/>
    </row>
    <row r="14554">
      <c r="C14554" s="82"/>
      <c r="E14554" s="84"/>
      <c r="F14554" s="84"/>
      <c r="G14554" s="84"/>
      <c r="I14554" s="237"/>
      <c r="J14554" s="238"/>
    </row>
    <row r="14555">
      <c r="C14555" s="82"/>
      <c r="E14555" s="84"/>
      <c r="F14555" s="84"/>
      <c r="G14555" s="84"/>
      <c r="I14555" s="237"/>
      <c r="J14555" s="238"/>
    </row>
    <row r="14556">
      <c r="C14556" s="82"/>
      <c r="E14556" s="84"/>
      <c r="F14556" s="84"/>
      <c r="G14556" s="84"/>
      <c r="I14556" s="237"/>
      <c r="J14556" s="238"/>
    </row>
    <row r="14557">
      <c r="C14557" s="82"/>
      <c r="E14557" s="84"/>
      <c r="F14557" s="84"/>
      <c r="G14557" s="84"/>
      <c r="I14557" s="237"/>
      <c r="J14557" s="238"/>
    </row>
    <row r="14558">
      <c r="C14558" s="82"/>
      <c r="E14558" s="84"/>
      <c r="F14558" s="84"/>
      <c r="G14558" s="84"/>
      <c r="I14558" s="237"/>
      <c r="J14558" s="238"/>
    </row>
    <row r="14559">
      <c r="C14559" s="82"/>
      <c r="E14559" s="84"/>
      <c r="F14559" s="84"/>
      <c r="G14559" s="84"/>
      <c r="I14559" s="237"/>
      <c r="J14559" s="238"/>
    </row>
    <row r="14560">
      <c r="C14560" s="82"/>
      <c r="E14560" s="84"/>
      <c r="F14560" s="84"/>
      <c r="G14560" s="84"/>
      <c r="I14560" s="237"/>
      <c r="J14560" s="238"/>
    </row>
    <row r="14561">
      <c r="C14561" s="82"/>
      <c r="E14561" s="84"/>
      <c r="F14561" s="84"/>
      <c r="G14561" s="84"/>
      <c r="I14561" s="237"/>
      <c r="J14561" s="238"/>
    </row>
    <row r="14562">
      <c r="C14562" s="82"/>
      <c r="E14562" s="84"/>
      <c r="F14562" s="84"/>
      <c r="G14562" s="84"/>
      <c r="I14562" s="237"/>
      <c r="J14562" s="238"/>
    </row>
    <row r="14563">
      <c r="C14563" s="82"/>
      <c r="E14563" s="84"/>
      <c r="F14563" s="84"/>
      <c r="G14563" s="84"/>
      <c r="I14563" s="237"/>
      <c r="J14563" s="238"/>
    </row>
    <row r="14564">
      <c r="C14564" s="82"/>
      <c r="E14564" s="84"/>
      <c r="F14564" s="84"/>
      <c r="G14564" s="84"/>
      <c r="I14564" s="237"/>
      <c r="J14564" s="238"/>
    </row>
    <row r="14565">
      <c r="C14565" s="82"/>
      <c r="E14565" s="84"/>
      <c r="F14565" s="84"/>
      <c r="G14565" s="84"/>
      <c r="I14565" s="237"/>
      <c r="J14565" s="238"/>
    </row>
    <row r="14566">
      <c r="C14566" s="82"/>
      <c r="E14566" s="84"/>
      <c r="F14566" s="84"/>
      <c r="G14566" s="84"/>
      <c r="I14566" s="237"/>
      <c r="J14566" s="238"/>
    </row>
    <row r="14567">
      <c r="C14567" s="82"/>
      <c r="E14567" s="84"/>
      <c r="F14567" s="84"/>
      <c r="G14567" s="84"/>
      <c r="I14567" s="237"/>
      <c r="J14567" s="238"/>
    </row>
    <row r="14568">
      <c r="C14568" s="82"/>
      <c r="E14568" s="84"/>
      <c r="F14568" s="84"/>
      <c r="G14568" s="84"/>
      <c r="I14568" s="237"/>
      <c r="J14568" s="238"/>
    </row>
    <row r="14569">
      <c r="C14569" s="82"/>
      <c r="E14569" s="84"/>
      <c r="F14569" s="84"/>
      <c r="G14569" s="84"/>
      <c r="I14569" s="237"/>
      <c r="J14569" s="238"/>
    </row>
    <row r="14570">
      <c r="C14570" s="82"/>
      <c r="E14570" s="84"/>
      <c r="F14570" s="84"/>
      <c r="G14570" s="84"/>
      <c r="I14570" s="237"/>
      <c r="J14570" s="238"/>
    </row>
    <row r="14571">
      <c r="C14571" s="82"/>
      <c r="E14571" s="84"/>
      <c r="F14571" s="84"/>
      <c r="G14571" s="84"/>
      <c r="I14571" s="237"/>
      <c r="J14571" s="238"/>
    </row>
    <row r="14572">
      <c r="C14572" s="82"/>
      <c r="E14572" s="84"/>
      <c r="F14572" s="84"/>
      <c r="G14572" s="84"/>
      <c r="I14572" s="237"/>
      <c r="J14572" s="238"/>
    </row>
    <row r="14573">
      <c r="C14573" s="82"/>
      <c r="E14573" s="84"/>
      <c r="F14573" s="84"/>
      <c r="G14573" s="84"/>
      <c r="I14573" s="237"/>
      <c r="J14573" s="238"/>
    </row>
    <row r="14574">
      <c r="C14574" s="82"/>
      <c r="E14574" s="84"/>
      <c r="F14574" s="84"/>
      <c r="G14574" s="84"/>
      <c r="I14574" s="237"/>
      <c r="J14574" s="238"/>
    </row>
    <row r="14575">
      <c r="C14575" s="82"/>
      <c r="E14575" s="84"/>
      <c r="F14575" s="84"/>
      <c r="G14575" s="84"/>
      <c r="I14575" s="237"/>
      <c r="J14575" s="238"/>
    </row>
    <row r="14576">
      <c r="C14576" s="82"/>
      <c r="E14576" s="84"/>
      <c r="F14576" s="84"/>
      <c r="G14576" s="84"/>
      <c r="I14576" s="237"/>
      <c r="J14576" s="238"/>
    </row>
    <row r="14577">
      <c r="C14577" s="82"/>
      <c r="E14577" s="84"/>
      <c r="F14577" s="84"/>
      <c r="G14577" s="84"/>
      <c r="I14577" s="237"/>
      <c r="J14577" s="238"/>
    </row>
    <row r="14578">
      <c r="C14578" s="82"/>
      <c r="E14578" s="84"/>
      <c r="F14578" s="84"/>
      <c r="G14578" s="84"/>
      <c r="I14578" s="237"/>
      <c r="J14578" s="238"/>
    </row>
    <row r="14579">
      <c r="C14579" s="82"/>
      <c r="E14579" s="84"/>
      <c r="F14579" s="84"/>
      <c r="G14579" s="84"/>
      <c r="I14579" s="237"/>
      <c r="J14579" s="238"/>
    </row>
    <row r="14580">
      <c r="C14580" s="82"/>
      <c r="E14580" s="84"/>
      <c r="F14580" s="84"/>
      <c r="G14580" s="84"/>
      <c r="I14580" s="237"/>
      <c r="J14580" s="238"/>
    </row>
    <row r="14581">
      <c r="C14581" s="82"/>
      <c r="E14581" s="84"/>
      <c r="F14581" s="84"/>
      <c r="G14581" s="84"/>
      <c r="I14581" s="237"/>
      <c r="J14581" s="238"/>
    </row>
    <row r="14582">
      <c r="C14582" s="82"/>
      <c r="E14582" s="84"/>
      <c r="F14582" s="84"/>
      <c r="G14582" s="84"/>
      <c r="I14582" s="237"/>
      <c r="J14582" s="238"/>
    </row>
    <row r="14583">
      <c r="C14583" s="82"/>
      <c r="E14583" s="84"/>
      <c r="F14583" s="84"/>
      <c r="G14583" s="84"/>
      <c r="I14583" s="237"/>
      <c r="J14583" s="238"/>
    </row>
    <row r="14584">
      <c r="C14584" s="82"/>
      <c r="E14584" s="84"/>
      <c r="F14584" s="84"/>
      <c r="G14584" s="84"/>
      <c r="I14584" s="237"/>
      <c r="J14584" s="238"/>
    </row>
    <row r="14585">
      <c r="C14585" s="82"/>
      <c r="E14585" s="84"/>
      <c r="F14585" s="84"/>
      <c r="G14585" s="84"/>
      <c r="I14585" s="237"/>
      <c r="J14585" s="238"/>
    </row>
    <row r="14586">
      <c r="C14586" s="82"/>
      <c r="E14586" s="84"/>
      <c r="F14586" s="84"/>
      <c r="G14586" s="84"/>
      <c r="I14586" s="237"/>
      <c r="J14586" s="238"/>
    </row>
    <row r="14587">
      <c r="C14587" s="82"/>
      <c r="E14587" s="84"/>
      <c r="F14587" s="84"/>
      <c r="G14587" s="84"/>
      <c r="I14587" s="237"/>
      <c r="J14587" s="238"/>
    </row>
    <row r="14588">
      <c r="C14588" s="82"/>
      <c r="E14588" s="84"/>
      <c r="F14588" s="84"/>
      <c r="G14588" s="84"/>
      <c r="I14588" s="237"/>
      <c r="J14588" s="238"/>
    </row>
    <row r="14589">
      <c r="C14589" s="82"/>
      <c r="E14589" s="84"/>
      <c r="F14589" s="84"/>
      <c r="G14589" s="84"/>
      <c r="I14589" s="237"/>
      <c r="J14589" s="238"/>
    </row>
    <row r="14590">
      <c r="C14590" s="82"/>
      <c r="E14590" s="84"/>
      <c r="F14590" s="84"/>
      <c r="G14590" s="84"/>
      <c r="I14590" s="237"/>
      <c r="J14590" s="238"/>
    </row>
    <row r="14591">
      <c r="C14591" s="82"/>
      <c r="E14591" s="84"/>
      <c r="F14591" s="84"/>
      <c r="G14591" s="84"/>
      <c r="I14591" s="237"/>
      <c r="J14591" s="238"/>
    </row>
    <row r="14592">
      <c r="C14592" s="82"/>
      <c r="E14592" s="84"/>
      <c r="F14592" s="84"/>
      <c r="G14592" s="84"/>
      <c r="I14592" s="237"/>
      <c r="J14592" s="238"/>
    </row>
    <row r="14593">
      <c r="C14593" s="82"/>
      <c r="E14593" s="84"/>
      <c r="F14593" s="84"/>
      <c r="G14593" s="84"/>
      <c r="I14593" s="237"/>
      <c r="J14593" s="238"/>
    </row>
    <row r="14594">
      <c r="C14594" s="82"/>
      <c r="E14594" s="84"/>
      <c r="F14594" s="84"/>
      <c r="G14594" s="84"/>
      <c r="I14594" s="237"/>
      <c r="J14594" s="238"/>
    </row>
    <row r="14595">
      <c r="C14595" s="82"/>
      <c r="E14595" s="84"/>
      <c r="F14595" s="84"/>
      <c r="G14595" s="84"/>
      <c r="I14595" s="237"/>
      <c r="J14595" s="238"/>
    </row>
    <row r="14596">
      <c r="C14596" s="82"/>
      <c r="E14596" s="84"/>
      <c r="F14596" s="84"/>
      <c r="G14596" s="84"/>
      <c r="I14596" s="237"/>
      <c r="J14596" s="238"/>
    </row>
    <row r="14597">
      <c r="C14597" s="82"/>
      <c r="E14597" s="84"/>
      <c r="F14597" s="84"/>
      <c r="G14597" s="84"/>
      <c r="I14597" s="237"/>
      <c r="J14597" s="238"/>
    </row>
    <row r="14598">
      <c r="C14598" s="82"/>
      <c r="E14598" s="84"/>
      <c r="F14598" s="84"/>
      <c r="G14598" s="84"/>
      <c r="I14598" s="237"/>
      <c r="J14598" s="238"/>
    </row>
    <row r="14599">
      <c r="C14599" s="82"/>
      <c r="E14599" s="84"/>
      <c r="F14599" s="84"/>
      <c r="G14599" s="84"/>
      <c r="I14599" s="237"/>
      <c r="J14599" s="238"/>
    </row>
    <row r="14600">
      <c r="C14600" s="82"/>
      <c r="E14600" s="84"/>
      <c r="F14600" s="84"/>
      <c r="G14600" s="84"/>
      <c r="I14600" s="237"/>
      <c r="J14600" s="238"/>
    </row>
    <row r="14601">
      <c r="C14601" s="82"/>
      <c r="E14601" s="84"/>
      <c r="F14601" s="84"/>
      <c r="G14601" s="84"/>
      <c r="I14601" s="237"/>
      <c r="J14601" s="238"/>
    </row>
    <row r="14602">
      <c r="C14602" s="82"/>
      <c r="E14602" s="84"/>
      <c r="F14602" s="84"/>
      <c r="G14602" s="84"/>
      <c r="I14602" s="237"/>
      <c r="J14602" s="238"/>
    </row>
    <row r="14603">
      <c r="C14603" s="82"/>
      <c r="E14603" s="84"/>
      <c r="F14603" s="84"/>
      <c r="G14603" s="84"/>
      <c r="I14603" s="237"/>
      <c r="J14603" s="238"/>
    </row>
    <row r="14604">
      <c r="C14604" s="82"/>
      <c r="E14604" s="84"/>
      <c r="F14604" s="84"/>
      <c r="G14604" s="84"/>
      <c r="I14604" s="237"/>
      <c r="J14604" s="238"/>
    </row>
    <row r="14605">
      <c r="C14605" s="82"/>
      <c r="E14605" s="84"/>
      <c r="F14605" s="84"/>
      <c r="G14605" s="84"/>
      <c r="I14605" s="237"/>
      <c r="J14605" s="238"/>
    </row>
    <row r="14606">
      <c r="C14606" s="82"/>
      <c r="E14606" s="84"/>
      <c r="F14606" s="84"/>
      <c r="G14606" s="84"/>
      <c r="I14606" s="237"/>
      <c r="J14606" s="238"/>
    </row>
    <row r="14607">
      <c r="C14607" s="82"/>
      <c r="E14607" s="84"/>
      <c r="F14607" s="84"/>
      <c r="G14607" s="84"/>
      <c r="I14607" s="237"/>
      <c r="J14607" s="238"/>
    </row>
    <row r="14608">
      <c r="C14608" s="82"/>
      <c r="E14608" s="84"/>
      <c r="F14608" s="84"/>
      <c r="G14608" s="84"/>
      <c r="I14608" s="237"/>
      <c r="J14608" s="238"/>
    </row>
    <row r="14609">
      <c r="C14609" s="82"/>
      <c r="E14609" s="84"/>
      <c r="F14609" s="84"/>
      <c r="G14609" s="84"/>
      <c r="I14609" s="237"/>
      <c r="J14609" s="238"/>
    </row>
    <row r="14610">
      <c r="C14610" s="82"/>
      <c r="E14610" s="84"/>
      <c r="F14610" s="84"/>
      <c r="G14610" s="84"/>
      <c r="I14610" s="237"/>
      <c r="J14610" s="238"/>
    </row>
    <row r="14611">
      <c r="C14611" s="82"/>
      <c r="E14611" s="84"/>
      <c r="F14611" s="84"/>
      <c r="G14611" s="84"/>
      <c r="I14611" s="237"/>
      <c r="J14611" s="238"/>
    </row>
    <row r="14612">
      <c r="C14612" s="82"/>
      <c r="E14612" s="84"/>
      <c r="F14612" s="84"/>
      <c r="G14612" s="84"/>
      <c r="I14612" s="237"/>
      <c r="J14612" s="238"/>
    </row>
    <row r="14613">
      <c r="C14613" s="82"/>
      <c r="E14613" s="84"/>
      <c r="F14613" s="84"/>
      <c r="G14613" s="84"/>
      <c r="I14613" s="237"/>
      <c r="J14613" s="238"/>
    </row>
    <row r="14614">
      <c r="C14614" s="82"/>
      <c r="E14614" s="84"/>
      <c r="F14614" s="84"/>
      <c r="G14614" s="84"/>
      <c r="I14614" s="237"/>
      <c r="J14614" s="238"/>
    </row>
    <row r="14615">
      <c r="C14615" s="82"/>
      <c r="E14615" s="84"/>
      <c r="F14615" s="84"/>
      <c r="G14615" s="84"/>
      <c r="I14615" s="237"/>
      <c r="J14615" s="238"/>
    </row>
    <row r="14616">
      <c r="C14616" s="82"/>
      <c r="E14616" s="84"/>
      <c r="F14616" s="84"/>
      <c r="G14616" s="84"/>
      <c r="I14616" s="237"/>
      <c r="J14616" s="238"/>
    </row>
    <row r="14617">
      <c r="C14617" s="82"/>
      <c r="E14617" s="84"/>
      <c r="F14617" s="84"/>
      <c r="G14617" s="84"/>
      <c r="I14617" s="237"/>
      <c r="J14617" s="238"/>
    </row>
    <row r="14618">
      <c r="C14618" s="82"/>
      <c r="E14618" s="84"/>
      <c r="F14618" s="84"/>
      <c r="G14618" s="84"/>
      <c r="I14618" s="237"/>
      <c r="J14618" s="238"/>
    </row>
    <row r="14619">
      <c r="C14619" s="82"/>
      <c r="E14619" s="84"/>
      <c r="F14619" s="84"/>
      <c r="G14619" s="84"/>
      <c r="I14619" s="237"/>
      <c r="J14619" s="238"/>
    </row>
    <row r="14620">
      <c r="C14620" s="82"/>
      <c r="E14620" s="84"/>
      <c r="F14620" s="84"/>
      <c r="G14620" s="84"/>
      <c r="I14620" s="237"/>
      <c r="J14620" s="238"/>
    </row>
    <row r="14621">
      <c r="C14621" s="82"/>
      <c r="E14621" s="84"/>
      <c r="F14621" s="84"/>
      <c r="G14621" s="84"/>
      <c r="I14621" s="237"/>
      <c r="J14621" s="238"/>
    </row>
    <row r="14622">
      <c r="C14622" s="82"/>
      <c r="E14622" s="84"/>
      <c r="F14622" s="84"/>
      <c r="G14622" s="84"/>
      <c r="I14622" s="237"/>
      <c r="J14622" s="238"/>
    </row>
    <row r="14623">
      <c r="C14623" s="82"/>
      <c r="E14623" s="84"/>
      <c r="F14623" s="84"/>
      <c r="G14623" s="84"/>
      <c r="I14623" s="237"/>
      <c r="J14623" s="238"/>
    </row>
    <row r="14624">
      <c r="C14624" s="82"/>
      <c r="E14624" s="84"/>
      <c r="F14624" s="84"/>
      <c r="G14624" s="84"/>
      <c r="I14624" s="237"/>
      <c r="J14624" s="238"/>
    </row>
    <row r="14625">
      <c r="C14625" s="82"/>
      <c r="E14625" s="84"/>
      <c r="F14625" s="84"/>
      <c r="G14625" s="84"/>
      <c r="I14625" s="237"/>
      <c r="J14625" s="238"/>
    </row>
    <row r="14626">
      <c r="C14626" s="82"/>
      <c r="E14626" s="84"/>
      <c r="F14626" s="84"/>
      <c r="G14626" s="84"/>
      <c r="I14626" s="237"/>
      <c r="J14626" s="238"/>
    </row>
    <row r="14627">
      <c r="C14627" s="82"/>
      <c r="E14627" s="84"/>
      <c r="F14627" s="84"/>
      <c r="G14627" s="84"/>
      <c r="I14627" s="237"/>
      <c r="J14627" s="238"/>
    </row>
    <row r="14628">
      <c r="C14628" s="82"/>
      <c r="E14628" s="84"/>
      <c r="F14628" s="84"/>
      <c r="G14628" s="84"/>
      <c r="I14628" s="237"/>
      <c r="J14628" s="238"/>
    </row>
    <row r="14629">
      <c r="C14629" s="82"/>
      <c r="E14629" s="84"/>
      <c r="F14629" s="84"/>
      <c r="G14629" s="84"/>
      <c r="I14629" s="237"/>
      <c r="J14629" s="238"/>
    </row>
    <row r="14630">
      <c r="C14630" s="82"/>
      <c r="E14630" s="84"/>
      <c r="F14630" s="84"/>
      <c r="G14630" s="84"/>
      <c r="I14630" s="237"/>
      <c r="J14630" s="238"/>
    </row>
    <row r="14631">
      <c r="C14631" s="82"/>
      <c r="E14631" s="84"/>
      <c r="F14631" s="84"/>
      <c r="G14631" s="84"/>
      <c r="I14631" s="237"/>
      <c r="J14631" s="238"/>
    </row>
    <row r="14632">
      <c r="C14632" s="82"/>
      <c r="E14632" s="84"/>
      <c r="F14632" s="84"/>
      <c r="G14632" s="84"/>
      <c r="I14632" s="237"/>
      <c r="J14632" s="238"/>
    </row>
    <row r="14633">
      <c r="C14633" s="82"/>
      <c r="E14633" s="84"/>
      <c r="F14633" s="84"/>
      <c r="G14633" s="84"/>
      <c r="I14633" s="237"/>
      <c r="J14633" s="238"/>
    </row>
    <row r="14634">
      <c r="C14634" s="82"/>
      <c r="E14634" s="84"/>
      <c r="F14634" s="84"/>
      <c r="G14634" s="84"/>
      <c r="I14634" s="237"/>
      <c r="J14634" s="238"/>
    </row>
    <row r="14635">
      <c r="C14635" s="82"/>
      <c r="E14635" s="84"/>
      <c r="F14635" s="84"/>
      <c r="G14635" s="84"/>
      <c r="I14635" s="237"/>
      <c r="J14635" s="238"/>
    </row>
    <row r="14636">
      <c r="C14636" s="82"/>
      <c r="E14636" s="84"/>
      <c r="F14636" s="84"/>
      <c r="G14636" s="84"/>
      <c r="I14636" s="237"/>
      <c r="J14636" s="238"/>
    </row>
    <row r="14637">
      <c r="C14637" s="82"/>
      <c r="E14637" s="84"/>
      <c r="F14637" s="84"/>
      <c r="G14637" s="84"/>
      <c r="I14637" s="237"/>
      <c r="J14637" s="238"/>
    </row>
    <row r="14638">
      <c r="C14638" s="82"/>
      <c r="E14638" s="84"/>
      <c r="F14638" s="84"/>
      <c r="G14638" s="84"/>
      <c r="I14638" s="237"/>
      <c r="J14638" s="238"/>
    </row>
    <row r="14639">
      <c r="C14639" s="82"/>
      <c r="E14639" s="84"/>
      <c r="F14639" s="84"/>
      <c r="G14639" s="84"/>
      <c r="I14639" s="237"/>
      <c r="J14639" s="238"/>
    </row>
    <row r="14640">
      <c r="C14640" s="82"/>
      <c r="E14640" s="84"/>
      <c r="F14640" s="84"/>
      <c r="G14640" s="84"/>
      <c r="I14640" s="237"/>
      <c r="J14640" s="238"/>
    </row>
    <row r="14641">
      <c r="C14641" s="82"/>
      <c r="E14641" s="84"/>
      <c r="F14641" s="84"/>
      <c r="G14641" s="84"/>
      <c r="I14641" s="237"/>
      <c r="J14641" s="238"/>
    </row>
    <row r="14642">
      <c r="C14642" s="82"/>
      <c r="E14642" s="84"/>
      <c r="F14642" s="84"/>
      <c r="G14642" s="84"/>
      <c r="I14642" s="237"/>
      <c r="J14642" s="238"/>
    </row>
    <row r="14643">
      <c r="C14643" s="82"/>
      <c r="E14643" s="84"/>
      <c r="F14643" s="84"/>
      <c r="G14643" s="84"/>
      <c r="I14643" s="237"/>
      <c r="J14643" s="238"/>
    </row>
    <row r="14644">
      <c r="C14644" s="82"/>
      <c r="E14644" s="84"/>
      <c r="F14644" s="84"/>
      <c r="G14644" s="84"/>
      <c r="I14644" s="237"/>
      <c r="J14644" s="238"/>
    </row>
    <row r="14645">
      <c r="C14645" s="82"/>
      <c r="E14645" s="84"/>
      <c r="F14645" s="84"/>
      <c r="G14645" s="84"/>
      <c r="I14645" s="237"/>
      <c r="J14645" s="238"/>
    </row>
    <row r="14646">
      <c r="C14646" s="82"/>
      <c r="E14646" s="84"/>
      <c r="F14646" s="84"/>
      <c r="G14646" s="84"/>
      <c r="I14646" s="237"/>
      <c r="J14646" s="238"/>
    </row>
    <row r="14647">
      <c r="C14647" s="82"/>
      <c r="E14647" s="84"/>
      <c r="F14647" s="84"/>
      <c r="G14647" s="84"/>
      <c r="I14647" s="237"/>
      <c r="J14647" s="238"/>
    </row>
    <row r="14648">
      <c r="C14648" s="82"/>
      <c r="E14648" s="84"/>
      <c r="F14648" s="84"/>
      <c r="G14648" s="84"/>
      <c r="I14648" s="237"/>
      <c r="J14648" s="238"/>
    </row>
    <row r="14649">
      <c r="C14649" s="82"/>
      <c r="E14649" s="84"/>
      <c r="F14649" s="84"/>
      <c r="G14649" s="84"/>
      <c r="I14649" s="237"/>
      <c r="J14649" s="238"/>
    </row>
    <row r="14650">
      <c r="C14650" s="82"/>
      <c r="E14650" s="84"/>
      <c r="F14650" s="84"/>
      <c r="G14650" s="84"/>
      <c r="I14650" s="237"/>
      <c r="J14650" s="238"/>
    </row>
    <row r="14651">
      <c r="C14651" s="82"/>
      <c r="E14651" s="84"/>
      <c r="F14651" s="84"/>
      <c r="G14651" s="84"/>
      <c r="I14651" s="237"/>
      <c r="J14651" s="238"/>
    </row>
    <row r="14652">
      <c r="C14652" s="82"/>
      <c r="E14652" s="84"/>
      <c r="F14652" s="84"/>
      <c r="G14652" s="84"/>
      <c r="I14652" s="237"/>
      <c r="J14652" s="238"/>
    </row>
    <row r="14653">
      <c r="C14653" s="82"/>
      <c r="E14653" s="84"/>
      <c r="F14653" s="84"/>
      <c r="G14653" s="84"/>
      <c r="I14653" s="237"/>
      <c r="J14653" s="238"/>
    </row>
    <row r="14654">
      <c r="C14654" s="82"/>
      <c r="E14654" s="84"/>
      <c r="F14654" s="84"/>
      <c r="G14654" s="84"/>
      <c r="I14654" s="237"/>
      <c r="J14654" s="238"/>
    </row>
    <row r="14655">
      <c r="C14655" s="82"/>
      <c r="E14655" s="84"/>
      <c r="F14655" s="84"/>
      <c r="G14655" s="84"/>
      <c r="I14655" s="237"/>
      <c r="J14655" s="238"/>
    </row>
    <row r="14656">
      <c r="C14656" s="82"/>
      <c r="E14656" s="84"/>
      <c r="F14656" s="84"/>
      <c r="G14656" s="84"/>
      <c r="I14656" s="237"/>
      <c r="J14656" s="238"/>
    </row>
    <row r="14657">
      <c r="C14657" s="82"/>
      <c r="E14657" s="84"/>
      <c r="F14657" s="84"/>
      <c r="G14657" s="84"/>
      <c r="I14657" s="237"/>
      <c r="J14657" s="238"/>
    </row>
    <row r="14658">
      <c r="C14658" s="82"/>
      <c r="E14658" s="84"/>
      <c r="F14658" s="84"/>
      <c r="G14658" s="84"/>
      <c r="I14658" s="237"/>
      <c r="J14658" s="238"/>
    </row>
    <row r="14659">
      <c r="C14659" s="82"/>
      <c r="E14659" s="84"/>
      <c r="F14659" s="84"/>
      <c r="G14659" s="84"/>
      <c r="I14659" s="237"/>
      <c r="J14659" s="238"/>
    </row>
    <row r="14660">
      <c r="C14660" s="82"/>
      <c r="E14660" s="84"/>
      <c r="F14660" s="84"/>
      <c r="G14660" s="84"/>
      <c r="I14660" s="237"/>
      <c r="J14660" s="238"/>
    </row>
    <row r="14661">
      <c r="C14661" s="82"/>
      <c r="E14661" s="84"/>
      <c r="F14661" s="84"/>
      <c r="G14661" s="84"/>
      <c r="I14661" s="237"/>
      <c r="J14661" s="238"/>
    </row>
    <row r="14662">
      <c r="C14662" s="82"/>
      <c r="E14662" s="84"/>
      <c r="F14662" s="84"/>
      <c r="G14662" s="84"/>
      <c r="I14662" s="237"/>
      <c r="J14662" s="238"/>
    </row>
    <row r="14663">
      <c r="C14663" s="82"/>
      <c r="E14663" s="84"/>
      <c r="F14663" s="84"/>
      <c r="G14663" s="84"/>
      <c r="I14663" s="237"/>
      <c r="J14663" s="238"/>
    </row>
    <row r="14664">
      <c r="C14664" s="82"/>
      <c r="E14664" s="84"/>
      <c r="F14664" s="84"/>
      <c r="G14664" s="84"/>
      <c r="I14664" s="237"/>
      <c r="J14664" s="238"/>
    </row>
    <row r="14665">
      <c r="C14665" s="82"/>
      <c r="E14665" s="84"/>
      <c r="F14665" s="84"/>
      <c r="G14665" s="84"/>
      <c r="I14665" s="237"/>
      <c r="J14665" s="238"/>
    </row>
    <row r="14666">
      <c r="C14666" s="82"/>
      <c r="E14666" s="84"/>
      <c r="F14666" s="84"/>
      <c r="G14666" s="84"/>
      <c r="I14666" s="237"/>
      <c r="J14666" s="238"/>
    </row>
    <row r="14667">
      <c r="C14667" s="82"/>
      <c r="E14667" s="84"/>
      <c r="F14667" s="84"/>
      <c r="G14667" s="84"/>
      <c r="I14667" s="237"/>
      <c r="J14667" s="238"/>
    </row>
    <row r="14668">
      <c r="C14668" s="82"/>
      <c r="E14668" s="84"/>
      <c r="F14668" s="84"/>
      <c r="G14668" s="84"/>
      <c r="I14668" s="237"/>
      <c r="J14668" s="238"/>
    </row>
    <row r="14669">
      <c r="C14669" s="82"/>
      <c r="E14669" s="84"/>
      <c r="F14669" s="84"/>
      <c r="G14669" s="84"/>
      <c r="I14669" s="237"/>
      <c r="J14669" s="238"/>
    </row>
    <row r="14670">
      <c r="C14670" s="82"/>
      <c r="E14670" s="84"/>
      <c r="F14670" s="84"/>
      <c r="G14670" s="84"/>
      <c r="I14670" s="237"/>
      <c r="J14670" s="238"/>
    </row>
    <row r="14671">
      <c r="C14671" s="82"/>
      <c r="E14671" s="84"/>
      <c r="F14671" s="84"/>
      <c r="G14671" s="84"/>
      <c r="I14671" s="237"/>
      <c r="J14671" s="238"/>
    </row>
    <row r="14672">
      <c r="C14672" s="82"/>
      <c r="E14672" s="84"/>
      <c r="F14672" s="84"/>
      <c r="G14672" s="84"/>
      <c r="I14672" s="237"/>
      <c r="J14672" s="238"/>
    </row>
    <row r="14673">
      <c r="C14673" s="82"/>
      <c r="E14673" s="84"/>
      <c r="F14673" s="84"/>
      <c r="G14673" s="84"/>
      <c r="I14673" s="237"/>
      <c r="J14673" s="238"/>
    </row>
    <row r="14674">
      <c r="C14674" s="82"/>
      <c r="E14674" s="84"/>
      <c r="F14674" s="84"/>
      <c r="G14674" s="84"/>
      <c r="I14674" s="237"/>
      <c r="J14674" s="238"/>
    </row>
    <row r="14675">
      <c r="C14675" s="82"/>
      <c r="E14675" s="84"/>
      <c r="F14675" s="84"/>
      <c r="G14675" s="84"/>
      <c r="I14675" s="237"/>
      <c r="J14675" s="238"/>
    </row>
    <row r="14676">
      <c r="C14676" s="82"/>
      <c r="E14676" s="84"/>
      <c r="F14676" s="84"/>
      <c r="G14676" s="84"/>
      <c r="I14676" s="237"/>
      <c r="J14676" s="238"/>
    </row>
    <row r="14677">
      <c r="C14677" s="82"/>
      <c r="E14677" s="84"/>
      <c r="F14677" s="84"/>
      <c r="G14677" s="84"/>
      <c r="I14677" s="237"/>
      <c r="J14677" s="238"/>
    </row>
    <row r="14678">
      <c r="C14678" s="82"/>
      <c r="E14678" s="84"/>
      <c r="F14678" s="84"/>
      <c r="G14678" s="84"/>
      <c r="I14678" s="237"/>
      <c r="J14678" s="238"/>
    </row>
    <row r="14679">
      <c r="C14679" s="82"/>
      <c r="E14679" s="84"/>
      <c r="F14679" s="84"/>
      <c r="G14679" s="84"/>
      <c r="I14679" s="237"/>
      <c r="J14679" s="238"/>
    </row>
    <row r="14680">
      <c r="C14680" s="82"/>
      <c r="E14680" s="84"/>
      <c r="F14680" s="84"/>
      <c r="G14680" s="84"/>
      <c r="I14680" s="237"/>
      <c r="J14680" s="238"/>
    </row>
    <row r="14681">
      <c r="C14681" s="82"/>
      <c r="E14681" s="84"/>
      <c r="F14681" s="84"/>
      <c r="G14681" s="84"/>
      <c r="I14681" s="237"/>
      <c r="J14681" s="238"/>
    </row>
    <row r="14682">
      <c r="C14682" s="82"/>
      <c r="E14682" s="84"/>
      <c r="F14682" s="84"/>
      <c r="G14682" s="84"/>
      <c r="I14682" s="237"/>
      <c r="J14682" s="238"/>
    </row>
    <row r="14683">
      <c r="C14683" s="82"/>
      <c r="E14683" s="84"/>
      <c r="F14683" s="84"/>
      <c r="G14683" s="84"/>
      <c r="I14683" s="237"/>
      <c r="J14683" s="238"/>
    </row>
    <row r="14684">
      <c r="C14684" s="82"/>
      <c r="E14684" s="84"/>
      <c r="F14684" s="84"/>
      <c r="G14684" s="84"/>
      <c r="I14684" s="237"/>
      <c r="J14684" s="238"/>
    </row>
    <row r="14685">
      <c r="C14685" s="82"/>
      <c r="E14685" s="84"/>
      <c r="F14685" s="84"/>
      <c r="G14685" s="84"/>
      <c r="I14685" s="237"/>
      <c r="J14685" s="238"/>
    </row>
    <row r="14686">
      <c r="C14686" s="82"/>
      <c r="E14686" s="84"/>
      <c r="F14686" s="84"/>
      <c r="G14686" s="84"/>
      <c r="I14686" s="237"/>
      <c r="J14686" s="238"/>
    </row>
    <row r="14687">
      <c r="C14687" s="82"/>
      <c r="E14687" s="84"/>
      <c r="F14687" s="84"/>
      <c r="G14687" s="84"/>
      <c r="I14687" s="237"/>
      <c r="J14687" s="238"/>
    </row>
    <row r="14688">
      <c r="C14688" s="82"/>
      <c r="E14688" s="84"/>
      <c r="F14688" s="84"/>
      <c r="G14688" s="84"/>
      <c r="I14688" s="237"/>
      <c r="J14688" s="238"/>
    </row>
    <row r="14689">
      <c r="C14689" s="82"/>
      <c r="E14689" s="84"/>
      <c r="F14689" s="84"/>
      <c r="G14689" s="84"/>
      <c r="I14689" s="237"/>
      <c r="J14689" s="238"/>
    </row>
    <row r="14690">
      <c r="C14690" s="82"/>
      <c r="E14690" s="84"/>
      <c r="F14690" s="84"/>
      <c r="G14690" s="84"/>
      <c r="I14690" s="237"/>
      <c r="J14690" s="238"/>
    </row>
    <row r="14691">
      <c r="C14691" s="82"/>
      <c r="E14691" s="84"/>
      <c r="F14691" s="84"/>
      <c r="G14691" s="84"/>
      <c r="I14691" s="237"/>
      <c r="J14691" s="238"/>
    </row>
    <row r="14692">
      <c r="C14692" s="82"/>
      <c r="E14692" s="84"/>
      <c r="F14692" s="84"/>
      <c r="G14692" s="84"/>
      <c r="I14692" s="237"/>
      <c r="J14692" s="238"/>
    </row>
    <row r="14693">
      <c r="C14693" s="82"/>
      <c r="E14693" s="84"/>
      <c r="F14693" s="84"/>
      <c r="G14693" s="84"/>
      <c r="I14693" s="237"/>
      <c r="J14693" s="238"/>
    </row>
    <row r="14694">
      <c r="C14694" s="82"/>
      <c r="E14694" s="84"/>
      <c r="F14694" s="84"/>
      <c r="G14694" s="84"/>
      <c r="I14694" s="237"/>
      <c r="J14694" s="238"/>
    </row>
    <row r="14695">
      <c r="C14695" s="82"/>
      <c r="E14695" s="84"/>
      <c r="F14695" s="84"/>
      <c r="G14695" s="84"/>
      <c r="I14695" s="237"/>
      <c r="J14695" s="238"/>
    </row>
    <row r="14696">
      <c r="C14696" s="82"/>
      <c r="E14696" s="84"/>
      <c r="F14696" s="84"/>
      <c r="G14696" s="84"/>
      <c r="I14696" s="237"/>
      <c r="J14696" s="238"/>
    </row>
    <row r="14697">
      <c r="C14697" s="82"/>
      <c r="E14697" s="84"/>
      <c r="F14697" s="84"/>
      <c r="G14697" s="84"/>
      <c r="I14697" s="237"/>
      <c r="J14697" s="238"/>
    </row>
    <row r="14698">
      <c r="C14698" s="82"/>
      <c r="E14698" s="84"/>
      <c r="F14698" s="84"/>
      <c r="G14698" s="84"/>
      <c r="I14698" s="237"/>
      <c r="J14698" s="238"/>
    </row>
    <row r="14699">
      <c r="C14699" s="82"/>
      <c r="E14699" s="84"/>
      <c r="F14699" s="84"/>
      <c r="G14699" s="84"/>
      <c r="I14699" s="237"/>
      <c r="J14699" s="238"/>
    </row>
    <row r="14700">
      <c r="C14700" s="82"/>
      <c r="E14700" s="84"/>
      <c r="F14700" s="84"/>
      <c r="G14700" s="84"/>
      <c r="I14700" s="237"/>
      <c r="J14700" s="238"/>
    </row>
    <row r="14701">
      <c r="C14701" s="82"/>
      <c r="E14701" s="84"/>
      <c r="F14701" s="84"/>
      <c r="G14701" s="84"/>
      <c r="I14701" s="237"/>
      <c r="J14701" s="238"/>
    </row>
    <row r="14702">
      <c r="C14702" s="82"/>
      <c r="E14702" s="84"/>
      <c r="F14702" s="84"/>
      <c r="G14702" s="84"/>
      <c r="I14702" s="237"/>
      <c r="J14702" s="238"/>
    </row>
    <row r="14703">
      <c r="C14703" s="82"/>
      <c r="E14703" s="84"/>
      <c r="F14703" s="84"/>
      <c r="G14703" s="84"/>
      <c r="I14703" s="237"/>
      <c r="J14703" s="238"/>
    </row>
    <row r="14704">
      <c r="C14704" s="82"/>
      <c r="E14704" s="84"/>
      <c r="F14704" s="84"/>
      <c r="G14704" s="84"/>
      <c r="I14704" s="237"/>
      <c r="J14704" s="238"/>
    </row>
    <row r="14705">
      <c r="C14705" s="82"/>
      <c r="E14705" s="84"/>
      <c r="F14705" s="84"/>
      <c r="G14705" s="84"/>
      <c r="I14705" s="237"/>
      <c r="J14705" s="238"/>
    </row>
    <row r="14706">
      <c r="C14706" s="82"/>
      <c r="E14706" s="84"/>
      <c r="F14706" s="84"/>
      <c r="G14706" s="84"/>
      <c r="I14706" s="237"/>
      <c r="J14706" s="238"/>
    </row>
    <row r="14707">
      <c r="C14707" s="82"/>
      <c r="E14707" s="84"/>
      <c r="F14707" s="84"/>
      <c r="G14707" s="84"/>
      <c r="I14707" s="237"/>
      <c r="J14707" s="238"/>
    </row>
    <row r="14708">
      <c r="C14708" s="82"/>
      <c r="E14708" s="84"/>
      <c r="F14708" s="84"/>
      <c r="G14708" s="84"/>
      <c r="I14708" s="237"/>
      <c r="J14708" s="238"/>
    </row>
    <row r="14709">
      <c r="C14709" s="82"/>
      <c r="E14709" s="84"/>
      <c r="F14709" s="84"/>
      <c r="G14709" s="84"/>
      <c r="I14709" s="237"/>
      <c r="J14709" s="238"/>
    </row>
    <row r="14710">
      <c r="C14710" s="82"/>
      <c r="E14710" s="84"/>
      <c r="F14710" s="84"/>
      <c r="G14710" s="84"/>
      <c r="I14710" s="237"/>
      <c r="J14710" s="238"/>
    </row>
    <row r="14711">
      <c r="C14711" s="82"/>
      <c r="E14711" s="84"/>
      <c r="F14711" s="84"/>
      <c r="G14711" s="84"/>
      <c r="I14711" s="237"/>
      <c r="J14711" s="238"/>
    </row>
    <row r="14712">
      <c r="C14712" s="82"/>
      <c r="E14712" s="84"/>
      <c r="F14712" s="84"/>
      <c r="G14712" s="84"/>
      <c r="I14712" s="237"/>
      <c r="J14712" s="238"/>
    </row>
    <row r="14713">
      <c r="C14713" s="82"/>
      <c r="E14713" s="84"/>
      <c r="F14713" s="84"/>
      <c r="G14713" s="84"/>
      <c r="I14713" s="237"/>
      <c r="J14713" s="238"/>
    </row>
    <row r="14714">
      <c r="C14714" s="82"/>
      <c r="E14714" s="84"/>
      <c r="F14714" s="84"/>
      <c r="G14714" s="84"/>
      <c r="I14714" s="237"/>
      <c r="J14714" s="238"/>
    </row>
    <row r="14715">
      <c r="C14715" s="82"/>
      <c r="E14715" s="84"/>
      <c r="F14715" s="84"/>
      <c r="G14715" s="84"/>
      <c r="I14715" s="237"/>
      <c r="J14715" s="238"/>
    </row>
    <row r="14716">
      <c r="C14716" s="82"/>
      <c r="E14716" s="84"/>
      <c r="F14716" s="84"/>
      <c r="G14716" s="84"/>
      <c r="I14716" s="237"/>
      <c r="J14716" s="238"/>
    </row>
    <row r="14717">
      <c r="C14717" s="82"/>
      <c r="E14717" s="84"/>
      <c r="F14717" s="84"/>
      <c r="G14717" s="84"/>
      <c r="I14717" s="237"/>
      <c r="J14717" s="238"/>
    </row>
    <row r="14718">
      <c r="C14718" s="82"/>
      <c r="E14718" s="84"/>
      <c r="F14718" s="84"/>
      <c r="G14718" s="84"/>
      <c r="I14718" s="237"/>
      <c r="J14718" s="238"/>
    </row>
    <row r="14719">
      <c r="C14719" s="82"/>
      <c r="E14719" s="84"/>
      <c r="F14719" s="84"/>
      <c r="G14719" s="84"/>
      <c r="I14719" s="237"/>
      <c r="J14719" s="238"/>
    </row>
    <row r="14720">
      <c r="C14720" s="82"/>
      <c r="E14720" s="84"/>
      <c r="F14720" s="84"/>
      <c r="G14720" s="84"/>
      <c r="I14720" s="237"/>
      <c r="J14720" s="238"/>
    </row>
    <row r="14721">
      <c r="C14721" s="82"/>
      <c r="E14721" s="84"/>
      <c r="F14721" s="84"/>
      <c r="G14721" s="84"/>
      <c r="I14721" s="237"/>
      <c r="J14721" s="238"/>
    </row>
    <row r="14722">
      <c r="C14722" s="82"/>
      <c r="E14722" s="84"/>
      <c r="F14722" s="84"/>
      <c r="G14722" s="84"/>
      <c r="I14722" s="237"/>
      <c r="J14722" s="238"/>
    </row>
    <row r="14723">
      <c r="C14723" s="82"/>
      <c r="E14723" s="84"/>
      <c r="F14723" s="84"/>
      <c r="G14723" s="84"/>
      <c r="I14723" s="237"/>
      <c r="J14723" s="238"/>
    </row>
    <row r="14724">
      <c r="C14724" s="82"/>
      <c r="E14724" s="84"/>
      <c r="F14724" s="84"/>
      <c r="G14724" s="84"/>
      <c r="I14724" s="237"/>
      <c r="J14724" s="238"/>
    </row>
    <row r="14725">
      <c r="C14725" s="82"/>
      <c r="E14725" s="84"/>
      <c r="F14725" s="84"/>
      <c r="G14725" s="84"/>
      <c r="I14725" s="237"/>
      <c r="J14725" s="238"/>
    </row>
    <row r="14726">
      <c r="C14726" s="82"/>
      <c r="E14726" s="84"/>
      <c r="F14726" s="84"/>
      <c r="G14726" s="84"/>
      <c r="I14726" s="237"/>
      <c r="J14726" s="238"/>
    </row>
    <row r="14727">
      <c r="C14727" s="82"/>
      <c r="E14727" s="84"/>
      <c r="F14727" s="84"/>
      <c r="G14727" s="84"/>
      <c r="I14727" s="237"/>
      <c r="J14727" s="238"/>
    </row>
    <row r="14728">
      <c r="C14728" s="82"/>
      <c r="E14728" s="84"/>
      <c r="F14728" s="84"/>
      <c r="G14728" s="84"/>
      <c r="I14728" s="237"/>
      <c r="J14728" s="238"/>
    </row>
    <row r="14729">
      <c r="C14729" s="82"/>
      <c r="E14729" s="84"/>
      <c r="F14729" s="84"/>
      <c r="G14729" s="84"/>
      <c r="I14729" s="237"/>
      <c r="J14729" s="238"/>
    </row>
    <row r="14730">
      <c r="C14730" s="82"/>
      <c r="E14730" s="84"/>
      <c r="F14730" s="84"/>
      <c r="G14730" s="84"/>
      <c r="I14730" s="237"/>
      <c r="J14730" s="238"/>
    </row>
    <row r="14731">
      <c r="C14731" s="82"/>
      <c r="E14731" s="84"/>
      <c r="F14731" s="84"/>
      <c r="G14731" s="84"/>
      <c r="I14731" s="237"/>
      <c r="J14731" s="238"/>
    </row>
    <row r="14732">
      <c r="C14732" s="82"/>
      <c r="E14732" s="84"/>
      <c r="F14732" s="84"/>
      <c r="G14732" s="84"/>
      <c r="I14732" s="237"/>
      <c r="J14732" s="238"/>
    </row>
    <row r="14733">
      <c r="C14733" s="82"/>
      <c r="E14733" s="84"/>
      <c r="F14733" s="84"/>
      <c r="G14733" s="84"/>
      <c r="I14733" s="237"/>
      <c r="J14733" s="238"/>
    </row>
    <row r="14734">
      <c r="C14734" s="82"/>
      <c r="E14734" s="84"/>
      <c r="F14734" s="84"/>
      <c r="G14734" s="84"/>
      <c r="I14734" s="237"/>
      <c r="J14734" s="238"/>
    </row>
    <row r="14735">
      <c r="C14735" s="82"/>
      <c r="E14735" s="84"/>
      <c r="F14735" s="84"/>
      <c r="G14735" s="84"/>
      <c r="I14735" s="237"/>
      <c r="J14735" s="238"/>
    </row>
    <row r="14736">
      <c r="C14736" s="82"/>
      <c r="E14736" s="84"/>
      <c r="F14736" s="84"/>
      <c r="G14736" s="84"/>
      <c r="I14736" s="237"/>
      <c r="J14736" s="238"/>
    </row>
    <row r="14737">
      <c r="C14737" s="82"/>
      <c r="E14737" s="84"/>
      <c r="F14737" s="84"/>
      <c r="G14737" s="84"/>
      <c r="I14737" s="237"/>
      <c r="J14737" s="238"/>
    </row>
    <row r="14738">
      <c r="C14738" s="82"/>
      <c r="E14738" s="84"/>
      <c r="F14738" s="84"/>
      <c r="G14738" s="84"/>
      <c r="I14738" s="237"/>
      <c r="J14738" s="238"/>
    </row>
    <row r="14739">
      <c r="C14739" s="82"/>
      <c r="E14739" s="84"/>
      <c r="F14739" s="84"/>
      <c r="G14739" s="84"/>
      <c r="I14739" s="237"/>
      <c r="J14739" s="238"/>
    </row>
    <row r="14740">
      <c r="C14740" s="82"/>
      <c r="E14740" s="84"/>
      <c r="F14740" s="84"/>
      <c r="G14740" s="84"/>
      <c r="I14740" s="237"/>
      <c r="J14740" s="238"/>
    </row>
    <row r="14741">
      <c r="C14741" s="82"/>
      <c r="E14741" s="84"/>
      <c r="F14741" s="84"/>
      <c r="G14741" s="84"/>
      <c r="I14741" s="237"/>
      <c r="J14741" s="238"/>
    </row>
    <row r="14742">
      <c r="C14742" s="82"/>
      <c r="E14742" s="84"/>
      <c r="F14742" s="84"/>
      <c r="G14742" s="84"/>
      <c r="I14742" s="237"/>
      <c r="J14742" s="238"/>
    </row>
    <row r="14743">
      <c r="C14743" s="82"/>
      <c r="E14743" s="84"/>
      <c r="F14743" s="84"/>
      <c r="G14743" s="84"/>
      <c r="I14743" s="237"/>
      <c r="J14743" s="238"/>
    </row>
    <row r="14744">
      <c r="C14744" s="82"/>
      <c r="E14744" s="84"/>
      <c r="F14744" s="84"/>
      <c r="G14744" s="84"/>
      <c r="I14744" s="237"/>
      <c r="J14744" s="238"/>
    </row>
    <row r="14745">
      <c r="C14745" s="82"/>
      <c r="E14745" s="84"/>
      <c r="F14745" s="84"/>
      <c r="G14745" s="84"/>
      <c r="I14745" s="237"/>
      <c r="J14745" s="238"/>
    </row>
    <row r="14746">
      <c r="C14746" s="82"/>
      <c r="E14746" s="84"/>
      <c r="F14746" s="84"/>
      <c r="G14746" s="84"/>
      <c r="I14746" s="237"/>
      <c r="J14746" s="238"/>
    </row>
    <row r="14747">
      <c r="C14747" s="82"/>
      <c r="E14747" s="84"/>
      <c r="F14747" s="84"/>
      <c r="G14747" s="84"/>
      <c r="I14747" s="237"/>
      <c r="J14747" s="238"/>
    </row>
    <row r="14748">
      <c r="C14748" s="82"/>
      <c r="E14748" s="84"/>
      <c r="F14748" s="84"/>
      <c r="G14748" s="84"/>
      <c r="I14748" s="237"/>
      <c r="J14748" s="238"/>
    </row>
    <row r="14749">
      <c r="C14749" s="82"/>
      <c r="E14749" s="84"/>
      <c r="F14749" s="84"/>
      <c r="G14749" s="84"/>
      <c r="I14749" s="237"/>
      <c r="J14749" s="238"/>
    </row>
    <row r="14750">
      <c r="C14750" s="82"/>
      <c r="E14750" s="84"/>
      <c r="F14750" s="84"/>
      <c r="G14750" s="84"/>
      <c r="I14750" s="237"/>
      <c r="J14750" s="238"/>
    </row>
    <row r="14751">
      <c r="C14751" s="82"/>
      <c r="E14751" s="84"/>
      <c r="F14751" s="84"/>
      <c r="G14751" s="84"/>
      <c r="I14751" s="237"/>
      <c r="J14751" s="238"/>
    </row>
    <row r="14752">
      <c r="C14752" s="82"/>
      <c r="E14752" s="84"/>
      <c r="F14752" s="84"/>
      <c r="G14752" s="84"/>
      <c r="I14752" s="237"/>
      <c r="J14752" s="238"/>
    </row>
    <row r="14753">
      <c r="C14753" s="82"/>
      <c r="E14753" s="84"/>
      <c r="F14753" s="84"/>
      <c r="G14753" s="84"/>
      <c r="I14753" s="237"/>
      <c r="J14753" s="238"/>
    </row>
    <row r="14754">
      <c r="C14754" s="82"/>
      <c r="E14754" s="84"/>
      <c r="F14754" s="84"/>
      <c r="G14754" s="84"/>
      <c r="I14754" s="237"/>
      <c r="J14754" s="238"/>
    </row>
    <row r="14755">
      <c r="C14755" s="82"/>
      <c r="E14755" s="84"/>
      <c r="F14755" s="84"/>
      <c r="G14755" s="84"/>
      <c r="I14755" s="237"/>
      <c r="J14755" s="238"/>
    </row>
    <row r="14756">
      <c r="C14756" s="82"/>
      <c r="E14756" s="84"/>
      <c r="F14756" s="84"/>
      <c r="G14756" s="84"/>
      <c r="I14756" s="237"/>
      <c r="J14756" s="238"/>
    </row>
    <row r="14757">
      <c r="C14757" s="82"/>
      <c r="E14757" s="84"/>
      <c r="F14757" s="84"/>
      <c r="G14757" s="84"/>
      <c r="I14757" s="237"/>
      <c r="J14757" s="238"/>
    </row>
    <row r="14758">
      <c r="C14758" s="82"/>
      <c r="E14758" s="84"/>
      <c r="F14758" s="84"/>
      <c r="G14758" s="84"/>
      <c r="I14758" s="237"/>
      <c r="J14758" s="238"/>
    </row>
    <row r="14759">
      <c r="C14759" s="82"/>
      <c r="E14759" s="84"/>
      <c r="F14759" s="84"/>
      <c r="G14759" s="84"/>
      <c r="I14759" s="237"/>
      <c r="J14759" s="238"/>
    </row>
    <row r="14760">
      <c r="C14760" s="82"/>
      <c r="E14760" s="84"/>
      <c r="F14760" s="84"/>
      <c r="G14760" s="84"/>
      <c r="I14760" s="237"/>
      <c r="J14760" s="238"/>
    </row>
    <row r="14761">
      <c r="C14761" s="82"/>
      <c r="E14761" s="84"/>
      <c r="F14761" s="84"/>
      <c r="G14761" s="84"/>
      <c r="I14761" s="237"/>
      <c r="J14761" s="238"/>
    </row>
    <row r="14762">
      <c r="C14762" s="82"/>
      <c r="E14762" s="84"/>
      <c r="F14762" s="84"/>
      <c r="G14762" s="84"/>
      <c r="I14762" s="237"/>
      <c r="J14762" s="238"/>
    </row>
    <row r="14763">
      <c r="C14763" s="82"/>
      <c r="E14763" s="84"/>
      <c r="F14763" s="84"/>
      <c r="G14763" s="84"/>
      <c r="I14763" s="237"/>
      <c r="J14763" s="238"/>
    </row>
    <row r="14764">
      <c r="C14764" s="82"/>
      <c r="E14764" s="84"/>
      <c r="F14764" s="84"/>
      <c r="G14764" s="84"/>
      <c r="I14764" s="237"/>
      <c r="J14764" s="238"/>
    </row>
    <row r="14765">
      <c r="C14765" s="82"/>
      <c r="E14765" s="84"/>
      <c r="F14765" s="84"/>
      <c r="G14765" s="84"/>
      <c r="I14765" s="237"/>
      <c r="J14765" s="238"/>
    </row>
    <row r="14766">
      <c r="C14766" s="82"/>
      <c r="E14766" s="84"/>
      <c r="F14766" s="84"/>
      <c r="G14766" s="84"/>
      <c r="I14766" s="237"/>
      <c r="J14766" s="238"/>
    </row>
    <row r="14767">
      <c r="C14767" s="82"/>
      <c r="E14767" s="84"/>
      <c r="F14767" s="84"/>
      <c r="G14767" s="84"/>
      <c r="I14767" s="237"/>
      <c r="J14767" s="238"/>
    </row>
    <row r="14768">
      <c r="C14768" s="82"/>
      <c r="E14768" s="84"/>
      <c r="F14768" s="84"/>
      <c r="G14768" s="84"/>
      <c r="I14768" s="237"/>
      <c r="J14768" s="238"/>
    </row>
    <row r="14769">
      <c r="C14769" s="82"/>
      <c r="E14769" s="84"/>
      <c r="F14769" s="84"/>
      <c r="G14769" s="84"/>
      <c r="I14769" s="237"/>
      <c r="J14769" s="238"/>
    </row>
    <row r="14770">
      <c r="C14770" s="82"/>
      <c r="E14770" s="84"/>
      <c r="F14770" s="84"/>
      <c r="G14770" s="84"/>
      <c r="I14770" s="237"/>
      <c r="J14770" s="238"/>
    </row>
    <row r="14771">
      <c r="C14771" s="82"/>
      <c r="E14771" s="84"/>
      <c r="F14771" s="84"/>
      <c r="G14771" s="84"/>
      <c r="I14771" s="237"/>
      <c r="J14771" s="238"/>
    </row>
    <row r="14772">
      <c r="C14772" s="82"/>
      <c r="E14772" s="84"/>
      <c r="F14772" s="84"/>
      <c r="G14772" s="84"/>
      <c r="I14772" s="237"/>
      <c r="J14772" s="238"/>
    </row>
    <row r="14773">
      <c r="C14773" s="82"/>
      <c r="E14773" s="84"/>
      <c r="F14773" s="84"/>
      <c r="G14773" s="84"/>
      <c r="I14773" s="237"/>
      <c r="J14773" s="238"/>
    </row>
    <row r="14774">
      <c r="C14774" s="82"/>
      <c r="E14774" s="84"/>
      <c r="F14774" s="84"/>
      <c r="G14774" s="84"/>
      <c r="I14774" s="237"/>
      <c r="J14774" s="238"/>
    </row>
    <row r="14775">
      <c r="C14775" s="82"/>
      <c r="E14775" s="84"/>
      <c r="F14775" s="84"/>
      <c r="G14775" s="84"/>
      <c r="I14775" s="237"/>
      <c r="J14775" s="238"/>
    </row>
    <row r="14776">
      <c r="C14776" s="82"/>
      <c r="E14776" s="84"/>
      <c r="F14776" s="84"/>
      <c r="G14776" s="84"/>
      <c r="I14776" s="237"/>
      <c r="J14776" s="238"/>
    </row>
    <row r="14777">
      <c r="C14777" s="82"/>
      <c r="E14777" s="84"/>
      <c r="F14777" s="84"/>
      <c r="G14777" s="84"/>
      <c r="I14777" s="237"/>
      <c r="J14777" s="238"/>
    </row>
    <row r="14778">
      <c r="C14778" s="82"/>
      <c r="E14778" s="84"/>
      <c r="F14778" s="84"/>
      <c r="G14778" s="84"/>
      <c r="I14778" s="237"/>
      <c r="J14778" s="238"/>
    </row>
    <row r="14779">
      <c r="C14779" s="82"/>
      <c r="E14779" s="84"/>
      <c r="F14779" s="84"/>
      <c r="G14779" s="84"/>
      <c r="I14779" s="237"/>
      <c r="J14779" s="238"/>
    </row>
    <row r="14780">
      <c r="C14780" s="82"/>
      <c r="E14780" s="84"/>
      <c r="F14780" s="84"/>
      <c r="G14780" s="84"/>
      <c r="I14780" s="237"/>
      <c r="J14780" s="238"/>
    </row>
    <row r="14781">
      <c r="C14781" s="82"/>
      <c r="E14781" s="84"/>
      <c r="F14781" s="84"/>
      <c r="G14781" s="84"/>
      <c r="I14781" s="237"/>
      <c r="J14781" s="238"/>
    </row>
    <row r="14782">
      <c r="C14782" s="82"/>
      <c r="E14782" s="84"/>
      <c r="F14782" s="84"/>
      <c r="G14782" s="84"/>
      <c r="I14782" s="237"/>
      <c r="J14782" s="238"/>
    </row>
    <row r="14783">
      <c r="C14783" s="82"/>
      <c r="E14783" s="84"/>
      <c r="F14783" s="84"/>
      <c r="G14783" s="84"/>
      <c r="I14783" s="237"/>
      <c r="J14783" s="238"/>
    </row>
    <row r="14784">
      <c r="C14784" s="82"/>
      <c r="E14784" s="84"/>
      <c r="F14784" s="84"/>
      <c r="G14784" s="84"/>
      <c r="I14784" s="237"/>
      <c r="J14784" s="238"/>
    </row>
    <row r="14785">
      <c r="C14785" s="82"/>
      <c r="E14785" s="84"/>
      <c r="F14785" s="84"/>
      <c r="G14785" s="84"/>
      <c r="I14785" s="237"/>
      <c r="J14785" s="238"/>
    </row>
    <row r="14786">
      <c r="C14786" s="82"/>
      <c r="E14786" s="84"/>
      <c r="F14786" s="84"/>
      <c r="G14786" s="84"/>
      <c r="I14786" s="237"/>
      <c r="J14786" s="238"/>
    </row>
    <row r="14787">
      <c r="C14787" s="82"/>
      <c r="E14787" s="84"/>
      <c r="F14787" s="84"/>
      <c r="G14787" s="84"/>
      <c r="I14787" s="237"/>
      <c r="J14787" s="238"/>
    </row>
    <row r="14788">
      <c r="C14788" s="82"/>
      <c r="E14788" s="84"/>
      <c r="F14788" s="84"/>
      <c r="G14788" s="84"/>
      <c r="I14788" s="237"/>
      <c r="J14788" s="238"/>
    </row>
    <row r="14789">
      <c r="C14789" s="82"/>
      <c r="E14789" s="84"/>
      <c r="F14789" s="84"/>
      <c r="G14789" s="84"/>
      <c r="I14789" s="237"/>
      <c r="J14789" s="238"/>
    </row>
    <row r="14790">
      <c r="C14790" s="82"/>
      <c r="E14790" s="84"/>
      <c r="F14790" s="84"/>
      <c r="G14790" s="84"/>
      <c r="I14790" s="237"/>
      <c r="J14790" s="238"/>
    </row>
    <row r="14791">
      <c r="C14791" s="82"/>
      <c r="E14791" s="84"/>
      <c r="F14791" s="84"/>
      <c r="G14791" s="84"/>
      <c r="I14791" s="237"/>
      <c r="J14791" s="238"/>
    </row>
    <row r="14792">
      <c r="C14792" s="82"/>
      <c r="E14792" s="84"/>
      <c r="F14792" s="84"/>
      <c r="G14792" s="84"/>
      <c r="I14792" s="237"/>
      <c r="J14792" s="238"/>
    </row>
    <row r="14793">
      <c r="C14793" s="82"/>
      <c r="E14793" s="84"/>
      <c r="F14793" s="84"/>
      <c r="G14793" s="84"/>
      <c r="I14793" s="237"/>
      <c r="J14793" s="238"/>
    </row>
    <row r="14794">
      <c r="C14794" s="82"/>
      <c r="E14794" s="84"/>
      <c r="F14794" s="84"/>
      <c r="G14794" s="84"/>
      <c r="I14794" s="237"/>
      <c r="J14794" s="238"/>
    </row>
    <row r="14795">
      <c r="C14795" s="82"/>
      <c r="E14795" s="84"/>
      <c r="F14795" s="84"/>
      <c r="G14795" s="84"/>
      <c r="I14795" s="237"/>
      <c r="J14795" s="238"/>
    </row>
    <row r="14796">
      <c r="C14796" s="82"/>
      <c r="E14796" s="84"/>
      <c r="F14796" s="84"/>
      <c r="G14796" s="84"/>
      <c r="I14796" s="237"/>
      <c r="J14796" s="238"/>
    </row>
    <row r="14797">
      <c r="C14797" s="82"/>
      <c r="E14797" s="84"/>
      <c r="F14797" s="84"/>
      <c r="G14797" s="84"/>
      <c r="I14797" s="237"/>
      <c r="J14797" s="238"/>
    </row>
    <row r="14798">
      <c r="C14798" s="82"/>
      <c r="E14798" s="84"/>
      <c r="F14798" s="84"/>
      <c r="G14798" s="84"/>
      <c r="I14798" s="237"/>
      <c r="J14798" s="238"/>
    </row>
    <row r="14799">
      <c r="C14799" s="82"/>
      <c r="E14799" s="84"/>
      <c r="F14799" s="84"/>
      <c r="G14799" s="84"/>
      <c r="I14799" s="237"/>
      <c r="J14799" s="238"/>
    </row>
    <row r="14800">
      <c r="C14800" s="82"/>
      <c r="E14800" s="84"/>
      <c r="F14800" s="84"/>
      <c r="G14800" s="84"/>
      <c r="I14800" s="237"/>
      <c r="J14800" s="238"/>
    </row>
    <row r="14801">
      <c r="C14801" s="82"/>
      <c r="E14801" s="84"/>
      <c r="F14801" s="84"/>
      <c r="G14801" s="84"/>
      <c r="I14801" s="237"/>
      <c r="J14801" s="238"/>
    </row>
    <row r="14802">
      <c r="C14802" s="82"/>
      <c r="E14802" s="84"/>
      <c r="F14802" s="84"/>
      <c r="G14802" s="84"/>
      <c r="I14802" s="237"/>
      <c r="J14802" s="238"/>
    </row>
    <row r="14803">
      <c r="C14803" s="82"/>
      <c r="E14803" s="84"/>
      <c r="F14803" s="84"/>
      <c r="G14803" s="84"/>
      <c r="I14803" s="237"/>
      <c r="J14803" s="238"/>
    </row>
    <row r="14804">
      <c r="C14804" s="82"/>
      <c r="E14804" s="84"/>
      <c r="F14804" s="84"/>
      <c r="G14804" s="84"/>
      <c r="I14804" s="237"/>
      <c r="J14804" s="238"/>
    </row>
    <row r="14805">
      <c r="C14805" s="82"/>
      <c r="E14805" s="84"/>
      <c r="F14805" s="84"/>
      <c r="G14805" s="84"/>
      <c r="I14805" s="237"/>
      <c r="J14805" s="238"/>
    </row>
    <row r="14806">
      <c r="C14806" s="82"/>
      <c r="E14806" s="84"/>
      <c r="F14806" s="84"/>
      <c r="G14806" s="84"/>
      <c r="I14806" s="237"/>
      <c r="J14806" s="238"/>
    </row>
    <row r="14807">
      <c r="C14807" s="82"/>
      <c r="E14807" s="84"/>
      <c r="F14807" s="84"/>
      <c r="G14807" s="84"/>
      <c r="I14807" s="237"/>
      <c r="J14807" s="238"/>
    </row>
    <row r="14808">
      <c r="C14808" s="82"/>
      <c r="E14808" s="84"/>
      <c r="F14808" s="84"/>
      <c r="G14808" s="84"/>
      <c r="I14808" s="237"/>
      <c r="J14808" s="238"/>
    </row>
    <row r="14809">
      <c r="C14809" s="82"/>
      <c r="E14809" s="84"/>
      <c r="F14809" s="84"/>
      <c r="G14809" s="84"/>
      <c r="I14809" s="237"/>
      <c r="J14809" s="238"/>
    </row>
    <row r="14810">
      <c r="C14810" s="82"/>
      <c r="E14810" s="84"/>
      <c r="F14810" s="84"/>
      <c r="G14810" s="84"/>
      <c r="I14810" s="237"/>
      <c r="J14810" s="238"/>
    </row>
    <row r="14811">
      <c r="C14811" s="82"/>
      <c r="E14811" s="84"/>
      <c r="F14811" s="84"/>
      <c r="G14811" s="84"/>
      <c r="I14811" s="237"/>
      <c r="J14811" s="238"/>
    </row>
    <row r="14812">
      <c r="C14812" s="82"/>
      <c r="E14812" s="84"/>
      <c r="F14812" s="84"/>
      <c r="G14812" s="84"/>
      <c r="I14812" s="237"/>
      <c r="J14812" s="238"/>
    </row>
    <row r="14813">
      <c r="C14813" s="82"/>
      <c r="E14813" s="84"/>
      <c r="F14813" s="84"/>
      <c r="G14813" s="84"/>
      <c r="I14813" s="237"/>
      <c r="J14813" s="238"/>
    </row>
    <row r="14814">
      <c r="C14814" s="82"/>
      <c r="E14814" s="84"/>
      <c r="F14814" s="84"/>
      <c r="G14814" s="84"/>
      <c r="I14814" s="237"/>
      <c r="J14814" s="238"/>
    </row>
    <row r="14815">
      <c r="C14815" s="82"/>
      <c r="E14815" s="84"/>
      <c r="F14815" s="84"/>
      <c r="G14815" s="84"/>
      <c r="I14815" s="237"/>
      <c r="J14815" s="238"/>
    </row>
    <row r="14816">
      <c r="C14816" s="82"/>
      <c r="E14816" s="84"/>
      <c r="F14816" s="84"/>
      <c r="G14816" s="84"/>
      <c r="I14816" s="237"/>
      <c r="J14816" s="238"/>
    </row>
    <row r="14817">
      <c r="C14817" s="82"/>
      <c r="E14817" s="84"/>
      <c r="F14817" s="84"/>
      <c r="G14817" s="84"/>
      <c r="I14817" s="237"/>
      <c r="J14817" s="238"/>
    </row>
    <row r="14818">
      <c r="C14818" s="82"/>
      <c r="E14818" s="84"/>
      <c r="F14818" s="84"/>
      <c r="G14818" s="84"/>
      <c r="I14818" s="237"/>
      <c r="J14818" s="238"/>
    </row>
    <row r="14819">
      <c r="C14819" s="82"/>
      <c r="E14819" s="84"/>
      <c r="F14819" s="84"/>
      <c r="G14819" s="84"/>
      <c r="I14819" s="237"/>
      <c r="J14819" s="238"/>
    </row>
    <row r="14820">
      <c r="C14820" s="82"/>
      <c r="E14820" s="84"/>
      <c r="F14820" s="84"/>
      <c r="G14820" s="84"/>
      <c r="I14820" s="237"/>
      <c r="J14820" s="238"/>
    </row>
    <row r="14821">
      <c r="C14821" s="82"/>
      <c r="E14821" s="84"/>
      <c r="F14821" s="84"/>
      <c r="G14821" s="84"/>
      <c r="I14821" s="237"/>
      <c r="J14821" s="238"/>
    </row>
    <row r="14822">
      <c r="C14822" s="82"/>
      <c r="E14822" s="84"/>
      <c r="F14822" s="84"/>
      <c r="G14822" s="84"/>
      <c r="I14822" s="237"/>
      <c r="J14822" s="238"/>
    </row>
    <row r="14823">
      <c r="C14823" s="82"/>
      <c r="E14823" s="84"/>
      <c r="F14823" s="84"/>
      <c r="G14823" s="84"/>
      <c r="I14823" s="237"/>
      <c r="J14823" s="238"/>
    </row>
    <row r="14824">
      <c r="C14824" s="82"/>
      <c r="E14824" s="84"/>
      <c r="F14824" s="84"/>
      <c r="G14824" s="84"/>
      <c r="I14824" s="237"/>
      <c r="J14824" s="238"/>
    </row>
    <row r="14825">
      <c r="C14825" s="82"/>
      <c r="E14825" s="84"/>
      <c r="F14825" s="84"/>
      <c r="G14825" s="84"/>
      <c r="I14825" s="237"/>
      <c r="J14825" s="238"/>
    </row>
    <row r="14826">
      <c r="C14826" s="82"/>
      <c r="E14826" s="84"/>
      <c r="F14826" s="84"/>
      <c r="G14826" s="84"/>
      <c r="I14826" s="237"/>
      <c r="J14826" s="238"/>
    </row>
    <row r="14827">
      <c r="C14827" s="82"/>
      <c r="E14827" s="84"/>
      <c r="F14827" s="84"/>
      <c r="G14827" s="84"/>
      <c r="I14827" s="237"/>
      <c r="J14827" s="238"/>
    </row>
    <row r="14828">
      <c r="C14828" s="82"/>
      <c r="E14828" s="84"/>
      <c r="F14828" s="84"/>
      <c r="G14828" s="84"/>
      <c r="I14828" s="237"/>
      <c r="J14828" s="238"/>
    </row>
    <row r="14829">
      <c r="C14829" s="82"/>
      <c r="E14829" s="84"/>
      <c r="F14829" s="84"/>
      <c r="G14829" s="84"/>
      <c r="I14829" s="237"/>
      <c r="J14829" s="238"/>
    </row>
    <row r="14830">
      <c r="C14830" s="82"/>
      <c r="E14830" s="84"/>
      <c r="F14830" s="84"/>
      <c r="G14830" s="84"/>
      <c r="I14830" s="237"/>
      <c r="J14830" s="238"/>
    </row>
    <row r="14831">
      <c r="C14831" s="82"/>
      <c r="E14831" s="84"/>
      <c r="F14831" s="84"/>
      <c r="G14831" s="84"/>
      <c r="I14831" s="237"/>
      <c r="J14831" s="238"/>
    </row>
    <row r="14832">
      <c r="C14832" s="82"/>
      <c r="E14832" s="84"/>
      <c r="F14832" s="84"/>
      <c r="G14832" s="84"/>
      <c r="I14832" s="237"/>
      <c r="J14832" s="238"/>
    </row>
    <row r="14833">
      <c r="C14833" s="82"/>
      <c r="E14833" s="84"/>
      <c r="F14833" s="84"/>
      <c r="G14833" s="84"/>
      <c r="I14833" s="237"/>
      <c r="J14833" s="238"/>
    </row>
    <row r="14834">
      <c r="C14834" s="82"/>
      <c r="E14834" s="84"/>
      <c r="F14834" s="84"/>
      <c r="G14834" s="84"/>
      <c r="I14834" s="237"/>
      <c r="J14834" s="238"/>
    </row>
    <row r="14835">
      <c r="C14835" s="82"/>
      <c r="E14835" s="84"/>
      <c r="F14835" s="84"/>
      <c r="G14835" s="84"/>
      <c r="I14835" s="237"/>
      <c r="J14835" s="238"/>
    </row>
    <row r="14836">
      <c r="C14836" s="82"/>
      <c r="E14836" s="84"/>
      <c r="F14836" s="84"/>
      <c r="G14836" s="84"/>
      <c r="I14836" s="237"/>
      <c r="J14836" s="23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55.25"/>
    <col customWidth="1" min="3" max="3" width="21.38"/>
    <col customWidth="1" min="4" max="4" width="18.75"/>
    <col customWidth="1" min="5" max="5" width="24.75"/>
  </cols>
  <sheetData>
    <row r="1">
      <c r="A1" s="119" t="s">
        <v>2047</v>
      </c>
      <c r="B1" s="120" t="s">
        <v>2049</v>
      </c>
      <c r="C1" s="121" t="s">
        <v>2053</v>
      </c>
      <c r="D1" s="122">
        <v>46188.0</v>
      </c>
      <c r="E1" s="122">
        <v>46194.0</v>
      </c>
    </row>
    <row r="2">
      <c r="A2" s="123" t="s">
        <v>0</v>
      </c>
      <c r="B2" s="123" t="s">
        <v>2</v>
      </c>
      <c r="C2" s="123" t="s">
        <v>2055</v>
      </c>
      <c r="D2" s="123" t="s">
        <v>4</v>
      </c>
      <c r="E2" s="123" t="s">
        <v>5</v>
      </c>
      <c r="F2" s="123" t="s">
        <v>6</v>
      </c>
      <c r="G2" s="123" t="s">
        <v>319</v>
      </c>
      <c r="H2" s="123" t="s">
        <v>8</v>
      </c>
    </row>
    <row r="3">
      <c r="A3" s="3" t="s">
        <v>24</v>
      </c>
      <c r="B3" s="3">
        <v>5249.0</v>
      </c>
      <c r="C3" s="3" t="s">
        <v>1237</v>
      </c>
      <c r="D3" s="5">
        <v>46188.46527777778</v>
      </c>
      <c r="E3" s="5">
        <v>46187.7840162037</v>
      </c>
      <c r="F3" s="3" t="s">
        <v>14</v>
      </c>
      <c r="G3" s="7">
        <v>0.0</v>
      </c>
      <c r="H3" s="3" t="s">
        <v>15</v>
      </c>
    </row>
    <row r="4">
      <c r="A4" s="3" t="s">
        <v>26</v>
      </c>
      <c r="B4" s="3">
        <v>5249.0</v>
      </c>
      <c r="C4" s="3" t="s">
        <v>1237</v>
      </c>
      <c r="D4" s="5">
        <v>46188.506944444445</v>
      </c>
      <c r="E4" s="5">
        <v>46188.34738425926</v>
      </c>
      <c r="F4" s="3" t="s">
        <v>14</v>
      </c>
      <c r="G4" s="7">
        <v>0.0</v>
      </c>
      <c r="H4" s="3" t="s">
        <v>15</v>
      </c>
    </row>
    <row r="5">
      <c r="A5" s="3" t="s">
        <v>24</v>
      </c>
      <c r="B5" s="3">
        <v>5250.0</v>
      </c>
      <c r="C5" s="3" t="s">
        <v>1240</v>
      </c>
      <c r="D5" s="5">
        <v>46188.46597222222</v>
      </c>
      <c r="E5" s="5">
        <v>46187.78402777778</v>
      </c>
      <c r="F5" s="3" t="s">
        <v>14</v>
      </c>
      <c r="G5" s="7">
        <v>0.0</v>
      </c>
      <c r="H5" s="3" t="s">
        <v>15</v>
      </c>
    </row>
    <row r="6">
      <c r="A6" s="3" t="s">
        <v>26</v>
      </c>
      <c r="B6" s="3">
        <v>5250.0</v>
      </c>
      <c r="C6" s="3" t="s">
        <v>1240</v>
      </c>
      <c r="D6" s="5">
        <v>46188.50763888889</v>
      </c>
      <c r="E6" s="5">
        <v>46188.50712962963</v>
      </c>
      <c r="F6" s="3" t="s">
        <v>14</v>
      </c>
      <c r="G6" s="7">
        <v>0.0</v>
      </c>
      <c r="H6" s="3" t="s">
        <v>15</v>
      </c>
    </row>
    <row r="7">
      <c r="A7" s="3" t="s">
        <v>24</v>
      </c>
      <c r="B7" s="3">
        <v>5251.0</v>
      </c>
      <c r="C7" s="3" t="s">
        <v>1245</v>
      </c>
      <c r="D7" s="5">
        <v>46188.566666666666</v>
      </c>
      <c r="E7" s="5">
        <v>46188.51474537037</v>
      </c>
      <c r="F7" s="3" t="s">
        <v>14</v>
      </c>
      <c r="G7" s="7">
        <v>0.0</v>
      </c>
      <c r="H7" s="3" t="s">
        <v>15</v>
      </c>
    </row>
    <row r="8">
      <c r="A8" s="3" t="s">
        <v>26</v>
      </c>
      <c r="B8" s="3">
        <v>5251.0</v>
      </c>
      <c r="C8" s="3" t="s">
        <v>1245</v>
      </c>
      <c r="D8" s="5">
        <v>46188.60833333333</v>
      </c>
      <c r="E8" s="5">
        <v>46188.59431712963</v>
      </c>
      <c r="F8" s="3" t="s">
        <v>14</v>
      </c>
      <c r="G8" s="7">
        <v>0.0</v>
      </c>
      <c r="H8" s="3" t="s">
        <v>15</v>
      </c>
    </row>
    <row r="9">
      <c r="A9" s="3" t="s">
        <v>24</v>
      </c>
      <c r="B9" s="3">
        <v>5252.0</v>
      </c>
      <c r="C9" s="3" t="s">
        <v>1252</v>
      </c>
      <c r="D9" s="5">
        <v>46188.779861111114</v>
      </c>
      <c r="E9" s="5">
        <v>46188.51488425926</v>
      </c>
      <c r="F9" s="3" t="s">
        <v>14</v>
      </c>
      <c r="G9" s="7">
        <v>0.0</v>
      </c>
      <c r="H9" s="3" t="s">
        <v>72</v>
      </c>
    </row>
    <row r="10">
      <c r="A10" s="3" t="s">
        <v>26</v>
      </c>
      <c r="B10" s="3">
        <v>5252.0</v>
      </c>
      <c r="C10" s="3" t="s">
        <v>1252</v>
      </c>
      <c r="D10" s="5">
        <v>46188.82152777778</v>
      </c>
      <c r="E10" s="5">
        <v>46188.514965277776</v>
      </c>
      <c r="F10" s="3" t="s">
        <v>14</v>
      </c>
      <c r="G10" s="7">
        <v>0.0</v>
      </c>
      <c r="H10" s="3" t="s">
        <v>72</v>
      </c>
    </row>
    <row r="11">
      <c r="A11" s="3" t="s">
        <v>21</v>
      </c>
      <c r="B11" s="3">
        <v>5253.0</v>
      </c>
      <c r="C11" s="3" t="s">
        <v>727</v>
      </c>
      <c r="D11" s="5">
        <v>46188.438888888886</v>
      </c>
      <c r="E11" s="5">
        <v>46187.504895833335</v>
      </c>
      <c r="F11" s="3" t="s">
        <v>14</v>
      </c>
      <c r="G11" s="7">
        <v>0.0</v>
      </c>
      <c r="H11" s="3" t="s">
        <v>48</v>
      </c>
    </row>
    <row r="12">
      <c r="A12" s="3" t="s">
        <v>24</v>
      </c>
      <c r="B12" s="3">
        <v>5253.0</v>
      </c>
      <c r="C12" s="3" t="s">
        <v>727</v>
      </c>
      <c r="D12" s="5">
        <v>46189.438888888886</v>
      </c>
      <c r="E12" s="5">
        <v>46188.515011574076</v>
      </c>
      <c r="F12" s="3" t="s">
        <v>14</v>
      </c>
      <c r="G12" s="7">
        <v>0.0</v>
      </c>
      <c r="H12" s="3" t="s">
        <v>48</v>
      </c>
    </row>
    <row r="13">
      <c r="A13" s="3" t="s">
        <v>26</v>
      </c>
      <c r="B13" s="3">
        <v>5253.0</v>
      </c>
      <c r="C13" s="3" t="s">
        <v>727</v>
      </c>
      <c r="D13" s="5">
        <v>46189.48055555556</v>
      </c>
      <c r="E13" s="5">
        <v>46189.43304398148</v>
      </c>
      <c r="F13" s="3" t="s">
        <v>14</v>
      </c>
      <c r="G13" s="7">
        <v>0.0</v>
      </c>
      <c r="H13" s="3" t="s">
        <v>48</v>
      </c>
    </row>
    <row r="14">
      <c r="A14" s="3" t="s">
        <v>21</v>
      </c>
      <c r="B14" s="3">
        <v>5254.0</v>
      </c>
      <c r="C14" s="3" t="s">
        <v>727</v>
      </c>
      <c r="D14" s="5">
        <v>46188.44236111111</v>
      </c>
      <c r="E14" s="5">
        <v>46187.50540509259</v>
      </c>
      <c r="F14" s="3" t="s">
        <v>14</v>
      </c>
      <c r="G14" s="7">
        <v>0.0</v>
      </c>
      <c r="H14" s="3" t="s">
        <v>48</v>
      </c>
    </row>
    <row r="15">
      <c r="A15" s="3" t="s">
        <v>24</v>
      </c>
      <c r="B15" s="3">
        <v>5254.0</v>
      </c>
      <c r="C15" s="3" t="s">
        <v>727</v>
      </c>
      <c r="D15" s="5">
        <v>46189.44236111111</v>
      </c>
      <c r="E15" s="5">
        <v>46188.51503472222</v>
      </c>
      <c r="F15" s="3" t="s">
        <v>14</v>
      </c>
      <c r="G15" s="7">
        <v>0.0</v>
      </c>
      <c r="H15" s="3" t="s">
        <v>48</v>
      </c>
    </row>
    <row r="16">
      <c r="A16" s="3" t="s">
        <v>26</v>
      </c>
      <c r="B16" s="3">
        <v>5254.0</v>
      </c>
      <c r="C16" s="3" t="s">
        <v>727</v>
      </c>
      <c r="D16" s="5">
        <v>46189.48402777778</v>
      </c>
      <c r="E16" s="5">
        <v>46189.43306712963</v>
      </c>
      <c r="F16" s="3" t="s">
        <v>14</v>
      </c>
      <c r="G16" s="7">
        <v>0.0</v>
      </c>
      <c r="H16" s="3" t="s">
        <v>48</v>
      </c>
    </row>
    <row r="17">
      <c r="A17" s="3" t="s">
        <v>21</v>
      </c>
      <c r="B17" s="3">
        <v>5255.0</v>
      </c>
      <c r="C17" s="3" t="s">
        <v>727</v>
      </c>
      <c r="D17" s="5">
        <v>46188.44513888889</v>
      </c>
      <c r="E17" s="5">
        <v>46187.505266203705</v>
      </c>
      <c r="F17" s="3" t="s">
        <v>14</v>
      </c>
      <c r="G17" s="7">
        <v>0.0</v>
      </c>
      <c r="H17" s="3" t="s">
        <v>72</v>
      </c>
    </row>
    <row r="18">
      <c r="A18" s="3" t="s">
        <v>24</v>
      </c>
      <c r="B18" s="3">
        <v>5255.0</v>
      </c>
      <c r="C18" s="3" t="s">
        <v>727</v>
      </c>
      <c r="D18" s="5">
        <v>46189.44513888889</v>
      </c>
      <c r="E18" s="5">
        <v>46188.517013888886</v>
      </c>
      <c r="F18" s="3" t="s">
        <v>14</v>
      </c>
      <c r="G18" s="7">
        <v>0.0</v>
      </c>
      <c r="H18" s="3" t="s">
        <v>72</v>
      </c>
    </row>
    <row r="19">
      <c r="A19" s="3" t="s">
        <v>26</v>
      </c>
      <c r="B19" s="3">
        <v>5255.0</v>
      </c>
      <c r="C19" s="3" t="s">
        <v>727</v>
      </c>
      <c r="D19" s="5">
        <v>46189.486805555556</v>
      </c>
      <c r="E19" s="5">
        <v>46189.4330787037</v>
      </c>
      <c r="F19" s="3" t="s">
        <v>14</v>
      </c>
      <c r="G19" s="7">
        <v>0.0</v>
      </c>
      <c r="H19" s="3" t="s">
        <v>72</v>
      </c>
    </row>
    <row r="20">
      <c r="A20" s="3" t="s">
        <v>21</v>
      </c>
      <c r="B20" s="3">
        <v>5256.0</v>
      </c>
      <c r="C20" s="3" t="s">
        <v>727</v>
      </c>
      <c r="D20" s="5">
        <v>46188.447916666664</v>
      </c>
      <c r="E20" s="5">
        <v>46187.50528935185</v>
      </c>
      <c r="F20" s="3" t="s">
        <v>14</v>
      </c>
      <c r="G20" s="7">
        <v>0.0</v>
      </c>
      <c r="H20" s="3" t="s">
        <v>72</v>
      </c>
    </row>
    <row r="21">
      <c r="A21" s="3" t="s">
        <v>24</v>
      </c>
      <c r="B21" s="3">
        <v>5256.0</v>
      </c>
      <c r="C21" s="3" t="s">
        <v>727</v>
      </c>
      <c r="D21" s="5">
        <v>46189.447916666664</v>
      </c>
      <c r="E21" s="5">
        <v>46188.51703703704</v>
      </c>
      <c r="F21" s="3" t="s">
        <v>14</v>
      </c>
      <c r="G21" s="7">
        <v>0.0</v>
      </c>
      <c r="H21" s="3" t="s">
        <v>72</v>
      </c>
    </row>
    <row r="22">
      <c r="A22" s="3" t="s">
        <v>26</v>
      </c>
      <c r="B22" s="3">
        <v>5256.0</v>
      </c>
      <c r="C22" s="3" t="s">
        <v>727</v>
      </c>
      <c r="D22" s="5">
        <v>46189.489583333336</v>
      </c>
      <c r="E22" s="5">
        <v>46189.43311342593</v>
      </c>
      <c r="F22" s="3" t="s">
        <v>14</v>
      </c>
      <c r="G22" s="7">
        <v>0.0</v>
      </c>
      <c r="H22" s="3" t="s">
        <v>72</v>
      </c>
    </row>
    <row r="23">
      <c r="A23" s="3" t="s">
        <v>21</v>
      </c>
      <c r="B23" s="3">
        <v>5257.0</v>
      </c>
      <c r="C23" s="3" t="s">
        <v>727</v>
      </c>
      <c r="D23" s="5">
        <v>46188.45208333333</v>
      </c>
      <c r="E23" s="5">
        <v>46187.5053125</v>
      </c>
      <c r="F23" s="3" t="s">
        <v>14</v>
      </c>
      <c r="G23" s="7">
        <v>0.0</v>
      </c>
      <c r="H23" s="3" t="s">
        <v>48</v>
      </c>
    </row>
    <row r="24">
      <c r="A24" s="3" t="s">
        <v>24</v>
      </c>
      <c r="B24" s="3">
        <v>5257.0</v>
      </c>
      <c r="C24" s="3" t="s">
        <v>727</v>
      </c>
      <c r="D24" s="5">
        <v>46189.45208333333</v>
      </c>
      <c r="E24" s="5">
        <v>46188.517175925925</v>
      </c>
      <c r="F24" s="3" t="s">
        <v>14</v>
      </c>
      <c r="G24" s="7">
        <v>0.0</v>
      </c>
      <c r="H24" s="3" t="s">
        <v>48</v>
      </c>
    </row>
    <row r="25">
      <c r="A25" s="3" t="s">
        <v>26</v>
      </c>
      <c r="B25" s="3">
        <v>5257.0</v>
      </c>
      <c r="C25" s="3" t="s">
        <v>727</v>
      </c>
      <c r="D25" s="5">
        <v>46189.49375</v>
      </c>
      <c r="E25" s="5">
        <v>46189.433125</v>
      </c>
      <c r="F25" s="3" t="s">
        <v>14</v>
      </c>
      <c r="G25" s="7">
        <v>0.0</v>
      </c>
      <c r="H25" s="3" t="s">
        <v>48</v>
      </c>
    </row>
    <row r="26">
      <c r="A26" s="3" t="s">
        <v>21</v>
      </c>
      <c r="B26" s="3">
        <v>5258.0</v>
      </c>
      <c r="C26" s="3" t="s">
        <v>727</v>
      </c>
      <c r="D26" s="5">
        <v>46188.455555555556</v>
      </c>
      <c r="E26" s="5">
        <v>46187.50533564815</v>
      </c>
      <c r="F26" s="3" t="s">
        <v>14</v>
      </c>
      <c r="G26" s="7">
        <v>0.0</v>
      </c>
      <c r="H26" s="3" t="s">
        <v>15</v>
      </c>
    </row>
    <row r="27">
      <c r="A27" s="3" t="s">
        <v>24</v>
      </c>
      <c r="B27" s="3">
        <v>5258.0</v>
      </c>
      <c r="C27" s="3" t="s">
        <v>727</v>
      </c>
      <c r="D27" s="5">
        <v>46189.455555555556</v>
      </c>
      <c r="E27" s="5">
        <v>46188.517060185186</v>
      </c>
      <c r="F27" s="3" t="s">
        <v>14</v>
      </c>
      <c r="G27" s="7">
        <v>0.0</v>
      </c>
      <c r="H27" s="3" t="s">
        <v>15</v>
      </c>
    </row>
    <row r="28">
      <c r="A28" s="3" t="s">
        <v>26</v>
      </c>
      <c r="B28" s="3">
        <v>5258.0</v>
      </c>
      <c r="C28" s="3" t="s">
        <v>727</v>
      </c>
      <c r="D28" s="5">
        <v>46189.49722222222</v>
      </c>
      <c r="E28" s="5">
        <v>46189.43314814815</v>
      </c>
      <c r="F28" s="3" t="s">
        <v>14</v>
      </c>
      <c r="G28" s="7">
        <v>0.0</v>
      </c>
      <c r="H28" s="3" t="s">
        <v>15</v>
      </c>
    </row>
    <row r="29">
      <c r="A29" s="3" t="s">
        <v>21</v>
      </c>
      <c r="B29" s="3">
        <v>5259.0</v>
      </c>
      <c r="C29" s="3" t="s">
        <v>1279</v>
      </c>
      <c r="D29" s="5">
        <v>46188.416666666664</v>
      </c>
      <c r="E29" s="5">
        <v>46187.50537037037</v>
      </c>
      <c r="F29" s="3" t="s">
        <v>14</v>
      </c>
      <c r="G29" s="7">
        <v>0.0</v>
      </c>
      <c r="H29" s="3" t="s">
        <v>15</v>
      </c>
    </row>
    <row r="30">
      <c r="A30" s="3" t="s">
        <v>24</v>
      </c>
      <c r="B30" s="3">
        <v>5259.0</v>
      </c>
      <c r="C30" s="3" t="s">
        <v>1279</v>
      </c>
      <c r="D30" s="5">
        <v>46189.416666666664</v>
      </c>
      <c r="E30" s="5">
        <v>46188.51708333333</v>
      </c>
      <c r="F30" s="3" t="s">
        <v>14</v>
      </c>
      <c r="G30" s="7">
        <v>0.0</v>
      </c>
      <c r="H30" s="3" t="s">
        <v>15</v>
      </c>
    </row>
    <row r="31">
      <c r="A31" s="3" t="s">
        <v>26</v>
      </c>
      <c r="B31" s="3">
        <v>5259.0</v>
      </c>
      <c r="C31" s="3" t="s">
        <v>1279</v>
      </c>
      <c r="D31" s="5">
        <v>46189.458333333336</v>
      </c>
      <c r="E31" s="5">
        <v>46189.433171296296</v>
      </c>
      <c r="F31" s="3" t="s">
        <v>14</v>
      </c>
      <c r="G31" s="7">
        <v>0.0</v>
      </c>
      <c r="H31" s="3" t="s">
        <v>15</v>
      </c>
    </row>
    <row r="32">
      <c r="A32" s="3" t="s">
        <v>10</v>
      </c>
      <c r="B32" s="3">
        <v>5260.0</v>
      </c>
      <c r="C32" s="3" t="s">
        <v>1283</v>
      </c>
      <c r="D32" s="5">
        <v>46188.55962962963</v>
      </c>
      <c r="E32" s="5">
        <v>46188.46219907407</v>
      </c>
      <c r="F32" s="3" t="s">
        <v>14</v>
      </c>
      <c r="G32" s="3">
        <v>0.0</v>
      </c>
      <c r="H32" s="3" t="s">
        <v>15</v>
      </c>
    </row>
    <row r="33">
      <c r="A33" s="3" t="s">
        <v>17</v>
      </c>
      <c r="B33" s="3">
        <v>5260.0</v>
      </c>
      <c r="C33" s="3" t="s">
        <v>1283</v>
      </c>
      <c r="D33" s="5">
        <v>46188.56657407407</v>
      </c>
      <c r="E33" s="5">
        <v>46188.46239583333</v>
      </c>
      <c r="F33" s="3" t="s">
        <v>14</v>
      </c>
      <c r="G33" s="7">
        <v>0.0</v>
      </c>
      <c r="H33" s="3" t="s">
        <v>15</v>
      </c>
    </row>
    <row r="34">
      <c r="A34" s="3" t="s">
        <v>21</v>
      </c>
      <c r="B34" s="3">
        <v>5260.0</v>
      </c>
      <c r="C34" s="3" t="s">
        <v>1283</v>
      </c>
      <c r="D34" s="5">
        <v>46188.67074074074</v>
      </c>
      <c r="E34" s="5">
        <v>46188.46252314815</v>
      </c>
      <c r="F34" s="3" t="s">
        <v>14</v>
      </c>
      <c r="G34" s="7">
        <v>0.0</v>
      </c>
      <c r="H34" s="3" t="s">
        <v>15</v>
      </c>
    </row>
    <row r="35">
      <c r="A35" s="3" t="s">
        <v>24</v>
      </c>
      <c r="B35" s="3">
        <v>5260.0</v>
      </c>
      <c r="C35" s="3" t="s">
        <v>1283</v>
      </c>
      <c r="D35" s="5">
        <v>46189.67013888889</v>
      </c>
      <c r="E35" s="5">
        <v>46188.5168287037</v>
      </c>
      <c r="F35" s="3" t="s">
        <v>14</v>
      </c>
      <c r="G35" s="7">
        <v>0.0</v>
      </c>
      <c r="H35" s="3" t="s">
        <v>15</v>
      </c>
    </row>
    <row r="36">
      <c r="A36" s="3" t="s">
        <v>26</v>
      </c>
      <c r="B36" s="3">
        <v>5260.0</v>
      </c>
      <c r="C36" s="3" t="s">
        <v>1283</v>
      </c>
      <c r="D36" s="5">
        <v>46189.711805555555</v>
      </c>
      <c r="E36" s="5">
        <v>46188.51688657407</v>
      </c>
      <c r="F36" s="3" t="s">
        <v>14</v>
      </c>
      <c r="G36" s="7">
        <v>0.0</v>
      </c>
      <c r="H36" s="3" t="s">
        <v>15</v>
      </c>
    </row>
    <row r="37">
      <c r="A37" s="3" t="s">
        <v>10</v>
      </c>
      <c r="B37" s="3">
        <v>5261.0</v>
      </c>
      <c r="C37" s="3" t="s">
        <v>1287</v>
      </c>
      <c r="D37" s="5">
        <v>46188.62541666667</v>
      </c>
      <c r="E37" s="5">
        <v>46188.462222222224</v>
      </c>
      <c r="F37" s="3" t="s">
        <v>14</v>
      </c>
      <c r="G37" s="3">
        <v>0.0</v>
      </c>
      <c r="H37" s="3" t="s">
        <v>15</v>
      </c>
    </row>
    <row r="38">
      <c r="A38" s="3" t="s">
        <v>17</v>
      </c>
      <c r="B38" s="3">
        <v>5261.0</v>
      </c>
      <c r="C38" s="3" t="s">
        <v>1287</v>
      </c>
      <c r="D38" s="5">
        <v>46188.632361111115</v>
      </c>
      <c r="E38" s="5">
        <v>46188.46239583333</v>
      </c>
      <c r="F38" s="3" t="s">
        <v>14</v>
      </c>
      <c r="G38" s="7">
        <v>0.0</v>
      </c>
      <c r="H38" s="3" t="s">
        <v>15</v>
      </c>
    </row>
    <row r="39">
      <c r="A39" s="3" t="s">
        <v>21</v>
      </c>
      <c r="B39" s="3">
        <v>5261.0</v>
      </c>
      <c r="C39" s="3" t="s">
        <v>1287</v>
      </c>
      <c r="D39" s="5">
        <v>46188.73652777778</v>
      </c>
      <c r="E39" s="5">
        <v>46188.46252314815</v>
      </c>
      <c r="F39" s="3" t="s">
        <v>14</v>
      </c>
      <c r="G39" s="7">
        <v>0.0</v>
      </c>
      <c r="H39" s="3" t="s">
        <v>15</v>
      </c>
    </row>
    <row r="40">
      <c r="A40" s="3" t="s">
        <v>24</v>
      </c>
      <c r="B40" s="3">
        <v>5261.0</v>
      </c>
      <c r="C40" s="3" t="s">
        <v>1287</v>
      </c>
      <c r="D40" s="5">
        <v>46189.73611111111</v>
      </c>
      <c r="E40" s="5">
        <v>46188.51684027778</v>
      </c>
      <c r="F40" s="3" t="s">
        <v>14</v>
      </c>
      <c r="G40" s="7">
        <v>0.0</v>
      </c>
      <c r="H40" s="3" t="s">
        <v>15</v>
      </c>
    </row>
    <row r="41">
      <c r="A41" s="3" t="s">
        <v>26</v>
      </c>
      <c r="B41" s="3">
        <v>5261.0</v>
      </c>
      <c r="C41" s="3" t="s">
        <v>1287</v>
      </c>
      <c r="D41" s="5">
        <v>46189.77777777778</v>
      </c>
      <c r="E41" s="5">
        <v>46188.516921296294</v>
      </c>
      <c r="F41" s="3" t="s">
        <v>14</v>
      </c>
      <c r="G41" s="7">
        <v>0.0</v>
      </c>
      <c r="H41" s="3" t="s">
        <v>15</v>
      </c>
    </row>
    <row r="42">
      <c r="A42" s="3" t="s">
        <v>10</v>
      </c>
      <c r="B42" s="3">
        <v>5262.0</v>
      </c>
      <c r="C42" s="3" t="s">
        <v>1290</v>
      </c>
      <c r="D42" s="5">
        <v>46189.623020833336</v>
      </c>
      <c r="E42" s="5">
        <v>46189.48472222222</v>
      </c>
      <c r="F42" s="3" t="s">
        <v>14</v>
      </c>
      <c r="G42" s="3">
        <v>0.0</v>
      </c>
      <c r="H42" s="3" t="s">
        <v>48</v>
      </c>
    </row>
    <row r="43">
      <c r="A43" s="3" t="s">
        <v>17</v>
      </c>
      <c r="B43" s="3">
        <v>5262.0</v>
      </c>
      <c r="C43" s="3" t="s">
        <v>1290</v>
      </c>
      <c r="D43" s="5">
        <v>46189.629965277774</v>
      </c>
      <c r="E43" s="5">
        <v>46189.48855324074</v>
      </c>
      <c r="F43" s="3" t="s">
        <v>14</v>
      </c>
      <c r="G43" s="7">
        <v>0.0</v>
      </c>
      <c r="H43" s="3" t="s">
        <v>48</v>
      </c>
    </row>
    <row r="44">
      <c r="A44" s="3" t="s">
        <v>21</v>
      </c>
      <c r="B44" s="3">
        <v>5262.0</v>
      </c>
      <c r="C44" s="3" t="s">
        <v>1290</v>
      </c>
      <c r="D44" s="5">
        <v>46189.734131944446</v>
      </c>
      <c r="E44" s="5">
        <v>46189.52596064815</v>
      </c>
      <c r="F44" s="3" t="s">
        <v>14</v>
      </c>
      <c r="G44" s="7">
        <v>0.0</v>
      </c>
      <c r="H44" s="3" t="s">
        <v>48</v>
      </c>
    </row>
    <row r="45">
      <c r="A45" s="3" t="s">
        <v>24</v>
      </c>
      <c r="B45" s="3">
        <v>5262.0</v>
      </c>
      <c r="C45" s="3" t="s">
        <v>1290</v>
      </c>
      <c r="D45" s="5">
        <v>46190.73402777778</v>
      </c>
      <c r="E45" s="5">
        <v>46190.54079861111</v>
      </c>
      <c r="F45" s="3" t="s">
        <v>14</v>
      </c>
      <c r="G45" s="7">
        <v>0.0</v>
      </c>
      <c r="H45" s="3" t="s">
        <v>48</v>
      </c>
    </row>
    <row r="46">
      <c r="A46" s="3" t="s">
        <v>26</v>
      </c>
      <c r="B46" s="3">
        <v>5262.0</v>
      </c>
      <c r="C46" s="3" t="s">
        <v>1290</v>
      </c>
      <c r="D46" s="5">
        <v>46190.77569444444</v>
      </c>
      <c r="E46" s="5">
        <v>46190.5408912037</v>
      </c>
      <c r="F46" s="3" t="s">
        <v>14</v>
      </c>
      <c r="G46" s="7">
        <v>0.0</v>
      </c>
      <c r="H46" s="3" t="s">
        <v>48</v>
      </c>
    </row>
    <row r="47">
      <c r="A47" s="3" t="s">
        <v>10</v>
      </c>
      <c r="B47" s="3">
        <v>5263.0</v>
      </c>
      <c r="C47" s="3" t="s">
        <v>1295</v>
      </c>
      <c r="D47" s="5">
        <v>46189.62380787037</v>
      </c>
      <c r="E47" s="5">
        <v>46189.48474537037</v>
      </c>
      <c r="F47" s="3" t="s">
        <v>14</v>
      </c>
      <c r="G47" s="3">
        <v>0.0</v>
      </c>
      <c r="H47" s="3" t="s">
        <v>48</v>
      </c>
    </row>
    <row r="48">
      <c r="A48" s="3" t="s">
        <v>17</v>
      </c>
      <c r="B48" s="3">
        <v>5263.0</v>
      </c>
      <c r="C48" s="3" t="s">
        <v>1295</v>
      </c>
      <c r="D48" s="5">
        <v>46189.63075231481</v>
      </c>
      <c r="E48" s="5">
        <v>46189.48856481481</v>
      </c>
      <c r="F48" s="3" t="s">
        <v>14</v>
      </c>
      <c r="G48" s="7">
        <v>0.0</v>
      </c>
      <c r="H48" s="3" t="s">
        <v>48</v>
      </c>
    </row>
    <row r="49">
      <c r="A49" s="3" t="s">
        <v>21</v>
      </c>
      <c r="B49" s="3">
        <v>5263.0</v>
      </c>
      <c r="C49" s="3" t="s">
        <v>1295</v>
      </c>
      <c r="D49" s="5">
        <v>46189.734918981485</v>
      </c>
      <c r="E49" s="5">
        <v>46189.525983796295</v>
      </c>
      <c r="F49" s="3" t="s">
        <v>14</v>
      </c>
      <c r="G49" s="7">
        <v>0.0</v>
      </c>
      <c r="H49" s="3" t="s">
        <v>48</v>
      </c>
    </row>
    <row r="50">
      <c r="A50" s="3" t="s">
        <v>24</v>
      </c>
      <c r="B50" s="3">
        <v>5263.0</v>
      </c>
      <c r="C50" s="3" t="s">
        <v>1295</v>
      </c>
      <c r="D50" s="5">
        <v>46190.73472222222</v>
      </c>
      <c r="E50" s="5">
        <v>46190.54083333333</v>
      </c>
      <c r="F50" s="3" t="s">
        <v>14</v>
      </c>
      <c r="G50" s="7">
        <v>0.0</v>
      </c>
      <c r="H50" s="3" t="s">
        <v>48</v>
      </c>
    </row>
    <row r="51">
      <c r="A51" s="3" t="s">
        <v>26</v>
      </c>
      <c r="B51" s="3">
        <v>5263.0</v>
      </c>
      <c r="C51" s="3" t="s">
        <v>1295</v>
      </c>
      <c r="D51" s="5">
        <v>46190.77638888889</v>
      </c>
      <c r="E51" s="5">
        <v>46190.540914351855</v>
      </c>
      <c r="F51" s="3" t="s">
        <v>14</v>
      </c>
      <c r="G51" s="7">
        <v>0.0</v>
      </c>
      <c r="H51" s="3" t="s">
        <v>48</v>
      </c>
    </row>
    <row r="52">
      <c r="A52" s="3" t="s">
        <v>10</v>
      </c>
      <c r="B52" s="3">
        <v>5264.0</v>
      </c>
      <c r="C52" s="3" t="s">
        <v>52</v>
      </c>
      <c r="D52" s="5">
        <v>46189.62571759259</v>
      </c>
      <c r="E52" s="5">
        <v>46189.48483796296</v>
      </c>
      <c r="F52" s="3" t="s">
        <v>14</v>
      </c>
      <c r="G52" s="3">
        <v>0.0</v>
      </c>
      <c r="H52" s="3" t="s">
        <v>72</v>
      </c>
    </row>
    <row r="53">
      <c r="A53" s="3" t="s">
        <v>17</v>
      </c>
      <c r="B53" s="3">
        <v>5264.0</v>
      </c>
      <c r="C53" s="3" t="s">
        <v>52</v>
      </c>
      <c r="D53" s="5">
        <v>46189.63266203704</v>
      </c>
      <c r="E53" s="5">
        <v>46189.488587962966</v>
      </c>
      <c r="F53" s="3" t="s">
        <v>14</v>
      </c>
      <c r="G53" s="7">
        <v>0.0</v>
      </c>
      <c r="H53" s="3" t="s">
        <v>72</v>
      </c>
    </row>
    <row r="54">
      <c r="A54" s="3" t="s">
        <v>21</v>
      </c>
      <c r="B54" s="3">
        <v>5264.0</v>
      </c>
      <c r="C54" s="3" t="s">
        <v>52</v>
      </c>
      <c r="D54" s="5">
        <v>46189.7368287037</v>
      </c>
      <c r="E54" s="5">
        <v>46189.52599537037</v>
      </c>
      <c r="F54" s="3" t="s">
        <v>14</v>
      </c>
      <c r="G54" s="7">
        <v>0.0</v>
      </c>
      <c r="H54" s="3" t="s">
        <v>72</v>
      </c>
    </row>
    <row r="55">
      <c r="A55" s="3" t="s">
        <v>24</v>
      </c>
      <c r="B55" s="3">
        <v>5264.0</v>
      </c>
      <c r="C55" s="3" t="s">
        <v>52</v>
      </c>
      <c r="D55" s="5">
        <v>46190.736805555556</v>
      </c>
      <c r="E55" s="5">
        <v>46189.819444444445</v>
      </c>
      <c r="F55" s="3" t="s">
        <v>14</v>
      </c>
      <c r="G55" s="7">
        <v>0.0</v>
      </c>
      <c r="H55" s="3" t="s">
        <v>72</v>
      </c>
    </row>
    <row r="56">
      <c r="A56" s="3" t="s">
        <v>26</v>
      </c>
      <c r="B56" s="3">
        <v>5264.0</v>
      </c>
      <c r="C56" s="3" t="s">
        <v>52</v>
      </c>
      <c r="D56" s="5">
        <v>46190.77847222222</v>
      </c>
      <c r="E56" s="5">
        <v>46190.54094907407</v>
      </c>
      <c r="F56" s="3" t="s">
        <v>14</v>
      </c>
      <c r="G56" s="7">
        <v>0.0</v>
      </c>
      <c r="H56" s="3" t="s">
        <v>72</v>
      </c>
    </row>
    <row r="57">
      <c r="A57" s="3" t="s">
        <v>10</v>
      </c>
      <c r="B57" s="3">
        <v>5265.0</v>
      </c>
      <c r="C57" s="3" t="s">
        <v>1303</v>
      </c>
      <c r="D57" s="5">
        <v>46189.627974537034</v>
      </c>
      <c r="E57" s="5">
        <v>46189.48846064815</v>
      </c>
      <c r="F57" s="3" t="s">
        <v>14</v>
      </c>
      <c r="G57" s="3">
        <v>0.0</v>
      </c>
      <c r="H57" s="3" t="s">
        <v>72</v>
      </c>
    </row>
    <row r="58">
      <c r="A58" s="3" t="s">
        <v>17</v>
      </c>
      <c r="B58" s="3">
        <v>5265.0</v>
      </c>
      <c r="C58" s="3" t="s">
        <v>1303</v>
      </c>
      <c r="D58" s="5">
        <v>46189.63491898148</v>
      </c>
      <c r="E58" s="5">
        <v>46189.48861111111</v>
      </c>
      <c r="F58" s="3" t="s">
        <v>14</v>
      </c>
      <c r="G58" s="7">
        <v>0.0</v>
      </c>
      <c r="H58" s="3" t="s">
        <v>72</v>
      </c>
    </row>
    <row r="59">
      <c r="A59" s="3" t="s">
        <v>21</v>
      </c>
      <c r="B59" s="3">
        <v>5265.0</v>
      </c>
      <c r="C59" s="3" t="s">
        <v>1303</v>
      </c>
      <c r="D59" s="5">
        <v>46189.73908564815</v>
      </c>
      <c r="E59" s="5">
        <v>46189.52600694444</v>
      </c>
      <c r="F59" s="3" t="s">
        <v>14</v>
      </c>
      <c r="G59" s="7">
        <v>0.0</v>
      </c>
      <c r="H59" s="3" t="s">
        <v>72</v>
      </c>
    </row>
    <row r="60">
      <c r="A60" s="3" t="s">
        <v>24</v>
      </c>
      <c r="B60" s="3">
        <v>5265.0</v>
      </c>
      <c r="C60" s="3" t="s">
        <v>1303</v>
      </c>
      <c r="D60" s="5">
        <v>46190.73888888889</v>
      </c>
      <c r="E60" s="5">
        <v>46189.81945601852</v>
      </c>
      <c r="F60" s="3" t="s">
        <v>14</v>
      </c>
      <c r="G60" s="7">
        <v>0.0</v>
      </c>
      <c r="H60" s="3" t="s">
        <v>72</v>
      </c>
    </row>
    <row r="61">
      <c r="A61" s="3" t="s">
        <v>26</v>
      </c>
      <c r="B61" s="3">
        <v>5265.0</v>
      </c>
      <c r="C61" s="3" t="s">
        <v>1303</v>
      </c>
      <c r="D61" s="5">
        <v>46190.78055555555</v>
      </c>
      <c r="E61" s="5">
        <v>46190.540972222225</v>
      </c>
      <c r="F61" s="3" t="s">
        <v>14</v>
      </c>
      <c r="G61" s="7">
        <v>0.0</v>
      </c>
      <c r="H61" s="3" t="s">
        <v>72</v>
      </c>
    </row>
    <row r="62">
      <c r="A62" s="3" t="s">
        <v>10</v>
      </c>
      <c r="B62" s="3">
        <v>5266.0</v>
      </c>
      <c r="C62" s="3" t="s">
        <v>1308</v>
      </c>
      <c r="D62" s="5">
        <v>46189.76797453704</v>
      </c>
      <c r="E62" s="5">
        <v>46189.625555555554</v>
      </c>
      <c r="F62" s="3" t="s">
        <v>14</v>
      </c>
      <c r="G62" s="3">
        <v>0.0</v>
      </c>
      <c r="H62" s="3" t="s">
        <v>72</v>
      </c>
    </row>
    <row r="63">
      <c r="A63" s="3" t="s">
        <v>17</v>
      </c>
      <c r="B63" s="3">
        <v>5266.0</v>
      </c>
      <c r="C63" s="3" t="s">
        <v>1308</v>
      </c>
      <c r="D63" s="5">
        <v>46189.77491898148</v>
      </c>
      <c r="E63" s="5">
        <v>46189.625601851854</v>
      </c>
      <c r="F63" s="3" t="s">
        <v>14</v>
      </c>
      <c r="G63" s="7">
        <v>0.0</v>
      </c>
      <c r="H63" s="3" t="s">
        <v>72</v>
      </c>
    </row>
    <row r="64">
      <c r="A64" s="3" t="s">
        <v>21</v>
      </c>
      <c r="B64" s="3">
        <v>5266.0</v>
      </c>
      <c r="C64" s="3" t="s">
        <v>1308</v>
      </c>
      <c r="D64" s="5">
        <v>46190.48263888889</v>
      </c>
      <c r="E64" s="5">
        <v>46189.63118055555</v>
      </c>
      <c r="F64" s="3" t="s">
        <v>14</v>
      </c>
      <c r="G64" s="7">
        <v>0.0</v>
      </c>
      <c r="H64" s="3" t="s">
        <v>72</v>
      </c>
    </row>
    <row r="65">
      <c r="A65" s="3" t="s">
        <v>24</v>
      </c>
      <c r="B65" s="3">
        <v>5266.0</v>
      </c>
      <c r="C65" s="3" t="s">
        <v>1308</v>
      </c>
      <c r="D65" s="5">
        <v>46191.48263888889</v>
      </c>
      <c r="E65" s="5">
        <v>46189.631215277775</v>
      </c>
      <c r="F65" s="3" t="s">
        <v>14</v>
      </c>
      <c r="G65" s="7">
        <v>0.0</v>
      </c>
      <c r="H65" s="3" t="s">
        <v>72</v>
      </c>
    </row>
    <row r="66">
      <c r="A66" s="3" t="s">
        <v>26</v>
      </c>
      <c r="B66" s="3">
        <v>5266.0</v>
      </c>
      <c r="C66" s="3" t="s">
        <v>1308</v>
      </c>
      <c r="D66" s="5">
        <v>46191.524305555555</v>
      </c>
      <c r="E66" s="5">
        <v>46189.63123842593</v>
      </c>
      <c r="F66" s="3" t="s">
        <v>14</v>
      </c>
      <c r="G66" s="7">
        <v>0.0</v>
      </c>
      <c r="H66" s="3" t="s">
        <v>72</v>
      </c>
    </row>
    <row r="67">
      <c r="A67" s="3" t="s">
        <v>10</v>
      </c>
      <c r="B67" s="3">
        <v>5267.0</v>
      </c>
      <c r="C67" s="3" t="s">
        <v>800</v>
      </c>
      <c r="D67" s="5">
        <v>46190.44305555556</v>
      </c>
      <c r="E67" s="5">
        <v>46189.81912037037</v>
      </c>
      <c r="F67" s="3" t="s">
        <v>14</v>
      </c>
      <c r="G67" s="3">
        <v>0.0</v>
      </c>
      <c r="H67" s="3" t="s">
        <v>15</v>
      </c>
    </row>
    <row r="68">
      <c r="A68" s="3" t="s">
        <v>17</v>
      </c>
      <c r="B68" s="3">
        <v>5267.0</v>
      </c>
      <c r="C68" s="3" t="s">
        <v>800</v>
      </c>
      <c r="D68" s="5">
        <v>46190.45</v>
      </c>
      <c r="E68" s="5">
        <v>46189.81916666667</v>
      </c>
      <c r="F68" s="3" t="s">
        <v>14</v>
      </c>
      <c r="G68" s="7">
        <v>0.0</v>
      </c>
      <c r="H68" s="3" t="s">
        <v>15</v>
      </c>
    </row>
    <row r="69">
      <c r="A69" s="3" t="s">
        <v>21</v>
      </c>
      <c r="B69" s="3">
        <v>5267.0</v>
      </c>
      <c r="C69" s="3" t="s">
        <v>800</v>
      </c>
      <c r="D69" s="5">
        <v>46190.55416666667</v>
      </c>
      <c r="E69" s="5">
        <v>46189.81922453704</v>
      </c>
      <c r="F69" s="3" t="s">
        <v>14</v>
      </c>
      <c r="G69" s="7">
        <v>0.0</v>
      </c>
      <c r="H69" s="3" t="s">
        <v>15</v>
      </c>
    </row>
    <row r="70">
      <c r="A70" s="3" t="s">
        <v>24</v>
      </c>
      <c r="B70" s="3">
        <v>5267.0</v>
      </c>
      <c r="C70" s="3" t="s">
        <v>800</v>
      </c>
      <c r="D70" s="5">
        <v>46191.55416666667</v>
      </c>
      <c r="E70" s="5">
        <v>46189.819247685184</v>
      </c>
      <c r="F70" s="3" t="s">
        <v>14</v>
      </c>
      <c r="G70" s="7">
        <v>0.0</v>
      </c>
      <c r="H70" s="3" t="s">
        <v>15</v>
      </c>
    </row>
    <row r="71">
      <c r="A71" s="3" t="s">
        <v>26</v>
      </c>
      <c r="B71" s="3">
        <v>5267.0</v>
      </c>
      <c r="C71" s="3" t="s">
        <v>800</v>
      </c>
      <c r="D71" s="5">
        <v>46191.59583333333</v>
      </c>
      <c r="E71" s="5">
        <v>46190.54515046296</v>
      </c>
      <c r="F71" s="3" t="s">
        <v>14</v>
      </c>
      <c r="G71" s="7">
        <v>0.0</v>
      </c>
      <c r="H71" s="3" t="s">
        <v>15</v>
      </c>
    </row>
    <row r="72">
      <c r="A72" s="3" t="s">
        <v>10</v>
      </c>
      <c r="B72" s="3">
        <v>5268.0</v>
      </c>
      <c r="C72" s="3" t="s">
        <v>1287</v>
      </c>
      <c r="D72" s="5">
        <v>46190.6493287037</v>
      </c>
      <c r="E72" s="5">
        <v>46190.51094907407</v>
      </c>
      <c r="F72" s="3" t="s">
        <v>14</v>
      </c>
      <c r="G72" s="3">
        <v>0.0</v>
      </c>
      <c r="H72" s="3" t="s">
        <v>15</v>
      </c>
    </row>
    <row r="73">
      <c r="A73" s="3" t="s">
        <v>17</v>
      </c>
      <c r="B73" s="3">
        <v>5268.0</v>
      </c>
      <c r="C73" s="3" t="s">
        <v>1287</v>
      </c>
      <c r="D73" s="5">
        <v>46190.656273148146</v>
      </c>
      <c r="E73" s="5">
        <v>46190.511087962965</v>
      </c>
      <c r="F73" s="3" t="s">
        <v>14</v>
      </c>
      <c r="G73" s="7">
        <v>0.0</v>
      </c>
      <c r="H73" s="3" t="s">
        <v>15</v>
      </c>
    </row>
    <row r="74">
      <c r="A74" s="3" t="s">
        <v>21</v>
      </c>
      <c r="B74" s="3">
        <v>5268.0</v>
      </c>
      <c r="C74" s="3" t="s">
        <v>1287</v>
      </c>
      <c r="D74" s="5">
        <v>46190.76043981482</v>
      </c>
      <c r="E74" s="5">
        <v>46190.511087962965</v>
      </c>
      <c r="F74" s="3" t="s">
        <v>14</v>
      </c>
      <c r="G74" s="7">
        <v>0.0</v>
      </c>
      <c r="H74" s="3" t="s">
        <v>15</v>
      </c>
    </row>
    <row r="75">
      <c r="A75" s="3" t="s">
        <v>24</v>
      </c>
      <c r="B75" s="3">
        <v>5268.0</v>
      </c>
      <c r="C75" s="3" t="s">
        <v>1287</v>
      </c>
      <c r="D75" s="5">
        <v>46191.760416666664</v>
      </c>
      <c r="E75" s="5">
        <v>46190.7112037037</v>
      </c>
      <c r="F75" s="3" t="s">
        <v>14</v>
      </c>
      <c r="G75" s="7">
        <v>0.0</v>
      </c>
      <c r="H75" s="3" t="s">
        <v>15</v>
      </c>
    </row>
    <row r="76">
      <c r="A76" s="3" t="s">
        <v>26</v>
      </c>
      <c r="B76" s="3">
        <v>5268.0</v>
      </c>
      <c r="C76" s="3" t="s">
        <v>1287</v>
      </c>
      <c r="D76" s="5">
        <v>46191.802083333336</v>
      </c>
      <c r="E76" s="5">
        <v>46191.52180555555</v>
      </c>
      <c r="F76" s="3" t="s">
        <v>14</v>
      </c>
      <c r="G76" s="7">
        <v>0.0</v>
      </c>
      <c r="H76" s="3" t="s">
        <v>15</v>
      </c>
    </row>
    <row r="77">
      <c r="A77" s="3" t="s">
        <v>10</v>
      </c>
      <c r="B77" s="3">
        <v>5269.0</v>
      </c>
      <c r="C77" s="117">
        <v>3.0013382E7</v>
      </c>
      <c r="D77" s="5">
        <v>46190.78487268519</v>
      </c>
      <c r="E77" s="5">
        <v>46190.72489583334</v>
      </c>
      <c r="F77" s="3" t="s">
        <v>14</v>
      </c>
      <c r="G77" s="3">
        <v>0.0</v>
      </c>
      <c r="H77" s="3" t="s">
        <v>15</v>
      </c>
    </row>
    <row r="78">
      <c r="A78" s="3" t="s">
        <v>17</v>
      </c>
      <c r="B78" s="3">
        <v>5269.0</v>
      </c>
      <c r="C78" s="117">
        <v>3.0013382E7</v>
      </c>
      <c r="D78" s="5">
        <v>46190.791817129626</v>
      </c>
      <c r="E78" s="5">
        <v>46190.72508101852</v>
      </c>
      <c r="F78" s="3" t="s">
        <v>14</v>
      </c>
      <c r="G78" s="7">
        <v>0.0</v>
      </c>
      <c r="H78" s="3" t="s">
        <v>15</v>
      </c>
    </row>
    <row r="79">
      <c r="A79" s="3" t="s">
        <v>21</v>
      </c>
      <c r="B79" s="3">
        <v>5269.0</v>
      </c>
      <c r="C79" s="117">
        <v>3.0013382E7</v>
      </c>
      <c r="D79" s="5">
        <v>46191.458333333336</v>
      </c>
      <c r="E79" s="5">
        <v>46191.43800925926</v>
      </c>
      <c r="F79" s="3" t="s">
        <v>14</v>
      </c>
      <c r="G79" s="7">
        <v>0.0</v>
      </c>
      <c r="H79" s="3" t="s">
        <v>15</v>
      </c>
    </row>
    <row r="80">
      <c r="A80" s="3" t="s">
        <v>24</v>
      </c>
      <c r="B80" s="3">
        <v>5269.0</v>
      </c>
      <c r="C80" s="117">
        <v>3.0013382E7</v>
      </c>
      <c r="D80" s="5">
        <v>46192.458333333336</v>
      </c>
      <c r="E80" s="5">
        <v>46191.52162037037</v>
      </c>
      <c r="F80" s="3" t="s">
        <v>14</v>
      </c>
      <c r="G80" s="7">
        <v>0.0</v>
      </c>
      <c r="H80" s="3" t="s">
        <v>15</v>
      </c>
    </row>
    <row r="81">
      <c r="A81" s="3" t="s">
        <v>26</v>
      </c>
      <c r="B81" s="3">
        <v>5269.0</v>
      </c>
      <c r="C81" s="117">
        <v>3.0013382E7</v>
      </c>
      <c r="D81" s="5">
        <v>46192.5</v>
      </c>
      <c r="E81" s="5">
        <v>46191.52174768518</v>
      </c>
      <c r="F81" s="3" t="s">
        <v>14</v>
      </c>
      <c r="G81" s="7">
        <v>0.0</v>
      </c>
      <c r="H81" s="3" t="s">
        <v>15</v>
      </c>
    </row>
    <row r="82">
      <c r="A82" s="3" t="s">
        <v>10</v>
      </c>
      <c r="B82" s="3">
        <v>5270.0</v>
      </c>
      <c r="C82" s="3" t="s">
        <v>1321</v>
      </c>
      <c r="D82" s="5">
        <v>46190.819606481484</v>
      </c>
      <c r="E82" s="5">
        <v>46190.72491898148</v>
      </c>
      <c r="F82" s="3" t="s">
        <v>14</v>
      </c>
      <c r="G82" s="3">
        <v>0.0</v>
      </c>
      <c r="H82" s="3" t="s">
        <v>15</v>
      </c>
    </row>
    <row r="83">
      <c r="A83" s="3" t="s">
        <v>17</v>
      </c>
      <c r="B83" s="3">
        <v>5270.0</v>
      </c>
      <c r="C83" s="3" t="s">
        <v>1321</v>
      </c>
      <c r="D83" s="5">
        <v>46190.82655092593</v>
      </c>
      <c r="E83" s="5">
        <v>46190.72510416667</v>
      </c>
      <c r="F83" s="3" t="s">
        <v>14</v>
      </c>
      <c r="G83" s="7">
        <v>0.0</v>
      </c>
      <c r="H83" s="3" t="s">
        <v>15</v>
      </c>
    </row>
    <row r="84">
      <c r="A84" s="3" t="s">
        <v>21</v>
      </c>
      <c r="B84" s="3">
        <v>5270.0</v>
      </c>
      <c r="C84" s="3" t="s">
        <v>1321</v>
      </c>
      <c r="D84" s="5">
        <v>46191.53472222222</v>
      </c>
      <c r="E84" s="5">
        <v>46191.52134259259</v>
      </c>
      <c r="F84" s="3" t="s">
        <v>14</v>
      </c>
      <c r="G84" s="7">
        <v>0.0</v>
      </c>
      <c r="H84" s="3" t="s">
        <v>15</v>
      </c>
    </row>
    <row r="85">
      <c r="A85" s="3" t="s">
        <v>24</v>
      </c>
      <c r="B85" s="3">
        <v>5270.0</v>
      </c>
      <c r="C85" s="3" t="s">
        <v>1321</v>
      </c>
      <c r="D85" s="5">
        <v>46192.53472222222</v>
      </c>
      <c r="E85" s="5">
        <v>46191.709641203706</v>
      </c>
      <c r="F85" s="3" t="s">
        <v>14</v>
      </c>
      <c r="G85" s="7">
        <v>0.0</v>
      </c>
      <c r="H85" s="3" t="s">
        <v>15</v>
      </c>
    </row>
    <row r="86">
      <c r="A86" s="3" t="s">
        <v>26</v>
      </c>
      <c r="B86" s="3">
        <v>5270.0</v>
      </c>
      <c r="C86" s="3" t="s">
        <v>1321</v>
      </c>
      <c r="D86" s="5">
        <v>46192.57638888889</v>
      </c>
      <c r="E86" s="5">
        <v>46191.709710648145</v>
      </c>
      <c r="F86" s="3" t="s">
        <v>14</v>
      </c>
      <c r="G86" s="7">
        <v>0.0</v>
      </c>
      <c r="H86" s="3" t="s">
        <v>15</v>
      </c>
    </row>
    <row r="87">
      <c r="A87" s="3" t="s">
        <v>10</v>
      </c>
      <c r="B87" s="3">
        <v>5271.0</v>
      </c>
      <c r="C87" s="3" t="s">
        <v>1325</v>
      </c>
      <c r="D87" s="5">
        <v>46191.67890046296</v>
      </c>
      <c r="E87" s="5">
        <v>46191.513194444444</v>
      </c>
      <c r="F87" s="3" t="s">
        <v>14</v>
      </c>
      <c r="G87" s="3">
        <v>0.0</v>
      </c>
      <c r="H87" s="3" t="s">
        <v>72</v>
      </c>
    </row>
    <row r="88">
      <c r="A88" s="3" t="s">
        <v>17</v>
      </c>
      <c r="B88" s="3">
        <v>5271.0</v>
      </c>
      <c r="C88" s="3" t="s">
        <v>1325</v>
      </c>
      <c r="D88" s="5">
        <v>46191.685844907406</v>
      </c>
      <c r="E88" s="5">
        <v>46191.51322916667</v>
      </c>
      <c r="F88" s="3" t="s">
        <v>14</v>
      </c>
      <c r="G88" s="7">
        <v>0.0</v>
      </c>
      <c r="H88" s="3" t="s">
        <v>72</v>
      </c>
    </row>
    <row r="89">
      <c r="A89" s="3" t="s">
        <v>21</v>
      </c>
      <c r="B89" s="3">
        <v>5271.0</v>
      </c>
      <c r="C89" s="3" t="s">
        <v>1325</v>
      </c>
      <c r="D89" s="5">
        <v>46191.79001157408</v>
      </c>
      <c r="E89" s="5">
        <v>46191.51325231481</v>
      </c>
      <c r="F89" s="3" t="s">
        <v>14</v>
      </c>
      <c r="G89" s="7">
        <v>0.0</v>
      </c>
      <c r="H89" s="3" t="s">
        <v>72</v>
      </c>
    </row>
    <row r="90">
      <c r="A90" s="3" t="s">
        <v>24</v>
      </c>
      <c r="B90" s="3">
        <v>5271.0</v>
      </c>
      <c r="C90" s="3" t="s">
        <v>1325</v>
      </c>
      <c r="D90" s="5">
        <v>46192.78958333333</v>
      </c>
      <c r="E90" s="5">
        <v>46191.51327546296</v>
      </c>
      <c r="F90" s="3" t="s">
        <v>14</v>
      </c>
      <c r="G90" s="7">
        <v>0.0</v>
      </c>
      <c r="H90" s="3" t="s">
        <v>72</v>
      </c>
    </row>
    <row r="91">
      <c r="A91" s="3" t="s">
        <v>26</v>
      </c>
      <c r="B91" s="3">
        <v>5271.0</v>
      </c>
      <c r="C91" s="3" t="s">
        <v>1325</v>
      </c>
      <c r="D91" s="5">
        <v>46192.83125</v>
      </c>
      <c r="E91" s="5">
        <v>46192.640011574076</v>
      </c>
      <c r="F91" s="3" t="s">
        <v>14</v>
      </c>
      <c r="G91" s="7">
        <v>0.0</v>
      </c>
      <c r="H91" s="3" t="s">
        <v>72</v>
      </c>
    </row>
    <row r="92">
      <c r="A92" s="3" t="s">
        <v>10</v>
      </c>
      <c r="B92" s="3">
        <v>5272.0</v>
      </c>
      <c r="C92" s="3" t="s">
        <v>1330</v>
      </c>
      <c r="D92" s="5">
        <v>46191.68488425926</v>
      </c>
      <c r="E92" s="5">
        <v>46191.521006944444</v>
      </c>
      <c r="F92" s="3" t="s">
        <v>14</v>
      </c>
      <c r="G92" s="3">
        <v>0.0</v>
      </c>
      <c r="H92" s="3" t="s">
        <v>15</v>
      </c>
    </row>
    <row r="93">
      <c r="A93" s="3" t="s">
        <v>17</v>
      </c>
      <c r="B93" s="3">
        <v>5272.0</v>
      </c>
      <c r="C93" s="3" t="s">
        <v>1330</v>
      </c>
      <c r="D93" s="5">
        <v>46191.691828703704</v>
      </c>
      <c r="E93" s="5">
        <v>46191.52112268518</v>
      </c>
      <c r="F93" s="3" t="s">
        <v>14</v>
      </c>
      <c r="G93" s="7">
        <v>0.0</v>
      </c>
      <c r="H93" s="3" t="s">
        <v>15</v>
      </c>
    </row>
    <row r="94">
      <c r="A94" s="3" t="s">
        <v>21</v>
      </c>
      <c r="B94" s="3">
        <v>5272.0</v>
      </c>
      <c r="C94" s="3" t="s">
        <v>1330</v>
      </c>
      <c r="D94" s="5">
        <v>46191.79599537037</v>
      </c>
      <c r="E94" s="5">
        <v>46191.521365740744</v>
      </c>
      <c r="F94" s="3" t="s">
        <v>14</v>
      </c>
      <c r="G94" s="7">
        <v>0.0</v>
      </c>
      <c r="H94" s="3" t="s">
        <v>15</v>
      </c>
    </row>
    <row r="95">
      <c r="A95" s="3" t="s">
        <v>24</v>
      </c>
      <c r="B95" s="3">
        <v>5272.0</v>
      </c>
      <c r="C95" s="3" t="s">
        <v>1330</v>
      </c>
      <c r="D95" s="5">
        <v>46192.79583333333</v>
      </c>
      <c r="E95" s="5">
        <v>46191.53270833333</v>
      </c>
      <c r="F95" s="3" t="s">
        <v>14</v>
      </c>
      <c r="G95" s="7">
        <v>0.0</v>
      </c>
      <c r="H95" s="3" t="s">
        <v>15</v>
      </c>
    </row>
    <row r="96">
      <c r="A96" s="3" t="s">
        <v>26</v>
      </c>
      <c r="B96" s="3">
        <v>5272.0</v>
      </c>
      <c r="C96" s="3" t="s">
        <v>1330</v>
      </c>
      <c r="D96" s="5">
        <v>46193.42083333333</v>
      </c>
      <c r="E96" s="5">
        <v>46191.53275462963</v>
      </c>
      <c r="F96" s="3" t="s">
        <v>14</v>
      </c>
      <c r="G96" s="7">
        <v>0.0</v>
      </c>
      <c r="H96" s="3" t="s">
        <v>15</v>
      </c>
    </row>
    <row r="97">
      <c r="A97" s="3" t="s">
        <v>10</v>
      </c>
      <c r="B97" s="3">
        <v>5273.0</v>
      </c>
      <c r="C97" s="3" t="s">
        <v>1334</v>
      </c>
      <c r="D97" s="5">
        <v>46192.64722222222</v>
      </c>
      <c r="E97" s="5">
        <v>46192.49039351852</v>
      </c>
      <c r="F97" s="3" t="s">
        <v>14</v>
      </c>
      <c r="G97" s="3">
        <v>0.0</v>
      </c>
      <c r="H97" s="3" t="s">
        <v>72</v>
      </c>
    </row>
    <row r="98">
      <c r="A98" s="3" t="s">
        <v>17</v>
      </c>
      <c r="B98" s="3">
        <v>5273.0</v>
      </c>
      <c r="C98" s="3" t="s">
        <v>1334</v>
      </c>
      <c r="D98" s="5">
        <v>46192.65416666667</v>
      </c>
      <c r="E98" s="5">
        <v>46192.49048611111</v>
      </c>
      <c r="F98" s="3" t="s">
        <v>14</v>
      </c>
      <c r="G98" s="7">
        <v>0.0</v>
      </c>
      <c r="H98" s="3" t="s">
        <v>72</v>
      </c>
    </row>
    <row r="99">
      <c r="A99" s="3" t="s">
        <v>21</v>
      </c>
      <c r="B99" s="3">
        <v>5273.0</v>
      </c>
      <c r="C99" s="3" t="s">
        <v>1334</v>
      </c>
      <c r="D99" s="5">
        <v>46192.75833333333</v>
      </c>
      <c r="E99" s="5">
        <v>46192.51565972222</v>
      </c>
      <c r="F99" s="3" t="s">
        <v>14</v>
      </c>
      <c r="G99" s="7">
        <v>0.0</v>
      </c>
      <c r="H99" s="3" t="s">
        <v>72</v>
      </c>
    </row>
    <row r="100">
      <c r="A100" s="3" t="s">
        <v>24</v>
      </c>
      <c r="B100" s="3">
        <v>5273.0</v>
      </c>
      <c r="C100" s="3" t="s">
        <v>1334</v>
      </c>
      <c r="D100" s="5">
        <v>46193.75833333333</v>
      </c>
      <c r="E100" s="5">
        <v>46192.51572916667</v>
      </c>
      <c r="F100" s="3" t="s">
        <v>14</v>
      </c>
      <c r="G100" s="7">
        <v>0.0</v>
      </c>
      <c r="H100" s="3" t="s">
        <v>72</v>
      </c>
    </row>
    <row r="101">
      <c r="A101" s="3" t="s">
        <v>10</v>
      </c>
      <c r="B101" s="3">
        <v>5274.0</v>
      </c>
      <c r="C101" s="3" t="s">
        <v>1339</v>
      </c>
      <c r="D101" s="5">
        <v>46192.778715277775</v>
      </c>
      <c r="E101" s="5">
        <v>46192.614699074074</v>
      </c>
      <c r="F101" s="3" t="s">
        <v>14</v>
      </c>
      <c r="G101" s="3">
        <v>0.0</v>
      </c>
      <c r="H101" s="3" t="s">
        <v>15</v>
      </c>
    </row>
    <row r="102">
      <c r="A102" s="3" t="s">
        <v>17</v>
      </c>
      <c r="B102" s="3">
        <v>5274.0</v>
      </c>
      <c r="C102" s="3" t="s">
        <v>1339</v>
      </c>
      <c r="D102" s="5">
        <v>46192.78565972222</v>
      </c>
      <c r="E102" s="5">
        <v>46192.614803240744</v>
      </c>
      <c r="F102" s="3" t="s">
        <v>14</v>
      </c>
      <c r="G102" s="7">
        <v>0.0</v>
      </c>
      <c r="H102" s="3" t="s">
        <v>15</v>
      </c>
    </row>
    <row r="103">
      <c r="A103" s="3" t="s">
        <v>21</v>
      </c>
      <c r="B103" s="3">
        <v>5274.0</v>
      </c>
      <c r="C103" s="3" t="s">
        <v>1339</v>
      </c>
      <c r="D103" s="5">
        <v>46193.49375</v>
      </c>
      <c r="E103" s="5">
        <v>46192.614895833336</v>
      </c>
      <c r="F103" s="3" t="s">
        <v>14</v>
      </c>
      <c r="G103" s="7">
        <v>0.0</v>
      </c>
      <c r="H103" s="3" t="s">
        <v>15</v>
      </c>
    </row>
    <row r="104">
      <c r="A104" s="3" t="s">
        <v>10</v>
      </c>
      <c r="B104" s="3">
        <v>5275.0</v>
      </c>
      <c r="C104" s="3" t="s">
        <v>1343</v>
      </c>
      <c r="D104" s="5">
        <v>46193.44930555556</v>
      </c>
      <c r="E104" s="5">
        <v>46192.75038194445</v>
      </c>
      <c r="F104" s="3" t="s">
        <v>14</v>
      </c>
      <c r="G104" s="3">
        <v>0.0</v>
      </c>
      <c r="H104" s="3" t="s">
        <v>15</v>
      </c>
    </row>
    <row r="105">
      <c r="A105" s="3" t="s">
        <v>17</v>
      </c>
      <c r="B105" s="3">
        <v>5275.0</v>
      </c>
      <c r="C105" s="3" t="s">
        <v>1343</v>
      </c>
      <c r="D105" s="5">
        <v>46193.45625</v>
      </c>
      <c r="E105" s="5">
        <v>46192.75053240741</v>
      </c>
      <c r="F105" s="3" t="s">
        <v>14</v>
      </c>
      <c r="G105" s="7">
        <v>0.0</v>
      </c>
      <c r="H105" s="3" t="s">
        <v>15</v>
      </c>
    </row>
    <row r="106">
      <c r="A106" s="3" t="s">
        <v>21</v>
      </c>
      <c r="B106" s="3">
        <v>5275.0</v>
      </c>
      <c r="C106" s="3" t="s">
        <v>1343</v>
      </c>
      <c r="D106" s="5">
        <v>46193.56041666667</v>
      </c>
      <c r="E106" s="5">
        <v>46192.750625</v>
      </c>
      <c r="F106" s="3" t="s">
        <v>14</v>
      </c>
      <c r="G106" s="7">
        <v>0.0</v>
      </c>
      <c r="H106" s="3" t="s">
        <v>15</v>
      </c>
    </row>
    <row r="107">
      <c r="A107" s="3" t="s">
        <v>10</v>
      </c>
      <c r="B107" s="3">
        <v>5276.0</v>
      </c>
      <c r="C107" s="3" t="s">
        <v>1347</v>
      </c>
      <c r="D107" s="5">
        <v>46193.475694444445</v>
      </c>
      <c r="E107" s="5">
        <v>46192.75040509259</v>
      </c>
      <c r="F107" s="3" t="s">
        <v>14</v>
      </c>
      <c r="G107" s="3">
        <v>0.0</v>
      </c>
      <c r="H107" s="3" t="s">
        <v>15</v>
      </c>
    </row>
    <row r="108">
      <c r="A108" s="3" t="s">
        <v>17</v>
      </c>
      <c r="B108" s="3">
        <v>5276.0</v>
      </c>
      <c r="C108" s="3" t="s">
        <v>1347</v>
      </c>
      <c r="D108" s="5">
        <v>46193.48263888889</v>
      </c>
      <c r="E108" s="5">
        <v>46192.750555555554</v>
      </c>
      <c r="F108" s="3" t="s">
        <v>14</v>
      </c>
      <c r="G108" s="7">
        <v>0.0</v>
      </c>
      <c r="H108" s="3" t="s">
        <v>15</v>
      </c>
    </row>
    <row r="109">
      <c r="A109" s="3" t="s">
        <v>21</v>
      </c>
      <c r="B109" s="3">
        <v>5276.0</v>
      </c>
      <c r="C109" s="3" t="s">
        <v>1347</v>
      </c>
      <c r="D109" s="5">
        <v>46193.586805555555</v>
      </c>
      <c r="E109" s="5">
        <v>46192.75064814815</v>
      </c>
      <c r="F109" s="3" t="s">
        <v>14</v>
      </c>
      <c r="G109" s="7">
        <v>0.0</v>
      </c>
      <c r="H109" s="3" t="s">
        <v>15</v>
      </c>
    </row>
    <row r="110">
      <c r="A110" s="3" t="s">
        <v>10</v>
      </c>
      <c r="B110" s="3">
        <v>5277.0</v>
      </c>
      <c r="C110" s="3" t="s">
        <v>1352</v>
      </c>
      <c r="D110" s="5">
        <v>46193.71199074074</v>
      </c>
      <c r="E110" s="5">
        <v>46193.55734953703</v>
      </c>
      <c r="F110" s="3" t="s">
        <v>14</v>
      </c>
      <c r="G110" s="3">
        <v>0.0</v>
      </c>
      <c r="H110" s="3" t="s">
        <v>72</v>
      </c>
    </row>
    <row r="111">
      <c r="A111" s="3" t="s">
        <v>17</v>
      </c>
      <c r="B111" s="3">
        <v>5277.0</v>
      </c>
      <c r="C111" s="3" t="s">
        <v>1352</v>
      </c>
      <c r="D111" s="5">
        <v>46193.718935185185</v>
      </c>
      <c r="E111" s="5">
        <v>46193.557488425926</v>
      </c>
      <c r="F111" s="3" t="s">
        <v>14</v>
      </c>
      <c r="G111" s="7">
        <v>0.0</v>
      </c>
      <c r="H111" s="3" t="s">
        <v>72</v>
      </c>
    </row>
    <row r="112">
      <c r="A112" s="3" t="s">
        <v>21</v>
      </c>
      <c r="B112" s="3">
        <v>5277.0</v>
      </c>
      <c r="C112" s="3" t="s">
        <v>1352</v>
      </c>
      <c r="D112" s="5">
        <v>46193.82310185185</v>
      </c>
      <c r="E112" s="5">
        <v>46193.557546296295</v>
      </c>
      <c r="F112" s="3" t="s">
        <v>14</v>
      </c>
      <c r="G112" s="7">
        <v>0.0</v>
      </c>
      <c r="H112" s="3" t="s">
        <v>72</v>
      </c>
    </row>
    <row r="113">
      <c r="A113" s="3" t="s">
        <v>10</v>
      </c>
      <c r="B113" s="3">
        <v>5278.0</v>
      </c>
      <c r="C113" s="3" t="s">
        <v>1358</v>
      </c>
      <c r="D113" s="5">
        <v>46193.727488425924</v>
      </c>
      <c r="E113" s="5">
        <v>46193.6525</v>
      </c>
      <c r="F113" s="3" t="s">
        <v>14</v>
      </c>
      <c r="G113" s="3">
        <v>0.0</v>
      </c>
      <c r="H113" s="3" t="s">
        <v>72</v>
      </c>
    </row>
    <row r="114">
      <c r="A114" s="3" t="s">
        <v>17</v>
      </c>
      <c r="B114" s="3">
        <v>5278.0</v>
      </c>
      <c r="C114" s="3" t="s">
        <v>1358</v>
      </c>
      <c r="D114" s="5">
        <v>46193.73443287037</v>
      </c>
      <c r="E114" s="5">
        <v>46193.65255787037</v>
      </c>
      <c r="F114" s="3" t="s">
        <v>14</v>
      </c>
      <c r="G114" s="7">
        <v>0.0</v>
      </c>
      <c r="H114" s="3" t="s">
        <v>72</v>
      </c>
    </row>
    <row r="115">
      <c r="A115" s="3" t="s">
        <v>10</v>
      </c>
      <c r="B115" s="3">
        <v>5279.0</v>
      </c>
      <c r="C115" s="3" t="s">
        <v>142</v>
      </c>
      <c r="D115" s="5">
        <v>46193.82745370371</v>
      </c>
      <c r="E115" s="5">
        <v>46193.69803240741</v>
      </c>
      <c r="F115" s="3" t="s">
        <v>14</v>
      </c>
      <c r="G115" s="3">
        <v>0.0</v>
      </c>
      <c r="H115" s="3" t="s">
        <v>15</v>
      </c>
    </row>
    <row r="116">
      <c r="A116" s="3" t="s">
        <v>10</v>
      </c>
      <c r="B116" s="3">
        <v>5280.0</v>
      </c>
      <c r="C116" s="3" t="s">
        <v>142</v>
      </c>
      <c r="D116" s="5">
        <v>46193.82826388889</v>
      </c>
      <c r="E116" s="5">
        <v>46193.69805555556</v>
      </c>
      <c r="F116" s="3" t="s">
        <v>14</v>
      </c>
      <c r="G116" s="3">
        <v>0.0</v>
      </c>
      <c r="H116" s="3" t="s">
        <v>15</v>
      </c>
    </row>
    <row r="117">
      <c r="A117" s="3" t="s">
        <v>10</v>
      </c>
      <c r="B117" s="3">
        <v>5281.0</v>
      </c>
      <c r="C117" s="3" t="s">
        <v>142</v>
      </c>
      <c r="D117" s="5">
        <v>46193.82913194445</v>
      </c>
      <c r="E117" s="5">
        <v>46193.698067129626</v>
      </c>
      <c r="F117" s="3" t="s">
        <v>14</v>
      </c>
      <c r="G117" s="3">
        <v>0.0</v>
      </c>
      <c r="H117" s="3" t="s">
        <v>15</v>
      </c>
    </row>
    <row r="118">
      <c r="A118" s="3"/>
      <c r="B118" s="3"/>
      <c r="C118" s="3"/>
      <c r="D118" s="5"/>
      <c r="E118" s="5"/>
      <c r="F118" s="3"/>
      <c r="G118" s="3"/>
      <c r="H118" s="3"/>
    </row>
    <row r="119">
      <c r="A119" s="3"/>
      <c r="B119" s="3"/>
      <c r="C119" s="3"/>
      <c r="D119" s="5"/>
      <c r="E119" s="5"/>
      <c r="F119" s="3"/>
      <c r="G119" s="7"/>
      <c r="H119" s="3"/>
    </row>
    <row r="120">
      <c r="A120" s="3"/>
      <c r="B120" s="3"/>
      <c r="C120" s="3"/>
      <c r="D120" s="5"/>
      <c r="E120" s="5"/>
      <c r="F120" s="3"/>
      <c r="G120" s="7"/>
      <c r="H120" s="3"/>
    </row>
    <row r="121">
      <c r="A121" s="3"/>
      <c r="B121" s="3"/>
      <c r="C121" s="3"/>
      <c r="D121" s="5"/>
      <c r="E121" s="5"/>
      <c r="F121" s="3"/>
      <c r="G121" s="3"/>
      <c r="H121" s="3"/>
    </row>
    <row r="122">
      <c r="A122" s="3"/>
      <c r="B122" s="3"/>
      <c r="C122" s="3"/>
      <c r="D122" s="5"/>
      <c r="E122" s="5"/>
      <c r="F122" s="3"/>
      <c r="G122" s="7"/>
      <c r="H122" s="3"/>
    </row>
    <row r="123">
      <c r="A123" s="3"/>
      <c r="B123" s="3"/>
      <c r="C123" s="3"/>
      <c r="D123" s="5"/>
      <c r="E123" s="5"/>
      <c r="F123" s="3"/>
      <c r="G123" s="7"/>
      <c r="H123" s="3"/>
    </row>
    <row r="124">
      <c r="A124" s="3"/>
      <c r="B124" s="3"/>
      <c r="C124" s="3"/>
      <c r="D124" s="5"/>
      <c r="E124" s="5"/>
      <c r="F124" s="3"/>
      <c r="G124" s="3"/>
      <c r="H124" s="3"/>
    </row>
    <row r="125">
      <c r="A125" s="3"/>
      <c r="B125" s="3"/>
      <c r="C125" s="3"/>
      <c r="D125" s="5"/>
      <c r="E125" s="5"/>
      <c r="F125" s="3"/>
      <c r="G125" s="7"/>
      <c r="H125" s="3"/>
    </row>
    <row r="126">
      <c r="A126" s="3"/>
      <c r="B126" s="3"/>
      <c r="C126" s="3"/>
      <c r="D126" s="5"/>
      <c r="E126" s="5"/>
      <c r="F126" s="3"/>
      <c r="G126" s="7"/>
      <c r="H126" s="3"/>
    </row>
    <row r="127">
      <c r="A127" s="3"/>
      <c r="B127" s="3"/>
      <c r="C127" s="3"/>
      <c r="D127" s="5"/>
      <c r="E127" s="5"/>
      <c r="F127" s="3"/>
      <c r="G127" s="3"/>
      <c r="H127" s="3"/>
    </row>
    <row r="128">
      <c r="A128" s="3"/>
      <c r="B128" s="3"/>
      <c r="C128" s="3"/>
      <c r="D128" s="5"/>
      <c r="E128" s="5"/>
      <c r="F128" s="3"/>
      <c r="G128" s="7"/>
      <c r="H128" s="3"/>
    </row>
    <row r="129">
      <c r="A129" s="3"/>
      <c r="B129" s="3"/>
      <c r="C129" s="3"/>
      <c r="D129" s="5"/>
      <c r="E129" s="5"/>
      <c r="F129" s="3"/>
      <c r="G129" s="7"/>
      <c r="H129" s="3"/>
    </row>
    <row r="130">
      <c r="A130" s="3"/>
      <c r="B130" s="3"/>
      <c r="C130" s="3"/>
      <c r="D130" s="5"/>
      <c r="E130" s="5"/>
      <c r="F130" s="3"/>
      <c r="G130" s="3"/>
      <c r="H130" s="3"/>
    </row>
    <row r="131">
      <c r="A131" s="3"/>
      <c r="B131" s="3"/>
      <c r="C131" s="3"/>
      <c r="D131" s="5"/>
      <c r="E131" s="5"/>
      <c r="F131" s="3"/>
      <c r="G131" s="7"/>
      <c r="H131" s="3"/>
    </row>
    <row r="132">
      <c r="A132" s="3"/>
      <c r="B132" s="3"/>
      <c r="C132" s="3"/>
      <c r="D132" s="5"/>
      <c r="E132" s="5"/>
      <c r="F132" s="3"/>
      <c r="G132" s="7"/>
      <c r="H132" s="3"/>
    </row>
    <row r="133">
      <c r="A133" s="3"/>
      <c r="B133" s="3"/>
      <c r="C133" s="3"/>
      <c r="D133" s="5"/>
      <c r="E133" s="5"/>
      <c r="F133" s="3"/>
      <c r="G133" s="3"/>
      <c r="H133" s="3"/>
    </row>
    <row r="134">
      <c r="A134" s="3"/>
      <c r="B134" s="3"/>
      <c r="C134" s="3"/>
      <c r="D134" s="5"/>
      <c r="E134" s="5"/>
      <c r="F134" s="3"/>
      <c r="G134" s="7"/>
      <c r="H134" s="3"/>
    </row>
    <row r="135">
      <c r="A135" s="3"/>
      <c r="B135" s="3"/>
      <c r="C135" s="3"/>
      <c r="D135" s="5"/>
      <c r="E135" s="5"/>
      <c r="F135" s="3"/>
      <c r="G135" s="7"/>
      <c r="H135" s="3"/>
    </row>
    <row r="136">
      <c r="A136" s="3"/>
      <c r="B136" s="3"/>
      <c r="C136" s="3"/>
      <c r="D136" s="5"/>
      <c r="E136" s="5"/>
      <c r="F136" s="3"/>
      <c r="G136" s="3"/>
      <c r="H136" s="3"/>
    </row>
    <row r="137">
      <c r="A137" s="3"/>
      <c r="B137" s="3"/>
      <c r="C137" s="3"/>
      <c r="D137" s="5"/>
      <c r="E137" s="5"/>
      <c r="F137" s="3"/>
      <c r="G137" s="7"/>
      <c r="H137" s="3"/>
    </row>
    <row r="138">
      <c r="A138" s="3"/>
      <c r="B138" s="3"/>
      <c r="C138" s="3"/>
      <c r="D138" s="5"/>
      <c r="E138" s="5"/>
      <c r="F138" s="3"/>
      <c r="G138" s="7"/>
      <c r="H138" s="3"/>
    </row>
    <row r="139">
      <c r="A139" s="3"/>
      <c r="B139" s="3"/>
      <c r="C139" s="3"/>
      <c r="D139" s="5"/>
      <c r="E139" s="5"/>
      <c r="F139" s="3"/>
      <c r="G139" s="3"/>
      <c r="H139" s="3"/>
    </row>
    <row r="140">
      <c r="A140" s="3"/>
      <c r="B140" s="3"/>
      <c r="C140" s="3"/>
      <c r="D140" s="5"/>
      <c r="E140" s="5"/>
      <c r="F140" s="3"/>
      <c r="G140" s="7"/>
      <c r="H140" s="3"/>
    </row>
    <row r="141">
      <c r="A141" s="3"/>
      <c r="B141" s="3"/>
      <c r="C141" s="3"/>
      <c r="D141" s="5"/>
      <c r="E141" s="5"/>
      <c r="F141" s="3"/>
      <c r="G141" s="7"/>
      <c r="H141" s="3"/>
    </row>
    <row r="142">
      <c r="A142" s="3"/>
      <c r="B142" s="3"/>
      <c r="C142" s="3"/>
      <c r="D142" s="5"/>
      <c r="E142" s="5"/>
      <c r="F142" s="3"/>
      <c r="G142" s="7"/>
      <c r="H142" s="3"/>
    </row>
    <row r="143">
      <c r="A143" s="3"/>
      <c r="B143" s="3"/>
      <c r="C143" s="3"/>
      <c r="D143" s="5"/>
      <c r="E143" s="5"/>
      <c r="F143" s="3"/>
      <c r="G143" s="3"/>
      <c r="H143" s="3"/>
    </row>
    <row r="144">
      <c r="A144" s="3"/>
      <c r="B144" s="3"/>
      <c r="C144" s="3"/>
      <c r="D144" s="5"/>
      <c r="E144" s="5"/>
      <c r="F144" s="3"/>
      <c r="G144" s="7"/>
      <c r="H144" s="3"/>
    </row>
    <row r="145">
      <c r="A145" s="3"/>
      <c r="B145" s="3"/>
      <c r="C145" s="3"/>
      <c r="D145" s="5"/>
      <c r="E145" s="5"/>
      <c r="F145" s="3"/>
      <c r="G145" s="7"/>
      <c r="H145" s="3"/>
    </row>
    <row r="146">
      <c r="A146" s="3"/>
      <c r="B146" s="3"/>
      <c r="C146" s="3"/>
      <c r="D146" s="5"/>
      <c r="E146" s="5"/>
      <c r="F146" s="3"/>
      <c r="G146" s="7"/>
      <c r="H146" s="3"/>
    </row>
    <row r="147">
      <c r="A147" s="3"/>
      <c r="B147" s="3"/>
      <c r="C147" s="3"/>
      <c r="D147" s="5"/>
      <c r="E147" s="5"/>
      <c r="F147" s="3"/>
      <c r="G147" s="7"/>
      <c r="H147" s="3"/>
    </row>
    <row r="148">
      <c r="A148" s="3"/>
      <c r="B148" s="3"/>
      <c r="C148" s="3"/>
      <c r="D148" s="5"/>
      <c r="E148" s="5"/>
      <c r="F148" s="3"/>
      <c r="G148" s="3"/>
      <c r="H148" s="3"/>
    </row>
    <row r="149">
      <c r="A149" s="3"/>
      <c r="B149" s="3"/>
      <c r="C149" s="3"/>
      <c r="D149" s="5"/>
      <c r="E149" s="5"/>
      <c r="F149" s="3"/>
      <c r="G149" s="7"/>
      <c r="H149" s="3"/>
    </row>
    <row r="150">
      <c r="A150" s="3"/>
      <c r="B150" s="3"/>
      <c r="C150" s="3"/>
      <c r="D150" s="5"/>
      <c r="E150" s="5"/>
      <c r="F150" s="3"/>
      <c r="G150" s="7"/>
      <c r="H150" s="3"/>
    </row>
    <row r="151">
      <c r="A151" s="3"/>
      <c r="B151" s="3"/>
      <c r="C151" s="3"/>
      <c r="D151" s="5"/>
      <c r="E151" s="5"/>
      <c r="F151" s="3"/>
      <c r="G151" s="7"/>
      <c r="H151" s="3"/>
    </row>
    <row r="152">
      <c r="A152" s="3"/>
      <c r="B152" s="3"/>
      <c r="C152" s="3"/>
      <c r="D152" s="5"/>
      <c r="E152" s="5"/>
      <c r="F152" s="3"/>
      <c r="G152" s="7"/>
      <c r="H152" s="3"/>
    </row>
    <row r="153">
      <c r="A153" s="3"/>
      <c r="B153" s="3"/>
      <c r="C153" s="3"/>
      <c r="D153" s="5"/>
      <c r="E153" s="5"/>
      <c r="F153" s="3"/>
      <c r="G153" s="3"/>
      <c r="H153" s="3"/>
    </row>
    <row r="154">
      <c r="A154" s="3"/>
      <c r="B154" s="3"/>
      <c r="C154" s="3"/>
      <c r="D154" s="5"/>
      <c r="E154" s="5"/>
      <c r="F154" s="3"/>
      <c r="G154" s="7"/>
      <c r="H154" s="3"/>
    </row>
    <row r="155">
      <c r="A155" s="3"/>
      <c r="B155" s="3"/>
      <c r="C155" s="3"/>
      <c r="D155" s="5"/>
      <c r="E155" s="5"/>
      <c r="F155" s="3"/>
      <c r="G155" s="7"/>
      <c r="H155" s="3"/>
    </row>
    <row r="156">
      <c r="A156" s="3"/>
      <c r="B156" s="3"/>
      <c r="C156" s="3"/>
      <c r="D156" s="5"/>
      <c r="E156" s="5"/>
      <c r="F156" s="3"/>
      <c r="G156" s="7"/>
      <c r="H156" s="3"/>
    </row>
    <row r="157">
      <c r="A157" s="3"/>
      <c r="B157" s="3"/>
      <c r="C157" s="3"/>
      <c r="D157" s="5"/>
      <c r="E157" s="5"/>
      <c r="F157" s="3"/>
      <c r="G157" s="7"/>
      <c r="H157" s="3"/>
    </row>
    <row r="158">
      <c r="A158" s="3"/>
      <c r="B158" s="3"/>
      <c r="C158" s="3"/>
      <c r="D158" s="5"/>
      <c r="E158" s="5"/>
      <c r="F158" s="3"/>
      <c r="G158" s="3"/>
      <c r="H158" s="3"/>
    </row>
    <row r="159">
      <c r="A159" s="3"/>
      <c r="B159" s="3"/>
      <c r="C159" s="3"/>
      <c r="D159" s="5"/>
      <c r="E159" s="5"/>
      <c r="F159" s="3"/>
      <c r="G159" s="7"/>
      <c r="H159" s="3"/>
    </row>
    <row r="160">
      <c r="A160" s="3"/>
      <c r="B160" s="3"/>
      <c r="C160" s="3"/>
      <c r="D160" s="5"/>
      <c r="E160" s="5"/>
      <c r="F160" s="3"/>
      <c r="G160" s="7"/>
      <c r="H160" s="3"/>
    </row>
    <row r="161">
      <c r="A161" s="3"/>
      <c r="B161" s="3"/>
      <c r="C161" s="3"/>
      <c r="D161" s="5"/>
      <c r="E161" s="5"/>
      <c r="F161" s="3"/>
      <c r="G161" s="7"/>
      <c r="H161" s="3"/>
    </row>
    <row r="162">
      <c r="A162" s="3"/>
      <c r="B162" s="3"/>
      <c r="C162" s="3"/>
      <c r="D162" s="5"/>
      <c r="E162" s="5"/>
      <c r="F162" s="3"/>
      <c r="G162" s="7"/>
      <c r="H162" s="3"/>
    </row>
    <row r="163">
      <c r="A163" s="3"/>
      <c r="B163" s="3"/>
      <c r="C163" s="3"/>
      <c r="D163" s="5"/>
      <c r="E163" s="5"/>
      <c r="F163" s="3"/>
      <c r="G163" s="3"/>
      <c r="H163" s="3"/>
    </row>
    <row r="164">
      <c r="A164" s="3"/>
      <c r="B164" s="3"/>
      <c r="C164" s="3"/>
      <c r="D164" s="5"/>
      <c r="E164" s="5"/>
      <c r="F164" s="3"/>
      <c r="G164" s="7"/>
      <c r="H164" s="3"/>
    </row>
    <row r="165">
      <c r="A165" s="3"/>
      <c r="B165" s="3"/>
      <c r="C165" s="3"/>
      <c r="D165" s="5"/>
      <c r="E165" s="5"/>
      <c r="F165" s="3"/>
      <c r="G165" s="7"/>
      <c r="H165" s="3"/>
    </row>
    <row r="166">
      <c r="A166" s="3"/>
      <c r="B166" s="3"/>
      <c r="C166" s="3"/>
      <c r="D166" s="5"/>
      <c r="E166" s="5"/>
      <c r="F166" s="3"/>
      <c r="G166" s="7"/>
      <c r="H166" s="3"/>
    </row>
    <row r="167">
      <c r="A167" s="3"/>
      <c r="B167" s="3"/>
      <c r="C167" s="3"/>
      <c r="D167" s="5"/>
      <c r="E167" s="5"/>
      <c r="F167" s="3"/>
      <c r="G167" s="7"/>
      <c r="H167" s="3"/>
    </row>
    <row r="168">
      <c r="A168" s="3"/>
      <c r="B168" s="3"/>
      <c r="C168" s="3"/>
      <c r="D168" s="5"/>
      <c r="E168" s="5"/>
      <c r="F168" s="3"/>
      <c r="G168" s="3"/>
      <c r="H168" s="3"/>
    </row>
    <row r="169">
      <c r="A169" s="3"/>
      <c r="B169" s="3"/>
      <c r="C169" s="3"/>
      <c r="D169" s="5"/>
      <c r="E169" s="5"/>
      <c r="F169" s="3"/>
      <c r="G169" s="7"/>
      <c r="H169" s="3"/>
    </row>
    <row r="170">
      <c r="A170" s="3"/>
      <c r="B170" s="3"/>
      <c r="C170" s="3"/>
      <c r="D170" s="5"/>
      <c r="E170" s="5"/>
      <c r="F170" s="3"/>
      <c r="G170" s="7"/>
      <c r="H170" s="3"/>
    </row>
    <row r="171">
      <c r="A171" s="3"/>
      <c r="B171" s="3"/>
      <c r="C171" s="3"/>
      <c r="D171" s="5"/>
      <c r="E171" s="5"/>
      <c r="F171" s="3"/>
      <c r="G171" s="7"/>
      <c r="H171" s="3"/>
    </row>
    <row r="172">
      <c r="A172" s="3"/>
      <c r="B172" s="3"/>
      <c r="C172" s="3"/>
      <c r="D172" s="5"/>
      <c r="E172" s="5"/>
      <c r="F172" s="3"/>
      <c r="G172" s="7"/>
      <c r="H172" s="3"/>
    </row>
    <row r="173">
      <c r="A173" s="3"/>
      <c r="B173" s="3"/>
      <c r="C173" s="3"/>
      <c r="D173" s="5"/>
      <c r="E173" s="5"/>
      <c r="F173" s="3"/>
      <c r="G173" s="3"/>
      <c r="H173" s="3"/>
    </row>
    <row r="174">
      <c r="A174" s="3"/>
      <c r="B174" s="3"/>
      <c r="C174" s="3"/>
      <c r="D174" s="5"/>
      <c r="E174" s="5"/>
      <c r="F174" s="3"/>
      <c r="G174" s="7"/>
      <c r="H174" s="3"/>
    </row>
    <row r="175">
      <c r="A175" s="3"/>
      <c r="B175" s="3"/>
      <c r="C175" s="3"/>
      <c r="D175" s="5"/>
      <c r="E175" s="5"/>
      <c r="F175" s="3"/>
      <c r="G175" s="7"/>
      <c r="H175" s="3"/>
    </row>
    <row r="176">
      <c r="A176" s="3"/>
      <c r="B176" s="3"/>
      <c r="C176" s="3"/>
      <c r="D176" s="5"/>
      <c r="E176" s="5"/>
      <c r="F176" s="3"/>
      <c r="G176" s="7"/>
      <c r="H176" s="3"/>
    </row>
    <row r="177">
      <c r="A177" s="3"/>
      <c r="B177" s="3"/>
      <c r="C177" s="3"/>
      <c r="D177" s="5"/>
      <c r="E177" s="5"/>
      <c r="F177" s="3"/>
      <c r="G177" s="7"/>
      <c r="H177" s="3"/>
    </row>
    <row r="178">
      <c r="A178" s="3"/>
      <c r="B178" s="3"/>
      <c r="C178" s="3"/>
      <c r="D178" s="5"/>
      <c r="E178" s="5"/>
      <c r="F178" s="3"/>
      <c r="G178" s="3"/>
      <c r="H178" s="3"/>
    </row>
    <row r="179">
      <c r="A179" s="3"/>
      <c r="B179" s="3"/>
      <c r="C179" s="3"/>
      <c r="D179" s="5"/>
      <c r="E179" s="5"/>
      <c r="F179" s="3"/>
      <c r="G179" s="7"/>
      <c r="H179" s="3"/>
    </row>
    <row r="180">
      <c r="A180" s="3"/>
      <c r="B180" s="3"/>
      <c r="C180" s="3"/>
      <c r="D180" s="5"/>
      <c r="E180" s="5"/>
      <c r="F180" s="3"/>
      <c r="G180" s="7"/>
      <c r="H180" s="3"/>
    </row>
    <row r="181">
      <c r="A181" s="3"/>
      <c r="B181" s="3"/>
      <c r="C181" s="3"/>
      <c r="D181" s="5"/>
      <c r="E181" s="5"/>
      <c r="F181" s="3"/>
      <c r="G181" s="7"/>
      <c r="H181" s="3"/>
    </row>
    <row r="182">
      <c r="A182" s="3"/>
      <c r="B182" s="3"/>
      <c r="C182" s="3"/>
      <c r="D182" s="5"/>
      <c r="E182" s="5"/>
      <c r="F182" s="3"/>
      <c r="G182" s="3"/>
      <c r="H182" s="3"/>
    </row>
    <row r="183">
      <c r="A183" s="3"/>
      <c r="B183" s="3"/>
      <c r="C183" s="3"/>
      <c r="D183" s="5"/>
      <c r="E183" s="5"/>
      <c r="F183" s="3"/>
      <c r="G183" s="7"/>
      <c r="H183" s="3"/>
    </row>
    <row r="184">
      <c r="A184" s="3"/>
      <c r="B184" s="3"/>
      <c r="C184" s="3"/>
      <c r="D184" s="5"/>
      <c r="E184" s="5"/>
      <c r="F184" s="3"/>
      <c r="G184" s="7"/>
      <c r="H184" s="3"/>
    </row>
    <row r="185">
      <c r="A185" s="3"/>
      <c r="B185" s="3"/>
      <c r="C185" s="3"/>
      <c r="D185" s="5"/>
      <c r="E185" s="5"/>
      <c r="F185" s="3"/>
      <c r="G185" s="3"/>
      <c r="H185" s="3"/>
    </row>
    <row r="186">
      <c r="A186" s="3"/>
      <c r="B186" s="3"/>
      <c r="C186" s="3"/>
      <c r="D186" s="5"/>
      <c r="E186" s="5"/>
      <c r="F186" s="3"/>
      <c r="G186" s="7"/>
      <c r="H186" s="3"/>
    </row>
    <row r="187">
      <c r="A187" s="3"/>
      <c r="B187" s="3"/>
      <c r="C187" s="3"/>
      <c r="D187" s="5"/>
      <c r="E187" s="5"/>
      <c r="F187" s="3"/>
      <c r="G187" s="7"/>
      <c r="H187" s="3"/>
    </row>
    <row r="188">
      <c r="A188" s="3"/>
      <c r="B188" s="3"/>
      <c r="C188" s="3"/>
      <c r="D188" s="5"/>
      <c r="E188" s="5"/>
      <c r="F188" s="3"/>
      <c r="G188" s="7"/>
      <c r="H188" s="3"/>
    </row>
    <row r="189">
      <c r="A189" s="3"/>
      <c r="B189" s="3"/>
      <c r="C189" s="3"/>
      <c r="D189" s="5"/>
      <c r="E189" s="5"/>
      <c r="F189" s="3"/>
      <c r="G189" s="7"/>
      <c r="H189" s="3"/>
    </row>
    <row r="190">
      <c r="A190" s="3"/>
      <c r="B190" s="3"/>
      <c r="C190" s="3"/>
      <c r="D190" s="5"/>
      <c r="E190" s="5"/>
      <c r="F190" s="3"/>
      <c r="G190" s="3"/>
      <c r="H190" s="3"/>
    </row>
    <row r="191">
      <c r="A191" s="3"/>
      <c r="B191" s="3"/>
      <c r="C191" s="3"/>
      <c r="D191" s="5"/>
      <c r="E191" s="5"/>
      <c r="F191" s="3"/>
      <c r="G191" s="7"/>
      <c r="H191" s="3"/>
    </row>
    <row r="192">
      <c r="A192" s="3"/>
      <c r="B192" s="3"/>
      <c r="C192" s="3"/>
      <c r="D192" s="5"/>
      <c r="E192" s="5"/>
      <c r="F192" s="3"/>
      <c r="G192" s="7"/>
      <c r="H192" s="3"/>
    </row>
    <row r="193">
      <c r="A193" s="3"/>
      <c r="B193" s="3"/>
      <c r="C193" s="3"/>
      <c r="D193" s="5"/>
      <c r="E193" s="5"/>
      <c r="F193" s="3"/>
      <c r="G193" s="7"/>
      <c r="H193" s="3"/>
    </row>
    <row r="194">
      <c r="A194" s="3"/>
      <c r="B194" s="3"/>
      <c r="C194" s="3"/>
      <c r="D194" s="5"/>
      <c r="E194" s="5"/>
      <c r="F194" s="3"/>
      <c r="G194" s="7"/>
      <c r="H194" s="3"/>
    </row>
    <row r="195">
      <c r="A195" s="3"/>
      <c r="B195" s="3"/>
      <c r="C195" s="3"/>
      <c r="D195" s="5"/>
      <c r="E195" s="5"/>
      <c r="F195" s="3"/>
      <c r="G195" s="3"/>
      <c r="H195" s="3"/>
    </row>
    <row r="196">
      <c r="A196" s="3"/>
      <c r="B196" s="3"/>
      <c r="C196" s="3"/>
      <c r="D196" s="5"/>
      <c r="E196" s="5"/>
      <c r="F196" s="3"/>
      <c r="G196" s="7"/>
      <c r="H196" s="3"/>
    </row>
    <row r="197">
      <c r="A197" s="3"/>
      <c r="B197" s="3"/>
      <c r="C197" s="3"/>
      <c r="D197" s="5"/>
      <c r="E197" s="5"/>
      <c r="F197" s="3"/>
      <c r="G197" s="7"/>
      <c r="H197" s="3"/>
    </row>
    <row r="198">
      <c r="A198" s="3"/>
      <c r="B198" s="3"/>
      <c r="C198" s="3"/>
      <c r="D198" s="5"/>
      <c r="E198" s="5"/>
      <c r="F198" s="3"/>
      <c r="G198" s="7"/>
      <c r="H198" s="3"/>
    </row>
    <row r="199">
      <c r="A199" s="3"/>
      <c r="B199" s="3"/>
      <c r="C199" s="3"/>
      <c r="D199" s="5"/>
      <c r="E199" s="5"/>
      <c r="F199" s="3"/>
      <c r="G199" s="7"/>
      <c r="H199" s="3"/>
    </row>
    <row r="200">
      <c r="A200" s="3"/>
      <c r="B200" s="3"/>
      <c r="C200" s="3"/>
      <c r="D200" s="5"/>
      <c r="E200" s="5"/>
      <c r="F200" s="3"/>
      <c r="G200" s="3"/>
      <c r="H200" s="3"/>
    </row>
    <row r="201">
      <c r="A201" s="3"/>
      <c r="B201" s="3"/>
      <c r="C201" s="3"/>
      <c r="D201" s="5"/>
      <c r="E201" s="5"/>
      <c r="F201" s="3"/>
      <c r="G201" s="7"/>
      <c r="H201" s="3"/>
    </row>
    <row r="202">
      <c r="A202" s="3"/>
      <c r="B202" s="3"/>
      <c r="C202" s="3"/>
      <c r="D202" s="5"/>
      <c r="E202" s="5"/>
      <c r="F202" s="3"/>
      <c r="G202" s="7"/>
      <c r="H202" s="3"/>
    </row>
    <row r="203">
      <c r="A203" s="3"/>
      <c r="B203" s="3"/>
      <c r="C203" s="3"/>
      <c r="D203" s="5"/>
      <c r="E203" s="5"/>
      <c r="F203" s="3"/>
      <c r="G203" s="7"/>
      <c r="H203" s="3"/>
    </row>
    <row r="204">
      <c r="A204" s="3"/>
      <c r="B204" s="3"/>
      <c r="C204" s="3"/>
      <c r="D204" s="5"/>
      <c r="E204" s="5"/>
      <c r="F204" s="3"/>
      <c r="G204" s="7"/>
      <c r="H204" s="3"/>
    </row>
    <row r="205">
      <c r="A205" s="3"/>
      <c r="B205" s="3"/>
      <c r="C205" s="3"/>
      <c r="D205" s="5"/>
      <c r="E205" s="5"/>
      <c r="F205" s="3"/>
      <c r="G205" s="3"/>
      <c r="H205" s="3"/>
    </row>
    <row r="206">
      <c r="A206" s="3"/>
      <c r="B206" s="3"/>
      <c r="C206" s="3"/>
      <c r="D206" s="5"/>
      <c r="E206" s="5"/>
      <c r="F206" s="3"/>
      <c r="G206" s="7"/>
      <c r="H206" s="3"/>
    </row>
    <row r="207">
      <c r="A207" s="3"/>
      <c r="B207" s="3"/>
      <c r="C207" s="3"/>
      <c r="D207" s="5"/>
      <c r="E207" s="5"/>
      <c r="F207" s="3"/>
      <c r="G207" s="7"/>
      <c r="H207" s="3"/>
    </row>
    <row r="208">
      <c r="A208" s="3"/>
      <c r="B208" s="3"/>
      <c r="C208" s="3"/>
      <c r="D208" s="5"/>
      <c r="E208" s="5"/>
      <c r="F208" s="3"/>
      <c r="G208" s="7"/>
      <c r="H208" s="3"/>
    </row>
    <row r="209">
      <c r="A209" s="3"/>
      <c r="B209" s="3"/>
      <c r="C209" s="3"/>
      <c r="D209" s="5"/>
      <c r="E209" s="5"/>
      <c r="F209" s="3"/>
      <c r="G209" s="7"/>
      <c r="H209" s="3"/>
    </row>
    <row r="210">
      <c r="A210" s="3"/>
      <c r="B210" s="3"/>
      <c r="C210" s="3"/>
      <c r="D210" s="5"/>
      <c r="E210" s="5"/>
      <c r="F210" s="3"/>
      <c r="G210" s="3"/>
      <c r="H210" s="3"/>
    </row>
    <row r="211">
      <c r="A211" s="3"/>
      <c r="B211" s="3"/>
      <c r="C211" s="3"/>
      <c r="D211" s="5"/>
      <c r="E211" s="5"/>
      <c r="F211" s="3"/>
      <c r="G211" s="7"/>
      <c r="H211" s="3"/>
    </row>
    <row r="212">
      <c r="A212" s="3"/>
      <c r="B212" s="3"/>
      <c r="C212" s="3"/>
      <c r="D212" s="5"/>
      <c r="E212" s="5"/>
      <c r="F212" s="3"/>
      <c r="G212" s="7"/>
      <c r="H212" s="3"/>
    </row>
    <row r="213">
      <c r="A213" s="3"/>
      <c r="B213" s="3"/>
      <c r="C213" s="3"/>
      <c r="D213" s="5"/>
      <c r="E213" s="5"/>
      <c r="F213" s="3"/>
      <c r="G213" s="7"/>
      <c r="H213" s="3"/>
    </row>
    <row r="214">
      <c r="A214" s="3"/>
      <c r="B214" s="3"/>
      <c r="C214" s="3"/>
      <c r="D214" s="5"/>
      <c r="E214" s="5"/>
      <c r="F214" s="3"/>
      <c r="G214" s="7"/>
      <c r="H214" s="3"/>
    </row>
    <row r="215">
      <c r="A215" s="3"/>
      <c r="B215" s="3"/>
      <c r="C215" s="3"/>
      <c r="D215" s="5"/>
      <c r="E215" s="5"/>
      <c r="F215" s="3"/>
      <c r="G215" s="3"/>
      <c r="H215" s="3"/>
    </row>
    <row r="216">
      <c r="A216" s="3"/>
      <c r="B216" s="3"/>
      <c r="C216" s="3"/>
      <c r="D216" s="5"/>
      <c r="E216" s="5"/>
      <c r="F216" s="3"/>
      <c r="G216" s="7"/>
      <c r="H216" s="3"/>
    </row>
    <row r="217">
      <c r="A217" s="3"/>
      <c r="B217" s="3"/>
      <c r="C217" s="3"/>
      <c r="D217" s="5"/>
      <c r="E217" s="5"/>
      <c r="F217" s="3"/>
      <c r="G217" s="7"/>
      <c r="H217" s="3"/>
    </row>
    <row r="218">
      <c r="A218" s="3"/>
      <c r="B218" s="3"/>
      <c r="C218" s="3"/>
      <c r="D218" s="5"/>
      <c r="E218" s="5"/>
      <c r="F218" s="3"/>
      <c r="G218" s="7"/>
      <c r="H218" s="3"/>
    </row>
    <row r="219">
      <c r="A219" s="3"/>
      <c r="B219" s="3"/>
      <c r="C219" s="3"/>
      <c r="D219" s="5"/>
      <c r="E219" s="5"/>
      <c r="F219" s="3"/>
      <c r="G219" s="7"/>
      <c r="H219" s="3"/>
    </row>
    <row r="220">
      <c r="A220" s="3"/>
      <c r="B220" s="3"/>
      <c r="C220" s="3"/>
      <c r="D220" s="5"/>
      <c r="E220" s="5"/>
      <c r="F220" s="3"/>
      <c r="G220" s="3"/>
      <c r="H220" s="3"/>
    </row>
    <row r="221">
      <c r="A221" s="3"/>
      <c r="B221" s="3"/>
      <c r="C221" s="3"/>
      <c r="D221" s="5"/>
      <c r="E221" s="5"/>
      <c r="F221" s="3"/>
      <c r="G221" s="7"/>
      <c r="H221" s="3"/>
    </row>
    <row r="222">
      <c r="A222" s="3"/>
      <c r="B222" s="3"/>
      <c r="C222" s="3"/>
      <c r="D222" s="5"/>
      <c r="E222" s="5"/>
      <c r="F222" s="3"/>
      <c r="G222" s="7"/>
      <c r="H222" s="3"/>
    </row>
    <row r="223">
      <c r="A223" s="3"/>
      <c r="B223" s="3"/>
      <c r="C223" s="3"/>
      <c r="D223" s="5"/>
      <c r="E223" s="5"/>
      <c r="F223" s="3"/>
      <c r="G223" s="7"/>
      <c r="H223" s="3"/>
    </row>
    <row r="224">
      <c r="A224" s="3"/>
      <c r="B224" s="3"/>
      <c r="C224" s="3"/>
      <c r="D224" s="5"/>
      <c r="E224" s="5"/>
      <c r="F224" s="3"/>
      <c r="G224" s="7"/>
      <c r="H224" s="3"/>
    </row>
    <row r="225">
      <c r="A225" s="3"/>
      <c r="B225" s="3"/>
      <c r="C225" s="3"/>
      <c r="D225" s="5"/>
      <c r="E225" s="5"/>
      <c r="F225" s="3"/>
      <c r="G225" s="3"/>
      <c r="H225" s="3"/>
    </row>
    <row r="226">
      <c r="A226" s="3"/>
      <c r="B226" s="3"/>
      <c r="C226" s="3"/>
      <c r="D226" s="5"/>
      <c r="E226" s="5"/>
      <c r="F226" s="3"/>
      <c r="G226" s="7"/>
      <c r="H226" s="3"/>
    </row>
    <row r="227">
      <c r="A227" s="3"/>
      <c r="B227" s="3"/>
      <c r="C227" s="3"/>
      <c r="D227" s="5"/>
      <c r="E227" s="5"/>
      <c r="F227" s="3"/>
      <c r="G227" s="7"/>
      <c r="H227" s="3"/>
    </row>
    <row r="228">
      <c r="A228" s="3"/>
      <c r="B228" s="3"/>
      <c r="C228" s="3"/>
      <c r="D228" s="5"/>
      <c r="E228" s="5"/>
      <c r="F228" s="3"/>
      <c r="G228" s="7"/>
      <c r="H228" s="3"/>
    </row>
    <row r="229">
      <c r="A229" s="3"/>
      <c r="B229" s="3"/>
      <c r="C229" s="3"/>
      <c r="D229" s="5"/>
      <c r="E229" s="5"/>
      <c r="F229" s="3"/>
      <c r="G229" s="7"/>
      <c r="H229" s="3"/>
    </row>
    <row r="230">
      <c r="A230" s="3"/>
      <c r="B230" s="3"/>
      <c r="C230" s="3"/>
      <c r="D230" s="5"/>
      <c r="E230" s="5"/>
      <c r="F230" s="3"/>
      <c r="G230" s="3"/>
      <c r="H230" s="3"/>
    </row>
    <row r="231">
      <c r="A231" s="3"/>
      <c r="B231" s="3"/>
      <c r="C231" s="3"/>
      <c r="D231" s="5"/>
      <c r="E231" s="5"/>
      <c r="F231" s="3"/>
      <c r="G231" s="7"/>
      <c r="H231" s="3"/>
    </row>
    <row r="232">
      <c r="A232" s="3"/>
      <c r="B232" s="3"/>
      <c r="C232" s="3"/>
      <c r="D232" s="5"/>
      <c r="E232" s="5"/>
      <c r="F232" s="3"/>
      <c r="G232" s="7"/>
      <c r="H232" s="3"/>
    </row>
    <row r="233">
      <c r="A233" s="3"/>
      <c r="B233" s="3"/>
      <c r="C233" s="3"/>
      <c r="D233" s="5"/>
      <c r="E233" s="5"/>
      <c r="F233" s="3"/>
      <c r="G233" s="7"/>
      <c r="H233" s="3"/>
    </row>
    <row r="234">
      <c r="A234" s="3"/>
      <c r="B234" s="3"/>
      <c r="C234" s="3"/>
      <c r="D234" s="5"/>
      <c r="E234" s="5"/>
      <c r="F234" s="3"/>
      <c r="G234" s="7"/>
      <c r="H234" s="3"/>
    </row>
    <row r="235">
      <c r="A235" s="3"/>
      <c r="B235" s="3"/>
      <c r="C235" s="3"/>
      <c r="D235" s="5"/>
      <c r="E235" s="5"/>
      <c r="F235" s="3"/>
      <c r="G235" s="3"/>
      <c r="H235" s="3"/>
    </row>
    <row r="236">
      <c r="A236" s="3"/>
      <c r="B236" s="3"/>
      <c r="C236" s="3"/>
      <c r="D236" s="5"/>
      <c r="E236" s="5"/>
      <c r="F236" s="3"/>
      <c r="G236" s="7"/>
      <c r="H236" s="3"/>
    </row>
    <row r="237">
      <c r="A237" s="3"/>
      <c r="B237" s="3"/>
      <c r="C237" s="3"/>
      <c r="D237" s="5"/>
      <c r="E237" s="5"/>
      <c r="F237" s="3"/>
      <c r="G237" s="7"/>
      <c r="H237" s="3"/>
    </row>
    <row r="238">
      <c r="A238" s="3"/>
      <c r="B238" s="3"/>
      <c r="C238" s="3"/>
      <c r="D238" s="5"/>
      <c r="E238" s="5"/>
      <c r="F238" s="3"/>
      <c r="G238" s="7"/>
      <c r="H238" s="3"/>
    </row>
    <row r="239">
      <c r="A239" s="3"/>
      <c r="B239" s="3"/>
      <c r="C239" s="3"/>
      <c r="D239" s="5"/>
      <c r="E239" s="5"/>
      <c r="F239" s="3"/>
      <c r="G239" s="7"/>
      <c r="H239" s="3"/>
    </row>
    <row r="240">
      <c r="A240" s="3"/>
      <c r="B240" s="3"/>
      <c r="C240" s="3"/>
      <c r="D240" s="5"/>
      <c r="E240" s="5"/>
      <c r="F240" s="3"/>
      <c r="G240" s="3"/>
      <c r="H240" s="3"/>
    </row>
    <row r="241">
      <c r="A241" s="3"/>
      <c r="B241" s="3"/>
      <c r="C241" s="3"/>
      <c r="D241" s="5"/>
      <c r="E241" s="5"/>
      <c r="F241" s="3"/>
      <c r="G241" s="7"/>
      <c r="H241" s="3"/>
    </row>
    <row r="242">
      <c r="A242" s="3"/>
      <c r="B242" s="3"/>
      <c r="C242" s="3"/>
      <c r="D242" s="5"/>
      <c r="E242" s="5"/>
      <c r="F242" s="3"/>
      <c r="G242" s="7"/>
      <c r="H242" s="3"/>
    </row>
    <row r="243">
      <c r="A243" s="3"/>
      <c r="B243" s="3"/>
      <c r="C243" s="3"/>
      <c r="D243" s="5"/>
      <c r="E243" s="5"/>
      <c r="F243" s="3"/>
      <c r="G243" s="7"/>
      <c r="H243" s="3"/>
    </row>
    <row r="244">
      <c r="A244" s="3"/>
      <c r="B244" s="3"/>
      <c r="C244" s="3"/>
      <c r="D244" s="5"/>
      <c r="E244" s="5"/>
      <c r="F244" s="3"/>
      <c r="G244" s="7"/>
      <c r="H244" s="3"/>
    </row>
    <row r="245">
      <c r="A245" s="3"/>
      <c r="B245" s="3"/>
      <c r="C245" s="3"/>
      <c r="D245" s="5"/>
      <c r="E245" s="5"/>
      <c r="F245" s="3"/>
      <c r="G245" s="3"/>
      <c r="H245" s="3"/>
    </row>
    <row r="246">
      <c r="A246" s="3"/>
      <c r="B246" s="3"/>
      <c r="C246" s="3"/>
      <c r="D246" s="5"/>
      <c r="E246" s="5"/>
      <c r="F246" s="3"/>
      <c r="G246" s="7"/>
      <c r="H246" s="3"/>
    </row>
    <row r="247">
      <c r="A247" s="3"/>
      <c r="B247" s="3"/>
      <c r="C247" s="3"/>
      <c r="D247" s="5"/>
      <c r="E247" s="5"/>
      <c r="F247" s="3"/>
      <c r="G247" s="7"/>
      <c r="H247" s="3"/>
    </row>
    <row r="248">
      <c r="A248" s="3"/>
      <c r="B248" s="3"/>
      <c r="C248" s="3"/>
      <c r="D248" s="5"/>
      <c r="E248" s="5"/>
      <c r="F248" s="3"/>
      <c r="G248" s="7"/>
      <c r="H248" s="3"/>
    </row>
    <row r="249">
      <c r="A249" s="3"/>
      <c r="B249" s="3"/>
      <c r="C249" s="3"/>
      <c r="D249" s="5"/>
      <c r="E249" s="5"/>
      <c r="F249" s="3"/>
      <c r="G249" s="7"/>
      <c r="H249" s="3"/>
    </row>
    <row r="250">
      <c r="A250" s="3"/>
      <c r="B250" s="3"/>
      <c r="C250" s="3"/>
      <c r="D250" s="5"/>
      <c r="E250" s="5"/>
      <c r="F250" s="3"/>
      <c r="G250" s="3"/>
      <c r="H250" s="3"/>
    </row>
    <row r="251">
      <c r="A251" s="3"/>
      <c r="B251" s="3"/>
      <c r="C251" s="3"/>
      <c r="D251" s="5"/>
      <c r="E251" s="5"/>
      <c r="F251" s="3"/>
      <c r="G251" s="7"/>
      <c r="H251" s="3"/>
    </row>
    <row r="252">
      <c r="A252" s="3"/>
      <c r="B252" s="3"/>
      <c r="C252" s="3"/>
      <c r="D252" s="5"/>
      <c r="E252" s="5"/>
      <c r="F252" s="3"/>
      <c r="G252" s="7"/>
      <c r="H252" s="3"/>
    </row>
    <row r="253">
      <c r="A253" s="3"/>
      <c r="B253" s="3"/>
      <c r="C253" s="3"/>
      <c r="D253" s="5"/>
      <c r="E253" s="5"/>
      <c r="F253" s="3"/>
      <c r="G253" s="7"/>
      <c r="H253" s="3"/>
    </row>
    <row r="254">
      <c r="A254" s="3"/>
      <c r="B254" s="3"/>
      <c r="C254" s="3"/>
      <c r="D254" s="5"/>
      <c r="E254" s="5"/>
      <c r="F254" s="3"/>
      <c r="G254" s="7"/>
      <c r="H254" s="3"/>
    </row>
    <row r="255">
      <c r="A255" s="3"/>
      <c r="B255" s="3"/>
      <c r="C255" s="3"/>
      <c r="D255" s="5"/>
      <c r="E255" s="5"/>
      <c r="F255" s="3"/>
      <c r="G255" s="3"/>
      <c r="H255" s="3"/>
    </row>
    <row r="256">
      <c r="A256" s="3"/>
      <c r="B256" s="3"/>
      <c r="C256" s="3"/>
      <c r="D256" s="5"/>
      <c r="E256" s="5"/>
      <c r="F256" s="3"/>
      <c r="G256" s="7"/>
      <c r="H256" s="3"/>
    </row>
    <row r="257">
      <c r="A257" s="3"/>
      <c r="B257" s="3"/>
      <c r="C257" s="3"/>
      <c r="D257" s="5"/>
      <c r="E257" s="5"/>
      <c r="F257" s="3"/>
      <c r="G257" s="7"/>
      <c r="H257" s="3"/>
    </row>
    <row r="258">
      <c r="A258" s="3"/>
      <c r="B258" s="3"/>
      <c r="C258" s="3"/>
      <c r="D258" s="5"/>
      <c r="E258" s="5"/>
      <c r="F258" s="3"/>
      <c r="G258" s="7"/>
      <c r="H258" s="3"/>
    </row>
    <row r="259">
      <c r="A259" s="3"/>
      <c r="B259" s="3"/>
      <c r="C259" s="3"/>
      <c r="D259" s="5"/>
      <c r="E259" s="5"/>
      <c r="F259" s="3"/>
      <c r="G259" s="7"/>
      <c r="H259" s="3"/>
    </row>
    <row r="260">
      <c r="A260" s="3"/>
      <c r="B260" s="3"/>
      <c r="C260" s="3"/>
      <c r="D260" s="5"/>
      <c r="E260" s="5"/>
      <c r="F260" s="3"/>
      <c r="G260" s="3"/>
      <c r="H260" s="3"/>
    </row>
    <row r="261">
      <c r="A261" s="3"/>
      <c r="B261" s="3"/>
      <c r="C261" s="3"/>
      <c r="D261" s="5"/>
      <c r="E261" s="5"/>
      <c r="F261" s="3"/>
      <c r="G261" s="7"/>
      <c r="H261" s="3"/>
    </row>
    <row r="262">
      <c r="A262" s="3"/>
      <c r="B262" s="3"/>
      <c r="C262" s="3"/>
      <c r="D262" s="5"/>
      <c r="E262" s="5"/>
      <c r="F262" s="3"/>
      <c r="G262" s="7"/>
      <c r="H262" s="3"/>
    </row>
    <row r="263">
      <c r="A263" s="3"/>
      <c r="B263" s="3"/>
      <c r="C263" s="3"/>
      <c r="D263" s="5"/>
      <c r="E263" s="5"/>
      <c r="F263" s="3"/>
      <c r="G263" s="7"/>
      <c r="H263" s="3"/>
    </row>
    <row r="264">
      <c r="A264" s="3"/>
      <c r="B264" s="3"/>
      <c r="C264" s="3"/>
      <c r="D264" s="5"/>
      <c r="E264" s="5"/>
      <c r="F264" s="3"/>
      <c r="G264" s="7"/>
      <c r="H264" s="3"/>
    </row>
    <row r="265">
      <c r="A265" s="3"/>
      <c r="B265" s="3"/>
      <c r="C265" s="3"/>
      <c r="D265" s="5"/>
      <c r="E265" s="5"/>
      <c r="F265" s="3"/>
      <c r="G265" s="3"/>
      <c r="H265" s="3"/>
    </row>
    <row r="266">
      <c r="A266" s="3"/>
      <c r="B266" s="3"/>
      <c r="C266" s="3"/>
      <c r="D266" s="5"/>
      <c r="E266" s="5"/>
      <c r="F266" s="3"/>
      <c r="G266" s="7"/>
      <c r="H266" s="3"/>
    </row>
    <row r="267">
      <c r="A267" s="3"/>
      <c r="B267" s="3"/>
      <c r="C267" s="3"/>
      <c r="D267" s="5"/>
      <c r="E267" s="5"/>
      <c r="F267" s="3"/>
      <c r="G267" s="7"/>
      <c r="H267" s="3"/>
    </row>
    <row r="268">
      <c r="A268" s="3"/>
      <c r="B268" s="3"/>
      <c r="C268" s="3"/>
      <c r="D268" s="5"/>
      <c r="E268" s="5"/>
      <c r="F268" s="3"/>
      <c r="G268" s="7"/>
      <c r="H268" s="3"/>
    </row>
    <row r="269">
      <c r="A269" s="3"/>
      <c r="B269" s="3"/>
      <c r="C269" s="3"/>
      <c r="D269" s="5"/>
      <c r="E269" s="5"/>
      <c r="F269" s="3"/>
      <c r="G269" s="7"/>
      <c r="H269" s="3"/>
    </row>
    <row r="270">
      <c r="A270" s="3"/>
      <c r="B270" s="3"/>
      <c r="C270" s="3"/>
      <c r="D270" s="5"/>
      <c r="E270" s="5"/>
      <c r="F270" s="3"/>
      <c r="G270" s="3"/>
      <c r="H270" s="3"/>
    </row>
    <row r="271">
      <c r="A271" s="3"/>
      <c r="B271" s="3"/>
      <c r="C271" s="3"/>
      <c r="D271" s="5"/>
      <c r="E271" s="5"/>
      <c r="F271" s="3"/>
      <c r="G271" s="7"/>
      <c r="H271" s="3"/>
    </row>
    <row r="272">
      <c r="A272" s="3"/>
      <c r="B272" s="3"/>
      <c r="C272" s="3"/>
      <c r="D272" s="5"/>
      <c r="E272" s="5"/>
      <c r="F272" s="3"/>
      <c r="G272" s="7"/>
      <c r="H272" s="3"/>
    </row>
    <row r="273">
      <c r="A273" s="3"/>
      <c r="B273" s="3"/>
      <c r="C273" s="3"/>
      <c r="D273" s="5"/>
      <c r="E273" s="5"/>
      <c r="F273" s="3"/>
      <c r="G273" s="7"/>
      <c r="H273" s="3"/>
    </row>
    <row r="274">
      <c r="A274" s="3"/>
      <c r="B274" s="3"/>
      <c r="C274" s="3"/>
      <c r="D274" s="5"/>
      <c r="E274" s="5"/>
      <c r="F274" s="3"/>
      <c r="G274" s="7"/>
      <c r="H274" s="3"/>
    </row>
    <row r="275">
      <c r="A275" s="3"/>
      <c r="B275" s="3"/>
      <c r="C275" s="3"/>
      <c r="D275" s="5"/>
      <c r="E275" s="5"/>
      <c r="F275" s="3"/>
      <c r="G275" s="3"/>
      <c r="H275" s="3"/>
    </row>
    <row r="276">
      <c r="A276" s="3"/>
      <c r="B276" s="3"/>
      <c r="C276" s="3"/>
      <c r="D276" s="5"/>
      <c r="E276" s="5"/>
      <c r="F276" s="3"/>
      <c r="G276" s="7"/>
      <c r="H276" s="3"/>
    </row>
    <row r="277">
      <c r="A277" s="3"/>
      <c r="B277" s="3"/>
      <c r="C277" s="3"/>
      <c r="D277" s="5"/>
      <c r="E277" s="5"/>
      <c r="F277" s="3"/>
      <c r="G277" s="7"/>
      <c r="H277" s="3"/>
    </row>
    <row r="278">
      <c r="A278" s="3"/>
      <c r="B278" s="3"/>
      <c r="C278" s="3"/>
      <c r="D278" s="5"/>
      <c r="E278" s="5"/>
      <c r="F278" s="3"/>
      <c r="G278" s="7"/>
      <c r="H278" s="3"/>
    </row>
    <row r="279">
      <c r="A279" s="3"/>
      <c r="B279" s="3"/>
      <c r="C279" s="3"/>
      <c r="D279" s="5"/>
      <c r="E279" s="5"/>
      <c r="F279" s="3"/>
      <c r="G279" s="7"/>
      <c r="H279" s="3"/>
    </row>
    <row r="280">
      <c r="A280" s="3"/>
      <c r="B280" s="3"/>
      <c r="C280" s="3"/>
      <c r="D280" s="5"/>
      <c r="E280" s="5"/>
      <c r="F280" s="3"/>
      <c r="G280" s="3"/>
      <c r="H280" s="3"/>
    </row>
    <row r="281">
      <c r="A281" s="3"/>
      <c r="B281" s="3"/>
      <c r="C281" s="3"/>
      <c r="D281" s="5"/>
      <c r="E281" s="5"/>
      <c r="F281" s="3"/>
      <c r="G281" s="7"/>
      <c r="H281" s="3"/>
    </row>
    <row r="282">
      <c r="A282" s="3"/>
      <c r="B282" s="3"/>
      <c r="C282" s="3"/>
      <c r="D282" s="5"/>
      <c r="E282" s="5"/>
      <c r="F282" s="3"/>
      <c r="G282" s="7"/>
      <c r="H282" s="3"/>
    </row>
    <row r="283">
      <c r="A283" s="3"/>
      <c r="B283" s="3"/>
      <c r="C283" s="3"/>
      <c r="D283" s="5"/>
      <c r="E283" s="5"/>
      <c r="F283" s="3"/>
      <c r="G283" s="7"/>
      <c r="H283" s="3"/>
    </row>
    <row r="284">
      <c r="A284" s="3"/>
      <c r="B284" s="3"/>
      <c r="C284" s="3"/>
      <c r="D284" s="5"/>
      <c r="E284" s="5"/>
      <c r="F284" s="3"/>
      <c r="G284" s="7"/>
      <c r="H284" s="3"/>
    </row>
    <row r="285">
      <c r="A285" s="3"/>
      <c r="B285" s="3"/>
      <c r="C285" s="3"/>
      <c r="D285" s="5"/>
      <c r="E285" s="5"/>
      <c r="F285" s="3"/>
      <c r="G285" s="3"/>
      <c r="H285" s="3"/>
    </row>
    <row r="286">
      <c r="A286" s="3"/>
      <c r="B286" s="3"/>
      <c r="C286" s="3"/>
      <c r="D286" s="5"/>
      <c r="E286" s="5"/>
      <c r="F286" s="3"/>
      <c r="G286" s="7"/>
      <c r="H286" s="3"/>
    </row>
    <row r="287">
      <c r="A287" s="3"/>
      <c r="B287" s="3"/>
      <c r="C287" s="3"/>
      <c r="D287" s="5"/>
      <c r="E287" s="5"/>
      <c r="F287" s="3"/>
      <c r="G287" s="7"/>
      <c r="H287" s="3"/>
    </row>
    <row r="288">
      <c r="A288" s="3"/>
      <c r="B288" s="3"/>
      <c r="C288" s="3"/>
      <c r="D288" s="5"/>
      <c r="E288" s="5"/>
      <c r="F288" s="3"/>
      <c r="G288" s="7"/>
      <c r="H288" s="3"/>
    </row>
    <row r="289">
      <c r="A289" s="3"/>
      <c r="B289" s="3"/>
      <c r="C289" s="3"/>
      <c r="D289" s="5"/>
      <c r="E289" s="5"/>
      <c r="F289" s="3"/>
      <c r="G289" s="7"/>
      <c r="H289" s="3"/>
    </row>
    <row r="290">
      <c r="A290" s="3"/>
      <c r="B290" s="3"/>
      <c r="C290" s="3"/>
      <c r="D290" s="5"/>
      <c r="E290" s="5"/>
      <c r="F290" s="3"/>
      <c r="G290" s="3"/>
      <c r="H290" s="3"/>
    </row>
    <row r="291">
      <c r="A291" s="3"/>
      <c r="B291" s="3"/>
      <c r="C291" s="3"/>
      <c r="D291" s="5"/>
      <c r="E291" s="5"/>
      <c r="F291" s="3"/>
      <c r="G291" s="7"/>
      <c r="H291" s="3"/>
    </row>
    <row r="292">
      <c r="A292" s="3"/>
      <c r="B292" s="3"/>
      <c r="C292" s="3"/>
      <c r="D292" s="5"/>
      <c r="E292" s="5"/>
      <c r="F292" s="3"/>
      <c r="G292" s="7"/>
      <c r="H292" s="3"/>
    </row>
    <row r="293">
      <c r="A293" s="3"/>
      <c r="B293" s="3"/>
      <c r="C293" s="3"/>
      <c r="D293" s="5"/>
      <c r="E293" s="5"/>
      <c r="F293" s="3"/>
      <c r="G293" s="7"/>
      <c r="H293" s="3"/>
    </row>
    <row r="294">
      <c r="A294" s="3"/>
      <c r="B294" s="3"/>
      <c r="C294" s="3"/>
      <c r="D294" s="5"/>
      <c r="E294" s="5"/>
      <c r="F294" s="3"/>
      <c r="G294" s="7"/>
      <c r="H294" s="3"/>
    </row>
    <row r="295">
      <c r="A295" s="3"/>
      <c r="B295" s="3"/>
      <c r="C295" s="3"/>
      <c r="D295" s="5"/>
      <c r="E295" s="5"/>
      <c r="F295" s="3"/>
      <c r="G295" s="3"/>
      <c r="H295" s="3"/>
    </row>
    <row r="296">
      <c r="A296" s="3"/>
      <c r="B296" s="3"/>
      <c r="C296" s="3"/>
      <c r="D296" s="5"/>
      <c r="E296" s="5"/>
      <c r="F296" s="3"/>
      <c r="G296" s="7"/>
      <c r="H296" s="3"/>
    </row>
    <row r="297">
      <c r="A297" s="3"/>
      <c r="B297" s="3"/>
      <c r="C297" s="3"/>
      <c r="D297" s="5"/>
      <c r="E297" s="5"/>
      <c r="F297" s="3"/>
      <c r="G297" s="7"/>
      <c r="H297" s="3"/>
    </row>
    <row r="298">
      <c r="A298" s="3"/>
      <c r="B298" s="3"/>
      <c r="C298" s="3"/>
      <c r="D298" s="5"/>
      <c r="E298" s="5"/>
      <c r="F298" s="3"/>
      <c r="G298" s="7"/>
      <c r="H298" s="3"/>
    </row>
    <row r="299">
      <c r="A299" s="3"/>
      <c r="B299" s="3"/>
      <c r="C299" s="3"/>
      <c r="D299" s="5"/>
      <c r="E299" s="5"/>
      <c r="F299" s="3"/>
      <c r="G299" s="7"/>
      <c r="H299" s="3"/>
    </row>
    <row r="300">
      <c r="A300" s="3"/>
      <c r="B300" s="3"/>
      <c r="C300" s="3"/>
      <c r="D300" s="5"/>
      <c r="E300" s="5"/>
      <c r="F300" s="3"/>
      <c r="G300" s="3"/>
      <c r="H300" s="3"/>
    </row>
    <row r="301">
      <c r="A301" s="3"/>
      <c r="B301" s="3"/>
      <c r="C301" s="3"/>
      <c r="D301" s="5"/>
      <c r="E301" s="5"/>
      <c r="F301" s="3"/>
      <c r="G301" s="7"/>
      <c r="H301" s="3"/>
    </row>
    <row r="302">
      <c r="A302" s="3"/>
      <c r="B302" s="3"/>
      <c r="C302" s="3"/>
      <c r="D302" s="5"/>
      <c r="E302" s="5"/>
      <c r="F302" s="3"/>
      <c r="G302" s="7"/>
      <c r="H302" s="3"/>
    </row>
    <row r="303">
      <c r="A303" s="3"/>
      <c r="B303" s="3"/>
      <c r="C303" s="3"/>
      <c r="D303" s="5"/>
      <c r="E303" s="5"/>
      <c r="F303" s="3"/>
      <c r="G303" s="7"/>
      <c r="H303" s="3"/>
    </row>
    <row r="304">
      <c r="A304" s="3"/>
      <c r="B304" s="3"/>
      <c r="C304" s="3"/>
      <c r="D304" s="5"/>
      <c r="E304" s="5"/>
      <c r="F304" s="3"/>
      <c r="G304" s="7"/>
      <c r="H304" s="3"/>
    </row>
    <row r="305">
      <c r="A305" s="3"/>
      <c r="B305" s="3"/>
      <c r="C305" s="3"/>
      <c r="D305" s="5"/>
      <c r="E305" s="5"/>
      <c r="F305" s="3"/>
      <c r="G305" s="3"/>
      <c r="H305" s="3"/>
    </row>
    <row r="306">
      <c r="A306" s="3"/>
      <c r="B306" s="3"/>
      <c r="C306" s="3"/>
      <c r="D306" s="5"/>
      <c r="E306" s="5"/>
      <c r="F306" s="3"/>
      <c r="G306" s="7"/>
      <c r="H306" s="3"/>
    </row>
    <row r="307">
      <c r="A307" s="3"/>
      <c r="B307" s="3"/>
      <c r="C307" s="3"/>
      <c r="D307" s="5"/>
      <c r="E307" s="5"/>
      <c r="F307" s="3"/>
      <c r="G307" s="7"/>
      <c r="H307" s="3"/>
    </row>
    <row r="308">
      <c r="A308" s="3"/>
      <c r="B308" s="3"/>
      <c r="C308" s="3"/>
      <c r="D308" s="5"/>
      <c r="E308" s="5"/>
      <c r="F308" s="3"/>
      <c r="G308" s="7"/>
      <c r="H308" s="3"/>
    </row>
    <row r="309">
      <c r="A309" s="3"/>
      <c r="B309" s="3"/>
      <c r="C309" s="3"/>
      <c r="D309" s="5"/>
      <c r="E309" s="5"/>
      <c r="F309" s="3"/>
      <c r="G309" s="7"/>
      <c r="H309" s="3"/>
    </row>
    <row r="310">
      <c r="A310" s="3"/>
      <c r="B310" s="3"/>
      <c r="C310" s="3"/>
      <c r="D310" s="5"/>
      <c r="E310" s="5"/>
      <c r="F310" s="3"/>
      <c r="G310" s="3"/>
      <c r="H310" s="3"/>
    </row>
    <row r="311">
      <c r="A311" s="3"/>
      <c r="B311" s="3"/>
      <c r="C311" s="3"/>
      <c r="D311" s="5"/>
      <c r="E311" s="5"/>
      <c r="F311" s="3"/>
      <c r="G311" s="7"/>
      <c r="H311" s="3"/>
    </row>
    <row r="312">
      <c r="A312" s="3"/>
      <c r="B312" s="3"/>
      <c r="C312" s="3"/>
      <c r="D312" s="5"/>
      <c r="E312" s="5"/>
      <c r="F312" s="3"/>
      <c r="G312" s="7"/>
      <c r="H312" s="3"/>
    </row>
    <row r="313">
      <c r="A313" s="3"/>
      <c r="B313" s="3"/>
      <c r="C313" s="3"/>
      <c r="D313" s="5"/>
      <c r="E313" s="5"/>
      <c r="F313" s="3"/>
      <c r="G313" s="7"/>
      <c r="H313" s="3"/>
    </row>
    <row r="314">
      <c r="A314" s="3"/>
      <c r="B314" s="3"/>
      <c r="C314" s="3"/>
      <c r="D314" s="5"/>
      <c r="E314" s="5"/>
      <c r="F314" s="3"/>
      <c r="G314" s="7"/>
      <c r="H314" s="3"/>
    </row>
    <row r="315">
      <c r="A315" s="3"/>
      <c r="B315" s="3"/>
      <c r="C315" s="3"/>
      <c r="D315" s="5"/>
      <c r="E315" s="5"/>
      <c r="F315" s="3"/>
      <c r="G315" s="3"/>
      <c r="H315" s="3"/>
    </row>
    <row r="316">
      <c r="A316" s="3"/>
      <c r="B316" s="3"/>
      <c r="C316" s="3"/>
      <c r="D316" s="5"/>
      <c r="E316" s="5"/>
      <c r="F316" s="3"/>
      <c r="G316" s="7"/>
      <c r="H316" s="3"/>
    </row>
    <row r="317">
      <c r="A317" s="3"/>
      <c r="B317" s="3"/>
      <c r="C317" s="3"/>
      <c r="D317" s="5"/>
      <c r="E317" s="5"/>
      <c r="F317" s="3"/>
      <c r="G317" s="7"/>
      <c r="H317" s="3"/>
    </row>
    <row r="318">
      <c r="A318" s="3"/>
      <c r="B318" s="3"/>
      <c r="C318" s="3"/>
      <c r="D318" s="5"/>
      <c r="E318" s="5"/>
      <c r="F318" s="3"/>
      <c r="G318" s="7"/>
      <c r="H318" s="3"/>
    </row>
    <row r="319">
      <c r="A319" s="3"/>
      <c r="B319" s="3"/>
      <c r="C319" s="3"/>
      <c r="D319" s="5"/>
      <c r="E319" s="5"/>
      <c r="F319" s="3"/>
      <c r="G319" s="7"/>
      <c r="H319" s="3"/>
    </row>
    <row r="320">
      <c r="A320" s="3"/>
      <c r="B320" s="3"/>
      <c r="C320" s="3"/>
      <c r="D320" s="5"/>
      <c r="E320" s="5"/>
      <c r="F320" s="3"/>
      <c r="G320" s="3"/>
      <c r="H320" s="3"/>
    </row>
    <row r="321">
      <c r="A321" s="3"/>
      <c r="B321" s="3"/>
      <c r="C321" s="3"/>
      <c r="D321" s="5"/>
      <c r="E321" s="5"/>
      <c r="F321" s="3"/>
      <c r="G321" s="7"/>
      <c r="H321" s="3"/>
    </row>
    <row r="322">
      <c r="A322" s="3"/>
      <c r="B322" s="3"/>
      <c r="C322" s="3"/>
      <c r="D322" s="5"/>
      <c r="E322" s="5"/>
      <c r="F322" s="3"/>
      <c r="G322" s="7"/>
      <c r="H322" s="3"/>
    </row>
    <row r="323">
      <c r="A323" s="3"/>
      <c r="B323" s="3"/>
      <c r="C323" s="3"/>
      <c r="D323" s="5"/>
      <c r="E323" s="5"/>
      <c r="F323" s="3"/>
      <c r="G323" s="7"/>
      <c r="H323" s="3"/>
    </row>
    <row r="324">
      <c r="A324" s="3"/>
      <c r="B324" s="3"/>
      <c r="C324" s="3"/>
      <c r="D324" s="5"/>
      <c r="E324" s="5"/>
      <c r="F324" s="3"/>
      <c r="G324" s="7"/>
      <c r="H324" s="3"/>
    </row>
    <row r="325">
      <c r="A325" s="3"/>
      <c r="B325" s="3"/>
      <c r="C325" s="3"/>
      <c r="D325" s="5"/>
      <c r="E325" s="5"/>
      <c r="F325" s="3"/>
      <c r="G325" s="3"/>
      <c r="H325" s="3"/>
    </row>
    <row r="326">
      <c r="A326" s="3"/>
      <c r="B326" s="3"/>
      <c r="C326" s="3"/>
      <c r="D326" s="5"/>
      <c r="E326" s="5"/>
      <c r="F326" s="3"/>
      <c r="G326" s="7"/>
      <c r="H326" s="3"/>
    </row>
    <row r="327">
      <c r="A327" s="3"/>
      <c r="B327" s="3"/>
      <c r="C327" s="3"/>
      <c r="D327" s="5"/>
      <c r="E327" s="5"/>
      <c r="F327" s="3"/>
      <c r="G327" s="7"/>
      <c r="H327" s="3"/>
    </row>
    <row r="328">
      <c r="A328" s="3"/>
      <c r="B328" s="3"/>
      <c r="C328" s="3"/>
      <c r="D328" s="5"/>
      <c r="E328" s="5"/>
      <c r="F328" s="3"/>
      <c r="G328" s="7"/>
      <c r="H328" s="3"/>
    </row>
    <row r="329">
      <c r="A329" s="3"/>
      <c r="B329" s="3"/>
      <c r="C329" s="3"/>
      <c r="D329" s="5"/>
      <c r="E329" s="5"/>
      <c r="F329" s="3"/>
      <c r="G329" s="7"/>
      <c r="H329" s="3"/>
    </row>
    <row r="330">
      <c r="A330" s="3"/>
      <c r="B330" s="3"/>
      <c r="C330" s="3"/>
      <c r="D330" s="5"/>
      <c r="E330" s="5"/>
      <c r="F330" s="3"/>
      <c r="G330" s="3"/>
      <c r="H330" s="3"/>
    </row>
    <row r="331">
      <c r="A331" s="3"/>
      <c r="B331" s="3"/>
      <c r="C331" s="3"/>
      <c r="D331" s="5"/>
      <c r="E331" s="5"/>
      <c r="F331" s="3"/>
      <c r="G331" s="7"/>
      <c r="H331" s="3"/>
    </row>
    <row r="332">
      <c r="A332" s="3"/>
      <c r="B332" s="3"/>
      <c r="C332" s="3"/>
      <c r="D332" s="5"/>
      <c r="E332" s="5"/>
      <c r="F332" s="3"/>
      <c r="G332" s="7"/>
      <c r="H332" s="3"/>
    </row>
    <row r="333">
      <c r="A333" s="3"/>
      <c r="B333" s="3"/>
      <c r="C333" s="3"/>
      <c r="D333" s="5"/>
      <c r="E333" s="5"/>
      <c r="F333" s="3"/>
      <c r="G333" s="7"/>
      <c r="H333" s="3"/>
    </row>
    <row r="334">
      <c r="A334" s="3"/>
      <c r="B334" s="3"/>
      <c r="C334" s="3"/>
      <c r="D334" s="5"/>
      <c r="E334" s="5"/>
      <c r="F334" s="3"/>
      <c r="G334" s="7"/>
      <c r="H334" s="3"/>
    </row>
    <row r="335">
      <c r="A335" s="3"/>
      <c r="B335" s="3"/>
      <c r="C335" s="3"/>
      <c r="D335" s="5"/>
      <c r="E335" s="5"/>
      <c r="F335" s="3"/>
      <c r="G335" s="3"/>
      <c r="H335" s="3"/>
    </row>
    <row r="336">
      <c r="A336" s="3"/>
      <c r="B336" s="3"/>
      <c r="C336" s="3"/>
      <c r="D336" s="5"/>
      <c r="E336" s="5"/>
      <c r="F336" s="3"/>
      <c r="G336" s="7"/>
      <c r="H336" s="3"/>
    </row>
    <row r="337">
      <c r="A337" s="3"/>
      <c r="B337" s="3"/>
      <c r="C337" s="3"/>
      <c r="D337" s="5"/>
      <c r="E337" s="5"/>
      <c r="F337" s="3"/>
      <c r="G337" s="7"/>
      <c r="H337" s="3"/>
    </row>
    <row r="338">
      <c r="A338" s="3"/>
      <c r="B338" s="3"/>
      <c r="C338" s="3"/>
      <c r="D338" s="5"/>
      <c r="E338" s="5"/>
      <c r="F338" s="3"/>
      <c r="G338" s="7"/>
      <c r="H338" s="3"/>
    </row>
    <row r="339">
      <c r="A339" s="3"/>
      <c r="B339" s="3"/>
      <c r="C339" s="3"/>
      <c r="D339" s="5"/>
      <c r="E339" s="5"/>
      <c r="F339" s="3"/>
      <c r="G339" s="7"/>
      <c r="H339" s="3"/>
    </row>
    <row r="340">
      <c r="A340" s="3"/>
      <c r="B340" s="3"/>
      <c r="C340" s="3"/>
      <c r="D340" s="5"/>
      <c r="E340" s="5"/>
      <c r="F340" s="3"/>
      <c r="G340" s="3"/>
      <c r="H340" s="3"/>
    </row>
    <row r="341">
      <c r="A341" s="3"/>
      <c r="B341" s="3"/>
      <c r="C341" s="3"/>
      <c r="D341" s="5"/>
      <c r="E341" s="5"/>
      <c r="F341" s="3"/>
      <c r="G341" s="7"/>
      <c r="H341" s="3"/>
    </row>
    <row r="342">
      <c r="A342" s="3"/>
      <c r="B342" s="3"/>
      <c r="C342" s="3"/>
      <c r="D342" s="5"/>
      <c r="E342" s="5"/>
      <c r="F342" s="3"/>
      <c r="G342" s="7"/>
      <c r="H342" s="3"/>
    </row>
    <row r="343">
      <c r="A343" s="3"/>
      <c r="B343" s="3"/>
      <c r="C343" s="3"/>
      <c r="D343" s="5"/>
      <c r="E343" s="5"/>
      <c r="F343" s="3"/>
      <c r="G343" s="7"/>
      <c r="H343" s="3"/>
    </row>
    <row r="344">
      <c r="A344" s="3"/>
      <c r="B344" s="3"/>
      <c r="C344" s="3"/>
      <c r="D344" s="5"/>
      <c r="E344" s="5"/>
      <c r="F344" s="3"/>
      <c r="G344" s="7"/>
      <c r="H344" s="3"/>
    </row>
    <row r="345">
      <c r="A345" s="3"/>
      <c r="B345" s="3"/>
      <c r="C345" s="3"/>
      <c r="D345" s="5"/>
      <c r="E345" s="5"/>
      <c r="F345" s="3"/>
      <c r="G345" s="3"/>
      <c r="H345" s="3"/>
    </row>
    <row r="346">
      <c r="A346" s="3"/>
      <c r="B346" s="3"/>
      <c r="C346" s="3"/>
      <c r="D346" s="5"/>
      <c r="E346" s="5"/>
      <c r="F346" s="3"/>
      <c r="G346" s="7"/>
      <c r="H346" s="3"/>
    </row>
    <row r="347">
      <c r="A347" s="3"/>
      <c r="B347" s="3"/>
      <c r="C347" s="3"/>
      <c r="D347" s="5"/>
      <c r="E347" s="5"/>
      <c r="F347" s="3"/>
      <c r="G347" s="7"/>
      <c r="H347" s="3"/>
    </row>
    <row r="348">
      <c r="A348" s="3"/>
      <c r="B348" s="3"/>
      <c r="C348" s="3"/>
      <c r="D348" s="5"/>
      <c r="E348" s="5"/>
      <c r="F348" s="3"/>
      <c r="G348" s="7"/>
      <c r="H348" s="3"/>
    </row>
    <row r="349">
      <c r="A349" s="3"/>
      <c r="B349" s="3"/>
      <c r="C349" s="3"/>
      <c r="D349" s="5"/>
      <c r="E349" s="5"/>
      <c r="F349" s="3"/>
      <c r="G349" s="7"/>
      <c r="H349" s="3"/>
    </row>
    <row r="350">
      <c r="A350" s="3"/>
      <c r="B350" s="3"/>
      <c r="C350" s="3"/>
      <c r="D350" s="5"/>
      <c r="E350" s="5"/>
      <c r="F350" s="3"/>
      <c r="G350" s="3"/>
      <c r="H350" s="3"/>
    </row>
    <row r="351">
      <c r="A351" s="3"/>
      <c r="B351" s="3"/>
      <c r="C351" s="3"/>
      <c r="D351" s="5"/>
      <c r="E351" s="5"/>
      <c r="F351" s="3"/>
      <c r="G351" s="7"/>
      <c r="H351" s="3"/>
    </row>
    <row r="352">
      <c r="A352" s="3"/>
      <c r="B352" s="3"/>
      <c r="C352" s="3"/>
      <c r="D352" s="5"/>
      <c r="E352" s="5"/>
      <c r="F352" s="3"/>
      <c r="G352" s="7"/>
      <c r="H352" s="3"/>
    </row>
    <row r="353">
      <c r="A353" s="3"/>
      <c r="B353" s="3"/>
      <c r="C353" s="3"/>
      <c r="D353" s="5"/>
      <c r="E353" s="5"/>
      <c r="F353" s="3"/>
      <c r="G353" s="7"/>
      <c r="H353" s="3"/>
    </row>
    <row r="354">
      <c r="A354" s="3"/>
      <c r="B354" s="3"/>
      <c r="C354" s="3"/>
      <c r="D354" s="5"/>
      <c r="E354" s="5"/>
      <c r="F354" s="3"/>
      <c r="G354" s="7"/>
      <c r="H354" s="3"/>
    </row>
    <row r="355">
      <c r="A355" s="3"/>
      <c r="B355" s="3"/>
      <c r="C355" s="3"/>
      <c r="D355" s="5"/>
      <c r="E355" s="5"/>
      <c r="F355" s="3"/>
      <c r="G355" s="3"/>
      <c r="H355" s="3"/>
    </row>
    <row r="356">
      <c r="A356" s="3"/>
      <c r="B356" s="3"/>
      <c r="C356" s="3"/>
      <c r="D356" s="5"/>
      <c r="E356" s="5"/>
      <c r="F356" s="3"/>
      <c r="G356" s="7"/>
      <c r="H356" s="3"/>
    </row>
    <row r="357">
      <c r="A357" s="3"/>
      <c r="B357" s="3"/>
      <c r="C357" s="3"/>
      <c r="D357" s="5"/>
      <c r="E357" s="5"/>
      <c r="F357" s="3"/>
      <c r="G357" s="7"/>
      <c r="H357" s="3"/>
    </row>
    <row r="358">
      <c r="A358" s="3"/>
      <c r="B358" s="3"/>
      <c r="C358" s="3"/>
      <c r="D358" s="5"/>
      <c r="E358" s="5"/>
      <c r="F358" s="3"/>
      <c r="G358" s="7"/>
      <c r="H358" s="3"/>
    </row>
    <row r="359">
      <c r="A359" s="3"/>
      <c r="B359" s="3"/>
      <c r="C359" s="3"/>
      <c r="D359" s="5"/>
      <c r="E359" s="5"/>
      <c r="F359" s="3"/>
      <c r="G359" s="7"/>
      <c r="H359" s="3"/>
    </row>
    <row r="360">
      <c r="A360" s="3"/>
      <c r="B360" s="3"/>
      <c r="C360" s="3"/>
      <c r="D360" s="5"/>
      <c r="E360" s="5"/>
      <c r="F360" s="3"/>
      <c r="G360" s="3"/>
      <c r="H360" s="3"/>
    </row>
    <row r="361">
      <c r="A361" s="3"/>
      <c r="B361" s="3"/>
      <c r="C361" s="3"/>
      <c r="D361" s="5"/>
      <c r="E361" s="5"/>
      <c r="F361" s="3"/>
      <c r="G361" s="7"/>
      <c r="H361" s="3"/>
    </row>
    <row r="362">
      <c r="A362" s="3"/>
      <c r="B362" s="3"/>
      <c r="C362" s="3"/>
      <c r="D362" s="5"/>
      <c r="E362" s="5"/>
      <c r="F362" s="3"/>
      <c r="G362" s="7"/>
      <c r="H362" s="3"/>
    </row>
    <row r="363">
      <c r="A363" s="3"/>
      <c r="B363" s="3"/>
      <c r="C363" s="3"/>
      <c r="D363" s="5"/>
      <c r="E363" s="5"/>
      <c r="F363" s="3"/>
      <c r="G363" s="7"/>
      <c r="H363" s="3"/>
    </row>
    <row r="364">
      <c r="A364" s="3"/>
      <c r="B364" s="3"/>
      <c r="C364" s="3"/>
      <c r="D364" s="5"/>
      <c r="E364" s="5"/>
      <c r="F364" s="3"/>
      <c r="G364" s="7"/>
      <c r="H364" s="3"/>
    </row>
    <row r="365">
      <c r="A365" s="3"/>
      <c r="B365" s="3"/>
      <c r="C365" s="3"/>
      <c r="D365" s="5"/>
      <c r="E365" s="5"/>
      <c r="F365" s="3"/>
      <c r="G365" s="3"/>
      <c r="H365" s="3"/>
    </row>
    <row r="366">
      <c r="A366" s="3"/>
      <c r="B366" s="3"/>
      <c r="C366" s="3"/>
      <c r="D366" s="5"/>
      <c r="E366" s="5"/>
      <c r="F366" s="3"/>
      <c r="G366" s="7"/>
      <c r="H366" s="3"/>
    </row>
    <row r="367">
      <c r="A367" s="3"/>
      <c r="B367" s="3"/>
      <c r="C367" s="3"/>
      <c r="D367" s="5"/>
      <c r="E367" s="5"/>
      <c r="F367" s="3"/>
      <c r="G367" s="7"/>
      <c r="H367" s="3"/>
    </row>
    <row r="368">
      <c r="A368" s="3"/>
      <c r="B368" s="3"/>
      <c r="C368" s="3"/>
      <c r="D368" s="5"/>
      <c r="E368" s="5"/>
      <c r="F368" s="3"/>
      <c r="G368" s="7"/>
      <c r="H368" s="3"/>
    </row>
    <row r="369">
      <c r="A369" s="3"/>
      <c r="B369" s="3"/>
      <c r="C369" s="3"/>
      <c r="D369" s="5"/>
      <c r="E369" s="5"/>
      <c r="F369" s="3"/>
      <c r="G369" s="7"/>
      <c r="H369" s="3"/>
    </row>
    <row r="370">
      <c r="A370" s="3"/>
      <c r="B370" s="3"/>
      <c r="C370" s="3"/>
      <c r="D370" s="5"/>
      <c r="E370" s="5"/>
      <c r="F370" s="3"/>
      <c r="G370" s="7"/>
      <c r="H370" s="3"/>
    </row>
    <row r="371">
      <c r="A371" s="3"/>
      <c r="B371" s="3"/>
      <c r="C371" s="3"/>
      <c r="D371" s="5"/>
      <c r="E371" s="5"/>
      <c r="F371" s="3"/>
      <c r="G371" s="7"/>
      <c r="H371" s="3"/>
    </row>
    <row r="372">
      <c r="A372" s="3"/>
      <c r="B372" s="3"/>
      <c r="C372" s="3"/>
      <c r="D372" s="5"/>
      <c r="E372" s="5"/>
      <c r="F372" s="3"/>
      <c r="G372" s="7"/>
      <c r="H372" s="3"/>
    </row>
    <row r="373">
      <c r="A373" s="3"/>
      <c r="B373" s="3"/>
      <c r="C373" s="3"/>
      <c r="D373" s="5"/>
      <c r="E373" s="5"/>
      <c r="F373" s="3"/>
      <c r="G373" s="7"/>
      <c r="H373" s="3"/>
    </row>
    <row r="374">
      <c r="A374" s="3"/>
      <c r="B374" s="3"/>
      <c r="C374" s="3"/>
      <c r="D374" s="5"/>
      <c r="E374" s="5"/>
      <c r="F374" s="3"/>
      <c r="G374" s="7"/>
      <c r="H374" s="3"/>
    </row>
    <row r="375">
      <c r="A375" s="3"/>
      <c r="B375" s="3"/>
      <c r="C375" s="3"/>
      <c r="D375" s="5"/>
      <c r="E375" s="5"/>
      <c r="F375" s="3"/>
      <c r="G375" s="7"/>
      <c r="H375" s="3"/>
    </row>
    <row r="376">
      <c r="A376" s="3"/>
      <c r="B376" s="3"/>
      <c r="C376" s="3"/>
      <c r="D376" s="5"/>
      <c r="E376" s="5"/>
      <c r="F376" s="3"/>
      <c r="G376" s="7"/>
      <c r="H376" s="3"/>
    </row>
    <row r="377">
      <c r="A377" s="3"/>
      <c r="B377" s="3"/>
      <c r="C377" s="3"/>
      <c r="D377" s="5"/>
      <c r="E377" s="5"/>
      <c r="F377" s="3"/>
      <c r="G377" s="7"/>
      <c r="H377" s="3"/>
    </row>
    <row r="378">
      <c r="A378" s="3"/>
      <c r="B378" s="3"/>
      <c r="C378" s="3"/>
      <c r="D378" s="5"/>
      <c r="E378" s="5"/>
      <c r="F378" s="3"/>
      <c r="G378" s="7"/>
      <c r="H378" s="3"/>
    </row>
    <row r="379">
      <c r="A379" s="3"/>
      <c r="B379" s="3"/>
      <c r="C379" s="3"/>
      <c r="D379" s="5"/>
      <c r="E379" s="5"/>
      <c r="F379" s="3"/>
      <c r="G379" s="7"/>
      <c r="H379" s="3"/>
    </row>
    <row r="380">
      <c r="A380" s="3"/>
      <c r="B380" s="3"/>
      <c r="C380" s="3"/>
      <c r="D380" s="5"/>
      <c r="E380" s="5"/>
      <c r="F380" s="3"/>
      <c r="G380" s="7"/>
      <c r="H380" s="3"/>
    </row>
    <row r="381">
      <c r="A381" s="3"/>
      <c r="B381" s="3"/>
      <c r="C381" s="3"/>
      <c r="D381" s="5"/>
      <c r="E381" s="5"/>
      <c r="F381" s="3"/>
      <c r="G381" s="7"/>
      <c r="H381" s="3"/>
    </row>
    <row r="382">
      <c r="A382" s="3"/>
      <c r="B382" s="3"/>
      <c r="C382" s="3"/>
      <c r="D382" s="5"/>
      <c r="E382" s="5"/>
      <c r="F382" s="3"/>
      <c r="G382" s="3"/>
      <c r="H382" s="3"/>
    </row>
    <row r="383">
      <c r="A383" s="3"/>
      <c r="B383" s="3"/>
      <c r="C383" s="3"/>
      <c r="D383" s="5"/>
      <c r="E383" s="5"/>
      <c r="F383" s="3"/>
      <c r="G383" s="7"/>
      <c r="H383" s="3"/>
    </row>
    <row r="384">
      <c r="A384" s="3"/>
      <c r="B384" s="3"/>
      <c r="C384" s="3"/>
      <c r="D384" s="5"/>
      <c r="E384" s="5"/>
      <c r="F384" s="3"/>
      <c r="G384" s="7"/>
      <c r="H384" s="3"/>
    </row>
    <row r="385">
      <c r="A385" s="3"/>
      <c r="B385" s="3"/>
      <c r="C385" s="3"/>
      <c r="D385" s="5"/>
      <c r="E385" s="5"/>
      <c r="F385" s="3"/>
      <c r="G385" s="7"/>
      <c r="H385" s="3"/>
    </row>
    <row r="386">
      <c r="A386" s="3"/>
      <c r="B386" s="3"/>
      <c r="C386" s="3"/>
      <c r="D386" s="5"/>
      <c r="E386" s="5"/>
      <c r="F386" s="3"/>
      <c r="G386" s="7"/>
      <c r="H386" s="3"/>
    </row>
    <row r="387">
      <c r="A387" s="3"/>
      <c r="B387" s="3"/>
      <c r="C387" s="3"/>
      <c r="D387" s="5"/>
      <c r="E387" s="5"/>
      <c r="F387" s="3"/>
      <c r="G387" s="3"/>
      <c r="H387" s="3"/>
    </row>
    <row r="388">
      <c r="A388" s="3"/>
      <c r="B388" s="3"/>
      <c r="C388" s="3"/>
      <c r="D388" s="5"/>
      <c r="E388" s="5"/>
      <c r="F388" s="3"/>
      <c r="G388" s="7"/>
      <c r="H388" s="3"/>
    </row>
    <row r="389">
      <c r="A389" s="3"/>
      <c r="B389" s="3"/>
      <c r="C389" s="3"/>
      <c r="D389" s="5"/>
      <c r="E389" s="5"/>
      <c r="F389" s="3"/>
      <c r="G389" s="7"/>
      <c r="H389" s="3"/>
    </row>
    <row r="390">
      <c r="A390" s="3"/>
      <c r="B390" s="3"/>
      <c r="C390" s="3"/>
      <c r="D390" s="5"/>
      <c r="E390" s="5"/>
      <c r="F390" s="3"/>
      <c r="G390" s="7"/>
      <c r="H390" s="3"/>
    </row>
    <row r="391">
      <c r="A391" s="3"/>
      <c r="B391" s="3"/>
      <c r="C391" s="3"/>
      <c r="D391" s="5"/>
      <c r="E391" s="5"/>
      <c r="F391" s="3"/>
      <c r="G391" s="7"/>
      <c r="H391" s="3"/>
    </row>
    <row r="392">
      <c r="A392" s="3"/>
      <c r="B392" s="3"/>
      <c r="C392" s="3"/>
      <c r="D392" s="5"/>
      <c r="E392" s="5"/>
      <c r="F392" s="3"/>
      <c r="G392" s="3"/>
      <c r="H392" s="3"/>
    </row>
    <row r="393">
      <c r="A393" s="3"/>
      <c r="B393" s="3"/>
      <c r="C393" s="3"/>
      <c r="D393" s="5"/>
      <c r="E393" s="5"/>
      <c r="F393" s="3"/>
      <c r="G393" s="7"/>
      <c r="H393" s="3"/>
    </row>
    <row r="394">
      <c r="A394" s="3"/>
      <c r="B394" s="3"/>
      <c r="C394" s="3"/>
      <c r="D394" s="5"/>
      <c r="E394" s="5"/>
      <c r="F394" s="3"/>
      <c r="G394" s="7"/>
      <c r="H394" s="3"/>
    </row>
    <row r="395">
      <c r="A395" s="3"/>
      <c r="B395" s="3"/>
      <c r="C395" s="3"/>
      <c r="D395" s="5"/>
      <c r="E395" s="5"/>
      <c r="F395" s="3"/>
      <c r="G395" s="7"/>
      <c r="H395" s="3"/>
    </row>
    <row r="396">
      <c r="A396" s="3"/>
      <c r="B396" s="3"/>
      <c r="C396" s="3"/>
      <c r="D396" s="5"/>
      <c r="E396" s="5"/>
      <c r="F396" s="3"/>
      <c r="G396" s="7"/>
      <c r="H396" s="3"/>
    </row>
    <row r="397">
      <c r="A397" s="3"/>
      <c r="B397" s="3"/>
      <c r="C397" s="3"/>
      <c r="D397" s="5"/>
      <c r="E397" s="5"/>
      <c r="F397" s="3"/>
      <c r="G397" s="3"/>
      <c r="H397" s="3"/>
    </row>
    <row r="398">
      <c r="A398" s="3"/>
      <c r="B398" s="3"/>
      <c r="C398" s="3"/>
      <c r="D398" s="5"/>
      <c r="E398" s="5"/>
      <c r="F398" s="3"/>
      <c r="G398" s="7"/>
      <c r="H398" s="3"/>
    </row>
    <row r="399">
      <c r="A399" s="3"/>
      <c r="B399" s="3"/>
      <c r="C399" s="3"/>
      <c r="D399" s="5"/>
      <c r="E399" s="5"/>
      <c r="F399" s="3"/>
      <c r="G399" s="7"/>
      <c r="H399" s="3"/>
    </row>
    <row r="400">
      <c r="A400" s="3"/>
      <c r="B400" s="3"/>
      <c r="C400" s="3"/>
      <c r="D400" s="5"/>
      <c r="E400" s="5"/>
      <c r="F400" s="3"/>
      <c r="G400" s="7"/>
      <c r="H400" s="3"/>
    </row>
    <row r="401">
      <c r="A401" s="3"/>
      <c r="B401" s="3"/>
      <c r="C401" s="3"/>
      <c r="D401" s="5"/>
      <c r="E401" s="5"/>
      <c r="F401" s="3"/>
      <c r="G401" s="7"/>
      <c r="H401" s="3"/>
    </row>
    <row r="402">
      <c r="A402" s="3"/>
      <c r="B402" s="3"/>
      <c r="C402" s="3"/>
      <c r="D402" s="5"/>
      <c r="E402" s="5"/>
      <c r="F402" s="3"/>
      <c r="G402" s="3"/>
      <c r="H402" s="3"/>
    </row>
    <row r="403">
      <c r="A403" s="3"/>
      <c r="B403" s="3"/>
      <c r="C403" s="3"/>
      <c r="D403" s="5"/>
      <c r="E403" s="5"/>
      <c r="F403" s="3"/>
      <c r="G403" s="7"/>
      <c r="H403" s="3"/>
    </row>
    <row r="404">
      <c r="A404" s="3"/>
      <c r="B404" s="3"/>
      <c r="C404" s="3"/>
      <c r="D404" s="5"/>
      <c r="E404" s="5"/>
      <c r="F404" s="3"/>
      <c r="G404" s="7"/>
      <c r="H404" s="3"/>
    </row>
    <row r="405">
      <c r="A405" s="3"/>
      <c r="B405" s="3"/>
      <c r="C405" s="3"/>
      <c r="D405" s="5"/>
      <c r="E405" s="5"/>
      <c r="F405" s="3"/>
      <c r="G405" s="7"/>
      <c r="H405" s="3"/>
    </row>
    <row r="406">
      <c r="A406" s="3"/>
      <c r="B406" s="3"/>
      <c r="C406" s="3"/>
      <c r="D406" s="5"/>
      <c r="E406" s="5"/>
      <c r="F406" s="3"/>
      <c r="G406" s="7"/>
      <c r="H406" s="3"/>
    </row>
    <row r="407">
      <c r="A407" s="3"/>
      <c r="B407" s="3"/>
      <c r="C407" s="3"/>
      <c r="D407" s="5"/>
      <c r="E407" s="5"/>
      <c r="F407" s="3"/>
      <c r="G407" s="3"/>
      <c r="H407" s="3"/>
    </row>
    <row r="408">
      <c r="A408" s="3"/>
      <c r="B408" s="3"/>
      <c r="C408" s="3"/>
      <c r="D408" s="5"/>
      <c r="E408" s="5"/>
      <c r="F408" s="3"/>
      <c r="G408" s="7"/>
      <c r="H408" s="3"/>
    </row>
    <row r="409">
      <c r="A409" s="3"/>
      <c r="B409" s="3"/>
      <c r="C409" s="3"/>
      <c r="D409" s="5"/>
      <c r="E409" s="5"/>
      <c r="F409" s="3"/>
      <c r="G409" s="7"/>
      <c r="H409" s="3"/>
    </row>
    <row r="410">
      <c r="A410" s="3"/>
      <c r="B410" s="3"/>
      <c r="C410" s="3"/>
      <c r="D410" s="5"/>
      <c r="E410" s="5"/>
      <c r="F410" s="3"/>
      <c r="G410" s="7"/>
      <c r="H410" s="3"/>
    </row>
    <row r="411">
      <c r="A411" s="3"/>
      <c r="B411" s="3"/>
      <c r="C411" s="3"/>
      <c r="D411" s="5"/>
      <c r="E411" s="5"/>
      <c r="F411" s="3"/>
      <c r="G411" s="7"/>
      <c r="H411" s="3"/>
    </row>
    <row r="412">
      <c r="A412" s="3"/>
      <c r="B412" s="3"/>
      <c r="C412" s="3"/>
      <c r="D412" s="5"/>
      <c r="E412" s="5"/>
      <c r="F412" s="3"/>
      <c r="G412" s="3"/>
      <c r="H412" s="3"/>
    </row>
    <row r="413">
      <c r="A413" s="3"/>
      <c r="B413" s="3"/>
      <c r="C413" s="3"/>
      <c r="D413" s="5"/>
      <c r="E413" s="5"/>
      <c r="F413" s="3"/>
      <c r="G413" s="7"/>
      <c r="H413" s="3"/>
    </row>
    <row r="414">
      <c r="A414" s="3"/>
      <c r="B414" s="3"/>
      <c r="C414" s="3"/>
      <c r="D414" s="5"/>
      <c r="E414" s="5"/>
      <c r="F414" s="3"/>
      <c r="G414" s="7"/>
      <c r="H414" s="3"/>
    </row>
    <row r="415">
      <c r="A415" s="3"/>
      <c r="B415" s="3"/>
      <c r="C415" s="3"/>
      <c r="D415" s="5"/>
      <c r="E415" s="5"/>
      <c r="F415" s="3"/>
      <c r="G415" s="7"/>
      <c r="H415" s="3"/>
    </row>
    <row r="416">
      <c r="A416" s="3"/>
      <c r="B416" s="3"/>
      <c r="C416" s="3"/>
      <c r="D416" s="5"/>
      <c r="E416" s="5"/>
      <c r="F416" s="3"/>
      <c r="G416" s="7"/>
      <c r="H416" s="3"/>
    </row>
    <row r="417">
      <c r="A417" s="3"/>
      <c r="B417" s="3"/>
      <c r="C417" s="3"/>
      <c r="D417" s="5"/>
      <c r="E417" s="5"/>
      <c r="F417" s="3"/>
      <c r="G417" s="3"/>
      <c r="H417" s="3"/>
    </row>
    <row r="418">
      <c r="A418" s="3"/>
      <c r="B418" s="3"/>
      <c r="C418" s="3"/>
      <c r="D418" s="5"/>
      <c r="E418" s="5"/>
      <c r="F418" s="3"/>
      <c r="G418" s="7"/>
      <c r="H418" s="3"/>
    </row>
    <row r="419">
      <c r="A419" s="3"/>
      <c r="B419" s="3"/>
      <c r="C419" s="3"/>
      <c r="D419" s="5"/>
      <c r="E419" s="5"/>
      <c r="F419" s="3"/>
      <c r="G419" s="7"/>
      <c r="H419" s="3"/>
    </row>
    <row r="420">
      <c r="A420" s="3"/>
      <c r="B420" s="3"/>
      <c r="C420" s="3"/>
      <c r="D420" s="5"/>
      <c r="E420" s="5"/>
      <c r="F420" s="3"/>
      <c r="G420" s="7"/>
      <c r="H420" s="3"/>
    </row>
    <row r="421">
      <c r="A421" s="3"/>
      <c r="B421" s="3"/>
      <c r="C421" s="3"/>
      <c r="D421" s="5"/>
      <c r="E421" s="5"/>
      <c r="F421" s="3"/>
      <c r="G421" s="7"/>
      <c r="H421" s="3"/>
    </row>
    <row r="422">
      <c r="A422" s="3"/>
      <c r="B422" s="3"/>
      <c r="C422" s="3"/>
      <c r="D422" s="5"/>
      <c r="E422" s="5"/>
      <c r="F422" s="3"/>
      <c r="G422" s="3"/>
      <c r="H422" s="3"/>
    </row>
    <row r="423">
      <c r="A423" s="3"/>
      <c r="B423" s="3"/>
      <c r="C423" s="3"/>
      <c r="D423" s="5"/>
      <c r="E423" s="5"/>
      <c r="F423" s="3"/>
      <c r="G423" s="7"/>
      <c r="H423" s="3"/>
    </row>
    <row r="424">
      <c r="A424" s="3"/>
      <c r="B424" s="3"/>
      <c r="C424" s="3"/>
      <c r="D424" s="5"/>
      <c r="E424" s="5"/>
      <c r="F424" s="3"/>
      <c r="G424" s="7"/>
      <c r="H424" s="3"/>
    </row>
    <row r="425">
      <c r="A425" s="3"/>
      <c r="B425" s="3"/>
      <c r="C425" s="3"/>
      <c r="D425" s="5"/>
      <c r="E425" s="5"/>
      <c r="F425" s="3"/>
      <c r="G425" s="7"/>
      <c r="H425" s="3"/>
    </row>
    <row r="426">
      <c r="A426" s="3"/>
      <c r="B426" s="3"/>
      <c r="C426" s="3"/>
      <c r="D426" s="5"/>
      <c r="E426" s="5"/>
      <c r="F426" s="3"/>
      <c r="G426" s="7"/>
      <c r="H426" s="3"/>
    </row>
    <row r="427">
      <c r="A427" s="3"/>
      <c r="B427" s="3"/>
      <c r="C427" s="3"/>
      <c r="D427" s="5"/>
      <c r="E427" s="5"/>
      <c r="F427" s="3"/>
      <c r="G427" s="3"/>
      <c r="H427" s="3"/>
    </row>
    <row r="428">
      <c r="A428" s="3"/>
      <c r="B428" s="3"/>
      <c r="C428" s="3"/>
      <c r="D428" s="5"/>
      <c r="E428" s="5"/>
      <c r="F428" s="3"/>
      <c r="G428" s="7"/>
      <c r="H428" s="3"/>
    </row>
    <row r="429">
      <c r="A429" s="3"/>
      <c r="B429" s="3"/>
      <c r="C429" s="3"/>
      <c r="D429" s="5"/>
      <c r="E429" s="5"/>
      <c r="F429" s="3"/>
      <c r="G429" s="7"/>
      <c r="H429" s="3"/>
    </row>
    <row r="430">
      <c r="A430" s="3"/>
      <c r="B430" s="3"/>
      <c r="C430" s="3"/>
      <c r="D430" s="5"/>
      <c r="E430" s="5"/>
      <c r="F430" s="3"/>
      <c r="G430" s="7"/>
      <c r="H430" s="3"/>
    </row>
    <row r="431">
      <c r="A431" s="3"/>
      <c r="B431" s="3"/>
      <c r="C431" s="3"/>
      <c r="D431" s="5"/>
      <c r="E431" s="5"/>
      <c r="F431" s="3"/>
      <c r="G431" s="7"/>
      <c r="H431" s="3"/>
    </row>
    <row r="432">
      <c r="A432" s="3"/>
      <c r="B432" s="3"/>
      <c r="C432" s="3"/>
      <c r="D432" s="5"/>
      <c r="E432" s="5"/>
      <c r="F432" s="3"/>
      <c r="G432" s="3"/>
      <c r="H432" s="3"/>
    </row>
    <row r="433">
      <c r="A433" s="3"/>
      <c r="B433" s="3"/>
      <c r="C433" s="3"/>
      <c r="D433" s="5"/>
      <c r="E433" s="5"/>
      <c r="F433" s="3"/>
      <c r="G433" s="7"/>
      <c r="H433" s="3"/>
    </row>
    <row r="434">
      <c r="A434" s="3"/>
      <c r="B434" s="3"/>
      <c r="C434" s="3"/>
      <c r="D434" s="5"/>
      <c r="E434" s="5"/>
      <c r="F434" s="3"/>
      <c r="G434" s="7"/>
      <c r="H434" s="3"/>
    </row>
    <row r="435">
      <c r="A435" s="3"/>
      <c r="B435" s="3"/>
      <c r="C435" s="3"/>
      <c r="D435" s="5"/>
      <c r="E435" s="5"/>
      <c r="F435" s="3"/>
      <c r="G435" s="7"/>
      <c r="H435" s="3"/>
    </row>
    <row r="436">
      <c r="A436" s="3"/>
      <c r="B436" s="3"/>
      <c r="C436" s="3"/>
      <c r="D436" s="5"/>
      <c r="E436" s="5"/>
      <c r="F436" s="3"/>
      <c r="G436" s="3"/>
      <c r="H436" s="3"/>
    </row>
    <row r="437">
      <c r="A437" s="3"/>
      <c r="B437" s="3"/>
      <c r="C437" s="3"/>
      <c r="D437" s="5"/>
      <c r="E437" s="5"/>
      <c r="F437" s="3"/>
      <c r="G437" s="7"/>
      <c r="H437" s="3"/>
    </row>
    <row r="438">
      <c r="A438" s="3"/>
      <c r="B438" s="3"/>
      <c r="C438" s="3"/>
      <c r="D438" s="5"/>
      <c r="E438" s="5"/>
      <c r="F438" s="3"/>
      <c r="G438" s="7"/>
      <c r="H438" s="3"/>
    </row>
    <row r="439">
      <c r="A439" s="3"/>
      <c r="B439" s="3"/>
      <c r="C439" s="3"/>
      <c r="D439" s="5"/>
      <c r="E439" s="5"/>
      <c r="F439" s="3"/>
      <c r="G439" s="7"/>
      <c r="H439" s="3"/>
    </row>
    <row r="440">
      <c r="A440" s="3"/>
      <c r="B440" s="3"/>
      <c r="C440" s="3"/>
      <c r="D440" s="5"/>
      <c r="E440" s="5"/>
      <c r="F440" s="3"/>
      <c r="G440" s="7"/>
      <c r="H440" s="3"/>
    </row>
    <row r="441">
      <c r="A441" s="3"/>
      <c r="B441" s="3"/>
      <c r="C441" s="3"/>
      <c r="D441" s="5"/>
      <c r="E441" s="5"/>
      <c r="F441" s="3"/>
      <c r="G441" s="7"/>
      <c r="H441" s="3"/>
    </row>
    <row r="442">
      <c r="A442" s="3"/>
      <c r="B442" s="3"/>
      <c r="C442" s="3"/>
      <c r="D442" s="5"/>
      <c r="E442" s="5"/>
      <c r="F442" s="3"/>
      <c r="G442" s="7"/>
      <c r="H442" s="3"/>
    </row>
    <row r="443">
      <c r="A443" s="3"/>
      <c r="B443" s="3"/>
      <c r="C443" s="3"/>
      <c r="D443" s="5"/>
      <c r="E443" s="5"/>
      <c r="F443" s="3"/>
      <c r="G443" s="7"/>
      <c r="H443" s="3"/>
    </row>
    <row r="444">
      <c r="A444" s="3"/>
      <c r="B444" s="3"/>
      <c r="C444" s="3"/>
      <c r="D444" s="5"/>
      <c r="E444" s="5"/>
      <c r="F444" s="3"/>
      <c r="G444" s="7"/>
      <c r="H444" s="3"/>
    </row>
    <row r="445">
      <c r="A445" s="3"/>
      <c r="B445" s="3"/>
      <c r="C445" s="3"/>
      <c r="D445" s="5"/>
      <c r="E445" s="5"/>
      <c r="F445" s="3"/>
      <c r="G445" s="7"/>
      <c r="H445" s="3"/>
    </row>
    <row r="446">
      <c r="A446" s="3"/>
      <c r="B446" s="3"/>
      <c r="C446" s="3"/>
      <c r="D446" s="5"/>
      <c r="E446" s="5"/>
      <c r="F446" s="3"/>
      <c r="G446" s="3"/>
      <c r="H446" s="3"/>
    </row>
    <row r="447">
      <c r="A447" s="3"/>
      <c r="B447" s="3"/>
      <c r="C447" s="3"/>
      <c r="D447" s="5"/>
      <c r="E447" s="5"/>
      <c r="F447" s="3"/>
      <c r="G447" s="7"/>
      <c r="H447" s="3"/>
    </row>
    <row r="448">
      <c r="A448" s="3"/>
      <c r="B448" s="3"/>
      <c r="C448" s="3"/>
      <c r="D448" s="5"/>
      <c r="E448" s="5"/>
      <c r="F448" s="3"/>
      <c r="G448" s="7"/>
      <c r="H448" s="3"/>
    </row>
    <row r="449">
      <c r="A449" s="3"/>
      <c r="B449" s="3"/>
      <c r="C449" s="3"/>
      <c r="D449" s="5"/>
      <c r="E449" s="5"/>
      <c r="F449" s="3"/>
      <c r="G449" s="7"/>
      <c r="H449" s="3"/>
    </row>
    <row r="450">
      <c r="A450" s="3"/>
      <c r="B450" s="3"/>
      <c r="C450" s="3"/>
      <c r="D450" s="5"/>
      <c r="E450" s="5"/>
      <c r="F450" s="3"/>
      <c r="G450" s="7"/>
      <c r="H450" s="3"/>
    </row>
    <row r="451">
      <c r="A451" s="3"/>
      <c r="B451" s="3"/>
      <c r="C451" s="3"/>
      <c r="D451" s="5"/>
      <c r="E451" s="5"/>
      <c r="F451" s="3"/>
      <c r="G451" s="3"/>
      <c r="H451" s="3"/>
    </row>
    <row r="452">
      <c r="A452" s="3"/>
      <c r="B452" s="3"/>
      <c r="C452" s="3"/>
      <c r="D452" s="5"/>
      <c r="E452" s="5"/>
      <c r="F452" s="3"/>
      <c r="G452" s="7"/>
      <c r="H452" s="3"/>
    </row>
    <row r="453">
      <c r="A453" s="3"/>
      <c r="B453" s="3"/>
      <c r="C453" s="3"/>
      <c r="D453" s="5"/>
      <c r="E453" s="5"/>
      <c r="F453" s="3"/>
      <c r="G453" s="7"/>
      <c r="H453" s="3"/>
    </row>
    <row r="454">
      <c r="A454" s="3"/>
      <c r="B454" s="3"/>
      <c r="C454" s="3"/>
      <c r="D454" s="5"/>
      <c r="E454" s="5"/>
      <c r="F454" s="3"/>
      <c r="G454" s="7"/>
      <c r="H454" s="3"/>
    </row>
    <row r="455">
      <c r="A455" s="3"/>
      <c r="B455" s="3"/>
      <c r="C455" s="3"/>
      <c r="D455" s="5"/>
      <c r="E455" s="5"/>
      <c r="F455" s="3"/>
      <c r="G455" s="7"/>
      <c r="H455" s="3"/>
    </row>
    <row r="456">
      <c r="A456" s="3"/>
      <c r="B456" s="3"/>
      <c r="C456" s="3"/>
      <c r="D456" s="5"/>
      <c r="E456" s="5"/>
      <c r="F456" s="3"/>
      <c r="G456" s="3"/>
      <c r="H456" s="3"/>
    </row>
    <row r="457">
      <c r="A457" s="3"/>
      <c r="B457" s="3"/>
      <c r="C457" s="3"/>
      <c r="D457" s="5"/>
      <c r="E457" s="5"/>
      <c r="F457" s="3"/>
      <c r="G457" s="7"/>
      <c r="H457" s="3"/>
    </row>
    <row r="458">
      <c r="A458" s="3"/>
      <c r="B458" s="3"/>
      <c r="C458" s="3"/>
      <c r="D458" s="5"/>
      <c r="E458" s="5"/>
      <c r="F458" s="3"/>
      <c r="G458" s="7"/>
      <c r="H458" s="3"/>
    </row>
    <row r="459">
      <c r="A459" s="3"/>
      <c r="B459" s="3"/>
      <c r="C459" s="3"/>
      <c r="D459" s="5"/>
      <c r="E459" s="5"/>
      <c r="F459" s="3"/>
      <c r="G459" s="7"/>
      <c r="H459" s="3"/>
    </row>
    <row r="460">
      <c r="A460" s="3"/>
      <c r="B460" s="3"/>
      <c r="C460" s="3"/>
      <c r="D460" s="5"/>
      <c r="E460" s="5"/>
      <c r="F460" s="3"/>
      <c r="G460" s="7"/>
      <c r="H460" s="3"/>
    </row>
    <row r="461">
      <c r="A461" s="3"/>
      <c r="B461" s="3"/>
      <c r="C461" s="3"/>
      <c r="D461" s="5"/>
      <c r="E461" s="5"/>
      <c r="F461" s="3"/>
      <c r="G461" s="3"/>
      <c r="H461" s="3"/>
    </row>
    <row r="462">
      <c r="A462" s="3"/>
      <c r="B462" s="3"/>
      <c r="C462" s="3"/>
      <c r="D462" s="5"/>
      <c r="E462" s="5"/>
      <c r="F462" s="3"/>
      <c r="G462" s="7"/>
      <c r="H462" s="3"/>
    </row>
    <row r="463">
      <c r="A463" s="3"/>
      <c r="B463" s="3"/>
      <c r="C463" s="3"/>
      <c r="D463" s="5"/>
      <c r="E463" s="5"/>
      <c r="F463" s="3"/>
      <c r="G463" s="7"/>
      <c r="H463" s="3"/>
    </row>
    <row r="464">
      <c r="A464" s="3"/>
      <c r="B464" s="3"/>
      <c r="C464" s="3"/>
      <c r="D464" s="5"/>
      <c r="E464" s="5"/>
      <c r="F464" s="3"/>
      <c r="G464" s="7"/>
      <c r="H464" s="3"/>
    </row>
    <row r="465">
      <c r="A465" s="3"/>
      <c r="B465" s="3"/>
      <c r="C465" s="3"/>
      <c r="D465" s="5"/>
      <c r="E465" s="5"/>
      <c r="F465" s="3"/>
      <c r="G465" s="7"/>
      <c r="H465" s="3"/>
    </row>
    <row r="466">
      <c r="A466" s="3"/>
      <c r="B466" s="3"/>
      <c r="C466" s="3"/>
      <c r="D466" s="5"/>
      <c r="E466" s="5"/>
      <c r="F466" s="3"/>
      <c r="G466" s="3"/>
      <c r="H466" s="3"/>
    </row>
    <row r="467">
      <c r="A467" s="3"/>
      <c r="B467" s="3"/>
      <c r="C467" s="3"/>
      <c r="D467" s="5"/>
      <c r="E467" s="5"/>
      <c r="F467" s="3"/>
      <c r="G467" s="7"/>
      <c r="H467" s="3"/>
    </row>
    <row r="468">
      <c r="A468" s="3"/>
      <c r="B468" s="3"/>
      <c r="C468" s="3"/>
      <c r="D468" s="5"/>
      <c r="E468" s="5"/>
      <c r="F468" s="3"/>
      <c r="G468" s="7"/>
      <c r="H468" s="3"/>
    </row>
    <row r="469">
      <c r="A469" s="3"/>
      <c r="B469" s="3"/>
      <c r="C469" s="3"/>
      <c r="D469" s="5"/>
      <c r="E469" s="5"/>
      <c r="F469" s="3"/>
      <c r="G469" s="7"/>
      <c r="H469" s="3"/>
    </row>
    <row r="470">
      <c r="A470" s="3"/>
      <c r="B470" s="3"/>
      <c r="C470" s="3"/>
      <c r="D470" s="5"/>
      <c r="E470" s="5"/>
      <c r="F470" s="3"/>
      <c r="G470" s="7"/>
      <c r="H470" s="3"/>
    </row>
    <row r="471">
      <c r="A471" s="3"/>
      <c r="B471" s="3"/>
      <c r="C471" s="3"/>
      <c r="D471" s="5"/>
      <c r="E471" s="5"/>
      <c r="F471" s="3"/>
      <c r="G471" s="3"/>
      <c r="H471" s="3"/>
    </row>
    <row r="472">
      <c r="A472" s="3"/>
      <c r="B472" s="3"/>
      <c r="C472" s="3"/>
      <c r="D472" s="5"/>
      <c r="E472" s="5"/>
      <c r="F472" s="3"/>
      <c r="G472" s="7"/>
      <c r="H472" s="3"/>
    </row>
    <row r="473">
      <c r="A473" s="3"/>
      <c r="B473" s="3"/>
      <c r="C473" s="3"/>
      <c r="D473" s="5"/>
      <c r="E473" s="5"/>
      <c r="F473" s="3"/>
      <c r="G473" s="7"/>
      <c r="H473" s="3"/>
    </row>
    <row r="474">
      <c r="A474" s="3"/>
      <c r="B474" s="3"/>
      <c r="C474" s="3"/>
      <c r="D474" s="5"/>
      <c r="E474" s="5"/>
      <c r="F474" s="3"/>
      <c r="G474" s="7"/>
      <c r="H474" s="3"/>
    </row>
    <row r="475">
      <c r="A475" s="3"/>
      <c r="B475" s="3"/>
      <c r="C475" s="3"/>
      <c r="D475" s="5"/>
      <c r="E475" s="5"/>
      <c r="F475" s="3"/>
      <c r="G475" s="7"/>
      <c r="H475" s="3"/>
    </row>
    <row r="476">
      <c r="A476" s="3"/>
      <c r="B476" s="3"/>
      <c r="C476" s="3"/>
      <c r="D476" s="5"/>
      <c r="E476" s="5"/>
      <c r="F476" s="3"/>
      <c r="G476" s="3"/>
      <c r="H476" s="3"/>
    </row>
    <row r="477">
      <c r="A477" s="3"/>
      <c r="B477" s="3"/>
      <c r="C477" s="3"/>
      <c r="D477" s="5"/>
      <c r="E477" s="5"/>
      <c r="F477" s="3"/>
      <c r="G477" s="7"/>
      <c r="H477" s="3"/>
    </row>
    <row r="478">
      <c r="A478" s="3"/>
      <c r="B478" s="3"/>
      <c r="C478" s="3"/>
      <c r="D478" s="5"/>
      <c r="E478" s="5"/>
      <c r="F478" s="3"/>
      <c r="G478" s="7"/>
      <c r="H478" s="3"/>
    </row>
    <row r="479">
      <c r="A479" s="3"/>
      <c r="B479" s="3"/>
      <c r="C479" s="3"/>
      <c r="D479" s="5"/>
      <c r="E479" s="5"/>
      <c r="F479" s="3"/>
      <c r="G479" s="7"/>
      <c r="H479" s="3"/>
    </row>
    <row r="480">
      <c r="A480" s="3"/>
      <c r="B480" s="3"/>
      <c r="C480" s="3"/>
      <c r="D480" s="5"/>
      <c r="E480" s="5"/>
      <c r="F480" s="3"/>
      <c r="G480" s="7"/>
      <c r="H480" s="3"/>
    </row>
    <row r="481">
      <c r="A481" s="3"/>
      <c r="B481" s="3"/>
      <c r="C481" s="3"/>
      <c r="D481" s="5"/>
      <c r="E481" s="5"/>
      <c r="F481" s="3"/>
      <c r="G481" s="3"/>
      <c r="H481" s="3"/>
    </row>
    <row r="482">
      <c r="A482" s="3"/>
      <c r="B482" s="3"/>
      <c r="C482" s="3"/>
      <c r="D482" s="5"/>
      <c r="E482" s="5"/>
      <c r="F482" s="3"/>
      <c r="G482" s="7"/>
      <c r="H482" s="3"/>
    </row>
    <row r="483">
      <c r="A483" s="3"/>
      <c r="B483" s="3"/>
      <c r="C483" s="3"/>
      <c r="D483" s="5"/>
      <c r="E483" s="5"/>
      <c r="F483" s="3"/>
      <c r="G483" s="7"/>
      <c r="H483" s="3"/>
    </row>
    <row r="484">
      <c r="A484" s="3"/>
      <c r="B484" s="3"/>
      <c r="C484" s="3"/>
      <c r="D484" s="5"/>
      <c r="E484" s="5"/>
      <c r="F484" s="3"/>
      <c r="G484" s="7"/>
      <c r="H484" s="3"/>
    </row>
    <row r="485">
      <c r="A485" s="3"/>
      <c r="B485" s="3"/>
      <c r="C485" s="3"/>
      <c r="D485" s="5"/>
      <c r="E485" s="5"/>
      <c r="F485" s="3"/>
      <c r="G485" s="7"/>
      <c r="H485" s="3"/>
    </row>
    <row r="486">
      <c r="A486" s="3"/>
      <c r="B486" s="3"/>
      <c r="C486" s="3"/>
      <c r="D486" s="5"/>
      <c r="E486" s="5"/>
      <c r="F486" s="3"/>
      <c r="G486" s="3"/>
      <c r="H486" s="3"/>
    </row>
    <row r="487">
      <c r="A487" s="3"/>
      <c r="B487" s="3"/>
      <c r="C487" s="3"/>
      <c r="D487" s="5"/>
      <c r="E487" s="5"/>
      <c r="F487" s="3"/>
      <c r="G487" s="7"/>
      <c r="H487" s="3"/>
    </row>
    <row r="488">
      <c r="A488" s="3"/>
      <c r="B488" s="3"/>
      <c r="C488" s="3"/>
      <c r="D488" s="5"/>
      <c r="E488" s="5"/>
      <c r="F488" s="3"/>
      <c r="G488" s="7"/>
      <c r="H488" s="3"/>
    </row>
    <row r="489">
      <c r="A489" s="3"/>
      <c r="B489" s="3"/>
      <c r="C489" s="3"/>
      <c r="D489" s="5"/>
      <c r="E489" s="5"/>
      <c r="F489" s="3"/>
      <c r="G489" s="7"/>
      <c r="H489" s="3"/>
    </row>
    <row r="490">
      <c r="A490" s="3"/>
      <c r="B490" s="3"/>
      <c r="C490" s="3"/>
      <c r="D490" s="5"/>
      <c r="E490" s="5"/>
      <c r="F490" s="3"/>
      <c r="G490" s="7"/>
      <c r="H490" s="3"/>
    </row>
    <row r="491">
      <c r="A491" s="3"/>
      <c r="B491" s="3"/>
      <c r="C491" s="3"/>
      <c r="D491" s="5"/>
      <c r="E491" s="5"/>
      <c r="F491" s="3"/>
      <c r="G491" s="3"/>
      <c r="H491" s="3"/>
    </row>
    <row r="492">
      <c r="A492" s="3"/>
      <c r="B492" s="3"/>
      <c r="C492" s="3"/>
      <c r="D492" s="5"/>
      <c r="E492" s="5"/>
      <c r="F492" s="3"/>
      <c r="G492" s="7"/>
      <c r="H492" s="3"/>
    </row>
    <row r="493">
      <c r="A493" s="3"/>
      <c r="B493" s="3"/>
      <c r="C493" s="3"/>
      <c r="D493" s="5"/>
      <c r="E493" s="5"/>
      <c r="F493" s="3"/>
      <c r="G493" s="7"/>
      <c r="H493" s="3"/>
    </row>
    <row r="494">
      <c r="A494" s="3"/>
      <c r="B494" s="3"/>
      <c r="C494" s="3"/>
      <c r="D494" s="5"/>
      <c r="E494" s="5"/>
      <c r="F494" s="3"/>
      <c r="G494" s="7"/>
      <c r="H494" s="3"/>
    </row>
    <row r="495">
      <c r="A495" s="3"/>
      <c r="B495" s="3"/>
      <c r="C495" s="3"/>
      <c r="D495" s="5"/>
      <c r="E495" s="5"/>
      <c r="F495" s="3"/>
      <c r="G495" s="7"/>
      <c r="H495" s="3"/>
    </row>
    <row r="496">
      <c r="A496" s="3"/>
      <c r="B496" s="3"/>
      <c r="C496" s="3"/>
      <c r="D496" s="5"/>
      <c r="E496" s="5"/>
      <c r="F496" s="3"/>
      <c r="G496" s="3"/>
      <c r="H496" s="3"/>
    </row>
    <row r="497">
      <c r="A497" s="3"/>
      <c r="B497" s="3"/>
      <c r="C497" s="3"/>
      <c r="D497" s="5"/>
      <c r="E497" s="5"/>
      <c r="F497" s="3"/>
      <c r="G497" s="7"/>
      <c r="H497" s="3"/>
    </row>
    <row r="498">
      <c r="A498" s="3"/>
      <c r="B498" s="3"/>
      <c r="C498" s="3"/>
      <c r="D498" s="5"/>
      <c r="E498" s="5"/>
      <c r="F498" s="3"/>
      <c r="G498" s="7"/>
      <c r="H498" s="3"/>
    </row>
    <row r="499">
      <c r="A499" s="3"/>
      <c r="B499" s="3"/>
      <c r="C499" s="3"/>
      <c r="D499" s="5"/>
      <c r="E499" s="5"/>
      <c r="F499" s="3"/>
      <c r="G499" s="7"/>
      <c r="H499" s="3"/>
    </row>
    <row r="500">
      <c r="A500" s="3"/>
      <c r="B500" s="3"/>
      <c r="C500" s="3"/>
      <c r="D500" s="5"/>
      <c r="E500" s="5"/>
      <c r="F500" s="3"/>
      <c r="G500" s="7"/>
      <c r="H500" s="3"/>
    </row>
    <row r="501">
      <c r="A501" s="3"/>
      <c r="B501" s="3"/>
      <c r="C501" s="3"/>
      <c r="D501" s="5"/>
      <c r="E501" s="5"/>
      <c r="F501" s="3"/>
      <c r="G501" s="3"/>
      <c r="H501" s="3"/>
    </row>
    <row r="502">
      <c r="A502" s="3"/>
      <c r="B502" s="3"/>
      <c r="C502" s="3"/>
      <c r="D502" s="5"/>
      <c r="E502" s="5"/>
      <c r="F502" s="3"/>
      <c r="G502" s="7"/>
      <c r="H502" s="3"/>
    </row>
    <row r="503">
      <c r="A503" s="3"/>
      <c r="B503" s="3"/>
      <c r="C503" s="3"/>
      <c r="D503" s="5"/>
      <c r="E503" s="5"/>
      <c r="F503" s="3"/>
      <c r="G503" s="7"/>
      <c r="H503" s="3"/>
    </row>
    <row r="504">
      <c r="A504" s="3"/>
      <c r="B504" s="3"/>
      <c r="C504" s="3"/>
      <c r="D504" s="5"/>
      <c r="E504" s="5"/>
      <c r="F504" s="3"/>
      <c r="G504" s="7"/>
      <c r="H504" s="3"/>
    </row>
    <row r="505">
      <c r="A505" s="3"/>
      <c r="B505" s="3"/>
      <c r="C505" s="3"/>
      <c r="D505" s="5"/>
      <c r="E505" s="5"/>
      <c r="F505" s="3"/>
      <c r="G505" s="7"/>
      <c r="H505" s="3"/>
    </row>
    <row r="506">
      <c r="A506" s="3"/>
      <c r="B506" s="3"/>
      <c r="C506" s="3"/>
      <c r="D506" s="5"/>
      <c r="E506" s="5"/>
      <c r="F506" s="3"/>
      <c r="G506" s="3"/>
      <c r="H506" s="3"/>
    </row>
    <row r="507">
      <c r="A507" s="3"/>
      <c r="B507" s="3"/>
      <c r="C507" s="3"/>
      <c r="D507" s="5"/>
      <c r="E507" s="5"/>
      <c r="F507" s="3"/>
      <c r="G507" s="7"/>
      <c r="H507" s="3"/>
    </row>
    <row r="508">
      <c r="A508" s="3"/>
      <c r="B508" s="3"/>
      <c r="C508" s="3"/>
      <c r="D508" s="5"/>
      <c r="E508" s="5"/>
      <c r="F508" s="3"/>
      <c r="G508" s="7"/>
      <c r="H508" s="3"/>
    </row>
    <row r="509">
      <c r="A509" s="3"/>
      <c r="B509" s="3"/>
      <c r="C509" s="3"/>
      <c r="D509" s="5"/>
      <c r="E509" s="5"/>
      <c r="F509" s="3"/>
      <c r="G509" s="7"/>
      <c r="H509" s="3"/>
    </row>
    <row r="510">
      <c r="A510" s="3"/>
      <c r="B510" s="3"/>
      <c r="C510" s="3"/>
      <c r="D510" s="5"/>
      <c r="E510" s="5"/>
      <c r="F510" s="3"/>
      <c r="G510" s="7"/>
      <c r="H510" s="3"/>
    </row>
    <row r="511">
      <c r="A511" s="3"/>
      <c r="B511" s="3"/>
      <c r="C511" s="3"/>
      <c r="D511" s="5"/>
      <c r="E511" s="5"/>
      <c r="F511" s="3"/>
      <c r="G511" s="3"/>
      <c r="H511" s="3"/>
    </row>
    <row r="512">
      <c r="A512" s="3"/>
      <c r="B512" s="3"/>
      <c r="C512" s="3"/>
      <c r="D512" s="5"/>
      <c r="E512" s="5"/>
      <c r="F512" s="3"/>
      <c r="G512" s="7"/>
      <c r="H512" s="3"/>
    </row>
    <row r="513">
      <c r="A513" s="3"/>
      <c r="B513" s="3"/>
      <c r="C513" s="3"/>
      <c r="D513" s="5"/>
      <c r="E513" s="5"/>
      <c r="F513" s="3"/>
      <c r="G513" s="7"/>
      <c r="H513" s="3"/>
    </row>
    <row r="514">
      <c r="A514" s="3"/>
      <c r="B514" s="3"/>
      <c r="C514" s="3"/>
      <c r="D514" s="5"/>
      <c r="E514" s="5"/>
      <c r="F514" s="3"/>
      <c r="G514" s="7"/>
      <c r="H514" s="3"/>
    </row>
    <row r="515">
      <c r="A515" s="3"/>
      <c r="B515" s="3"/>
      <c r="C515" s="3"/>
      <c r="D515" s="5"/>
      <c r="E515" s="5"/>
      <c r="F515" s="3"/>
      <c r="G515" s="7"/>
      <c r="H515" s="3"/>
    </row>
    <row r="516">
      <c r="A516" s="3"/>
      <c r="B516" s="3"/>
      <c r="C516" s="3"/>
      <c r="D516" s="5"/>
      <c r="E516" s="5"/>
      <c r="F516" s="3"/>
      <c r="G516" s="3"/>
      <c r="H516" s="3"/>
    </row>
    <row r="517">
      <c r="A517" s="3"/>
      <c r="B517" s="3"/>
      <c r="C517" s="3"/>
      <c r="D517" s="5"/>
      <c r="E517" s="5"/>
      <c r="F517" s="3"/>
      <c r="G517" s="7"/>
      <c r="H517" s="3"/>
    </row>
    <row r="518">
      <c r="A518" s="3"/>
      <c r="B518" s="3"/>
      <c r="C518" s="3"/>
      <c r="D518" s="5"/>
      <c r="E518" s="5"/>
      <c r="F518" s="3"/>
      <c r="G518" s="7"/>
      <c r="H518" s="3"/>
    </row>
    <row r="519">
      <c r="A519" s="3"/>
      <c r="B519" s="3"/>
      <c r="C519" s="3"/>
      <c r="D519" s="5"/>
      <c r="E519" s="5"/>
      <c r="F519" s="3"/>
      <c r="G519" s="7"/>
      <c r="H519" s="3"/>
    </row>
    <row r="520">
      <c r="A520" s="3"/>
      <c r="B520" s="3"/>
      <c r="C520" s="3"/>
      <c r="D520" s="5"/>
      <c r="E520" s="5"/>
      <c r="F520" s="3"/>
      <c r="G520" s="7"/>
      <c r="H520" s="3"/>
    </row>
    <row r="521">
      <c r="A521" s="3"/>
      <c r="B521" s="3"/>
      <c r="C521" s="3"/>
      <c r="D521" s="5"/>
      <c r="E521" s="5"/>
      <c r="F521" s="3"/>
      <c r="G521" s="3"/>
      <c r="H521" s="3"/>
    </row>
    <row r="522">
      <c r="A522" s="3"/>
      <c r="B522" s="3"/>
      <c r="C522" s="3"/>
      <c r="D522" s="5"/>
      <c r="E522" s="5"/>
      <c r="F522" s="3"/>
      <c r="G522" s="7"/>
      <c r="H522" s="3"/>
    </row>
    <row r="523">
      <c r="A523" s="3"/>
      <c r="B523" s="3"/>
      <c r="C523" s="3"/>
      <c r="D523" s="5"/>
      <c r="E523" s="5"/>
      <c r="F523" s="3"/>
      <c r="G523" s="7"/>
      <c r="H523" s="3"/>
    </row>
    <row r="524">
      <c r="A524" s="3"/>
      <c r="B524" s="3"/>
      <c r="C524" s="3"/>
      <c r="D524" s="5"/>
      <c r="E524" s="5"/>
      <c r="F524" s="3"/>
      <c r="G524" s="7"/>
      <c r="H524" s="3"/>
    </row>
    <row r="525">
      <c r="A525" s="3"/>
      <c r="B525" s="3"/>
      <c r="C525" s="3"/>
      <c r="D525" s="5"/>
      <c r="E525" s="5"/>
      <c r="F525" s="3"/>
      <c r="G525" s="7"/>
      <c r="H525" s="3"/>
    </row>
    <row r="526">
      <c r="A526" s="3"/>
      <c r="B526" s="3"/>
      <c r="C526" s="3"/>
      <c r="D526" s="5"/>
      <c r="E526" s="5"/>
      <c r="F526" s="3"/>
      <c r="G526" s="3"/>
      <c r="H526" s="3"/>
    </row>
    <row r="527">
      <c r="A527" s="3"/>
      <c r="B527" s="3"/>
      <c r="C527" s="3"/>
      <c r="D527" s="5"/>
      <c r="E527" s="5"/>
      <c r="F527" s="3"/>
      <c r="G527" s="7"/>
      <c r="H527" s="3"/>
    </row>
    <row r="528">
      <c r="A528" s="3"/>
      <c r="B528" s="3"/>
      <c r="C528" s="3"/>
      <c r="D528" s="5"/>
      <c r="E528" s="5"/>
      <c r="F528" s="3"/>
      <c r="G528" s="7"/>
      <c r="H528" s="3"/>
    </row>
    <row r="529">
      <c r="A529" s="3"/>
      <c r="B529" s="3"/>
      <c r="C529" s="3"/>
      <c r="D529" s="5"/>
      <c r="E529" s="5"/>
      <c r="F529" s="3"/>
      <c r="G529" s="7"/>
      <c r="H529" s="3"/>
    </row>
    <row r="530">
      <c r="A530" s="3"/>
      <c r="B530" s="3"/>
      <c r="C530" s="3"/>
      <c r="D530" s="5"/>
      <c r="E530" s="5"/>
      <c r="F530" s="3"/>
      <c r="G530" s="7"/>
      <c r="H530" s="3"/>
    </row>
    <row r="531">
      <c r="A531" s="3"/>
      <c r="B531" s="3"/>
      <c r="C531" s="3"/>
      <c r="D531" s="5"/>
      <c r="E531" s="5"/>
      <c r="F531" s="3"/>
      <c r="G531" s="3"/>
      <c r="H531" s="3"/>
    </row>
    <row r="532">
      <c r="A532" s="3"/>
      <c r="B532" s="3"/>
      <c r="C532" s="3"/>
      <c r="D532" s="5"/>
      <c r="E532" s="5"/>
      <c r="F532" s="3"/>
      <c r="G532" s="7"/>
      <c r="H532" s="3"/>
    </row>
    <row r="533">
      <c r="A533" s="3"/>
      <c r="B533" s="3"/>
      <c r="C533" s="3"/>
      <c r="D533" s="5"/>
      <c r="E533" s="5"/>
      <c r="F533" s="3"/>
      <c r="G533" s="7"/>
      <c r="H533" s="3"/>
    </row>
    <row r="534">
      <c r="A534" s="3"/>
      <c r="B534" s="3"/>
      <c r="C534" s="3"/>
      <c r="D534" s="5"/>
      <c r="E534" s="5"/>
      <c r="F534" s="3"/>
      <c r="G534" s="7"/>
      <c r="H534" s="3"/>
    </row>
    <row r="535">
      <c r="A535" s="3"/>
      <c r="B535" s="3"/>
      <c r="C535" s="3"/>
      <c r="D535" s="5"/>
      <c r="E535" s="5"/>
      <c r="F535" s="3"/>
      <c r="G535" s="7"/>
      <c r="H535" s="3"/>
    </row>
    <row r="536">
      <c r="A536" s="3"/>
      <c r="B536" s="3"/>
      <c r="C536" s="3"/>
      <c r="D536" s="5"/>
      <c r="E536" s="5"/>
      <c r="F536" s="3"/>
      <c r="G536" s="3"/>
      <c r="H536" s="3"/>
    </row>
    <row r="537">
      <c r="A537" s="3"/>
      <c r="B537" s="3"/>
      <c r="C537" s="3"/>
      <c r="D537" s="5"/>
      <c r="E537" s="5"/>
      <c r="F537" s="3"/>
      <c r="G537" s="7"/>
      <c r="H537" s="3"/>
    </row>
    <row r="538">
      <c r="A538" s="3"/>
      <c r="B538" s="3"/>
      <c r="C538" s="3"/>
      <c r="D538" s="5"/>
      <c r="E538" s="5"/>
      <c r="F538" s="3"/>
      <c r="G538" s="7"/>
      <c r="H538" s="3"/>
    </row>
    <row r="539">
      <c r="A539" s="3"/>
      <c r="B539" s="3"/>
      <c r="C539" s="3"/>
      <c r="D539" s="5"/>
      <c r="E539" s="5"/>
      <c r="F539" s="3"/>
      <c r="G539" s="7"/>
      <c r="H539" s="3"/>
    </row>
    <row r="540">
      <c r="A540" s="3"/>
      <c r="B540" s="3"/>
      <c r="C540" s="3"/>
      <c r="D540" s="5"/>
      <c r="E540" s="5"/>
      <c r="F540" s="3"/>
      <c r="G540" s="7"/>
      <c r="H540" s="3"/>
    </row>
    <row r="541">
      <c r="A541" s="3"/>
      <c r="B541" s="3"/>
      <c r="C541" s="3"/>
      <c r="D541" s="5"/>
      <c r="E541" s="5"/>
      <c r="F541" s="3"/>
      <c r="G541" s="3"/>
      <c r="H541" s="3"/>
    </row>
    <row r="542">
      <c r="A542" s="3"/>
      <c r="B542" s="3"/>
      <c r="C542" s="3"/>
      <c r="D542" s="5"/>
      <c r="E542" s="5"/>
      <c r="F542" s="3"/>
      <c r="G542" s="7"/>
      <c r="H542" s="3"/>
    </row>
    <row r="543">
      <c r="A543" s="3"/>
      <c r="B543" s="3"/>
      <c r="C543" s="3"/>
      <c r="D543" s="5"/>
      <c r="E543" s="5"/>
      <c r="F543" s="3"/>
      <c r="G543" s="7"/>
      <c r="H543" s="3"/>
    </row>
    <row r="544">
      <c r="A544" s="3"/>
      <c r="B544" s="3"/>
      <c r="C544" s="3"/>
      <c r="D544" s="5"/>
      <c r="E544" s="5"/>
      <c r="F544" s="3"/>
      <c r="G544" s="7"/>
      <c r="H544" s="3"/>
    </row>
    <row r="545">
      <c r="A545" s="3"/>
      <c r="B545" s="3"/>
      <c r="C545" s="3"/>
      <c r="D545" s="5"/>
      <c r="E545" s="5"/>
      <c r="F545" s="3"/>
      <c r="G545" s="7"/>
      <c r="H545" s="3"/>
    </row>
    <row r="546">
      <c r="A546" s="3"/>
      <c r="B546" s="3"/>
      <c r="C546" s="3"/>
      <c r="D546" s="5"/>
      <c r="E546" s="5"/>
      <c r="F546" s="3"/>
      <c r="G546" s="3"/>
      <c r="H546" s="3"/>
    </row>
    <row r="547">
      <c r="A547" s="3"/>
      <c r="B547" s="3"/>
      <c r="C547" s="3"/>
      <c r="D547" s="5"/>
      <c r="E547" s="5"/>
      <c r="F547" s="3"/>
      <c r="G547" s="7"/>
      <c r="H547" s="3"/>
    </row>
    <row r="548">
      <c r="A548" s="3"/>
      <c r="B548" s="3"/>
      <c r="C548" s="3"/>
      <c r="D548" s="5"/>
      <c r="E548" s="5"/>
      <c r="F548" s="3"/>
      <c r="G548" s="7"/>
      <c r="H548" s="3"/>
    </row>
    <row r="549">
      <c r="A549" s="3"/>
      <c r="B549" s="3"/>
      <c r="C549" s="3"/>
      <c r="D549" s="5"/>
      <c r="E549" s="5"/>
      <c r="F549" s="3"/>
      <c r="G549" s="7"/>
      <c r="H549" s="3"/>
    </row>
    <row r="550">
      <c r="A550" s="3"/>
      <c r="B550" s="3"/>
      <c r="C550" s="3"/>
      <c r="D550" s="5"/>
      <c r="E550" s="5"/>
      <c r="F550" s="3"/>
      <c r="G550" s="7"/>
      <c r="H550" s="3"/>
    </row>
    <row r="551">
      <c r="A551" s="3"/>
      <c r="B551" s="3"/>
      <c r="C551" s="3"/>
      <c r="D551" s="5"/>
      <c r="E551" s="5"/>
      <c r="F551" s="3"/>
      <c r="G551" s="3"/>
      <c r="H551" s="3"/>
    </row>
    <row r="552">
      <c r="A552" s="3"/>
      <c r="B552" s="3"/>
      <c r="C552" s="3"/>
      <c r="D552" s="5"/>
      <c r="E552" s="5"/>
      <c r="F552" s="3"/>
      <c r="G552" s="7"/>
      <c r="H552" s="3"/>
    </row>
    <row r="553">
      <c r="A553" s="3"/>
      <c r="B553" s="3"/>
      <c r="C553" s="3"/>
      <c r="D553" s="5"/>
      <c r="E553" s="5"/>
      <c r="F553" s="3"/>
      <c r="G553" s="7"/>
      <c r="H553" s="3"/>
    </row>
    <row r="554">
      <c r="A554" s="3"/>
      <c r="B554" s="3"/>
      <c r="C554" s="3"/>
      <c r="D554" s="5"/>
      <c r="E554" s="5"/>
      <c r="F554" s="3"/>
      <c r="G554" s="7"/>
      <c r="H554" s="3"/>
    </row>
    <row r="555">
      <c r="A555" s="3"/>
      <c r="B555" s="3"/>
      <c r="C555" s="3"/>
      <c r="D555" s="5"/>
      <c r="E555" s="5"/>
      <c r="F555" s="3"/>
      <c r="G555" s="7"/>
      <c r="H555" s="3"/>
    </row>
    <row r="556">
      <c r="A556" s="3"/>
      <c r="B556" s="3"/>
      <c r="C556" s="3"/>
      <c r="D556" s="5"/>
      <c r="E556" s="5"/>
      <c r="F556" s="3"/>
      <c r="G556" s="3"/>
      <c r="H556" s="3"/>
    </row>
    <row r="557">
      <c r="A557" s="3"/>
      <c r="B557" s="3"/>
      <c r="C557" s="3"/>
      <c r="D557" s="5"/>
      <c r="E557" s="5"/>
      <c r="F557" s="3"/>
      <c r="G557" s="7"/>
      <c r="H557" s="3"/>
    </row>
    <row r="558">
      <c r="A558" s="3"/>
      <c r="B558" s="3"/>
      <c r="C558" s="3"/>
      <c r="D558" s="5"/>
      <c r="E558" s="5"/>
      <c r="F558" s="3"/>
      <c r="G558" s="7"/>
      <c r="H558" s="3"/>
    </row>
    <row r="559">
      <c r="A559" s="3"/>
      <c r="B559" s="3"/>
      <c r="C559" s="3"/>
      <c r="D559" s="5"/>
      <c r="E559" s="5"/>
      <c r="F559" s="3"/>
      <c r="G559" s="7"/>
      <c r="H559" s="3"/>
    </row>
    <row r="560">
      <c r="A560" s="3"/>
      <c r="B560" s="3"/>
      <c r="C560" s="3"/>
      <c r="D560" s="5"/>
      <c r="E560" s="5"/>
      <c r="F560" s="3"/>
      <c r="G560" s="7"/>
      <c r="H560" s="3"/>
    </row>
    <row r="561">
      <c r="A561" s="3"/>
      <c r="B561" s="3"/>
      <c r="C561" s="3"/>
      <c r="D561" s="5"/>
      <c r="E561" s="5"/>
      <c r="F561" s="3"/>
      <c r="G561" s="3"/>
      <c r="H561" s="3"/>
    </row>
    <row r="562">
      <c r="A562" s="3"/>
      <c r="B562" s="3"/>
      <c r="C562" s="3"/>
      <c r="D562" s="5"/>
      <c r="E562" s="5"/>
      <c r="F562" s="3"/>
      <c r="G562" s="7"/>
      <c r="H562" s="3"/>
    </row>
    <row r="563">
      <c r="A563" s="3"/>
      <c r="B563" s="3"/>
      <c r="C563" s="3"/>
      <c r="D563" s="5"/>
      <c r="E563" s="5"/>
      <c r="F563" s="3"/>
      <c r="G563" s="7"/>
      <c r="H563" s="3"/>
    </row>
    <row r="564">
      <c r="A564" s="3"/>
      <c r="B564" s="3"/>
      <c r="C564" s="3"/>
      <c r="D564" s="5"/>
      <c r="E564" s="5"/>
      <c r="F564" s="3"/>
      <c r="G564" s="7"/>
      <c r="H564" s="3"/>
    </row>
    <row r="565">
      <c r="A565" s="3"/>
      <c r="B565" s="3"/>
      <c r="C565" s="3"/>
      <c r="D565" s="5"/>
      <c r="E565" s="5"/>
      <c r="F565" s="3"/>
      <c r="G565" s="7"/>
      <c r="H565" s="3"/>
    </row>
    <row r="566">
      <c r="A566" s="3"/>
      <c r="B566" s="3"/>
      <c r="C566" s="3"/>
      <c r="D566" s="5"/>
      <c r="E566" s="5"/>
      <c r="F566" s="3"/>
      <c r="G566" s="3"/>
      <c r="H566" s="3"/>
    </row>
    <row r="567">
      <c r="A567" s="3"/>
      <c r="B567" s="3"/>
      <c r="C567" s="3"/>
      <c r="D567" s="5"/>
      <c r="E567" s="5"/>
      <c r="F567" s="3"/>
      <c r="G567" s="7"/>
      <c r="H567" s="3"/>
    </row>
    <row r="568">
      <c r="A568" s="3"/>
      <c r="B568" s="3"/>
      <c r="C568" s="3"/>
      <c r="D568" s="5"/>
      <c r="E568" s="5"/>
      <c r="F568" s="3"/>
      <c r="G568" s="7"/>
      <c r="H568" s="3"/>
    </row>
    <row r="569">
      <c r="A569" s="3"/>
      <c r="B569" s="3"/>
      <c r="C569" s="3"/>
      <c r="D569" s="5"/>
      <c r="E569" s="5"/>
      <c r="F569" s="3"/>
      <c r="G569" s="7"/>
      <c r="H569" s="3"/>
    </row>
    <row r="570">
      <c r="A570" s="3"/>
      <c r="B570" s="3"/>
      <c r="C570" s="3"/>
      <c r="D570" s="5"/>
      <c r="E570" s="5"/>
      <c r="F570" s="3"/>
      <c r="G570" s="7"/>
      <c r="H570" s="3"/>
    </row>
    <row r="571">
      <c r="A571" s="3"/>
      <c r="B571" s="3"/>
      <c r="C571" s="3"/>
      <c r="D571" s="5"/>
      <c r="E571" s="5"/>
      <c r="F571" s="3"/>
      <c r="G571" s="3"/>
      <c r="H571" s="3"/>
    </row>
    <row r="572">
      <c r="A572" s="3"/>
      <c r="B572" s="3"/>
      <c r="C572" s="3"/>
      <c r="D572" s="5"/>
      <c r="E572" s="5"/>
      <c r="F572" s="3"/>
      <c r="G572" s="7"/>
      <c r="H572" s="3"/>
    </row>
    <row r="573">
      <c r="A573" s="3"/>
      <c r="B573" s="3"/>
      <c r="C573" s="3"/>
      <c r="D573" s="5"/>
      <c r="E573" s="5"/>
      <c r="F573" s="3"/>
      <c r="G573" s="7"/>
      <c r="H573" s="3"/>
    </row>
    <row r="574">
      <c r="A574" s="3"/>
      <c r="B574" s="3"/>
      <c r="C574" s="3"/>
      <c r="D574" s="5"/>
      <c r="E574" s="5"/>
      <c r="F574" s="3"/>
      <c r="G574" s="7"/>
      <c r="H574" s="3"/>
    </row>
    <row r="575">
      <c r="A575" s="3"/>
      <c r="B575" s="3"/>
      <c r="C575" s="3"/>
      <c r="D575" s="5"/>
      <c r="E575" s="5"/>
      <c r="F575" s="3"/>
      <c r="G575" s="7"/>
      <c r="H575" s="3"/>
    </row>
    <row r="576">
      <c r="A576" s="3"/>
      <c r="B576" s="3"/>
      <c r="C576" s="3"/>
      <c r="D576" s="5"/>
      <c r="E576" s="5"/>
      <c r="F576" s="3"/>
      <c r="G576" s="3"/>
      <c r="H576" s="3"/>
    </row>
    <row r="577">
      <c r="A577" s="3"/>
      <c r="B577" s="3"/>
      <c r="C577" s="3"/>
      <c r="D577" s="5"/>
      <c r="E577" s="5"/>
      <c r="F577" s="3"/>
      <c r="G577" s="7"/>
      <c r="H577" s="3"/>
    </row>
    <row r="578">
      <c r="A578" s="3"/>
      <c r="B578" s="3"/>
      <c r="C578" s="3"/>
      <c r="D578" s="5"/>
      <c r="E578" s="5"/>
      <c r="F578" s="3"/>
      <c r="G578" s="7"/>
      <c r="H578" s="3"/>
    </row>
    <row r="579">
      <c r="A579" s="3"/>
      <c r="B579" s="3"/>
      <c r="C579" s="3"/>
      <c r="D579" s="5"/>
      <c r="E579" s="5"/>
      <c r="F579" s="3"/>
      <c r="G579" s="7"/>
      <c r="H579" s="3"/>
    </row>
    <row r="580">
      <c r="A580" s="3"/>
      <c r="B580" s="3"/>
      <c r="C580" s="3"/>
      <c r="D580" s="5"/>
      <c r="E580" s="5"/>
      <c r="F580" s="3"/>
      <c r="G580" s="7"/>
      <c r="H580" s="3"/>
    </row>
    <row r="581">
      <c r="A581" s="3"/>
      <c r="B581" s="3"/>
      <c r="C581" s="3"/>
      <c r="D581" s="5"/>
      <c r="E581" s="5"/>
      <c r="F581" s="3"/>
      <c r="G581" s="3"/>
      <c r="H581" s="3"/>
    </row>
    <row r="582">
      <c r="A582" s="3"/>
      <c r="B582" s="3"/>
      <c r="C582" s="3"/>
      <c r="D582" s="5"/>
      <c r="E582" s="5"/>
      <c r="F582" s="3"/>
      <c r="G582" s="7"/>
      <c r="H582" s="3"/>
    </row>
    <row r="583">
      <c r="A583" s="3"/>
      <c r="B583" s="3"/>
      <c r="C583" s="3"/>
      <c r="D583" s="5"/>
      <c r="E583" s="5"/>
      <c r="F583" s="3"/>
      <c r="G583" s="7"/>
      <c r="H583" s="3"/>
    </row>
    <row r="584">
      <c r="A584" s="3"/>
      <c r="B584" s="3"/>
      <c r="C584" s="3"/>
      <c r="D584" s="5"/>
      <c r="E584" s="5"/>
      <c r="F584" s="3"/>
      <c r="G584" s="7"/>
      <c r="H584" s="3"/>
    </row>
    <row r="585">
      <c r="A585" s="3"/>
      <c r="B585" s="3"/>
      <c r="C585" s="3"/>
      <c r="D585" s="5"/>
      <c r="E585" s="5"/>
      <c r="F585" s="3"/>
      <c r="G585" s="7"/>
      <c r="H585" s="3"/>
    </row>
    <row r="586">
      <c r="A586" s="3"/>
      <c r="B586" s="3"/>
      <c r="C586" s="3"/>
      <c r="D586" s="5"/>
      <c r="E586" s="5"/>
      <c r="F586" s="3"/>
      <c r="G586" s="3"/>
      <c r="H586" s="3"/>
    </row>
    <row r="587">
      <c r="A587" s="3"/>
      <c r="B587" s="3"/>
      <c r="C587" s="3"/>
      <c r="D587" s="5"/>
      <c r="E587" s="5"/>
      <c r="F587" s="3"/>
      <c r="G587" s="7"/>
      <c r="H587" s="3"/>
    </row>
    <row r="588">
      <c r="A588" s="3"/>
      <c r="B588" s="3"/>
      <c r="C588" s="3"/>
      <c r="D588" s="5"/>
      <c r="E588" s="5"/>
      <c r="F588" s="3"/>
      <c r="G588" s="7"/>
      <c r="H588" s="3"/>
    </row>
    <row r="589">
      <c r="A589" s="3"/>
      <c r="B589" s="3"/>
      <c r="C589" s="3"/>
      <c r="D589" s="5"/>
      <c r="E589" s="5"/>
      <c r="F589" s="3"/>
      <c r="G589" s="7"/>
      <c r="H589" s="3"/>
    </row>
    <row r="590">
      <c r="A590" s="3"/>
      <c r="B590" s="3"/>
      <c r="C590" s="3"/>
      <c r="D590" s="5"/>
      <c r="E590" s="5"/>
      <c r="F590" s="3"/>
      <c r="G590" s="7"/>
      <c r="H590" s="3"/>
    </row>
    <row r="591">
      <c r="A591" s="3"/>
      <c r="B591" s="3"/>
      <c r="C591" s="3"/>
      <c r="D591" s="5"/>
      <c r="E591" s="5"/>
      <c r="F591" s="3"/>
      <c r="G591" s="3"/>
      <c r="H591" s="3"/>
    </row>
    <row r="592">
      <c r="A592" s="3"/>
      <c r="B592" s="3"/>
      <c r="C592" s="3"/>
      <c r="D592" s="5"/>
      <c r="E592" s="5"/>
      <c r="F592" s="3"/>
      <c r="G592" s="7"/>
      <c r="H592" s="3"/>
    </row>
    <row r="593">
      <c r="A593" s="3"/>
      <c r="B593" s="3"/>
      <c r="C593" s="3"/>
      <c r="D593" s="5"/>
      <c r="E593" s="5"/>
      <c r="F593" s="3"/>
      <c r="G593" s="7"/>
      <c r="H593" s="3"/>
    </row>
    <row r="594">
      <c r="A594" s="3"/>
      <c r="B594" s="3"/>
      <c r="C594" s="3"/>
      <c r="D594" s="5"/>
      <c r="E594" s="5"/>
      <c r="F594" s="3"/>
      <c r="G594" s="7"/>
      <c r="H594" s="3"/>
    </row>
    <row r="595">
      <c r="A595" s="3"/>
      <c r="B595" s="3"/>
      <c r="C595" s="3"/>
      <c r="D595" s="5"/>
      <c r="E595" s="5"/>
      <c r="F595" s="3"/>
      <c r="G595" s="7"/>
      <c r="H595" s="3"/>
    </row>
    <row r="596">
      <c r="A596" s="3"/>
      <c r="B596" s="3"/>
      <c r="C596" s="3"/>
      <c r="D596" s="5"/>
      <c r="E596" s="5"/>
      <c r="F596" s="3"/>
      <c r="G596" s="3"/>
      <c r="H596" s="3"/>
    </row>
    <row r="597">
      <c r="A597" s="3"/>
      <c r="B597" s="3"/>
      <c r="C597" s="3"/>
      <c r="D597" s="5"/>
      <c r="E597" s="5"/>
      <c r="F597" s="3"/>
      <c r="G597" s="7"/>
      <c r="H597" s="3"/>
    </row>
    <row r="598">
      <c r="A598" s="3"/>
      <c r="B598" s="3"/>
      <c r="C598" s="3"/>
      <c r="D598" s="5"/>
      <c r="E598" s="5"/>
      <c r="F598" s="3"/>
      <c r="G598" s="7"/>
      <c r="H598" s="3"/>
    </row>
    <row r="599">
      <c r="A599" s="3"/>
      <c r="B599" s="3"/>
      <c r="C599" s="3"/>
      <c r="D599" s="5"/>
      <c r="E599" s="5"/>
      <c r="F599" s="3"/>
      <c r="G599" s="7"/>
      <c r="H599" s="3"/>
    </row>
    <row r="600">
      <c r="A600" s="3"/>
      <c r="B600" s="3"/>
      <c r="C600" s="3"/>
      <c r="D600" s="5"/>
      <c r="E600" s="5"/>
      <c r="F600" s="3"/>
      <c r="G600" s="7"/>
      <c r="H600" s="3"/>
    </row>
    <row r="601">
      <c r="A601" s="3"/>
      <c r="B601" s="3"/>
      <c r="C601" s="3"/>
      <c r="D601" s="5"/>
      <c r="E601" s="5"/>
      <c r="F601" s="3"/>
      <c r="G601" s="3"/>
      <c r="H601" s="3"/>
    </row>
    <row r="602">
      <c r="A602" s="3"/>
      <c r="B602" s="3"/>
      <c r="C602" s="3"/>
      <c r="D602" s="5"/>
      <c r="E602" s="5"/>
      <c r="F602" s="3"/>
      <c r="G602" s="7"/>
      <c r="H602" s="3"/>
    </row>
    <row r="603">
      <c r="A603" s="3"/>
      <c r="B603" s="3"/>
      <c r="C603" s="3"/>
      <c r="D603" s="5"/>
      <c r="E603" s="5"/>
      <c r="F603" s="3"/>
      <c r="G603" s="7"/>
      <c r="H603" s="3"/>
    </row>
    <row r="604">
      <c r="A604" s="3"/>
      <c r="B604" s="3"/>
      <c r="C604" s="3"/>
      <c r="D604" s="5"/>
      <c r="E604" s="5"/>
      <c r="F604" s="3"/>
      <c r="G604" s="7"/>
      <c r="H604" s="3"/>
    </row>
    <row r="605">
      <c r="A605" s="3"/>
      <c r="B605" s="3"/>
      <c r="C605" s="3"/>
      <c r="D605" s="5"/>
      <c r="E605" s="5"/>
      <c r="F605" s="3"/>
      <c r="G605" s="7"/>
      <c r="H605" s="3"/>
    </row>
    <row r="606">
      <c r="A606" s="3"/>
      <c r="B606" s="3"/>
      <c r="C606" s="3"/>
      <c r="D606" s="5"/>
      <c r="E606" s="5"/>
      <c r="F606" s="3"/>
      <c r="G606" s="3"/>
      <c r="H606" s="3"/>
    </row>
    <row r="607">
      <c r="A607" s="3"/>
      <c r="B607" s="3"/>
      <c r="C607" s="3"/>
      <c r="D607" s="5"/>
      <c r="E607" s="5"/>
      <c r="F607" s="3"/>
      <c r="G607" s="7"/>
      <c r="H607" s="3"/>
    </row>
    <row r="608">
      <c r="A608" s="3"/>
      <c r="B608" s="3"/>
      <c r="C608" s="3"/>
      <c r="D608" s="5"/>
      <c r="E608" s="5"/>
      <c r="F608" s="3"/>
      <c r="G608" s="7"/>
      <c r="H608" s="3"/>
    </row>
    <row r="609">
      <c r="A609" s="3"/>
      <c r="B609" s="3"/>
      <c r="C609" s="3"/>
      <c r="D609" s="5"/>
      <c r="E609" s="5"/>
      <c r="F609" s="3"/>
      <c r="G609" s="7"/>
      <c r="H609" s="3"/>
    </row>
    <row r="610">
      <c r="A610" s="3"/>
      <c r="B610" s="3"/>
      <c r="C610" s="3"/>
      <c r="D610" s="5"/>
      <c r="E610" s="5"/>
      <c r="F610" s="3"/>
      <c r="G610" s="7"/>
      <c r="H610" s="3"/>
    </row>
    <row r="611">
      <c r="A611" s="3"/>
      <c r="B611" s="3"/>
      <c r="C611" s="3"/>
      <c r="D611" s="5"/>
      <c r="E611" s="5"/>
      <c r="F611" s="3"/>
      <c r="G611" s="3"/>
      <c r="H611" s="3"/>
    </row>
    <row r="612">
      <c r="A612" s="3"/>
      <c r="B612" s="3"/>
      <c r="C612" s="3"/>
      <c r="D612" s="5"/>
      <c r="E612" s="5"/>
      <c r="F612" s="3"/>
      <c r="G612" s="7"/>
      <c r="H612" s="3"/>
    </row>
    <row r="613">
      <c r="A613" s="3"/>
      <c r="B613" s="3"/>
      <c r="C613" s="3"/>
      <c r="D613" s="5"/>
      <c r="E613" s="5"/>
      <c r="F613" s="3"/>
      <c r="G613" s="7"/>
      <c r="H613" s="3"/>
    </row>
    <row r="614">
      <c r="A614" s="3"/>
      <c r="B614" s="3"/>
      <c r="C614" s="3"/>
      <c r="D614" s="5"/>
      <c r="E614" s="5"/>
      <c r="F614" s="3"/>
      <c r="G614" s="7"/>
      <c r="H614" s="3"/>
    </row>
    <row r="615">
      <c r="A615" s="3"/>
      <c r="B615" s="3"/>
      <c r="C615" s="3"/>
      <c r="D615" s="5"/>
      <c r="E615" s="5"/>
      <c r="F615" s="3"/>
      <c r="G615" s="7"/>
      <c r="H615" s="3"/>
    </row>
    <row r="616">
      <c r="A616" s="3"/>
      <c r="B616" s="3"/>
      <c r="C616" s="3"/>
      <c r="D616" s="5"/>
      <c r="E616" s="5"/>
      <c r="F616" s="3"/>
      <c r="G616" s="3"/>
      <c r="H616" s="3"/>
    </row>
    <row r="617">
      <c r="A617" s="3"/>
      <c r="B617" s="3"/>
      <c r="C617" s="3"/>
      <c r="D617" s="5"/>
      <c r="E617" s="5"/>
      <c r="F617" s="3"/>
      <c r="G617" s="7"/>
      <c r="H617" s="3"/>
    </row>
    <row r="618">
      <c r="A618" s="3"/>
      <c r="B618" s="3"/>
      <c r="C618" s="3"/>
      <c r="D618" s="5"/>
      <c r="E618" s="5"/>
      <c r="F618" s="3"/>
      <c r="G618" s="7"/>
      <c r="H618" s="3"/>
    </row>
    <row r="619">
      <c r="A619" s="3"/>
      <c r="B619" s="3"/>
      <c r="C619" s="3"/>
      <c r="D619" s="5"/>
      <c r="E619" s="5"/>
      <c r="F619" s="3"/>
      <c r="G619" s="7"/>
      <c r="H619" s="3"/>
    </row>
    <row r="620">
      <c r="A620" s="3"/>
      <c r="B620" s="3"/>
      <c r="C620" s="3"/>
      <c r="D620" s="5"/>
      <c r="E620" s="5"/>
      <c r="F620" s="3"/>
      <c r="G620" s="7"/>
      <c r="H620" s="3"/>
    </row>
    <row r="621">
      <c r="A621" s="3"/>
      <c r="B621" s="3"/>
      <c r="C621" s="3"/>
      <c r="D621" s="5"/>
      <c r="E621" s="5"/>
      <c r="F621" s="3"/>
      <c r="G621" s="3"/>
      <c r="H621" s="3"/>
    </row>
    <row r="622">
      <c r="A622" s="3"/>
      <c r="B622" s="3"/>
      <c r="C622" s="3"/>
      <c r="D622" s="5"/>
      <c r="E622" s="5"/>
      <c r="F622" s="3"/>
      <c r="G622" s="7"/>
      <c r="H622" s="3"/>
    </row>
    <row r="623">
      <c r="A623" s="3"/>
      <c r="B623" s="3"/>
      <c r="C623" s="3"/>
      <c r="D623" s="5"/>
      <c r="E623" s="5"/>
      <c r="F623" s="3"/>
      <c r="G623" s="7"/>
      <c r="H623" s="3"/>
    </row>
    <row r="624">
      <c r="A624" s="3"/>
      <c r="B624" s="3"/>
      <c r="C624" s="3"/>
      <c r="D624" s="5"/>
      <c r="E624" s="5"/>
      <c r="F624" s="3"/>
      <c r="G624" s="7"/>
      <c r="H624" s="3"/>
    </row>
    <row r="625">
      <c r="A625" s="3"/>
      <c r="B625" s="3"/>
      <c r="C625" s="3"/>
      <c r="D625" s="5"/>
      <c r="E625" s="5"/>
      <c r="F625" s="3"/>
      <c r="G625" s="7"/>
      <c r="H625" s="3"/>
    </row>
    <row r="626">
      <c r="A626" s="3"/>
      <c r="B626" s="3"/>
      <c r="C626" s="3"/>
      <c r="D626" s="5"/>
      <c r="E626" s="5"/>
      <c r="F626" s="3"/>
      <c r="G626" s="3"/>
      <c r="H626" s="3"/>
    </row>
    <row r="627">
      <c r="A627" s="3"/>
      <c r="B627" s="3"/>
      <c r="C627" s="3"/>
      <c r="D627" s="5"/>
      <c r="E627" s="5"/>
      <c r="F627" s="3"/>
      <c r="G627" s="7"/>
      <c r="H627" s="3"/>
    </row>
    <row r="628">
      <c r="A628" s="3"/>
      <c r="B628" s="3"/>
      <c r="C628" s="3"/>
      <c r="D628" s="5"/>
      <c r="E628" s="5"/>
      <c r="F628" s="3"/>
      <c r="G628" s="7"/>
      <c r="H628" s="3"/>
    </row>
    <row r="629">
      <c r="A629" s="3"/>
      <c r="B629" s="3"/>
      <c r="C629" s="3"/>
      <c r="D629" s="5"/>
      <c r="E629" s="5"/>
      <c r="F629" s="3"/>
      <c r="G629" s="7"/>
      <c r="H629" s="3"/>
    </row>
    <row r="630">
      <c r="A630" s="3"/>
      <c r="B630" s="3"/>
      <c r="C630" s="3"/>
      <c r="D630" s="5"/>
      <c r="E630" s="5"/>
      <c r="F630" s="3"/>
      <c r="G630" s="7"/>
      <c r="H630" s="3"/>
    </row>
    <row r="631">
      <c r="A631" s="3"/>
      <c r="B631" s="3"/>
      <c r="C631" s="3"/>
      <c r="D631" s="5"/>
      <c r="E631" s="5"/>
      <c r="F631" s="3"/>
      <c r="G631" s="3"/>
      <c r="H631" s="3"/>
    </row>
    <row r="632">
      <c r="A632" s="3"/>
      <c r="B632" s="3"/>
      <c r="C632" s="3"/>
      <c r="D632" s="5"/>
      <c r="E632" s="5"/>
      <c r="F632" s="3"/>
      <c r="G632" s="7"/>
      <c r="H632" s="3"/>
    </row>
    <row r="633">
      <c r="A633" s="3"/>
      <c r="B633" s="3"/>
      <c r="C633" s="3"/>
      <c r="D633" s="5"/>
      <c r="E633" s="5"/>
      <c r="F633" s="3"/>
      <c r="G633" s="7"/>
      <c r="H633" s="3"/>
    </row>
    <row r="634">
      <c r="A634" s="3"/>
      <c r="B634" s="3"/>
      <c r="C634" s="3"/>
      <c r="D634" s="5"/>
      <c r="E634" s="5"/>
      <c r="F634" s="3"/>
      <c r="G634" s="7"/>
      <c r="H634" s="3"/>
    </row>
    <row r="635">
      <c r="A635" s="3"/>
      <c r="B635" s="3"/>
      <c r="C635" s="3"/>
      <c r="D635" s="5"/>
      <c r="E635" s="5"/>
      <c r="F635" s="3"/>
      <c r="G635" s="7"/>
      <c r="H635" s="3"/>
    </row>
    <row r="636">
      <c r="A636" s="3"/>
      <c r="B636" s="3"/>
      <c r="C636" s="3"/>
      <c r="D636" s="5"/>
      <c r="E636" s="5"/>
      <c r="F636" s="3"/>
      <c r="G636" s="3"/>
      <c r="H636" s="3"/>
    </row>
    <row r="637">
      <c r="A637" s="3"/>
      <c r="B637" s="3"/>
      <c r="C637" s="3"/>
      <c r="D637" s="5"/>
      <c r="E637" s="5"/>
      <c r="F637" s="3"/>
      <c r="G637" s="7"/>
      <c r="H637" s="3"/>
    </row>
    <row r="638">
      <c r="A638" s="3"/>
      <c r="B638" s="3"/>
      <c r="C638" s="3"/>
      <c r="D638" s="5"/>
      <c r="E638" s="5"/>
      <c r="F638" s="3"/>
      <c r="G638" s="7"/>
      <c r="H638" s="3"/>
    </row>
    <row r="639">
      <c r="A639" s="3"/>
      <c r="B639" s="3"/>
      <c r="C639" s="3"/>
      <c r="D639" s="5"/>
      <c r="E639" s="5"/>
      <c r="F639" s="3"/>
      <c r="G639" s="7"/>
      <c r="H639" s="3"/>
    </row>
    <row r="640">
      <c r="A640" s="3"/>
      <c r="B640" s="3"/>
      <c r="C640" s="3"/>
      <c r="D640" s="5"/>
      <c r="E640" s="5"/>
      <c r="F640" s="3"/>
      <c r="G640" s="7"/>
      <c r="H640" s="3"/>
    </row>
    <row r="641">
      <c r="A641" s="3"/>
      <c r="B641" s="3"/>
      <c r="C641" s="3"/>
      <c r="D641" s="5"/>
      <c r="E641" s="5"/>
      <c r="F641" s="3"/>
      <c r="G641" s="3"/>
      <c r="H641" s="3"/>
    </row>
    <row r="642">
      <c r="A642" s="3"/>
      <c r="B642" s="3"/>
      <c r="C642" s="3"/>
      <c r="D642" s="5"/>
      <c r="E642" s="5"/>
      <c r="F642" s="3"/>
      <c r="G642" s="7"/>
      <c r="H642" s="3"/>
    </row>
    <row r="643">
      <c r="A643" s="3"/>
      <c r="B643" s="3"/>
      <c r="C643" s="3"/>
      <c r="D643" s="5"/>
      <c r="E643" s="5"/>
      <c r="F643" s="3"/>
      <c r="G643" s="7"/>
      <c r="H643" s="3"/>
    </row>
    <row r="644">
      <c r="A644" s="3"/>
      <c r="B644" s="3"/>
      <c r="C644" s="3"/>
      <c r="D644" s="5"/>
      <c r="E644" s="5"/>
      <c r="F644" s="3"/>
      <c r="G644" s="7"/>
      <c r="H644" s="3"/>
    </row>
    <row r="645">
      <c r="A645" s="3"/>
      <c r="B645" s="3"/>
      <c r="C645" s="3"/>
      <c r="D645" s="5"/>
      <c r="E645" s="5"/>
      <c r="F645" s="3"/>
      <c r="G645" s="7"/>
      <c r="H645" s="3"/>
    </row>
    <row r="646">
      <c r="A646" s="3"/>
      <c r="B646" s="3"/>
      <c r="C646" s="3"/>
      <c r="D646" s="5"/>
      <c r="E646" s="5"/>
      <c r="F646" s="3"/>
      <c r="G646" s="3"/>
      <c r="H646" s="3"/>
    </row>
    <row r="647">
      <c r="A647" s="3"/>
      <c r="B647" s="3"/>
      <c r="C647" s="3"/>
      <c r="D647" s="5"/>
      <c r="E647" s="5"/>
      <c r="F647" s="3"/>
      <c r="G647" s="7"/>
      <c r="H647" s="3"/>
    </row>
    <row r="648">
      <c r="A648" s="3"/>
      <c r="B648" s="3"/>
      <c r="C648" s="3"/>
      <c r="D648" s="5"/>
      <c r="E648" s="5"/>
      <c r="F648" s="3"/>
      <c r="G648" s="7"/>
      <c r="H648" s="3"/>
    </row>
    <row r="649">
      <c r="A649" s="3"/>
      <c r="B649" s="3"/>
      <c r="C649" s="3"/>
      <c r="D649" s="5"/>
      <c r="E649" s="5"/>
      <c r="F649" s="3"/>
      <c r="G649" s="7"/>
      <c r="H649" s="3"/>
    </row>
    <row r="650">
      <c r="A650" s="3"/>
      <c r="B650" s="3"/>
      <c r="C650" s="3"/>
      <c r="D650" s="5"/>
      <c r="E650" s="5"/>
      <c r="F650" s="3"/>
      <c r="G650" s="7"/>
      <c r="H650" s="3"/>
    </row>
    <row r="651">
      <c r="A651" s="3"/>
      <c r="B651" s="3"/>
      <c r="C651" s="3"/>
      <c r="D651" s="5"/>
      <c r="E651" s="5"/>
      <c r="F651" s="3"/>
      <c r="G651" s="3"/>
      <c r="H651" s="3"/>
    </row>
    <row r="652">
      <c r="A652" s="3"/>
      <c r="B652" s="3"/>
      <c r="C652" s="3"/>
      <c r="D652" s="5"/>
      <c r="E652" s="5"/>
      <c r="F652" s="3"/>
      <c r="G652" s="7"/>
      <c r="H652" s="3"/>
    </row>
    <row r="653">
      <c r="A653" s="3"/>
      <c r="B653" s="3"/>
      <c r="C653" s="3"/>
      <c r="D653" s="5"/>
      <c r="E653" s="5"/>
      <c r="F653" s="3"/>
      <c r="G653" s="7"/>
      <c r="H653" s="3"/>
    </row>
    <row r="654">
      <c r="A654" s="3"/>
      <c r="B654" s="3"/>
      <c r="C654" s="3"/>
      <c r="D654" s="5"/>
      <c r="E654" s="5"/>
      <c r="F654" s="3"/>
      <c r="G654" s="7"/>
      <c r="H654" s="3"/>
    </row>
    <row r="655">
      <c r="A655" s="3"/>
      <c r="B655" s="3"/>
      <c r="C655" s="3"/>
      <c r="D655" s="5"/>
      <c r="E655" s="5"/>
      <c r="F655" s="3"/>
      <c r="G655" s="7"/>
      <c r="H655" s="3"/>
    </row>
    <row r="656">
      <c r="A656" s="3"/>
      <c r="B656" s="3"/>
      <c r="C656" s="3"/>
      <c r="D656" s="5"/>
      <c r="E656" s="5"/>
      <c r="F656" s="3"/>
      <c r="G656" s="3"/>
      <c r="H656" s="3"/>
    </row>
    <row r="657">
      <c r="A657" s="3"/>
      <c r="B657" s="3"/>
      <c r="C657" s="3"/>
      <c r="D657" s="5"/>
      <c r="E657" s="5"/>
      <c r="F657" s="3"/>
      <c r="G657" s="7"/>
      <c r="H657" s="3"/>
    </row>
    <row r="658">
      <c r="A658" s="3"/>
      <c r="B658" s="3"/>
      <c r="C658" s="3"/>
      <c r="D658" s="5"/>
      <c r="E658" s="5"/>
      <c r="F658" s="3"/>
      <c r="G658" s="7"/>
      <c r="H658" s="3"/>
    </row>
    <row r="659">
      <c r="A659" s="3"/>
      <c r="B659" s="3"/>
      <c r="C659" s="3"/>
      <c r="D659" s="5"/>
      <c r="E659" s="5"/>
      <c r="F659" s="3"/>
      <c r="G659" s="7"/>
      <c r="H659" s="3"/>
    </row>
    <row r="660">
      <c r="A660" s="3"/>
      <c r="B660" s="3"/>
      <c r="C660" s="3"/>
      <c r="D660" s="5"/>
      <c r="E660" s="5"/>
      <c r="F660" s="3"/>
      <c r="G660" s="7"/>
      <c r="H660" s="3"/>
    </row>
    <row r="661">
      <c r="A661" s="3"/>
      <c r="B661" s="3"/>
      <c r="C661" s="3"/>
      <c r="D661" s="5"/>
      <c r="E661" s="5"/>
      <c r="F661" s="3"/>
      <c r="G661" s="3"/>
      <c r="H661" s="3"/>
    </row>
    <row r="662">
      <c r="A662" s="3"/>
      <c r="B662" s="3"/>
      <c r="C662" s="3"/>
      <c r="D662" s="5"/>
      <c r="E662" s="5"/>
      <c r="F662" s="3"/>
      <c r="G662" s="7"/>
      <c r="H662" s="3"/>
    </row>
    <row r="663">
      <c r="A663" s="3"/>
      <c r="B663" s="3"/>
      <c r="C663" s="3"/>
      <c r="D663" s="5"/>
      <c r="E663" s="5"/>
      <c r="F663" s="3"/>
      <c r="G663" s="7"/>
      <c r="H663" s="3"/>
    </row>
    <row r="664">
      <c r="A664" s="3"/>
      <c r="B664" s="3"/>
      <c r="C664" s="3"/>
      <c r="D664" s="5"/>
      <c r="E664" s="5"/>
      <c r="F664" s="3"/>
      <c r="G664" s="7"/>
      <c r="H664" s="3"/>
    </row>
    <row r="665">
      <c r="A665" s="3"/>
      <c r="B665" s="3"/>
      <c r="C665" s="3"/>
      <c r="D665" s="5"/>
      <c r="E665" s="5"/>
      <c r="F665" s="3"/>
      <c r="G665" s="7"/>
      <c r="H665" s="3"/>
    </row>
    <row r="666">
      <c r="A666" s="3"/>
      <c r="B666" s="3"/>
      <c r="C666" s="3"/>
      <c r="D666" s="5"/>
      <c r="E666" s="5"/>
      <c r="F666" s="3"/>
      <c r="G666" s="3"/>
      <c r="H666" s="3"/>
    </row>
    <row r="667">
      <c r="A667" s="3"/>
      <c r="B667" s="3"/>
      <c r="C667" s="3"/>
      <c r="D667" s="5"/>
      <c r="E667" s="5"/>
      <c r="F667" s="3"/>
      <c r="G667" s="7"/>
      <c r="H667" s="3"/>
    </row>
    <row r="668">
      <c r="A668" s="3"/>
      <c r="B668" s="3"/>
      <c r="C668" s="3"/>
      <c r="D668" s="5"/>
      <c r="E668" s="5"/>
      <c r="F668" s="3"/>
      <c r="G668" s="7"/>
      <c r="H668" s="3"/>
    </row>
    <row r="669">
      <c r="A669" s="3"/>
      <c r="B669" s="3"/>
      <c r="C669" s="3"/>
      <c r="D669" s="5"/>
      <c r="E669" s="5"/>
      <c r="F669" s="3"/>
      <c r="G669" s="7"/>
      <c r="H669" s="3"/>
    </row>
    <row r="670">
      <c r="A670" s="3"/>
      <c r="B670" s="3"/>
      <c r="C670" s="3"/>
      <c r="D670" s="5"/>
      <c r="E670" s="5"/>
      <c r="F670" s="3"/>
      <c r="G670" s="7"/>
      <c r="H670" s="3"/>
    </row>
    <row r="671">
      <c r="A671" s="3"/>
      <c r="B671" s="3"/>
      <c r="C671" s="3"/>
      <c r="D671" s="5"/>
      <c r="E671" s="5"/>
      <c r="F671" s="3"/>
      <c r="G671" s="3"/>
      <c r="H671" s="3"/>
    </row>
    <row r="672">
      <c r="A672" s="3"/>
      <c r="B672" s="3"/>
      <c r="C672" s="3"/>
      <c r="D672" s="5"/>
      <c r="E672" s="5"/>
      <c r="F672" s="3"/>
      <c r="G672" s="7"/>
      <c r="H672" s="3"/>
    </row>
    <row r="673">
      <c r="A673" s="3"/>
      <c r="B673" s="3"/>
      <c r="C673" s="3"/>
      <c r="D673" s="5"/>
      <c r="E673" s="5"/>
      <c r="F673" s="3"/>
      <c r="G673" s="7"/>
      <c r="H673" s="3"/>
    </row>
    <row r="674">
      <c r="A674" s="3"/>
      <c r="B674" s="3"/>
      <c r="C674" s="3"/>
      <c r="D674" s="5"/>
      <c r="E674" s="5"/>
      <c r="F674" s="3"/>
      <c r="G674" s="7"/>
      <c r="H674" s="3"/>
    </row>
    <row r="675">
      <c r="A675" s="3"/>
      <c r="B675" s="3"/>
      <c r="C675" s="3"/>
      <c r="D675" s="5"/>
      <c r="E675" s="5"/>
      <c r="F675" s="3"/>
      <c r="G675" s="7"/>
      <c r="H675" s="3"/>
    </row>
    <row r="676">
      <c r="A676" s="3"/>
      <c r="B676" s="3"/>
      <c r="C676" s="3"/>
      <c r="D676" s="5"/>
      <c r="E676" s="5"/>
      <c r="F676" s="3"/>
      <c r="G676" s="3"/>
      <c r="H676" s="3"/>
    </row>
    <row r="677">
      <c r="A677" s="3"/>
      <c r="B677" s="3"/>
      <c r="C677" s="3"/>
      <c r="D677" s="5"/>
      <c r="E677" s="5"/>
      <c r="F677" s="3"/>
      <c r="G677" s="7"/>
      <c r="H677" s="3"/>
    </row>
    <row r="678">
      <c r="A678" s="3"/>
      <c r="B678" s="3"/>
      <c r="C678" s="3"/>
      <c r="D678" s="5"/>
      <c r="E678" s="5"/>
      <c r="F678" s="3"/>
      <c r="G678" s="7"/>
      <c r="H678" s="3"/>
    </row>
    <row r="679">
      <c r="A679" s="3"/>
      <c r="B679" s="3"/>
      <c r="C679" s="3"/>
      <c r="D679" s="5"/>
      <c r="E679" s="5"/>
      <c r="F679" s="3"/>
      <c r="G679" s="7"/>
      <c r="H679" s="3"/>
    </row>
    <row r="680">
      <c r="A680" s="3"/>
      <c r="B680" s="3"/>
      <c r="C680" s="3"/>
      <c r="D680" s="5"/>
      <c r="E680" s="5"/>
      <c r="F680" s="3"/>
      <c r="G680" s="7"/>
      <c r="H680" s="3"/>
    </row>
    <row r="681">
      <c r="A681" s="3"/>
      <c r="B681" s="3"/>
      <c r="C681" s="3"/>
      <c r="D681" s="5"/>
      <c r="E681" s="5"/>
      <c r="F681" s="3"/>
      <c r="G681" s="3"/>
      <c r="H681" s="3"/>
    </row>
    <row r="682">
      <c r="A682" s="3"/>
      <c r="B682" s="3"/>
      <c r="C682" s="3"/>
      <c r="D682" s="5"/>
      <c r="E682" s="5"/>
      <c r="F682" s="3"/>
      <c r="G682" s="7"/>
      <c r="H682" s="3"/>
    </row>
    <row r="683">
      <c r="A683" s="3"/>
      <c r="B683" s="3"/>
      <c r="C683" s="3"/>
      <c r="D683" s="5"/>
      <c r="E683" s="5"/>
      <c r="F683" s="3"/>
      <c r="G683" s="7"/>
      <c r="H683" s="3"/>
    </row>
    <row r="684">
      <c r="A684" s="3"/>
      <c r="B684" s="3"/>
      <c r="C684" s="3"/>
      <c r="D684" s="5"/>
      <c r="E684" s="5"/>
      <c r="F684" s="3"/>
      <c r="G684" s="7"/>
      <c r="H684" s="3"/>
    </row>
    <row r="685">
      <c r="A685" s="3"/>
      <c r="B685" s="3"/>
      <c r="C685" s="3"/>
      <c r="D685" s="5"/>
      <c r="E685" s="5"/>
      <c r="F685" s="3"/>
      <c r="G685" s="7"/>
      <c r="H685" s="3"/>
    </row>
    <row r="686">
      <c r="A686" s="3"/>
      <c r="B686" s="3"/>
      <c r="C686" s="3"/>
      <c r="D686" s="5"/>
      <c r="E686" s="5"/>
      <c r="F686" s="3"/>
      <c r="G686" s="3"/>
      <c r="H686" s="3"/>
    </row>
    <row r="687">
      <c r="A687" s="3"/>
      <c r="B687" s="3"/>
      <c r="C687" s="3"/>
      <c r="D687" s="5"/>
      <c r="E687" s="5"/>
      <c r="F687" s="3"/>
      <c r="G687" s="7"/>
      <c r="H687" s="3"/>
    </row>
    <row r="688">
      <c r="A688" s="3"/>
      <c r="B688" s="3"/>
      <c r="C688" s="3"/>
      <c r="D688" s="5"/>
      <c r="E688" s="5"/>
      <c r="F688" s="3"/>
      <c r="G688" s="7"/>
      <c r="H688" s="3"/>
    </row>
    <row r="689">
      <c r="A689" s="3"/>
      <c r="B689" s="3"/>
      <c r="C689" s="3"/>
      <c r="D689" s="5"/>
      <c r="E689" s="5"/>
      <c r="F689" s="3"/>
      <c r="G689" s="7"/>
      <c r="H689" s="3"/>
    </row>
    <row r="690">
      <c r="A690" s="3"/>
      <c r="B690" s="3"/>
      <c r="C690" s="3"/>
      <c r="D690" s="5"/>
      <c r="E690" s="5"/>
      <c r="F690" s="3"/>
      <c r="G690" s="7"/>
      <c r="H690" s="3"/>
    </row>
    <row r="691">
      <c r="A691" s="3"/>
      <c r="B691" s="3"/>
      <c r="C691" s="3"/>
      <c r="D691" s="5"/>
      <c r="E691" s="5"/>
      <c r="F691" s="3"/>
      <c r="G691" s="3"/>
      <c r="H691" s="3"/>
    </row>
    <row r="692">
      <c r="A692" s="3"/>
      <c r="B692" s="3"/>
      <c r="C692" s="3"/>
      <c r="D692" s="5"/>
      <c r="E692" s="5"/>
      <c r="F692" s="3"/>
      <c r="G692" s="7"/>
      <c r="H692" s="3"/>
    </row>
    <row r="693">
      <c r="A693" s="3"/>
      <c r="B693" s="3"/>
      <c r="C693" s="3"/>
      <c r="D693" s="5"/>
      <c r="E693" s="5"/>
      <c r="F693" s="3"/>
      <c r="G693" s="7"/>
      <c r="H693" s="3"/>
    </row>
    <row r="694">
      <c r="A694" s="3"/>
      <c r="B694" s="3"/>
      <c r="C694" s="3"/>
      <c r="D694" s="5"/>
      <c r="E694" s="5"/>
      <c r="F694" s="3"/>
      <c r="G694" s="7"/>
      <c r="H694" s="3"/>
    </row>
    <row r="695">
      <c r="A695" s="3"/>
      <c r="B695" s="3"/>
      <c r="C695" s="3"/>
      <c r="D695" s="5"/>
      <c r="E695" s="5"/>
      <c r="F695" s="3"/>
      <c r="G695" s="7"/>
      <c r="H695" s="3"/>
    </row>
    <row r="696">
      <c r="A696" s="3"/>
      <c r="B696" s="3"/>
      <c r="C696" s="3"/>
      <c r="D696" s="5"/>
      <c r="E696" s="5"/>
      <c r="F696" s="3"/>
      <c r="G696" s="3"/>
      <c r="H696" s="3"/>
    </row>
    <row r="697">
      <c r="A697" s="3"/>
      <c r="B697" s="3"/>
      <c r="C697" s="3"/>
      <c r="D697" s="5"/>
      <c r="E697" s="5"/>
      <c r="F697" s="3"/>
      <c r="G697" s="7"/>
      <c r="H697" s="3"/>
    </row>
    <row r="698">
      <c r="A698" s="3"/>
      <c r="B698" s="3"/>
      <c r="C698" s="3"/>
      <c r="D698" s="5"/>
      <c r="E698" s="5"/>
      <c r="F698" s="3"/>
      <c r="G698" s="7"/>
      <c r="H698" s="3"/>
    </row>
    <row r="699">
      <c r="A699" s="3"/>
      <c r="B699" s="3"/>
      <c r="C699" s="3"/>
      <c r="D699" s="5"/>
      <c r="E699" s="5"/>
      <c r="F699" s="3"/>
      <c r="G699" s="7"/>
      <c r="H699" s="3"/>
    </row>
    <row r="700">
      <c r="A700" s="3"/>
      <c r="B700" s="3"/>
      <c r="C700" s="3"/>
      <c r="D700" s="5"/>
      <c r="E700" s="5"/>
      <c r="F700" s="3"/>
      <c r="G700" s="7"/>
      <c r="H700" s="3"/>
    </row>
    <row r="701">
      <c r="A701" s="3"/>
      <c r="B701" s="3"/>
      <c r="C701" s="3"/>
      <c r="D701" s="5"/>
      <c r="E701" s="5"/>
      <c r="F701" s="3"/>
      <c r="G701" s="3"/>
      <c r="H701" s="3"/>
    </row>
    <row r="702">
      <c r="A702" s="3"/>
      <c r="B702" s="3"/>
      <c r="C702" s="3"/>
      <c r="D702" s="5"/>
      <c r="E702" s="5"/>
      <c r="F702" s="3"/>
      <c r="G702" s="7"/>
      <c r="H702" s="3"/>
    </row>
    <row r="703">
      <c r="A703" s="3"/>
      <c r="B703" s="3"/>
      <c r="C703" s="3"/>
      <c r="D703" s="5"/>
      <c r="E703" s="5"/>
      <c r="F703" s="3"/>
      <c r="G703" s="7"/>
      <c r="H703" s="3"/>
    </row>
    <row r="704">
      <c r="A704" s="3"/>
      <c r="B704" s="3"/>
      <c r="C704" s="3"/>
      <c r="D704" s="5"/>
      <c r="E704" s="5"/>
      <c r="F704" s="3"/>
      <c r="G704" s="7"/>
      <c r="H704" s="3"/>
    </row>
    <row r="705">
      <c r="A705" s="3"/>
      <c r="B705" s="3"/>
      <c r="C705" s="3"/>
      <c r="D705" s="5"/>
      <c r="E705" s="5"/>
      <c r="F705" s="3"/>
      <c r="G705" s="7"/>
      <c r="H705" s="3"/>
    </row>
    <row r="706">
      <c r="A706" s="3"/>
      <c r="B706" s="3"/>
      <c r="C706" s="3"/>
      <c r="D706" s="5"/>
      <c r="E706" s="5"/>
      <c r="F706" s="3"/>
      <c r="G706" s="3"/>
      <c r="H706" s="3"/>
    </row>
    <row r="707">
      <c r="A707" s="3"/>
      <c r="B707" s="3"/>
      <c r="C707" s="3"/>
      <c r="D707" s="5"/>
      <c r="E707" s="5"/>
      <c r="F707" s="3"/>
      <c r="G707" s="7"/>
      <c r="H707" s="3"/>
    </row>
    <row r="708">
      <c r="A708" s="3"/>
      <c r="B708" s="3"/>
      <c r="C708" s="3"/>
      <c r="D708" s="5"/>
      <c r="E708" s="5"/>
      <c r="F708" s="3"/>
      <c r="G708" s="7"/>
      <c r="H708" s="3"/>
    </row>
    <row r="709">
      <c r="A709" s="3"/>
      <c r="B709" s="3"/>
      <c r="C709" s="3"/>
      <c r="D709" s="5"/>
      <c r="E709" s="5"/>
      <c r="F709" s="3"/>
      <c r="G709" s="7"/>
      <c r="H709" s="3"/>
    </row>
    <row r="710">
      <c r="A710" s="3"/>
      <c r="B710" s="3"/>
      <c r="C710" s="3"/>
      <c r="D710" s="5"/>
      <c r="E710" s="5"/>
      <c r="F710" s="3"/>
      <c r="G710" s="7"/>
      <c r="H710" s="3"/>
    </row>
    <row r="711">
      <c r="A711" s="3"/>
      <c r="B711" s="3"/>
      <c r="C711" s="3"/>
      <c r="D711" s="5"/>
      <c r="E711" s="5"/>
      <c r="F711" s="3"/>
      <c r="G711" s="3"/>
      <c r="H711" s="3"/>
    </row>
    <row r="712">
      <c r="A712" s="3"/>
      <c r="B712" s="3"/>
      <c r="C712" s="3"/>
      <c r="D712" s="5"/>
      <c r="E712" s="5"/>
      <c r="F712" s="3"/>
      <c r="G712" s="7"/>
      <c r="H712" s="3"/>
    </row>
    <row r="713">
      <c r="A713" s="3"/>
      <c r="B713" s="3"/>
      <c r="C713" s="3"/>
      <c r="D713" s="5"/>
      <c r="E713" s="5"/>
      <c r="F713" s="3"/>
      <c r="G713" s="7"/>
      <c r="H713" s="3"/>
    </row>
    <row r="714">
      <c r="A714" s="3"/>
      <c r="B714" s="3"/>
      <c r="C714" s="3"/>
      <c r="D714" s="5"/>
      <c r="E714" s="5"/>
      <c r="F714" s="3"/>
      <c r="G714" s="7"/>
      <c r="H714" s="3"/>
    </row>
    <row r="715">
      <c r="A715" s="3"/>
      <c r="B715" s="3"/>
      <c r="C715" s="3"/>
      <c r="D715" s="5"/>
      <c r="E715" s="5"/>
      <c r="F715" s="3"/>
      <c r="G715" s="7"/>
      <c r="H715" s="3"/>
    </row>
    <row r="716">
      <c r="A716" s="3"/>
      <c r="B716" s="3"/>
      <c r="C716" s="3"/>
      <c r="D716" s="5"/>
      <c r="E716" s="5"/>
      <c r="F716" s="3"/>
      <c r="G716" s="3"/>
      <c r="H716" s="3"/>
    </row>
    <row r="717">
      <c r="A717" s="3"/>
      <c r="B717" s="3"/>
      <c r="C717" s="3"/>
      <c r="D717" s="5"/>
      <c r="E717" s="5"/>
      <c r="F717" s="3"/>
      <c r="G717" s="7"/>
      <c r="H717" s="3"/>
    </row>
    <row r="718">
      <c r="A718" s="3"/>
      <c r="B718" s="3"/>
      <c r="C718" s="3"/>
      <c r="D718" s="5"/>
      <c r="E718" s="5"/>
      <c r="F718" s="3"/>
      <c r="G718" s="7"/>
      <c r="H718" s="3"/>
    </row>
    <row r="719">
      <c r="A719" s="3"/>
      <c r="B719" s="3"/>
      <c r="C719" s="3"/>
      <c r="D719" s="5"/>
      <c r="E719" s="5"/>
      <c r="F719" s="3"/>
      <c r="G719" s="7"/>
      <c r="H719" s="3"/>
    </row>
    <row r="720">
      <c r="A720" s="3"/>
      <c r="B720" s="3"/>
      <c r="C720" s="3"/>
      <c r="D720" s="5"/>
      <c r="E720" s="5"/>
      <c r="F720" s="3"/>
      <c r="G720" s="7"/>
      <c r="H720" s="3"/>
    </row>
    <row r="721">
      <c r="A721" s="3"/>
      <c r="B721" s="3"/>
      <c r="C721" s="3"/>
      <c r="D721" s="5"/>
      <c r="E721" s="5"/>
      <c r="F721" s="3"/>
      <c r="G721" s="3"/>
      <c r="H721" s="3"/>
    </row>
    <row r="722">
      <c r="A722" s="3"/>
      <c r="B722" s="3"/>
      <c r="C722" s="3"/>
      <c r="D722" s="5"/>
      <c r="E722" s="5"/>
      <c r="F722" s="3"/>
      <c r="G722" s="7"/>
      <c r="H722" s="3"/>
    </row>
    <row r="723">
      <c r="A723" s="3"/>
      <c r="B723" s="3"/>
      <c r="C723" s="3"/>
      <c r="D723" s="5"/>
      <c r="E723" s="5"/>
      <c r="F723" s="3"/>
      <c r="G723" s="7"/>
      <c r="H723" s="3"/>
    </row>
    <row r="724">
      <c r="A724" s="3"/>
      <c r="B724" s="3"/>
      <c r="C724" s="3"/>
      <c r="D724" s="5"/>
      <c r="E724" s="5"/>
      <c r="F724" s="3"/>
      <c r="G724" s="7"/>
      <c r="H724" s="3"/>
    </row>
    <row r="725">
      <c r="A725" s="3"/>
      <c r="B725" s="3"/>
      <c r="C725" s="3"/>
      <c r="D725" s="5"/>
      <c r="E725" s="5"/>
      <c r="F725" s="3"/>
      <c r="G725" s="7"/>
      <c r="H725" s="3"/>
    </row>
    <row r="726">
      <c r="A726" s="3"/>
      <c r="B726" s="3"/>
      <c r="C726" s="3"/>
      <c r="D726" s="5"/>
      <c r="E726" s="5"/>
      <c r="F726" s="3"/>
      <c r="G726" s="3"/>
      <c r="H726" s="3"/>
    </row>
    <row r="727">
      <c r="A727" s="3"/>
      <c r="B727" s="3"/>
      <c r="C727" s="3"/>
      <c r="D727" s="5"/>
      <c r="E727" s="5"/>
      <c r="F727" s="3"/>
      <c r="G727" s="7"/>
      <c r="H727" s="3"/>
    </row>
    <row r="728">
      <c r="A728" s="3"/>
      <c r="B728" s="3"/>
      <c r="C728" s="3"/>
      <c r="D728" s="5"/>
      <c r="E728" s="5"/>
      <c r="F728" s="3"/>
      <c r="G728" s="7"/>
      <c r="H728" s="3"/>
    </row>
    <row r="729">
      <c r="A729" s="3"/>
      <c r="B729" s="3"/>
      <c r="C729" s="3"/>
      <c r="D729" s="5"/>
      <c r="E729" s="5"/>
      <c r="F729" s="3"/>
      <c r="G729" s="7"/>
      <c r="H729" s="3"/>
    </row>
    <row r="730">
      <c r="A730" s="3"/>
      <c r="B730" s="3"/>
      <c r="C730" s="3"/>
      <c r="D730" s="5"/>
      <c r="E730" s="5"/>
      <c r="F730" s="3"/>
      <c r="G730" s="7"/>
      <c r="H730" s="3"/>
    </row>
    <row r="731">
      <c r="A731" s="3"/>
      <c r="B731" s="3"/>
      <c r="C731" s="3"/>
      <c r="D731" s="5"/>
      <c r="E731" s="5"/>
      <c r="F731" s="3"/>
      <c r="G731" s="3"/>
      <c r="H731" s="3"/>
    </row>
    <row r="732">
      <c r="A732" s="3"/>
      <c r="B732" s="3"/>
      <c r="C732" s="3"/>
      <c r="D732" s="5"/>
      <c r="E732" s="5"/>
      <c r="F732" s="3"/>
      <c r="G732" s="7"/>
      <c r="H732" s="3"/>
    </row>
    <row r="733">
      <c r="A733" s="3"/>
      <c r="B733" s="3"/>
      <c r="C733" s="3"/>
      <c r="D733" s="5"/>
      <c r="E733" s="5"/>
      <c r="F733" s="3"/>
      <c r="G733" s="7"/>
      <c r="H733" s="3"/>
    </row>
    <row r="734">
      <c r="A734" s="3"/>
      <c r="B734" s="3"/>
      <c r="C734" s="3"/>
      <c r="D734" s="5"/>
      <c r="E734" s="5"/>
      <c r="F734" s="3"/>
      <c r="G734" s="7"/>
      <c r="H734" s="3"/>
    </row>
    <row r="735">
      <c r="A735" s="3"/>
      <c r="B735" s="3"/>
      <c r="C735" s="3"/>
      <c r="D735" s="5"/>
      <c r="E735" s="5"/>
      <c r="F735" s="3"/>
      <c r="G735" s="7"/>
      <c r="H735" s="3"/>
    </row>
    <row r="736">
      <c r="A736" s="3"/>
      <c r="B736" s="3"/>
      <c r="C736" s="3"/>
      <c r="D736" s="5"/>
      <c r="E736" s="5"/>
      <c r="F736" s="3"/>
      <c r="G736" s="3"/>
      <c r="H736" s="3"/>
    </row>
    <row r="737">
      <c r="A737" s="3"/>
      <c r="B737" s="3"/>
      <c r="C737" s="3"/>
      <c r="D737" s="5"/>
      <c r="E737" s="5"/>
      <c r="F737" s="3"/>
      <c r="G737" s="7"/>
      <c r="H737" s="3"/>
    </row>
    <row r="738">
      <c r="A738" s="3"/>
      <c r="B738" s="3"/>
      <c r="C738" s="3"/>
      <c r="D738" s="5"/>
      <c r="E738" s="5"/>
      <c r="F738" s="3"/>
      <c r="G738" s="7"/>
      <c r="H738" s="3"/>
    </row>
    <row r="739">
      <c r="A739" s="3"/>
      <c r="B739" s="3"/>
      <c r="C739" s="3"/>
      <c r="D739" s="5"/>
      <c r="E739" s="5"/>
      <c r="F739" s="3"/>
      <c r="G739" s="7"/>
      <c r="H739" s="3"/>
    </row>
    <row r="740">
      <c r="A740" s="3"/>
      <c r="B740" s="3"/>
      <c r="C740" s="3"/>
      <c r="D740" s="5"/>
      <c r="E740" s="5"/>
      <c r="F740" s="3"/>
      <c r="G740" s="7"/>
      <c r="H740" s="3"/>
    </row>
    <row r="741">
      <c r="A741" s="3"/>
      <c r="B741" s="3"/>
      <c r="C741" s="3"/>
      <c r="D741" s="5"/>
      <c r="E741" s="5"/>
      <c r="F741" s="3"/>
      <c r="G741" s="3"/>
      <c r="H741" s="3"/>
    </row>
    <row r="742">
      <c r="A742" s="3"/>
      <c r="B742" s="3"/>
      <c r="C742" s="3"/>
      <c r="D742" s="5"/>
      <c r="E742" s="5"/>
      <c r="F742" s="3"/>
      <c r="G742" s="7"/>
      <c r="H742" s="3"/>
    </row>
    <row r="743">
      <c r="A743" s="3"/>
      <c r="B743" s="3"/>
      <c r="C743" s="3"/>
      <c r="D743" s="5"/>
      <c r="E743" s="5"/>
      <c r="F743" s="3"/>
      <c r="G743" s="7"/>
      <c r="H743" s="3"/>
    </row>
    <row r="744">
      <c r="A744" s="3"/>
      <c r="B744" s="3"/>
      <c r="C744" s="3"/>
      <c r="D744" s="5"/>
      <c r="E744" s="5"/>
      <c r="F744" s="3"/>
      <c r="G744" s="7"/>
      <c r="H744" s="3"/>
    </row>
    <row r="745">
      <c r="A745" s="3"/>
      <c r="B745" s="3"/>
      <c r="C745" s="3"/>
      <c r="D745" s="5"/>
      <c r="E745" s="5"/>
      <c r="F745" s="3"/>
      <c r="G745" s="7"/>
      <c r="H745" s="3"/>
    </row>
    <row r="746">
      <c r="A746" s="3"/>
      <c r="B746" s="3"/>
      <c r="C746" s="3"/>
      <c r="D746" s="5"/>
      <c r="E746" s="5"/>
      <c r="F746" s="3"/>
      <c r="G746" s="3"/>
      <c r="H746" s="3"/>
    </row>
    <row r="747">
      <c r="A747" s="3"/>
      <c r="B747" s="3"/>
      <c r="C747" s="3"/>
      <c r="D747" s="5"/>
      <c r="E747" s="5"/>
      <c r="F747" s="3"/>
      <c r="G747" s="7"/>
      <c r="H747" s="3"/>
    </row>
    <row r="748">
      <c r="A748" s="3"/>
      <c r="B748" s="3"/>
      <c r="C748" s="3"/>
      <c r="D748" s="5"/>
      <c r="E748" s="5"/>
      <c r="F748" s="3"/>
      <c r="G748" s="7"/>
      <c r="H748" s="3"/>
    </row>
    <row r="749">
      <c r="A749" s="3"/>
      <c r="B749" s="3"/>
      <c r="C749" s="3"/>
      <c r="D749" s="5"/>
      <c r="E749" s="5"/>
      <c r="F749" s="3"/>
      <c r="G749" s="7"/>
      <c r="H749" s="3"/>
    </row>
    <row r="750">
      <c r="A750" s="3"/>
      <c r="B750" s="3"/>
      <c r="C750" s="3"/>
      <c r="D750" s="5"/>
      <c r="E750" s="5"/>
      <c r="F750" s="3"/>
      <c r="G750" s="7"/>
      <c r="H750" s="3"/>
    </row>
    <row r="751">
      <c r="A751" s="3"/>
      <c r="B751" s="3"/>
      <c r="C751" s="3"/>
      <c r="D751" s="5"/>
      <c r="E751" s="5"/>
      <c r="F751" s="3"/>
      <c r="G751" s="3"/>
      <c r="H751" s="3"/>
    </row>
    <row r="752">
      <c r="A752" s="3"/>
      <c r="B752" s="3"/>
      <c r="C752" s="3"/>
      <c r="D752" s="5"/>
      <c r="E752" s="5"/>
      <c r="F752" s="3"/>
      <c r="G752" s="7"/>
      <c r="H752" s="3"/>
    </row>
    <row r="753">
      <c r="A753" s="3"/>
      <c r="B753" s="3"/>
      <c r="C753" s="3"/>
      <c r="D753" s="5"/>
      <c r="E753" s="5"/>
      <c r="F753" s="3"/>
      <c r="G753" s="7"/>
      <c r="H753" s="3"/>
    </row>
    <row r="754">
      <c r="A754" s="3"/>
      <c r="B754" s="3"/>
      <c r="C754" s="3"/>
      <c r="D754" s="5"/>
      <c r="E754" s="5"/>
      <c r="F754" s="3"/>
      <c r="G754" s="7"/>
      <c r="H754" s="3"/>
    </row>
    <row r="755">
      <c r="A755" s="3"/>
      <c r="B755" s="3"/>
      <c r="C755" s="3"/>
      <c r="D755" s="5"/>
      <c r="E755" s="5"/>
      <c r="F755" s="3"/>
      <c r="G755" s="7"/>
      <c r="H755" s="3"/>
    </row>
    <row r="756">
      <c r="A756" s="3"/>
      <c r="B756" s="3"/>
      <c r="C756" s="3"/>
      <c r="D756" s="5"/>
      <c r="E756" s="5"/>
      <c r="F756" s="3"/>
      <c r="G756" s="3"/>
      <c r="H756" s="3"/>
    </row>
    <row r="757">
      <c r="A757" s="3"/>
      <c r="B757" s="3"/>
      <c r="C757" s="3"/>
      <c r="D757" s="5"/>
      <c r="E757" s="5"/>
      <c r="F757" s="3"/>
      <c r="G757" s="7"/>
      <c r="H757" s="3"/>
    </row>
    <row r="758">
      <c r="A758" s="3"/>
      <c r="B758" s="3"/>
      <c r="C758" s="3"/>
      <c r="D758" s="5"/>
      <c r="E758" s="5"/>
      <c r="F758" s="3"/>
      <c r="G758" s="7"/>
      <c r="H758" s="3"/>
    </row>
    <row r="759">
      <c r="A759" s="3"/>
      <c r="B759" s="3"/>
      <c r="C759" s="3"/>
      <c r="D759" s="5"/>
      <c r="E759" s="5"/>
      <c r="F759" s="3"/>
      <c r="G759" s="7"/>
      <c r="H759" s="3"/>
    </row>
    <row r="760">
      <c r="A760" s="3"/>
      <c r="B760" s="3"/>
      <c r="C760" s="3"/>
      <c r="D760" s="5"/>
      <c r="E760" s="5"/>
      <c r="F760" s="3"/>
      <c r="G760" s="7"/>
      <c r="H760" s="3"/>
    </row>
    <row r="761">
      <c r="A761" s="3"/>
      <c r="B761" s="3"/>
      <c r="C761" s="3"/>
      <c r="D761" s="5"/>
      <c r="E761" s="5"/>
      <c r="F761" s="3"/>
      <c r="G761" s="3"/>
      <c r="H761" s="3"/>
    </row>
    <row r="762">
      <c r="A762" s="3"/>
      <c r="B762" s="3"/>
      <c r="C762" s="3"/>
      <c r="D762" s="5"/>
      <c r="E762" s="5"/>
      <c r="F762" s="3"/>
      <c r="G762" s="7"/>
      <c r="H762" s="3"/>
    </row>
    <row r="763">
      <c r="A763" s="3"/>
      <c r="B763" s="3"/>
      <c r="C763" s="3"/>
      <c r="D763" s="5"/>
      <c r="E763" s="5"/>
      <c r="F763" s="3"/>
      <c r="G763" s="7"/>
      <c r="H763" s="3"/>
    </row>
    <row r="764">
      <c r="A764" s="3"/>
      <c r="B764" s="3"/>
      <c r="C764" s="3"/>
      <c r="D764" s="5"/>
      <c r="E764" s="5"/>
      <c r="F764" s="3"/>
      <c r="G764" s="7"/>
      <c r="H764" s="3"/>
    </row>
    <row r="765">
      <c r="A765" s="3"/>
      <c r="B765" s="3"/>
      <c r="C765" s="3"/>
      <c r="D765" s="5"/>
      <c r="E765" s="5"/>
      <c r="F765" s="3"/>
      <c r="G765" s="7"/>
      <c r="H765" s="3"/>
    </row>
    <row r="766">
      <c r="A766" s="3"/>
      <c r="B766" s="3"/>
      <c r="C766" s="3"/>
      <c r="D766" s="5"/>
      <c r="E766" s="5"/>
      <c r="F766" s="3"/>
      <c r="G766" s="3"/>
      <c r="H766" s="3"/>
    </row>
    <row r="767">
      <c r="A767" s="3"/>
      <c r="B767" s="3"/>
      <c r="C767" s="3"/>
      <c r="D767" s="5"/>
      <c r="E767" s="5"/>
      <c r="F767" s="3"/>
      <c r="G767" s="7"/>
      <c r="H767" s="3"/>
    </row>
    <row r="768">
      <c r="A768" s="3"/>
      <c r="B768" s="3"/>
      <c r="C768" s="3"/>
      <c r="D768" s="5"/>
      <c r="E768" s="5"/>
      <c r="F768" s="3"/>
      <c r="G768" s="7"/>
      <c r="H768" s="3"/>
    </row>
    <row r="769">
      <c r="A769" s="3"/>
      <c r="B769" s="3"/>
      <c r="C769" s="3"/>
      <c r="D769" s="5"/>
      <c r="E769" s="5"/>
      <c r="F769" s="3"/>
      <c r="G769" s="7"/>
      <c r="H769" s="3"/>
    </row>
    <row r="770">
      <c r="A770" s="3"/>
      <c r="B770" s="3"/>
      <c r="C770" s="3"/>
      <c r="D770" s="5"/>
      <c r="E770" s="5"/>
      <c r="F770" s="3"/>
      <c r="G770" s="7"/>
      <c r="H770" s="3"/>
    </row>
    <row r="771">
      <c r="A771" s="3"/>
      <c r="B771" s="3"/>
      <c r="C771" s="3"/>
      <c r="D771" s="5"/>
      <c r="E771" s="5"/>
      <c r="F771" s="3"/>
      <c r="G771" s="3"/>
      <c r="H771" s="3"/>
    </row>
    <row r="772">
      <c r="A772" s="3"/>
      <c r="B772" s="3"/>
      <c r="C772" s="3"/>
      <c r="D772" s="5"/>
      <c r="E772" s="5"/>
      <c r="F772" s="3"/>
      <c r="G772" s="7"/>
      <c r="H772" s="3"/>
    </row>
    <row r="773">
      <c r="A773" s="3"/>
      <c r="B773" s="3"/>
      <c r="C773" s="3"/>
      <c r="D773" s="5"/>
      <c r="E773" s="5"/>
      <c r="F773" s="3"/>
      <c r="G773" s="7"/>
      <c r="H773" s="3"/>
    </row>
    <row r="774">
      <c r="A774" s="3"/>
      <c r="B774" s="3"/>
      <c r="C774" s="3"/>
      <c r="D774" s="5"/>
      <c r="E774" s="5"/>
      <c r="F774" s="3"/>
      <c r="G774" s="7"/>
      <c r="H774" s="3"/>
    </row>
    <row r="775">
      <c r="A775" s="3"/>
      <c r="B775" s="3"/>
      <c r="C775" s="3"/>
      <c r="D775" s="5"/>
      <c r="E775" s="5"/>
      <c r="F775" s="3"/>
      <c r="G775" s="7"/>
      <c r="H775" s="3"/>
    </row>
    <row r="776">
      <c r="A776" s="3"/>
      <c r="B776" s="3"/>
      <c r="C776" s="3"/>
      <c r="D776" s="5"/>
      <c r="E776" s="5"/>
      <c r="F776" s="3"/>
      <c r="G776" s="3"/>
      <c r="H776" s="3"/>
    </row>
    <row r="777">
      <c r="A777" s="3"/>
      <c r="B777" s="3"/>
      <c r="C777" s="3"/>
      <c r="D777" s="5"/>
      <c r="E777" s="5"/>
      <c r="F777" s="3"/>
      <c r="G777" s="7"/>
      <c r="H777" s="3"/>
    </row>
    <row r="778">
      <c r="A778" s="3"/>
      <c r="B778" s="3"/>
      <c r="C778" s="3"/>
      <c r="D778" s="5"/>
      <c r="E778" s="5"/>
      <c r="F778" s="3"/>
      <c r="G778" s="7"/>
      <c r="H778" s="3"/>
    </row>
    <row r="779">
      <c r="A779" s="3"/>
      <c r="B779" s="3"/>
      <c r="C779" s="3"/>
      <c r="D779" s="5"/>
      <c r="E779" s="5"/>
      <c r="F779" s="3"/>
      <c r="G779" s="7"/>
      <c r="H779" s="3"/>
    </row>
    <row r="780">
      <c r="A780" s="3"/>
      <c r="B780" s="3"/>
      <c r="C780" s="3"/>
      <c r="D780" s="5"/>
      <c r="E780" s="5"/>
      <c r="F780" s="3"/>
      <c r="G780" s="7"/>
      <c r="H780" s="3"/>
    </row>
    <row r="781">
      <c r="A781" s="3"/>
      <c r="B781" s="3"/>
      <c r="C781" s="3"/>
      <c r="D781" s="5"/>
      <c r="E781" s="5"/>
      <c r="F781" s="3"/>
      <c r="G781" s="3"/>
      <c r="H781" s="3"/>
    </row>
    <row r="782">
      <c r="A782" s="3"/>
      <c r="B782" s="3"/>
      <c r="C782" s="3"/>
      <c r="D782" s="5"/>
      <c r="E782" s="5"/>
      <c r="F782" s="3"/>
      <c r="G782" s="7"/>
      <c r="H782" s="3"/>
    </row>
    <row r="783">
      <c r="A783" s="3"/>
      <c r="B783" s="3"/>
      <c r="C783" s="3"/>
      <c r="D783" s="5"/>
      <c r="E783" s="5"/>
      <c r="F783" s="3"/>
      <c r="G783" s="7"/>
      <c r="H783" s="3"/>
    </row>
    <row r="784">
      <c r="A784" s="3"/>
      <c r="B784" s="3"/>
      <c r="C784" s="3"/>
      <c r="D784" s="5"/>
      <c r="E784" s="5"/>
      <c r="F784" s="3"/>
      <c r="G784" s="7"/>
      <c r="H784" s="3"/>
    </row>
    <row r="785">
      <c r="A785" s="3"/>
      <c r="B785" s="3"/>
      <c r="C785" s="3"/>
      <c r="D785" s="5"/>
      <c r="E785" s="5"/>
      <c r="F785" s="3"/>
      <c r="G785" s="7"/>
      <c r="H785" s="3"/>
    </row>
    <row r="786">
      <c r="A786" s="3"/>
      <c r="B786" s="3"/>
      <c r="C786" s="3"/>
      <c r="D786" s="5"/>
      <c r="E786" s="5"/>
      <c r="F786" s="3"/>
      <c r="G786" s="3"/>
      <c r="H786" s="3"/>
    </row>
    <row r="787">
      <c r="A787" s="3"/>
      <c r="B787" s="3"/>
      <c r="C787" s="3"/>
      <c r="D787" s="5"/>
      <c r="E787" s="5"/>
      <c r="F787" s="3"/>
      <c r="G787" s="7"/>
      <c r="H787" s="3"/>
    </row>
    <row r="788">
      <c r="A788" s="3"/>
      <c r="B788" s="3"/>
      <c r="C788" s="3"/>
      <c r="D788" s="5"/>
      <c r="E788" s="5"/>
      <c r="F788" s="3"/>
      <c r="G788" s="7"/>
      <c r="H788" s="3"/>
    </row>
    <row r="789">
      <c r="A789" s="3"/>
      <c r="B789" s="3"/>
      <c r="C789" s="3"/>
      <c r="D789" s="5"/>
      <c r="E789" s="5"/>
      <c r="F789" s="3"/>
      <c r="G789" s="7"/>
      <c r="H789" s="3"/>
    </row>
    <row r="790">
      <c r="A790" s="3"/>
      <c r="B790" s="3"/>
      <c r="C790" s="3"/>
      <c r="D790" s="5"/>
      <c r="E790" s="5"/>
      <c r="F790" s="3"/>
      <c r="G790" s="7"/>
      <c r="H790" s="3"/>
    </row>
    <row r="791">
      <c r="A791" s="3"/>
      <c r="B791" s="3"/>
      <c r="C791" s="3"/>
      <c r="D791" s="5"/>
      <c r="E791" s="5"/>
      <c r="F791" s="3"/>
      <c r="G791" s="3"/>
      <c r="H791" s="3"/>
    </row>
    <row r="792">
      <c r="A792" s="3"/>
      <c r="B792" s="3"/>
      <c r="C792" s="3"/>
      <c r="D792" s="5"/>
      <c r="E792" s="5"/>
      <c r="F792" s="3"/>
      <c r="G792" s="7"/>
      <c r="H792" s="3"/>
    </row>
    <row r="793">
      <c r="A793" s="3"/>
      <c r="B793" s="3"/>
      <c r="C793" s="3"/>
      <c r="D793" s="5"/>
      <c r="E793" s="5"/>
      <c r="F793" s="3"/>
      <c r="G793" s="7"/>
      <c r="H793" s="3"/>
    </row>
    <row r="794">
      <c r="A794" s="3"/>
      <c r="B794" s="3"/>
      <c r="C794" s="3"/>
      <c r="D794" s="5"/>
      <c r="E794" s="5"/>
      <c r="F794" s="3"/>
      <c r="G794" s="7"/>
      <c r="H794" s="3"/>
    </row>
    <row r="795">
      <c r="A795" s="3"/>
      <c r="B795" s="3"/>
      <c r="C795" s="3"/>
      <c r="D795" s="5"/>
      <c r="E795" s="5"/>
      <c r="F795" s="3"/>
      <c r="G795" s="7"/>
      <c r="H795" s="3"/>
    </row>
    <row r="796">
      <c r="A796" s="3"/>
      <c r="B796" s="3"/>
      <c r="C796" s="3"/>
      <c r="D796" s="5"/>
      <c r="E796" s="5"/>
      <c r="F796" s="3"/>
      <c r="G796" s="3"/>
      <c r="H796" s="3"/>
    </row>
    <row r="797">
      <c r="A797" s="3"/>
      <c r="B797" s="3"/>
      <c r="C797" s="3"/>
      <c r="D797" s="5"/>
      <c r="E797" s="5"/>
      <c r="F797" s="3"/>
      <c r="G797" s="7"/>
      <c r="H797" s="3"/>
    </row>
    <row r="798">
      <c r="A798" s="3"/>
      <c r="B798" s="3"/>
      <c r="C798" s="3"/>
      <c r="D798" s="5"/>
      <c r="E798" s="5"/>
      <c r="F798" s="3"/>
      <c r="G798" s="7"/>
      <c r="H798" s="3"/>
    </row>
    <row r="799">
      <c r="A799" s="3"/>
      <c r="B799" s="3"/>
      <c r="C799" s="3"/>
      <c r="D799" s="5"/>
      <c r="E799" s="5"/>
      <c r="F799" s="3"/>
      <c r="G799" s="7"/>
      <c r="H799" s="3"/>
    </row>
    <row r="800">
      <c r="A800" s="3"/>
      <c r="B800" s="3"/>
      <c r="C800" s="3"/>
      <c r="D800" s="5"/>
      <c r="E800" s="5"/>
      <c r="F800" s="3"/>
      <c r="G800" s="7"/>
      <c r="H800" s="3"/>
    </row>
    <row r="801">
      <c r="A801" s="3"/>
      <c r="B801" s="3"/>
      <c r="C801" s="3"/>
      <c r="D801" s="5"/>
      <c r="E801" s="5"/>
      <c r="F801" s="3"/>
      <c r="G801" s="3"/>
      <c r="H801" s="3"/>
    </row>
    <row r="802">
      <c r="A802" s="3"/>
      <c r="B802" s="3"/>
      <c r="C802" s="3"/>
      <c r="D802" s="5"/>
      <c r="E802" s="5"/>
      <c r="F802" s="3"/>
      <c r="G802" s="7"/>
      <c r="H802" s="3"/>
    </row>
    <row r="803">
      <c r="A803" s="3"/>
      <c r="B803" s="3"/>
      <c r="C803" s="3"/>
      <c r="D803" s="5"/>
      <c r="E803" s="5"/>
      <c r="F803" s="3"/>
      <c r="G803" s="7"/>
      <c r="H803" s="3"/>
    </row>
    <row r="804">
      <c r="A804" s="3"/>
      <c r="B804" s="3"/>
      <c r="C804" s="3"/>
      <c r="D804" s="5"/>
      <c r="E804" s="5"/>
      <c r="F804" s="3"/>
      <c r="G804" s="7"/>
      <c r="H804" s="3"/>
    </row>
    <row r="805">
      <c r="A805" s="3"/>
      <c r="B805" s="3"/>
      <c r="C805" s="3"/>
      <c r="D805" s="5"/>
      <c r="E805" s="5"/>
      <c r="F805" s="3"/>
      <c r="G805" s="7"/>
      <c r="H805" s="3"/>
    </row>
    <row r="806">
      <c r="A806" s="3"/>
      <c r="B806" s="3"/>
      <c r="C806" s="3"/>
      <c r="D806" s="5"/>
      <c r="E806" s="5"/>
      <c r="F806" s="3"/>
      <c r="G806" s="3"/>
      <c r="H806" s="3"/>
    </row>
    <row r="807">
      <c r="A807" s="3"/>
      <c r="B807" s="3"/>
      <c r="C807" s="3"/>
      <c r="D807" s="5"/>
      <c r="E807" s="5"/>
      <c r="F807" s="3"/>
      <c r="G807" s="7"/>
      <c r="H807" s="3"/>
    </row>
    <row r="808">
      <c r="A808" s="3"/>
      <c r="B808" s="3"/>
      <c r="C808" s="3"/>
      <c r="D808" s="5"/>
      <c r="E808" s="5"/>
      <c r="F808" s="3"/>
      <c r="G808" s="7"/>
      <c r="H808" s="3"/>
    </row>
    <row r="809">
      <c r="A809" s="3"/>
      <c r="B809" s="3"/>
      <c r="C809" s="3"/>
      <c r="D809" s="5"/>
      <c r="E809" s="5"/>
      <c r="F809" s="3"/>
      <c r="G809" s="7"/>
      <c r="H809" s="3"/>
    </row>
    <row r="810">
      <c r="A810" s="3"/>
      <c r="B810" s="3"/>
      <c r="C810" s="3"/>
      <c r="D810" s="5"/>
      <c r="E810" s="5"/>
      <c r="F810" s="3"/>
      <c r="G810" s="7"/>
      <c r="H810" s="3"/>
    </row>
    <row r="811">
      <c r="A811" s="3"/>
      <c r="B811" s="3"/>
      <c r="C811" s="3"/>
      <c r="D811" s="5"/>
      <c r="E811" s="5"/>
      <c r="F811" s="3"/>
      <c r="G811" s="3"/>
      <c r="H811" s="3"/>
    </row>
    <row r="812">
      <c r="A812" s="3"/>
      <c r="B812" s="3"/>
      <c r="C812" s="3"/>
      <c r="D812" s="5"/>
      <c r="E812" s="5"/>
      <c r="F812" s="3"/>
      <c r="G812" s="7"/>
      <c r="H812" s="3"/>
    </row>
    <row r="813">
      <c r="A813" s="3"/>
      <c r="B813" s="3"/>
      <c r="C813" s="3"/>
      <c r="D813" s="5"/>
      <c r="E813" s="5"/>
      <c r="F813" s="3"/>
      <c r="G813" s="7"/>
      <c r="H813" s="3"/>
    </row>
    <row r="814">
      <c r="A814" s="3"/>
      <c r="B814" s="3"/>
      <c r="C814" s="3"/>
      <c r="D814" s="5"/>
      <c r="E814" s="5"/>
      <c r="F814" s="3"/>
      <c r="G814" s="7"/>
      <c r="H814" s="3"/>
    </row>
    <row r="815">
      <c r="A815" s="3"/>
      <c r="B815" s="3"/>
      <c r="C815" s="3"/>
      <c r="D815" s="5"/>
      <c r="E815" s="5"/>
      <c r="F815" s="3"/>
      <c r="G815" s="7"/>
      <c r="H815" s="3"/>
    </row>
    <row r="816">
      <c r="A816" s="3"/>
      <c r="B816" s="3"/>
      <c r="C816" s="3"/>
      <c r="D816" s="5"/>
      <c r="E816" s="5"/>
      <c r="F816" s="3"/>
      <c r="G816" s="7"/>
      <c r="H816" s="3"/>
    </row>
    <row r="817">
      <c r="A817" s="3"/>
      <c r="B817" s="3"/>
      <c r="C817" s="3"/>
      <c r="D817" s="5"/>
      <c r="E817" s="5"/>
      <c r="F817" s="3"/>
      <c r="G817" s="7"/>
      <c r="H817" s="3"/>
    </row>
    <row r="818">
      <c r="A818" s="3"/>
      <c r="B818" s="3"/>
      <c r="C818" s="3"/>
      <c r="D818" s="5"/>
      <c r="E818" s="5"/>
      <c r="F818" s="3"/>
      <c r="G818" s="7"/>
      <c r="H818" s="3"/>
    </row>
    <row r="819">
      <c r="A819" s="3"/>
      <c r="B819" s="3"/>
      <c r="C819" s="3"/>
      <c r="D819" s="5"/>
      <c r="E819" s="5"/>
      <c r="F819" s="3"/>
      <c r="G819" s="7"/>
      <c r="H819" s="3"/>
    </row>
    <row r="820">
      <c r="A820" s="3"/>
      <c r="B820" s="3"/>
      <c r="C820" s="3"/>
      <c r="D820" s="5"/>
      <c r="E820" s="5"/>
      <c r="F820" s="3"/>
      <c r="G820" s="7"/>
      <c r="H820" s="3"/>
    </row>
    <row r="821">
      <c r="A821" s="3"/>
      <c r="B821" s="3"/>
      <c r="C821" s="3"/>
      <c r="D821" s="5"/>
      <c r="E821" s="5"/>
      <c r="F821" s="3"/>
      <c r="G821" s="7"/>
      <c r="H821" s="3"/>
    </row>
    <row r="822">
      <c r="A822" s="3"/>
      <c r="B822" s="3"/>
      <c r="C822" s="3"/>
      <c r="D822" s="5"/>
      <c r="E822" s="5"/>
      <c r="F822" s="3"/>
      <c r="G822" s="3"/>
      <c r="H822" s="3"/>
    </row>
    <row r="823">
      <c r="A823" s="3"/>
      <c r="B823" s="3"/>
      <c r="C823" s="3"/>
      <c r="D823" s="5"/>
      <c r="E823" s="5"/>
      <c r="F823" s="3"/>
      <c r="G823" s="7"/>
      <c r="H823" s="3"/>
    </row>
    <row r="824">
      <c r="A824" s="3"/>
      <c r="B824" s="3"/>
      <c r="C824" s="3"/>
      <c r="D824" s="5"/>
      <c r="E824" s="5"/>
      <c r="F824" s="3"/>
      <c r="G824" s="7"/>
      <c r="H824" s="3"/>
    </row>
    <row r="825">
      <c r="A825" s="3"/>
      <c r="B825" s="3"/>
      <c r="C825" s="3"/>
      <c r="D825" s="5"/>
      <c r="E825" s="5"/>
      <c r="F825" s="3"/>
      <c r="G825" s="7"/>
      <c r="H825" s="3"/>
    </row>
    <row r="826">
      <c r="A826" s="3"/>
      <c r="B826" s="3"/>
      <c r="C826" s="3"/>
      <c r="D826" s="5"/>
      <c r="E826" s="5"/>
      <c r="F826" s="3"/>
      <c r="G826" s="7"/>
      <c r="H826" s="3"/>
    </row>
    <row r="827">
      <c r="A827" s="3"/>
      <c r="B827" s="3"/>
      <c r="C827" s="3"/>
      <c r="D827" s="5"/>
      <c r="E827" s="5"/>
      <c r="F827" s="3"/>
      <c r="G827" s="3"/>
      <c r="H827" s="3"/>
    </row>
    <row r="828">
      <c r="A828" s="3"/>
      <c r="B828" s="3"/>
      <c r="C828" s="3"/>
      <c r="D828" s="5"/>
      <c r="E828" s="5"/>
      <c r="F828" s="3"/>
      <c r="G828" s="7"/>
      <c r="H828" s="3"/>
    </row>
    <row r="829">
      <c r="A829" s="3"/>
      <c r="B829" s="3"/>
      <c r="C829" s="3"/>
      <c r="D829" s="5"/>
      <c r="E829" s="5"/>
      <c r="F829" s="3"/>
      <c r="G829" s="7"/>
      <c r="H829" s="3"/>
    </row>
    <row r="830">
      <c r="A830" s="3"/>
      <c r="B830" s="3"/>
      <c r="C830" s="3"/>
      <c r="D830" s="5"/>
      <c r="E830" s="5"/>
      <c r="F830" s="3"/>
      <c r="G830" s="7"/>
      <c r="H830" s="3"/>
    </row>
    <row r="831">
      <c r="A831" s="3"/>
      <c r="B831" s="3"/>
      <c r="C831" s="3"/>
      <c r="D831" s="5"/>
      <c r="E831" s="5"/>
      <c r="F831" s="3"/>
      <c r="G831" s="7"/>
      <c r="H831" s="3"/>
    </row>
    <row r="832">
      <c r="A832" s="3"/>
      <c r="B832" s="3"/>
      <c r="C832" s="3"/>
      <c r="D832" s="5"/>
      <c r="E832" s="5"/>
      <c r="F832" s="3"/>
      <c r="G832" s="3"/>
      <c r="H832" s="3"/>
    </row>
    <row r="833">
      <c r="A833" s="3"/>
      <c r="B833" s="3"/>
      <c r="C833" s="3"/>
      <c r="D833" s="5"/>
      <c r="E833" s="5"/>
      <c r="F833" s="3"/>
      <c r="G833" s="7"/>
      <c r="H833" s="3"/>
    </row>
    <row r="834">
      <c r="A834" s="3"/>
      <c r="B834" s="3"/>
      <c r="C834" s="3"/>
      <c r="D834" s="5"/>
      <c r="E834" s="5"/>
      <c r="F834" s="3"/>
      <c r="G834" s="7"/>
      <c r="H834" s="3"/>
    </row>
    <row r="835">
      <c r="A835" s="3"/>
      <c r="B835" s="3"/>
      <c r="C835" s="3"/>
      <c r="D835" s="5"/>
      <c r="E835" s="5"/>
      <c r="F835" s="3"/>
      <c r="G835" s="7"/>
      <c r="H835" s="3"/>
    </row>
    <row r="836">
      <c r="A836" s="3"/>
      <c r="B836" s="3"/>
      <c r="C836" s="3"/>
      <c r="D836" s="5"/>
      <c r="E836" s="5"/>
      <c r="F836" s="3"/>
      <c r="G836" s="7"/>
      <c r="H836" s="3"/>
    </row>
    <row r="837">
      <c r="A837" s="3"/>
      <c r="B837" s="3"/>
      <c r="C837" s="3"/>
      <c r="D837" s="5"/>
      <c r="E837" s="5"/>
      <c r="F837" s="3"/>
      <c r="G837" s="3"/>
      <c r="H837" s="3"/>
    </row>
    <row r="838">
      <c r="A838" s="3"/>
      <c r="B838" s="3"/>
      <c r="C838" s="3"/>
      <c r="D838" s="5"/>
      <c r="E838" s="5"/>
      <c r="F838" s="3"/>
      <c r="G838" s="7"/>
      <c r="H838" s="3"/>
    </row>
    <row r="839">
      <c r="A839" s="3"/>
      <c r="B839" s="3"/>
      <c r="C839" s="3"/>
      <c r="D839" s="5"/>
      <c r="E839" s="5"/>
      <c r="F839" s="3"/>
      <c r="G839" s="7"/>
      <c r="H839" s="3"/>
    </row>
    <row r="840">
      <c r="A840" s="3"/>
      <c r="B840" s="3"/>
      <c r="C840" s="3"/>
      <c r="D840" s="5"/>
      <c r="E840" s="5"/>
      <c r="F840" s="3"/>
      <c r="G840" s="7"/>
      <c r="H840" s="3"/>
    </row>
    <row r="841">
      <c r="A841" s="3"/>
      <c r="B841" s="3"/>
      <c r="C841" s="3"/>
      <c r="D841" s="5"/>
      <c r="E841" s="5"/>
      <c r="F841" s="3"/>
      <c r="G841" s="7"/>
      <c r="H841" s="3"/>
    </row>
    <row r="842">
      <c r="A842" s="3"/>
      <c r="B842" s="3"/>
      <c r="C842" s="3"/>
      <c r="D842" s="5"/>
      <c r="E842" s="5"/>
      <c r="F842" s="3"/>
      <c r="G842" s="3"/>
      <c r="H842" s="3"/>
    </row>
    <row r="843">
      <c r="A843" s="3"/>
      <c r="B843" s="3"/>
      <c r="C843" s="3"/>
      <c r="D843" s="5"/>
      <c r="E843" s="5"/>
      <c r="F843" s="3"/>
      <c r="G843" s="7"/>
      <c r="H843" s="3"/>
    </row>
    <row r="844">
      <c r="A844" s="3"/>
      <c r="B844" s="3"/>
      <c r="C844" s="3"/>
      <c r="D844" s="5"/>
      <c r="E844" s="5"/>
      <c r="F844" s="3"/>
      <c r="G844" s="7"/>
      <c r="H844" s="3"/>
    </row>
    <row r="845">
      <c r="A845" s="3"/>
      <c r="B845" s="3"/>
      <c r="C845" s="3"/>
      <c r="D845" s="5"/>
      <c r="E845" s="5"/>
      <c r="F845" s="3"/>
      <c r="G845" s="7"/>
      <c r="H845" s="3"/>
    </row>
    <row r="846">
      <c r="A846" s="3"/>
      <c r="B846" s="3"/>
      <c r="C846" s="3"/>
      <c r="D846" s="5"/>
      <c r="E846" s="5"/>
      <c r="F846" s="3"/>
      <c r="G846" s="7"/>
      <c r="H846" s="3"/>
    </row>
    <row r="847">
      <c r="A847" s="3"/>
      <c r="B847" s="3"/>
      <c r="C847" s="3"/>
      <c r="D847" s="5"/>
      <c r="E847" s="5"/>
      <c r="F847" s="3"/>
      <c r="G847" s="3"/>
      <c r="H847" s="3"/>
    </row>
    <row r="848">
      <c r="A848" s="3"/>
      <c r="B848" s="3"/>
      <c r="C848" s="3"/>
      <c r="D848" s="5"/>
      <c r="E848" s="5"/>
      <c r="F848" s="3"/>
      <c r="G848" s="7"/>
      <c r="H848" s="3"/>
    </row>
    <row r="849">
      <c r="A849" s="3"/>
      <c r="B849" s="3"/>
      <c r="C849" s="3"/>
      <c r="D849" s="5"/>
      <c r="E849" s="5"/>
      <c r="F849" s="3"/>
      <c r="G849" s="7"/>
      <c r="H849" s="3"/>
    </row>
    <row r="850">
      <c r="A850" s="3"/>
      <c r="B850" s="3"/>
      <c r="C850" s="3"/>
      <c r="D850" s="5"/>
      <c r="E850" s="5"/>
      <c r="F850" s="3"/>
      <c r="G850" s="7"/>
      <c r="H850" s="3"/>
    </row>
    <row r="851">
      <c r="A851" s="3"/>
      <c r="B851" s="3"/>
      <c r="C851" s="3"/>
      <c r="D851" s="5"/>
      <c r="E851" s="5"/>
      <c r="F851" s="3"/>
      <c r="G851" s="7"/>
      <c r="H851" s="3"/>
    </row>
    <row r="852">
      <c r="A852" s="3"/>
      <c r="B852" s="3"/>
      <c r="C852" s="3"/>
      <c r="D852" s="5"/>
      <c r="E852" s="5"/>
      <c r="F852" s="3"/>
      <c r="G852" s="3"/>
      <c r="H852" s="3"/>
    </row>
    <row r="853">
      <c r="A853" s="3"/>
      <c r="B853" s="3"/>
      <c r="C853" s="3"/>
      <c r="D853" s="5"/>
      <c r="E853" s="5"/>
      <c r="F853" s="3"/>
      <c r="G853" s="7"/>
      <c r="H853" s="3"/>
    </row>
    <row r="854">
      <c r="A854" s="3"/>
      <c r="B854" s="3"/>
      <c r="C854" s="3"/>
      <c r="D854" s="5"/>
      <c r="E854" s="5"/>
      <c r="F854" s="3"/>
      <c r="G854" s="7"/>
      <c r="H854" s="3"/>
    </row>
    <row r="855">
      <c r="A855" s="3"/>
      <c r="B855" s="3"/>
      <c r="C855" s="3"/>
      <c r="D855" s="5"/>
      <c r="E855" s="5"/>
      <c r="F855" s="3"/>
      <c r="G855" s="7"/>
      <c r="H855" s="3"/>
    </row>
    <row r="856">
      <c r="A856" s="3"/>
      <c r="B856" s="3"/>
      <c r="C856" s="3"/>
      <c r="D856" s="5"/>
      <c r="E856" s="5"/>
      <c r="F856" s="3"/>
      <c r="G856" s="7"/>
      <c r="H856" s="3"/>
    </row>
    <row r="857">
      <c r="A857" s="3"/>
      <c r="B857" s="3"/>
      <c r="C857" s="3"/>
      <c r="D857" s="5"/>
      <c r="E857" s="5"/>
      <c r="F857" s="3"/>
      <c r="G857" s="3"/>
      <c r="H857" s="3"/>
    </row>
    <row r="858">
      <c r="A858" s="3"/>
      <c r="B858" s="3"/>
      <c r="C858" s="3"/>
      <c r="D858" s="5"/>
      <c r="E858" s="5"/>
      <c r="F858" s="3"/>
      <c r="G858" s="7"/>
      <c r="H858" s="3"/>
    </row>
    <row r="859">
      <c r="A859" s="3"/>
      <c r="B859" s="3"/>
      <c r="C859" s="3"/>
      <c r="D859" s="5"/>
      <c r="E859" s="5"/>
      <c r="F859" s="3"/>
      <c r="G859" s="7"/>
      <c r="H859" s="3"/>
    </row>
    <row r="860">
      <c r="A860" s="3"/>
      <c r="B860" s="3"/>
      <c r="C860" s="3"/>
      <c r="D860" s="5"/>
      <c r="E860" s="5"/>
      <c r="F860" s="3"/>
      <c r="G860" s="7"/>
      <c r="H860" s="3"/>
    </row>
    <row r="861">
      <c r="A861" s="3"/>
      <c r="B861" s="3"/>
      <c r="C861" s="3"/>
      <c r="D861" s="5"/>
      <c r="E861" s="5"/>
      <c r="F861" s="3"/>
      <c r="G861" s="7"/>
      <c r="H861" s="3"/>
    </row>
    <row r="862">
      <c r="A862" s="3"/>
      <c r="B862" s="3"/>
      <c r="C862" s="3"/>
      <c r="D862" s="5"/>
      <c r="E862" s="5"/>
      <c r="F862" s="3"/>
      <c r="G862" s="3"/>
      <c r="H862" s="3"/>
    </row>
    <row r="863">
      <c r="A863" s="3"/>
      <c r="B863" s="3"/>
      <c r="C863" s="3"/>
      <c r="D863" s="5"/>
      <c r="E863" s="5"/>
      <c r="F863" s="3"/>
      <c r="G863" s="7"/>
      <c r="H863" s="3"/>
    </row>
    <row r="864">
      <c r="A864" s="3"/>
      <c r="B864" s="3"/>
      <c r="C864" s="3"/>
      <c r="D864" s="5"/>
      <c r="E864" s="5"/>
      <c r="F864" s="3"/>
      <c r="G864" s="7"/>
      <c r="H864" s="3"/>
    </row>
    <row r="865">
      <c r="A865" s="3"/>
      <c r="B865" s="3"/>
      <c r="C865" s="3"/>
      <c r="D865" s="5"/>
      <c r="E865" s="5"/>
      <c r="F865" s="3"/>
      <c r="G865" s="7"/>
      <c r="H865" s="3"/>
    </row>
    <row r="866">
      <c r="A866" s="3"/>
      <c r="B866" s="3"/>
      <c r="C866" s="3"/>
      <c r="D866" s="5"/>
      <c r="E866" s="5"/>
      <c r="F866" s="3"/>
      <c r="G866" s="7"/>
      <c r="H866" s="3"/>
    </row>
    <row r="867">
      <c r="A867" s="3"/>
      <c r="B867" s="3"/>
      <c r="C867" s="3"/>
      <c r="D867" s="5"/>
      <c r="E867" s="5"/>
      <c r="F867" s="3"/>
      <c r="G867" s="3"/>
      <c r="H867" s="3"/>
    </row>
    <row r="868">
      <c r="A868" s="3"/>
      <c r="B868" s="3"/>
      <c r="C868" s="3"/>
      <c r="D868" s="5"/>
      <c r="E868" s="5"/>
      <c r="F868" s="3"/>
      <c r="G868" s="7"/>
      <c r="H868" s="3"/>
    </row>
    <row r="869">
      <c r="A869" s="3"/>
      <c r="B869" s="3"/>
      <c r="C869" s="3"/>
      <c r="D869" s="5"/>
      <c r="E869" s="5"/>
      <c r="F869" s="3"/>
      <c r="G869" s="7"/>
      <c r="H869" s="3"/>
    </row>
    <row r="870">
      <c r="A870" s="3"/>
      <c r="B870" s="3"/>
      <c r="C870" s="3"/>
      <c r="D870" s="5"/>
      <c r="E870" s="5"/>
      <c r="F870" s="3"/>
      <c r="G870" s="7"/>
      <c r="H870" s="3"/>
    </row>
    <row r="871">
      <c r="A871" s="3"/>
      <c r="B871" s="3"/>
      <c r="C871" s="3"/>
      <c r="D871" s="5"/>
      <c r="E871" s="5"/>
      <c r="F871" s="3"/>
      <c r="G871" s="7"/>
      <c r="H871" s="3"/>
    </row>
    <row r="872">
      <c r="A872" s="3"/>
      <c r="B872" s="3"/>
      <c r="C872" s="3"/>
      <c r="D872" s="5"/>
      <c r="E872" s="5"/>
      <c r="F872" s="3"/>
      <c r="G872" s="3"/>
      <c r="H872" s="3"/>
    </row>
    <row r="873">
      <c r="A873" s="3"/>
      <c r="B873" s="3"/>
      <c r="C873" s="3"/>
      <c r="D873" s="5"/>
      <c r="E873" s="5"/>
      <c r="F873" s="3"/>
      <c r="G873" s="7"/>
      <c r="H873" s="3"/>
    </row>
    <row r="874">
      <c r="A874" s="3"/>
      <c r="B874" s="3"/>
      <c r="C874" s="3"/>
      <c r="D874" s="5"/>
      <c r="E874" s="5"/>
      <c r="F874" s="3"/>
      <c r="G874" s="7"/>
      <c r="H874" s="3"/>
    </row>
    <row r="875">
      <c r="A875" s="3"/>
      <c r="B875" s="3"/>
      <c r="C875" s="3"/>
      <c r="D875" s="5"/>
      <c r="E875" s="5"/>
      <c r="F875" s="3"/>
      <c r="G875" s="3"/>
      <c r="H875" s="3"/>
    </row>
    <row r="876">
      <c r="A876" s="3"/>
      <c r="B876" s="3"/>
      <c r="C876" s="3"/>
      <c r="D876" s="5"/>
      <c r="E876" s="5"/>
      <c r="F876" s="3"/>
      <c r="G876" s="7"/>
      <c r="H876" s="3"/>
    </row>
    <row r="877">
      <c r="A877" s="3"/>
      <c r="B877" s="3"/>
      <c r="C877" s="3"/>
      <c r="D877" s="5"/>
      <c r="E877" s="5"/>
      <c r="F877" s="3"/>
      <c r="G877" s="7"/>
      <c r="H877" s="3"/>
    </row>
    <row r="878">
      <c r="A878" s="3"/>
      <c r="B878" s="3"/>
      <c r="C878" s="3"/>
      <c r="D878" s="5"/>
      <c r="E878" s="5"/>
      <c r="F878" s="3"/>
      <c r="G878" s="7"/>
      <c r="H878" s="3"/>
    </row>
    <row r="879">
      <c r="A879" s="3"/>
      <c r="B879" s="3"/>
      <c r="C879" s="3"/>
      <c r="D879" s="5"/>
      <c r="E879" s="5"/>
      <c r="F879" s="3"/>
      <c r="G879" s="7"/>
      <c r="H879" s="3"/>
    </row>
    <row r="880">
      <c r="A880" s="3"/>
      <c r="B880" s="3"/>
      <c r="C880" s="3"/>
      <c r="D880" s="5"/>
      <c r="E880" s="5"/>
      <c r="F880" s="3"/>
      <c r="G880" s="7"/>
      <c r="H880" s="3"/>
    </row>
    <row r="881">
      <c r="A881" s="3"/>
      <c r="B881" s="3"/>
      <c r="C881" s="3"/>
      <c r="D881" s="5"/>
      <c r="E881" s="5"/>
      <c r="F881" s="3"/>
      <c r="G881" s="7"/>
      <c r="H881" s="3"/>
    </row>
    <row r="882">
      <c r="A882" s="3"/>
      <c r="B882" s="3"/>
      <c r="C882" s="3"/>
      <c r="D882" s="5"/>
      <c r="E882" s="5"/>
      <c r="F882" s="3"/>
      <c r="G882" s="7"/>
      <c r="H882" s="3"/>
    </row>
    <row r="883">
      <c r="A883" s="3"/>
      <c r="B883" s="3"/>
      <c r="C883" s="3"/>
      <c r="D883" s="5"/>
      <c r="E883" s="5"/>
      <c r="F883" s="3"/>
      <c r="G883" s="7"/>
      <c r="H883" s="3"/>
    </row>
    <row r="884">
      <c r="A884" s="3"/>
      <c r="B884" s="3"/>
      <c r="C884" s="3"/>
      <c r="D884" s="5"/>
      <c r="E884" s="5"/>
      <c r="F884" s="3"/>
      <c r="G884" s="7"/>
      <c r="H884" s="3"/>
    </row>
    <row r="885">
      <c r="A885" s="3"/>
      <c r="B885" s="3"/>
      <c r="C885" s="3"/>
      <c r="D885" s="5"/>
      <c r="E885" s="5"/>
      <c r="F885" s="3"/>
      <c r="G885" s="7"/>
      <c r="H885" s="3"/>
    </row>
    <row r="886">
      <c r="A886" s="3"/>
      <c r="B886" s="3"/>
      <c r="C886" s="3"/>
      <c r="D886" s="5"/>
      <c r="E886" s="5"/>
      <c r="F886" s="3"/>
      <c r="G886" s="3"/>
      <c r="H886" s="3"/>
    </row>
    <row r="887">
      <c r="A887" s="3"/>
      <c r="B887" s="3"/>
      <c r="C887" s="3"/>
      <c r="D887" s="5"/>
      <c r="E887" s="5"/>
      <c r="F887" s="3"/>
      <c r="G887" s="7"/>
      <c r="H887" s="3"/>
    </row>
    <row r="888">
      <c r="A888" s="3"/>
      <c r="B888" s="3"/>
      <c r="C888" s="3"/>
      <c r="D888" s="5"/>
      <c r="E888" s="5"/>
      <c r="F888" s="3"/>
      <c r="G888" s="7"/>
      <c r="H888" s="3"/>
    </row>
    <row r="889">
      <c r="A889" s="3"/>
      <c r="B889" s="3"/>
      <c r="C889" s="3"/>
      <c r="D889" s="5"/>
      <c r="E889" s="5"/>
      <c r="F889" s="3"/>
      <c r="G889" s="7"/>
      <c r="H889" s="3"/>
    </row>
    <row r="890">
      <c r="A890" s="3"/>
      <c r="B890" s="3"/>
      <c r="C890" s="3"/>
      <c r="D890" s="5"/>
      <c r="E890" s="5"/>
      <c r="F890" s="3"/>
      <c r="G890" s="7"/>
      <c r="H890" s="3"/>
    </row>
    <row r="891">
      <c r="A891" s="3"/>
      <c r="B891" s="3"/>
      <c r="C891" s="3"/>
      <c r="D891" s="5"/>
      <c r="E891" s="5"/>
      <c r="F891" s="3"/>
      <c r="G891" s="3"/>
      <c r="H891" s="3"/>
    </row>
    <row r="892">
      <c r="A892" s="3"/>
      <c r="B892" s="3"/>
      <c r="C892" s="3"/>
      <c r="D892" s="5"/>
      <c r="E892" s="5"/>
      <c r="F892" s="3"/>
      <c r="G892" s="7"/>
      <c r="H892" s="3"/>
    </row>
    <row r="893">
      <c r="A893" s="3"/>
      <c r="B893" s="3"/>
      <c r="C893" s="3"/>
      <c r="D893" s="5"/>
      <c r="E893" s="5"/>
      <c r="F893" s="3"/>
      <c r="G893" s="7"/>
      <c r="H893" s="3"/>
    </row>
    <row r="894">
      <c r="A894" s="3"/>
      <c r="B894" s="3"/>
      <c r="C894" s="3"/>
      <c r="D894" s="5"/>
      <c r="E894" s="5"/>
      <c r="F894" s="3"/>
      <c r="G894" s="7"/>
      <c r="H894" s="3"/>
    </row>
    <row r="895">
      <c r="A895" s="3"/>
      <c r="B895" s="3"/>
      <c r="C895" s="3"/>
      <c r="D895" s="5"/>
      <c r="E895" s="5"/>
      <c r="F895" s="3"/>
      <c r="G895" s="7"/>
      <c r="H895" s="3"/>
    </row>
    <row r="896">
      <c r="A896" s="3"/>
      <c r="B896" s="3"/>
      <c r="C896" s="3"/>
      <c r="D896" s="5"/>
      <c r="E896" s="5"/>
      <c r="F896" s="3"/>
      <c r="G896" s="3"/>
      <c r="H896" s="3"/>
    </row>
    <row r="897">
      <c r="A897" s="3"/>
      <c r="B897" s="3"/>
      <c r="C897" s="3"/>
      <c r="D897" s="5"/>
      <c r="E897" s="5"/>
      <c r="F897" s="3"/>
      <c r="G897" s="7"/>
      <c r="H897" s="3"/>
    </row>
    <row r="898">
      <c r="A898" s="3"/>
      <c r="B898" s="3"/>
      <c r="C898" s="3"/>
      <c r="D898" s="5"/>
      <c r="E898" s="5"/>
      <c r="F898" s="3"/>
      <c r="G898" s="7"/>
      <c r="H898" s="3"/>
    </row>
    <row r="899">
      <c r="A899" s="3"/>
      <c r="B899" s="3"/>
      <c r="C899" s="3"/>
      <c r="D899" s="5"/>
      <c r="E899" s="5"/>
      <c r="F899" s="3"/>
      <c r="G899" s="7"/>
      <c r="H899" s="3"/>
    </row>
    <row r="900">
      <c r="A900" s="3"/>
      <c r="B900" s="3"/>
      <c r="C900" s="3"/>
      <c r="D900" s="5"/>
      <c r="E900" s="5"/>
      <c r="F900" s="3"/>
      <c r="G900" s="7"/>
      <c r="H900" s="3"/>
    </row>
    <row r="901">
      <c r="A901" s="3"/>
      <c r="B901" s="3"/>
      <c r="C901" s="3"/>
      <c r="D901" s="5"/>
      <c r="E901" s="5"/>
      <c r="F901" s="3"/>
      <c r="G901" s="3"/>
      <c r="H901" s="3"/>
    </row>
    <row r="902">
      <c r="A902" s="3"/>
      <c r="B902" s="3"/>
      <c r="C902" s="3"/>
      <c r="D902" s="5"/>
      <c r="E902" s="5"/>
      <c r="F902" s="3"/>
      <c r="G902" s="7"/>
      <c r="H902" s="3"/>
    </row>
    <row r="903">
      <c r="A903" s="3"/>
      <c r="B903" s="3"/>
      <c r="C903" s="3"/>
      <c r="D903" s="5"/>
      <c r="E903" s="5"/>
      <c r="F903" s="3"/>
      <c r="G903" s="7"/>
      <c r="H903" s="3"/>
    </row>
    <row r="904">
      <c r="A904" s="3"/>
      <c r="B904" s="3"/>
      <c r="C904" s="3"/>
      <c r="D904" s="5"/>
      <c r="E904" s="5"/>
      <c r="F904" s="3"/>
      <c r="G904" s="7"/>
      <c r="H904" s="3"/>
    </row>
    <row r="905">
      <c r="A905" s="3"/>
      <c r="B905" s="3"/>
      <c r="C905" s="3"/>
      <c r="D905" s="5"/>
      <c r="E905" s="5"/>
      <c r="F905" s="3"/>
      <c r="G905" s="7"/>
      <c r="H905" s="3"/>
    </row>
    <row r="906">
      <c r="A906" s="3"/>
      <c r="B906" s="3"/>
      <c r="C906" s="3"/>
      <c r="D906" s="5"/>
      <c r="E906" s="5"/>
      <c r="F906" s="3"/>
      <c r="G906" s="3"/>
      <c r="H906" s="3"/>
    </row>
    <row r="907">
      <c r="A907" s="3"/>
      <c r="B907" s="3"/>
      <c r="C907" s="3"/>
      <c r="D907" s="5"/>
      <c r="E907" s="5"/>
      <c r="F907" s="3"/>
      <c r="G907" s="7"/>
      <c r="H907" s="3"/>
    </row>
    <row r="908">
      <c r="A908" s="3"/>
      <c r="B908" s="3"/>
      <c r="C908" s="3"/>
      <c r="D908" s="5"/>
      <c r="E908" s="5"/>
      <c r="F908" s="3"/>
      <c r="G908" s="7"/>
      <c r="H908" s="3"/>
    </row>
    <row r="909">
      <c r="A909" s="3"/>
      <c r="B909" s="3"/>
      <c r="C909" s="3"/>
      <c r="D909" s="5"/>
      <c r="E909" s="5"/>
      <c r="F909" s="3"/>
      <c r="G909" s="7"/>
      <c r="H909" s="3"/>
    </row>
    <row r="910">
      <c r="A910" s="3"/>
      <c r="B910" s="3"/>
      <c r="C910" s="3"/>
      <c r="D910" s="5"/>
      <c r="E910" s="5"/>
      <c r="F910" s="3"/>
      <c r="G910" s="7"/>
      <c r="H910" s="3"/>
    </row>
    <row r="911">
      <c r="A911" s="3"/>
      <c r="B911" s="3"/>
      <c r="C911" s="3"/>
      <c r="D911" s="5"/>
      <c r="E911" s="5"/>
      <c r="F911" s="3"/>
      <c r="G911" s="3"/>
      <c r="H911" s="3"/>
    </row>
    <row r="912">
      <c r="A912" s="3"/>
      <c r="B912" s="3"/>
      <c r="C912" s="3"/>
      <c r="D912" s="5"/>
      <c r="E912" s="5"/>
      <c r="F912" s="3"/>
      <c r="G912" s="7"/>
      <c r="H912" s="3"/>
    </row>
    <row r="913">
      <c r="A913" s="3"/>
      <c r="B913" s="3"/>
      <c r="C913" s="3"/>
      <c r="D913" s="5"/>
      <c r="E913" s="5"/>
      <c r="F913" s="3"/>
      <c r="G913" s="7"/>
      <c r="H913" s="3"/>
    </row>
    <row r="914">
      <c r="A914" s="3"/>
      <c r="B914" s="3"/>
      <c r="C914" s="3"/>
      <c r="D914" s="5"/>
      <c r="E914" s="5"/>
      <c r="F914" s="3"/>
      <c r="G914" s="7"/>
      <c r="H914" s="3"/>
    </row>
    <row r="915">
      <c r="A915" s="3"/>
      <c r="B915" s="3"/>
      <c r="C915" s="3"/>
      <c r="D915" s="5"/>
      <c r="E915" s="5"/>
      <c r="F915" s="3"/>
      <c r="G915" s="7"/>
      <c r="H915" s="3"/>
    </row>
    <row r="916">
      <c r="A916" s="3"/>
      <c r="B916" s="3"/>
      <c r="C916" s="3"/>
      <c r="D916" s="5"/>
      <c r="E916" s="5"/>
      <c r="F916" s="3"/>
      <c r="G916" s="3"/>
      <c r="H916" s="3"/>
    </row>
    <row r="917">
      <c r="A917" s="3"/>
      <c r="B917" s="3"/>
      <c r="C917" s="3"/>
      <c r="D917" s="5"/>
      <c r="E917" s="5"/>
      <c r="F917" s="3"/>
      <c r="G917" s="7"/>
      <c r="H917" s="3"/>
    </row>
    <row r="918">
      <c r="A918" s="3"/>
      <c r="B918" s="3"/>
      <c r="C918" s="3"/>
      <c r="D918" s="5"/>
      <c r="E918" s="5"/>
      <c r="F918" s="3"/>
      <c r="G918" s="7"/>
      <c r="H918" s="3"/>
    </row>
    <row r="919">
      <c r="A919" s="3"/>
      <c r="B919" s="3"/>
      <c r="C919" s="3"/>
      <c r="D919" s="5"/>
      <c r="E919" s="5"/>
      <c r="F919" s="3"/>
      <c r="G919" s="7"/>
      <c r="H919" s="3"/>
    </row>
    <row r="920">
      <c r="A920" s="3"/>
      <c r="B920" s="3"/>
      <c r="C920" s="3"/>
      <c r="D920" s="5"/>
      <c r="E920" s="5"/>
      <c r="F920" s="3"/>
      <c r="G920" s="7"/>
      <c r="H920" s="3"/>
    </row>
    <row r="921">
      <c r="A921" s="3"/>
      <c r="B921" s="3"/>
      <c r="C921" s="3"/>
      <c r="D921" s="5"/>
      <c r="E921" s="5"/>
      <c r="F921" s="3"/>
      <c r="G921" s="3"/>
      <c r="H921" s="3"/>
    </row>
    <row r="922">
      <c r="A922" s="3"/>
      <c r="B922" s="3"/>
      <c r="C922" s="3"/>
      <c r="D922" s="5"/>
      <c r="E922" s="5"/>
      <c r="F922" s="3"/>
      <c r="G922" s="7"/>
      <c r="H922" s="3"/>
    </row>
    <row r="923">
      <c r="A923" s="3"/>
      <c r="B923" s="3"/>
      <c r="C923" s="3"/>
      <c r="D923" s="5"/>
      <c r="E923" s="5"/>
      <c r="F923" s="3"/>
      <c r="G923" s="7"/>
      <c r="H923" s="3"/>
    </row>
    <row r="924">
      <c r="A924" s="3"/>
      <c r="B924" s="3"/>
      <c r="C924" s="3"/>
      <c r="D924" s="5"/>
      <c r="E924" s="5"/>
      <c r="F924" s="3"/>
      <c r="G924" s="7"/>
      <c r="H924" s="3"/>
    </row>
    <row r="925">
      <c r="A925" s="3"/>
      <c r="B925" s="3"/>
      <c r="C925" s="3"/>
      <c r="D925" s="5"/>
      <c r="E925" s="5"/>
      <c r="F925" s="3"/>
      <c r="G925" s="7"/>
      <c r="H925" s="3"/>
    </row>
    <row r="926">
      <c r="A926" s="3"/>
      <c r="B926" s="3"/>
      <c r="C926" s="3"/>
      <c r="D926" s="5"/>
      <c r="E926" s="5"/>
      <c r="F926" s="3"/>
      <c r="G926" s="3"/>
      <c r="H926" s="3"/>
    </row>
    <row r="927">
      <c r="A927" s="3"/>
      <c r="B927" s="3"/>
      <c r="C927" s="3"/>
      <c r="D927" s="5"/>
      <c r="E927" s="5"/>
      <c r="F927" s="3"/>
      <c r="G927" s="7"/>
      <c r="H927" s="3"/>
    </row>
    <row r="928">
      <c r="A928" s="3"/>
      <c r="B928" s="3"/>
      <c r="C928" s="3"/>
      <c r="D928" s="5"/>
      <c r="E928" s="5"/>
      <c r="F928" s="3"/>
      <c r="G928" s="7"/>
      <c r="H928" s="3"/>
    </row>
    <row r="929">
      <c r="A929" s="3"/>
      <c r="B929" s="3"/>
      <c r="C929" s="3"/>
      <c r="D929" s="5"/>
      <c r="E929" s="5"/>
      <c r="F929" s="3"/>
      <c r="G929" s="7"/>
      <c r="H929" s="3"/>
    </row>
    <row r="930">
      <c r="A930" s="3"/>
      <c r="B930" s="3"/>
      <c r="C930" s="3"/>
      <c r="D930" s="5"/>
      <c r="E930" s="5"/>
      <c r="F930" s="3"/>
      <c r="G930" s="7"/>
      <c r="H930" s="3"/>
    </row>
    <row r="931">
      <c r="A931" s="3"/>
      <c r="B931" s="3"/>
      <c r="C931" s="3"/>
      <c r="D931" s="5"/>
      <c r="E931" s="5"/>
      <c r="F931" s="3"/>
      <c r="G931" s="3"/>
      <c r="H931" s="3"/>
    </row>
    <row r="932">
      <c r="A932" s="3"/>
      <c r="B932" s="3"/>
      <c r="C932" s="3"/>
      <c r="D932" s="5"/>
      <c r="E932" s="5"/>
      <c r="F932" s="3"/>
      <c r="G932" s="7"/>
      <c r="H932" s="3"/>
    </row>
    <row r="933">
      <c r="A933" s="3"/>
      <c r="B933" s="3"/>
      <c r="C933" s="3"/>
      <c r="D933" s="5"/>
      <c r="E933" s="5"/>
      <c r="F933" s="3"/>
      <c r="G933" s="7"/>
      <c r="H933" s="3"/>
    </row>
    <row r="934">
      <c r="A934" s="3"/>
      <c r="B934" s="3"/>
      <c r="C934" s="3"/>
      <c r="D934" s="5"/>
      <c r="E934" s="5"/>
      <c r="F934" s="3"/>
      <c r="G934" s="7"/>
      <c r="H934" s="3"/>
    </row>
    <row r="935">
      <c r="A935" s="3"/>
      <c r="B935" s="3"/>
      <c r="C935" s="3"/>
      <c r="D935" s="5"/>
      <c r="E935" s="5"/>
      <c r="F935" s="3"/>
      <c r="G935" s="7"/>
      <c r="H935" s="3"/>
    </row>
    <row r="936">
      <c r="A936" s="3"/>
      <c r="B936" s="3"/>
      <c r="C936" s="3"/>
      <c r="D936" s="5"/>
      <c r="E936" s="5"/>
      <c r="F936" s="3"/>
      <c r="G936" s="3"/>
      <c r="H936" s="3"/>
    </row>
    <row r="937">
      <c r="A937" s="3"/>
      <c r="B937" s="3"/>
      <c r="C937" s="3"/>
      <c r="D937" s="5"/>
      <c r="E937" s="5"/>
      <c r="F937" s="3"/>
      <c r="G937" s="7"/>
      <c r="H937" s="3"/>
    </row>
    <row r="938">
      <c r="A938" s="3"/>
      <c r="B938" s="3"/>
      <c r="C938" s="3"/>
      <c r="D938" s="5"/>
      <c r="E938" s="5"/>
      <c r="F938" s="3"/>
      <c r="G938" s="7"/>
      <c r="H938" s="3"/>
    </row>
    <row r="939">
      <c r="A939" s="3"/>
      <c r="B939" s="3"/>
      <c r="C939" s="3"/>
      <c r="D939" s="5"/>
      <c r="E939" s="5"/>
      <c r="F939" s="3"/>
      <c r="G939" s="7"/>
      <c r="H939" s="3"/>
    </row>
    <row r="940">
      <c r="A940" s="3"/>
      <c r="B940" s="3"/>
      <c r="C940" s="3"/>
      <c r="D940" s="5"/>
      <c r="E940" s="5"/>
      <c r="F940" s="3"/>
      <c r="G940" s="7"/>
      <c r="H940" s="3"/>
    </row>
    <row r="941">
      <c r="A941" s="3"/>
      <c r="B941" s="3"/>
      <c r="C941" s="3"/>
      <c r="D941" s="5"/>
      <c r="E941" s="5"/>
      <c r="F941" s="3"/>
      <c r="G941" s="3"/>
      <c r="H941" s="3"/>
    </row>
    <row r="942">
      <c r="A942" s="3"/>
      <c r="B942" s="3"/>
      <c r="C942" s="3"/>
      <c r="D942" s="5"/>
      <c r="E942" s="5"/>
      <c r="F942" s="3"/>
      <c r="G942" s="7"/>
      <c r="H942" s="3"/>
    </row>
    <row r="943">
      <c r="A943" s="3"/>
      <c r="B943" s="3"/>
      <c r="C943" s="3"/>
      <c r="D943" s="5"/>
      <c r="E943" s="5"/>
      <c r="F943" s="3"/>
      <c r="G943" s="7"/>
      <c r="H943" s="3"/>
    </row>
    <row r="944">
      <c r="A944" s="3"/>
      <c r="B944" s="3"/>
      <c r="C944" s="3"/>
      <c r="D944" s="5"/>
      <c r="E944" s="5"/>
      <c r="F944" s="3"/>
      <c r="G944" s="7"/>
      <c r="H944" s="3"/>
    </row>
    <row r="945">
      <c r="A945" s="3"/>
      <c r="B945" s="3"/>
      <c r="C945" s="3"/>
      <c r="D945" s="5"/>
      <c r="E945" s="5"/>
      <c r="F945" s="3"/>
      <c r="G945" s="7"/>
      <c r="H945" s="3"/>
    </row>
    <row r="946">
      <c r="A946" s="3"/>
      <c r="B946" s="3"/>
      <c r="C946" s="3"/>
      <c r="D946" s="5"/>
      <c r="E946" s="5"/>
      <c r="F946" s="3"/>
      <c r="G946" s="3"/>
      <c r="H946" s="3"/>
    </row>
    <row r="947">
      <c r="A947" s="3"/>
      <c r="B947" s="3"/>
      <c r="C947" s="3"/>
      <c r="D947" s="5"/>
      <c r="E947" s="5"/>
      <c r="F947" s="3"/>
      <c r="G947" s="7"/>
      <c r="H947" s="3"/>
    </row>
    <row r="948">
      <c r="A948" s="3"/>
      <c r="B948" s="3"/>
      <c r="C948" s="3"/>
      <c r="D948" s="5"/>
      <c r="E948" s="5"/>
      <c r="F948" s="3"/>
      <c r="G948" s="7"/>
      <c r="H948" s="3"/>
    </row>
    <row r="949">
      <c r="A949" s="3"/>
      <c r="B949" s="3"/>
      <c r="C949" s="3"/>
      <c r="D949" s="5"/>
      <c r="E949" s="5"/>
      <c r="F949" s="3"/>
      <c r="G949" s="7"/>
      <c r="H949" s="3"/>
    </row>
    <row r="950">
      <c r="A950" s="3"/>
      <c r="B950" s="3"/>
      <c r="C950" s="3"/>
      <c r="D950" s="5"/>
      <c r="E950" s="5"/>
      <c r="F950" s="3"/>
      <c r="G950" s="7"/>
      <c r="H950" s="3"/>
    </row>
    <row r="951">
      <c r="A951" s="3"/>
      <c r="B951" s="3"/>
      <c r="C951" s="3"/>
      <c r="D951" s="5"/>
      <c r="E951" s="5"/>
      <c r="F951" s="3"/>
      <c r="G951" s="3"/>
      <c r="H951" s="3"/>
    </row>
    <row r="952">
      <c r="A952" s="3"/>
      <c r="B952" s="3"/>
      <c r="C952" s="3"/>
      <c r="D952" s="5"/>
      <c r="E952" s="5"/>
      <c r="F952" s="3"/>
      <c r="G952" s="7"/>
      <c r="H952" s="3"/>
    </row>
    <row r="953">
      <c r="A953" s="3"/>
      <c r="B953" s="3"/>
      <c r="C953" s="3"/>
      <c r="D953" s="5"/>
      <c r="E953" s="5"/>
      <c r="F953" s="3"/>
      <c r="G953" s="7"/>
      <c r="H953" s="3"/>
    </row>
    <row r="954">
      <c r="A954" s="3"/>
      <c r="B954" s="3"/>
      <c r="C954" s="3"/>
      <c r="D954" s="5"/>
      <c r="E954" s="5"/>
      <c r="F954" s="3"/>
      <c r="G954" s="7"/>
      <c r="H954" s="3"/>
    </row>
    <row r="955">
      <c r="A955" s="3"/>
      <c r="B955" s="3"/>
      <c r="C955" s="3"/>
      <c r="D955" s="5"/>
      <c r="E955" s="5"/>
      <c r="F955" s="3"/>
      <c r="G955" s="7"/>
      <c r="H955" s="3"/>
    </row>
    <row r="956">
      <c r="A956" s="3"/>
      <c r="B956" s="3"/>
      <c r="C956" s="3"/>
      <c r="D956" s="5"/>
      <c r="E956" s="5"/>
      <c r="F956" s="3"/>
      <c r="G956" s="3"/>
      <c r="H956" s="3"/>
    </row>
    <row r="957">
      <c r="A957" s="3"/>
      <c r="B957" s="3"/>
      <c r="C957" s="3"/>
      <c r="D957" s="5"/>
      <c r="E957" s="5"/>
      <c r="F957" s="3"/>
      <c r="G957" s="7"/>
      <c r="H957" s="3"/>
    </row>
    <row r="958">
      <c r="A958" s="3"/>
      <c r="B958" s="3"/>
      <c r="C958" s="3"/>
      <c r="D958" s="5"/>
      <c r="E958" s="5"/>
      <c r="F958" s="3"/>
      <c r="G958" s="7"/>
      <c r="H958" s="3"/>
    </row>
    <row r="959">
      <c r="A959" s="3"/>
      <c r="B959" s="3"/>
      <c r="C959" s="3"/>
      <c r="D959" s="5"/>
      <c r="E959" s="5"/>
      <c r="F959" s="3"/>
      <c r="G959" s="7"/>
      <c r="H959" s="3"/>
    </row>
    <row r="960">
      <c r="A960" s="3"/>
      <c r="B960" s="3"/>
      <c r="C960" s="3"/>
      <c r="D960" s="5"/>
      <c r="E960" s="5"/>
      <c r="F960" s="3"/>
      <c r="G960" s="7"/>
      <c r="H960" s="3"/>
    </row>
    <row r="961">
      <c r="A961" s="3"/>
      <c r="B961" s="3"/>
      <c r="C961" s="3"/>
      <c r="D961" s="5"/>
      <c r="E961" s="5"/>
      <c r="F961" s="3"/>
      <c r="G961" s="3"/>
      <c r="H961" s="3"/>
    </row>
    <row r="962">
      <c r="A962" s="3"/>
      <c r="B962" s="3"/>
      <c r="C962" s="3"/>
      <c r="D962" s="5"/>
      <c r="E962" s="5"/>
      <c r="F962" s="3"/>
      <c r="G962" s="7"/>
      <c r="H962" s="3"/>
    </row>
    <row r="963">
      <c r="A963" s="3"/>
      <c r="B963" s="3"/>
      <c r="C963" s="3"/>
      <c r="D963" s="5"/>
      <c r="E963" s="5"/>
      <c r="F963" s="3"/>
      <c r="G963" s="7"/>
      <c r="H963" s="3"/>
    </row>
    <row r="964">
      <c r="A964" s="3"/>
      <c r="B964" s="3"/>
      <c r="C964" s="3"/>
      <c r="D964" s="5"/>
      <c r="E964" s="5"/>
      <c r="F964" s="3"/>
      <c r="G964" s="7"/>
      <c r="H964" s="3"/>
    </row>
    <row r="965">
      <c r="A965" s="3"/>
      <c r="B965" s="3"/>
      <c r="C965" s="3"/>
      <c r="D965" s="5"/>
      <c r="E965" s="5"/>
      <c r="F965" s="3"/>
      <c r="G965" s="7"/>
      <c r="H965" s="3"/>
    </row>
    <row r="966">
      <c r="A966" s="3"/>
      <c r="B966" s="3"/>
      <c r="C966" s="3"/>
      <c r="D966" s="5"/>
      <c r="E966" s="5"/>
      <c r="F966" s="3"/>
      <c r="G966" s="3"/>
      <c r="H966" s="3"/>
    </row>
    <row r="967">
      <c r="A967" s="3"/>
      <c r="B967" s="3"/>
      <c r="C967" s="3"/>
      <c r="D967" s="5"/>
      <c r="E967" s="5"/>
      <c r="F967" s="3"/>
      <c r="G967" s="7"/>
      <c r="H967" s="3"/>
    </row>
    <row r="968">
      <c r="A968" s="3"/>
      <c r="B968" s="3"/>
      <c r="C968" s="3"/>
      <c r="D968" s="5"/>
      <c r="E968" s="5"/>
      <c r="F968" s="3"/>
      <c r="G968" s="7"/>
      <c r="H968" s="3"/>
    </row>
    <row r="969">
      <c r="A969" s="3"/>
      <c r="B969" s="3"/>
      <c r="C969" s="3"/>
      <c r="D969" s="5"/>
      <c r="E969" s="5"/>
      <c r="F969" s="3"/>
      <c r="G969" s="7"/>
      <c r="H969" s="3"/>
    </row>
    <row r="970">
      <c r="A970" s="3"/>
      <c r="B970" s="3"/>
      <c r="C970" s="3"/>
      <c r="D970" s="5"/>
      <c r="E970" s="5"/>
      <c r="F970" s="3"/>
      <c r="G970" s="7"/>
      <c r="H970" s="3"/>
    </row>
    <row r="971">
      <c r="A971" s="3"/>
      <c r="B971" s="3"/>
      <c r="C971" s="3"/>
      <c r="D971" s="5"/>
      <c r="E971" s="5"/>
      <c r="F971" s="3"/>
      <c r="G971" s="3"/>
      <c r="H971" s="3"/>
    </row>
    <row r="972">
      <c r="A972" s="3"/>
      <c r="B972" s="3"/>
      <c r="C972" s="3"/>
      <c r="D972" s="5"/>
      <c r="E972" s="5"/>
      <c r="F972" s="3"/>
      <c r="G972" s="7"/>
      <c r="H972" s="3"/>
    </row>
    <row r="973">
      <c r="A973" s="3"/>
      <c r="B973" s="3"/>
      <c r="C973" s="3"/>
      <c r="D973" s="5"/>
      <c r="E973" s="5"/>
      <c r="F973" s="3"/>
      <c r="G973" s="7"/>
      <c r="H973" s="3"/>
    </row>
    <row r="974">
      <c r="A974" s="3"/>
      <c r="B974" s="3"/>
      <c r="C974" s="3"/>
      <c r="D974" s="5"/>
      <c r="E974" s="5"/>
      <c r="F974" s="3"/>
      <c r="G974" s="7"/>
      <c r="H974" s="3"/>
    </row>
    <row r="975">
      <c r="A975" s="3"/>
      <c r="B975" s="3"/>
      <c r="C975" s="3"/>
      <c r="D975" s="5"/>
      <c r="E975" s="5"/>
      <c r="F975" s="3"/>
      <c r="G975" s="7"/>
      <c r="H975" s="3"/>
    </row>
    <row r="976">
      <c r="A976" s="3"/>
      <c r="B976" s="3"/>
      <c r="C976" s="117"/>
      <c r="D976" s="5"/>
      <c r="E976" s="5"/>
      <c r="F976" s="3"/>
      <c r="G976" s="3"/>
      <c r="H976" s="3"/>
    </row>
    <row r="977">
      <c r="A977" s="3"/>
      <c r="B977" s="3"/>
      <c r="C977" s="117"/>
      <c r="D977" s="5"/>
      <c r="E977" s="5"/>
      <c r="F977" s="3"/>
      <c r="G977" s="7"/>
      <c r="H977" s="3"/>
    </row>
    <row r="978">
      <c r="A978" s="3"/>
      <c r="B978" s="3"/>
      <c r="C978" s="117"/>
      <c r="D978" s="5"/>
      <c r="E978" s="5"/>
      <c r="F978" s="3"/>
      <c r="G978" s="7"/>
      <c r="H978" s="3"/>
    </row>
    <row r="979">
      <c r="A979" s="3"/>
      <c r="B979" s="3"/>
      <c r="C979" s="117"/>
      <c r="D979" s="5"/>
      <c r="E979" s="5"/>
      <c r="F979" s="3"/>
      <c r="G979" s="7"/>
      <c r="H979" s="3"/>
    </row>
    <row r="980">
      <c r="A980" s="3"/>
      <c r="B980" s="3"/>
      <c r="C980" s="117"/>
      <c r="D980" s="5"/>
      <c r="E980" s="5"/>
      <c r="F980" s="3"/>
      <c r="G980" s="7"/>
      <c r="H980" s="3"/>
    </row>
    <row r="981">
      <c r="A981" s="3"/>
      <c r="B981" s="3"/>
      <c r="C981" s="3"/>
      <c r="D981" s="5"/>
      <c r="E981" s="5"/>
      <c r="F981" s="3"/>
      <c r="G981" s="3"/>
      <c r="H981" s="3"/>
    </row>
    <row r="982">
      <c r="A982" s="3"/>
      <c r="B982" s="3"/>
      <c r="C982" s="3"/>
      <c r="D982" s="5"/>
      <c r="E982" s="5"/>
      <c r="F982" s="3"/>
      <c r="G982" s="7"/>
      <c r="H982" s="3"/>
    </row>
    <row r="983">
      <c r="A983" s="3"/>
      <c r="B983" s="3"/>
      <c r="C983" s="3"/>
      <c r="D983" s="5"/>
      <c r="E983" s="5"/>
      <c r="F983" s="3"/>
      <c r="G983" s="7"/>
      <c r="H983" s="3"/>
    </row>
    <row r="984">
      <c r="A984" s="3"/>
      <c r="B984" s="3"/>
      <c r="C984" s="3"/>
      <c r="D984" s="5"/>
      <c r="E984" s="5"/>
      <c r="F984" s="3"/>
      <c r="G984" s="7"/>
      <c r="H984" s="3"/>
    </row>
    <row r="985">
      <c r="A985" s="3"/>
      <c r="B985" s="3"/>
      <c r="C985" s="3"/>
      <c r="D985" s="5"/>
      <c r="E985" s="5"/>
      <c r="F985" s="3"/>
      <c r="G985" s="7"/>
      <c r="H985" s="3"/>
    </row>
    <row r="986">
      <c r="A986" s="3"/>
      <c r="B986" s="3"/>
      <c r="C986" s="3"/>
      <c r="D986" s="5"/>
      <c r="E986" s="5"/>
      <c r="F986" s="3"/>
      <c r="G986" s="3"/>
      <c r="H986" s="3"/>
    </row>
    <row r="987">
      <c r="A987" s="3"/>
      <c r="B987" s="3"/>
      <c r="C987" s="3"/>
      <c r="D987" s="5"/>
      <c r="E987" s="5"/>
      <c r="F987" s="3"/>
      <c r="G987" s="7"/>
      <c r="H987" s="3"/>
    </row>
    <row r="988">
      <c r="A988" s="3"/>
      <c r="B988" s="3"/>
      <c r="C988" s="3"/>
      <c r="D988" s="5"/>
      <c r="E988" s="5"/>
      <c r="F988" s="3"/>
      <c r="G988" s="7"/>
      <c r="H988" s="3"/>
    </row>
    <row r="989">
      <c r="A989" s="3"/>
      <c r="B989" s="3"/>
      <c r="C989" s="3"/>
      <c r="D989" s="5"/>
      <c r="E989" s="5"/>
      <c r="F989" s="3"/>
      <c r="G989" s="7"/>
      <c r="H989" s="3"/>
    </row>
    <row r="990">
      <c r="A990" s="3"/>
      <c r="B990" s="3"/>
      <c r="C990" s="3"/>
      <c r="D990" s="5"/>
      <c r="E990" s="5"/>
      <c r="F990" s="3"/>
      <c r="G990" s="7"/>
      <c r="H990" s="3"/>
    </row>
    <row r="991">
      <c r="A991" s="3"/>
      <c r="B991" s="3"/>
      <c r="C991" s="3"/>
      <c r="D991" s="5"/>
      <c r="E991" s="5"/>
      <c r="F991" s="3"/>
      <c r="G991" s="3"/>
      <c r="H991" s="3"/>
    </row>
    <row r="992">
      <c r="A992" s="3"/>
      <c r="B992" s="3"/>
      <c r="C992" s="3"/>
      <c r="D992" s="5"/>
      <c r="E992" s="5"/>
      <c r="F992" s="3"/>
      <c r="G992" s="7"/>
      <c r="H992" s="3"/>
    </row>
    <row r="993">
      <c r="A993" s="3"/>
      <c r="B993" s="3"/>
      <c r="C993" s="3"/>
      <c r="D993" s="5"/>
      <c r="E993" s="5"/>
      <c r="F993" s="3"/>
      <c r="G993" s="7"/>
      <c r="H993" s="3"/>
    </row>
    <row r="994">
      <c r="A994" s="3"/>
      <c r="B994" s="3"/>
      <c r="C994" s="3"/>
      <c r="D994" s="5"/>
      <c r="E994" s="5"/>
      <c r="F994" s="3"/>
      <c r="G994" s="7"/>
      <c r="H994" s="3"/>
    </row>
    <row r="995">
      <c r="A995" s="3"/>
      <c r="B995" s="3"/>
      <c r="C995" s="3"/>
      <c r="D995" s="5"/>
      <c r="E995" s="5"/>
      <c r="F995" s="3"/>
      <c r="G995" s="7"/>
      <c r="H995" s="3"/>
    </row>
    <row r="996">
      <c r="A996" s="3"/>
      <c r="B996" s="3"/>
      <c r="C996" s="3"/>
      <c r="D996" s="5"/>
      <c r="E996" s="5"/>
      <c r="F996" s="3"/>
      <c r="G996" s="3"/>
      <c r="H996" s="3"/>
    </row>
    <row r="997">
      <c r="A997" s="3"/>
      <c r="B997" s="3"/>
      <c r="C997" s="3"/>
      <c r="D997" s="5"/>
      <c r="E997" s="5"/>
      <c r="F997" s="3"/>
      <c r="G997" s="7"/>
      <c r="H997" s="3"/>
    </row>
    <row r="998">
      <c r="A998" s="3"/>
      <c r="B998" s="3"/>
      <c r="C998" s="3"/>
      <c r="D998" s="5"/>
      <c r="E998" s="5"/>
      <c r="F998" s="3"/>
      <c r="G998" s="7"/>
      <c r="H998" s="3"/>
    </row>
    <row r="999">
      <c r="A999" s="3"/>
      <c r="B999" s="3"/>
      <c r="C999" s="3"/>
      <c r="D999" s="5"/>
      <c r="E999" s="5"/>
      <c r="F999" s="3"/>
      <c r="G999" s="7"/>
      <c r="H999" s="3"/>
    </row>
    <row r="1000">
      <c r="A1000" s="3"/>
      <c r="B1000" s="3"/>
      <c r="C1000" s="3"/>
      <c r="D1000" s="5"/>
      <c r="E1000" s="5"/>
      <c r="F1000" s="3"/>
      <c r="G1000" s="7"/>
      <c r="H1000" s="3"/>
    </row>
    <row r="1001">
      <c r="A1001" s="3"/>
      <c r="B1001" s="3"/>
      <c r="C1001" s="3"/>
      <c r="D1001" s="5"/>
      <c r="E1001" s="5"/>
      <c r="F1001" s="3"/>
      <c r="G1001" s="3"/>
      <c r="H1001" s="3"/>
    </row>
    <row r="1002">
      <c r="A1002" s="3"/>
      <c r="B1002" s="3"/>
      <c r="C1002" s="3"/>
      <c r="D1002" s="5"/>
      <c r="E1002" s="5"/>
      <c r="F1002" s="3"/>
      <c r="G1002" s="7"/>
      <c r="H1002" s="3"/>
    </row>
    <row r="1003">
      <c r="A1003" s="3"/>
      <c r="B1003" s="3"/>
      <c r="C1003" s="3"/>
      <c r="D1003" s="5"/>
      <c r="E1003" s="5"/>
      <c r="F1003" s="3"/>
      <c r="G1003" s="7"/>
      <c r="H1003" s="3"/>
    </row>
    <row r="1004">
      <c r="A1004" s="3"/>
      <c r="B1004" s="3"/>
      <c r="C1004" s="3"/>
      <c r="D1004" s="5"/>
      <c r="E1004" s="5"/>
      <c r="F1004" s="3"/>
      <c r="G1004" s="7"/>
      <c r="H1004" s="3"/>
    </row>
    <row r="1005">
      <c r="A1005" s="3"/>
      <c r="B1005" s="3"/>
      <c r="C1005" s="3"/>
      <c r="D1005" s="5"/>
      <c r="E1005" s="5"/>
      <c r="F1005" s="3"/>
      <c r="G1005" s="7"/>
      <c r="H1005" s="3"/>
    </row>
    <row r="1006">
      <c r="A1006" s="3"/>
      <c r="B1006" s="3"/>
      <c r="C1006" s="3"/>
      <c r="D1006" s="5"/>
      <c r="E1006" s="5"/>
      <c r="F1006" s="3"/>
      <c r="G1006" s="3"/>
      <c r="H1006" s="3"/>
    </row>
    <row r="1007">
      <c r="A1007" s="3"/>
      <c r="B1007" s="3"/>
      <c r="C1007" s="3"/>
      <c r="D1007" s="5"/>
      <c r="E1007" s="5"/>
      <c r="F1007" s="3"/>
      <c r="G1007" s="7"/>
      <c r="H1007" s="3"/>
    </row>
    <row r="1008">
      <c r="A1008" s="3"/>
      <c r="B1008" s="3"/>
      <c r="C1008" s="3"/>
      <c r="D1008" s="5"/>
      <c r="E1008" s="5"/>
      <c r="F1008" s="3"/>
      <c r="G1008" s="7"/>
      <c r="H1008" s="3"/>
    </row>
    <row r="1009">
      <c r="A1009" s="3"/>
      <c r="B1009" s="3"/>
      <c r="C1009" s="3"/>
      <c r="D1009" s="5"/>
      <c r="E1009" s="5"/>
      <c r="F1009" s="3"/>
      <c r="G1009" s="7"/>
      <c r="H1009" s="3"/>
    </row>
    <row r="1010">
      <c r="A1010" s="3"/>
      <c r="B1010" s="3"/>
      <c r="C1010" s="3"/>
      <c r="D1010" s="5"/>
      <c r="E1010" s="5"/>
      <c r="F1010" s="3"/>
      <c r="G1010" s="7"/>
      <c r="H1010" s="3"/>
    </row>
    <row r="1011">
      <c r="A1011" s="3"/>
      <c r="B1011" s="3"/>
      <c r="C1011" s="3"/>
      <c r="D1011" s="5"/>
      <c r="E1011" s="5"/>
      <c r="F1011" s="3"/>
      <c r="G1011" s="3"/>
      <c r="H1011" s="3"/>
    </row>
    <row r="1012">
      <c r="A1012" s="3"/>
      <c r="B1012" s="3"/>
      <c r="C1012" s="3"/>
      <c r="D1012" s="5"/>
      <c r="E1012" s="5"/>
      <c r="F1012" s="3"/>
      <c r="G1012" s="7"/>
      <c r="H1012" s="3"/>
    </row>
    <row r="1013">
      <c r="A1013" s="3"/>
      <c r="B1013" s="3"/>
      <c r="C1013" s="3"/>
      <c r="D1013" s="5"/>
      <c r="E1013" s="5"/>
      <c r="F1013" s="3"/>
      <c r="G1013" s="7"/>
      <c r="H1013" s="3"/>
    </row>
    <row r="1014">
      <c r="A1014" s="3"/>
      <c r="B1014" s="3"/>
      <c r="C1014" s="3"/>
      <c r="D1014" s="5"/>
      <c r="E1014" s="5"/>
      <c r="F1014" s="3"/>
      <c r="G1014" s="7"/>
      <c r="H1014" s="3"/>
    </row>
    <row r="1015">
      <c r="A1015" s="3"/>
      <c r="B1015" s="3"/>
      <c r="C1015" s="3"/>
      <c r="D1015" s="5"/>
      <c r="E1015" s="5"/>
      <c r="F1015" s="3"/>
      <c r="G1015" s="7"/>
      <c r="H1015" s="3"/>
    </row>
    <row r="1016">
      <c r="A1016" s="3"/>
      <c r="B1016" s="3"/>
      <c r="C1016" s="3"/>
      <c r="D1016" s="5"/>
      <c r="E1016" s="5"/>
      <c r="F1016" s="3"/>
      <c r="G1016" s="3"/>
      <c r="H1016" s="3"/>
    </row>
    <row r="1017">
      <c r="A1017" s="3"/>
      <c r="B1017" s="3"/>
      <c r="C1017" s="3"/>
      <c r="D1017" s="5"/>
      <c r="E1017" s="5"/>
      <c r="F1017" s="3"/>
      <c r="G1017" s="7"/>
      <c r="H1017" s="3"/>
    </row>
    <row r="1018">
      <c r="A1018" s="3"/>
      <c r="B1018" s="3"/>
      <c r="C1018" s="3"/>
      <c r="D1018" s="5"/>
      <c r="E1018" s="5"/>
      <c r="F1018" s="3"/>
      <c r="G1018" s="7"/>
      <c r="H1018" s="3"/>
    </row>
    <row r="1019">
      <c r="A1019" s="3"/>
      <c r="B1019" s="3"/>
      <c r="C1019" s="3"/>
      <c r="D1019" s="5"/>
      <c r="E1019" s="5"/>
      <c r="F1019" s="3"/>
      <c r="G1019" s="7"/>
      <c r="H1019" s="3"/>
    </row>
    <row r="1020">
      <c r="A1020" s="3"/>
      <c r="B1020" s="3"/>
      <c r="C1020" s="3"/>
      <c r="D1020" s="5"/>
      <c r="E1020" s="5"/>
      <c r="F1020" s="3"/>
      <c r="G1020" s="7"/>
      <c r="H1020" s="3"/>
    </row>
    <row r="1021">
      <c r="A1021" s="3"/>
      <c r="B1021" s="3"/>
      <c r="C1021" s="3"/>
      <c r="D1021" s="5"/>
      <c r="E1021" s="5"/>
      <c r="F1021" s="3"/>
      <c r="G1021" s="3"/>
      <c r="H1021" s="3"/>
    </row>
    <row r="1022">
      <c r="A1022" s="3"/>
      <c r="B1022" s="3"/>
      <c r="C1022" s="3"/>
      <c r="D1022" s="5"/>
      <c r="E1022" s="5"/>
      <c r="F1022" s="3"/>
      <c r="G1022" s="7"/>
      <c r="H1022" s="3"/>
    </row>
    <row r="1023">
      <c r="A1023" s="3"/>
      <c r="B1023" s="3"/>
      <c r="C1023" s="3"/>
      <c r="D1023" s="5"/>
      <c r="E1023" s="5"/>
      <c r="F1023" s="3"/>
      <c r="G1023" s="7"/>
      <c r="H1023" s="3"/>
    </row>
    <row r="1024">
      <c r="A1024" s="3"/>
      <c r="B1024" s="3"/>
      <c r="C1024" s="3"/>
      <c r="D1024" s="5"/>
      <c r="E1024" s="5"/>
      <c r="F1024" s="3"/>
      <c r="G1024" s="7"/>
      <c r="H1024" s="3"/>
    </row>
    <row r="1025">
      <c r="A1025" s="3"/>
      <c r="B1025" s="3"/>
      <c r="C1025" s="3"/>
      <c r="D1025" s="5"/>
      <c r="E1025" s="5"/>
      <c r="F1025" s="3"/>
      <c r="G1025" s="7"/>
      <c r="H1025" s="3"/>
    </row>
    <row r="1026">
      <c r="A1026" s="3"/>
      <c r="B1026" s="3"/>
      <c r="C1026" s="3"/>
      <c r="D1026" s="5"/>
      <c r="E1026" s="5"/>
      <c r="F1026" s="3"/>
      <c r="G1026" s="3"/>
      <c r="H1026" s="3"/>
    </row>
    <row r="1027">
      <c r="A1027" s="3"/>
      <c r="B1027" s="3"/>
      <c r="C1027" s="3"/>
      <c r="D1027" s="5"/>
      <c r="E1027" s="5"/>
      <c r="F1027" s="3"/>
      <c r="G1027" s="7"/>
      <c r="H1027" s="3"/>
    </row>
    <row r="1028">
      <c r="A1028" s="3"/>
      <c r="B1028" s="3"/>
      <c r="C1028" s="3"/>
      <c r="D1028" s="5"/>
      <c r="E1028" s="5"/>
      <c r="F1028" s="3"/>
      <c r="G1028" s="7"/>
      <c r="H1028" s="3"/>
    </row>
    <row r="1029">
      <c r="A1029" s="3"/>
      <c r="B1029" s="3"/>
      <c r="C1029" s="3"/>
      <c r="D1029" s="5"/>
      <c r="E1029" s="5"/>
      <c r="F1029" s="3"/>
      <c r="G1029" s="7"/>
      <c r="H1029" s="3"/>
    </row>
    <row r="1030">
      <c r="A1030" s="3"/>
      <c r="B1030" s="3"/>
      <c r="C1030" s="3"/>
      <c r="D1030" s="5"/>
      <c r="E1030" s="5"/>
      <c r="F1030" s="3"/>
      <c r="G1030" s="7"/>
      <c r="H1030" s="3"/>
    </row>
    <row r="1031">
      <c r="A1031" s="3"/>
      <c r="B1031" s="3"/>
      <c r="C1031" s="3"/>
      <c r="D1031" s="5"/>
      <c r="E1031" s="5"/>
      <c r="F1031" s="3"/>
      <c r="G1031" s="3"/>
      <c r="H1031" s="3"/>
    </row>
    <row r="1032">
      <c r="A1032" s="3"/>
      <c r="B1032" s="3"/>
      <c r="C1032" s="3"/>
      <c r="D1032" s="5"/>
      <c r="E1032" s="5"/>
      <c r="F1032" s="3"/>
      <c r="G1032" s="7"/>
      <c r="H1032" s="3"/>
    </row>
    <row r="1033">
      <c r="A1033" s="3"/>
      <c r="B1033" s="3"/>
      <c r="C1033" s="3"/>
      <c r="D1033" s="5"/>
      <c r="E1033" s="5"/>
      <c r="F1033" s="3"/>
      <c r="G1033" s="7"/>
      <c r="H1033" s="3"/>
    </row>
    <row r="1034">
      <c r="A1034" s="3"/>
      <c r="B1034" s="3"/>
      <c r="C1034" s="3"/>
      <c r="D1034" s="5"/>
      <c r="E1034" s="5"/>
      <c r="F1034" s="3"/>
      <c r="G1034" s="7"/>
      <c r="H1034" s="3"/>
    </row>
    <row r="1035">
      <c r="A1035" s="3"/>
      <c r="B1035" s="3"/>
      <c r="C1035" s="3"/>
      <c r="D1035" s="5"/>
      <c r="E1035" s="5"/>
      <c r="F1035" s="3"/>
      <c r="G1035" s="7"/>
      <c r="H1035" s="3"/>
    </row>
    <row r="1036">
      <c r="A1036" s="3"/>
      <c r="B1036" s="3"/>
      <c r="C1036" s="3"/>
      <c r="D1036" s="5"/>
      <c r="E1036" s="5"/>
      <c r="F1036" s="3"/>
      <c r="G1036" s="3"/>
      <c r="H1036" s="3"/>
    </row>
    <row r="1037">
      <c r="A1037" s="3"/>
      <c r="B1037" s="3"/>
      <c r="C1037" s="3"/>
      <c r="D1037" s="5"/>
      <c r="E1037" s="5"/>
      <c r="F1037" s="3"/>
      <c r="G1037" s="7"/>
      <c r="H1037" s="3"/>
    </row>
    <row r="1038">
      <c r="A1038" s="3"/>
      <c r="B1038" s="3"/>
      <c r="C1038" s="3"/>
      <c r="D1038" s="5"/>
      <c r="E1038" s="5"/>
      <c r="F1038" s="3"/>
      <c r="G1038" s="7"/>
      <c r="H1038" s="3"/>
    </row>
    <row r="1039">
      <c r="A1039" s="3"/>
      <c r="B1039" s="3"/>
      <c r="C1039" s="3"/>
      <c r="D1039" s="5"/>
      <c r="E1039" s="5"/>
      <c r="F1039" s="3"/>
      <c r="G1039" s="7"/>
      <c r="H1039" s="3"/>
    </row>
    <row r="1040">
      <c r="A1040" s="3"/>
      <c r="B1040" s="3"/>
      <c r="C1040" s="3"/>
      <c r="D1040" s="5"/>
      <c r="E1040" s="5"/>
      <c r="F1040" s="3"/>
      <c r="G1040" s="7"/>
      <c r="H1040" s="3"/>
    </row>
    <row r="1041">
      <c r="A1041" s="3"/>
      <c r="B1041" s="3"/>
      <c r="C1041" s="3"/>
      <c r="D1041" s="5"/>
      <c r="E1041" s="5"/>
      <c r="F1041" s="3"/>
      <c r="G1041" s="3"/>
      <c r="H1041" s="3"/>
    </row>
    <row r="1042">
      <c r="A1042" s="3"/>
      <c r="B1042" s="3"/>
      <c r="C1042" s="3"/>
      <c r="D1042" s="5"/>
      <c r="E1042" s="5"/>
      <c r="F1042" s="3"/>
      <c r="G1042" s="7"/>
      <c r="H1042" s="3"/>
    </row>
    <row r="1043">
      <c r="A1043" s="3"/>
      <c r="B1043" s="3"/>
      <c r="C1043" s="3"/>
      <c r="D1043" s="5"/>
      <c r="E1043" s="5"/>
      <c r="F1043" s="3"/>
      <c r="G1043" s="7"/>
      <c r="H1043" s="3"/>
    </row>
    <row r="1044">
      <c r="A1044" s="3"/>
      <c r="B1044" s="3"/>
      <c r="C1044" s="3"/>
      <c r="D1044" s="5"/>
      <c r="E1044" s="5"/>
      <c r="F1044" s="3"/>
      <c r="G1044" s="7"/>
      <c r="H1044" s="3"/>
    </row>
    <row r="1045">
      <c r="A1045" s="3"/>
      <c r="B1045" s="3"/>
      <c r="C1045" s="3"/>
      <c r="D1045" s="5"/>
      <c r="E1045" s="5"/>
      <c r="F1045" s="3"/>
      <c r="G1045" s="7"/>
      <c r="H1045" s="3"/>
    </row>
    <row r="1046">
      <c r="A1046" s="3"/>
      <c r="B1046" s="3"/>
      <c r="C1046" s="3"/>
      <c r="D1046" s="5"/>
      <c r="E1046" s="5"/>
      <c r="F1046" s="3"/>
      <c r="G1046" s="3"/>
      <c r="H1046" s="3"/>
    </row>
    <row r="1047">
      <c r="A1047" s="3"/>
      <c r="B1047" s="3"/>
      <c r="C1047" s="3"/>
      <c r="D1047" s="5"/>
      <c r="E1047" s="5"/>
      <c r="F1047" s="3"/>
      <c r="G1047" s="7"/>
      <c r="H1047" s="3"/>
    </row>
    <row r="1048">
      <c r="A1048" s="3"/>
      <c r="B1048" s="3"/>
      <c r="C1048" s="3"/>
      <c r="D1048" s="5"/>
      <c r="E1048" s="5"/>
      <c r="F1048" s="3"/>
      <c r="G1048" s="7"/>
      <c r="H1048" s="3"/>
    </row>
    <row r="1049">
      <c r="A1049" s="3"/>
      <c r="B1049" s="3"/>
      <c r="C1049" s="3"/>
      <c r="D1049" s="5"/>
      <c r="E1049" s="5"/>
      <c r="F1049" s="3"/>
      <c r="G1049" s="7"/>
      <c r="H1049" s="3"/>
    </row>
    <row r="1050">
      <c r="A1050" s="3"/>
      <c r="B1050" s="3"/>
      <c r="C1050" s="3"/>
      <c r="D1050" s="5"/>
      <c r="E1050" s="5"/>
      <c r="F1050" s="3"/>
      <c r="G1050" s="7"/>
      <c r="H1050" s="3"/>
    </row>
    <row r="1051">
      <c r="A1051" s="3"/>
      <c r="B1051" s="3"/>
      <c r="C1051" s="3"/>
      <c r="D1051" s="5"/>
      <c r="E1051" s="5"/>
      <c r="F1051" s="3"/>
      <c r="G1051" s="3"/>
      <c r="H1051" s="3"/>
    </row>
    <row r="1052">
      <c r="A1052" s="3"/>
      <c r="B1052" s="3"/>
      <c r="C1052" s="3"/>
      <c r="D1052" s="5"/>
      <c r="E1052" s="5"/>
      <c r="F1052" s="3"/>
      <c r="G1052" s="7"/>
      <c r="H1052" s="3"/>
    </row>
    <row r="1053">
      <c r="A1053" s="3"/>
      <c r="B1053" s="3"/>
      <c r="C1053" s="3"/>
      <c r="D1053" s="5"/>
      <c r="E1053" s="5"/>
      <c r="F1053" s="3"/>
      <c r="G1053" s="7"/>
      <c r="H1053" s="3"/>
    </row>
    <row r="1054">
      <c r="A1054" s="3"/>
      <c r="B1054" s="3"/>
      <c r="C1054" s="3"/>
      <c r="D1054" s="5"/>
      <c r="E1054" s="5"/>
      <c r="F1054" s="3"/>
      <c r="G1054" s="7"/>
      <c r="H1054" s="3"/>
    </row>
    <row r="1055">
      <c r="A1055" s="3"/>
      <c r="B1055" s="3"/>
      <c r="C1055" s="3"/>
      <c r="D1055" s="5"/>
      <c r="E1055" s="5"/>
      <c r="F1055" s="3"/>
      <c r="G1055" s="7"/>
      <c r="H1055" s="3"/>
    </row>
    <row r="1056">
      <c r="A1056" s="3"/>
      <c r="B1056" s="3"/>
      <c r="C1056" s="3"/>
      <c r="D1056" s="5"/>
      <c r="E1056" s="5"/>
      <c r="F1056" s="3"/>
      <c r="G1056" s="3"/>
      <c r="H1056" s="3"/>
    </row>
    <row r="1057">
      <c r="A1057" s="3"/>
      <c r="B1057" s="3"/>
      <c r="C1057" s="3"/>
      <c r="D1057" s="5"/>
      <c r="E1057" s="5"/>
      <c r="F1057" s="3"/>
      <c r="G1057" s="7"/>
      <c r="H1057" s="3"/>
    </row>
    <row r="1058">
      <c r="A1058" s="3"/>
      <c r="B1058" s="3"/>
      <c r="C1058" s="3"/>
      <c r="D1058" s="5"/>
      <c r="E1058" s="5"/>
      <c r="F1058" s="3"/>
      <c r="G1058" s="7"/>
      <c r="H1058" s="3"/>
    </row>
    <row r="1059">
      <c r="A1059" s="3"/>
      <c r="B1059" s="3"/>
      <c r="C1059" s="3"/>
      <c r="D1059" s="5"/>
      <c r="E1059" s="5"/>
      <c r="F1059" s="3"/>
      <c r="G1059" s="7"/>
      <c r="H1059" s="3"/>
    </row>
    <row r="1060">
      <c r="A1060" s="3"/>
      <c r="B1060" s="3"/>
      <c r="C1060" s="3"/>
      <c r="D1060" s="5"/>
      <c r="E1060" s="5"/>
      <c r="F1060" s="3"/>
      <c r="G1060" s="7"/>
      <c r="H1060" s="3"/>
    </row>
    <row r="1061">
      <c r="A1061" s="3"/>
      <c r="B1061" s="3"/>
      <c r="C1061" s="3"/>
      <c r="D1061" s="5"/>
      <c r="E1061" s="5"/>
      <c r="F1061" s="3"/>
      <c r="G1061" s="3"/>
      <c r="H1061" s="3"/>
    </row>
    <row r="1062">
      <c r="A1062" s="3"/>
      <c r="B1062" s="3"/>
      <c r="C1062" s="3"/>
      <c r="D1062" s="5"/>
      <c r="E1062" s="5"/>
      <c r="F1062" s="3"/>
      <c r="G1062" s="7"/>
      <c r="H1062" s="3"/>
    </row>
    <row r="1063">
      <c r="A1063" s="3"/>
      <c r="B1063" s="3"/>
      <c r="C1063" s="3"/>
      <c r="D1063" s="5"/>
      <c r="E1063" s="5"/>
      <c r="F1063" s="3"/>
      <c r="G1063" s="7"/>
      <c r="H1063" s="3"/>
    </row>
    <row r="1064">
      <c r="A1064" s="3"/>
      <c r="B1064" s="3"/>
      <c r="C1064" s="3"/>
      <c r="D1064" s="5"/>
      <c r="E1064" s="5"/>
      <c r="F1064" s="3"/>
      <c r="G1064" s="7"/>
      <c r="H1064" s="3"/>
    </row>
    <row r="1065">
      <c r="A1065" s="3"/>
      <c r="B1065" s="3"/>
      <c r="C1065" s="3"/>
      <c r="D1065" s="5"/>
      <c r="E1065" s="5"/>
      <c r="F1065" s="3"/>
      <c r="G1065" s="7"/>
      <c r="H1065" s="3"/>
    </row>
    <row r="1066">
      <c r="A1066" s="3"/>
      <c r="B1066" s="3"/>
      <c r="C1066" s="3"/>
      <c r="D1066" s="5"/>
      <c r="E1066" s="5"/>
      <c r="F1066" s="3"/>
      <c r="G1066" s="3"/>
      <c r="H1066" s="3"/>
    </row>
    <row r="1067">
      <c r="A1067" s="3"/>
      <c r="B1067" s="3"/>
      <c r="C1067" s="3"/>
      <c r="D1067" s="5"/>
      <c r="E1067" s="5"/>
      <c r="F1067" s="3"/>
      <c r="G1067" s="7"/>
      <c r="H1067" s="3"/>
    </row>
    <row r="1068">
      <c r="A1068" s="3"/>
      <c r="B1068" s="3"/>
      <c r="C1068" s="3"/>
      <c r="D1068" s="5"/>
      <c r="E1068" s="5"/>
      <c r="F1068" s="3"/>
      <c r="G1068" s="7"/>
      <c r="H1068" s="3"/>
    </row>
    <row r="1069">
      <c r="A1069" s="3"/>
      <c r="B1069" s="3"/>
      <c r="C1069" s="3"/>
      <c r="D1069" s="5"/>
      <c r="E1069" s="5"/>
      <c r="F1069" s="3"/>
      <c r="G1069" s="7"/>
      <c r="H1069" s="3"/>
    </row>
    <row r="1070">
      <c r="A1070" s="3"/>
      <c r="B1070" s="3"/>
      <c r="C1070" s="3"/>
      <c r="D1070" s="5"/>
      <c r="E1070" s="5"/>
      <c r="F1070" s="3"/>
      <c r="G1070" s="7"/>
      <c r="H1070" s="3"/>
    </row>
    <row r="1071">
      <c r="A1071" s="3"/>
      <c r="B1071" s="3"/>
      <c r="C1071" s="3"/>
      <c r="D1071" s="5"/>
      <c r="E1071" s="5"/>
      <c r="F1071" s="3"/>
      <c r="G1071" s="3"/>
      <c r="H1071" s="3"/>
    </row>
    <row r="1072">
      <c r="A1072" s="3"/>
      <c r="B1072" s="3"/>
      <c r="C1072" s="3"/>
      <c r="D1072" s="5"/>
      <c r="E1072" s="5"/>
      <c r="F1072" s="3"/>
      <c r="G1072" s="7"/>
      <c r="H1072" s="3"/>
    </row>
    <row r="1073">
      <c r="A1073" s="3"/>
      <c r="B1073" s="3"/>
      <c r="C1073" s="3"/>
      <c r="D1073" s="5"/>
      <c r="E1073" s="5"/>
      <c r="F1073" s="3"/>
      <c r="G1073" s="7"/>
      <c r="H1073" s="3"/>
    </row>
    <row r="1074">
      <c r="A1074" s="3"/>
      <c r="B1074" s="3"/>
      <c r="C1074" s="3"/>
      <c r="D1074" s="5"/>
      <c r="E1074" s="5"/>
      <c r="F1074" s="3"/>
      <c r="G1074" s="7"/>
      <c r="H1074" s="3"/>
    </row>
    <row r="1075">
      <c r="A1075" s="3"/>
      <c r="B1075" s="3"/>
      <c r="C1075" s="3"/>
      <c r="D1075" s="5"/>
      <c r="E1075" s="5"/>
      <c r="F1075" s="3"/>
      <c r="G1075" s="7"/>
      <c r="H1075" s="3"/>
    </row>
    <row r="1076">
      <c r="A1076" s="3"/>
      <c r="B1076" s="3"/>
      <c r="C1076" s="3"/>
      <c r="D1076" s="5"/>
      <c r="E1076" s="5"/>
      <c r="F1076" s="3"/>
      <c r="G1076" s="3"/>
      <c r="H1076" s="3"/>
    </row>
    <row r="1077">
      <c r="A1077" s="3"/>
      <c r="B1077" s="3"/>
      <c r="C1077" s="3"/>
      <c r="D1077" s="5"/>
      <c r="E1077" s="5"/>
      <c r="F1077" s="3"/>
      <c r="G1077" s="7"/>
      <c r="H1077" s="3"/>
    </row>
    <row r="1078">
      <c r="A1078" s="3"/>
      <c r="B1078" s="3"/>
      <c r="C1078" s="3"/>
      <c r="D1078" s="5"/>
      <c r="E1078" s="5"/>
      <c r="F1078" s="3"/>
      <c r="G1078" s="7"/>
      <c r="H1078" s="3"/>
    </row>
    <row r="1079">
      <c r="A1079" s="3"/>
      <c r="B1079" s="3"/>
      <c r="C1079" s="3"/>
      <c r="D1079" s="5"/>
      <c r="E1079" s="5"/>
      <c r="F1079" s="3"/>
      <c r="G1079" s="7"/>
      <c r="H1079" s="3"/>
    </row>
    <row r="1080">
      <c r="A1080" s="3"/>
      <c r="B1080" s="3"/>
      <c r="C1080" s="3"/>
      <c r="D1080" s="5"/>
      <c r="E1080" s="5"/>
      <c r="F1080" s="3"/>
      <c r="G1080" s="7"/>
      <c r="H1080" s="3"/>
    </row>
    <row r="1081">
      <c r="A1081" s="3"/>
      <c r="B1081" s="3"/>
      <c r="C1081" s="3"/>
      <c r="D1081" s="5"/>
      <c r="E1081" s="5"/>
      <c r="F1081" s="3"/>
      <c r="G1081" s="3"/>
      <c r="H1081" s="3"/>
    </row>
    <row r="1082">
      <c r="A1082" s="3"/>
      <c r="B1082" s="3"/>
      <c r="C1082" s="3"/>
      <c r="D1082" s="5"/>
      <c r="E1082" s="5"/>
      <c r="F1082" s="3"/>
      <c r="G1082" s="7"/>
      <c r="H1082" s="3"/>
    </row>
    <row r="1083">
      <c r="A1083" s="3"/>
      <c r="B1083" s="3"/>
      <c r="C1083" s="3"/>
      <c r="D1083" s="5"/>
      <c r="E1083" s="5"/>
      <c r="F1083" s="3"/>
      <c r="G1083" s="7"/>
      <c r="H1083" s="3"/>
    </row>
    <row r="1084">
      <c r="A1084" s="3"/>
      <c r="B1084" s="3"/>
      <c r="C1084" s="3"/>
      <c r="D1084" s="5"/>
      <c r="E1084" s="5"/>
      <c r="F1084" s="3"/>
      <c r="G1084" s="7"/>
      <c r="H1084" s="3"/>
    </row>
    <row r="1085">
      <c r="A1085" s="3"/>
      <c r="B1085" s="3"/>
      <c r="C1085" s="3"/>
      <c r="D1085" s="5"/>
      <c r="E1085" s="5"/>
      <c r="F1085" s="3"/>
      <c r="G1085" s="7"/>
      <c r="H1085" s="3"/>
    </row>
    <row r="1086">
      <c r="A1086" s="3"/>
      <c r="B1086" s="3"/>
      <c r="C1086" s="3"/>
      <c r="D1086" s="5"/>
      <c r="E1086" s="5"/>
      <c r="F1086" s="3"/>
      <c r="G1086" s="3"/>
      <c r="H1086" s="3"/>
    </row>
    <row r="1087">
      <c r="A1087" s="3"/>
      <c r="B1087" s="3"/>
      <c r="C1087" s="3"/>
      <c r="D1087" s="5"/>
      <c r="E1087" s="5"/>
      <c r="F1087" s="3"/>
      <c r="G1087" s="7"/>
      <c r="H1087" s="3"/>
    </row>
    <row r="1088">
      <c r="A1088" s="3"/>
      <c r="B1088" s="3"/>
      <c r="C1088" s="3"/>
      <c r="D1088" s="5"/>
      <c r="E1088" s="5"/>
      <c r="F1088" s="3"/>
      <c r="G1088" s="7"/>
      <c r="H1088" s="3"/>
    </row>
    <row r="1089">
      <c r="A1089" s="3"/>
      <c r="B1089" s="3"/>
      <c r="C1089" s="3"/>
      <c r="D1089" s="5"/>
      <c r="E1089" s="5"/>
      <c r="F1089" s="3"/>
      <c r="G1089" s="7"/>
      <c r="H1089" s="3"/>
    </row>
    <row r="1090">
      <c r="A1090" s="3"/>
      <c r="B1090" s="3"/>
      <c r="C1090" s="3"/>
      <c r="D1090" s="5"/>
      <c r="E1090" s="5"/>
      <c r="F1090" s="3"/>
      <c r="G1090" s="7"/>
      <c r="H1090" s="3"/>
    </row>
    <row r="1091">
      <c r="A1091" s="3"/>
      <c r="B1091" s="3"/>
      <c r="C1091" s="3"/>
      <c r="D1091" s="5"/>
      <c r="E1091" s="5"/>
      <c r="F1091" s="3"/>
      <c r="G1091" s="3"/>
      <c r="H1091" s="3"/>
    </row>
    <row r="1092">
      <c r="A1092" s="3"/>
      <c r="B1092" s="3"/>
      <c r="C1092" s="3"/>
      <c r="D1092" s="5"/>
      <c r="E1092" s="5"/>
      <c r="F1092" s="3"/>
      <c r="G1092" s="7"/>
      <c r="H1092" s="3"/>
    </row>
    <row r="1093">
      <c r="A1093" s="3"/>
      <c r="B1093" s="3"/>
      <c r="C1093" s="3"/>
      <c r="D1093" s="5"/>
      <c r="E1093" s="5"/>
      <c r="F1093" s="3"/>
      <c r="G1093" s="7"/>
      <c r="H1093" s="3"/>
    </row>
    <row r="1094">
      <c r="A1094" s="3"/>
      <c r="B1094" s="3"/>
      <c r="C1094" s="3"/>
      <c r="D1094" s="5"/>
      <c r="E1094" s="5"/>
      <c r="F1094" s="3"/>
      <c r="G1094" s="7"/>
      <c r="H1094" s="3"/>
    </row>
    <row r="1095">
      <c r="A1095" s="3"/>
      <c r="B1095" s="3"/>
      <c r="C1095" s="3"/>
      <c r="D1095" s="5"/>
      <c r="E1095" s="5"/>
      <c r="F1095" s="3"/>
      <c r="G1095" s="7"/>
      <c r="H1095" s="3"/>
    </row>
    <row r="1096">
      <c r="A1096" s="3"/>
      <c r="B1096" s="3"/>
      <c r="C1096" s="3"/>
      <c r="D1096" s="5"/>
      <c r="E1096" s="5"/>
      <c r="F1096" s="3"/>
      <c r="G1096" s="3"/>
      <c r="H1096" s="3"/>
    </row>
    <row r="1097">
      <c r="A1097" s="3"/>
      <c r="B1097" s="3"/>
      <c r="C1097" s="3"/>
      <c r="D1097" s="5"/>
      <c r="E1097" s="5"/>
      <c r="F1097" s="3"/>
      <c r="G1097" s="7"/>
      <c r="H1097" s="3"/>
    </row>
    <row r="1098">
      <c r="A1098" s="3"/>
      <c r="B1098" s="3"/>
      <c r="C1098" s="3"/>
      <c r="D1098" s="5"/>
      <c r="E1098" s="5"/>
      <c r="F1098" s="3"/>
      <c r="G1098" s="7"/>
      <c r="H1098" s="3"/>
    </row>
    <row r="1099">
      <c r="A1099" s="3"/>
      <c r="B1099" s="3"/>
      <c r="C1099" s="3"/>
      <c r="D1099" s="5"/>
      <c r="E1099" s="5"/>
      <c r="F1099" s="3"/>
      <c r="G1099" s="7"/>
      <c r="H1099" s="3"/>
    </row>
    <row r="1100">
      <c r="A1100" s="3"/>
      <c r="B1100" s="3"/>
      <c r="C1100" s="3"/>
      <c r="D1100" s="5"/>
      <c r="E1100" s="5"/>
      <c r="F1100" s="3"/>
      <c r="G1100" s="7"/>
      <c r="H1100" s="3"/>
    </row>
    <row r="1101">
      <c r="A1101" s="3"/>
      <c r="B1101" s="3"/>
      <c r="C1101" s="3"/>
      <c r="D1101" s="5"/>
      <c r="E1101" s="5"/>
      <c r="F1101" s="3"/>
      <c r="G1101" s="3"/>
      <c r="H1101" s="3"/>
    </row>
    <row r="1102">
      <c r="A1102" s="3"/>
      <c r="B1102" s="3"/>
      <c r="C1102" s="3"/>
      <c r="D1102" s="5"/>
      <c r="E1102" s="5"/>
      <c r="F1102" s="3"/>
      <c r="G1102" s="7"/>
      <c r="H1102" s="3"/>
    </row>
    <row r="1103">
      <c r="A1103" s="3"/>
      <c r="B1103" s="3"/>
      <c r="C1103" s="3"/>
      <c r="D1103" s="5"/>
      <c r="E1103" s="5"/>
      <c r="F1103" s="3"/>
      <c r="G1103" s="7"/>
      <c r="H1103" s="3"/>
    </row>
    <row r="1104">
      <c r="A1104" s="3"/>
      <c r="B1104" s="3"/>
      <c r="C1104" s="3"/>
      <c r="D1104" s="5"/>
      <c r="E1104" s="5"/>
      <c r="F1104" s="3"/>
      <c r="G1104" s="7"/>
      <c r="H1104" s="3"/>
    </row>
    <row r="1105">
      <c r="A1105" s="3"/>
      <c r="B1105" s="3"/>
      <c r="C1105" s="3"/>
      <c r="D1105" s="5"/>
      <c r="E1105" s="5"/>
      <c r="F1105" s="3"/>
      <c r="G1105" s="7"/>
      <c r="H1105" s="3"/>
    </row>
    <row r="1106">
      <c r="A1106" s="3"/>
      <c r="B1106" s="3"/>
      <c r="C1106" s="3"/>
      <c r="D1106" s="5"/>
      <c r="E1106" s="5"/>
      <c r="F1106" s="3"/>
      <c r="G1106" s="3"/>
      <c r="H1106" s="3"/>
    </row>
    <row r="1107">
      <c r="A1107" s="3"/>
      <c r="B1107" s="3"/>
      <c r="C1107" s="3"/>
      <c r="D1107" s="5"/>
      <c r="E1107" s="5"/>
      <c r="F1107" s="3"/>
      <c r="G1107" s="7"/>
      <c r="H1107" s="3"/>
    </row>
    <row r="1108">
      <c r="A1108" s="3"/>
      <c r="B1108" s="3"/>
      <c r="C1108" s="3"/>
      <c r="D1108" s="5"/>
      <c r="E1108" s="5"/>
      <c r="F1108" s="3"/>
      <c r="G1108" s="7"/>
      <c r="H1108" s="3"/>
    </row>
    <row r="1109">
      <c r="A1109" s="3"/>
      <c r="B1109" s="3"/>
      <c r="C1109" s="3"/>
      <c r="D1109" s="5"/>
      <c r="E1109" s="5"/>
      <c r="F1109" s="3"/>
      <c r="G1109" s="7"/>
      <c r="H1109" s="3"/>
    </row>
    <row r="1110">
      <c r="A1110" s="3"/>
      <c r="B1110" s="3"/>
      <c r="C1110" s="3"/>
      <c r="D1110" s="5"/>
      <c r="E1110" s="5"/>
      <c r="F1110" s="3"/>
      <c r="G1110" s="7"/>
      <c r="H1110" s="3"/>
    </row>
    <row r="1111">
      <c r="A1111" s="3"/>
      <c r="B1111" s="3"/>
      <c r="C1111" s="3"/>
      <c r="D1111" s="5"/>
      <c r="E1111" s="5"/>
      <c r="F1111" s="3"/>
      <c r="G1111" s="3"/>
      <c r="H1111" s="3"/>
    </row>
    <row r="1112">
      <c r="A1112" s="3"/>
      <c r="B1112" s="3"/>
      <c r="C1112" s="3"/>
      <c r="D1112" s="5"/>
      <c r="E1112" s="5"/>
      <c r="F1112" s="3"/>
      <c r="G1112" s="7"/>
      <c r="H1112" s="3"/>
    </row>
    <row r="1113">
      <c r="A1113" s="3"/>
      <c r="B1113" s="3"/>
      <c r="C1113" s="3"/>
      <c r="D1113" s="5"/>
      <c r="E1113" s="5"/>
      <c r="F1113" s="3"/>
      <c r="G1113" s="7"/>
      <c r="H1113" s="3"/>
    </row>
    <row r="1114">
      <c r="A1114" s="3"/>
      <c r="B1114" s="3"/>
      <c r="C1114" s="3"/>
      <c r="D1114" s="5"/>
      <c r="E1114" s="5"/>
      <c r="F1114" s="3"/>
      <c r="G1114" s="7"/>
      <c r="H1114" s="3"/>
    </row>
    <row r="1115">
      <c r="A1115" s="3"/>
      <c r="B1115" s="3"/>
      <c r="C1115" s="3"/>
      <c r="D1115" s="5"/>
      <c r="E1115" s="5"/>
      <c r="F1115" s="3"/>
      <c r="G1115" s="7"/>
      <c r="H1115" s="3"/>
    </row>
    <row r="1116">
      <c r="A1116" s="3"/>
      <c r="B1116" s="3"/>
      <c r="C1116" s="3"/>
      <c r="D1116" s="5"/>
      <c r="E1116" s="5"/>
      <c r="F1116" s="3"/>
      <c r="G1116" s="3"/>
      <c r="H1116" s="3"/>
    </row>
    <row r="1117">
      <c r="A1117" s="3"/>
      <c r="B1117" s="3"/>
      <c r="C1117" s="3"/>
      <c r="D1117" s="5"/>
      <c r="E1117" s="5"/>
      <c r="F1117" s="3"/>
      <c r="G1117" s="7"/>
      <c r="H1117" s="3"/>
    </row>
    <row r="1118">
      <c r="A1118" s="3"/>
      <c r="B1118" s="3"/>
      <c r="C1118" s="3"/>
      <c r="D1118" s="5"/>
      <c r="E1118" s="5"/>
      <c r="F1118" s="3"/>
      <c r="G1118" s="7"/>
      <c r="H1118" s="3"/>
    </row>
    <row r="1119">
      <c r="A1119" s="3"/>
      <c r="B1119" s="3"/>
      <c r="C1119" s="3"/>
      <c r="D1119" s="5"/>
      <c r="E1119" s="5"/>
      <c r="F1119" s="3"/>
      <c r="G1119" s="7"/>
      <c r="H1119" s="3"/>
    </row>
    <row r="1120">
      <c r="A1120" s="3"/>
      <c r="B1120" s="3"/>
      <c r="C1120" s="3"/>
      <c r="D1120" s="5"/>
      <c r="E1120" s="5"/>
      <c r="F1120" s="3"/>
      <c r="G1120" s="7"/>
      <c r="H1120" s="3"/>
    </row>
    <row r="1121">
      <c r="A1121" s="3"/>
      <c r="B1121" s="3"/>
      <c r="C1121" s="3"/>
      <c r="D1121" s="5"/>
      <c r="E1121" s="5"/>
      <c r="F1121" s="3"/>
      <c r="G1121" s="3"/>
      <c r="H1121" s="3"/>
    </row>
    <row r="1122">
      <c r="A1122" s="3"/>
      <c r="B1122" s="3"/>
      <c r="C1122" s="3"/>
      <c r="D1122" s="5"/>
      <c r="E1122" s="5"/>
      <c r="F1122" s="3"/>
      <c r="G1122" s="7"/>
      <c r="H1122" s="3"/>
    </row>
    <row r="1123">
      <c r="A1123" s="3"/>
      <c r="B1123" s="3"/>
      <c r="C1123" s="3"/>
      <c r="D1123" s="5"/>
      <c r="E1123" s="5"/>
      <c r="F1123" s="3"/>
      <c r="G1123" s="7"/>
      <c r="H1123" s="3"/>
    </row>
    <row r="1124">
      <c r="A1124" s="3"/>
      <c r="B1124" s="3"/>
      <c r="C1124" s="3"/>
      <c r="D1124" s="5"/>
      <c r="E1124" s="5"/>
      <c r="F1124" s="3"/>
      <c r="G1124" s="7"/>
      <c r="H1124" s="3"/>
    </row>
    <row r="1125">
      <c r="A1125" s="3"/>
      <c r="B1125" s="3"/>
      <c r="C1125" s="3"/>
      <c r="D1125" s="5"/>
      <c r="E1125" s="5"/>
      <c r="F1125" s="3"/>
      <c r="G1125" s="7"/>
      <c r="H1125" s="3"/>
    </row>
    <row r="1126">
      <c r="A1126" s="3"/>
      <c r="B1126" s="3"/>
      <c r="C1126" s="3"/>
      <c r="D1126" s="5"/>
      <c r="E1126" s="5"/>
      <c r="F1126" s="3"/>
      <c r="G1126" s="3"/>
      <c r="H1126" s="3"/>
    </row>
    <row r="1127">
      <c r="A1127" s="3"/>
      <c r="B1127" s="3"/>
      <c r="C1127" s="3"/>
      <c r="D1127" s="5"/>
      <c r="E1127" s="5"/>
      <c r="F1127" s="3"/>
      <c r="G1127" s="7"/>
      <c r="H1127" s="3"/>
    </row>
    <row r="1128">
      <c r="A1128" s="3"/>
      <c r="B1128" s="3"/>
      <c r="C1128" s="3"/>
      <c r="D1128" s="5"/>
      <c r="E1128" s="5"/>
      <c r="F1128" s="3"/>
      <c r="G1128" s="7"/>
      <c r="H1128" s="3"/>
    </row>
    <row r="1129">
      <c r="A1129" s="3"/>
      <c r="B1129" s="3"/>
      <c r="C1129" s="3"/>
      <c r="D1129" s="5"/>
      <c r="E1129" s="5"/>
      <c r="F1129" s="3"/>
      <c r="G1129" s="7"/>
      <c r="H1129" s="3"/>
    </row>
    <row r="1130">
      <c r="A1130" s="3"/>
      <c r="B1130" s="3"/>
      <c r="C1130" s="3"/>
      <c r="D1130" s="5"/>
      <c r="E1130" s="5"/>
      <c r="F1130" s="3"/>
      <c r="G1130" s="7"/>
      <c r="H1130" s="3"/>
    </row>
    <row r="1131">
      <c r="A1131" s="3"/>
      <c r="B1131" s="3"/>
      <c r="C1131" s="3"/>
      <c r="D1131" s="5"/>
      <c r="E1131" s="5"/>
      <c r="F1131" s="3"/>
      <c r="G1131" s="3"/>
      <c r="H1131" s="3"/>
    </row>
    <row r="1132">
      <c r="A1132" s="3"/>
      <c r="B1132" s="3"/>
      <c r="C1132" s="3"/>
      <c r="D1132" s="5"/>
      <c r="E1132" s="5"/>
      <c r="F1132" s="3"/>
      <c r="G1132" s="7"/>
      <c r="H1132" s="3"/>
    </row>
    <row r="1133">
      <c r="A1133" s="3"/>
      <c r="B1133" s="3"/>
      <c r="C1133" s="3"/>
      <c r="D1133" s="5"/>
      <c r="E1133" s="5"/>
      <c r="F1133" s="3"/>
      <c r="G1133" s="7"/>
      <c r="H1133" s="3"/>
    </row>
    <row r="1134">
      <c r="A1134" s="3"/>
      <c r="B1134" s="3"/>
      <c r="C1134" s="3"/>
      <c r="D1134" s="5"/>
      <c r="E1134" s="5"/>
      <c r="F1134" s="3"/>
      <c r="G1134" s="7"/>
      <c r="H1134" s="3"/>
    </row>
    <row r="1135">
      <c r="A1135" s="3"/>
      <c r="B1135" s="3"/>
      <c r="C1135" s="3"/>
      <c r="D1135" s="5"/>
      <c r="E1135" s="5"/>
      <c r="F1135" s="3"/>
      <c r="G1135" s="7"/>
      <c r="H1135" s="3"/>
    </row>
    <row r="1136">
      <c r="A1136" s="3"/>
      <c r="B1136" s="3"/>
      <c r="C1136" s="3"/>
      <c r="D1136" s="5"/>
      <c r="E1136" s="5"/>
      <c r="F1136" s="3"/>
      <c r="G1136" s="3"/>
      <c r="H1136" s="3"/>
    </row>
    <row r="1137">
      <c r="A1137" s="3"/>
      <c r="B1137" s="3"/>
      <c r="C1137" s="3"/>
      <c r="D1137" s="5"/>
      <c r="E1137" s="5"/>
      <c r="F1137" s="3"/>
      <c r="G1137" s="7"/>
      <c r="H1137" s="3"/>
    </row>
    <row r="1138">
      <c r="A1138" s="3"/>
      <c r="B1138" s="3"/>
      <c r="C1138" s="3"/>
      <c r="D1138" s="5"/>
      <c r="E1138" s="5"/>
      <c r="F1138" s="3"/>
      <c r="G1138" s="7"/>
      <c r="H1138" s="3"/>
    </row>
    <row r="1139">
      <c r="A1139" s="3"/>
      <c r="B1139" s="3"/>
      <c r="C1139" s="3"/>
      <c r="D1139" s="5"/>
      <c r="E1139" s="5"/>
      <c r="F1139" s="3"/>
      <c r="G1139" s="7"/>
      <c r="H1139" s="3"/>
    </row>
    <row r="1140">
      <c r="A1140" s="3"/>
      <c r="B1140" s="3"/>
      <c r="C1140" s="3"/>
      <c r="D1140" s="5"/>
      <c r="E1140" s="5"/>
      <c r="F1140" s="3"/>
      <c r="G1140" s="7"/>
      <c r="H1140" s="3"/>
    </row>
    <row r="1141">
      <c r="A1141" s="3"/>
      <c r="B1141" s="3"/>
      <c r="C1141" s="3"/>
      <c r="D1141" s="5"/>
      <c r="E1141" s="5"/>
      <c r="F1141" s="3"/>
      <c r="G1141" s="3"/>
      <c r="H1141" s="3"/>
    </row>
    <row r="1142">
      <c r="A1142" s="3"/>
      <c r="B1142" s="3"/>
      <c r="C1142" s="3"/>
      <c r="D1142" s="5"/>
      <c r="E1142" s="5"/>
      <c r="F1142" s="3"/>
      <c r="G1142" s="7"/>
      <c r="H1142" s="3"/>
    </row>
    <row r="1143">
      <c r="A1143" s="3"/>
      <c r="B1143" s="3"/>
      <c r="C1143" s="3"/>
      <c r="D1143" s="5"/>
      <c r="E1143" s="5"/>
      <c r="F1143" s="3"/>
      <c r="G1143" s="7"/>
      <c r="H1143" s="3"/>
    </row>
    <row r="1144">
      <c r="A1144" s="3"/>
      <c r="B1144" s="3"/>
      <c r="C1144" s="3"/>
      <c r="D1144" s="5"/>
      <c r="E1144" s="5"/>
      <c r="F1144" s="3"/>
      <c r="G1144" s="7"/>
      <c r="H1144" s="3"/>
    </row>
    <row r="1145">
      <c r="A1145" s="3"/>
      <c r="B1145" s="3"/>
      <c r="C1145" s="3"/>
      <c r="D1145" s="5"/>
      <c r="E1145" s="5"/>
      <c r="F1145" s="3"/>
      <c r="G1145" s="7"/>
      <c r="H1145" s="3"/>
    </row>
    <row r="1146">
      <c r="A1146" s="3"/>
      <c r="B1146" s="3"/>
      <c r="C1146" s="3"/>
      <c r="D1146" s="5"/>
      <c r="E1146" s="5"/>
      <c r="F1146" s="3"/>
      <c r="G1146" s="3"/>
      <c r="H1146" s="3"/>
    </row>
    <row r="1147">
      <c r="A1147" s="3"/>
      <c r="B1147" s="3"/>
      <c r="C1147" s="3"/>
      <c r="D1147" s="5"/>
      <c r="E1147" s="5"/>
      <c r="F1147" s="3"/>
      <c r="G1147" s="7"/>
      <c r="H1147" s="3"/>
    </row>
    <row r="1148">
      <c r="A1148" s="3"/>
      <c r="B1148" s="3"/>
      <c r="C1148" s="3"/>
      <c r="D1148" s="5"/>
      <c r="E1148" s="5"/>
      <c r="F1148" s="3"/>
      <c r="G1148" s="7"/>
      <c r="H1148" s="3"/>
    </row>
    <row r="1149">
      <c r="A1149" s="3"/>
      <c r="B1149" s="3"/>
      <c r="C1149" s="3"/>
      <c r="D1149" s="5"/>
      <c r="E1149" s="5"/>
      <c r="F1149" s="3"/>
      <c r="G1149" s="7"/>
      <c r="H1149" s="3"/>
    </row>
    <row r="1150">
      <c r="A1150" s="3"/>
      <c r="B1150" s="3"/>
      <c r="C1150" s="3"/>
      <c r="D1150" s="5"/>
      <c r="E1150" s="5"/>
      <c r="F1150" s="3"/>
      <c r="G1150" s="7"/>
      <c r="H1150" s="3"/>
    </row>
    <row r="1151">
      <c r="A1151" s="3"/>
      <c r="B1151" s="3"/>
      <c r="C1151" s="3"/>
      <c r="D1151" s="5"/>
      <c r="E1151" s="5"/>
      <c r="F1151" s="3"/>
      <c r="G1151" s="3"/>
      <c r="H1151" s="3"/>
    </row>
    <row r="1152">
      <c r="A1152" s="3"/>
      <c r="B1152" s="3"/>
      <c r="C1152" s="3"/>
      <c r="D1152" s="5"/>
      <c r="E1152" s="5"/>
      <c r="F1152" s="3"/>
      <c r="G1152" s="7"/>
      <c r="H1152" s="3"/>
    </row>
    <row r="1153">
      <c r="A1153" s="3"/>
      <c r="B1153" s="3"/>
      <c r="C1153" s="3"/>
      <c r="D1153" s="5"/>
      <c r="E1153" s="5"/>
      <c r="F1153" s="3"/>
      <c r="G1153" s="7"/>
      <c r="H1153" s="3"/>
    </row>
    <row r="1154">
      <c r="A1154" s="3"/>
      <c r="B1154" s="3"/>
      <c r="C1154" s="3"/>
      <c r="D1154" s="5"/>
      <c r="E1154" s="5"/>
      <c r="F1154" s="3"/>
      <c r="G1154" s="7"/>
      <c r="H1154" s="3"/>
    </row>
    <row r="1155">
      <c r="A1155" s="3"/>
      <c r="B1155" s="3"/>
      <c r="C1155" s="3"/>
      <c r="D1155" s="5"/>
      <c r="E1155" s="5"/>
      <c r="F1155" s="3"/>
      <c r="G1155" s="7"/>
      <c r="H1155" s="3"/>
    </row>
    <row r="1156">
      <c r="A1156" s="3"/>
      <c r="B1156" s="3"/>
      <c r="C1156" s="3"/>
      <c r="D1156" s="5"/>
      <c r="E1156" s="5"/>
      <c r="F1156" s="3"/>
      <c r="G1156" s="3"/>
      <c r="H1156" s="3"/>
    </row>
    <row r="1157">
      <c r="A1157" s="3"/>
      <c r="B1157" s="3"/>
      <c r="C1157" s="3"/>
      <c r="D1157" s="5"/>
      <c r="E1157" s="5"/>
      <c r="F1157" s="3"/>
      <c r="G1157" s="7"/>
      <c r="H1157" s="3"/>
    </row>
    <row r="1158">
      <c r="A1158" s="3"/>
      <c r="B1158" s="3"/>
      <c r="C1158" s="3"/>
      <c r="D1158" s="5"/>
      <c r="E1158" s="5"/>
      <c r="F1158" s="3"/>
      <c r="G1158" s="7"/>
      <c r="H1158" s="3"/>
    </row>
    <row r="1159">
      <c r="A1159" s="3"/>
      <c r="B1159" s="3"/>
      <c r="C1159" s="3"/>
      <c r="D1159" s="5"/>
      <c r="E1159" s="5"/>
      <c r="F1159" s="3"/>
      <c r="G1159" s="7"/>
      <c r="H1159" s="3"/>
    </row>
    <row r="1160">
      <c r="A1160" s="3"/>
      <c r="B1160" s="3"/>
      <c r="C1160" s="3"/>
      <c r="D1160" s="5"/>
      <c r="E1160" s="5"/>
      <c r="F1160" s="3"/>
      <c r="G1160" s="7"/>
      <c r="H1160" s="3"/>
    </row>
    <row r="1161">
      <c r="A1161" s="3"/>
      <c r="B1161" s="3"/>
      <c r="C1161" s="3"/>
      <c r="D1161" s="5"/>
      <c r="E1161" s="5"/>
      <c r="F1161" s="3"/>
      <c r="G1161" s="3"/>
      <c r="H1161" s="3"/>
    </row>
    <row r="1162">
      <c r="A1162" s="3"/>
      <c r="B1162" s="3"/>
      <c r="C1162" s="3"/>
      <c r="D1162" s="5"/>
      <c r="E1162" s="5"/>
      <c r="F1162" s="3"/>
      <c r="G1162" s="7"/>
      <c r="H1162" s="3"/>
    </row>
    <row r="1163">
      <c r="A1163" s="3"/>
      <c r="B1163" s="3"/>
      <c r="C1163" s="3"/>
      <c r="D1163" s="5"/>
      <c r="E1163" s="5"/>
      <c r="F1163" s="3"/>
      <c r="G1163" s="7"/>
      <c r="H1163" s="3"/>
    </row>
    <row r="1164">
      <c r="A1164" s="3"/>
      <c r="B1164" s="3"/>
      <c r="C1164" s="3"/>
      <c r="D1164" s="5"/>
      <c r="E1164" s="5"/>
      <c r="F1164" s="3"/>
      <c r="G1164" s="7"/>
      <c r="H1164" s="3"/>
    </row>
    <row r="1165">
      <c r="A1165" s="3"/>
      <c r="B1165" s="3"/>
      <c r="C1165" s="3"/>
      <c r="D1165" s="5"/>
      <c r="E1165" s="5"/>
      <c r="F1165" s="3"/>
      <c r="G1165" s="7"/>
      <c r="H1165" s="3"/>
    </row>
    <row r="1166">
      <c r="A1166" s="3"/>
      <c r="B1166" s="3"/>
      <c r="C1166" s="3"/>
      <c r="D1166" s="5"/>
      <c r="E1166" s="5"/>
      <c r="F1166" s="3"/>
      <c r="G1166" s="3"/>
      <c r="H1166" s="3"/>
    </row>
    <row r="1167">
      <c r="A1167" s="3"/>
      <c r="B1167" s="3"/>
      <c r="C1167" s="3"/>
      <c r="D1167" s="5"/>
      <c r="E1167" s="5"/>
      <c r="F1167" s="3"/>
      <c r="G1167" s="7"/>
      <c r="H1167" s="3"/>
    </row>
    <row r="1168">
      <c r="A1168" s="3"/>
      <c r="B1168" s="3"/>
      <c r="C1168" s="3"/>
      <c r="D1168" s="5"/>
      <c r="E1168" s="5"/>
      <c r="F1168" s="3"/>
      <c r="G1168" s="7"/>
      <c r="H1168" s="3"/>
    </row>
    <row r="1169">
      <c r="A1169" s="3"/>
      <c r="B1169" s="3"/>
      <c r="C1169" s="3"/>
      <c r="D1169" s="5"/>
      <c r="E1169" s="5"/>
      <c r="F1169" s="3"/>
      <c r="G1169" s="7"/>
      <c r="H1169" s="3"/>
    </row>
    <row r="1170">
      <c r="A1170" s="3"/>
      <c r="B1170" s="3"/>
      <c r="C1170" s="3"/>
      <c r="D1170" s="5"/>
      <c r="E1170" s="5"/>
      <c r="F1170" s="3"/>
      <c r="G1170" s="7"/>
      <c r="H1170" s="3"/>
    </row>
    <row r="1171">
      <c r="A1171" s="3"/>
      <c r="B1171" s="3"/>
      <c r="C1171" s="3"/>
      <c r="D1171" s="5"/>
      <c r="E1171" s="5"/>
      <c r="F1171" s="3"/>
      <c r="G1171" s="3"/>
      <c r="H1171" s="3"/>
    </row>
    <row r="1172">
      <c r="A1172" s="3"/>
      <c r="B1172" s="3"/>
      <c r="C1172" s="3"/>
      <c r="D1172" s="5"/>
      <c r="E1172" s="5"/>
      <c r="F1172" s="3"/>
      <c r="G1172" s="7"/>
      <c r="H1172" s="3"/>
    </row>
    <row r="1173">
      <c r="A1173" s="3"/>
      <c r="B1173" s="3"/>
      <c r="C1173" s="3"/>
      <c r="D1173" s="5"/>
      <c r="E1173" s="5"/>
      <c r="F1173" s="3"/>
      <c r="G1173" s="7"/>
      <c r="H1173" s="3"/>
    </row>
    <row r="1174">
      <c r="A1174" s="3"/>
      <c r="B1174" s="3"/>
      <c r="C1174" s="3"/>
      <c r="D1174" s="5"/>
      <c r="E1174" s="5"/>
      <c r="F1174" s="3"/>
      <c r="G1174" s="7"/>
      <c r="H1174" s="3"/>
    </row>
    <row r="1175">
      <c r="A1175" s="3"/>
      <c r="B1175" s="3"/>
      <c r="C1175" s="3"/>
      <c r="D1175" s="5"/>
      <c r="E1175" s="5"/>
      <c r="F1175" s="3"/>
      <c r="G1175" s="7"/>
      <c r="H1175" s="3"/>
    </row>
    <row r="1176">
      <c r="A1176" s="3"/>
      <c r="B1176" s="3"/>
      <c r="C1176" s="3"/>
      <c r="D1176" s="5"/>
      <c r="E1176" s="5"/>
      <c r="F1176" s="3"/>
      <c r="G1176" s="3"/>
      <c r="H1176" s="3"/>
    </row>
    <row r="1177">
      <c r="A1177" s="3"/>
      <c r="B1177" s="3"/>
      <c r="C1177" s="3"/>
      <c r="D1177" s="5"/>
      <c r="E1177" s="5"/>
      <c r="F1177" s="3"/>
      <c r="G1177" s="7"/>
      <c r="H1177" s="3"/>
    </row>
    <row r="1178">
      <c r="A1178" s="3"/>
      <c r="B1178" s="3"/>
      <c r="C1178" s="3"/>
      <c r="D1178" s="5"/>
      <c r="E1178" s="5"/>
      <c r="F1178" s="3"/>
      <c r="G1178" s="7"/>
      <c r="H1178" s="3"/>
    </row>
    <row r="1179">
      <c r="A1179" s="3"/>
      <c r="B1179" s="3"/>
      <c r="C1179" s="3"/>
      <c r="D1179" s="5"/>
      <c r="E1179" s="5"/>
      <c r="F1179" s="3"/>
      <c r="G1179" s="7"/>
      <c r="H1179" s="3"/>
    </row>
    <row r="1180">
      <c r="A1180" s="3"/>
      <c r="B1180" s="3"/>
      <c r="C1180" s="3"/>
      <c r="D1180" s="5"/>
      <c r="E1180" s="5"/>
      <c r="F1180" s="3"/>
      <c r="G1180" s="7"/>
      <c r="H1180" s="3"/>
    </row>
    <row r="1181">
      <c r="A1181" s="3"/>
      <c r="B1181" s="3"/>
      <c r="C1181" s="3"/>
      <c r="D1181" s="5"/>
      <c r="E1181" s="5"/>
      <c r="F1181" s="3"/>
      <c r="G1181" s="3"/>
      <c r="H1181" s="3"/>
    </row>
    <row r="1182">
      <c r="A1182" s="3"/>
      <c r="B1182" s="3"/>
      <c r="C1182" s="3"/>
      <c r="D1182" s="5"/>
      <c r="E1182" s="5"/>
      <c r="F1182" s="3"/>
      <c r="G1182" s="7"/>
      <c r="H1182" s="3"/>
    </row>
    <row r="1183">
      <c r="A1183" s="3"/>
      <c r="B1183" s="3"/>
      <c r="C1183" s="3"/>
      <c r="D1183" s="5"/>
      <c r="E1183" s="5"/>
      <c r="F1183" s="3"/>
      <c r="G1183" s="7"/>
      <c r="H1183" s="3"/>
    </row>
    <row r="1184">
      <c r="A1184" s="3"/>
      <c r="B1184" s="3"/>
      <c r="C1184" s="3"/>
      <c r="D1184" s="5"/>
      <c r="E1184" s="5"/>
      <c r="F1184" s="3"/>
      <c r="G1184" s="7"/>
      <c r="H1184" s="3"/>
    </row>
    <row r="1185">
      <c r="A1185" s="3"/>
      <c r="B1185" s="3"/>
      <c r="C1185" s="3"/>
      <c r="D1185" s="5"/>
      <c r="E1185" s="5"/>
      <c r="F1185" s="3"/>
      <c r="G1185" s="7"/>
      <c r="H1185" s="3"/>
    </row>
    <row r="1186">
      <c r="A1186" s="3"/>
      <c r="B1186" s="3"/>
      <c r="C1186" s="3"/>
      <c r="D1186" s="5"/>
      <c r="E1186" s="5"/>
      <c r="F1186" s="3"/>
      <c r="G1186" s="3"/>
      <c r="H1186" s="3"/>
    </row>
    <row r="1187">
      <c r="A1187" s="3"/>
      <c r="B1187" s="3"/>
      <c r="C1187" s="3"/>
      <c r="D1187" s="5"/>
      <c r="E1187" s="5"/>
      <c r="F1187" s="3"/>
      <c r="G1187" s="7"/>
      <c r="H1187" s="3"/>
    </row>
    <row r="1188">
      <c r="A1188" s="3"/>
      <c r="B1188" s="3"/>
      <c r="C1188" s="3"/>
      <c r="D1188" s="5"/>
      <c r="E1188" s="5"/>
      <c r="F1188" s="3"/>
      <c r="G1188" s="7"/>
      <c r="H1188" s="3"/>
    </row>
    <row r="1189">
      <c r="A1189" s="3"/>
      <c r="B1189" s="3"/>
      <c r="C1189" s="3"/>
      <c r="D1189" s="5"/>
      <c r="E1189" s="5"/>
      <c r="F1189" s="3"/>
      <c r="G1189" s="7"/>
      <c r="H1189" s="3"/>
    </row>
    <row r="1190">
      <c r="A1190" s="3"/>
      <c r="B1190" s="3"/>
      <c r="C1190" s="3"/>
      <c r="D1190" s="5"/>
      <c r="E1190" s="5"/>
      <c r="F1190" s="3"/>
      <c r="G1190" s="7"/>
      <c r="H1190" s="3"/>
    </row>
    <row r="1191">
      <c r="A1191" s="3"/>
      <c r="B1191" s="3"/>
      <c r="C1191" s="3"/>
      <c r="D1191" s="5"/>
      <c r="E1191" s="5"/>
      <c r="F1191" s="3"/>
      <c r="G1191" s="3"/>
      <c r="H1191" s="3"/>
    </row>
    <row r="1192">
      <c r="A1192" s="3"/>
      <c r="B1192" s="3"/>
      <c r="C1192" s="3"/>
      <c r="D1192" s="5"/>
      <c r="E1192" s="5"/>
      <c r="F1192" s="3"/>
      <c r="G1192" s="7"/>
      <c r="H1192" s="3"/>
    </row>
    <row r="1193">
      <c r="A1193" s="3"/>
      <c r="B1193" s="3"/>
      <c r="C1193" s="3"/>
      <c r="D1193" s="5"/>
      <c r="E1193" s="5"/>
      <c r="F1193" s="3"/>
      <c r="G1193" s="7"/>
      <c r="H1193" s="3"/>
    </row>
    <row r="1194">
      <c r="A1194" s="3"/>
      <c r="B1194" s="3"/>
      <c r="C1194" s="3"/>
      <c r="D1194" s="5"/>
      <c r="E1194" s="5"/>
      <c r="F1194" s="3"/>
      <c r="G1194" s="7"/>
      <c r="H1194" s="3"/>
    </row>
    <row r="1195">
      <c r="A1195" s="3"/>
      <c r="B1195" s="3"/>
      <c r="C1195" s="3"/>
      <c r="D1195" s="5"/>
      <c r="E1195" s="5"/>
      <c r="F1195" s="3"/>
      <c r="G1195" s="7"/>
      <c r="H1195" s="3"/>
    </row>
    <row r="1196">
      <c r="A1196" s="3"/>
      <c r="B1196" s="3"/>
      <c r="C1196" s="3"/>
      <c r="D1196" s="5"/>
      <c r="E1196" s="5"/>
      <c r="F1196" s="3"/>
      <c r="G1196" s="3"/>
      <c r="H1196" s="3"/>
    </row>
    <row r="1197">
      <c r="A1197" s="3"/>
      <c r="B1197" s="3"/>
      <c r="C1197" s="3"/>
      <c r="D1197" s="5"/>
      <c r="E1197" s="5"/>
      <c r="F1197" s="3"/>
      <c r="G1197" s="7"/>
      <c r="H1197" s="3"/>
    </row>
    <row r="1198">
      <c r="A1198" s="3"/>
      <c r="B1198" s="3"/>
      <c r="C1198" s="3"/>
      <c r="D1198" s="5"/>
      <c r="E1198" s="5"/>
      <c r="F1198" s="3"/>
      <c r="G1198" s="7"/>
      <c r="H1198" s="3"/>
    </row>
    <row r="1199">
      <c r="A1199" s="3"/>
      <c r="B1199" s="3"/>
      <c r="C1199" s="3"/>
      <c r="D1199" s="5"/>
      <c r="E1199" s="5"/>
      <c r="F1199" s="3"/>
      <c r="G1199" s="7"/>
      <c r="H1199" s="3"/>
    </row>
    <row r="1200">
      <c r="A1200" s="3"/>
      <c r="B1200" s="3"/>
      <c r="C1200" s="3"/>
      <c r="D1200" s="5"/>
      <c r="E1200" s="5"/>
      <c r="F1200" s="3"/>
      <c r="G1200" s="7"/>
      <c r="H1200" s="3"/>
    </row>
    <row r="1201">
      <c r="A1201" s="3"/>
      <c r="B1201" s="3"/>
      <c r="C1201" s="3"/>
      <c r="D1201" s="5"/>
      <c r="E1201" s="5"/>
      <c r="F1201" s="3"/>
      <c r="G1201" s="3"/>
      <c r="H1201" s="3"/>
    </row>
    <row r="1202">
      <c r="A1202" s="3"/>
      <c r="B1202" s="3"/>
      <c r="C1202" s="3"/>
      <c r="D1202" s="5"/>
      <c r="E1202" s="5"/>
      <c r="F1202" s="3"/>
      <c r="G1202" s="7"/>
      <c r="H1202" s="3"/>
    </row>
    <row r="1203">
      <c r="A1203" s="3"/>
      <c r="B1203" s="3"/>
      <c r="C1203" s="3"/>
      <c r="D1203" s="5"/>
      <c r="E1203" s="5"/>
      <c r="F1203" s="3"/>
      <c r="G1203" s="7"/>
      <c r="H1203" s="3"/>
    </row>
    <row r="1204">
      <c r="A1204" s="3"/>
      <c r="B1204" s="3"/>
      <c r="C1204" s="3"/>
      <c r="D1204" s="5"/>
      <c r="E1204" s="5"/>
      <c r="F1204" s="3"/>
      <c r="G1204" s="3"/>
      <c r="H1204" s="3"/>
    </row>
    <row r="1205">
      <c r="A1205" s="3"/>
      <c r="B1205" s="3"/>
      <c r="C1205" s="3"/>
      <c r="D1205" s="5"/>
      <c r="E1205" s="5"/>
      <c r="F1205" s="3"/>
      <c r="G1205" s="7"/>
      <c r="H1205" s="3"/>
    </row>
    <row r="1206">
      <c r="A1206" s="3"/>
      <c r="B1206" s="3"/>
      <c r="C1206" s="3"/>
      <c r="D1206" s="5"/>
      <c r="E1206" s="5"/>
      <c r="F1206" s="3"/>
      <c r="G1206" s="7"/>
      <c r="H1206" s="3"/>
    </row>
    <row r="1207">
      <c r="A1207" s="3"/>
      <c r="B1207" s="3"/>
      <c r="C1207" s="3"/>
      <c r="D1207" s="5"/>
      <c r="E1207" s="5"/>
      <c r="F1207" s="3"/>
      <c r="G1207" s="3"/>
      <c r="H1207" s="3"/>
    </row>
    <row r="1208">
      <c r="A1208" s="3"/>
      <c r="B1208" s="3"/>
      <c r="C1208" s="3"/>
      <c r="D1208" s="5"/>
      <c r="E1208" s="5"/>
      <c r="F1208" s="3"/>
      <c r="G1208" s="7"/>
      <c r="H1208" s="3"/>
    </row>
    <row r="1209">
      <c r="A1209" s="3"/>
      <c r="B1209" s="3"/>
      <c r="C1209" s="3"/>
      <c r="D1209" s="5"/>
      <c r="E1209" s="5"/>
      <c r="F1209" s="3"/>
      <c r="G1209" s="7"/>
      <c r="H1209" s="3"/>
    </row>
    <row r="1210">
      <c r="A1210" s="3"/>
      <c r="B1210" s="3"/>
      <c r="C1210" s="3"/>
      <c r="D1210" s="5"/>
      <c r="E1210" s="5"/>
      <c r="F1210" s="3"/>
      <c r="G1210" s="3"/>
      <c r="H1210" s="3"/>
    </row>
    <row r="1211">
      <c r="A1211" s="3"/>
      <c r="B1211" s="3"/>
      <c r="C1211" s="3"/>
      <c r="D1211" s="5"/>
      <c r="E1211" s="5"/>
      <c r="F1211" s="3"/>
      <c r="G1211" s="7"/>
      <c r="H1211" s="3"/>
    </row>
    <row r="1212">
      <c r="A1212" s="3"/>
      <c r="B1212" s="3"/>
      <c r="C1212" s="3"/>
      <c r="D1212" s="5"/>
      <c r="E1212" s="5"/>
      <c r="F1212" s="3"/>
      <c r="G1212" s="7"/>
      <c r="H1212" s="3"/>
    </row>
    <row r="1213">
      <c r="A1213" s="3"/>
      <c r="B1213" s="3"/>
      <c r="C1213" s="3"/>
      <c r="D1213" s="5"/>
      <c r="E1213" s="5"/>
      <c r="F1213" s="3"/>
      <c r="G1213" s="3"/>
      <c r="H1213" s="3"/>
    </row>
    <row r="1214">
      <c r="A1214" s="3"/>
      <c r="B1214" s="3"/>
      <c r="C1214" s="3"/>
      <c r="D1214" s="5"/>
      <c r="E1214" s="5"/>
      <c r="F1214" s="3"/>
      <c r="G1214" s="7"/>
      <c r="H1214" s="3"/>
    </row>
    <row r="1215">
      <c r="A1215" s="3"/>
      <c r="B1215" s="3"/>
      <c r="C1215" s="3"/>
      <c r="D1215" s="5"/>
      <c r="E1215" s="5"/>
      <c r="F1215" s="3"/>
      <c r="G1215" s="7"/>
      <c r="H1215" s="3"/>
    </row>
    <row r="1216">
      <c r="A1216" s="3"/>
      <c r="B1216" s="3"/>
      <c r="C1216" s="3"/>
      <c r="D1216" s="5"/>
      <c r="E1216" s="5"/>
      <c r="F1216" s="3"/>
      <c r="G1216" s="7"/>
      <c r="H1216" s="3"/>
    </row>
    <row r="1217">
      <c r="A1217" s="3"/>
      <c r="B1217" s="3"/>
      <c r="C1217" s="3"/>
      <c r="D1217" s="5"/>
      <c r="E1217" s="5"/>
      <c r="F1217" s="3"/>
      <c r="G1217" s="7"/>
      <c r="H1217" s="3"/>
    </row>
    <row r="1218">
      <c r="A1218" s="3"/>
      <c r="B1218" s="3"/>
      <c r="C1218" s="3"/>
      <c r="D1218" s="5"/>
      <c r="E1218" s="5"/>
      <c r="F1218" s="3"/>
      <c r="G1218" s="7"/>
      <c r="H1218" s="3"/>
    </row>
    <row r="1219">
      <c r="A1219" s="3"/>
      <c r="B1219" s="3"/>
      <c r="C1219" s="3"/>
      <c r="D1219" s="5"/>
      <c r="E1219" s="5"/>
      <c r="F1219" s="3"/>
      <c r="G1219" s="7"/>
      <c r="H1219" s="3"/>
    </row>
    <row r="1220">
      <c r="A1220" s="3"/>
      <c r="B1220" s="3"/>
      <c r="C1220" s="3"/>
      <c r="D1220" s="5"/>
      <c r="E1220" s="5"/>
      <c r="F1220" s="3"/>
      <c r="G1220" s="7"/>
      <c r="H1220" s="3"/>
    </row>
    <row r="1221">
      <c r="A1221" s="3"/>
      <c r="B1221" s="3"/>
      <c r="C1221" s="3"/>
      <c r="D1221" s="5"/>
      <c r="E1221" s="5"/>
      <c r="F1221" s="3"/>
      <c r="G1221" s="7"/>
      <c r="H1221" s="3"/>
    </row>
    <row r="1222">
      <c r="A1222" s="3"/>
      <c r="B1222" s="3"/>
      <c r="C1222" s="3"/>
      <c r="D1222" s="5"/>
      <c r="E1222" s="5"/>
      <c r="F1222" s="3"/>
      <c r="G1222" s="7"/>
      <c r="H1222" s="3"/>
    </row>
    <row r="1223">
      <c r="A1223" s="3"/>
      <c r="B1223" s="3"/>
      <c r="C1223" s="3"/>
      <c r="D1223" s="5"/>
      <c r="E1223" s="5"/>
      <c r="F1223" s="3"/>
      <c r="G1223" s="7"/>
      <c r="H1223" s="3"/>
    </row>
    <row r="1224">
      <c r="A1224" s="3"/>
      <c r="B1224" s="3"/>
      <c r="C1224" s="3"/>
      <c r="D1224" s="5"/>
      <c r="E1224" s="5"/>
      <c r="F1224" s="3"/>
      <c r="G1224" s="7"/>
      <c r="H1224" s="3"/>
    </row>
    <row r="1225">
      <c r="A1225" s="3"/>
      <c r="B1225" s="3"/>
      <c r="C1225" s="3"/>
      <c r="D1225" s="5"/>
      <c r="E1225" s="5"/>
      <c r="F1225" s="3"/>
      <c r="G1225" s="7"/>
      <c r="H1225" s="3"/>
    </row>
    <row r="1226">
      <c r="A1226" s="3"/>
      <c r="B1226" s="3"/>
      <c r="C1226" s="3"/>
      <c r="D1226" s="5"/>
      <c r="E1226" s="5"/>
      <c r="F1226" s="3"/>
      <c r="G1226" s="7"/>
      <c r="H1226" s="3"/>
    </row>
    <row r="1227">
      <c r="A1227" s="3"/>
      <c r="B1227" s="3"/>
      <c r="C1227" s="3"/>
      <c r="D1227" s="5"/>
      <c r="E1227" s="5"/>
      <c r="F1227" s="3"/>
      <c r="G1227" s="7"/>
      <c r="H1227" s="3"/>
    </row>
    <row r="1228">
      <c r="A1228" s="3"/>
      <c r="B1228" s="3"/>
      <c r="C1228" s="3"/>
      <c r="D1228" s="5"/>
      <c r="E1228" s="5"/>
      <c r="F1228" s="3"/>
      <c r="G1228" s="3"/>
      <c r="H1228" s="3"/>
    </row>
    <row r="1229">
      <c r="A1229" s="3"/>
      <c r="B1229" s="3"/>
      <c r="C1229" s="3"/>
      <c r="D1229" s="5"/>
      <c r="E1229" s="5"/>
      <c r="F1229" s="3"/>
      <c r="G1229" s="7"/>
      <c r="H1229" s="3"/>
    </row>
    <row r="1230">
      <c r="A1230" s="3"/>
      <c r="B1230" s="3"/>
      <c r="C1230" s="3"/>
      <c r="D1230" s="5"/>
      <c r="E1230" s="5"/>
      <c r="F1230" s="3"/>
      <c r="G1230" s="7"/>
      <c r="H1230" s="3"/>
    </row>
    <row r="1231">
      <c r="A1231" s="3"/>
      <c r="B1231" s="3"/>
      <c r="C1231" s="3"/>
      <c r="D1231" s="5"/>
      <c r="E1231" s="5"/>
      <c r="F1231" s="3"/>
      <c r="G1231" s="7"/>
      <c r="H1231" s="3"/>
    </row>
    <row r="1232">
      <c r="A1232" s="3"/>
      <c r="B1232" s="3"/>
      <c r="C1232" s="3"/>
      <c r="D1232" s="5"/>
      <c r="E1232" s="5"/>
      <c r="F1232" s="3"/>
      <c r="G1232" s="7"/>
      <c r="H1232" s="3"/>
    </row>
    <row r="1233">
      <c r="A1233" s="3"/>
      <c r="B1233" s="3"/>
      <c r="C1233" s="3"/>
      <c r="D1233" s="5"/>
      <c r="E1233" s="5"/>
      <c r="F1233" s="3"/>
      <c r="G1233" s="3"/>
      <c r="H1233" s="3"/>
    </row>
    <row r="1234">
      <c r="A1234" s="3"/>
      <c r="B1234" s="3"/>
      <c r="C1234" s="3"/>
      <c r="D1234" s="5"/>
      <c r="E1234" s="5"/>
      <c r="F1234" s="3"/>
      <c r="G1234" s="7"/>
      <c r="H1234" s="3"/>
    </row>
    <row r="1235">
      <c r="A1235" s="3"/>
      <c r="B1235" s="3"/>
      <c r="C1235" s="3"/>
      <c r="D1235" s="5"/>
      <c r="E1235" s="5"/>
      <c r="F1235" s="3"/>
      <c r="G1235" s="7"/>
      <c r="H1235" s="3"/>
    </row>
    <row r="1236">
      <c r="A1236" s="3"/>
      <c r="B1236" s="3"/>
      <c r="C1236" s="3"/>
      <c r="D1236" s="5"/>
      <c r="E1236" s="5"/>
      <c r="F1236" s="3"/>
      <c r="G1236" s="7"/>
      <c r="H1236" s="3"/>
    </row>
    <row r="1237">
      <c r="A1237" s="3"/>
      <c r="B1237" s="3"/>
      <c r="C1237" s="3"/>
      <c r="D1237" s="5"/>
      <c r="E1237" s="5"/>
      <c r="F1237" s="3"/>
      <c r="G1237" s="7"/>
      <c r="H1237" s="3"/>
    </row>
    <row r="1238">
      <c r="A1238" s="3"/>
      <c r="B1238" s="3"/>
      <c r="C1238" s="3"/>
      <c r="D1238" s="5"/>
      <c r="E1238" s="5"/>
      <c r="F1238" s="3"/>
      <c r="G1238" s="3"/>
      <c r="H1238" s="3"/>
    </row>
    <row r="1239">
      <c r="A1239" s="3"/>
      <c r="B1239" s="3"/>
      <c r="C1239" s="3"/>
      <c r="D1239" s="5"/>
      <c r="E1239" s="5"/>
      <c r="F1239" s="3"/>
      <c r="G1239" s="7"/>
      <c r="H1239" s="3"/>
    </row>
    <row r="1240">
      <c r="A1240" s="3"/>
      <c r="B1240" s="3"/>
      <c r="C1240" s="3"/>
      <c r="D1240" s="5"/>
      <c r="E1240" s="5"/>
      <c r="F1240" s="3"/>
      <c r="G1240" s="7"/>
      <c r="H1240" s="3"/>
    </row>
    <row r="1241">
      <c r="A1241" s="3"/>
      <c r="B1241" s="3"/>
      <c r="C1241" s="3"/>
      <c r="D1241" s="5"/>
      <c r="E1241" s="5"/>
      <c r="F1241" s="3"/>
      <c r="G1241" s="7"/>
      <c r="H1241" s="3"/>
    </row>
    <row r="1242">
      <c r="A1242" s="3"/>
      <c r="B1242" s="3"/>
      <c r="C1242" s="3"/>
      <c r="D1242" s="5"/>
      <c r="E1242" s="5"/>
      <c r="F1242" s="3"/>
      <c r="G1242" s="7"/>
      <c r="H1242" s="3"/>
    </row>
    <row r="1243">
      <c r="A1243" s="3"/>
      <c r="B1243" s="3"/>
      <c r="C1243" s="3"/>
      <c r="D1243" s="5"/>
      <c r="E1243" s="5"/>
      <c r="F1243" s="3"/>
      <c r="G1243" s="3"/>
      <c r="H1243" s="3"/>
    </row>
    <row r="1244">
      <c r="A1244" s="3"/>
      <c r="B1244" s="3"/>
      <c r="C1244" s="3"/>
      <c r="D1244" s="5"/>
      <c r="E1244" s="5"/>
      <c r="F1244" s="3"/>
      <c r="G1244" s="7"/>
      <c r="H1244" s="3"/>
    </row>
    <row r="1245">
      <c r="A1245" s="3"/>
      <c r="B1245" s="3"/>
      <c r="C1245" s="3"/>
      <c r="D1245" s="5"/>
      <c r="E1245" s="5"/>
      <c r="F1245" s="3"/>
      <c r="G1245" s="7"/>
      <c r="H1245" s="3"/>
    </row>
    <row r="1246">
      <c r="A1246" s="3"/>
      <c r="B1246" s="3"/>
      <c r="C1246" s="3"/>
      <c r="D1246" s="5"/>
      <c r="E1246" s="5"/>
      <c r="F1246" s="3"/>
      <c r="G1246" s="7"/>
      <c r="H1246" s="3"/>
    </row>
    <row r="1247">
      <c r="A1247" s="3"/>
      <c r="B1247" s="3"/>
      <c r="C1247" s="3"/>
      <c r="D1247" s="5"/>
      <c r="E1247" s="5"/>
      <c r="F1247" s="3"/>
      <c r="G1247" s="7"/>
      <c r="H1247" s="3"/>
    </row>
    <row r="1248">
      <c r="A1248" s="3"/>
      <c r="B1248" s="3"/>
      <c r="C1248" s="3"/>
      <c r="D1248" s="5"/>
      <c r="E1248" s="5"/>
      <c r="F1248" s="3"/>
      <c r="G1248" s="3"/>
      <c r="H1248" s="3"/>
    </row>
    <row r="1249">
      <c r="A1249" s="3"/>
      <c r="B1249" s="3"/>
      <c r="C1249" s="3"/>
      <c r="D1249" s="5"/>
      <c r="E1249" s="5"/>
      <c r="F1249" s="3"/>
      <c r="G1249" s="7"/>
      <c r="H1249" s="3"/>
    </row>
    <row r="1250">
      <c r="A1250" s="3"/>
      <c r="B1250" s="3"/>
      <c r="C1250" s="3"/>
      <c r="D1250" s="5"/>
      <c r="E1250" s="5"/>
      <c r="F1250" s="3"/>
      <c r="G1250" s="7"/>
      <c r="H1250" s="3"/>
    </row>
    <row r="1251">
      <c r="A1251" s="3"/>
      <c r="B1251" s="3"/>
      <c r="C1251" s="3"/>
      <c r="D1251" s="5"/>
      <c r="E1251" s="5"/>
      <c r="F1251" s="3"/>
      <c r="G1251" s="7"/>
      <c r="H1251" s="3"/>
    </row>
    <row r="1252">
      <c r="A1252" s="3"/>
      <c r="B1252" s="3"/>
      <c r="C1252" s="3"/>
      <c r="D1252" s="5"/>
      <c r="E1252" s="5"/>
      <c r="F1252" s="3"/>
      <c r="G1252" s="7"/>
      <c r="H1252" s="3"/>
    </row>
    <row r="1253">
      <c r="A1253" s="3"/>
      <c r="B1253" s="3"/>
      <c r="C1253" s="3"/>
      <c r="D1253" s="5"/>
      <c r="E1253" s="5"/>
      <c r="F1253" s="3"/>
      <c r="G1253" s="3"/>
      <c r="H1253" s="3"/>
    </row>
    <row r="1254">
      <c r="A1254" s="3"/>
      <c r="B1254" s="3"/>
      <c r="C1254" s="3"/>
      <c r="D1254" s="5"/>
      <c r="E1254" s="5"/>
      <c r="F1254" s="3"/>
      <c r="G1254" s="7"/>
      <c r="H1254" s="3"/>
    </row>
    <row r="1255">
      <c r="A1255" s="3"/>
      <c r="B1255" s="3"/>
      <c r="C1255" s="3"/>
      <c r="D1255" s="5"/>
      <c r="E1255" s="5"/>
      <c r="F1255" s="3"/>
      <c r="G1255" s="7"/>
      <c r="H1255" s="3"/>
    </row>
    <row r="1256">
      <c r="A1256" s="3"/>
      <c r="B1256" s="3"/>
      <c r="C1256" s="3"/>
      <c r="D1256" s="5"/>
      <c r="E1256" s="5"/>
      <c r="F1256" s="3"/>
      <c r="G1256" s="7"/>
      <c r="H1256" s="3"/>
    </row>
    <row r="1257">
      <c r="A1257" s="3"/>
      <c r="B1257" s="3"/>
      <c r="C1257" s="3"/>
      <c r="D1257" s="5"/>
      <c r="E1257" s="5"/>
      <c r="F1257" s="3"/>
      <c r="G1257" s="7"/>
      <c r="H1257" s="3"/>
    </row>
    <row r="1258">
      <c r="A1258" s="3"/>
      <c r="B1258" s="3"/>
      <c r="C1258" s="3"/>
      <c r="D1258" s="5"/>
      <c r="E1258" s="5"/>
      <c r="F1258" s="3"/>
      <c r="G1258" s="3"/>
      <c r="H1258" s="3"/>
    </row>
    <row r="1259">
      <c r="A1259" s="3"/>
      <c r="B1259" s="3"/>
      <c r="C1259" s="3"/>
      <c r="D1259" s="5"/>
      <c r="E1259" s="5"/>
      <c r="F1259" s="3"/>
      <c r="G1259" s="7"/>
      <c r="H1259" s="3"/>
    </row>
    <row r="1260">
      <c r="A1260" s="3"/>
      <c r="B1260" s="3"/>
      <c r="C1260" s="3"/>
      <c r="D1260" s="5"/>
      <c r="E1260" s="5"/>
      <c r="F1260" s="3"/>
      <c r="G1260" s="7"/>
      <c r="H1260" s="3"/>
    </row>
    <row r="1261">
      <c r="A1261" s="3"/>
      <c r="B1261" s="3"/>
      <c r="C1261" s="3"/>
      <c r="D1261" s="5"/>
      <c r="E1261" s="5"/>
      <c r="F1261" s="3"/>
      <c r="G1261" s="7"/>
      <c r="H1261" s="3"/>
    </row>
    <row r="1262">
      <c r="A1262" s="3"/>
      <c r="B1262" s="3"/>
      <c r="C1262" s="3"/>
      <c r="D1262" s="5"/>
      <c r="E1262" s="5"/>
      <c r="F1262" s="3"/>
      <c r="G1262" s="7"/>
      <c r="H1262" s="3"/>
    </row>
    <row r="1263">
      <c r="A1263" s="3"/>
      <c r="B1263" s="3"/>
      <c r="C1263" s="3"/>
      <c r="D1263" s="5"/>
      <c r="E1263" s="5"/>
      <c r="F1263" s="3"/>
      <c r="G1263" s="3"/>
      <c r="H1263" s="3"/>
    </row>
    <row r="1264">
      <c r="A1264" s="3"/>
      <c r="B1264" s="3"/>
      <c r="C1264" s="3"/>
      <c r="D1264" s="5"/>
      <c r="E1264" s="5"/>
      <c r="F1264" s="3"/>
      <c r="G1264" s="7"/>
      <c r="H1264" s="3"/>
    </row>
    <row r="1265">
      <c r="A1265" s="3"/>
      <c r="B1265" s="3"/>
      <c r="C1265" s="3"/>
      <c r="D1265" s="5"/>
      <c r="E1265" s="5"/>
      <c r="F1265" s="3"/>
      <c r="G1265" s="7"/>
      <c r="H1265" s="3"/>
    </row>
    <row r="1266">
      <c r="A1266" s="3"/>
      <c r="B1266" s="3"/>
      <c r="C1266" s="3"/>
      <c r="D1266" s="5"/>
      <c r="E1266" s="5"/>
      <c r="F1266" s="3"/>
      <c r="G1266" s="7"/>
      <c r="H1266" s="3"/>
    </row>
    <row r="1267">
      <c r="A1267" s="3"/>
      <c r="B1267" s="3"/>
      <c r="C1267" s="3"/>
      <c r="D1267" s="5"/>
      <c r="E1267" s="5"/>
      <c r="F1267" s="3"/>
      <c r="G1267" s="7"/>
      <c r="H1267" s="3"/>
    </row>
    <row r="1268">
      <c r="A1268" s="3"/>
      <c r="B1268" s="3"/>
      <c r="C1268" s="3"/>
      <c r="D1268" s="5"/>
      <c r="E1268" s="5"/>
      <c r="F1268" s="3"/>
      <c r="G1268" s="3"/>
      <c r="H1268" s="3"/>
    </row>
    <row r="1269">
      <c r="A1269" s="3"/>
      <c r="B1269" s="3"/>
      <c r="C1269" s="3"/>
      <c r="D1269" s="5"/>
      <c r="E1269" s="5"/>
      <c r="F1269" s="3"/>
      <c r="G1269" s="7"/>
      <c r="H1269" s="3"/>
    </row>
    <row r="1270">
      <c r="A1270" s="3"/>
      <c r="B1270" s="3"/>
      <c r="C1270" s="3"/>
      <c r="D1270" s="5"/>
      <c r="E1270" s="5"/>
      <c r="F1270" s="3"/>
      <c r="G1270" s="7"/>
      <c r="H1270" s="3"/>
    </row>
    <row r="1271">
      <c r="A1271" s="3"/>
      <c r="B1271" s="3"/>
      <c r="C1271" s="3"/>
      <c r="D1271" s="5"/>
      <c r="E1271" s="5"/>
      <c r="F1271" s="3"/>
      <c r="G1271" s="7"/>
      <c r="H1271" s="3"/>
    </row>
    <row r="1272">
      <c r="A1272" s="3"/>
      <c r="B1272" s="3"/>
      <c r="C1272" s="3"/>
      <c r="D1272" s="5"/>
      <c r="E1272" s="5"/>
      <c r="F1272" s="3"/>
      <c r="G1272" s="7"/>
      <c r="H1272" s="3"/>
    </row>
    <row r="1273">
      <c r="A1273" s="3"/>
      <c r="B1273" s="3"/>
      <c r="C1273" s="3"/>
      <c r="D1273" s="5"/>
      <c r="E1273" s="5"/>
      <c r="F1273" s="3"/>
      <c r="G1273" s="3"/>
      <c r="H1273" s="3"/>
    </row>
    <row r="1274">
      <c r="A1274" s="3"/>
      <c r="B1274" s="3"/>
      <c r="C1274" s="3"/>
      <c r="D1274" s="5"/>
      <c r="E1274" s="5"/>
      <c r="F1274" s="3"/>
      <c r="G1274" s="7"/>
      <c r="H1274" s="3"/>
    </row>
    <row r="1275">
      <c r="A1275" s="3"/>
      <c r="B1275" s="3"/>
      <c r="C1275" s="3"/>
      <c r="D1275" s="5"/>
      <c r="E1275" s="5"/>
      <c r="F1275" s="3"/>
      <c r="G1275" s="7"/>
      <c r="H1275" s="3"/>
    </row>
    <row r="1276">
      <c r="A1276" s="3"/>
      <c r="B1276" s="3"/>
      <c r="C1276" s="3"/>
      <c r="D1276" s="5"/>
      <c r="E1276" s="5"/>
      <c r="F1276" s="3"/>
      <c r="G1276" s="7"/>
      <c r="H1276" s="3"/>
    </row>
    <row r="1277">
      <c r="A1277" s="3"/>
      <c r="B1277" s="3"/>
      <c r="C1277" s="3"/>
      <c r="D1277" s="5"/>
      <c r="E1277" s="5"/>
      <c r="F1277" s="3"/>
      <c r="G1277" s="7"/>
      <c r="H1277" s="3"/>
    </row>
    <row r="1278">
      <c r="A1278" s="3"/>
      <c r="B1278" s="3"/>
      <c r="C1278" s="3"/>
      <c r="D1278" s="5"/>
      <c r="E1278" s="5"/>
      <c r="F1278" s="3"/>
      <c r="G1278" s="3"/>
      <c r="H1278" s="3"/>
    </row>
    <row r="1279">
      <c r="A1279" s="3"/>
      <c r="B1279" s="3"/>
      <c r="C1279" s="3"/>
      <c r="D1279" s="5"/>
      <c r="E1279" s="5"/>
      <c r="F1279" s="3"/>
      <c r="G1279" s="7"/>
      <c r="H1279" s="3"/>
    </row>
    <row r="1280">
      <c r="A1280" s="3"/>
      <c r="B1280" s="3"/>
      <c r="C1280" s="3"/>
      <c r="D1280" s="5"/>
      <c r="E1280" s="5"/>
      <c r="F1280" s="3"/>
      <c r="G1280" s="7"/>
      <c r="H1280" s="3"/>
    </row>
    <row r="1281">
      <c r="A1281" s="3"/>
      <c r="B1281" s="3"/>
      <c r="C1281" s="3"/>
      <c r="D1281" s="5"/>
      <c r="E1281" s="5"/>
      <c r="F1281" s="3"/>
      <c r="G1281" s="7"/>
      <c r="H1281" s="3"/>
    </row>
    <row r="1282">
      <c r="A1282" s="3"/>
      <c r="B1282" s="3"/>
      <c r="C1282" s="117"/>
      <c r="D1282" s="5"/>
      <c r="E1282" s="5"/>
      <c r="F1282" s="3"/>
      <c r="G1282" s="7"/>
      <c r="H1282" s="3"/>
    </row>
    <row r="1283">
      <c r="A1283" s="3"/>
      <c r="B1283" s="3"/>
      <c r="C1283" s="117"/>
      <c r="D1283" s="5"/>
      <c r="E1283" s="5"/>
      <c r="F1283" s="3"/>
      <c r="G1283" s="3"/>
      <c r="H1283" s="3"/>
    </row>
    <row r="1284">
      <c r="A1284" s="3"/>
      <c r="B1284" s="3"/>
      <c r="C1284" s="117"/>
      <c r="D1284" s="5"/>
      <c r="E1284" s="5"/>
      <c r="F1284" s="3"/>
      <c r="G1284" s="7"/>
      <c r="H1284" s="3"/>
    </row>
    <row r="1285">
      <c r="A1285" s="3"/>
      <c r="B1285" s="3"/>
      <c r="C1285" s="117"/>
      <c r="D1285" s="5"/>
      <c r="E1285" s="5"/>
      <c r="F1285" s="3"/>
      <c r="G1285" s="7"/>
      <c r="H1285" s="3"/>
    </row>
    <row r="1286">
      <c r="A1286" s="3"/>
      <c r="B1286" s="3"/>
      <c r="C1286" s="117"/>
      <c r="D1286" s="5"/>
      <c r="E1286" s="5"/>
      <c r="F1286" s="3"/>
      <c r="G1286" s="7"/>
      <c r="H1286" s="3"/>
    </row>
    <row r="1287">
      <c r="A1287" s="3"/>
      <c r="B1287" s="3"/>
      <c r="C1287" s="3"/>
      <c r="D1287" s="5"/>
      <c r="E1287" s="5"/>
      <c r="F1287" s="3"/>
      <c r="G1287" s="7"/>
      <c r="H1287" s="3"/>
    </row>
    <row r="1288">
      <c r="A1288" s="3"/>
      <c r="B1288" s="3"/>
      <c r="C1288" s="3"/>
      <c r="D1288" s="5"/>
      <c r="E1288" s="5"/>
      <c r="F1288" s="3"/>
      <c r="G1288" s="3"/>
      <c r="H1288" s="3"/>
    </row>
    <row r="1289">
      <c r="A1289" s="3"/>
      <c r="B1289" s="3"/>
      <c r="C1289" s="3"/>
      <c r="D1289" s="5"/>
      <c r="E1289" s="5"/>
      <c r="F1289" s="3"/>
      <c r="G1289" s="7"/>
      <c r="H1289" s="3"/>
    </row>
    <row r="1290">
      <c r="A1290" s="3"/>
      <c r="B1290" s="3"/>
      <c r="C1290" s="3"/>
      <c r="D1290" s="5"/>
      <c r="E1290" s="5"/>
      <c r="F1290" s="3"/>
      <c r="G1290" s="7"/>
      <c r="H1290" s="3"/>
    </row>
    <row r="1291">
      <c r="A1291" s="3"/>
      <c r="B1291" s="3"/>
      <c r="C1291" s="3"/>
      <c r="D1291" s="5"/>
      <c r="E1291" s="5"/>
      <c r="F1291" s="3"/>
      <c r="G1291" s="7"/>
      <c r="H1291" s="3"/>
    </row>
    <row r="1292">
      <c r="A1292" s="3"/>
      <c r="B1292" s="3"/>
      <c r="C1292" s="3"/>
      <c r="D1292" s="5"/>
      <c r="E1292" s="5"/>
      <c r="F1292" s="3"/>
      <c r="G1292" s="7"/>
      <c r="H1292" s="3"/>
    </row>
    <row r="1293">
      <c r="A1293" s="3"/>
      <c r="B1293" s="3"/>
      <c r="C1293" s="3"/>
      <c r="D1293" s="5"/>
      <c r="E1293" s="5"/>
      <c r="F1293" s="3"/>
      <c r="G1293" s="3"/>
      <c r="H1293" s="3"/>
    </row>
    <row r="1294">
      <c r="A1294" s="3"/>
      <c r="B1294" s="3"/>
      <c r="C1294" s="3"/>
      <c r="D1294" s="5"/>
      <c r="E1294" s="5"/>
      <c r="F1294" s="3"/>
      <c r="G1294" s="7"/>
      <c r="H1294" s="3"/>
    </row>
    <row r="1295">
      <c r="A1295" s="3"/>
      <c r="B1295" s="3"/>
      <c r="C1295" s="3"/>
      <c r="D1295" s="5"/>
      <c r="E1295" s="5"/>
      <c r="F1295" s="3"/>
      <c r="G1295" s="7"/>
      <c r="H1295" s="3"/>
    </row>
    <row r="1296">
      <c r="A1296" s="3"/>
      <c r="B1296" s="3"/>
      <c r="C1296" s="3"/>
      <c r="D1296" s="5"/>
      <c r="E1296" s="5"/>
      <c r="F1296" s="3"/>
      <c r="G1296" s="7"/>
      <c r="H1296" s="3"/>
    </row>
    <row r="1297">
      <c r="A1297" s="3"/>
      <c r="B1297" s="3"/>
      <c r="C1297" s="3"/>
      <c r="D1297" s="5"/>
      <c r="E1297" s="5"/>
      <c r="F1297" s="3"/>
      <c r="G1297" s="7"/>
      <c r="H1297" s="3"/>
    </row>
    <row r="1298">
      <c r="A1298" s="3"/>
      <c r="B1298" s="3"/>
      <c r="C1298" s="3"/>
      <c r="D1298" s="5"/>
      <c r="E1298" s="5"/>
      <c r="F1298" s="3"/>
      <c r="G1298" s="3"/>
      <c r="H1298" s="3"/>
    </row>
    <row r="1299">
      <c r="A1299" s="3"/>
      <c r="B1299" s="3"/>
      <c r="C1299" s="3"/>
      <c r="D1299" s="5"/>
      <c r="E1299" s="5"/>
      <c r="F1299" s="3"/>
      <c r="G1299" s="7"/>
      <c r="H1299" s="3"/>
    </row>
    <row r="1300">
      <c r="A1300" s="3"/>
      <c r="B1300" s="3"/>
      <c r="C1300" s="3"/>
      <c r="D1300" s="5"/>
      <c r="E1300" s="5"/>
      <c r="F1300" s="3"/>
      <c r="G1300" s="7"/>
      <c r="H1300" s="3"/>
    </row>
    <row r="1301">
      <c r="A1301" s="3"/>
      <c r="B1301" s="3"/>
      <c r="C1301" s="3"/>
      <c r="D1301" s="5"/>
      <c r="E1301" s="5"/>
      <c r="F1301" s="3"/>
      <c r="G1301" s="3"/>
      <c r="H1301" s="3"/>
    </row>
    <row r="1302">
      <c r="A1302" s="3"/>
      <c r="B1302" s="3"/>
      <c r="C1302" s="3"/>
      <c r="D1302" s="5"/>
      <c r="E1302" s="5"/>
      <c r="F1302" s="3"/>
      <c r="G1302" s="7"/>
      <c r="H1302" s="3"/>
    </row>
    <row r="1303">
      <c r="A1303" s="3"/>
      <c r="B1303" s="3"/>
      <c r="C1303" s="3"/>
      <c r="D1303" s="5"/>
      <c r="E1303" s="5"/>
      <c r="F1303" s="3"/>
      <c r="G1303" s="7"/>
      <c r="H1303" s="3"/>
    </row>
    <row r="1304">
      <c r="A1304" s="3"/>
      <c r="B1304" s="3"/>
      <c r="C1304" s="3"/>
      <c r="D1304" s="5"/>
      <c r="E1304" s="5"/>
      <c r="F1304" s="3"/>
      <c r="G1304" s="3"/>
      <c r="H1304" s="3"/>
    </row>
    <row r="1305">
      <c r="A1305" s="3"/>
      <c r="B1305" s="3"/>
      <c r="C1305" s="3"/>
      <c r="D1305" s="5"/>
      <c r="E1305" s="5"/>
      <c r="F1305" s="3"/>
      <c r="G1305" s="7"/>
      <c r="H1305" s="3"/>
    </row>
    <row r="1306">
      <c r="A1306" s="3"/>
      <c r="B1306" s="3"/>
      <c r="C1306" s="3"/>
      <c r="D1306" s="5"/>
      <c r="E1306" s="5"/>
      <c r="F1306" s="3"/>
      <c r="G1306" s="7"/>
      <c r="H1306" s="3"/>
    </row>
    <row r="1307">
      <c r="A1307" s="3"/>
      <c r="B1307" s="3"/>
      <c r="C1307" s="3"/>
      <c r="D1307" s="5"/>
      <c r="E1307" s="5"/>
      <c r="F1307" s="3"/>
      <c r="G1307" s="3"/>
      <c r="H1307" s="3"/>
    </row>
    <row r="1308">
      <c r="A1308" s="3"/>
      <c r="B1308" s="3"/>
      <c r="C1308" s="3"/>
      <c r="D1308" s="5"/>
      <c r="E1308" s="5"/>
      <c r="F1308" s="3"/>
      <c r="G1308" s="7"/>
      <c r="H1308" s="3"/>
    </row>
    <row r="1309">
      <c r="A1309" s="3"/>
      <c r="B1309" s="3"/>
      <c r="C1309" s="3"/>
      <c r="D1309" s="5"/>
      <c r="E1309" s="5"/>
      <c r="F1309" s="3"/>
      <c r="G1309" s="7"/>
      <c r="H1309" s="3"/>
    </row>
    <row r="1310">
      <c r="A1310" s="3"/>
      <c r="B1310" s="3"/>
      <c r="C1310" s="3"/>
      <c r="D1310" s="5"/>
      <c r="E1310" s="5"/>
      <c r="F1310" s="3"/>
      <c r="G1310" s="3"/>
      <c r="H1310" s="3"/>
    </row>
    <row r="1311">
      <c r="A1311" s="3"/>
      <c r="B1311" s="3"/>
      <c r="C1311" s="3"/>
      <c r="D1311" s="5"/>
      <c r="E1311" s="5"/>
      <c r="F1311" s="3"/>
      <c r="G1311" s="7"/>
      <c r="H1311" s="3"/>
    </row>
    <row r="1312">
      <c r="A1312" s="3"/>
      <c r="B1312" s="3"/>
      <c r="C1312" s="3"/>
      <c r="D1312" s="5"/>
      <c r="E1312" s="5"/>
      <c r="F1312" s="3"/>
      <c r="G1312" s="7"/>
      <c r="H1312" s="3"/>
    </row>
    <row r="1313">
      <c r="A1313" s="3"/>
      <c r="B1313" s="3"/>
      <c r="C1313" s="3"/>
      <c r="D1313" s="5"/>
      <c r="E1313" s="5"/>
      <c r="F1313" s="3"/>
      <c r="G1313" s="7"/>
      <c r="H1313" s="3"/>
    </row>
    <row r="1314">
      <c r="A1314" s="3"/>
      <c r="B1314" s="3"/>
      <c r="C1314" s="3"/>
      <c r="D1314" s="5"/>
      <c r="E1314" s="5"/>
      <c r="F1314" s="3"/>
      <c r="G1314" s="7"/>
      <c r="H1314" s="3"/>
    </row>
    <row r="1315">
      <c r="A1315" s="3"/>
      <c r="B1315" s="3"/>
      <c r="C1315" s="3"/>
      <c r="D1315" s="5"/>
      <c r="E1315" s="5"/>
      <c r="F1315" s="3"/>
      <c r="G1315" s="3"/>
      <c r="H1315" s="3"/>
    </row>
    <row r="1316">
      <c r="A1316" s="3"/>
      <c r="B1316" s="3"/>
      <c r="C1316" s="3"/>
      <c r="D1316" s="5"/>
      <c r="E1316" s="5"/>
      <c r="F1316" s="3"/>
      <c r="G1316" s="7"/>
      <c r="H1316" s="3"/>
    </row>
    <row r="1317">
      <c r="A1317" s="3"/>
      <c r="B1317" s="3"/>
      <c r="C1317" s="3"/>
      <c r="D1317" s="5"/>
      <c r="E1317" s="5"/>
      <c r="F1317" s="3"/>
      <c r="G1317" s="7"/>
      <c r="H1317" s="3"/>
    </row>
    <row r="1318">
      <c r="A1318" s="3"/>
      <c r="B1318" s="3"/>
      <c r="C1318" s="3"/>
      <c r="D1318" s="5"/>
      <c r="E1318" s="5"/>
      <c r="F1318" s="3"/>
      <c r="G1318" s="7"/>
      <c r="H1318" s="3"/>
    </row>
    <row r="1319">
      <c r="A1319" s="3"/>
      <c r="B1319" s="3"/>
      <c r="C1319" s="3"/>
      <c r="D1319" s="5"/>
      <c r="E1319" s="5"/>
      <c r="F1319" s="3"/>
      <c r="G1319" s="7"/>
      <c r="H1319" s="3"/>
    </row>
    <row r="1320">
      <c r="A1320" s="3"/>
      <c r="B1320" s="3"/>
      <c r="C1320" s="3"/>
      <c r="D1320" s="5"/>
      <c r="E1320" s="5"/>
      <c r="F1320" s="3"/>
      <c r="G1320" s="3"/>
      <c r="H1320" s="3"/>
    </row>
    <row r="1321">
      <c r="A1321" s="3"/>
      <c r="B1321" s="3"/>
      <c r="C1321" s="3"/>
      <c r="D1321" s="5"/>
      <c r="E1321" s="5"/>
      <c r="F1321" s="3"/>
      <c r="G1321" s="7"/>
      <c r="H1321" s="3"/>
    </row>
    <row r="1322">
      <c r="A1322" s="3"/>
      <c r="B1322" s="3"/>
      <c r="C1322" s="3"/>
      <c r="D1322" s="5"/>
      <c r="E1322" s="5"/>
      <c r="F1322" s="3"/>
      <c r="G1322" s="7"/>
      <c r="H1322" s="3"/>
    </row>
    <row r="1323">
      <c r="A1323" s="3"/>
      <c r="B1323" s="3"/>
      <c r="C1323" s="3"/>
      <c r="D1323" s="5"/>
      <c r="E1323" s="5"/>
      <c r="F1323" s="3"/>
      <c r="G1323" s="7"/>
      <c r="H1323" s="3"/>
    </row>
    <row r="1324">
      <c r="A1324" s="3"/>
      <c r="B1324" s="3"/>
      <c r="C1324" s="3"/>
      <c r="D1324" s="5"/>
      <c r="E1324" s="5"/>
      <c r="F1324" s="3"/>
      <c r="G1324" s="7"/>
      <c r="H1324" s="3"/>
    </row>
    <row r="1325">
      <c r="A1325" s="3"/>
      <c r="B1325" s="3"/>
      <c r="C1325" s="3"/>
      <c r="D1325" s="5"/>
      <c r="E1325" s="5"/>
      <c r="F1325" s="3"/>
      <c r="G1325" s="7"/>
      <c r="H1325" s="3"/>
    </row>
    <row r="1326">
      <c r="A1326" s="3"/>
      <c r="B1326" s="3"/>
      <c r="C1326" s="3"/>
      <c r="D1326" s="5"/>
      <c r="E1326" s="5"/>
      <c r="F1326" s="3"/>
      <c r="G1326" s="7"/>
      <c r="H1326" s="3"/>
    </row>
    <row r="1327">
      <c r="A1327" s="3"/>
      <c r="B1327" s="3"/>
      <c r="C1327" s="3"/>
      <c r="D1327" s="5"/>
      <c r="E1327" s="5"/>
      <c r="F1327" s="3"/>
      <c r="G1327" s="7"/>
      <c r="H1327" s="3"/>
    </row>
    <row r="1328">
      <c r="A1328" s="3"/>
      <c r="B1328" s="3"/>
      <c r="C1328" s="3"/>
      <c r="D1328" s="5"/>
      <c r="E1328" s="5"/>
      <c r="F1328" s="3"/>
      <c r="G1328" s="7"/>
      <c r="H1328" s="3"/>
    </row>
    <row r="1329">
      <c r="A1329" s="3"/>
      <c r="B1329" s="3"/>
      <c r="C1329" s="3"/>
      <c r="D1329" s="5"/>
      <c r="E1329" s="5"/>
      <c r="F1329" s="3"/>
      <c r="G1329" s="7"/>
      <c r="H1329" s="3"/>
    </row>
    <row r="1330">
      <c r="A1330" s="3"/>
      <c r="B1330" s="3"/>
      <c r="C1330" s="3"/>
      <c r="D1330" s="5"/>
      <c r="E1330" s="5"/>
      <c r="F1330" s="3"/>
      <c r="G1330" s="7"/>
      <c r="H1330" s="3"/>
    </row>
    <row r="1331">
      <c r="A1331" s="3"/>
      <c r="B1331" s="3"/>
      <c r="C1331" s="3"/>
      <c r="D1331" s="5"/>
      <c r="E1331" s="5"/>
      <c r="F1331" s="3"/>
      <c r="G1331" s="7"/>
      <c r="H1331" s="3"/>
    </row>
    <row r="1332">
      <c r="A1332" s="3"/>
      <c r="B1332" s="3"/>
      <c r="C1332" s="3"/>
      <c r="D1332" s="5"/>
      <c r="E1332" s="5"/>
      <c r="F1332" s="3"/>
      <c r="G1332" s="7"/>
      <c r="H1332" s="3"/>
    </row>
    <row r="1333">
      <c r="A1333" s="3"/>
      <c r="B1333" s="3"/>
      <c r="C1333" s="3"/>
      <c r="D1333" s="5"/>
      <c r="E1333" s="5"/>
      <c r="F1333" s="3"/>
      <c r="G1333" s="7"/>
      <c r="H1333" s="3"/>
    </row>
    <row r="1334">
      <c r="A1334" s="3"/>
      <c r="B1334" s="3"/>
      <c r="C1334" s="3"/>
      <c r="D1334" s="5"/>
      <c r="E1334" s="5"/>
      <c r="F1334" s="3"/>
      <c r="G1334" s="3"/>
      <c r="H1334" s="3"/>
    </row>
    <row r="1335">
      <c r="A1335" s="3"/>
      <c r="B1335" s="3"/>
      <c r="C1335" s="3"/>
      <c r="D1335" s="5"/>
      <c r="E1335" s="5"/>
      <c r="F1335" s="3"/>
      <c r="G1335" s="7"/>
      <c r="H1335" s="3"/>
    </row>
    <row r="1336">
      <c r="A1336" s="3"/>
      <c r="B1336" s="3"/>
      <c r="C1336" s="3"/>
      <c r="D1336" s="5"/>
      <c r="E1336" s="5"/>
      <c r="F1336" s="3"/>
      <c r="G1336" s="7"/>
      <c r="H1336" s="3"/>
    </row>
    <row r="1337">
      <c r="A1337" s="3"/>
      <c r="B1337" s="3"/>
      <c r="C1337" s="3"/>
      <c r="D1337" s="5"/>
      <c r="E1337" s="5"/>
      <c r="F1337" s="3"/>
      <c r="G1337" s="7"/>
      <c r="H1337" s="3"/>
    </row>
    <row r="1338">
      <c r="A1338" s="3"/>
      <c r="B1338" s="3"/>
      <c r="C1338" s="3"/>
      <c r="D1338" s="5"/>
      <c r="E1338" s="5"/>
      <c r="F1338" s="3"/>
      <c r="G1338" s="7"/>
      <c r="H1338" s="3"/>
    </row>
    <row r="1339">
      <c r="A1339" s="3"/>
      <c r="B1339" s="3"/>
      <c r="C1339" s="3"/>
      <c r="D1339" s="5"/>
      <c r="E1339" s="5"/>
      <c r="F1339" s="3"/>
      <c r="G1339" s="3"/>
      <c r="H1339" s="3"/>
    </row>
    <row r="1340">
      <c r="A1340" s="3"/>
      <c r="B1340" s="3"/>
      <c r="C1340" s="3"/>
      <c r="D1340" s="5"/>
      <c r="E1340" s="5"/>
      <c r="F1340" s="3"/>
      <c r="G1340" s="7"/>
      <c r="H1340" s="3"/>
    </row>
    <row r="1341">
      <c r="A1341" s="3"/>
      <c r="B1341" s="3"/>
      <c r="C1341" s="3"/>
      <c r="D1341" s="5"/>
      <c r="E1341" s="5"/>
      <c r="F1341" s="3"/>
      <c r="G1341" s="7"/>
      <c r="H1341" s="3"/>
    </row>
    <row r="1342">
      <c r="A1342" s="3"/>
      <c r="B1342" s="3"/>
      <c r="C1342" s="3"/>
      <c r="D1342" s="5"/>
      <c r="E1342" s="5"/>
      <c r="F1342" s="3"/>
      <c r="G1342" s="7"/>
      <c r="H1342" s="3"/>
    </row>
    <row r="1343">
      <c r="A1343" s="3"/>
      <c r="B1343" s="3"/>
      <c r="C1343" s="3"/>
      <c r="D1343" s="5"/>
      <c r="E1343" s="5"/>
      <c r="F1343" s="3"/>
      <c r="G1343" s="7"/>
      <c r="H1343" s="3"/>
    </row>
    <row r="1344">
      <c r="A1344" s="3"/>
      <c r="B1344" s="3"/>
      <c r="C1344" s="3"/>
      <c r="D1344" s="5"/>
      <c r="E1344" s="5"/>
      <c r="F1344" s="3"/>
      <c r="G1344" s="3"/>
      <c r="H1344" s="3"/>
    </row>
    <row r="1345">
      <c r="A1345" s="3"/>
      <c r="B1345" s="3"/>
      <c r="C1345" s="3"/>
      <c r="D1345" s="5"/>
      <c r="E1345" s="5"/>
      <c r="F1345" s="3"/>
      <c r="G1345" s="7"/>
      <c r="H1345" s="3"/>
    </row>
    <row r="1346">
      <c r="A1346" s="3"/>
      <c r="B1346" s="3"/>
      <c r="C1346" s="3"/>
      <c r="D1346" s="5"/>
      <c r="E1346" s="5"/>
      <c r="F1346" s="3"/>
      <c r="G1346" s="7"/>
      <c r="H1346" s="3"/>
    </row>
    <row r="1347">
      <c r="A1347" s="3"/>
      <c r="B1347" s="3"/>
      <c r="C1347" s="3"/>
      <c r="D1347" s="5"/>
      <c r="E1347" s="5"/>
      <c r="F1347" s="3"/>
      <c r="G1347" s="7"/>
      <c r="H1347" s="3"/>
    </row>
    <row r="1348">
      <c r="A1348" s="3"/>
      <c r="B1348" s="3"/>
      <c r="C1348" s="3"/>
      <c r="D1348" s="5"/>
      <c r="E1348" s="5"/>
      <c r="F1348" s="3"/>
      <c r="G1348" s="7"/>
      <c r="H1348" s="3"/>
    </row>
    <row r="1349">
      <c r="A1349" s="3"/>
      <c r="B1349" s="3"/>
      <c r="C1349" s="3"/>
      <c r="D1349" s="5"/>
      <c r="E1349" s="5"/>
      <c r="F1349" s="3"/>
      <c r="G1349" s="3"/>
      <c r="H1349" s="3"/>
    </row>
    <row r="1350">
      <c r="A1350" s="3"/>
      <c r="B1350" s="3"/>
      <c r="C1350" s="3"/>
      <c r="D1350" s="5"/>
      <c r="E1350" s="5"/>
      <c r="F1350" s="3"/>
      <c r="G1350" s="7"/>
      <c r="H1350" s="3"/>
    </row>
    <row r="1351">
      <c r="A1351" s="3"/>
      <c r="B1351" s="3"/>
      <c r="C1351" s="3"/>
      <c r="D1351" s="5"/>
      <c r="E1351" s="5"/>
      <c r="F1351" s="3"/>
      <c r="G1351" s="7"/>
      <c r="H1351" s="3"/>
    </row>
    <row r="1352">
      <c r="A1352" s="3"/>
      <c r="B1352" s="3"/>
      <c r="C1352" s="3"/>
      <c r="D1352" s="5"/>
      <c r="E1352" s="5"/>
      <c r="F1352" s="3"/>
      <c r="G1352" s="7"/>
      <c r="H1352" s="3"/>
    </row>
    <row r="1353">
      <c r="A1353" s="3"/>
      <c r="B1353" s="3"/>
      <c r="C1353" s="3"/>
      <c r="D1353" s="5"/>
      <c r="E1353" s="5"/>
      <c r="F1353" s="3"/>
      <c r="G1353" s="7"/>
      <c r="H1353" s="3"/>
    </row>
    <row r="1354">
      <c r="A1354" s="3"/>
      <c r="B1354" s="3"/>
      <c r="C1354" s="3"/>
      <c r="D1354" s="5"/>
      <c r="E1354" s="5"/>
      <c r="F1354" s="3"/>
      <c r="G1354" s="3"/>
      <c r="H1354" s="3"/>
    </row>
    <row r="1355">
      <c r="A1355" s="3"/>
      <c r="B1355" s="3"/>
      <c r="C1355" s="3"/>
      <c r="D1355" s="5"/>
      <c r="E1355" s="5"/>
      <c r="F1355" s="3"/>
      <c r="G1355" s="7"/>
      <c r="H1355" s="3"/>
    </row>
    <row r="1356">
      <c r="A1356" s="3"/>
      <c r="B1356" s="3"/>
      <c r="C1356" s="3"/>
      <c r="D1356" s="5"/>
      <c r="E1356" s="5"/>
      <c r="F1356" s="3"/>
      <c r="G1356" s="7"/>
      <c r="H1356" s="3"/>
    </row>
    <row r="1357">
      <c r="A1357" s="3"/>
      <c r="B1357" s="3"/>
      <c r="C1357" s="3"/>
      <c r="D1357" s="5"/>
      <c r="E1357" s="5"/>
      <c r="F1357" s="3"/>
      <c r="G1357" s="7"/>
      <c r="H1357" s="3"/>
    </row>
    <row r="1358">
      <c r="A1358" s="3"/>
      <c r="B1358" s="3"/>
      <c r="C1358" s="3"/>
      <c r="D1358" s="5"/>
      <c r="E1358" s="5"/>
      <c r="F1358" s="3"/>
      <c r="G1358" s="7"/>
      <c r="H1358" s="3"/>
    </row>
    <row r="1359">
      <c r="A1359" s="3"/>
      <c r="B1359" s="3"/>
      <c r="C1359" s="3"/>
      <c r="D1359" s="5"/>
      <c r="E1359" s="5"/>
      <c r="F1359" s="3"/>
      <c r="G1359" s="3"/>
      <c r="H1359" s="3"/>
    </row>
    <row r="1360">
      <c r="A1360" s="3"/>
      <c r="B1360" s="3"/>
      <c r="C1360" s="3"/>
      <c r="D1360" s="5"/>
      <c r="E1360" s="5"/>
      <c r="F1360" s="3"/>
      <c r="G1360" s="7"/>
      <c r="H1360" s="3"/>
    </row>
    <row r="1361">
      <c r="A1361" s="3"/>
      <c r="B1361" s="3"/>
      <c r="C1361" s="3"/>
      <c r="D1361" s="5"/>
      <c r="E1361" s="5"/>
      <c r="F1361" s="3"/>
      <c r="G1361" s="7"/>
      <c r="H1361" s="3"/>
    </row>
    <row r="1362">
      <c r="A1362" s="3"/>
      <c r="B1362" s="3"/>
      <c r="C1362" s="3"/>
      <c r="D1362" s="5"/>
      <c r="E1362" s="5"/>
      <c r="F1362" s="3"/>
      <c r="G1362" s="7"/>
      <c r="H1362" s="3"/>
    </row>
    <row r="1363">
      <c r="A1363" s="3"/>
      <c r="B1363" s="3"/>
      <c r="C1363" s="3"/>
      <c r="D1363" s="5"/>
      <c r="E1363" s="5"/>
      <c r="F1363" s="3"/>
      <c r="G1363" s="7"/>
      <c r="H1363" s="3"/>
    </row>
    <row r="1364">
      <c r="A1364" s="3"/>
      <c r="B1364" s="3"/>
      <c r="C1364" s="3"/>
      <c r="D1364" s="5"/>
      <c r="E1364" s="5"/>
      <c r="F1364" s="3"/>
      <c r="G1364" s="3"/>
      <c r="H1364" s="3"/>
    </row>
    <row r="1365">
      <c r="A1365" s="3"/>
      <c r="B1365" s="3"/>
      <c r="C1365" s="3"/>
      <c r="D1365" s="5"/>
      <c r="E1365" s="5"/>
      <c r="F1365" s="3"/>
      <c r="G1365" s="7"/>
      <c r="H1365" s="3"/>
    </row>
    <row r="1366">
      <c r="A1366" s="3"/>
      <c r="B1366" s="3"/>
      <c r="C1366" s="3"/>
      <c r="D1366" s="5"/>
      <c r="E1366" s="5"/>
      <c r="F1366" s="3"/>
      <c r="G1366" s="7"/>
      <c r="H1366" s="3"/>
    </row>
    <row r="1367">
      <c r="A1367" s="3"/>
      <c r="B1367" s="3"/>
      <c r="C1367" s="3"/>
      <c r="D1367" s="5"/>
      <c r="E1367" s="5"/>
      <c r="F1367" s="3"/>
      <c r="G1367" s="7"/>
      <c r="H1367" s="3"/>
    </row>
    <row r="1368">
      <c r="A1368" s="3"/>
      <c r="B1368" s="3"/>
      <c r="C1368" s="3"/>
      <c r="D1368" s="5"/>
      <c r="E1368" s="5"/>
      <c r="F1368" s="3"/>
      <c r="G1368" s="7"/>
      <c r="H1368" s="3"/>
    </row>
    <row r="1369">
      <c r="A1369" s="3"/>
      <c r="B1369" s="3"/>
      <c r="C1369" s="3"/>
      <c r="D1369" s="5"/>
      <c r="E1369" s="5"/>
      <c r="F1369" s="3"/>
      <c r="G1369" s="3"/>
      <c r="H1369" s="3"/>
    </row>
    <row r="1370">
      <c r="A1370" s="3"/>
      <c r="B1370" s="3"/>
      <c r="C1370" s="3"/>
      <c r="D1370" s="5"/>
      <c r="E1370" s="5"/>
      <c r="F1370" s="3"/>
      <c r="G1370" s="7"/>
      <c r="H1370" s="3"/>
    </row>
    <row r="1371">
      <c r="A1371" s="3"/>
      <c r="B1371" s="3"/>
      <c r="C1371" s="3"/>
      <c r="D1371" s="5"/>
      <c r="E1371" s="5"/>
      <c r="F1371" s="3"/>
      <c r="G1371" s="7"/>
      <c r="H1371" s="3"/>
    </row>
    <row r="1372">
      <c r="A1372" s="3"/>
      <c r="B1372" s="3"/>
      <c r="C1372" s="3"/>
      <c r="D1372" s="5"/>
      <c r="E1372" s="5"/>
      <c r="F1372" s="3"/>
      <c r="G1372" s="7"/>
      <c r="H1372" s="3"/>
    </row>
    <row r="1373">
      <c r="A1373" s="3"/>
      <c r="B1373" s="3"/>
      <c r="C1373" s="3"/>
      <c r="D1373" s="5"/>
      <c r="E1373" s="5"/>
      <c r="F1373" s="3"/>
      <c r="G1373" s="7"/>
      <c r="H1373" s="3"/>
    </row>
    <row r="1374">
      <c r="A1374" s="3"/>
      <c r="B1374" s="3"/>
      <c r="C1374" s="3"/>
      <c r="D1374" s="5"/>
      <c r="E1374" s="5"/>
      <c r="F1374" s="3"/>
      <c r="G1374" s="3"/>
      <c r="H1374" s="3"/>
    </row>
    <row r="1375">
      <c r="A1375" s="3"/>
      <c r="B1375" s="3"/>
      <c r="C1375" s="3"/>
      <c r="D1375" s="5"/>
      <c r="E1375" s="5"/>
      <c r="F1375" s="3"/>
      <c r="G1375" s="7"/>
      <c r="H1375" s="3"/>
    </row>
    <row r="1376">
      <c r="A1376" s="3"/>
      <c r="B1376" s="3"/>
      <c r="C1376" s="3"/>
      <c r="D1376" s="5"/>
      <c r="E1376" s="5"/>
      <c r="F1376" s="3"/>
      <c r="G1376" s="7"/>
      <c r="H1376" s="3"/>
    </row>
    <row r="1377">
      <c r="A1377" s="3"/>
      <c r="B1377" s="3"/>
      <c r="C1377" s="3"/>
      <c r="D1377" s="5"/>
      <c r="E1377" s="5"/>
      <c r="F1377" s="3"/>
      <c r="G1377" s="7"/>
      <c r="H1377" s="3"/>
    </row>
    <row r="1378">
      <c r="A1378" s="3"/>
      <c r="B1378" s="3"/>
      <c r="C1378" s="3"/>
      <c r="D1378" s="5"/>
      <c r="E1378" s="5"/>
      <c r="F1378" s="3"/>
      <c r="G1378" s="7"/>
      <c r="H1378" s="3"/>
    </row>
    <row r="1379">
      <c r="A1379" s="3"/>
      <c r="B1379" s="3"/>
      <c r="C1379" s="3"/>
      <c r="D1379" s="5"/>
      <c r="E1379" s="5"/>
      <c r="F1379" s="3"/>
      <c r="G1379" s="3"/>
      <c r="H1379" s="3"/>
    </row>
    <row r="1380">
      <c r="A1380" s="3"/>
      <c r="B1380" s="3"/>
      <c r="C1380" s="3"/>
      <c r="D1380" s="5"/>
      <c r="E1380" s="5"/>
      <c r="F1380" s="3"/>
      <c r="G1380" s="7"/>
      <c r="H1380" s="3"/>
    </row>
    <row r="1381">
      <c r="A1381" s="3"/>
      <c r="B1381" s="3"/>
      <c r="C1381" s="3"/>
      <c r="D1381" s="5"/>
      <c r="E1381" s="5"/>
      <c r="F1381" s="3"/>
      <c r="G1381" s="7"/>
      <c r="H1381" s="3"/>
    </row>
    <row r="1382">
      <c r="A1382" s="3"/>
      <c r="B1382" s="3"/>
      <c r="C1382" s="3"/>
      <c r="D1382" s="5"/>
      <c r="E1382" s="5"/>
      <c r="F1382" s="3"/>
      <c r="G1382" s="7"/>
      <c r="H1382" s="3"/>
    </row>
    <row r="1383">
      <c r="A1383" s="3"/>
      <c r="B1383" s="3"/>
      <c r="C1383" s="3"/>
      <c r="D1383" s="5"/>
      <c r="E1383" s="5"/>
      <c r="F1383" s="3"/>
      <c r="G1383" s="7"/>
      <c r="H1383" s="3"/>
    </row>
    <row r="1384">
      <c r="A1384" s="3"/>
      <c r="B1384" s="3"/>
      <c r="C1384" s="3"/>
      <c r="D1384" s="5"/>
      <c r="E1384" s="5"/>
      <c r="F1384" s="3"/>
      <c r="G1384" s="3"/>
      <c r="H1384" s="3"/>
    </row>
    <row r="1385">
      <c r="A1385" s="3"/>
      <c r="B1385" s="3"/>
      <c r="C1385" s="3"/>
      <c r="D1385" s="5"/>
      <c r="E1385" s="5"/>
      <c r="F1385" s="3"/>
      <c r="G1385" s="7"/>
      <c r="H1385" s="3"/>
    </row>
    <row r="1386">
      <c r="A1386" s="3"/>
      <c r="B1386" s="3"/>
      <c r="C1386" s="3"/>
      <c r="D1386" s="5"/>
      <c r="E1386" s="5"/>
      <c r="F1386" s="3"/>
      <c r="G1386" s="7"/>
      <c r="H1386" s="3"/>
    </row>
    <row r="1387">
      <c r="A1387" s="3"/>
      <c r="B1387" s="3"/>
      <c r="C1387" s="3"/>
      <c r="D1387" s="5"/>
      <c r="E1387" s="5"/>
      <c r="F1387" s="3"/>
      <c r="G1387" s="7"/>
      <c r="H1387" s="3"/>
    </row>
    <row r="1388">
      <c r="A1388" s="3"/>
      <c r="B1388" s="3"/>
      <c r="C1388" s="3"/>
      <c r="D1388" s="5"/>
      <c r="E1388" s="5"/>
      <c r="F1388" s="3"/>
      <c r="G1388" s="7"/>
      <c r="H1388" s="3"/>
    </row>
    <row r="1389">
      <c r="A1389" s="3"/>
      <c r="B1389" s="3"/>
      <c r="C1389" s="3"/>
      <c r="D1389" s="5"/>
      <c r="E1389" s="5"/>
      <c r="F1389" s="3"/>
      <c r="G1389" s="3"/>
      <c r="H1389" s="3"/>
    </row>
    <row r="1390">
      <c r="A1390" s="3"/>
      <c r="B1390" s="3"/>
      <c r="C1390" s="3"/>
      <c r="D1390" s="5"/>
      <c r="E1390" s="5"/>
      <c r="F1390" s="3"/>
      <c r="G1390" s="7"/>
      <c r="H1390" s="3"/>
    </row>
    <row r="1391">
      <c r="A1391" s="3"/>
      <c r="B1391" s="3"/>
      <c r="C1391" s="3"/>
      <c r="D1391" s="5"/>
      <c r="E1391" s="5"/>
      <c r="F1391" s="3"/>
      <c r="G1391" s="7"/>
      <c r="H1391" s="3"/>
    </row>
    <row r="1392">
      <c r="A1392" s="3"/>
      <c r="B1392" s="3"/>
      <c r="C1392" s="3"/>
      <c r="D1392" s="5"/>
      <c r="E1392" s="5"/>
      <c r="F1392" s="3"/>
      <c r="G1392" s="7"/>
      <c r="H1392" s="3"/>
    </row>
    <row r="1393">
      <c r="A1393" s="3"/>
      <c r="B1393" s="3"/>
      <c r="C1393" s="3"/>
      <c r="D1393" s="5"/>
      <c r="E1393" s="5"/>
      <c r="F1393" s="3"/>
      <c r="G1393" s="7"/>
      <c r="H1393" s="3"/>
    </row>
    <row r="1394">
      <c r="A1394" s="3"/>
      <c r="B1394" s="3"/>
      <c r="C1394" s="3"/>
      <c r="D1394" s="5"/>
      <c r="E1394" s="5"/>
      <c r="F1394" s="3"/>
      <c r="G1394" s="3"/>
      <c r="H1394" s="3"/>
    </row>
    <row r="1395">
      <c r="A1395" s="3"/>
      <c r="B1395" s="3"/>
      <c r="C1395" s="3"/>
      <c r="D1395" s="5"/>
      <c r="E1395" s="5"/>
      <c r="F1395" s="3"/>
      <c r="G1395" s="7"/>
      <c r="H1395" s="3"/>
    </row>
    <row r="1396">
      <c r="A1396" s="3"/>
      <c r="B1396" s="3"/>
      <c r="C1396" s="3"/>
      <c r="D1396" s="5"/>
      <c r="E1396" s="5"/>
      <c r="F1396" s="3"/>
      <c r="G1396" s="7"/>
      <c r="H1396" s="3"/>
    </row>
    <row r="1397">
      <c r="A1397" s="3"/>
      <c r="B1397" s="3"/>
      <c r="C1397" s="3"/>
      <c r="D1397" s="5"/>
      <c r="E1397" s="5"/>
      <c r="F1397" s="3"/>
      <c r="G1397" s="7"/>
      <c r="H1397" s="3"/>
    </row>
    <row r="1398">
      <c r="A1398" s="3"/>
      <c r="B1398" s="3"/>
      <c r="C1398" s="3"/>
      <c r="D1398" s="5"/>
      <c r="E1398" s="5"/>
      <c r="F1398" s="3"/>
      <c r="G1398" s="7"/>
      <c r="H1398" s="3"/>
    </row>
    <row r="1399">
      <c r="A1399" s="3"/>
      <c r="B1399" s="3"/>
      <c r="C1399" s="117"/>
      <c r="D1399" s="5"/>
      <c r="E1399" s="5"/>
      <c r="F1399" s="3"/>
      <c r="G1399" s="3"/>
      <c r="H1399" s="3"/>
    </row>
    <row r="1400">
      <c r="A1400" s="3"/>
      <c r="B1400" s="3"/>
      <c r="C1400" s="117"/>
      <c r="D1400" s="5"/>
      <c r="E1400" s="5"/>
      <c r="F1400" s="3"/>
      <c r="G1400" s="7"/>
      <c r="H1400" s="3"/>
    </row>
    <row r="1401">
      <c r="A1401" s="3"/>
      <c r="B1401" s="3"/>
      <c r="C1401" s="117"/>
      <c r="D1401" s="5"/>
      <c r="E1401" s="5"/>
      <c r="F1401" s="3"/>
      <c r="G1401" s="7"/>
      <c r="H1401" s="3"/>
    </row>
    <row r="1402">
      <c r="A1402" s="3"/>
      <c r="B1402" s="3"/>
      <c r="C1402" s="117"/>
      <c r="D1402" s="5"/>
      <c r="E1402" s="5"/>
      <c r="F1402" s="3"/>
      <c r="G1402" s="7"/>
      <c r="H1402" s="3"/>
    </row>
    <row r="1403">
      <c r="A1403" s="3"/>
      <c r="B1403" s="3"/>
      <c r="C1403" s="117"/>
      <c r="D1403" s="5"/>
      <c r="E1403" s="5"/>
      <c r="F1403" s="3"/>
      <c r="G1403" s="7"/>
      <c r="H1403" s="3"/>
    </row>
    <row r="1404">
      <c r="A1404" s="3"/>
      <c r="B1404" s="3"/>
      <c r="C1404" s="3"/>
      <c r="D1404" s="5"/>
      <c r="E1404" s="5"/>
      <c r="F1404" s="3"/>
      <c r="G1404" s="3"/>
      <c r="H1404" s="3"/>
    </row>
    <row r="1405">
      <c r="A1405" s="3"/>
      <c r="B1405" s="3"/>
      <c r="C1405" s="3"/>
      <c r="D1405" s="5"/>
      <c r="E1405" s="5"/>
      <c r="F1405" s="3"/>
      <c r="G1405" s="7"/>
      <c r="H1405" s="3"/>
    </row>
    <row r="1406">
      <c r="A1406" s="3"/>
      <c r="B1406" s="3"/>
      <c r="C1406" s="3"/>
      <c r="D1406" s="5"/>
      <c r="E1406" s="5"/>
      <c r="F1406" s="3"/>
      <c r="G1406" s="7"/>
      <c r="H1406" s="3"/>
    </row>
    <row r="1407">
      <c r="A1407" s="3"/>
      <c r="B1407" s="3"/>
      <c r="C1407" s="3"/>
      <c r="D1407" s="5"/>
      <c r="E1407" s="5"/>
      <c r="F1407" s="3"/>
      <c r="G1407" s="7"/>
      <c r="H1407" s="3"/>
    </row>
    <row r="1408">
      <c r="A1408" s="3"/>
      <c r="B1408" s="3"/>
      <c r="C1408" s="3"/>
      <c r="D1408" s="5"/>
      <c r="E1408" s="5"/>
      <c r="F1408" s="3"/>
      <c r="G1408" s="7"/>
      <c r="H1408" s="3"/>
    </row>
    <row r="1409">
      <c r="A1409" s="3"/>
      <c r="B1409" s="3"/>
      <c r="C1409" s="3"/>
      <c r="D1409" s="5"/>
      <c r="E1409" s="5"/>
      <c r="F1409" s="3"/>
      <c r="G1409" s="3"/>
      <c r="H1409" s="3"/>
    </row>
    <row r="1410">
      <c r="A1410" s="3"/>
      <c r="B1410" s="3"/>
      <c r="C1410" s="3"/>
      <c r="D1410" s="5"/>
      <c r="E1410" s="5"/>
      <c r="F1410" s="3"/>
      <c r="G1410" s="7"/>
      <c r="H1410" s="3"/>
    </row>
    <row r="1411">
      <c r="A1411" s="3"/>
      <c r="B1411" s="3"/>
      <c r="C1411" s="3"/>
      <c r="D1411" s="5"/>
      <c r="E1411" s="5"/>
      <c r="F1411" s="3"/>
      <c r="G1411" s="7"/>
      <c r="H1411" s="3"/>
    </row>
    <row r="1412">
      <c r="A1412" s="3"/>
      <c r="B1412" s="3"/>
      <c r="C1412" s="3"/>
      <c r="D1412" s="5"/>
      <c r="E1412" s="5"/>
      <c r="F1412" s="3"/>
      <c r="G1412" s="7"/>
      <c r="H1412" s="3"/>
    </row>
    <row r="1413">
      <c r="A1413" s="3"/>
      <c r="B1413" s="3"/>
      <c r="C1413" s="3"/>
      <c r="D1413" s="5"/>
      <c r="E1413" s="5"/>
      <c r="F1413" s="3"/>
      <c r="G1413" s="7"/>
      <c r="H1413" s="3"/>
    </row>
    <row r="1414">
      <c r="A1414" s="3"/>
      <c r="B1414" s="3"/>
      <c r="C1414" s="3"/>
      <c r="D1414" s="5"/>
      <c r="E1414" s="5"/>
      <c r="F1414" s="3"/>
      <c r="G1414" s="3"/>
      <c r="H1414" s="3"/>
    </row>
    <row r="1415">
      <c r="A1415" s="3"/>
      <c r="B1415" s="3"/>
      <c r="C1415" s="3"/>
      <c r="D1415" s="5"/>
      <c r="E1415" s="5"/>
      <c r="F1415" s="3"/>
      <c r="G1415" s="7"/>
      <c r="H1415" s="3"/>
    </row>
    <row r="1416">
      <c r="A1416" s="3"/>
      <c r="B1416" s="3"/>
      <c r="C1416" s="3"/>
      <c r="D1416" s="5"/>
      <c r="E1416" s="5"/>
      <c r="F1416" s="3"/>
      <c r="G1416" s="7"/>
      <c r="H1416" s="3"/>
    </row>
    <row r="1417">
      <c r="A1417" s="3"/>
      <c r="B1417" s="3"/>
      <c r="C1417" s="3"/>
      <c r="D1417" s="5"/>
      <c r="E1417" s="5"/>
      <c r="F1417" s="3"/>
      <c r="G1417" s="7"/>
      <c r="H1417" s="3"/>
    </row>
    <row r="1418">
      <c r="A1418" s="3"/>
      <c r="B1418" s="3"/>
      <c r="C1418" s="3"/>
      <c r="D1418" s="5"/>
      <c r="E1418" s="5"/>
      <c r="F1418" s="3"/>
      <c r="G1418" s="7"/>
      <c r="H1418" s="3"/>
    </row>
    <row r="1419">
      <c r="A1419" s="3"/>
      <c r="B1419" s="3"/>
      <c r="C1419" s="3"/>
      <c r="D1419" s="5"/>
      <c r="E1419" s="5"/>
      <c r="F1419" s="3"/>
      <c r="G1419" s="3"/>
      <c r="H1419" s="3"/>
    </row>
    <row r="1420">
      <c r="A1420" s="3"/>
      <c r="B1420" s="3"/>
      <c r="C1420" s="3"/>
      <c r="D1420" s="5"/>
      <c r="E1420" s="5"/>
      <c r="F1420" s="3"/>
      <c r="G1420" s="7"/>
      <c r="H1420" s="3"/>
    </row>
    <row r="1421">
      <c r="A1421" s="3"/>
      <c r="B1421" s="3"/>
      <c r="C1421" s="3"/>
      <c r="D1421" s="5"/>
      <c r="E1421" s="5"/>
      <c r="F1421" s="3"/>
      <c r="G1421" s="7"/>
      <c r="H1421" s="3"/>
    </row>
    <row r="1422">
      <c r="A1422" s="3"/>
      <c r="B1422" s="3"/>
      <c r="C1422" s="3"/>
      <c r="D1422" s="5"/>
      <c r="E1422" s="5"/>
      <c r="F1422" s="3"/>
      <c r="G1422" s="7"/>
      <c r="H1422" s="3"/>
    </row>
    <row r="1423">
      <c r="A1423" s="3"/>
      <c r="B1423" s="3"/>
      <c r="C1423" s="3"/>
      <c r="D1423" s="5"/>
      <c r="E1423" s="5"/>
      <c r="F1423" s="3"/>
      <c r="G1423" s="7"/>
      <c r="H1423" s="3"/>
    </row>
    <row r="1424">
      <c r="A1424" s="3"/>
      <c r="B1424" s="3"/>
      <c r="C1424" s="3"/>
      <c r="D1424" s="5"/>
      <c r="E1424" s="5"/>
      <c r="F1424" s="3"/>
      <c r="G1424" s="3"/>
      <c r="H1424" s="3"/>
    </row>
    <row r="1425">
      <c r="A1425" s="3"/>
      <c r="B1425" s="3"/>
      <c r="C1425" s="3"/>
      <c r="D1425" s="5"/>
      <c r="E1425" s="5"/>
      <c r="F1425" s="3"/>
      <c r="G1425" s="7"/>
      <c r="H1425" s="3"/>
    </row>
    <row r="1426">
      <c r="A1426" s="3"/>
      <c r="B1426" s="3"/>
      <c r="C1426" s="3"/>
      <c r="D1426" s="5"/>
      <c r="E1426" s="5"/>
      <c r="F1426" s="3"/>
      <c r="G1426" s="7"/>
      <c r="H1426" s="3"/>
    </row>
    <row r="1427">
      <c r="A1427" s="3"/>
      <c r="B1427" s="3"/>
      <c r="C1427" s="3"/>
      <c r="D1427" s="5"/>
      <c r="E1427" s="5"/>
      <c r="F1427" s="3"/>
      <c r="G1427" s="7"/>
      <c r="H1427" s="3"/>
    </row>
    <row r="1428">
      <c r="A1428" s="3"/>
      <c r="B1428" s="3"/>
      <c r="C1428" s="3"/>
      <c r="D1428" s="5"/>
      <c r="E1428" s="5"/>
      <c r="F1428" s="3"/>
      <c r="G1428" s="7"/>
      <c r="H1428" s="3"/>
    </row>
    <row r="1429">
      <c r="A1429" s="3"/>
      <c r="B1429" s="3"/>
      <c r="C1429" s="3"/>
      <c r="D1429" s="5"/>
      <c r="E1429" s="5"/>
      <c r="F1429" s="3"/>
      <c r="G1429" s="3"/>
      <c r="H1429" s="3"/>
    </row>
    <row r="1430">
      <c r="A1430" s="3"/>
      <c r="B1430" s="3"/>
      <c r="C1430" s="3"/>
      <c r="D1430" s="5"/>
      <c r="E1430" s="5"/>
      <c r="F1430" s="3"/>
      <c r="G1430" s="7"/>
      <c r="H1430" s="3"/>
    </row>
    <row r="1431">
      <c r="A1431" s="3"/>
      <c r="B1431" s="3"/>
      <c r="C1431" s="3"/>
      <c r="D1431" s="5"/>
      <c r="E1431" s="5"/>
      <c r="F1431" s="3"/>
      <c r="G1431" s="7"/>
      <c r="H1431" s="3"/>
    </row>
    <row r="1432">
      <c r="A1432" s="3"/>
      <c r="B1432" s="3"/>
      <c r="C1432" s="3"/>
      <c r="D1432" s="5"/>
      <c r="E1432" s="5"/>
      <c r="F1432" s="3"/>
      <c r="G1432" s="7"/>
      <c r="H1432" s="3"/>
    </row>
    <row r="1433">
      <c r="A1433" s="3"/>
      <c r="B1433" s="3"/>
      <c r="C1433" s="3"/>
      <c r="D1433" s="5"/>
      <c r="E1433" s="5"/>
      <c r="F1433" s="3"/>
      <c r="G1433" s="7"/>
      <c r="H1433" s="3"/>
    </row>
    <row r="1434">
      <c r="A1434" s="3"/>
      <c r="B1434" s="3"/>
      <c r="C1434" s="3"/>
      <c r="D1434" s="5"/>
      <c r="E1434" s="5"/>
      <c r="F1434" s="3"/>
      <c r="G1434" s="3"/>
      <c r="H1434" s="3"/>
    </row>
    <row r="1435">
      <c r="A1435" s="3"/>
      <c r="B1435" s="3"/>
      <c r="C1435" s="3"/>
      <c r="D1435" s="5"/>
      <c r="E1435" s="5"/>
      <c r="F1435" s="3"/>
      <c r="G1435" s="7"/>
      <c r="H1435" s="3"/>
    </row>
    <row r="1436">
      <c r="A1436" s="3"/>
      <c r="B1436" s="3"/>
      <c r="C1436" s="3"/>
      <c r="D1436" s="5"/>
      <c r="E1436" s="5"/>
      <c r="F1436" s="3"/>
      <c r="G1436" s="7"/>
      <c r="H1436" s="3"/>
    </row>
    <row r="1437">
      <c r="A1437" s="3"/>
      <c r="B1437" s="3"/>
      <c r="C1437" s="3"/>
      <c r="D1437" s="5"/>
      <c r="E1437" s="5"/>
      <c r="F1437" s="3"/>
      <c r="G1437" s="7"/>
      <c r="H1437" s="3"/>
    </row>
    <row r="1438">
      <c r="A1438" s="3"/>
      <c r="B1438" s="3"/>
      <c r="C1438" s="3"/>
      <c r="D1438" s="5"/>
      <c r="E1438" s="5"/>
      <c r="F1438" s="3"/>
      <c r="G1438" s="7"/>
      <c r="H1438" s="3"/>
    </row>
    <row r="1439">
      <c r="A1439" s="3"/>
      <c r="B1439" s="3"/>
      <c r="C1439" s="3"/>
      <c r="D1439" s="5"/>
      <c r="E1439" s="5"/>
      <c r="F1439" s="3"/>
      <c r="G1439" s="3"/>
      <c r="H1439" s="3"/>
    </row>
    <row r="1440">
      <c r="A1440" s="3"/>
      <c r="B1440" s="3"/>
      <c r="C1440" s="3"/>
      <c r="D1440" s="5"/>
      <c r="E1440" s="5"/>
      <c r="F1440" s="3"/>
      <c r="G1440" s="7"/>
      <c r="H1440" s="3"/>
    </row>
    <row r="1441">
      <c r="A1441" s="3"/>
      <c r="B1441" s="3"/>
      <c r="C1441" s="3"/>
      <c r="D1441" s="5"/>
      <c r="E1441" s="5"/>
      <c r="F1441" s="3"/>
      <c r="G1441" s="7"/>
      <c r="H1441" s="3"/>
    </row>
    <row r="1442">
      <c r="A1442" s="3"/>
      <c r="B1442" s="3"/>
      <c r="C1442" s="3"/>
      <c r="D1442" s="5"/>
      <c r="E1442" s="5"/>
      <c r="F1442" s="3"/>
      <c r="G1442" s="7"/>
      <c r="H1442" s="3"/>
    </row>
    <row r="1443">
      <c r="A1443" s="3"/>
      <c r="B1443" s="3"/>
      <c r="C1443" s="3"/>
      <c r="D1443" s="5"/>
      <c r="E1443" s="5"/>
      <c r="F1443" s="3"/>
      <c r="G1443" s="7"/>
      <c r="H1443" s="3"/>
    </row>
    <row r="1444">
      <c r="A1444" s="3"/>
      <c r="B1444" s="3"/>
      <c r="C1444" s="3"/>
      <c r="D1444" s="5"/>
      <c r="E1444" s="5"/>
      <c r="F1444" s="3"/>
      <c r="G1444" s="3"/>
      <c r="H1444" s="3"/>
    </row>
    <row r="1445">
      <c r="A1445" s="3"/>
      <c r="B1445" s="3"/>
      <c r="C1445" s="3"/>
      <c r="D1445" s="5"/>
      <c r="E1445" s="5"/>
      <c r="F1445" s="3"/>
      <c r="G1445" s="7"/>
      <c r="H1445" s="3"/>
    </row>
    <row r="1446">
      <c r="A1446" s="3"/>
      <c r="B1446" s="3"/>
      <c r="C1446" s="3"/>
      <c r="D1446" s="5"/>
      <c r="E1446" s="5"/>
      <c r="F1446" s="3"/>
      <c r="G1446" s="7"/>
      <c r="H1446" s="3"/>
    </row>
    <row r="1447">
      <c r="A1447" s="3"/>
      <c r="B1447" s="3"/>
      <c r="C1447" s="3"/>
      <c r="D1447" s="5"/>
      <c r="E1447" s="5"/>
      <c r="F1447" s="3"/>
      <c r="G1447" s="7"/>
      <c r="H1447" s="3"/>
    </row>
    <row r="1448">
      <c r="A1448" s="3"/>
      <c r="B1448" s="3"/>
      <c r="C1448" s="3"/>
      <c r="D1448" s="5"/>
      <c r="E1448" s="5"/>
      <c r="F1448" s="3"/>
      <c r="G1448" s="7"/>
      <c r="H1448" s="3"/>
    </row>
    <row r="1449">
      <c r="A1449" s="3"/>
      <c r="B1449" s="3"/>
      <c r="C1449" s="3"/>
      <c r="D1449" s="5"/>
      <c r="E1449" s="5"/>
      <c r="F1449" s="3"/>
      <c r="G1449" s="3"/>
      <c r="H1449" s="3"/>
    </row>
    <row r="1450">
      <c r="A1450" s="3"/>
      <c r="B1450" s="3"/>
      <c r="C1450" s="3"/>
      <c r="D1450" s="5"/>
      <c r="E1450" s="5"/>
      <c r="F1450" s="3"/>
      <c r="G1450" s="7"/>
      <c r="H1450" s="3"/>
    </row>
    <row r="1451">
      <c r="A1451" s="3"/>
      <c r="B1451" s="3"/>
      <c r="C1451" s="3"/>
      <c r="D1451" s="5"/>
      <c r="E1451" s="5"/>
      <c r="F1451" s="3"/>
      <c r="G1451" s="7"/>
      <c r="H1451" s="3"/>
    </row>
    <row r="1452">
      <c r="A1452" s="3"/>
      <c r="B1452" s="3"/>
      <c r="C1452" s="3"/>
      <c r="D1452" s="5"/>
      <c r="E1452" s="5"/>
      <c r="F1452" s="3"/>
      <c r="G1452" s="7"/>
      <c r="H1452" s="3"/>
    </row>
    <row r="1453">
      <c r="A1453" s="3"/>
      <c r="B1453" s="3"/>
      <c r="C1453" s="3"/>
      <c r="D1453" s="5"/>
      <c r="E1453" s="5"/>
      <c r="F1453" s="3"/>
      <c r="G1453" s="7"/>
      <c r="H1453" s="3"/>
    </row>
    <row r="1454">
      <c r="A1454" s="3"/>
      <c r="B1454" s="3"/>
      <c r="C1454" s="3"/>
      <c r="D1454" s="5"/>
      <c r="E1454" s="5"/>
      <c r="F1454" s="3"/>
      <c r="G1454" s="3"/>
      <c r="H1454" s="3"/>
    </row>
    <row r="1455">
      <c r="A1455" s="3"/>
      <c r="B1455" s="3"/>
      <c r="C1455" s="3"/>
      <c r="D1455" s="5"/>
      <c r="E1455" s="5"/>
      <c r="F1455" s="3"/>
      <c r="G1455" s="7"/>
      <c r="H1455" s="3"/>
    </row>
    <row r="1456">
      <c r="A1456" s="3"/>
      <c r="B1456" s="3"/>
      <c r="C1456" s="3"/>
      <c r="D1456" s="5"/>
      <c r="E1456" s="5"/>
      <c r="F1456" s="3"/>
      <c r="G1456" s="7"/>
      <c r="H1456" s="3"/>
    </row>
    <row r="1457">
      <c r="A1457" s="3"/>
      <c r="B1457" s="3"/>
      <c r="C1457" s="3"/>
      <c r="D1457" s="5"/>
      <c r="E1457" s="5"/>
      <c r="F1457" s="3"/>
      <c r="G1457" s="7"/>
      <c r="H1457" s="3"/>
    </row>
    <row r="1458">
      <c r="A1458" s="3"/>
      <c r="B1458" s="3"/>
      <c r="C1458" s="3"/>
      <c r="D1458" s="5"/>
      <c r="E1458" s="5"/>
      <c r="F1458" s="3"/>
      <c r="G1458" s="7"/>
      <c r="H1458" s="3"/>
    </row>
    <row r="1459">
      <c r="A1459" s="3"/>
      <c r="B1459" s="3"/>
      <c r="C1459" s="3"/>
      <c r="D1459" s="5"/>
      <c r="E1459" s="5"/>
      <c r="F1459" s="3"/>
      <c r="G1459" s="3"/>
      <c r="H1459" s="3"/>
    </row>
    <row r="1460">
      <c r="A1460" s="3"/>
      <c r="B1460" s="3"/>
      <c r="C1460" s="3"/>
      <c r="D1460" s="5"/>
      <c r="E1460" s="5"/>
      <c r="F1460" s="3"/>
      <c r="G1460" s="7"/>
      <c r="H1460" s="3"/>
    </row>
    <row r="1461">
      <c r="A1461" s="3"/>
      <c r="B1461" s="3"/>
      <c r="C1461" s="3"/>
      <c r="D1461" s="5"/>
      <c r="E1461" s="5"/>
      <c r="F1461" s="3"/>
      <c r="G1461" s="7"/>
      <c r="H1461" s="3"/>
    </row>
    <row r="1462">
      <c r="A1462" s="3"/>
      <c r="B1462" s="3"/>
      <c r="C1462" s="3"/>
      <c r="D1462" s="5"/>
      <c r="E1462" s="5"/>
      <c r="F1462" s="3"/>
      <c r="G1462" s="7"/>
      <c r="H1462" s="3"/>
    </row>
    <row r="1463">
      <c r="A1463" s="3"/>
      <c r="B1463" s="3"/>
      <c r="C1463" s="3"/>
      <c r="D1463" s="5"/>
      <c r="E1463" s="5"/>
      <c r="F1463" s="3"/>
      <c r="G1463" s="7"/>
      <c r="H1463" s="3"/>
    </row>
    <row r="1464">
      <c r="A1464" s="3"/>
      <c r="B1464" s="3"/>
      <c r="C1464" s="3"/>
      <c r="D1464" s="5"/>
      <c r="E1464" s="5"/>
      <c r="F1464" s="3"/>
      <c r="G1464" s="3"/>
      <c r="H1464" s="3"/>
    </row>
    <row r="1465">
      <c r="A1465" s="3"/>
      <c r="B1465" s="3"/>
      <c r="C1465" s="3"/>
      <c r="D1465" s="5"/>
      <c r="E1465" s="5"/>
      <c r="F1465" s="3"/>
      <c r="G1465" s="7"/>
      <c r="H1465" s="3"/>
    </row>
    <row r="1466">
      <c r="A1466" s="3"/>
      <c r="B1466" s="3"/>
      <c r="C1466" s="3"/>
      <c r="D1466" s="5"/>
      <c r="E1466" s="5"/>
      <c r="F1466" s="3"/>
      <c r="G1466" s="7"/>
      <c r="H1466" s="3"/>
    </row>
    <row r="1467">
      <c r="A1467" s="3"/>
      <c r="B1467" s="3"/>
      <c r="C1467" s="3"/>
      <c r="D1467" s="5"/>
      <c r="E1467" s="5"/>
      <c r="F1467" s="3"/>
      <c r="G1467" s="7"/>
      <c r="H1467" s="3"/>
    </row>
    <row r="1468">
      <c r="A1468" s="3"/>
      <c r="B1468" s="3"/>
      <c r="C1468" s="3"/>
      <c r="D1468" s="5"/>
      <c r="E1468" s="5"/>
      <c r="F1468" s="3"/>
      <c r="G1468" s="7"/>
      <c r="H1468" s="3"/>
    </row>
    <row r="1469">
      <c r="A1469" s="3"/>
      <c r="B1469" s="3"/>
      <c r="C1469" s="3"/>
      <c r="D1469" s="5"/>
      <c r="E1469" s="5"/>
      <c r="F1469" s="3"/>
      <c r="G1469" s="3"/>
      <c r="H1469" s="3"/>
    </row>
    <row r="1470">
      <c r="A1470" s="3"/>
      <c r="B1470" s="3"/>
      <c r="C1470" s="3"/>
      <c r="D1470" s="5"/>
      <c r="E1470" s="5"/>
      <c r="F1470" s="3"/>
      <c r="G1470" s="7"/>
      <c r="H1470" s="3"/>
    </row>
    <row r="1471">
      <c r="A1471" s="3"/>
      <c r="B1471" s="3"/>
      <c r="C1471" s="3"/>
      <c r="D1471" s="5"/>
      <c r="E1471" s="5"/>
      <c r="F1471" s="3"/>
      <c r="G1471" s="7"/>
      <c r="H1471" s="3"/>
    </row>
    <row r="1472">
      <c r="A1472" s="3"/>
      <c r="B1472" s="3"/>
      <c r="C1472" s="3"/>
      <c r="D1472" s="5"/>
      <c r="E1472" s="5"/>
      <c r="F1472" s="3"/>
      <c r="G1472" s="7"/>
      <c r="H1472" s="3"/>
    </row>
    <row r="1473">
      <c r="A1473" s="3"/>
      <c r="B1473" s="3"/>
      <c r="C1473" s="3"/>
      <c r="D1473" s="5"/>
      <c r="E1473" s="5"/>
      <c r="F1473" s="3"/>
      <c r="G1473" s="7"/>
      <c r="H1473" s="3"/>
    </row>
    <row r="1474">
      <c r="A1474" s="3"/>
      <c r="B1474" s="3"/>
      <c r="C1474" s="3"/>
      <c r="D1474" s="5"/>
      <c r="E1474" s="5"/>
      <c r="F1474" s="3"/>
      <c r="G1474" s="3"/>
      <c r="H1474" s="3"/>
    </row>
    <row r="1475">
      <c r="A1475" s="3"/>
      <c r="B1475" s="3"/>
      <c r="C1475" s="3"/>
      <c r="D1475" s="5"/>
      <c r="E1475" s="5"/>
      <c r="F1475" s="3"/>
      <c r="G1475" s="7"/>
      <c r="H1475" s="3"/>
    </row>
    <row r="1476">
      <c r="A1476" s="3"/>
      <c r="B1476" s="3"/>
      <c r="C1476" s="3"/>
      <c r="D1476" s="5"/>
      <c r="E1476" s="5"/>
      <c r="F1476" s="3"/>
      <c r="G1476" s="7"/>
      <c r="H1476" s="3"/>
    </row>
    <row r="1477">
      <c r="A1477" s="3"/>
      <c r="B1477" s="3"/>
      <c r="C1477" s="3"/>
      <c r="D1477" s="5"/>
      <c r="E1477" s="5"/>
      <c r="F1477" s="3"/>
      <c r="G1477" s="7"/>
      <c r="H1477" s="3"/>
    </row>
    <row r="1478">
      <c r="A1478" s="3"/>
      <c r="B1478" s="3"/>
      <c r="C1478" s="3"/>
      <c r="D1478" s="5"/>
      <c r="E1478" s="5"/>
      <c r="F1478" s="3"/>
      <c r="G1478" s="7"/>
      <c r="H1478" s="3"/>
    </row>
    <row r="1479">
      <c r="A1479" s="3"/>
      <c r="B1479" s="3"/>
      <c r="C1479" s="3"/>
      <c r="D1479" s="5"/>
      <c r="E1479" s="5"/>
      <c r="F1479" s="3"/>
      <c r="G1479" s="3"/>
      <c r="H1479" s="3"/>
    </row>
    <row r="1480">
      <c r="A1480" s="3"/>
      <c r="B1480" s="3"/>
      <c r="C1480" s="3"/>
      <c r="D1480" s="5"/>
      <c r="E1480" s="5"/>
      <c r="F1480" s="3"/>
      <c r="G1480" s="7"/>
      <c r="H1480" s="3"/>
    </row>
    <row r="1481">
      <c r="A1481" s="3"/>
      <c r="B1481" s="3"/>
      <c r="C1481" s="3"/>
      <c r="D1481" s="5"/>
      <c r="E1481" s="5"/>
      <c r="F1481" s="3"/>
      <c r="G1481" s="7"/>
      <c r="H1481" s="3"/>
    </row>
    <row r="1482">
      <c r="A1482" s="3"/>
      <c r="B1482" s="3"/>
      <c r="C1482" s="3"/>
      <c r="D1482" s="5"/>
      <c r="E1482" s="5"/>
      <c r="F1482" s="3"/>
      <c r="G1482" s="7"/>
      <c r="H1482" s="3"/>
    </row>
    <row r="1483">
      <c r="A1483" s="3"/>
      <c r="B1483" s="3"/>
      <c r="C1483" s="3"/>
      <c r="D1483" s="5"/>
      <c r="E1483" s="5"/>
      <c r="F1483" s="3"/>
      <c r="G1483" s="7"/>
      <c r="H1483" s="3"/>
    </row>
    <row r="1484">
      <c r="A1484" s="3"/>
      <c r="B1484" s="3"/>
      <c r="C1484" s="3"/>
      <c r="D1484" s="5"/>
      <c r="E1484" s="5"/>
      <c r="F1484" s="3"/>
      <c r="G1484" s="3"/>
      <c r="H1484" s="3"/>
    </row>
    <row r="1485">
      <c r="A1485" s="3"/>
      <c r="B1485" s="3"/>
      <c r="C1485" s="3"/>
      <c r="D1485" s="5"/>
      <c r="E1485" s="5"/>
      <c r="F1485" s="3"/>
      <c r="G1485" s="7"/>
      <c r="H1485" s="3"/>
    </row>
    <row r="1486">
      <c r="A1486" s="3"/>
      <c r="B1486" s="3"/>
      <c r="C1486" s="3"/>
      <c r="D1486" s="5"/>
      <c r="E1486" s="5"/>
      <c r="F1486" s="3"/>
      <c r="G1486" s="7"/>
      <c r="H1486" s="3"/>
    </row>
    <row r="1487">
      <c r="A1487" s="3"/>
      <c r="B1487" s="3"/>
      <c r="C1487" s="3"/>
      <c r="D1487" s="5"/>
      <c r="E1487" s="5"/>
      <c r="F1487" s="3"/>
      <c r="G1487" s="7"/>
      <c r="H1487" s="3"/>
    </row>
    <row r="1488">
      <c r="A1488" s="3"/>
      <c r="B1488" s="3"/>
      <c r="C1488" s="3"/>
      <c r="D1488" s="5"/>
      <c r="E1488" s="5"/>
      <c r="F1488" s="3"/>
      <c r="G1488" s="7"/>
      <c r="H1488" s="3"/>
    </row>
    <row r="1489">
      <c r="A1489" s="3"/>
      <c r="B1489" s="3"/>
      <c r="C1489" s="3"/>
      <c r="D1489" s="5"/>
      <c r="E1489" s="5"/>
      <c r="F1489" s="3"/>
      <c r="G1489" s="3"/>
      <c r="H1489" s="3"/>
    </row>
    <row r="1490">
      <c r="A1490" s="3"/>
      <c r="B1490" s="3"/>
      <c r="C1490" s="3"/>
      <c r="D1490" s="5"/>
      <c r="E1490" s="5"/>
      <c r="F1490" s="3"/>
      <c r="G1490" s="7"/>
      <c r="H1490" s="3"/>
    </row>
    <row r="1491">
      <c r="A1491" s="3"/>
      <c r="B1491" s="3"/>
      <c r="C1491" s="3"/>
      <c r="D1491" s="5"/>
      <c r="E1491" s="5"/>
      <c r="F1491" s="3"/>
      <c r="G1491" s="7"/>
      <c r="H1491" s="3"/>
    </row>
    <row r="1492">
      <c r="A1492" s="3"/>
      <c r="B1492" s="3"/>
      <c r="C1492" s="3"/>
      <c r="D1492" s="5"/>
      <c r="E1492" s="5"/>
      <c r="F1492" s="3"/>
      <c r="G1492" s="7"/>
      <c r="H1492" s="3"/>
    </row>
    <row r="1493">
      <c r="A1493" s="3"/>
      <c r="B1493" s="3"/>
      <c r="C1493" s="3"/>
      <c r="D1493" s="5"/>
      <c r="E1493" s="5"/>
      <c r="F1493" s="3"/>
      <c r="G1493" s="7"/>
      <c r="H1493" s="3"/>
    </row>
    <row r="1494">
      <c r="A1494" s="3"/>
      <c r="B1494" s="3"/>
      <c r="C1494" s="3"/>
      <c r="D1494" s="5"/>
      <c r="E1494" s="5"/>
      <c r="F1494" s="3"/>
      <c r="G1494" s="3"/>
      <c r="H1494" s="3"/>
    </row>
    <row r="1495">
      <c r="A1495" s="3"/>
      <c r="B1495" s="3"/>
      <c r="C1495" s="3"/>
      <c r="D1495" s="5"/>
      <c r="E1495" s="5"/>
      <c r="F1495" s="3"/>
      <c r="G1495" s="7"/>
      <c r="H1495" s="3"/>
    </row>
    <row r="1496">
      <c r="A1496" s="3"/>
      <c r="B1496" s="3"/>
      <c r="C1496" s="3"/>
      <c r="D1496" s="5"/>
      <c r="E1496" s="5"/>
      <c r="F1496" s="3"/>
      <c r="G1496" s="7"/>
      <c r="H1496" s="3"/>
    </row>
    <row r="1497">
      <c r="A1497" s="3"/>
      <c r="B1497" s="3"/>
      <c r="C1497" s="3"/>
      <c r="D1497" s="5"/>
      <c r="E1497" s="5"/>
      <c r="F1497" s="3"/>
      <c r="G1497" s="7"/>
      <c r="H1497" s="3"/>
    </row>
    <row r="1498">
      <c r="A1498" s="3"/>
      <c r="B1498" s="3"/>
      <c r="C1498" s="3"/>
      <c r="D1498" s="5"/>
      <c r="E1498" s="5"/>
      <c r="F1498" s="3"/>
      <c r="G1498" s="7"/>
      <c r="H1498" s="3"/>
    </row>
    <row r="1499">
      <c r="A1499" s="3"/>
      <c r="B1499" s="3"/>
      <c r="C1499" s="3"/>
      <c r="D1499" s="5"/>
      <c r="E1499" s="5"/>
      <c r="F1499" s="3"/>
      <c r="G1499" s="3"/>
      <c r="H1499" s="3"/>
    </row>
    <row r="1500">
      <c r="A1500" s="3"/>
      <c r="B1500" s="3"/>
      <c r="C1500" s="3"/>
      <c r="D1500" s="5"/>
      <c r="E1500" s="5"/>
      <c r="F1500" s="3"/>
      <c r="G1500" s="7"/>
      <c r="H1500" s="3"/>
    </row>
    <row r="1501">
      <c r="A1501" s="3"/>
      <c r="B1501" s="3"/>
      <c r="C1501" s="3"/>
      <c r="D1501" s="5"/>
      <c r="E1501" s="5"/>
      <c r="F1501" s="3"/>
      <c r="G1501" s="7"/>
      <c r="H1501" s="3"/>
    </row>
    <row r="1502">
      <c r="A1502" s="3"/>
      <c r="B1502" s="3"/>
      <c r="C1502" s="3"/>
      <c r="D1502" s="5"/>
      <c r="E1502" s="5"/>
      <c r="F1502" s="3"/>
      <c r="G1502" s="7"/>
      <c r="H1502" s="3"/>
    </row>
    <row r="1503">
      <c r="A1503" s="3"/>
      <c r="B1503" s="3"/>
      <c r="C1503" s="3"/>
      <c r="D1503" s="5"/>
      <c r="E1503" s="5"/>
      <c r="F1503" s="3"/>
      <c r="G1503" s="7"/>
      <c r="H1503" s="3"/>
    </row>
    <row r="1504">
      <c r="A1504" s="3"/>
      <c r="B1504" s="3"/>
      <c r="C1504" s="3"/>
      <c r="D1504" s="5"/>
      <c r="E1504" s="5"/>
      <c r="F1504" s="3"/>
      <c r="G1504" s="3"/>
      <c r="H1504" s="3"/>
    </row>
    <row r="1505">
      <c r="A1505" s="3"/>
      <c r="B1505" s="3"/>
      <c r="C1505" s="3"/>
      <c r="D1505" s="5"/>
      <c r="E1505" s="5"/>
      <c r="F1505" s="3"/>
      <c r="G1505" s="7"/>
      <c r="H1505" s="3"/>
    </row>
    <row r="1506">
      <c r="A1506" s="3"/>
      <c r="B1506" s="3"/>
      <c r="C1506" s="3"/>
      <c r="D1506" s="5"/>
      <c r="E1506" s="5"/>
      <c r="F1506" s="3"/>
      <c r="G1506" s="7"/>
      <c r="H1506" s="3"/>
    </row>
    <row r="1507">
      <c r="A1507" s="3"/>
      <c r="B1507" s="3"/>
      <c r="C1507" s="3"/>
      <c r="D1507" s="5"/>
      <c r="E1507" s="5"/>
      <c r="F1507" s="3"/>
      <c r="G1507" s="7"/>
      <c r="H1507" s="3"/>
    </row>
    <row r="1508">
      <c r="A1508" s="3"/>
      <c r="B1508" s="3"/>
      <c r="C1508" s="3"/>
      <c r="D1508" s="5"/>
      <c r="E1508" s="5"/>
      <c r="F1508" s="3"/>
      <c r="G1508" s="7"/>
      <c r="H1508" s="3"/>
    </row>
    <row r="1509">
      <c r="A1509" s="3"/>
      <c r="B1509" s="3"/>
      <c r="C1509" s="3"/>
      <c r="D1509" s="5"/>
      <c r="E1509" s="5"/>
      <c r="F1509" s="3"/>
      <c r="G1509" s="3"/>
      <c r="H1509" s="3"/>
    </row>
    <row r="1510">
      <c r="A1510" s="3"/>
      <c r="B1510" s="3"/>
      <c r="C1510" s="3"/>
      <c r="D1510" s="5"/>
      <c r="E1510" s="5"/>
      <c r="F1510" s="3"/>
      <c r="G1510" s="7"/>
      <c r="H1510" s="3"/>
    </row>
    <row r="1511">
      <c r="A1511" s="3"/>
      <c r="B1511" s="3"/>
      <c r="C1511" s="3"/>
      <c r="D1511" s="5"/>
      <c r="E1511" s="5"/>
      <c r="F1511" s="3"/>
      <c r="G1511" s="7"/>
      <c r="H1511" s="3"/>
    </row>
    <row r="1512">
      <c r="A1512" s="3"/>
      <c r="B1512" s="3"/>
      <c r="C1512" s="3"/>
      <c r="D1512" s="5"/>
      <c r="E1512" s="5"/>
      <c r="F1512" s="3"/>
      <c r="G1512" s="7"/>
      <c r="H1512" s="3"/>
    </row>
    <row r="1513">
      <c r="A1513" s="3"/>
      <c r="B1513" s="3"/>
      <c r="C1513" s="3"/>
      <c r="D1513" s="5"/>
      <c r="E1513" s="5"/>
      <c r="F1513" s="3"/>
      <c r="G1513" s="7"/>
      <c r="H1513" s="3"/>
    </row>
    <row r="1514">
      <c r="A1514" s="3"/>
      <c r="B1514" s="3"/>
      <c r="C1514" s="3"/>
      <c r="D1514" s="5"/>
      <c r="E1514" s="5"/>
      <c r="F1514" s="3"/>
      <c r="G1514" s="3"/>
      <c r="H1514" s="3"/>
    </row>
    <row r="1515">
      <c r="A1515" s="3"/>
      <c r="B1515" s="3"/>
      <c r="C1515" s="3"/>
      <c r="D1515" s="5"/>
      <c r="E1515" s="5"/>
      <c r="F1515" s="3"/>
      <c r="G1515" s="7"/>
      <c r="H1515" s="3"/>
    </row>
    <row r="1516">
      <c r="A1516" s="3"/>
      <c r="B1516" s="3"/>
      <c r="C1516" s="3"/>
      <c r="D1516" s="5"/>
      <c r="E1516" s="5"/>
      <c r="F1516" s="3"/>
      <c r="G1516" s="7"/>
      <c r="H1516" s="3"/>
    </row>
    <row r="1517">
      <c r="A1517" s="3"/>
      <c r="B1517" s="3"/>
      <c r="C1517" s="3"/>
      <c r="D1517" s="5"/>
      <c r="E1517" s="5"/>
      <c r="F1517" s="3"/>
      <c r="G1517" s="7"/>
      <c r="H1517" s="3"/>
    </row>
    <row r="1518">
      <c r="A1518" s="3"/>
      <c r="B1518" s="3"/>
      <c r="C1518" s="3"/>
      <c r="D1518" s="5"/>
      <c r="E1518" s="5"/>
      <c r="F1518" s="3"/>
      <c r="G1518" s="7"/>
      <c r="H1518" s="3"/>
    </row>
    <row r="1519">
      <c r="A1519" s="3"/>
      <c r="B1519" s="3"/>
      <c r="C1519" s="3"/>
      <c r="D1519" s="5"/>
      <c r="E1519" s="5"/>
      <c r="F1519" s="3"/>
      <c r="G1519" s="3"/>
      <c r="H1519" s="3"/>
    </row>
    <row r="1520">
      <c r="A1520" s="3"/>
      <c r="B1520" s="3"/>
      <c r="C1520" s="3"/>
      <c r="D1520" s="5"/>
      <c r="E1520" s="5"/>
      <c r="F1520" s="3"/>
      <c r="G1520" s="7"/>
      <c r="H1520" s="3"/>
    </row>
    <row r="1521">
      <c r="A1521" s="3"/>
      <c r="B1521" s="3"/>
      <c r="C1521" s="3"/>
      <c r="D1521" s="5"/>
      <c r="E1521" s="5"/>
      <c r="F1521" s="3"/>
      <c r="G1521" s="7"/>
      <c r="H1521" s="3"/>
    </row>
    <row r="1522">
      <c r="A1522" s="3"/>
      <c r="B1522" s="3"/>
      <c r="C1522" s="3"/>
      <c r="D1522" s="5"/>
      <c r="E1522" s="5"/>
      <c r="F1522" s="3"/>
      <c r="G1522" s="7"/>
      <c r="H1522" s="3"/>
    </row>
    <row r="1523">
      <c r="A1523" s="3"/>
      <c r="B1523" s="3"/>
      <c r="C1523" s="3"/>
      <c r="D1523" s="5"/>
      <c r="E1523" s="5"/>
      <c r="F1523" s="3"/>
      <c r="G1523" s="7"/>
      <c r="H1523" s="3"/>
    </row>
    <row r="1524">
      <c r="A1524" s="3"/>
      <c r="B1524" s="3"/>
      <c r="C1524" s="3"/>
      <c r="D1524" s="5"/>
      <c r="E1524" s="5"/>
      <c r="F1524" s="3"/>
      <c r="G1524" s="3"/>
      <c r="H1524" s="3"/>
    </row>
    <row r="1525">
      <c r="A1525" s="3"/>
      <c r="B1525" s="3"/>
      <c r="C1525" s="3"/>
      <c r="D1525" s="5"/>
      <c r="E1525" s="5"/>
      <c r="F1525" s="3"/>
      <c r="G1525" s="7"/>
      <c r="H1525" s="3"/>
    </row>
    <row r="1526">
      <c r="A1526" s="3"/>
      <c r="B1526" s="3"/>
      <c r="C1526" s="3"/>
      <c r="D1526" s="5"/>
      <c r="E1526" s="5"/>
      <c r="F1526" s="3"/>
      <c r="G1526" s="7"/>
      <c r="H1526" s="3"/>
    </row>
    <row r="1527">
      <c r="A1527" s="3"/>
      <c r="B1527" s="3"/>
      <c r="C1527" s="3"/>
      <c r="D1527" s="5"/>
      <c r="E1527" s="5"/>
      <c r="F1527" s="3"/>
      <c r="G1527" s="7"/>
      <c r="H1527" s="3"/>
    </row>
    <row r="1528">
      <c r="A1528" s="3"/>
      <c r="B1528" s="3"/>
      <c r="C1528" s="3"/>
      <c r="D1528" s="5"/>
      <c r="E1528" s="5"/>
      <c r="F1528" s="3"/>
      <c r="G1528" s="7"/>
      <c r="H1528" s="3"/>
    </row>
    <row r="1529">
      <c r="A1529" s="3"/>
      <c r="B1529" s="3"/>
      <c r="C1529" s="3"/>
      <c r="D1529" s="5"/>
      <c r="E1529" s="5"/>
      <c r="F1529" s="3"/>
      <c r="G1529" s="3"/>
      <c r="H1529" s="3"/>
    </row>
    <row r="1530">
      <c r="A1530" s="3"/>
      <c r="B1530" s="3"/>
      <c r="C1530" s="3"/>
      <c r="D1530" s="5"/>
      <c r="E1530" s="5"/>
      <c r="F1530" s="3"/>
      <c r="G1530" s="7"/>
      <c r="H1530" s="3"/>
    </row>
    <row r="1531">
      <c r="A1531" s="3"/>
      <c r="B1531" s="3"/>
      <c r="C1531" s="3"/>
      <c r="D1531" s="5"/>
      <c r="E1531" s="5"/>
      <c r="F1531" s="3"/>
      <c r="G1531" s="7"/>
      <c r="H1531" s="3"/>
    </row>
    <row r="1532">
      <c r="A1532" s="3"/>
      <c r="B1532" s="3"/>
      <c r="C1532" s="3"/>
      <c r="D1532" s="5"/>
      <c r="E1532" s="5"/>
      <c r="F1532" s="3"/>
      <c r="G1532" s="7"/>
      <c r="H1532" s="3"/>
    </row>
    <row r="1533">
      <c r="A1533" s="3"/>
      <c r="B1533" s="3"/>
      <c r="C1533" s="3"/>
      <c r="D1533" s="5"/>
      <c r="E1533" s="5"/>
      <c r="F1533" s="3"/>
      <c r="G1533" s="7"/>
      <c r="H1533" s="3"/>
    </row>
    <row r="1534">
      <c r="A1534" s="3"/>
      <c r="B1534" s="3"/>
      <c r="C1534" s="3"/>
      <c r="D1534" s="5"/>
      <c r="E1534" s="5"/>
      <c r="F1534" s="3"/>
      <c r="G1534" s="3"/>
      <c r="H1534" s="3"/>
    </row>
    <row r="1535">
      <c r="A1535" s="3"/>
      <c r="B1535" s="3"/>
      <c r="C1535" s="3"/>
      <c r="D1535" s="5"/>
      <c r="E1535" s="5"/>
      <c r="F1535" s="3"/>
      <c r="G1535" s="7"/>
      <c r="H1535" s="3"/>
    </row>
    <row r="1536">
      <c r="A1536" s="3"/>
      <c r="B1536" s="3"/>
      <c r="C1536" s="3"/>
      <c r="D1536" s="5"/>
      <c r="E1536" s="5"/>
      <c r="F1536" s="3"/>
      <c r="G1536" s="7"/>
      <c r="H1536" s="3"/>
    </row>
    <row r="1537">
      <c r="A1537" s="3"/>
      <c r="B1537" s="3"/>
      <c r="C1537" s="3"/>
      <c r="D1537" s="5"/>
      <c r="E1537" s="5"/>
      <c r="F1537" s="3"/>
      <c r="G1537" s="7"/>
      <c r="H1537" s="3"/>
    </row>
    <row r="1538">
      <c r="A1538" s="3"/>
      <c r="B1538" s="3"/>
      <c r="C1538" s="3"/>
      <c r="D1538" s="5"/>
      <c r="E1538" s="5"/>
      <c r="F1538" s="3"/>
      <c r="G1538" s="7"/>
      <c r="H1538" s="3"/>
    </row>
    <row r="1539">
      <c r="A1539" s="3"/>
      <c r="B1539" s="3"/>
      <c r="C1539" s="3"/>
      <c r="D1539" s="5"/>
      <c r="E1539" s="5"/>
      <c r="F1539" s="3"/>
      <c r="G1539" s="3"/>
      <c r="H1539" s="3"/>
    </row>
    <row r="1540">
      <c r="A1540" s="3"/>
      <c r="B1540" s="3"/>
      <c r="C1540" s="3"/>
      <c r="D1540" s="5"/>
      <c r="E1540" s="5"/>
      <c r="F1540" s="3"/>
      <c r="G1540" s="7"/>
      <c r="H1540" s="3"/>
    </row>
    <row r="1541">
      <c r="A1541" s="3"/>
      <c r="B1541" s="3"/>
      <c r="C1541" s="3"/>
      <c r="D1541" s="5"/>
      <c r="E1541" s="5"/>
      <c r="F1541" s="3"/>
      <c r="G1541" s="7"/>
      <c r="H1541" s="3"/>
    </row>
    <row r="1542">
      <c r="A1542" s="3"/>
      <c r="B1542" s="3"/>
      <c r="C1542" s="3"/>
      <c r="D1542" s="5"/>
      <c r="E1542" s="5"/>
      <c r="F1542" s="3"/>
      <c r="G1542" s="7"/>
      <c r="H1542" s="3"/>
    </row>
    <row r="1543">
      <c r="A1543" s="3"/>
      <c r="B1543" s="3"/>
      <c r="C1543" s="3"/>
      <c r="D1543" s="5"/>
      <c r="E1543" s="5"/>
      <c r="F1543" s="3"/>
      <c r="G1543" s="7"/>
      <c r="H1543" s="3"/>
    </row>
    <row r="1544">
      <c r="A1544" s="3"/>
      <c r="B1544" s="3"/>
      <c r="C1544" s="3"/>
      <c r="D1544" s="5"/>
      <c r="E1544" s="5"/>
      <c r="F1544" s="3"/>
      <c r="G1544" s="3"/>
      <c r="H1544" s="3"/>
    </row>
    <row r="1545">
      <c r="A1545" s="3"/>
      <c r="B1545" s="3"/>
      <c r="C1545" s="3"/>
      <c r="D1545" s="5"/>
      <c r="E1545" s="5"/>
      <c r="F1545" s="3"/>
      <c r="G1545" s="7"/>
      <c r="H1545" s="3"/>
    </row>
    <row r="1546">
      <c r="A1546" s="3"/>
      <c r="B1546" s="3"/>
      <c r="C1546" s="3"/>
      <c r="D1546" s="5"/>
      <c r="E1546" s="5"/>
      <c r="F1546" s="3"/>
      <c r="G1546" s="7"/>
      <c r="H1546" s="3"/>
    </row>
    <row r="1547">
      <c r="A1547" s="3"/>
      <c r="B1547" s="3"/>
      <c r="C1547" s="3"/>
      <c r="D1547" s="5"/>
      <c r="E1547" s="5"/>
      <c r="F1547" s="3"/>
      <c r="G1547" s="7"/>
      <c r="H1547" s="3"/>
    </row>
    <row r="1548">
      <c r="A1548" s="3"/>
      <c r="B1548" s="3"/>
      <c r="C1548" s="3"/>
      <c r="D1548" s="5"/>
      <c r="E1548" s="5"/>
      <c r="F1548" s="3"/>
      <c r="G1548" s="7"/>
      <c r="H1548" s="3"/>
    </row>
    <row r="1549">
      <c r="A1549" s="3"/>
      <c r="B1549" s="3"/>
      <c r="C1549" s="3"/>
      <c r="D1549" s="5"/>
      <c r="E1549" s="5"/>
      <c r="F1549" s="3"/>
      <c r="G1549" s="3"/>
      <c r="H1549" s="3"/>
    </row>
    <row r="1550">
      <c r="A1550" s="3"/>
      <c r="B1550" s="3"/>
      <c r="C1550" s="3"/>
      <c r="D1550" s="5"/>
      <c r="E1550" s="5"/>
      <c r="F1550" s="3"/>
      <c r="G1550" s="7"/>
      <c r="H1550" s="3"/>
    </row>
    <row r="1551">
      <c r="A1551" s="3"/>
      <c r="B1551" s="3"/>
      <c r="C1551" s="3"/>
      <c r="D1551" s="5"/>
      <c r="E1551" s="5"/>
      <c r="F1551" s="3"/>
      <c r="G1551" s="7"/>
      <c r="H1551" s="3"/>
    </row>
    <row r="1552">
      <c r="A1552" s="3"/>
      <c r="B1552" s="3"/>
      <c r="C1552" s="3"/>
      <c r="D1552" s="5"/>
      <c r="E1552" s="5"/>
      <c r="F1552" s="3"/>
      <c r="G1552" s="7"/>
      <c r="H1552" s="3"/>
    </row>
    <row r="1553">
      <c r="A1553" s="3"/>
      <c r="B1553" s="3"/>
      <c r="C1553" s="3"/>
      <c r="D1553" s="5"/>
      <c r="E1553" s="5"/>
      <c r="F1553" s="3"/>
      <c r="G1553" s="7"/>
      <c r="H1553" s="3"/>
    </row>
    <row r="1554">
      <c r="A1554" s="3"/>
      <c r="B1554" s="3"/>
      <c r="C1554" s="3"/>
      <c r="D1554" s="5"/>
      <c r="E1554" s="5"/>
      <c r="F1554" s="3"/>
      <c r="G1554" s="3"/>
      <c r="H1554" s="3"/>
    </row>
    <row r="1555">
      <c r="A1555" s="3"/>
      <c r="B1555" s="3"/>
      <c r="C1555" s="3"/>
      <c r="D1555" s="5"/>
      <c r="E1555" s="5"/>
      <c r="F1555" s="3"/>
      <c r="G1555" s="7"/>
      <c r="H1555" s="3"/>
    </row>
    <row r="1556">
      <c r="A1556" s="3"/>
      <c r="B1556" s="3"/>
      <c r="C1556" s="3"/>
      <c r="D1556" s="5"/>
      <c r="E1556" s="5"/>
      <c r="F1556" s="3"/>
      <c r="G1556" s="7"/>
      <c r="H1556" s="3"/>
    </row>
    <row r="1557">
      <c r="A1557" s="3"/>
      <c r="B1557" s="3"/>
      <c r="C1557" s="3"/>
      <c r="D1557" s="5"/>
      <c r="E1557" s="5"/>
      <c r="F1557" s="3"/>
      <c r="G1557" s="7"/>
      <c r="H1557" s="3"/>
    </row>
    <row r="1558">
      <c r="A1558" s="3"/>
      <c r="B1558" s="3"/>
      <c r="C1558" s="3"/>
      <c r="D1558" s="5"/>
      <c r="E1558" s="5"/>
      <c r="F1558" s="3"/>
      <c r="G1558" s="7"/>
      <c r="H1558" s="3"/>
    </row>
    <row r="1559">
      <c r="A1559" s="3"/>
      <c r="B1559" s="3"/>
      <c r="C1559" s="3"/>
      <c r="D1559" s="5"/>
      <c r="E1559" s="5"/>
      <c r="F1559" s="3"/>
      <c r="G1559" s="3"/>
      <c r="H1559" s="3"/>
    </row>
    <row r="1560">
      <c r="A1560" s="3"/>
      <c r="B1560" s="3"/>
      <c r="C1560" s="3"/>
      <c r="D1560" s="5"/>
      <c r="E1560" s="5"/>
      <c r="F1560" s="3"/>
      <c r="G1560" s="7"/>
      <c r="H1560" s="3"/>
    </row>
    <row r="1561">
      <c r="A1561" s="3"/>
      <c r="B1561" s="3"/>
      <c r="C1561" s="3"/>
      <c r="D1561" s="5"/>
      <c r="E1561" s="5"/>
      <c r="F1561" s="3"/>
      <c r="G1561" s="7"/>
      <c r="H1561" s="3"/>
    </row>
    <row r="1562">
      <c r="A1562" s="3"/>
      <c r="B1562" s="3"/>
      <c r="C1562" s="3"/>
      <c r="D1562" s="5"/>
      <c r="E1562" s="5"/>
      <c r="F1562" s="3"/>
      <c r="G1562" s="7"/>
      <c r="H1562" s="3"/>
    </row>
    <row r="1563">
      <c r="A1563" s="3"/>
      <c r="B1563" s="3"/>
      <c r="C1563" s="3"/>
      <c r="D1563" s="5"/>
      <c r="E1563" s="5"/>
      <c r="F1563" s="3"/>
      <c r="G1563" s="7"/>
      <c r="H1563" s="3"/>
    </row>
    <row r="1564">
      <c r="A1564" s="3"/>
      <c r="B1564" s="3"/>
      <c r="C1564" s="3"/>
      <c r="D1564" s="5"/>
      <c r="E1564" s="5"/>
      <c r="F1564" s="3"/>
      <c r="G1564" s="3"/>
      <c r="H1564" s="3"/>
    </row>
    <row r="1565">
      <c r="A1565" s="3"/>
      <c r="B1565" s="3"/>
      <c r="C1565" s="3"/>
      <c r="D1565" s="5"/>
      <c r="E1565" s="5"/>
      <c r="F1565" s="3"/>
      <c r="G1565" s="7"/>
      <c r="H1565" s="3"/>
    </row>
    <row r="1566">
      <c r="A1566" s="3"/>
      <c r="B1566" s="3"/>
      <c r="C1566" s="3"/>
      <c r="D1566" s="5"/>
      <c r="E1566" s="5"/>
      <c r="F1566" s="3"/>
      <c r="G1566" s="7"/>
      <c r="H1566" s="3"/>
    </row>
    <row r="1567">
      <c r="A1567" s="3"/>
      <c r="B1567" s="3"/>
      <c r="C1567" s="3"/>
      <c r="D1567" s="5"/>
      <c r="E1567" s="5"/>
      <c r="F1567" s="3"/>
      <c r="G1567" s="7"/>
      <c r="H1567" s="3"/>
    </row>
    <row r="1568">
      <c r="A1568" s="3"/>
      <c r="B1568" s="3"/>
      <c r="C1568" s="3"/>
      <c r="D1568" s="5"/>
      <c r="E1568" s="5"/>
      <c r="F1568" s="3"/>
      <c r="G1568" s="7"/>
      <c r="H1568" s="3"/>
    </row>
    <row r="1569">
      <c r="A1569" s="3"/>
      <c r="B1569" s="3"/>
      <c r="C1569" s="3"/>
      <c r="D1569" s="5"/>
      <c r="E1569" s="5"/>
      <c r="F1569" s="3"/>
      <c r="G1569" s="3"/>
      <c r="H1569" s="3"/>
    </row>
    <row r="1570">
      <c r="A1570" s="3"/>
      <c r="B1570" s="3"/>
      <c r="C1570" s="3"/>
      <c r="D1570" s="5"/>
      <c r="E1570" s="5"/>
      <c r="F1570" s="3"/>
      <c r="G1570" s="7"/>
      <c r="H1570" s="3"/>
    </row>
    <row r="1571">
      <c r="A1571" s="3"/>
      <c r="B1571" s="3"/>
      <c r="C1571" s="3"/>
      <c r="D1571" s="5"/>
      <c r="E1571" s="5"/>
      <c r="F1571" s="3"/>
      <c r="G1571" s="7"/>
      <c r="H1571" s="3"/>
    </row>
    <row r="1572">
      <c r="A1572" s="3"/>
      <c r="B1572" s="3"/>
      <c r="C1572" s="3"/>
      <c r="D1572" s="5"/>
      <c r="E1572" s="5"/>
      <c r="F1572" s="3"/>
      <c r="G1572" s="7"/>
      <c r="H1572" s="3"/>
    </row>
    <row r="1573">
      <c r="A1573" s="3"/>
      <c r="B1573" s="3"/>
      <c r="C1573" s="3"/>
      <c r="D1573" s="5"/>
      <c r="E1573" s="5"/>
      <c r="F1573" s="3"/>
      <c r="G1573" s="7"/>
      <c r="H1573" s="3"/>
    </row>
    <row r="1574">
      <c r="A1574" s="3"/>
      <c r="B1574" s="3"/>
      <c r="C1574" s="3"/>
      <c r="D1574" s="5"/>
      <c r="E1574" s="5"/>
      <c r="F1574" s="3"/>
      <c r="G1574" s="3"/>
      <c r="H1574" s="3"/>
    </row>
    <row r="1575">
      <c r="A1575" s="3"/>
      <c r="B1575" s="3"/>
      <c r="C1575" s="3"/>
      <c r="D1575" s="5"/>
      <c r="E1575" s="5"/>
      <c r="F1575" s="3"/>
      <c r="G1575" s="7"/>
      <c r="H1575" s="3"/>
    </row>
    <row r="1576">
      <c r="A1576" s="3"/>
      <c r="B1576" s="3"/>
      <c r="C1576" s="3"/>
      <c r="D1576" s="5"/>
      <c r="E1576" s="5"/>
      <c r="F1576" s="3"/>
      <c r="G1576" s="7"/>
      <c r="H1576" s="3"/>
    </row>
    <row r="1577">
      <c r="A1577" s="3"/>
      <c r="B1577" s="3"/>
      <c r="C1577" s="3"/>
      <c r="D1577" s="5"/>
      <c r="E1577" s="5"/>
      <c r="F1577" s="3"/>
      <c r="G1577" s="7"/>
      <c r="H1577" s="3"/>
    </row>
    <row r="1578">
      <c r="A1578" s="3"/>
      <c r="B1578" s="3"/>
      <c r="C1578" s="3"/>
      <c r="D1578" s="5"/>
      <c r="E1578" s="5"/>
      <c r="F1578" s="3"/>
      <c r="G1578" s="7"/>
      <c r="H1578" s="3"/>
    </row>
    <row r="1579">
      <c r="A1579" s="3"/>
      <c r="B1579" s="3"/>
      <c r="C1579" s="3"/>
      <c r="D1579" s="5"/>
      <c r="E1579" s="5"/>
      <c r="F1579" s="3"/>
      <c r="G1579" s="3"/>
      <c r="H1579" s="3"/>
    </row>
    <row r="1580">
      <c r="A1580" s="3"/>
      <c r="B1580" s="3"/>
      <c r="C1580" s="3"/>
      <c r="D1580" s="5"/>
      <c r="E1580" s="5"/>
      <c r="F1580" s="3"/>
      <c r="G1580" s="7"/>
      <c r="H1580" s="3"/>
    </row>
    <row r="1581">
      <c r="A1581" s="3"/>
      <c r="B1581" s="3"/>
      <c r="C1581" s="3"/>
      <c r="D1581" s="5"/>
      <c r="E1581" s="5"/>
      <c r="F1581" s="3"/>
      <c r="G1581" s="7"/>
      <c r="H1581" s="3"/>
    </row>
    <row r="1582">
      <c r="A1582" s="3"/>
      <c r="B1582" s="3"/>
      <c r="C1582" s="3"/>
      <c r="D1582" s="5"/>
      <c r="E1582" s="5"/>
      <c r="F1582" s="3"/>
      <c r="G1582" s="7"/>
      <c r="H1582" s="3"/>
    </row>
    <row r="1583">
      <c r="A1583" s="3"/>
      <c r="B1583" s="3"/>
      <c r="C1583" s="3"/>
      <c r="D1583" s="5"/>
      <c r="E1583" s="5"/>
      <c r="F1583" s="3"/>
      <c r="G1583" s="7"/>
      <c r="H1583" s="3"/>
    </row>
    <row r="1584">
      <c r="A1584" s="3"/>
      <c r="B1584" s="3"/>
      <c r="C1584" s="3"/>
      <c r="D1584" s="5"/>
      <c r="E1584" s="5"/>
      <c r="F1584" s="3"/>
      <c r="G1584" s="3"/>
      <c r="H1584" s="3"/>
    </row>
    <row r="1585">
      <c r="A1585" s="3"/>
      <c r="B1585" s="3"/>
      <c r="C1585" s="3"/>
      <c r="D1585" s="5"/>
      <c r="E1585" s="5"/>
      <c r="F1585" s="3"/>
      <c r="G1585" s="7"/>
      <c r="H1585" s="3"/>
    </row>
    <row r="1586">
      <c r="A1586" s="3"/>
      <c r="B1586" s="3"/>
      <c r="C1586" s="3"/>
      <c r="D1586" s="5"/>
      <c r="E1586" s="5"/>
      <c r="F1586" s="3"/>
      <c r="G1586" s="7"/>
      <c r="H1586" s="3"/>
    </row>
    <row r="1587">
      <c r="A1587" s="3"/>
      <c r="B1587" s="3"/>
      <c r="C1587" s="3"/>
      <c r="D1587" s="5"/>
      <c r="E1587" s="5"/>
      <c r="F1587" s="3"/>
      <c r="G1587" s="7"/>
      <c r="H1587" s="3"/>
    </row>
    <row r="1588">
      <c r="A1588" s="3"/>
      <c r="B1588" s="3"/>
      <c r="C1588" s="3"/>
      <c r="D1588" s="5"/>
      <c r="E1588" s="5"/>
      <c r="F1588" s="3"/>
      <c r="G1588" s="7"/>
      <c r="H1588" s="3"/>
    </row>
    <row r="1589">
      <c r="A1589" s="3"/>
      <c r="B1589" s="3"/>
      <c r="C1589" s="3"/>
      <c r="D1589" s="5"/>
      <c r="E1589" s="5"/>
      <c r="F1589" s="3"/>
      <c r="G1589" s="3"/>
      <c r="H1589" s="3"/>
    </row>
    <row r="1590">
      <c r="A1590" s="3"/>
      <c r="B1590" s="3"/>
      <c r="C1590" s="3"/>
      <c r="D1590" s="5"/>
      <c r="E1590" s="5"/>
      <c r="F1590" s="3"/>
      <c r="G1590" s="7"/>
      <c r="H1590" s="3"/>
    </row>
    <row r="1591">
      <c r="A1591" s="3"/>
      <c r="B1591" s="3"/>
      <c r="C1591" s="3"/>
      <c r="D1591" s="5"/>
      <c r="E1591" s="5"/>
      <c r="F1591" s="3"/>
      <c r="G1591" s="7"/>
      <c r="H1591" s="3"/>
    </row>
    <row r="1592">
      <c r="A1592" s="3"/>
      <c r="B1592" s="3"/>
      <c r="C1592" s="3"/>
      <c r="D1592" s="5"/>
      <c r="E1592" s="5"/>
      <c r="F1592" s="3"/>
      <c r="G1592" s="7"/>
      <c r="H1592" s="3"/>
    </row>
    <row r="1593">
      <c r="A1593" s="3"/>
      <c r="B1593" s="3"/>
      <c r="C1593" s="3"/>
      <c r="D1593" s="5"/>
      <c r="E1593" s="5"/>
      <c r="F1593" s="3"/>
      <c r="G1593" s="7"/>
      <c r="H1593" s="3"/>
    </row>
    <row r="1594">
      <c r="A1594" s="3"/>
      <c r="B1594" s="3"/>
      <c r="C1594" s="3"/>
      <c r="D1594" s="5"/>
      <c r="E1594" s="5"/>
      <c r="F1594" s="3"/>
      <c r="G1594" s="3"/>
      <c r="H1594" s="3"/>
    </row>
    <row r="1595">
      <c r="A1595" s="3"/>
      <c r="B1595" s="3"/>
      <c r="C1595" s="3"/>
      <c r="D1595" s="5"/>
      <c r="E1595" s="5"/>
      <c r="F1595" s="3"/>
      <c r="G1595" s="7"/>
      <c r="H1595" s="3"/>
    </row>
    <row r="1596">
      <c r="A1596" s="3"/>
      <c r="B1596" s="3"/>
      <c r="C1596" s="3"/>
      <c r="D1596" s="5"/>
      <c r="E1596" s="5"/>
      <c r="F1596" s="3"/>
      <c r="G1596" s="7"/>
      <c r="H1596" s="3"/>
    </row>
    <row r="1597">
      <c r="A1597" s="3"/>
      <c r="B1597" s="3"/>
      <c r="C1597" s="3"/>
      <c r="D1597" s="5"/>
      <c r="E1597" s="5"/>
      <c r="F1597" s="3"/>
      <c r="G1597" s="7"/>
      <c r="H1597" s="3"/>
    </row>
    <row r="1598">
      <c r="A1598" s="3"/>
      <c r="B1598" s="3"/>
      <c r="C1598" s="3"/>
      <c r="D1598" s="5"/>
      <c r="E1598" s="5"/>
      <c r="F1598" s="3"/>
      <c r="G1598" s="7"/>
      <c r="H1598" s="3"/>
    </row>
    <row r="1599">
      <c r="A1599" s="3"/>
      <c r="B1599" s="3"/>
      <c r="C1599" s="3"/>
      <c r="D1599" s="5"/>
      <c r="E1599" s="5"/>
      <c r="F1599" s="3"/>
      <c r="G1599" s="3"/>
      <c r="H1599" s="3"/>
    </row>
    <row r="1600">
      <c r="A1600" s="3"/>
      <c r="B1600" s="3"/>
      <c r="C1600" s="3"/>
      <c r="D1600" s="5"/>
      <c r="E1600" s="5"/>
      <c r="F1600" s="3"/>
      <c r="G1600" s="7"/>
      <c r="H1600" s="3"/>
    </row>
    <row r="1601">
      <c r="A1601" s="3"/>
      <c r="B1601" s="3"/>
      <c r="C1601" s="3"/>
      <c r="D1601" s="5"/>
      <c r="E1601" s="5"/>
      <c r="F1601" s="3"/>
      <c r="G1601" s="7"/>
      <c r="H1601" s="3"/>
    </row>
    <row r="1602">
      <c r="A1602" s="3"/>
      <c r="B1602" s="3"/>
      <c r="C1602" s="3"/>
      <c r="D1602" s="5"/>
      <c r="E1602" s="5"/>
      <c r="F1602" s="3"/>
      <c r="G1602" s="7"/>
      <c r="H1602" s="3"/>
    </row>
    <row r="1603">
      <c r="A1603" s="3"/>
      <c r="B1603" s="3"/>
      <c r="C1603" s="3"/>
      <c r="D1603" s="5"/>
      <c r="E1603" s="5"/>
      <c r="F1603" s="3"/>
      <c r="G1603" s="7"/>
      <c r="H1603" s="3"/>
    </row>
    <row r="1604">
      <c r="A1604" s="3"/>
      <c r="B1604" s="3"/>
      <c r="C1604" s="3"/>
      <c r="D1604" s="5"/>
      <c r="E1604" s="5"/>
      <c r="F1604" s="3"/>
      <c r="G1604" s="3"/>
      <c r="H1604" s="3"/>
    </row>
    <row r="1605">
      <c r="A1605" s="3"/>
      <c r="B1605" s="3"/>
      <c r="C1605" s="3"/>
      <c r="D1605" s="5"/>
      <c r="E1605" s="5"/>
      <c r="F1605" s="3"/>
      <c r="G1605" s="7"/>
      <c r="H1605" s="3"/>
    </row>
    <row r="1606">
      <c r="A1606" s="3"/>
      <c r="B1606" s="3"/>
      <c r="C1606" s="3"/>
      <c r="D1606" s="5"/>
      <c r="E1606" s="5"/>
      <c r="F1606" s="3"/>
      <c r="G1606" s="7"/>
      <c r="H1606" s="3"/>
    </row>
    <row r="1607">
      <c r="A1607" s="3"/>
      <c r="B1607" s="3"/>
      <c r="C1607" s="3"/>
      <c r="D1607" s="5"/>
      <c r="E1607" s="5"/>
      <c r="F1607" s="3"/>
      <c r="G1607" s="7"/>
      <c r="H1607" s="3"/>
    </row>
    <row r="1608">
      <c r="A1608" s="3"/>
      <c r="B1608" s="3"/>
      <c r="C1608" s="3"/>
      <c r="D1608" s="5"/>
      <c r="E1608" s="5"/>
      <c r="F1608" s="3"/>
      <c r="G1608" s="7"/>
      <c r="H1608" s="3"/>
    </row>
    <row r="1609">
      <c r="A1609" s="3"/>
      <c r="B1609" s="3"/>
      <c r="C1609" s="3"/>
      <c r="D1609" s="5"/>
      <c r="E1609" s="5"/>
      <c r="F1609" s="3"/>
      <c r="G1609" s="3"/>
      <c r="H1609" s="3"/>
    </row>
    <row r="1610">
      <c r="A1610" s="3"/>
      <c r="B1610" s="3"/>
      <c r="C1610" s="3"/>
      <c r="D1610" s="5"/>
      <c r="E1610" s="5"/>
      <c r="F1610" s="3"/>
      <c r="G1610" s="7"/>
      <c r="H1610" s="3"/>
    </row>
    <row r="1611">
      <c r="A1611" s="3"/>
      <c r="B1611" s="3"/>
      <c r="C1611" s="3"/>
      <c r="D1611" s="5"/>
      <c r="E1611" s="5"/>
      <c r="F1611" s="3"/>
      <c r="G1611" s="7"/>
      <c r="H1611" s="3"/>
    </row>
    <row r="1612">
      <c r="A1612" s="3"/>
      <c r="B1612" s="3"/>
      <c r="C1612" s="3"/>
      <c r="D1612" s="5"/>
      <c r="E1612" s="5"/>
      <c r="F1612" s="3"/>
      <c r="G1612" s="7"/>
      <c r="H1612" s="3"/>
    </row>
    <row r="1613">
      <c r="A1613" s="3"/>
      <c r="B1613" s="3"/>
      <c r="C1613" s="3"/>
      <c r="D1613" s="5"/>
      <c r="E1613" s="5"/>
      <c r="F1613" s="3"/>
      <c r="G1613" s="7"/>
      <c r="H1613" s="3"/>
    </row>
    <row r="1614">
      <c r="A1614" s="3"/>
      <c r="B1614" s="3"/>
      <c r="C1614" s="3"/>
      <c r="D1614" s="5"/>
      <c r="E1614" s="5"/>
      <c r="F1614" s="3"/>
      <c r="G1614" s="3"/>
      <c r="H1614" s="3"/>
    </row>
    <row r="1615">
      <c r="A1615" s="3"/>
      <c r="B1615" s="3"/>
      <c r="C1615" s="3"/>
      <c r="D1615" s="5"/>
      <c r="E1615" s="5"/>
      <c r="F1615" s="3"/>
      <c r="G1615" s="7"/>
      <c r="H1615" s="3"/>
    </row>
    <row r="1616">
      <c r="A1616" s="3"/>
      <c r="B1616" s="3"/>
      <c r="C1616" s="3"/>
      <c r="D1616" s="5"/>
      <c r="E1616" s="5"/>
      <c r="F1616" s="3"/>
      <c r="G1616" s="7"/>
      <c r="H1616" s="3"/>
    </row>
    <row r="1617">
      <c r="A1617" s="3"/>
      <c r="B1617" s="3"/>
      <c r="C1617" s="3"/>
      <c r="D1617" s="5"/>
      <c r="E1617" s="5"/>
      <c r="F1617" s="3"/>
      <c r="G1617" s="7"/>
      <c r="H1617" s="3"/>
    </row>
    <row r="1618">
      <c r="A1618" s="3"/>
      <c r="B1618" s="3"/>
      <c r="C1618" s="3"/>
      <c r="D1618" s="5"/>
      <c r="E1618" s="5"/>
      <c r="F1618" s="3"/>
      <c r="G1618" s="7"/>
      <c r="H1618" s="3"/>
    </row>
    <row r="1619">
      <c r="A1619" s="3"/>
      <c r="B1619" s="3"/>
      <c r="C1619" s="3"/>
      <c r="D1619" s="5"/>
      <c r="E1619" s="5"/>
      <c r="F1619" s="3"/>
      <c r="G1619" s="3"/>
      <c r="H1619" s="3"/>
    </row>
    <row r="1620">
      <c r="A1620" s="3"/>
      <c r="B1620" s="3"/>
      <c r="C1620" s="3"/>
      <c r="D1620" s="5"/>
      <c r="E1620" s="5"/>
      <c r="F1620" s="3"/>
      <c r="G1620" s="7"/>
      <c r="H1620" s="3"/>
    </row>
    <row r="1621">
      <c r="A1621" s="3"/>
      <c r="B1621" s="3"/>
      <c r="C1621" s="3"/>
      <c r="D1621" s="5"/>
      <c r="E1621" s="5"/>
      <c r="F1621" s="3"/>
      <c r="G1621" s="7"/>
      <c r="H1621" s="3"/>
    </row>
    <row r="1622">
      <c r="A1622" s="3"/>
      <c r="B1622" s="3"/>
      <c r="C1622" s="3"/>
      <c r="D1622" s="5"/>
      <c r="E1622" s="5"/>
      <c r="F1622" s="3"/>
      <c r="G1622" s="7"/>
      <c r="H1622" s="3"/>
    </row>
    <row r="1623">
      <c r="A1623" s="3"/>
      <c r="B1623" s="3"/>
      <c r="C1623" s="3"/>
      <c r="D1623" s="5"/>
      <c r="E1623" s="5"/>
      <c r="F1623" s="3"/>
      <c r="G1623" s="7"/>
      <c r="H1623" s="3"/>
    </row>
    <row r="1624">
      <c r="A1624" s="3"/>
      <c r="B1624" s="3"/>
      <c r="C1624" s="3"/>
      <c r="D1624" s="5"/>
      <c r="E1624" s="5"/>
      <c r="F1624" s="3"/>
      <c r="G1624" s="3"/>
      <c r="H1624" s="3"/>
    </row>
    <row r="1625">
      <c r="A1625" s="3"/>
      <c r="B1625" s="3"/>
      <c r="C1625" s="3"/>
      <c r="D1625" s="5"/>
      <c r="E1625" s="5"/>
      <c r="F1625" s="3"/>
      <c r="G1625" s="7"/>
      <c r="H1625" s="3"/>
    </row>
    <row r="1626">
      <c r="A1626" s="3"/>
      <c r="B1626" s="3"/>
      <c r="C1626" s="3"/>
      <c r="D1626" s="5"/>
      <c r="E1626" s="5"/>
      <c r="F1626" s="3"/>
      <c r="G1626" s="7"/>
      <c r="H1626" s="3"/>
    </row>
    <row r="1627">
      <c r="A1627" s="3"/>
      <c r="B1627" s="3"/>
      <c r="C1627" s="3"/>
      <c r="D1627" s="5"/>
      <c r="E1627" s="5"/>
      <c r="F1627" s="3"/>
      <c r="G1627" s="7"/>
      <c r="H1627" s="3"/>
    </row>
    <row r="1628">
      <c r="A1628" s="3"/>
      <c r="B1628" s="3"/>
      <c r="C1628" s="3"/>
      <c r="D1628" s="5"/>
      <c r="E1628" s="5"/>
      <c r="F1628" s="3"/>
      <c r="G1628" s="7"/>
      <c r="H1628" s="3"/>
    </row>
    <row r="1629">
      <c r="A1629" s="3"/>
      <c r="B1629" s="3"/>
      <c r="C1629" s="3"/>
      <c r="D1629" s="5"/>
      <c r="E1629" s="5"/>
      <c r="F1629" s="3"/>
      <c r="G1629" s="3"/>
      <c r="H1629" s="3"/>
    </row>
    <row r="1630">
      <c r="A1630" s="3"/>
      <c r="B1630" s="3"/>
      <c r="C1630" s="3"/>
      <c r="D1630" s="5"/>
      <c r="E1630" s="5"/>
      <c r="F1630" s="3"/>
      <c r="G1630" s="7"/>
      <c r="H1630" s="3"/>
    </row>
    <row r="1631">
      <c r="A1631" s="3"/>
      <c r="B1631" s="3"/>
      <c r="C1631" s="3"/>
      <c r="D1631" s="5"/>
      <c r="E1631" s="5"/>
      <c r="F1631" s="3"/>
      <c r="G1631" s="7"/>
      <c r="H1631" s="3"/>
    </row>
    <row r="1632">
      <c r="A1632" s="3"/>
      <c r="B1632" s="3"/>
      <c r="C1632" s="3"/>
      <c r="D1632" s="5"/>
      <c r="E1632" s="5"/>
      <c r="F1632" s="3"/>
      <c r="G1632" s="7"/>
      <c r="H1632" s="3"/>
    </row>
    <row r="1633">
      <c r="A1633" s="3"/>
      <c r="B1633" s="3"/>
      <c r="C1633" s="3"/>
      <c r="D1633" s="5"/>
      <c r="E1633" s="5"/>
      <c r="F1633" s="3"/>
      <c r="G1633" s="7"/>
      <c r="H1633" s="3"/>
    </row>
    <row r="1634">
      <c r="A1634" s="3"/>
      <c r="B1634" s="3"/>
      <c r="C1634" s="3"/>
      <c r="D1634" s="5"/>
      <c r="E1634" s="5"/>
      <c r="F1634" s="3"/>
      <c r="G1634" s="3"/>
      <c r="H1634" s="3"/>
    </row>
    <row r="1635">
      <c r="A1635" s="3"/>
      <c r="B1635" s="3"/>
      <c r="C1635" s="3"/>
      <c r="D1635" s="5"/>
      <c r="E1635" s="5"/>
      <c r="F1635" s="3"/>
      <c r="G1635" s="7"/>
      <c r="H1635" s="3"/>
    </row>
    <row r="1636">
      <c r="A1636" s="3"/>
      <c r="B1636" s="3"/>
      <c r="C1636" s="3"/>
      <c r="D1636" s="5"/>
      <c r="E1636" s="5"/>
      <c r="F1636" s="3"/>
      <c r="G1636" s="7"/>
      <c r="H1636" s="3"/>
    </row>
    <row r="1637">
      <c r="A1637" s="3"/>
      <c r="B1637" s="3"/>
      <c r="C1637" s="3"/>
      <c r="D1637" s="5"/>
      <c r="E1637" s="5"/>
      <c r="F1637" s="3"/>
      <c r="G1637" s="7"/>
      <c r="H1637" s="3"/>
    </row>
    <row r="1638">
      <c r="A1638" s="3"/>
      <c r="B1638" s="3"/>
      <c r="C1638" s="3"/>
      <c r="D1638" s="5"/>
      <c r="E1638" s="5"/>
      <c r="F1638" s="3"/>
      <c r="G1638" s="7"/>
      <c r="H1638" s="3"/>
    </row>
    <row r="1639">
      <c r="A1639" s="3"/>
      <c r="B1639" s="3"/>
      <c r="C1639" s="3"/>
      <c r="D1639" s="5"/>
      <c r="E1639" s="5"/>
      <c r="F1639" s="3"/>
      <c r="G1639" s="3"/>
      <c r="H1639" s="3"/>
    </row>
    <row r="1640">
      <c r="A1640" s="3"/>
      <c r="B1640" s="3"/>
      <c r="C1640" s="3"/>
      <c r="D1640" s="5"/>
      <c r="E1640" s="5"/>
      <c r="F1640" s="3"/>
      <c r="G1640" s="7"/>
      <c r="H1640" s="3"/>
    </row>
    <row r="1641">
      <c r="A1641" s="3"/>
      <c r="B1641" s="3"/>
      <c r="C1641" s="3"/>
      <c r="D1641" s="5"/>
      <c r="E1641" s="5"/>
      <c r="F1641" s="3"/>
      <c r="G1641" s="7"/>
      <c r="H1641" s="3"/>
    </row>
    <row r="1642">
      <c r="A1642" s="3"/>
      <c r="B1642" s="3"/>
      <c r="C1642" s="3"/>
      <c r="D1642" s="5"/>
      <c r="E1642" s="5"/>
      <c r="F1642" s="3"/>
      <c r="G1642" s="7"/>
      <c r="H1642" s="3"/>
    </row>
    <row r="1643">
      <c r="A1643" s="3"/>
      <c r="B1643" s="3"/>
      <c r="C1643" s="3"/>
      <c r="D1643" s="5"/>
      <c r="E1643" s="5"/>
      <c r="F1643" s="3"/>
      <c r="G1643" s="7"/>
      <c r="H1643" s="3"/>
    </row>
    <row r="1644">
      <c r="A1644" s="3"/>
      <c r="B1644" s="3"/>
      <c r="C1644" s="3"/>
      <c r="D1644" s="5"/>
      <c r="E1644" s="5"/>
      <c r="F1644" s="3"/>
      <c r="G1644" s="3"/>
      <c r="H1644" s="3"/>
    </row>
    <row r="1645">
      <c r="A1645" s="3"/>
      <c r="B1645" s="3"/>
      <c r="C1645" s="3"/>
      <c r="D1645" s="5"/>
      <c r="E1645" s="5"/>
      <c r="F1645" s="3"/>
      <c r="G1645" s="7"/>
      <c r="H1645" s="3"/>
    </row>
    <row r="1646">
      <c r="A1646" s="3"/>
      <c r="B1646" s="3"/>
      <c r="C1646" s="3"/>
      <c r="D1646" s="5"/>
      <c r="E1646" s="5"/>
      <c r="F1646" s="3"/>
      <c r="G1646" s="7"/>
      <c r="H1646" s="3"/>
    </row>
    <row r="1647">
      <c r="A1647" s="3"/>
      <c r="B1647" s="3"/>
      <c r="C1647" s="3"/>
      <c r="D1647" s="5"/>
      <c r="E1647" s="5"/>
      <c r="F1647" s="3"/>
      <c r="G1647" s="7"/>
      <c r="H1647" s="3"/>
    </row>
    <row r="1648">
      <c r="A1648" s="3"/>
      <c r="B1648" s="3"/>
      <c r="C1648" s="3"/>
      <c r="D1648" s="5"/>
      <c r="E1648" s="5"/>
      <c r="F1648" s="3"/>
      <c r="G1648" s="7"/>
      <c r="H1648" s="3"/>
    </row>
    <row r="1649">
      <c r="A1649" s="3"/>
      <c r="B1649" s="3"/>
      <c r="C1649" s="3"/>
      <c r="D1649" s="5"/>
      <c r="E1649" s="5"/>
      <c r="F1649" s="3"/>
      <c r="G1649" s="3"/>
      <c r="H1649" s="3"/>
    </row>
    <row r="1650">
      <c r="A1650" s="3"/>
      <c r="B1650" s="3"/>
      <c r="C1650" s="3"/>
      <c r="D1650" s="5"/>
      <c r="E1650" s="5"/>
      <c r="F1650" s="3"/>
      <c r="G1650" s="7"/>
      <c r="H1650" s="3"/>
    </row>
    <row r="1651">
      <c r="A1651" s="3"/>
      <c r="B1651" s="3"/>
      <c r="C1651" s="3"/>
      <c r="D1651" s="5"/>
      <c r="E1651" s="5"/>
      <c r="F1651" s="3"/>
      <c r="G1651" s="7"/>
      <c r="H1651" s="3"/>
    </row>
    <row r="1652">
      <c r="A1652" s="3"/>
      <c r="B1652" s="3"/>
      <c r="C1652" s="3"/>
      <c r="D1652" s="5"/>
      <c r="E1652" s="5"/>
      <c r="F1652" s="3"/>
      <c r="G1652" s="7"/>
      <c r="H1652" s="3"/>
    </row>
    <row r="1653">
      <c r="A1653" s="3"/>
      <c r="B1653" s="3"/>
      <c r="C1653" s="3"/>
      <c r="D1653" s="5"/>
      <c r="E1653" s="5"/>
      <c r="F1653" s="3"/>
      <c r="G1653" s="7"/>
      <c r="H1653" s="3"/>
    </row>
    <row r="1654">
      <c r="A1654" s="3"/>
      <c r="B1654" s="3"/>
      <c r="C1654" s="3"/>
      <c r="D1654" s="5"/>
      <c r="E1654" s="5"/>
      <c r="F1654" s="3"/>
      <c r="G1654" s="3"/>
      <c r="H1654" s="3"/>
    </row>
    <row r="1655">
      <c r="A1655" s="3"/>
      <c r="B1655" s="3"/>
      <c r="C1655" s="3"/>
      <c r="D1655" s="5"/>
      <c r="E1655" s="5"/>
      <c r="F1655" s="3"/>
      <c r="G1655" s="7"/>
      <c r="H1655" s="3"/>
    </row>
    <row r="1656">
      <c r="A1656" s="3"/>
      <c r="B1656" s="3"/>
      <c r="C1656" s="3"/>
      <c r="D1656" s="5"/>
      <c r="E1656" s="5"/>
      <c r="F1656" s="3"/>
      <c r="G1656" s="7"/>
      <c r="H1656" s="3"/>
    </row>
    <row r="1657">
      <c r="A1657" s="3"/>
      <c r="B1657" s="3"/>
      <c r="C1657" s="3"/>
      <c r="D1657" s="5"/>
      <c r="E1657" s="5"/>
      <c r="F1657" s="3"/>
      <c r="G1657" s="7"/>
      <c r="H1657" s="3"/>
    </row>
    <row r="1658">
      <c r="A1658" s="3"/>
      <c r="B1658" s="3"/>
      <c r="C1658" s="3"/>
      <c r="D1658" s="5"/>
      <c r="E1658" s="5"/>
      <c r="F1658" s="3"/>
      <c r="G1658" s="7"/>
      <c r="H1658" s="3"/>
    </row>
    <row r="1659">
      <c r="A1659" s="3"/>
      <c r="B1659" s="3"/>
      <c r="C1659" s="3"/>
      <c r="D1659" s="5"/>
      <c r="E1659" s="5"/>
      <c r="F1659" s="3"/>
      <c r="G1659" s="3"/>
      <c r="H1659" s="3"/>
    </row>
    <row r="1660">
      <c r="A1660" s="3"/>
      <c r="B1660" s="3"/>
      <c r="C1660" s="3"/>
      <c r="D1660" s="5"/>
      <c r="E1660" s="5"/>
      <c r="F1660" s="3"/>
      <c r="G1660" s="7"/>
      <c r="H1660" s="3"/>
    </row>
    <row r="1661">
      <c r="A1661" s="3"/>
      <c r="B1661" s="3"/>
      <c r="C1661" s="3"/>
      <c r="D1661" s="5"/>
      <c r="E1661" s="5"/>
      <c r="F1661" s="3"/>
      <c r="G1661" s="7"/>
      <c r="H1661" s="3"/>
    </row>
    <row r="1662">
      <c r="A1662" s="3"/>
      <c r="B1662" s="3"/>
      <c r="C1662" s="3"/>
      <c r="D1662" s="5"/>
      <c r="E1662" s="5"/>
      <c r="F1662" s="3"/>
      <c r="G1662" s="7"/>
      <c r="H1662" s="3"/>
    </row>
    <row r="1663">
      <c r="A1663" s="3"/>
      <c r="B1663" s="3"/>
      <c r="C1663" s="3"/>
      <c r="D1663" s="5"/>
      <c r="E1663" s="5"/>
      <c r="F1663" s="3"/>
      <c r="G1663" s="7"/>
      <c r="H1663" s="3"/>
    </row>
    <row r="1664">
      <c r="A1664" s="3"/>
      <c r="B1664" s="3"/>
      <c r="C1664" s="3"/>
      <c r="D1664" s="5"/>
      <c r="E1664" s="5"/>
      <c r="F1664" s="3"/>
      <c r="G1664" s="3"/>
      <c r="H1664" s="3"/>
    </row>
    <row r="1665">
      <c r="A1665" s="3"/>
      <c r="B1665" s="3"/>
      <c r="C1665" s="3"/>
      <c r="D1665" s="5"/>
      <c r="E1665" s="5"/>
      <c r="F1665" s="3"/>
      <c r="G1665" s="7"/>
      <c r="H1665" s="3"/>
    </row>
    <row r="1666">
      <c r="A1666" s="3"/>
      <c r="B1666" s="3"/>
      <c r="C1666" s="3"/>
      <c r="D1666" s="5"/>
      <c r="E1666" s="5"/>
      <c r="F1666" s="3"/>
      <c r="G1666" s="7"/>
      <c r="H1666" s="3"/>
    </row>
    <row r="1667">
      <c r="A1667" s="3"/>
      <c r="B1667" s="3"/>
      <c r="C1667" s="3"/>
      <c r="D1667" s="5"/>
      <c r="E1667" s="5"/>
      <c r="F1667" s="3"/>
      <c r="G1667" s="7"/>
      <c r="H1667" s="3"/>
    </row>
    <row r="1668">
      <c r="A1668" s="3"/>
      <c r="B1668" s="3"/>
      <c r="C1668" s="3"/>
      <c r="D1668" s="5"/>
      <c r="E1668" s="5"/>
      <c r="F1668" s="3"/>
      <c r="G1668" s="7"/>
      <c r="H1668" s="3"/>
    </row>
    <row r="1669">
      <c r="A1669" s="3"/>
      <c r="B1669" s="3"/>
      <c r="C1669" s="3"/>
      <c r="D1669" s="5"/>
      <c r="E1669" s="5"/>
      <c r="F1669" s="3"/>
      <c r="G1669" s="3"/>
      <c r="H1669" s="3"/>
    </row>
    <row r="1670">
      <c r="A1670" s="3"/>
      <c r="B1670" s="3"/>
      <c r="C1670" s="3"/>
      <c r="D1670" s="5"/>
      <c r="E1670" s="5"/>
      <c r="F1670" s="3"/>
      <c r="G1670" s="7"/>
      <c r="H1670" s="3"/>
    </row>
    <row r="1671">
      <c r="A1671" s="3"/>
      <c r="B1671" s="3"/>
      <c r="C1671" s="3"/>
      <c r="D1671" s="5"/>
      <c r="E1671" s="5"/>
      <c r="F1671" s="3"/>
      <c r="G1671" s="7"/>
      <c r="H1671" s="3"/>
    </row>
    <row r="1672">
      <c r="A1672" s="3"/>
      <c r="B1672" s="3"/>
      <c r="C1672" s="3"/>
      <c r="D1672" s="5"/>
      <c r="E1672" s="5"/>
      <c r="F1672" s="3"/>
      <c r="G1672" s="7"/>
      <c r="H1672" s="3"/>
    </row>
    <row r="1673">
      <c r="A1673" s="3"/>
      <c r="B1673" s="3"/>
      <c r="C1673" s="3"/>
      <c r="D1673" s="5"/>
      <c r="E1673" s="5"/>
      <c r="F1673" s="3"/>
      <c r="G1673" s="7"/>
      <c r="H1673" s="3"/>
    </row>
    <row r="1674">
      <c r="A1674" s="3"/>
      <c r="B1674" s="3"/>
      <c r="C1674" s="3"/>
      <c r="D1674" s="5"/>
      <c r="E1674" s="5"/>
      <c r="F1674" s="3"/>
      <c r="G1674" s="3"/>
      <c r="H1674" s="3"/>
    </row>
    <row r="1675">
      <c r="A1675" s="3"/>
      <c r="B1675" s="3"/>
      <c r="C1675" s="3"/>
      <c r="D1675" s="5"/>
      <c r="E1675" s="5"/>
      <c r="F1675" s="3"/>
      <c r="G1675" s="7"/>
      <c r="H1675" s="3"/>
    </row>
    <row r="1676">
      <c r="A1676" s="3"/>
      <c r="B1676" s="3"/>
      <c r="C1676" s="3"/>
      <c r="D1676" s="5"/>
      <c r="E1676" s="5"/>
      <c r="F1676" s="3"/>
      <c r="G1676" s="7"/>
      <c r="H1676" s="3"/>
    </row>
    <row r="1677">
      <c r="A1677" s="3"/>
      <c r="B1677" s="3"/>
      <c r="C1677" s="3"/>
      <c r="D1677" s="5"/>
      <c r="E1677" s="5"/>
      <c r="F1677" s="3"/>
      <c r="G1677" s="7"/>
      <c r="H1677" s="3"/>
    </row>
    <row r="1678">
      <c r="A1678" s="3"/>
      <c r="B1678" s="3"/>
      <c r="C1678" s="3"/>
      <c r="D1678" s="5"/>
      <c r="E1678" s="5"/>
      <c r="F1678" s="3"/>
      <c r="G1678" s="7"/>
      <c r="H1678" s="3"/>
    </row>
    <row r="1679">
      <c r="A1679" s="3"/>
      <c r="B1679" s="3"/>
      <c r="C1679" s="3"/>
      <c r="D1679" s="5"/>
      <c r="E1679" s="5"/>
      <c r="F1679" s="3"/>
      <c r="G1679" s="3"/>
      <c r="H1679" s="3"/>
    </row>
    <row r="1680">
      <c r="A1680" s="3"/>
      <c r="B1680" s="3"/>
      <c r="C1680" s="3"/>
      <c r="D1680" s="5"/>
      <c r="E1680" s="5"/>
      <c r="F1680" s="3"/>
      <c r="G1680" s="7"/>
      <c r="H1680" s="3"/>
    </row>
    <row r="1681">
      <c r="A1681" s="3"/>
      <c r="B1681" s="3"/>
      <c r="C1681" s="3"/>
      <c r="D1681" s="5"/>
      <c r="E1681" s="5"/>
      <c r="F1681" s="3"/>
      <c r="G1681" s="7"/>
      <c r="H1681" s="3"/>
    </row>
    <row r="1682">
      <c r="A1682" s="3"/>
      <c r="B1682" s="3"/>
      <c r="C1682" s="3"/>
      <c r="D1682" s="5"/>
      <c r="E1682" s="5"/>
      <c r="F1682" s="3"/>
      <c r="G1682" s="7"/>
      <c r="H1682" s="3"/>
    </row>
    <row r="1683">
      <c r="A1683" s="3"/>
      <c r="B1683" s="3"/>
      <c r="C1683" s="3"/>
      <c r="D1683" s="5"/>
      <c r="E1683" s="5"/>
      <c r="F1683" s="3"/>
      <c r="G1683" s="7"/>
      <c r="H1683" s="3"/>
    </row>
    <row r="1684">
      <c r="A1684" s="3"/>
      <c r="B1684" s="3"/>
      <c r="C1684" s="3"/>
      <c r="D1684" s="5"/>
      <c r="E1684" s="5"/>
      <c r="F1684" s="3"/>
      <c r="G1684" s="3"/>
      <c r="H1684" s="3"/>
    </row>
    <row r="1685">
      <c r="A1685" s="3"/>
      <c r="B1685" s="3"/>
      <c r="C1685" s="3"/>
      <c r="D1685" s="5"/>
      <c r="E1685" s="5"/>
      <c r="F1685" s="3"/>
      <c r="G1685" s="7"/>
      <c r="H1685" s="3"/>
    </row>
    <row r="1686">
      <c r="A1686" s="3"/>
      <c r="B1686" s="3"/>
      <c r="C1686" s="3"/>
      <c r="D1686" s="5"/>
      <c r="E1686" s="5"/>
      <c r="F1686" s="3"/>
      <c r="G1686" s="7"/>
      <c r="H1686" s="3"/>
    </row>
    <row r="1687">
      <c r="A1687" s="3"/>
      <c r="B1687" s="3"/>
      <c r="C1687" s="3"/>
      <c r="D1687" s="5"/>
      <c r="E1687" s="5"/>
      <c r="F1687" s="3"/>
      <c r="G1687" s="7"/>
      <c r="H1687" s="3"/>
    </row>
    <row r="1688">
      <c r="A1688" s="3"/>
      <c r="B1688" s="3"/>
      <c r="C1688" s="3"/>
      <c r="D1688" s="5"/>
      <c r="E1688" s="5"/>
      <c r="F1688" s="3"/>
      <c r="G1688" s="7"/>
      <c r="H1688" s="3"/>
    </row>
    <row r="1689">
      <c r="A1689" s="3"/>
      <c r="B1689" s="3"/>
      <c r="C1689" s="3"/>
      <c r="D1689" s="5"/>
      <c r="E1689" s="5"/>
      <c r="F1689" s="3"/>
      <c r="G1689" s="3"/>
      <c r="H1689" s="3"/>
    </row>
    <row r="1690">
      <c r="A1690" s="3"/>
      <c r="B1690" s="3"/>
      <c r="C1690" s="3"/>
      <c r="D1690" s="5"/>
      <c r="E1690" s="5"/>
      <c r="F1690" s="3"/>
      <c r="G1690" s="7"/>
      <c r="H1690" s="3"/>
    </row>
    <row r="1691">
      <c r="A1691" s="3"/>
      <c r="B1691" s="3"/>
      <c r="C1691" s="3"/>
      <c r="D1691" s="5"/>
      <c r="E1691" s="5"/>
      <c r="F1691" s="3"/>
      <c r="G1691" s="7"/>
      <c r="H1691" s="3"/>
    </row>
    <row r="1692">
      <c r="A1692" s="3"/>
      <c r="B1692" s="3"/>
      <c r="C1692" s="3"/>
      <c r="D1692" s="5"/>
      <c r="E1692" s="5"/>
      <c r="F1692" s="3"/>
      <c r="G1692" s="7"/>
      <c r="H1692" s="3"/>
    </row>
    <row r="1693">
      <c r="A1693" s="3"/>
      <c r="B1693" s="3"/>
      <c r="C1693" s="3"/>
      <c r="D1693" s="5"/>
      <c r="E1693" s="5"/>
      <c r="F1693" s="3"/>
      <c r="G1693" s="7"/>
      <c r="H1693" s="3"/>
    </row>
    <row r="1694">
      <c r="A1694" s="3"/>
      <c r="B1694" s="3"/>
      <c r="C1694" s="3"/>
      <c r="D1694" s="5"/>
      <c r="E1694" s="5"/>
      <c r="F1694" s="3"/>
      <c r="G1694" s="3"/>
      <c r="H1694" s="3"/>
    </row>
    <row r="1695">
      <c r="A1695" s="3"/>
      <c r="B1695" s="3"/>
      <c r="C1695" s="3"/>
      <c r="D1695" s="5"/>
      <c r="E1695" s="5"/>
      <c r="F1695" s="3"/>
      <c r="G1695" s="7"/>
      <c r="H1695" s="3"/>
    </row>
    <row r="1696">
      <c r="A1696" s="3"/>
      <c r="B1696" s="3"/>
      <c r="C1696" s="3"/>
      <c r="D1696" s="5"/>
      <c r="E1696" s="5"/>
      <c r="F1696" s="3"/>
      <c r="G1696" s="7"/>
      <c r="H1696" s="3"/>
    </row>
    <row r="1697">
      <c r="A1697" s="3"/>
      <c r="B1697" s="3"/>
      <c r="C1697" s="3"/>
      <c r="D1697" s="5"/>
      <c r="E1697" s="5"/>
      <c r="F1697" s="3"/>
      <c r="G1697" s="7"/>
      <c r="H1697" s="3"/>
    </row>
    <row r="1698">
      <c r="A1698" s="3"/>
      <c r="B1698" s="3"/>
      <c r="C1698" s="3"/>
      <c r="D1698" s="5"/>
      <c r="E1698" s="5"/>
      <c r="F1698" s="3"/>
      <c r="G1698" s="7"/>
      <c r="H1698" s="3"/>
    </row>
    <row r="1699">
      <c r="A1699" s="3"/>
      <c r="B1699" s="3"/>
      <c r="C1699" s="3"/>
      <c r="D1699" s="5"/>
      <c r="E1699" s="5"/>
      <c r="F1699" s="3"/>
      <c r="G1699" s="3"/>
      <c r="H1699" s="3"/>
    </row>
    <row r="1700">
      <c r="A1700" s="3"/>
      <c r="B1700" s="3"/>
      <c r="C1700" s="3"/>
      <c r="D1700" s="5"/>
      <c r="E1700" s="5"/>
      <c r="F1700" s="3"/>
      <c r="G1700" s="7"/>
      <c r="H1700" s="3"/>
    </row>
    <row r="1701">
      <c r="A1701" s="3"/>
      <c r="B1701" s="3"/>
      <c r="C1701" s="3"/>
      <c r="D1701" s="5"/>
      <c r="E1701" s="5"/>
      <c r="F1701" s="3"/>
      <c r="G1701" s="7"/>
      <c r="H1701" s="3"/>
    </row>
    <row r="1702">
      <c r="A1702" s="3"/>
      <c r="B1702" s="3"/>
      <c r="C1702" s="3"/>
      <c r="D1702" s="5"/>
      <c r="E1702" s="5"/>
      <c r="F1702" s="3"/>
      <c r="G1702" s="7"/>
      <c r="H1702" s="3"/>
    </row>
    <row r="1703">
      <c r="A1703" s="3"/>
      <c r="B1703" s="3"/>
      <c r="C1703" s="3"/>
      <c r="D1703" s="5"/>
      <c r="E1703" s="5"/>
      <c r="F1703" s="3"/>
      <c r="G1703" s="7"/>
      <c r="H1703" s="3"/>
    </row>
    <row r="1704">
      <c r="A1704" s="3"/>
      <c r="B1704" s="3"/>
      <c r="C1704" s="3"/>
      <c r="D1704" s="5"/>
      <c r="E1704" s="5"/>
      <c r="F1704" s="3"/>
      <c r="G1704" s="3"/>
      <c r="H1704" s="3"/>
    </row>
    <row r="1705">
      <c r="A1705" s="3"/>
      <c r="B1705" s="3"/>
      <c r="C1705" s="117"/>
      <c r="D1705" s="5"/>
      <c r="E1705" s="5"/>
      <c r="F1705" s="3"/>
      <c r="G1705" s="7"/>
      <c r="H1705" s="3"/>
    </row>
    <row r="1706">
      <c r="A1706" s="3"/>
      <c r="B1706" s="3"/>
      <c r="C1706" s="117"/>
      <c r="D1706" s="5"/>
      <c r="E1706" s="5"/>
      <c r="F1706" s="3"/>
      <c r="G1706" s="7"/>
      <c r="H1706" s="3"/>
    </row>
    <row r="1707">
      <c r="A1707" s="3"/>
      <c r="B1707" s="3"/>
      <c r="C1707" s="117"/>
      <c r="D1707" s="5"/>
      <c r="E1707" s="5"/>
      <c r="F1707" s="3"/>
      <c r="G1707" s="7"/>
      <c r="H1707" s="3"/>
    </row>
    <row r="1708">
      <c r="A1708" s="3"/>
      <c r="B1708" s="3"/>
      <c r="C1708" s="117"/>
      <c r="D1708" s="5"/>
      <c r="E1708" s="5"/>
      <c r="F1708" s="3"/>
      <c r="G1708" s="7"/>
      <c r="H1708" s="3"/>
    </row>
    <row r="1709">
      <c r="A1709" s="3"/>
      <c r="B1709" s="3"/>
      <c r="C1709" s="117"/>
      <c r="D1709" s="5"/>
      <c r="E1709" s="5"/>
      <c r="F1709" s="3"/>
      <c r="G1709" s="3"/>
      <c r="H1709" s="3"/>
    </row>
    <row r="1710">
      <c r="A1710" s="3"/>
      <c r="B1710" s="3"/>
      <c r="C1710" s="3"/>
      <c r="D1710" s="5"/>
      <c r="E1710" s="5"/>
      <c r="F1710" s="3"/>
      <c r="G1710" s="7"/>
      <c r="H1710" s="3"/>
    </row>
    <row r="1711">
      <c r="A1711" s="3"/>
      <c r="B1711" s="3"/>
      <c r="C1711" s="3"/>
      <c r="D1711" s="5"/>
      <c r="E1711" s="5"/>
      <c r="F1711" s="3"/>
      <c r="G1711" s="7"/>
      <c r="H1711" s="3"/>
    </row>
    <row r="1712">
      <c r="A1712" s="3"/>
      <c r="B1712" s="3"/>
      <c r="C1712" s="3"/>
      <c r="D1712" s="5"/>
      <c r="E1712" s="5"/>
      <c r="F1712" s="3"/>
      <c r="G1712" s="7"/>
      <c r="H1712" s="3"/>
    </row>
    <row r="1713">
      <c r="A1713" s="3"/>
      <c r="B1713" s="3"/>
      <c r="C1713" s="3"/>
      <c r="D1713" s="5"/>
      <c r="E1713" s="5"/>
      <c r="F1713" s="3"/>
      <c r="G1713" s="7"/>
      <c r="H1713" s="3"/>
    </row>
    <row r="1714">
      <c r="A1714" s="3"/>
      <c r="B1714" s="3"/>
      <c r="C1714" s="3"/>
      <c r="D1714" s="5"/>
      <c r="E1714" s="5"/>
      <c r="F1714" s="3"/>
      <c r="G1714" s="3"/>
      <c r="H1714" s="3"/>
    </row>
    <row r="1715">
      <c r="A1715" s="3"/>
      <c r="B1715" s="3"/>
      <c r="C1715" s="3"/>
      <c r="D1715" s="5"/>
      <c r="E1715" s="5"/>
      <c r="F1715" s="3"/>
      <c r="G1715" s="7"/>
      <c r="H1715" s="3"/>
    </row>
    <row r="1716">
      <c r="A1716" s="3"/>
      <c r="B1716" s="3"/>
      <c r="C1716" s="3"/>
      <c r="D1716" s="5"/>
      <c r="E1716" s="5"/>
      <c r="F1716" s="3"/>
      <c r="G1716" s="7"/>
      <c r="H1716" s="3"/>
    </row>
    <row r="1717">
      <c r="A1717" s="3"/>
      <c r="B1717" s="3"/>
      <c r="C1717" s="3"/>
      <c r="D1717" s="5"/>
      <c r="E1717" s="5"/>
      <c r="F1717" s="3"/>
      <c r="G1717" s="7"/>
      <c r="H1717" s="3"/>
    </row>
    <row r="1718">
      <c r="A1718" s="3"/>
      <c r="B1718" s="3"/>
      <c r="C1718" s="3"/>
      <c r="D1718" s="5"/>
      <c r="E1718" s="5"/>
      <c r="F1718" s="3"/>
      <c r="G1718" s="7"/>
      <c r="H1718" s="3"/>
    </row>
    <row r="1719">
      <c r="A1719" s="3"/>
      <c r="B1719" s="3"/>
      <c r="C1719" s="3"/>
      <c r="D1719" s="5"/>
      <c r="E1719" s="5"/>
      <c r="F1719" s="3"/>
      <c r="G1719" s="3"/>
      <c r="H1719" s="3"/>
    </row>
    <row r="1720">
      <c r="A1720" s="3"/>
      <c r="B1720" s="3"/>
      <c r="C1720" s="3"/>
      <c r="D1720" s="5"/>
      <c r="E1720" s="5"/>
      <c r="F1720" s="3"/>
      <c r="G1720" s="7"/>
      <c r="H1720" s="3"/>
    </row>
    <row r="1721">
      <c r="A1721" s="3"/>
      <c r="B1721" s="3"/>
      <c r="C1721" s="3"/>
      <c r="D1721" s="5"/>
      <c r="E1721" s="5"/>
      <c r="F1721" s="3"/>
      <c r="G1721" s="7"/>
      <c r="H1721" s="3"/>
    </row>
    <row r="1722">
      <c r="A1722" s="3"/>
      <c r="B1722" s="3"/>
      <c r="C1722" s="3"/>
      <c r="D1722" s="5"/>
      <c r="E1722" s="5"/>
      <c r="F1722" s="3"/>
      <c r="G1722" s="7"/>
      <c r="H1722" s="3"/>
    </row>
    <row r="1723">
      <c r="A1723" s="3"/>
      <c r="B1723" s="3"/>
      <c r="C1723" s="3"/>
      <c r="D1723" s="5"/>
      <c r="E1723" s="5"/>
      <c r="F1723" s="3"/>
      <c r="G1723" s="7"/>
      <c r="H1723" s="3"/>
    </row>
    <row r="1724">
      <c r="A1724" s="3"/>
      <c r="B1724" s="3"/>
      <c r="C1724" s="3"/>
      <c r="D1724" s="5"/>
      <c r="E1724" s="5"/>
      <c r="F1724" s="3"/>
      <c r="G1724" s="3"/>
      <c r="H1724" s="3"/>
    </row>
    <row r="1725">
      <c r="A1725" s="3"/>
      <c r="B1725" s="3"/>
      <c r="C1725" s="3"/>
      <c r="D1725" s="5"/>
      <c r="E1725" s="5"/>
      <c r="F1725" s="3"/>
      <c r="G1725" s="7"/>
      <c r="H1725" s="3"/>
    </row>
    <row r="1726">
      <c r="A1726" s="3"/>
      <c r="B1726" s="3"/>
      <c r="C1726" s="3"/>
      <c r="D1726" s="5"/>
      <c r="E1726" s="5"/>
      <c r="F1726" s="3"/>
      <c r="G1726" s="7"/>
      <c r="H1726" s="3"/>
    </row>
    <row r="1727">
      <c r="A1727" s="3"/>
      <c r="B1727" s="3"/>
      <c r="C1727" s="3"/>
      <c r="D1727" s="5"/>
      <c r="E1727" s="5"/>
      <c r="F1727" s="3"/>
      <c r="G1727" s="7"/>
      <c r="H1727" s="3"/>
    </row>
    <row r="1728">
      <c r="A1728" s="3"/>
      <c r="B1728" s="3"/>
      <c r="C1728" s="3"/>
      <c r="D1728" s="5"/>
      <c r="E1728" s="5"/>
      <c r="F1728" s="3"/>
      <c r="G1728" s="7"/>
      <c r="H1728" s="3"/>
    </row>
    <row r="1729">
      <c r="A1729" s="3"/>
      <c r="B1729" s="3"/>
      <c r="C1729" s="3"/>
      <c r="D1729" s="5"/>
      <c r="E1729" s="5"/>
      <c r="F1729" s="3"/>
      <c r="G1729" s="3"/>
      <c r="H1729" s="3"/>
    </row>
    <row r="1730">
      <c r="A1730" s="3"/>
      <c r="B1730" s="3"/>
      <c r="C1730" s="3"/>
      <c r="D1730" s="5"/>
      <c r="E1730" s="5"/>
      <c r="F1730" s="3"/>
      <c r="G1730" s="7"/>
      <c r="H1730" s="3"/>
    </row>
    <row r="1731">
      <c r="A1731" s="3"/>
      <c r="B1731" s="3"/>
      <c r="C1731" s="3"/>
      <c r="D1731" s="5"/>
      <c r="E1731" s="5"/>
      <c r="F1731" s="3"/>
      <c r="G1731" s="7"/>
      <c r="H1731" s="3"/>
    </row>
    <row r="1732">
      <c r="A1732" s="3"/>
      <c r="B1732" s="3"/>
      <c r="C1732" s="3"/>
      <c r="D1732" s="5"/>
      <c r="E1732" s="5"/>
      <c r="F1732" s="3"/>
      <c r="G1732" s="7"/>
      <c r="H1732" s="3"/>
    </row>
    <row r="1733">
      <c r="A1733" s="3"/>
      <c r="B1733" s="3"/>
      <c r="C1733" s="3"/>
      <c r="D1733" s="5"/>
      <c r="E1733" s="5"/>
      <c r="F1733" s="3"/>
      <c r="G1733" s="7"/>
      <c r="H1733" s="3"/>
    </row>
    <row r="1734">
      <c r="A1734" s="3"/>
      <c r="B1734" s="3"/>
      <c r="C1734" s="3"/>
      <c r="D1734" s="5"/>
      <c r="E1734" s="5"/>
      <c r="F1734" s="3"/>
      <c r="G1734" s="3"/>
      <c r="H1734" s="3"/>
    </row>
    <row r="1735">
      <c r="A1735" s="3"/>
      <c r="B1735" s="3"/>
      <c r="C1735" s="3"/>
      <c r="D1735" s="5"/>
      <c r="E1735" s="5"/>
      <c r="F1735" s="3"/>
      <c r="G1735" s="7"/>
      <c r="H1735" s="3"/>
    </row>
    <row r="1736">
      <c r="A1736" s="3"/>
      <c r="B1736" s="3"/>
      <c r="C1736" s="3"/>
      <c r="D1736" s="5"/>
      <c r="E1736" s="5"/>
      <c r="F1736" s="3"/>
      <c r="G1736" s="7"/>
      <c r="H1736" s="3"/>
    </row>
    <row r="1737">
      <c r="A1737" s="3"/>
      <c r="B1737" s="3"/>
      <c r="C1737" s="3"/>
      <c r="D1737" s="5"/>
      <c r="E1737" s="5"/>
      <c r="F1737" s="3"/>
      <c r="G1737" s="7"/>
      <c r="H1737" s="3"/>
    </row>
    <row r="1738">
      <c r="A1738" s="3"/>
      <c r="B1738" s="3"/>
      <c r="C1738" s="3"/>
      <c r="D1738" s="5"/>
      <c r="E1738" s="5"/>
      <c r="F1738" s="3"/>
      <c r="G1738" s="7"/>
      <c r="H1738" s="3"/>
    </row>
    <row r="1739">
      <c r="A1739" s="3"/>
      <c r="B1739" s="3"/>
      <c r="C1739" s="3"/>
      <c r="D1739" s="5"/>
      <c r="E1739" s="5"/>
      <c r="F1739" s="3"/>
      <c r="G1739" s="3"/>
      <c r="H1739" s="3"/>
    </row>
    <row r="1740">
      <c r="A1740" s="3"/>
      <c r="B1740" s="3"/>
      <c r="C1740" s="3"/>
      <c r="D1740" s="5"/>
      <c r="E1740" s="5"/>
      <c r="F1740" s="3"/>
      <c r="G1740" s="7"/>
      <c r="H1740" s="3"/>
    </row>
    <row r="1741">
      <c r="A1741" s="3"/>
      <c r="B1741" s="3"/>
      <c r="C1741" s="3"/>
      <c r="D1741" s="5"/>
      <c r="E1741" s="5"/>
      <c r="F1741" s="3"/>
      <c r="G1741" s="7"/>
      <c r="H1741" s="3"/>
    </row>
    <row r="1742">
      <c r="A1742" s="3"/>
      <c r="B1742" s="3"/>
      <c r="C1742" s="3"/>
      <c r="D1742" s="5"/>
      <c r="E1742" s="5"/>
      <c r="F1742" s="3"/>
      <c r="G1742" s="7"/>
      <c r="H1742" s="3"/>
    </row>
    <row r="1743">
      <c r="A1743" s="3"/>
      <c r="B1743" s="3"/>
      <c r="C1743" s="3"/>
      <c r="D1743" s="5"/>
      <c r="E1743" s="5"/>
      <c r="F1743" s="3"/>
      <c r="G1743" s="7"/>
      <c r="H1743" s="3"/>
    </row>
    <row r="1744">
      <c r="A1744" s="3"/>
      <c r="B1744" s="3"/>
      <c r="C1744" s="3"/>
      <c r="D1744" s="5"/>
      <c r="E1744" s="5"/>
      <c r="F1744" s="3"/>
      <c r="G1744" s="3"/>
      <c r="H1744" s="3"/>
    </row>
    <row r="1745">
      <c r="A1745" s="3"/>
      <c r="B1745" s="3"/>
      <c r="C1745" s="3"/>
      <c r="D1745" s="5"/>
      <c r="E1745" s="5"/>
      <c r="F1745" s="3"/>
      <c r="G1745" s="7"/>
      <c r="H1745" s="3"/>
    </row>
    <row r="1746">
      <c r="A1746" s="3"/>
      <c r="B1746" s="3"/>
      <c r="C1746" s="3"/>
      <c r="D1746" s="5"/>
      <c r="E1746" s="5"/>
      <c r="F1746" s="3"/>
      <c r="G1746" s="7"/>
      <c r="H1746" s="3"/>
    </row>
    <row r="1747">
      <c r="A1747" s="3"/>
      <c r="B1747" s="3"/>
      <c r="C1747" s="3"/>
      <c r="D1747" s="5"/>
      <c r="E1747" s="5"/>
      <c r="F1747" s="3"/>
      <c r="G1747" s="7"/>
      <c r="H1747" s="3"/>
    </row>
    <row r="1748">
      <c r="A1748" s="3"/>
      <c r="B1748" s="3"/>
      <c r="C1748" s="3"/>
      <c r="D1748" s="5"/>
      <c r="E1748" s="5"/>
      <c r="F1748" s="3"/>
      <c r="G1748" s="7"/>
      <c r="H1748" s="3"/>
    </row>
    <row r="1749">
      <c r="A1749" s="3"/>
      <c r="B1749" s="3"/>
      <c r="C1749" s="3"/>
      <c r="D1749" s="5"/>
      <c r="E1749" s="5"/>
      <c r="F1749" s="3"/>
      <c r="G1749" s="3"/>
      <c r="H1749" s="3"/>
    </row>
    <row r="1750">
      <c r="A1750" s="3"/>
      <c r="B1750" s="3"/>
      <c r="C1750" s="3"/>
      <c r="D1750" s="5"/>
      <c r="E1750" s="5"/>
      <c r="F1750" s="3"/>
      <c r="G1750" s="7"/>
      <c r="H1750" s="3"/>
    </row>
    <row r="1751">
      <c r="A1751" s="3"/>
      <c r="B1751" s="3"/>
      <c r="C1751" s="3"/>
      <c r="D1751" s="5"/>
      <c r="E1751" s="5"/>
      <c r="F1751" s="3"/>
      <c r="G1751" s="7"/>
      <c r="H1751" s="3"/>
    </row>
    <row r="1752">
      <c r="A1752" s="3"/>
      <c r="B1752" s="3"/>
      <c r="C1752" s="3"/>
      <c r="D1752" s="5"/>
      <c r="E1752" s="5"/>
      <c r="F1752" s="3"/>
      <c r="G1752" s="7"/>
      <c r="H1752" s="3"/>
    </row>
    <row r="1753">
      <c r="A1753" s="3"/>
      <c r="B1753" s="3"/>
      <c r="C1753" s="3"/>
      <c r="D1753" s="5"/>
      <c r="E1753" s="5"/>
      <c r="F1753" s="3"/>
      <c r="G1753" s="7"/>
      <c r="H1753" s="3"/>
    </row>
    <row r="1754">
      <c r="A1754" s="3"/>
      <c r="B1754" s="3"/>
      <c r="C1754" s="3"/>
      <c r="D1754" s="5"/>
      <c r="E1754" s="5"/>
      <c r="F1754" s="3"/>
      <c r="G1754" s="3"/>
      <c r="H1754" s="3"/>
    </row>
    <row r="1755">
      <c r="A1755" s="3"/>
      <c r="B1755" s="3"/>
      <c r="C1755" s="3"/>
      <c r="D1755" s="5"/>
      <c r="E1755" s="5"/>
      <c r="F1755" s="3"/>
      <c r="G1755" s="7"/>
      <c r="H1755" s="3"/>
    </row>
    <row r="1756">
      <c r="A1756" s="3"/>
      <c r="B1756" s="3"/>
      <c r="C1756" s="3"/>
      <c r="D1756" s="5"/>
      <c r="E1756" s="5"/>
      <c r="F1756" s="3"/>
      <c r="G1756" s="7"/>
      <c r="H1756" s="3"/>
    </row>
    <row r="1757">
      <c r="A1757" s="3"/>
      <c r="B1757" s="3"/>
      <c r="C1757" s="3"/>
      <c r="D1757" s="5"/>
      <c r="E1757" s="5"/>
      <c r="F1757" s="3"/>
      <c r="G1757" s="7"/>
      <c r="H1757" s="3"/>
    </row>
    <row r="1758">
      <c r="A1758" s="3"/>
      <c r="B1758" s="3"/>
      <c r="C1758" s="3"/>
      <c r="D1758" s="5"/>
      <c r="E1758" s="5"/>
      <c r="F1758" s="3"/>
      <c r="G1758" s="7"/>
      <c r="H1758" s="3"/>
    </row>
    <row r="1759">
      <c r="A1759" s="3"/>
      <c r="B1759" s="3"/>
      <c r="C1759" s="3"/>
      <c r="D1759" s="5"/>
      <c r="E1759" s="5"/>
      <c r="F1759" s="3"/>
      <c r="G1759" s="3"/>
      <c r="H1759" s="3"/>
    </row>
    <row r="1760">
      <c r="A1760" s="3"/>
      <c r="B1760" s="3"/>
      <c r="C1760" s="3"/>
      <c r="D1760" s="5"/>
      <c r="E1760" s="5"/>
      <c r="F1760" s="3"/>
      <c r="G1760" s="7"/>
      <c r="H1760" s="3"/>
    </row>
    <row r="1761">
      <c r="A1761" s="3"/>
      <c r="B1761" s="3"/>
      <c r="C1761" s="3"/>
      <c r="D1761" s="5"/>
      <c r="E1761" s="5"/>
      <c r="F1761" s="3"/>
      <c r="G1761" s="7"/>
      <c r="H1761" s="3"/>
    </row>
    <row r="1762">
      <c r="A1762" s="3"/>
      <c r="B1762" s="3"/>
      <c r="C1762" s="3"/>
      <c r="D1762" s="5"/>
      <c r="E1762" s="5"/>
      <c r="F1762" s="3"/>
      <c r="G1762" s="7"/>
      <c r="H1762" s="3"/>
    </row>
    <row r="1763">
      <c r="A1763" s="3"/>
      <c r="B1763" s="3"/>
      <c r="C1763" s="3"/>
      <c r="D1763" s="5"/>
      <c r="E1763" s="5"/>
      <c r="F1763" s="3"/>
      <c r="G1763" s="7"/>
      <c r="H1763" s="3"/>
    </row>
    <row r="1764">
      <c r="A1764" s="3"/>
      <c r="B1764" s="3"/>
      <c r="C1764" s="3"/>
      <c r="D1764" s="5"/>
      <c r="E1764" s="5"/>
      <c r="F1764" s="3"/>
      <c r="G1764" s="3"/>
      <c r="H1764" s="3"/>
    </row>
    <row r="1765">
      <c r="A1765" s="3"/>
      <c r="B1765" s="3"/>
      <c r="C1765" s="3"/>
      <c r="D1765" s="5"/>
      <c r="E1765" s="5"/>
      <c r="F1765" s="3"/>
      <c r="G1765" s="7"/>
      <c r="H1765" s="3"/>
    </row>
    <row r="1766">
      <c r="A1766" s="3"/>
      <c r="B1766" s="3"/>
      <c r="C1766" s="3"/>
      <c r="D1766" s="5"/>
      <c r="E1766" s="5"/>
      <c r="F1766" s="3"/>
      <c r="G1766" s="7"/>
      <c r="H1766" s="3"/>
    </row>
    <row r="1767">
      <c r="A1767" s="3"/>
      <c r="B1767" s="3"/>
      <c r="C1767" s="3"/>
      <c r="D1767" s="5"/>
      <c r="E1767" s="5"/>
      <c r="F1767" s="3"/>
      <c r="G1767" s="7"/>
      <c r="H1767" s="3"/>
    </row>
    <row r="1768">
      <c r="A1768" s="3"/>
      <c r="B1768" s="3"/>
      <c r="C1768" s="3"/>
      <c r="D1768" s="5"/>
      <c r="E1768" s="5"/>
      <c r="F1768" s="3"/>
      <c r="G1768" s="7"/>
      <c r="H1768" s="3"/>
    </row>
    <row r="1769">
      <c r="A1769" s="3"/>
      <c r="B1769" s="3"/>
      <c r="C1769" s="3"/>
      <c r="D1769" s="5"/>
      <c r="E1769" s="5"/>
      <c r="F1769" s="3"/>
      <c r="G1769" s="3"/>
      <c r="H1769" s="3"/>
    </row>
    <row r="1770">
      <c r="A1770" s="3"/>
      <c r="B1770" s="3"/>
      <c r="C1770" s="3"/>
      <c r="D1770" s="5"/>
      <c r="E1770" s="5"/>
      <c r="F1770" s="3"/>
      <c r="G1770" s="7"/>
      <c r="H1770" s="3"/>
    </row>
    <row r="1771">
      <c r="A1771" s="3"/>
      <c r="B1771" s="3"/>
      <c r="C1771" s="3"/>
      <c r="D1771" s="5"/>
      <c r="E1771" s="5"/>
      <c r="F1771" s="3"/>
      <c r="G1771" s="7"/>
      <c r="H1771" s="3"/>
    </row>
    <row r="1772">
      <c r="A1772" s="3"/>
      <c r="B1772" s="3"/>
      <c r="C1772" s="3"/>
      <c r="D1772" s="5"/>
      <c r="E1772" s="5"/>
      <c r="F1772" s="3"/>
      <c r="G1772" s="7"/>
      <c r="H1772" s="3"/>
    </row>
    <row r="1773">
      <c r="A1773" s="3"/>
      <c r="B1773" s="3"/>
      <c r="C1773" s="3"/>
      <c r="D1773" s="5"/>
      <c r="E1773" s="5"/>
      <c r="F1773" s="3"/>
      <c r="G1773" s="7"/>
      <c r="H1773" s="3"/>
    </row>
    <row r="1774">
      <c r="A1774" s="3"/>
      <c r="B1774" s="3"/>
      <c r="C1774" s="3"/>
      <c r="D1774" s="5"/>
      <c r="E1774" s="5"/>
      <c r="F1774" s="3"/>
      <c r="G1774" s="3"/>
      <c r="H1774" s="3"/>
    </row>
    <row r="1775">
      <c r="A1775" s="3"/>
      <c r="B1775" s="3"/>
      <c r="C1775" s="3"/>
      <c r="D1775" s="5"/>
      <c r="E1775" s="5"/>
      <c r="F1775" s="3"/>
      <c r="G1775" s="7"/>
      <c r="H1775" s="3"/>
    </row>
    <row r="1776">
      <c r="A1776" s="3"/>
      <c r="B1776" s="3"/>
      <c r="C1776" s="3"/>
      <c r="D1776" s="5"/>
      <c r="E1776" s="5"/>
      <c r="F1776" s="3"/>
      <c r="G1776" s="7"/>
      <c r="H1776" s="3"/>
    </row>
    <row r="1777">
      <c r="A1777" s="3"/>
      <c r="B1777" s="3"/>
      <c r="C1777" s="3"/>
      <c r="D1777" s="5"/>
      <c r="E1777" s="5"/>
      <c r="F1777" s="3"/>
      <c r="G1777" s="3"/>
      <c r="H1777" s="3"/>
    </row>
    <row r="1778">
      <c r="A1778" s="3"/>
      <c r="B1778" s="3"/>
      <c r="C1778" s="3"/>
      <c r="D1778" s="5"/>
      <c r="E1778" s="5"/>
      <c r="F1778" s="3"/>
      <c r="G1778" s="7"/>
      <c r="H1778" s="3"/>
    </row>
    <row r="1779">
      <c r="A1779" s="3"/>
      <c r="B1779" s="3"/>
      <c r="C1779" s="3"/>
      <c r="D1779" s="5"/>
      <c r="E1779" s="5"/>
      <c r="F1779" s="3"/>
      <c r="G1779" s="7"/>
      <c r="H1779" s="3"/>
    </row>
    <row r="1780">
      <c r="A1780" s="3"/>
      <c r="B1780" s="3"/>
      <c r="C1780" s="3"/>
      <c r="D1780" s="5"/>
      <c r="E1780" s="5"/>
      <c r="F1780" s="3"/>
      <c r="G1780" s="7"/>
      <c r="H1780" s="3"/>
    </row>
    <row r="1781">
      <c r="A1781" s="3"/>
      <c r="B1781" s="3"/>
      <c r="C1781" s="3"/>
      <c r="D1781" s="5"/>
      <c r="E1781" s="5"/>
      <c r="F1781" s="3"/>
      <c r="G1781" s="3"/>
      <c r="H1781" s="3"/>
    </row>
    <row r="1782">
      <c r="A1782" s="3"/>
      <c r="B1782" s="3"/>
      <c r="C1782" s="3"/>
      <c r="D1782" s="5"/>
      <c r="E1782" s="5"/>
      <c r="F1782" s="3"/>
      <c r="G1782" s="7"/>
      <c r="H1782" s="3"/>
    </row>
    <row r="1783">
      <c r="A1783" s="3"/>
      <c r="B1783" s="3"/>
      <c r="C1783" s="3"/>
      <c r="D1783" s="5"/>
      <c r="E1783" s="5"/>
      <c r="F1783" s="3"/>
      <c r="G1783" s="7"/>
      <c r="H1783" s="3"/>
    </row>
    <row r="1784">
      <c r="A1784" s="3"/>
      <c r="B1784" s="3"/>
      <c r="C1784" s="3"/>
      <c r="D1784" s="5"/>
      <c r="E1784" s="5"/>
      <c r="F1784" s="3"/>
      <c r="G1784" s="7"/>
      <c r="H1784" s="3"/>
    </row>
    <row r="1785">
      <c r="A1785" s="3"/>
      <c r="B1785" s="3"/>
      <c r="C1785" s="3"/>
      <c r="D1785" s="5"/>
      <c r="E1785" s="5"/>
      <c r="F1785" s="3"/>
      <c r="G1785" s="7"/>
      <c r="H1785" s="3"/>
    </row>
    <row r="1786">
      <c r="A1786" s="3"/>
      <c r="B1786" s="3"/>
      <c r="C1786" s="3"/>
      <c r="D1786" s="5"/>
      <c r="E1786" s="5"/>
      <c r="F1786" s="3"/>
      <c r="G1786" s="3"/>
      <c r="H1786" s="3"/>
    </row>
    <row r="1787">
      <c r="A1787" s="3"/>
      <c r="B1787" s="3"/>
      <c r="C1787" s="3"/>
      <c r="D1787" s="5"/>
      <c r="E1787" s="5"/>
      <c r="F1787" s="3"/>
      <c r="G1787" s="7"/>
      <c r="H1787" s="3"/>
    </row>
    <row r="1788">
      <c r="A1788" s="3"/>
      <c r="B1788" s="3"/>
      <c r="C1788" s="3"/>
      <c r="D1788" s="5"/>
      <c r="E1788" s="5"/>
      <c r="F1788" s="3"/>
      <c r="G1788" s="7"/>
      <c r="H1788" s="3"/>
    </row>
    <row r="1789">
      <c r="A1789" s="3"/>
      <c r="B1789" s="3"/>
      <c r="C1789" s="3"/>
      <c r="D1789" s="5"/>
      <c r="E1789" s="5"/>
      <c r="F1789" s="3"/>
      <c r="G1789" s="7"/>
      <c r="H1789" s="3"/>
    </row>
    <row r="1790">
      <c r="A1790" s="3"/>
      <c r="B1790" s="3"/>
      <c r="C1790" s="3"/>
      <c r="D1790" s="5"/>
      <c r="E1790" s="5"/>
      <c r="F1790" s="3"/>
      <c r="G1790" s="7"/>
      <c r="H1790" s="3"/>
    </row>
    <row r="1791">
      <c r="A1791" s="3"/>
      <c r="B1791" s="3"/>
      <c r="C1791" s="3"/>
      <c r="D1791" s="5"/>
      <c r="E1791" s="5"/>
      <c r="F1791" s="3"/>
      <c r="G1791" s="3"/>
      <c r="H1791" s="3"/>
    </row>
    <row r="1792">
      <c r="A1792" s="3"/>
      <c r="B1792" s="3"/>
      <c r="C1792" s="3"/>
      <c r="D1792" s="5"/>
      <c r="E1792" s="5"/>
      <c r="F1792" s="3"/>
      <c r="G1792" s="7"/>
      <c r="H1792" s="3"/>
    </row>
    <row r="1793">
      <c r="A1793" s="3"/>
      <c r="B1793" s="3"/>
      <c r="C1793" s="3"/>
      <c r="D1793" s="5"/>
      <c r="E1793" s="5"/>
      <c r="F1793" s="3"/>
      <c r="G1793" s="7"/>
      <c r="H1793" s="3"/>
    </row>
    <row r="1794">
      <c r="A1794" s="3"/>
      <c r="B1794" s="3"/>
      <c r="C1794" s="3"/>
      <c r="D1794" s="5"/>
      <c r="E1794" s="5"/>
      <c r="F1794" s="3"/>
      <c r="G1794" s="7"/>
      <c r="H1794" s="3"/>
    </row>
    <row r="1795">
      <c r="A1795" s="3"/>
      <c r="B1795" s="3"/>
      <c r="C1795" s="3"/>
      <c r="D1795" s="5"/>
      <c r="E1795" s="5"/>
      <c r="F1795" s="3"/>
      <c r="G1795" s="7"/>
      <c r="H1795" s="3"/>
    </row>
    <row r="1796">
      <c r="A1796" s="3"/>
      <c r="B1796" s="3"/>
      <c r="C1796" s="3"/>
      <c r="D1796" s="5"/>
      <c r="E1796" s="5"/>
      <c r="F1796" s="3"/>
      <c r="G1796" s="3"/>
      <c r="H1796" s="3"/>
    </row>
    <row r="1797">
      <c r="A1797" s="3"/>
      <c r="B1797" s="3"/>
      <c r="C1797" s="3"/>
      <c r="D1797" s="5"/>
      <c r="E1797" s="5"/>
      <c r="F1797" s="3"/>
      <c r="G1797" s="7"/>
      <c r="H1797" s="3"/>
    </row>
    <row r="1798">
      <c r="A1798" s="3"/>
      <c r="B1798" s="3"/>
      <c r="C1798" s="3"/>
      <c r="D1798" s="5"/>
      <c r="E1798" s="5"/>
      <c r="F1798" s="3"/>
      <c r="G1798" s="7"/>
      <c r="H1798" s="3"/>
    </row>
    <row r="1799">
      <c r="A1799" s="3"/>
      <c r="B1799" s="3"/>
      <c r="C1799" s="3"/>
      <c r="D1799" s="5"/>
      <c r="E1799" s="5"/>
      <c r="F1799" s="3"/>
      <c r="G1799" s="7"/>
      <c r="H1799" s="3"/>
    </row>
    <row r="1800">
      <c r="A1800" s="3"/>
      <c r="B1800" s="3"/>
      <c r="C1800" s="3"/>
      <c r="D1800" s="5"/>
      <c r="E1800" s="5"/>
      <c r="F1800" s="3"/>
      <c r="G1800" s="7"/>
      <c r="H1800" s="3"/>
    </row>
    <row r="1801">
      <c r="A1801" s="3"/>
      <c r="B1801" s="3"/>
      <c r="C1801" s="3"/>
      <c r="D1801" s="5"/>
      <c r="E1801" s="5"/>
      <c r="F1801" s="3"/>
      <c r="G1801" s="3"/>
      <c r="H1801" s="3"/>
    </row>
    <row r="1802">
      <c r="A1802" s="3"/>
      <c r="B1802" s="3"/>
      <c r="C1802" s="3"/>
      <c r="D1802" s="5"/>
      <c r="E1802" s="5"/>
      <c r="F1802" s="3"/>
      <c r="G1802" s="7"/>
      <c r="H1802" s="3"/>
    </row>
    <row r="1803">
      <c r="A1803" s="3"/>
      <c r="B1803" s="3"/>
      <c r="C1803" s="3"/>
      <c r="D1803" s="5"/>
      <c r="E1803" s="5"/>
      <c r="F1803" s="3"/>
      <c r="G1803" s="7"/>
      <c r="H1803" s="3"/>
    </row>
    <row r="1804">
      <c r="A1804" s="3"/>
      <c r="B1804" s="3"/>
      <c r="C1804" s="3"/>
      <c r="D1804" s="5"/>
      <c r="E1804" s="5"/>
      <c r="F1804" s="3"/>
      <c r="G1804" s="7"/>
      <c r="H1804" s="3"/>
    </row>
    <row r="1805">
      <c r="A1805" s="3"/>
      <c r="B1805" s="3"/>
      <c r="C1805" s="3"/>
      <c r="D1805" s="5"/>
      <c r="E1805" s="3"/>
      <c r="F1805" s="5"/>
      <c r="G1805" s="7"/>
      <c r="H1805" s="3"/>
    </row>
    <row r="1806">
      <c r="A1806" s="3"/>
      <c r="B1806" s="3"/>
      <c r="C1806" s="3"/>
      <c r="D1806" s="5"/>
      <c r="E1806" s="5"/>
      <c r="F1806" s="3"/>
      <c r="G1806" s="3"/>
      <c r="H1806" s="3"/>
    </row>
    <row r="1807">
      <c r="A1807" s="3"/>
      <c r="B1807" s="3"/>
      <c r="C1807" s="3"/>
      <c r="D1807" s="5"/>
      <c r="E1807" s="5"/>
      <c r="F1807" s="3"/>
      <c r="G1807" s="7"/>
      <c r="H1807" s="3"/>
    </row>
    <row r="1808">
      <c r="A1808" s="3"/>
      <c r="B1808" s="3"/>
      <c r="C1808" s="3"/>
      <c r="D1808" s="5"/>
      <c r="E1808" s="5"/>
      <c r="F1808" s="3"/>
      <c r="G1808" s="7"/>
      <c r="H1808" s="3"/>
    </row>
    <row r="1809">
      <c r="A1809" s="3"/>
      <c r="B1809" s="3"/>
      <c r="C1809" s="3"/>
      <c r="D1809" s="5"/>
      <c r="E1809" s="5"/>
      <c r="F1809" s="3"/>
      <c r="G1809" s="7"/>
      <c r="H1809" s="3"/>
    </row>
    <row r="1810">
      <c r="A1810" s="3"/>
      <c r="B1810" s="3"/>
      <c r="C1810" s="3"/>
      <c r="D1810" s="5"/>
      <c r="E1810" s="3"/>
      <c r="F1810" s="5"/>
      <c r="G1810" s="7"/>
      <c r="H1810" s="3"/>
    </row>
    <row r="1811">
      <c r="A1811" s="3"/>
      <c r="B1811" s="3"/>
      <c r="C1811" s="3"/>
      <c r="D1811" s="5"/>
      <c r="E1811" s="5"/>
      <c r="F1811" s="3"/>
      <c r="G1811" s="3"/>
      <c r="H1811" s="3"/>
    </row>
    <row r="1812">
      <c r="A1812" s="3"/>
      <c r="B1812" s="3"/>
      <c r="C1812" s="3"/>
      <c r="D1812" s="5"/>
      <c r="E1812" s="5"/>
      <c r="F1812" s="3"/>
      <c r="G1812" s="7"/>
      <c r="H1812" s="3"/>
    </row>
    <row r="1813">
      <c r="A1813" s="3"/>
      <c r="B1813" s="3"/>
      <c r="C1813" s="3"/>
      <c r="D1813" s="5"/>
      <c r="E1813" s="5"/>
      <c r="F1813" s="3"/>
      <c r="G1813" s="7"/>
      <c r="H1813" s="3"/>
    </row>
    <row r="1814">
      <c r="A1814" s="3"/>
      <c r="B1814" s="3"/>
      <c r="C1814" s="3"/>
      <c r="D1814" s="5"/>
      <c r="E1814" s="3"/>
      <c r="F1814" s="5"/>
      <c r="G1814" s="7"/>
      <c r="H1814" s="3"/>
    </row>
    <row r="1815">
      <c r="A1815" s="3"/>
      <c r="B1815" s="3"/>
      <c r="C1815" s="3"/>
      <c r="D1815" s="5"/>
      <c r="E1815" s="3"/>
      <c r="F1815" s="5"/>
      <c r="G1815" s="7"/>
      <c r="H1815" s="3"/>
    </row>
    <row r="1816">
      <c r="A1816" s="3"/>
      <c r="B1816" s="3"/>
      <c r="C1816" s="3"/>
      <c r="D1816" s="5"/>
      <c r="E1816" s="5"/>
      <c r="F1816" s="3"/>
      <c r="G1816" s="3"/>
      <c r="H1816" s="3"/>
    </row>
    <row r="1817">
      <c r="A1817" s="3"/>
      <c r="B1817" s="3"/>
      <c r="C1817" s="3"/>
      <c r="D1817" s="5"/>
      <c r="E1817" s="5"/>
      <c r="F1817" s="3"/>
      <c r="G1817" s="7"/>
      <c r="H1817" s="3"/>
    </row>
    <row r="1818">
      <c r="A1818" s="3"/>
      <c r="B1818" s="3"/>
      <c r="C1818" s="3"/>
      <c r="D1818" s="5"/>
      <c r="E1818" s="5"/>
      <c r="F1818" s="3"/>
      <c r="G1818" s="7"/>
      <c r="H1818" s="3"/>
    </row>
    <row r="1819">
      <c r="A1819" s="3"/>
      <c r="B1819" s="3"/>
      <c r="C1819" s="3"/>
      <c r="D1819" s="5"/>
      <c r="E1819" s="3"/>
      <c r="F1819" s="5"/>
      <c r="G1819" s="7"/>
      <c r="H1819" s="3"/>
    </row>
    <row r="1820">
      <c r="A1820" s="3"/>
      <c r="B1820" s="3"/>
      <c r="C1820" s="3"/>
      <c r="D1820" s="5"/>
      <c r="E1820" s="3"/>
      <c r="F1820" s="5"/>
      <c r="G1820" s="7"/>
      <c r="H1820" s="3"/>
    </row>
    <row r="1821">
      <c r="A1821" s="3"/>
      <c r="B1821" s="3"/>
      <c r="C1821" s="3"/>
      <c r="D1821" s="5"/>
      <c r="E1821" s="3"/>
      <c r="F1821" s="5"/>
      <c r="G1821" s="3"/>
      <c r="H1821" s="3"/>
    </row>
    <row r="1822">
      <c r="A1822" s="3"/>
      <c r="B1822" s="3"/>
      <c r="C1822" s="3"/>
      <c r="D1822" s="5"/>
      <c r="E1822" s="3"/>
      <c r="F1822" s="5"/>
      <c r="G1822" s="7"/>
      <c r="H1822" s="3"/>
    </row>
    <row r="1823">
      <c r="A1823" s="3"/>
      <c r="B1823" s="3"/>
      <c r="C1823" s="3"/>
      <c r="D1823" s="5"/>
      <c r="E1823" s="3"/>
      <c r="F1823" s="5"/>
      <c r="G1823" s="7"/>
      <c r="H1823" s="3"/>
    </row>
    <row r="1824">
      <c r="A1824" s="3"/>
      <c r="B1824" s="3"/>
      <c r="C1824" s="3"/>
      <c r="D1824" s="5"/>
      <c r="E1824" s="3"/>
      <c r="F1824" s="5"/>
      <c r="G1824" s="7"/>
      <c r="H1824" s="3"/>
    </row>
    <row r="1825">
      <c r="A1825" s="3"/>
      <c r="B1825" s="3"/>
      <c r="C1825" s="3"/>
      <c r="D1825" s="5"/>
      <c r="E1825" s="3"/>
      <c r="F1825" s="5"/>
      <c r="G1825" s="7"/>
      <c r="H1825" s="3"/>
    </row>
    <row r="1826">
      <c r="A1826" s="3"/>
      <c r="B1826" s="3"/>
      <c r="C1826" s="3"/>
      <c r="D1826" s="5"/>
      <c r="E1826" s="3"/>
      <c r="F1826" s="5"/>
      <c r="G1826" s="3"/>
      <c r="H1826" s="3"/>
    </row>
    <row r="1827">
      <c r="A1827" s="3"/>
      <c r="B1827" s="3"/>
      <c r="C1827" s="3"/>
      <c r="D1827" s="5"/>
      <c r="E1827" s="3"/>
      <c r="F1827" s="5"/>
      <c r="G1827" s="7"/>
      <c r="H1827" s="3"/>
    </row>
    <row r="1828">
      <c r="A1828" s="3"/>
      <c r="B1828" s="3"/>
      <c r="C1828" s="3"/>
      <c r="D1828" s="5"/>
      <c r="E1828" s="3"/>
      <c r="F1828" s="5"/>
      <c r="G1828" s="7"/>
      <c r="H1828" s="3"/>
    </row>
    <row r="1829">
      <c r="A1829" s="3"/>
      <c r="B1829" s="3"/>
      <c r="C1829" s="3"/>
      <c r="D1829" s="5"/>
      <c r="E1829" s="3"/>
      <c r="F1829" s="5"/>
      <c r="G1829" s="7"/>
      <c r="H1829" s="3"/>
    </row>
    <row r="1830">
      <c r="A1830" s="3"/>
      <c r="B1830" s="3"/>
      <c r="C1830" s="3"/>
      <c r="D1830" s="5"/>
      <c r="E1830" s="3"/>
      <c r="F1830" s="5"/>
      <c r="G1830" s="7"/>
      <c r="H1830" s="3"/>
    </row>
    <row r="1831">
      <c r="A1831" s="3"/>
      <c r="B1831" s="3"/>
      <c r="C1831" s="3"/>
      <c r="D1831" s="5"/>
      <c r="E1831" s="3"/>
      <c r="F1831" s="5"/>
      <c r="G1831" s="3"/>
      <c r="H1831" s="3"/>
    </row>
    <row r="1832">
      <c r="A1832" s="3"/>
      <c r="B1832" s="3"/>
      <c r="C1832" s="3"/>
      <c r="D1832" s="5"/>
      <c r="E1832" s="3"/>
      <c r="F1832" s="5"/>
      <c r="G1832" s="7"/>
      <c r="H1832" s="3"/>
    </row>
    <row r="1833">
      <c r="A1833" s="3"/>
      <c r="B1833" s="3"/>
      <c r="C1833" s="3"/>
      <c r="D1833" s="5"/>
      <c r="E1833" s="3"/>
      <c r="F1833" s="5"/>
      <c r="G1833" s="7"/>
      <c r="H1833" s="3"/>
    </row>
    <row r="1834">
      <c r="A1834" s="3"/>
      <c r="B1834" s="3"/>
      <c r="C1834" s="3"/>
      <c r="D1834" s="5"/>
      <c r="E1834" s="3"/>
      <c r="F1834" s="5"/>
      <c r="G1834" s="7"/>
      <c r="H1834" s="3"/>
    </row>
    <row r="1835">
      <c r="A1835" s="3"/>
      <c r="B1835" s="3"/>
      <c r="C1835" s="3"/>
      <c r="D1835" s="5"/>
      <c r="E1835" s="3"/>
      <c r="F1835" s="5"/>
      <c r="G1835" s="7"/>
      <c r="H1835" s="3"/>
    </row>
    <row r="1836">
      <c r="A1836" s="3"/>
      <c r="B1836" s="3"/>
      <c r="C1836" s="3"/>
      <c r="D1836" s="5"/>
      <c r="E1836" s="5"/>
      <c r="F1836" s="3"/>
      <c r="G1836" s="7"/>
      <c r="H1836" s="3"/>
    </row>
    <row r="1837">
      <c r="A1837" s="3"/>
      <c r="B1837" s="3"/>
      <c r="C1837" s="3"/>
      <c r="D1837" s="5"/>
      <c r="E1837" s="5"/>
      <c r="F1837" s="3"/>
      <c r="G1837" s="7"/>
      <c r="H1837" s="3"/>
    </row>
    <row r="1838">
      <c r="A1838" s="3"/>
      <c r="B1838" s="3"/>
      <c r="C1838" s="3"/>
      <c r="D1838" s="5"/>
      <c r="E1838" s="5"/>
      <c r="F1838" s="3"/>
      <c r="G1838" s="7"/>
      <c r="H1838" s="3"/>
    </row>
    <row r="1839">
      <c r="A1839" s="3"/>
      <c r="B1839" s="3"/>
      <c r="C1839" s="3"/>
      <c r="D1839" s="5"/>
      <c r="E1839" s="5"/>
      <c r="F1839" s="3"/>
      <c r="G1839" s="7"/>
      <c r="H1839" s="3"/>
    </row>
    <row r="1840">
      <c r="A1840" s="3"/>
      <c r="B1840" s="3"/>
      <c r="C1840" s="3"/>
      <c r="D1840" s="5"/>
      <c r="E1840" s="5"/>
      <c r="F1840" s="3"/>
      <c r="G1840" s="3"/>
      <c r="H1840" s="3"/>
    </row>
    <row r="1841">
      <c r="A1841" s="3"/>
      <c r="B1841" s="3"/>
      <c r="C1841" s="3"/>
      <c r="D1841" s="5"/>
      <c r="E1841" s="5"/>
      <c r="F1841" s="3"/>
      <c r="G1841" s="7"/>
      <c r="H1841" s="3"/>
    </row>
    <row r="1842">
      <c r="A1842" s="3"/>
      <c r="B1842" s="3"/>
      <c r="C1842" s="3"/>
      <c r="D1842" s="5"/>
      <c r="E1842" s="5"/>
      <c r="F1842" s="3"/>
      <c r="G1842" s="7"/>
      <c r="H1842" s="3"/>
    </row>
    <row r="1843">
      <c r="A1843" s="3"/>
      <c r="B1843" s="3"/>
      <c r="C1843" s="3"/>
      <c r="D1843" s="5"/>
      <c r="E1843" s="5"/>
      <c r="F1843" s="3"/>
      <c r="G1843" s="7"/>
      <c r="H1843" s="3"/>
    </row>
    <row r="1844">
      <c r="A1844" s="3"/>
      <c r="B1844" s="3"/>
      <c r="C1844" s="3"/>
      <c r="D1844" s="5"/>
      <c r="E1844" s="5"/>
      <c r="F1844" s="3"/>
      <c r="G1844" s="7"/>
      <c r="H1844" s="3"/>
    </row>
    <row r="1845">
      <c r="A1845" s="3"/>
      <c r="B1845" s="3"/>
      <c r="C1845" s="3"/>
      <c r="D1845" s="5"/>
      <c r="E1845" s="5"/>
      <c r="F1845" s="3"/>
      <c r="G1845" s="3"/>
      <c r="H1845" s="3"/>
    </row>
    <row r="1846">
      <c r="A1846" s="3"/>
      <c r="B1846" s="3"/>
      <c r="C1846" s="3"/>
      <c r="D1846" s="5"/>
      <c r="E1846" s="5"/>
      <c r="F1846" s="3"/>
      <c r="G1846" s="7"/>
      <c r="H1846" s="3"/>
    </row>
    <row r="1847">
      <c r="A1847" s="3"/>
      <c r="B1847" s="3"/>
      <c r="C1847" s="3"/>
      <c r="D1847" s="5"/>
      <c r="E1847" s="5"/>
      <c r="F1847" s="3"/>
      <c r="G1847" s="7"/>
      <c r="H1847" s="3"/>
    </row>
    <row r="1848">
      <c r="A1848" s="3"/>
      <c r="B1848" s="3"/>
      <c r="C1848" s="3"/>
      <c r="D1848" s="5"/>
      <c r="E1848" s="5"/>
      <c r="F1848" s="3"/>
      <c r="G1848" s="7"/>
      <c r="H1848" s="3"/>
    </row>
    <row r="1849">
      <c r="A1849" s="3"/>
      <c r="B1849" s="3"/>
      <c r="C1849" s="3"/>
      <c r="D1849" s="5"/>
      <c r="E1849" s="5"/>
      <c r="F1849" s="3"/>
      <c r="G1849" s="7"/>
      <c r="H1849" s="3"/>
    </row>
    <row r="1850">
      <c r="A1850" s="3"/>
      <c r="B1850" s="3"/>
      <c r="C1850" s="3"/>
      <c r="D1850" s="5"/>
      <c r="E1850" s="5"/>
      <c r="F1850" s="3"/>
      <c r="G1850" s="3"/>
      <c r="H1850" s="3"/>
    </row>
    <row r="1851">
      <c r="A1851" s="3"/>
      <c r="B1851" s="3"/>
      <c r="C1851" s="3"/>
      <c r="D1851" s="5"/>
      <c r="E1851" s="5"/>
      <c r="F1851" s="3"/>
      <c r="G1851" s="7"/>
      <c r="H1851" s="3"/>
    </row>
    <row r="1852">
      <c r="A1852" s="3"/>
      <c r="B1852" s="3"/>
      <c r="C1852" s="3"/>
      <c r="D1852" s="5"/>
      <c r="E1852" s="5"/>
      <c r="F1852" s="3"/>
      <c r="G1852" s="7"/>
      <c r="H1852" s="3"/>
    </row>
    <row r="1853">
      <c r="A1853" s="3"/>
      <c r="B1853" s="3"/>
      <c r="C1853" s="3"/>
      <c r="D1853" s="5"/>
      <c r="E1853" s="5"/>
      <c r="F1853" s="3"/>
      <c r="G1853" s="7"/>
      <c r="H1853" s="3"/>
    </row>
    <row r="1854">
      <c r="A1854" s="3"/>
      <c r="B1854" s="3"/>
      <c r="C1854" s="3"/>
      <c r="D1854" s="5"/>
      <c r="E1854" s="5"/>
      <c r="F1854" s="3"/>
      <c r="G1854" s="7"/>
      <c r="H1854" s="3"/>
    </row>
    <row r="1855">
      <c r="A1855" s="3"/>
      <c r="B1855" s="3"/>
      <c r="C1855" s="3"/>
      <c r="D1855" s="5"/>
      <c r="E1855" s="5"/>
      <c r="F1855" s="3"/>
      <c r="G1855" s="3"/>
      <c r="H1855" s="3"/>
    </row>
    <row r="1856">
      <c r="A1856" s="3"/>
      <c r="B1856" s="3"/>
      <c r="C1856" s="3"/>
      <c r="D1856" s="5"/>
      <c r="E1856" s="5"/>
      <c r="F1856" s="3"/>
      <c r="G1856" s="7"/>
      <c r="H1856" s="3"/>
    </row>
    <row r="1857">
      <c r="A1857" s="3"/>
      <c r="B1857" s="3"/>
      <c r="C1857" s="3"/>
      <c r="D1857" s="5"/>
      <c r="E1857" s="5"/>
      <c r="F1857" s="3"/>
      <c r="G1857" s="7"/>
      <c r="H1857" s="3"/>
    </row>
    <row r="1858">
      <c r="A1858" s="3"/>
      <c r="B1858" s="3"/>
      <c r="C1858" s="3"/>
      <c r="D1858" s="5"/>
      <c r="E1858" s="5"/>
      <c r="F1858" s="3"/>
      <c r="G1858" s="7"/>
      <c r="H1858" s="3"/>
    </row>
    <row r="1859">
      <c r="A1859" s="3"/>
      <c r="B1859" s="3"/>
      <c r="C1859" s="3"/>
      <c r="D1859" s="5"/>
      <c r="E1859" s="5"/>
      <c r="F1859" s="3"/>
      <c r="G1859" s="7"/>
      <c r="H1859" s="3"/>
    </row>
    <row r="1860">
      <c r="A1860" s="3"/>
      <c r="B1860" s="3"/>
      <c r="C1860" s="3"/>
      <c r="D1860" s="5"/>
      <c r="E1860" s="5"/>
      <c r="F1860" s="3"/>
      <c r="G1860" s="3"/>
      <c r="H1860" s="3"/>
    </row>
    <row r="1861">
      <c r="A1861" s="3"/>
      <c r="B1861" s="3"/>
      <c r="C1861" s="3"/>
      <c r="D1861" s="5"/>
      <c r="E1861" s="5"/>
      <c r="F1861" s="3"/>
      <c r="G1861" s="7"/>
      <c r="H1861" s="3"/>
    </row>
    <row r="1862">
      <c r="A1862" s="3"/>
      <c r="B1862" s="3"/>
      <c r="C1862" s="3"/>
      <c r="D1862" s="5"/>
      <c r="E1862" s="5"/>
      <c r="F1862" s="3"/>
      <c r="G1862" s="7"/>
      <c r="H1862" s="3"/>
    </row>
    <row r="1863">
      <c r="A1863" s="3"/>
      <c r="B1863" s="3"/>
      <c r="C1863" s="3"/>
      <c r="D1863" s="5"/>
      <c r="E1863" s="5"/>
      <c r="F1863" s="3"/>
      <c r="G1863" s="7"/>
      <c r="H1863" s="3"/>
    </row>
    <row r="1864">
      <c r="A1864" s="3"/>
      <c r="B1864" s="3"/>
      <c r="C1864" s="3"/>
      <c r="D1864" s="5"/>
      <c r="E1864" s="5"/>
      <c r="F1864" s="3"/>
      <c r="G1864" s="7"/>
      <c r="H1864" s="3"/>
    </row>
    <row r="1865">
      <c r="A1865" s="3"/>
      <c r="B1865" s="3"/>
      <c r="C1865" s="3"/>
      <c r="D1865" s="5"/>
      <c r="E1865" s="5"/>
      <c r="F1865" s="3"/>
      <c r="G1865" s="3"/>
      <c r="H1865" s="3"/>
    </row>
    <row r="1866">
      <c r="A1866" s="3"/>
      <c r="B1866" s="3"/>
      <c r="C1866" s="3"/>
      <c r="D1866" s="5"/>
      <c r="E1866" s="5"/>
      <c r="F1866" s="3"/>
      <c r="G1866" s="7"/>
      <c r="H1866" s="3"/>
    </row>
    <row r="1867">
      <c r="A1867" s="3"/>
      <c r="B1867" s="3"/>
      <c r="C1867" s="3"/>
      <c r="D1867" s="5"/>
      <c r="E1867" s="5"/>
      <c r="F1867" s="3"/>
      <c r="G1867" s="7"/>
      <c r="H1867" s="3"/>
    </row>
    <row r="1868">
      <c r="A1868" s="3"/>
      <c r="B1868" s="3"/>
      <c r="C1868" s="3"/>
      <c r="D1868" s="5"/>
      <c r="E1868" s="5"/>
      <c r="F1868" s="3"/>
      <c r="G1868" s="7"/>
      <c r="H1868" s="3"/>
    </row>
    <row r="1869">
      <c r="A1869" s="3"/>
      <c r="B1869" s="3"/>
      <c r="C1869" s="3"/>
      <c r="D1869" s="5"/>
      <c r="E1869" s="5"/>
      <c r="F1869" s="3"/>
      <c r="G1869" s="7"/>
      <c r="H1869" s="3"/>
    </row>
    <row r="1870">
      <c r="A1870" s="3"/>
      <c r="B1870" s="3"/>
      <c r="C1870" s="3"/>
      <c r="D1870" s="5"/>
      <c r="E1870" s="5"/>
      <c r="F1870" s="3"/>
      <c r="G1870" s="3"/>
      <c r="H1870" s="3"/>
    </row>
    <row r="1871">
      <c r="A1871" s="3"/>
      <c r="B1871" s="3"/>
      <c r="C1871" s="3"/>
      <c r="D1871" s="5"/>
      <c r="E1871" s="5"/>
      <c r="F1871" s="3"/>
      <c r="G1871" s="7"/>
      <c r="H1871" s="3"/>
    </row>
    <row r="1872">
      <c r="A1872" s="3"/>
      <c r="B1872" s="3"/>
      <c r="C1872" s="3"/>
      <c r="D1872" s="5"/>
      <c r="E1872" s="5"/>
      <c r="F1872" s="3"/>
      <c r="G1872" s="7"/>
      <c r="H1872" s="3"/>
    </row>
    <row r="1873">
      <c r="A1873" s="3"/>
      <c r="B1873" s="3"/>
      <c r="C1873" s="3"/>
      <c r="D1873" s="5"/>
      <c r="E1873" s="5"/>
      <c r="F1873" s="3"/>
      <c r="G1873" s="7"/>
      <c r="H1873" s="3"/>
    </row>
    <row r="1874">
      <c r="A1874" s="3"/>
      <c r="B1874" s="3"/>
      <c r="C1874" s="3"/>
      <c r="D1874" s="5"/>
      <c r="E1874" s="5"/>
      <c r="F1874" s="3"/>
      <c r="G1874" s="7"/>
      <c r="H1874" s="3"/>
    </row>
    <row r="1875">
      <c r="A1875" s="3"/>
      <c r="B1875" s="3"/>
      <c r="C1875" s="3"/>
      <c r="D1875" s="5"/>
      <c r="E1875" s="5"/>
      <c r="F1875" s="3"/>
      <c r="G1875" s="3"/>
      <c r="H1875" s="3"/>
    </row>
    <row r="1876">
      <c r="A1876" s="3"/>
      <c r="B1876" s="3"/>
      <c r="C1876" s="3"/>
      <c r="D1876" s="5"/>
      <c r="E1876" s="5"/>
      <c r="F1876" s="3"/>
      <c r="G1876" s="7"/>
      <c r="H1876" s="3"/>
    </row>
    <row r="1877">
      <c r="A1877" s="3"/>
      <c r="B1877" s="3"/>
      <c r="C1877" s="3"/>
      <c r="D1877" s="5"/>
      <c r="E1877" s="5"/>
      <c r="F1877" s="3"/>
      <c r="G1877" s="7"/>
      <c r="H1877" s="3"/>
    </row>
    <row r="1878">
      <c r="A1878" s="3"/>
      <c r="B1878" s="3"/>
      <c r="C1878" s="3"/>
      <c r="D1878" s="5"/>
      <c r="E1878" s="5"/>
      <c r="F1878" s="3"/>
      <c r="G1878" s="7"/>
      <c r="H1878" s="3"/>
    </row>
    <row r="1879">
      <c r="A1879" s="3"/>
      <c r="B1879" s="3"/>
      <c r="C1879" s="3"/>
      <c r="D1879" s="5"/>
      <c r="E1879" s="5"/>
      <c r="F1879" s="3"/>
      <c r="G1879" s="7"/>
      <c r="H1879" s="3"/>
    </row>
    <row r="1880">
      <c r="A1880" s="3"/>
      <c r="B1880" s="3"/>
      <c r="C1880" s="3"/>
      <c r="D1880" s="5"/>
      <c r="E1880" s="5"/>
      <c r="F1880" s="3"/>
      <c r="G1880" s="3"/>
      <c r="H1880" s="3"/>
    </row>
    <row r="1881">
      <c r="A1881" s="3"/>
      <c r="B1881" s="3"/>
      <c r="C1881" s="3"/>
      <c r="D1881" s="5"/>
      <c r="E1881" s="5"/>
      <c r="F1881" s="3"/>
      <c r="G1881" s="7"/>
      <c r="H1881" s="3"/>
    </row>
    <row r="1882">
      <c r="A1882" s="3"/>
      <c r="B1882" s="3"/>
      <c r="C1882" s="3"/>
      <c r="D1882" s="5"/>
      <c r="E1882" s="5"/>
      <c r="F1882" s="3"/>
      <c r="G1882" s="7"/>
      <c r="H1882" s="3"/>
    </row>
    <row r="1883">
      <c r="A1883" s="3"/>
      <c r="B1883" s="3"/>
      <c r="C1883" s="3"/>
      <c r="D1883" s="5"/>
      <c r="E1883" s="5"/>
      <c r="F1883" s="3"/>
      <c r="G1883" s="7"/>
      <c r="H1883" s="3"/>
    </row>
    <row r="1884">
      <c r="A1884" s="3"/>
      <c r="B1884" s="3"/>
      <c r="C1884" s="3"/>
      <c r="D1884" s="5"/>
      <c r="E1884" s="5"/>
      <c r="F1884" s="3"/>
      <c r="G1884" s="7"/>
      <c r="H1884" s="3"/>
    </row>
    <row r="1885">
      <c r="A1885" s="3"/>
      <c r="B1885" s="3"/>
      <c r="C1885" s="3"/>
      <c r="D1885" s="5"/>
      <c r="E1885" s="5"/>
      <c r="F1885" s="3"/>
      <c r="G1885" s="3"/>
      <c r="H1885" s="3"/>
    </row>
    <row r="1886">
      <c r="A1886" s="3"/>
      <c r="B1886" s="3"/>
      <c r="C1886" s="3"/>
      <c r="D1886" s="5"/>
      <c r="E1886" s="5"/>
      <c r="F1886" s="3"/>
      <c r="G1886" s="7"/>
      <c r="H1886" s="3"/>
    </row>
    <row r="1887">
      <c r="A1887" s="3"/>
      <c r="B1887" s="3"/>
      <c r="C1887" s="3"/>
      <c r="D1887" s="5"/>
      <c r="E1887" s="5"/>
      <c r="F1887" s="3"/>
      <c r="G1887" s="7"/>
      <c r="H1887" s="3"/>
    </row>
    <row r="1888">
      <c r="A1888" s="3"/>
      <c r="B1888" s="3"/>
      <c r="C1888" s="3"/>
      <c r="D1888" s="5"/>
      <c r="E1888" s="5"/>
      <c r="F1888" s="3"/>
      <c r="G1888" s="7"/>
      <c r="H1888" s="3"/>
    </row>
    <row r="1889">
      <c r="A1889" s="3"/>
      <c r="B1889" s="3"/>
      <c r="C1889" s="3"/>
      <c r="D1889" s="5"/>
      <c r="E1889" s="5"/>
      <c r="F1889" s="3"/>
      <c r="G1889" s="7"/>
      <c r="H1889" s="3"/>
    </row>
    <row r="1890">
      <c r="A1890" s="3"/>
      <c r="B1890" s="3"/>
      <c r="C1890" s="3"/>
      <c r="D1890" s="5"/>
      <c r="E1890" s="5"/>
      <c r="F1890" s="3"/>
      <c r="G1890" s="3"/>
      <c r="H1890" s="3"/>
    </row>
    <row r="1891">
      <c r="A1891" s="3"/>
      <c r="B1891" s="3"/>
      <c r="C1891" s="3"/>
      <c r="D1891" s="5"/>
      <c r="E1891" s="5"/>
      <c r="F1891" s="3"/>
      <c r="G1891" s="7"/>
      <c r="H1891" s="3"/>
    </row>
    <row r="1892">
      <c r="A1892" s="3"/>
      <c r="B1892" s="3"/>
      <c r="C1892" s="3"/>
      <c r="D1892" s="5"/>
      <c r="E1892" s="5"/>
      <c r="F1892" s="3"/>
      <c r="G1892" s="7"/>
      <c r="H1892" s="3"/>
    </row>
    <row r="1893">
      <c r="A1893" s="3"/>
      <c r="B1893" s="3"/>
      <c r="C1893" s="3"/>
      <c r="D1893" s="5"/>
      <c r="E1893" s="5"/>
      <c r="F1893" s="3"/>
      <c r="G1893" s="7"/>
      <c r="H1893" s="3"/>
    </row>
    <row r="1894">
      <c r="A1894" s="3"/>
      <c r="B1894" s="3"/>
      <c r="C1894" s="3"/>
      <c r="D1894" s="5"/>
      <c r="E1894" s="5"/>
      <c r="F1894" s="3"/>
      <c r="G1894" s="7"/>
      <c r="H1894" s="3"/>
    </row>
    <row r="1895">
      <c r="A1895" s="3"/>
      <c r="B1895" s="3"/>
      <c r="C1895" s="3"/>
      <c r="D1895" s="5"/>
      <c r="E1895" s="5"/>
      <c r="F1895" s="3"/>
      <c r="G1895" s="3"/>
      <c r="H1895" s="3"/>
    </row>
    <row r="1896">
      <c r="A1896" s="3"/>
      <c r="B1896" s="3"/>
      <c r="C1896" s="3"/>
      <c r="D1896" s="5"/>
      <c r="E1896" s="5"/>
      <c r="F1896" s="3"/>
      <c r="G1896" s="7"/>
      <c r="H1896" s="3"/>
    </row>
    <row r="1897">
      <c r="A1897" s="3"/>
      <c r="B1897" s="3"/>
      <c r="C1897" s="3"/>
      <c r="D1897" s="5"/>
      <c r="E1897" s="5"/>
      <c r="F1897" s="3"/>
      <c r="G1897" s="7"/>
      <c r="H1897" s="3"/>
    </row>
    <row r="1898">
      <c r="A1898" s="3"/>
      <c r="B1898" s="3"/>
      <c r="C1898" s="3"/>
      <c r="D1898" s="5"/>
      <c r="E1898" s="5"/>
      <c r="F1898" s="3"/>
      <c r="G1898" s="7"/>
      <c r="H1898" s="3"/>
    </row>
    <row r="1899">
      <c r="A1899" s="3"/>
      <c r="B1899" s="3"/>
      <c r="C1899" s="3"/>
      <c r="D1899" s="5"/>
      <c r="E1899" s="5"/>
      <c r="F1899" s="3"/>
      <c r="G1899" s="7"/>
      <c r="H1899" s="3"/>
    </row>
    <row r="1900">
      <c r="A1900" s="3"/>
      <c r="B1900" s="3"/>
      <c r="C1900" s="3"/>
      <c r="D1900" s="5"/>
      <c r="E1900" s="5"/>
      <c r="F1900" s="3"/>
      <c r="G1900" s="3"/>
      <c r="H1900" s="3"/>
    </row>
    <row r="1901">
      <c r="A1901" s="3"/>
      <c r="B1901" s="3"/>
      <c r="C1901" s="3"/>
      <c r="D1901" s="5"/>
      <c r="E1901" s="5"/>
      <c r="F1901" s="3"/>
      <c r="G1901" s="7"/>
      <c r="H1901" s="3"/>
    </row>
    <row r="1902">
      <c r="A1902" s="3"/>
      <c r="B1902" s="3"/>
      <c r="C1902" s="3"/>
      <c r="D1902" s="5"/>
      <c r="E1902" s="5"/>
      <c r="F1902" s="3"/>
      <c r="G1902" s="7"/>
      <c r="H1902" s="3"/>
    </row>
    <row r="1903">
      <c r="A1903" s="3"/>
      <c r="B1903" s="3"/>
      <c r="C1903" s="3"/>
      <c r="D1903" s="5"/>
      <c r="E1903" s="5"/>
      <c r="F1903" s="3"/>
      <c r="G1903" s="7"/>
      <c r="H1903" s="3"/>
    </row>
    <row r="1904">
      <c r="A1904" s="3"/>
      <c r="B1904" s="3"/>
      <c r="C1904" s="3"/>
      <c r="D1904" s="5"/>
      <c r="E1904" s="5"/>
      <c r="F1904" s="3"/>
      <c r="G1904" s="7"/>
      <c r="H1904" s="3"/>
    </row>
    <row r="1905">
      <c r="A1905" s="3"/>
      <c r="B1905" s="3"/>
      <c r="C1905" s="3"/>
      <c r="D1905" s="5"/>
      <c r="E1905" s="5"/>
      <c r="F1905" s="3"/>
      <c r="G1905" s="3"/>
      <c r="H1905" s="3"/>
    </row>
    <row r="1906">
      <c r="A1906" s="3"/>
      <c r="B1906" s="3"/>
      <c r="C1906" s="3"/>
      <c r="D1906" s="5"/>
      <c r="E1906" s="5"/>
      <c r="F1906" s="3"/>
      <c r="G1906" s="7"/>
      <c r="H1906" s="3"/>
    </row>
    <row r="1907">
      <c r="A1907" s="3"/>
      <c r="B1907" s="3"/>
      <c r="C1907" s="3"/>
      <c r="D1907" s="5"/>
      <c r="E1907" s="5"/>
      <c r="F1907" s="3"/>
      <c r="G1907" s="7"/>
      <c r="H1907" s="3"/>
    </row>
    <row r="1908">
      <c r="A1908" s="3"/>
      <c r="B1908" s="3"/>
      <c r="C1908" s="3"/>
      <c r="D1908" s="5"/>
      <c r="E1908" s="5"/>
      <c r="F1908" s="3"/>
      <c r="G1908" s="7"/>
      <c r="H1908" s="3"/>
    </row>
    <row r="1909">
      <c r="A1909" s="3"/>
      <c r="B1909" s="3"/>
      <c r="C1909" s="3"/>
      <c r="D1909" s="5"/>
      <c r="E1909" s="5"/>
      <c r="F1909" s="3"/>
      <c r="G1909" s="7"/>
      <c r="H1909" s="3"/>
    </row>
    <row r="1910">
      <c r="A1910" s="3"/>
      <c r="B1910" s="3"/>
      <c r="C1910" s="3"/>
      <c r="D1910" s="5"/>
      <c r="E1910" s="5"/>
      <c r="F1910" s="3"/>
      <c r="G1910" s="3"/>
      <c r="H1910" s="3"/>
    </row>
    <row r="1911">
      <c r="A1911" s="3"/>
      <c r="B1911" s="3"/>
      <c r="C1911" s="3"/>
      <c r="D1911" s="5"/>
      <c r="E1911" s="5"/>
      <c r="F1911" s="3"/>
      <c r="G1911" s="7"/>
      <c r="H1911" s="3"/>
    </row>
    <row r="1912">
      <c r="A1912" s="3"/>
      <c r="B1912" s="3"/>
      <c r="C1912" s="3"/>
      <c r="D1912" s="5"/>
      <c r="E1912" s="5"/>
      <c r="F1912" s="3"/>
      <c r="G1912" s="7"/>
      <c r="H1912" s="3"/>
    </row>
    <row r="1913">
      <c r="A1913" s="3"/>
      <c r="B1913" s="3"/>
      <c r="C1913" s="3"/>
      <c r="D1913" s="5"/>
      <c r="E1913" s="5"/>
      <c r="F1913" s="3"/>
      <c r="G1913" s="7"/>
      <c r="H1913" s="3"/>
    </row>
    <row r="1914">
      <c r="A1914" s="3"/>
      <c r="B1914" s="3"/>
      <c r="C1914" s="3"/>
      <c r="D1914" s="5"/>
      <c r="E1914" s="5"/>
      <c r="F1914" s="3"/>
      <c r="G1914" s="7"/>
      <c r="H1914" s="3"/>
    </row>
    <row r="1915">
      <c r="A1915" s="3"/>
      <c r="B1915" s="3"/>
      <c r="C1915" s="3"/>
      <c r="D1915" s="5"/>
      <c r="E1915" s="5"/>
      <c r="F1915" s="3"/>
      <c r="G1915" s="3"/>
      <c r="H1915" s="3"/>
    </row>
    <row r="1916">
      <c r="A1916" s="3"/>
      <c r="B1916" s="3"/>
      <c r="C1916" s="3"/>
      <c r="D1916" s="5"/>
      <c r="E1916" s="5"/>
      <c r="F1916" s="3"/>
      <c r="G1916" s="7"/>
      <c r="H1916" s="3"/>
    </row>
    <row r="1917">
      <c r="A1917" s="3"/>
      <c r="B1917" s="3"/>
      <c r="C1917" s="3"/>
      <c r="D1917" s="5"/>
      <c r="E1917" s="5"/>
      <c r="F1917" s="3"/>
      <c r="G1917" s="7"/>
      <c r="H1917" s="3"/>
    </row>
    <row r="1918">
      <c r="A1918" s="3"/>
      <c r="B1918" s="3"/>
      <c r="C1918" s="3"/>
      <c r="D1918" s="5"/>
      <c r="E1918" s="5"/>
      <c r="F1918" s="3"/>
      <c r="G1918" s="7"/>
      <c r="H1918" s="3"/>
    </row>
    <row r="1919">
      <c r="A1919" s="3"/>
      <c r="B1919" s="3"/>
      <c r="C1919" s="3"/>
      <c r="D1919" s="5"/>
      <c r="E1919" s="5"/>
      <c r="F1919" s="3"/>
      <c r="G1919" s="7"/>
      <c r="H1919" s="3"/>
    </row>
    <row r="1920">
      <c r="A1920" s="3"/>
      <c r="B1920" s="3"/>
      <c r="C1920" s="3"/>
      <c r="D1920" s="5"/>
      <c r="E1920" s="5"/>
      <c r="F1920" s="3"/>
      <c r="G1920" s="3"/>
      <c r="H1920" s="3"/>
    </row>
    <row r="1921">
      <c r="A1921" s="3"/>
      <c r="B1921" s="3"/>
      <c r="C1921" s="3"/>
      <c r="D1921" s="5"/>
      <c r="E1921" s="5"/>
      <c r="F1921" s="3"/>
      <c r="G1921" s="7"/>
      <c r="H1921" s="3"/>
    </row>
    <row r="1922">
      <c r="A1922" s="3"/>
      <c r="B1922" s="3"/>
      <c r="C1922" s="3"/>
      <c r="D1922" s="5"/>
      <c r="E1922" s="5"/>
      <c r="F1922" s="3"/>
      <c r="G1922" s="7"/>
      <c r="H1922" s="3"/>
    </row>
    <row r="1923">
      <c r="A1923" s="3"/>
      <c r="B1923" s="3"/>
      <c r="C1923" s="3"/>
      <c r="D1923" s="5"/>
      <c r="E1923" s="5"/>
      <c r="F1923" s="3"/>
      <c r="G1923" s="7"/>
      <c r="H1923" s="3"/>
    </row>
    <row r="1924">
      <c r="A1924" s="3"/>
      <c r="B1924" s="3"/>
      <c r="C1924" s="3"/>
      <c r="D1924" s="5"/>
      <c r="E1924" s="5"/>
      <c r="F1924" s="3"/>
      <c r="G1924" s="7"/>
      <c r="H1924" s="3"/>
    </row>
    <row r="1925">
      <c r="A1925" s="3"/>
      <c r="B1925" s="3"/>
      <c r="C1925" s="3"/>
      <c r="D1925" s="5"/>
      <c r="E1925" s="5"/>
      <c r="F1925" s="3"/>
      <c r="G1925" s="3"/>
      <c r="H1925" s="3"/>
    </row>
    <row r="1926">
      <c r="A1926" s="3"/>
      <c r="B1926" s="3"/>
      <c r="C1926" s="3"/>
      <c r="D1926" s="5"/>
      <c r="E1926" s="5"/>
      <c r="F1926" s="3"/>
      <c r="G1926" s="7"/>
      <c r="H1926" s="3"/>
    </row>
    <row r="1927">
      <c r="A1927" s="3"/>
      <c r="B1927" s="3"/>
      <c r="C1927" s="3"/>
      <c r="D1927" s="5"/>
      <c r="E1927" s="5"/>
      <c r="F1927" s="3"/>
      <c r="G1927" s="7"/>
      <c r="H1927" s="3"/>
    </row>
    <row r="1928">
      <c r="A1928" s="3"/>
      <c r="B1928" s="3"/>
      <c r="C1928" s="3"/>
      <c r="D1928" s="5"/>
      <c r="E1928" s="5"/>
      <c r="F1928" s="3"/>
      <c r="G1928" s="7"/>
      <c r="H1928" s="3"/>
    </row>
    <row r="1929">
      <c r="A1929" s="3"/>
      <c r="B1929" s="3"/>
      <c r="C1929" s="3"/>
      <c r="D1929" s="5"/>
      <c r="E1929" s="5"/>
      <c r="F1929" s="3"/>
      <c r="G1929" s="7"/>
      <c r="H1929" s="3"/>
    </row>
    <row r="1930">
      <c r="A1930" s="3"/>
      <c r="B1930" s="3"/>
      <c r="C1930" s="3"/>
      <c r="D1930" s="5"/>
      <c r="E1930" s="5"/>
      <c r="F1930" s="3"/>
      <c r="G1930" s="3"/>
      <c r="H1930" s="3"/>
    </row>
    <row r="1931">
      <c r="A1931" s="3"/>
      <c r="B1931" s="3"/>
      <c r="C1931" s="3"/>
      <c r="D1931" s="5"/>
      <c r="E1931" s="5"/>
      <c r="F1931" s="3"/>
      <c r="G1931" s="7"/>
      <c r="H1931" s="3"/>
    </row>
    <row r="1932">
      <c r="A1932" s="3"/>
      <c r="B1932" s="3"/>
      <c r="C1932" s="3"/>
      <c r="D1932" s="5"/>
      <c r="E1932" s="5"/>
      <c r="F1932" s="3"/>
      <c r="G1932" s="7"/>
      <c r="H1932" s="3"/>
    </row>
    <row r="1933">
      <c r="A1933" s="3"/>
      <c r="B1933" s="3"/>
      <c r="C1933" s="3"/>
      <c r="D1933" s="5"/>
      <c r="E1933" s="5"/>
      <c r="F1933" s="3"/>
      <c r="G1933" s="7"/>
      <c r="H1933" s="3"/>
    </row>
    <row r="1934">
      <c r="A1934" s="3"/>
      <c r="B1934" s="3"/>
      <c r="C1934" s="3"/>
      <c r="D1934" s="5"/>
      <c r="E1934" s="5"/>
      <c r="F1934" s="3"/>
      <c r="G1934" s="7"/>
      <c r="H1934" s="3"/>
    </row>
    <row r="1935">
      <c r="A1935" s="3"/>
      <c r="B1935" s="3"/>
      <c r="C1935" s="3"/>
      <c r="D1935" s="5"/>
      <c r="E1935" s="5"/>
      <c r="F1935" s="3"/>
      <c r="G1935" s="3"/>
      <c r="H1935" s="3"/>
    </row>
    <row r="1936">
      <c r="A1936" s="3"/>
      <c r="B1936" s="3"/>
      <c r="C1936" s="3"/>
      <c r="D1936" s="5"/>
      <c r="E1936" s="5"/>
      <c r="F1936" s="3"/>
      <c r="G1936" s="7"/>
      <c r="H1936" s="3"/>
    </row>
    <row r="1937">
      <c r="A1937" s="3"/>
      <c r="B1937" s="3"/>
      <c r="C1937" s="3"/>
      <c r="D1937" s="5"/>
      <c r="E1937" s="5"/>
      <c r="F1937" s="3"/>
      <c r="G1937" s="7"/>
      <c r="H1937" s="3"/>
    </row>
    <row r="1938">
      <c r="A1938" s="3"/>
      <c r="B1938" s="3"/>
      <c r="C1938" s="3"/>
      <c r="D1938" s="5"/>
      <c r="E1938" s="5"/>
      <c r="F1938" s="3"/>
      <c r="G1938" s="7"/>
      <c r="H1938" s="3"/>
    </row>
    <row r="1939">
      <c r="A1939" s="3"/>
      <c r="B1939" s="3"/>
      <c r="C1939" s="3"/>
      <c r="D1939" s="5"/>
      <c r="E1939" s="5"/>
      <c r="F1939" s="3"/>
      <c r="G1939" s="7"/>
      <c r="H1939" s="3"/>
    </row>
    <row r="1940">
      <c r="A1940" s="3"/>
      <c r="B1940" s="3"/>
      <c r="C1940" s="3"/>
      <c r="D1940" s="5"/>
      <c r="E1940" s="5"/>
      <c r="F1940" s="3"/>
      <c r="G1940" s="3"/>
      <c r="H1940" s="3"/>
    </row>
    <row r="1941">
      <c r="A1941" s="3"/>
      <c r="B1941" s="3"/>
      <c r="C1941" s="3"/>
      <c r="D1941" s="5"/>
      <c r="E1941" s="5"/>
      <c r="F1941" s="3"/>
      <c r="G1941" s="7"/>
      <c r="H1941" s="3"/>
    </row>
    <row r="1942">
      <c r="A1942" s="3"/>
      <c r="B1942" s="3"/>
      <c r="C1942" s="3"/>
      <c r="D1942" s="5"/>
      <c r="E1942" s="5"/>
      <c r="F1942" s="3"/>
      <c r="G1942" s="7"/>
      <c r="H1942" s="3"/>
    </row>
    <row r="1943">
      <c r="A1943" s="3"/>
      <c r="B1943" s="3"/>
      <c r="C1943" s="3"/>
      <c r="D1943" s="5"/>
      <c r="E1943" s="5"/>
      <c r="F1943" s="3"/>
      <c r="G1943" s="7"/>
      <c r="H1943" s="3"/>
    </row>
    <row r="1944">
      <c r="A1944" s="3"/>
      <c r="B1944" s="3"/>
      <c r="C1944" s="3"/>
      <c r="D1944" s="5"/>
      <c r="E1944" s="5"/>
      <c r="F1944" s="3"/>
      <c r="G1944" s="7"/>
      <c r="H1944" s="3"/>
    </row>
    <row r="1945">
      <c r="A1945" s="3"/>
      <c r="B1945" s="3"/>
      <c r="C1945" s="3"/>
      <c r="D1945" s="5"/>
      <c r="E1945" s="5"/>
      <c r="F1945" s="3"/>
      <c r="G1945" s="3"/>
      <c r="H1945" s="3"/>
    </row>
    <row r="1946">
      <c r="A1946" s="3"/>
      <c r="B1946" s="3"/>
      <c r="C1946" s="3"/>
      <c r="D1946" s="5"/>
      <c r="E1946" s="5"/>
      <c r="F1946" s="3"/>
      <c r="G1946" s="7"/>
      <c r="H1946" s="3"/>
    </row>
    <row r="1947">
      <c r="A1947" s="3"/>
      <c r="B1947" s="3"/>
      <c r="C1947" s="3"/>
      <c r="D1947" s="5"/>
      <c r="E1947" s="5"/>
      <c r="F1947" s="3"/>
      <c r="G1947" s="7"/>
      <c r="H1947" s="3"/>
    </row>
    <row r="1948">
      <c r="A1948" s="3"/>
      <c r="B1948" s="3"/>
      <c r="C1948" s="3"/>
      <c r="D1948" s="5"/>
      <c r="E1948" s="5"/>
      <c r="F1948" s="3"/>
      <c r="G1948" s="7"/>
      <c r="H1948" s="3"/>
    </row>
    <row r="1949">
      <c r="A1949" s="3"/>
      <c r="B1949" s="3"/>
      <c r="C1949" s="3"/>
      <c r="D1949" s="5"/>
      <c r="E1949" s="5"/>
      <c r="F1949" s="3"/>
      <c r="G1949" s="7"/>
      <c r="H1949" s="3"/>
    </row>
    <row r="1950">
      <c r="A1950" s="3"/>
      <c r="B1950" s="3"/>
      <c r="C1950" s="3"/>
      <c r="D1950" s="5"/>
      <c r="E1950" s="5"/>
      <c r="F1950" s="3"/>
      <c r="G1950" s="3"/>
      <c r="H1950" s="3"/>
    </row>
    <row r="1951">
      <c r="A1951" s="3"/>
      <c r="B1951" s="3"/>
      <c r="C1951" s="3"/>
      <c r="D1951" s="5"/>
      <c r="E1951" s="5"/>
      <c r="F1951" s="3"/>
      <c r="G1951" s="7"/>
      <c r="H1951" s="3"/>
    </row>
    <row r="1952">
      <c r="A1952" s="3"/>
      <c r="B1952" s="3"/>
      <c r="C1952" s="3"/>
      <c r="D1952" s="5"/>
      <c r="E1952" s="5"/>
      <c r="F1952" s="3"/>
      <c r="G1952" s="7"/>
      <c r="H1952" s="3"/>
    </row>
    <row r="1953">
      <c r="A1953" s="3"/>
      <c r="B1953" s="3"/>
      <c r="C1953" s="3"/>
      <c r="D1953" s="5"/>
      <c r="E1953" s="5"/>
      <c r="F1953" s="3"/>
      <c r="G1953" s="7"/>
      <c r="H1953" s="3"/>
    </row>
    <row r="1954">
      <c r="A1954" s="3"/>
      <c r="B1954" s="3"/>
      <c r="C1954" s="3"/>
      <c r="D1954" s="5"/>
      <c r="E1954" s="5"/>
      <c r="F1954" s="3"/>
      <c r="G1954" s="7"/>
      <c r="H1954" s="3"/>
    </row>
    <row r="1955">
      <c r="A1955" s="3"/>
      <c r="B1955" s="3"/>
      <c r="C1955" s="3"/>
      <c r="D1955" s="5"/>
      <c r="E1955" s="5"/>
      <c r="F1955" s="3"/>
      <c r="G1955" s="3"/>
      <c r="H1955" s="3"/>
    </row>
    <row r="1956">
      <c r="A1956" s="3"/>
      <c r="B1956" s="3"/>
      <c r="C1956" s="3"/>
      <c r="D1956" s="5"/>
      <c r="E1956" s="5"/>
      <c r="F1956" s="3"/>
      <c r="G1956" s="7"/>
      <c r="H1956" s="3"/>
    </row>
    <row r="1957">
      <c r="A1957" s="3"/>
      <c r="B1957" s="3"/>
      <c r="C1957" s="3"/>
      <c r="D1957" s="5"/>
      <c r="E1957" s="5"/>
      <c r="F1957" s="3"/>
      <c r="G1957" s="7"/>
      <c r="H1957" s="3"/>
    </row>
    <row r="1958">
      <c r="A1958" s="3"/>
      <c r="B1958" s="3"/>
      <c r="C1958" s="3"/>
      <c r="D1958" s="5"/>
      <c r="E1958" s="5"/>
      <c r="F1958" s="3"/>
      <c r="G1958" s="7"/>
      <c r="H1958" s="3"/>
    </row>
    <row r="1959">
      <c r="A1959" s="3"/>
      <c r="B1959" s="3"/>
      <c r="C1959" s="3"/>
      <c r="D1959" s="5"/>
      <c r="E1959" s="5"/>
      <c r="F1959" s="3"/>
      <c r="G1959" s="7"/>
      <c r="H1959" s="3"/>
    </row>
    <row r="1960">
      <c r="A1960" s="3"/>
      <c r="B1960" s="3"/>
      <c r="C1960" s="3"/>
      <c r="D1960" s="5"/>
      <c r="E1960" s="5"/>
      <c r="F1960" s="3"/>
      <c r="G1960" s="3"/>
      <c r="H1960" s="3"/>
    </row>
    <row r="1961">
      <c r="A1961" s="3"/>
      <c r="B1961" s="3"/>
      <c r="C1961" s="3"/>
      <c r="D1961" s="5"/>
      <c r="E1961" s="5"/>
      <c r="F1961" s="3"/>
      <c r="G1961" s="7"/>
      <c r="H1961" s="3"/>
    </row>
    <row r="1962">
      <c r="A1962" s="3"/>
      <c r="B1962" s="3"/>
      <c r="C1962" s="3"/>
      <c r="D1962" s="5"/>
      <c r="E1962" s="5"/>
      <c r="F1962" s="3"/>
      <c r="G1962" s="7"/>
      <c r="H1962" s="3"/>
    </row>
    <row r="1963">
      <c r="A1963" s="3"/>
      <c r="B1963" s="3"/>
      <c r="C1963" s="3"/>
      <c r="D1963" s="5"/>
      <c r="E1963" s="5"/>
      <c r="F1963" s="3"/>
      <c r="G1963" s="7"/>
      <c r="H1963" s="3"/>
    </row>
    <row r="1964">
      <c r="A1964" s="3"/>
      <c r="B1964" s="3"/>
      <c r="C1964" s="3"/>
      <c r="D1964" s="5"/>
      <c r="E1964" s="5"/>
      <c r="F1964" s="3"/>
      <c r="G1964" s="7"/>
      <c r="H1964" s="3"/>
    </row>
    <row r="1965">
      <c r="A1965" s="3"/>
      <c r="B1965" s="3"/>
      <c r="C1965" s="3"/>
      <c r="D1965" s="5"/>
      <c r="E1965" s="5"/>
      <c r="F1965" s="3"/>
      <c r="G1965" s="3"/>
      <c r="H1965" s="3"/>
    </row>
    <row r="1966">
      <c r="A1966" s="3"/>
      <c r="B1966" s="3"/>
      <c r="C1966" s="3"/>
      <c r="D1966" s="5"/>
      <c r="E1966" s="5"/>
      <c r="F1966" s="3"/>
      <c r="G1966" s="7"/>
      <c r="H1966" s="3"/>
    </row>
    <row r="1967">
      <c r="A1967" s="3"/>
      <c r="B1967" s="3"/>
      <c r="C1967" s="3"/>
      <c r="D1967" s="5"/>
      <c r="E1967" s="5"/>
      <c r="F1967" s="3"/>
      <c r="G1967" s="7"/>
      <c r="H1967" s="3"/>
    </row>
    <row r="1968">
      <c r="A1968" s="3"/>
      <c r="B1968" s="3"/>
      <c r="C1968" s="3"/>
      <c r="D1968" s="5"/>
      <c r="E1968" s="5"/>
      <c r="F1968" s="3"/>
      <c r="G1968" s="7"/>
      <c r="H1968" s="3"/>
    </row>
    <row r="1969">
      <c r="A1969" s="3"/>
      <c r="B1969" s="3"/>
      <c r="C1969" s="3"/>
      <c r="D1969" s="5"/>
      <c r="E1969" s="5"/>
      <c r="F1969" s="3"/>
      <c r="G1969" s="7"/>
      <c r="H1969" s="3"/>
    </row>
    <row r="1970">
      <c r="A1970" s="3"/>
      <c r="B1970" s="3"/>
      <c r="C1970" s="3"/>
      <c r="D1970" s="5"/>
      <c r="E1970" s="5"/>
      <c r="F1970" s="3"/>
      <c r="G1970" s="3"/>
      <c r="H1970" s="3"/>
    </row>
    <row r="1971">
      <c r="A1971" s="3"/>
      <c r="B1971" s="3"/>
      <c r="C1971" s="3"/>
      <c r="D1971" s="5"/>
      <c r="E1971" s="5"/>
      <c r="F1971" s="3"/>
      <c r="G1971" s="7"/>
      <c r="H1971" s="3"/>
    </row>
    <row r="1972">
      <c r="A1972" s="3"/>
      <c r="B1972" s="3"/>
      <c r="C1972" s="3"/>
      <c r="D1972" s="5"/>
      <c r="E1972" s="5"/>
      <c r="F1972" s="3"/>
      <c r="G1972" s="7"/>
      <c r="H1972" s="3"/>
    </row>
    <row r="1973">
      <c r="A1973" s="3"/>
      <c r="B1973" s="3"/>
      <c r="C1973" s="3"/>
      <c r="D1973" s="5"/>
      <c r="E1973" s="5"/>
      <c r="F1973" s="3"/>
      <c r="G1973" s="7"/>
      <c r="H1973" s="3"/>
    </row>
    <row r="1974">
      <c r="A1974" s="3"/>
      <c r="B1974" s="3"/>
      <c r="C1974" s="3"/>
      <c r="D1974" s="5"/>
      <c r="E1974" s="5"/>
      <c r="F1974" s="3"/>
      <c r="G1974" s="7"/>
      <c r="H1974" s="3"/>
    </row>
    <row r="1975">
      <c r="A1975" s="3"/>
      <c r="B1975" s="3"/>
      <c r="C1975" s="3"/>
      <c r="D1975" s="5"/>
      <c r="E1975" s="5"/>
      <c r="F1975" s="3"/>
      <c r="G1975" s="3"/>
      <c r="H1975" s="3"/>
    </row>
    <row r="1976">
      <c r="A1976" s="3"/>
      <c r="B1976" s="3"/>
      <c r="C1976" s="3"/>
      <c r="D1976" s="5"/>
      <c r="E1976" s="5"/>
      <c r="F1976" s="3"/>
      <c r="G1976" s="7"/>
      <c r="H1976" s="3"/>
    </row>
    <row r="1977">
      <c r="A1977" s="3"/>
      <c r="B1977" s="3"/>
      <c r="C1977" s="3"/>
      <c r="D1977" s="5"/>
      <c r="E1977" s="5"/>
      <c r="F1977" s="3"/>
      <c r="G1977" s="7"/>
      <c r="H1977" s="3"/>
    </row>
    <row r="1978">
      <c r="A1978" s="3"/>
      <c r="B1978" s="3"/>
      <c r="C1978" s="3"/>
      <c r="D1978" s="5"/>
      <c r="E1978" s="5"/>
      <c r="F1978" s="3"/>
      <c r="G1978" s="7"/>
      <c r="H1978" s="3"/>
    </row>
    <row r="1979">
      <c r="A1979" s="3"/>
      <c r="B1979" s="3"/>
      <c r="C1979" s="3"/>
      <c r="D1979" s="5"/>
      <c r="E1979" s="5"/>
      <c r="F1979" s="3"/>
      <c r="G1979" s="7"/>
      <c r="H1979" s="3"/>
    </row>
    <row r="1980">
      <c r="A1980" s="3"/>
      <c r="B1980" s="3"/>
      <c r="C1980" s="3"/>
      <c r="D1980" s="5"/>
      <c r="E1980" s="5"/>
      <c r="F1980" s="3"/>
      <c r="G1980" s="3"/>
      <c r="H1980" s="3"/>
    </row>
    <row r="1981">
      <c r="A1981" s="3"/>
      <c r="B1981" s="3"/>
      <c r="C1981" s="3"/>
      <c r="D1981" s="5"/>
      <c r="E1981" s="5"/>
      <c r="F1981" s="3"/>
      <c r="G1981" s="7"/>
      <c r="H1981" s="3"/>
    </row>
    <row r="1982">
      <c r="A1982" s="3"/>
      <c r="B1982" s="3"/>
      <c r="C1982" s="3"/>
      <c r="D1982" s="5"/>
      <c r="E1982" s="5"/>
      <c r="F1982" s="3"/>
      <c r="G1982" s="7"/>
      <c r="H1982" s="3"/>
    </row>
    <row r="1983">
      <c r="A1983" s="3"/>
      <c r="B1983" s="3"/>
      <c r="C1983" s="3"/>
      <c r="D1983" s="5"/>
      <c r="E1983" s="5"/>
      <c r="F1983" s="3"/>
      <c r="G1983" s="7"/>
      <c r="H1983" s="3"/>
    </row>
    <row r="1984">
      <c r="A1984" s="3"/>
      <c r="B1984" s="3"/>
      <c r="C1984" s="3"/>
      <c r="D1984" s="5"/>
      <c r="E1984" s="5"/>
      <c r="F1984" s="3"/>
      <c r="G1984" s="7"/>
      <c r="H1984" s="3"/>
    </row>
    <row r="1985">
      <c r="A1985" s="3"/>
      <c r="B1985" s="3"/>
      <c r="C1985" s="3"/>
      <c r="D1985" s="5"/>
      <c r="E1985" s="5"/>
      <c r="F1985" s="3"/>
      <c r="G1985" s="3"/>
      <c r="H1985" s="3"/>
    </row>
    <row r="1986">
      <c r="A1986" s="3"/>
      <c r="B1986" s="3"/>
      <c r="C1986" s="3"/>
      <c r="D1986" s="5"/>
      <c r="E1986" s="5"/>
      <c r="F1986" s="3"/>
      <c r="G1986" s="7"/>
      <c r="H1986" s="3"/>
    </row>
    <row r="1987">
      <c r="A1987" s="3"/>
      <c r="B1987" s="3"/>
      <c r="C1987" s="3"/>
      <c r="D1987" s="5"/>
      <c r="E1987" s="5"/>
      <c r="F1987" s="3"/>
      <c r="G1987" s="7"/>
      <c r="H1987" s="3"/>
    </row>
    <row r="1988">
      <c r="A1988" s="3"/>
      <c r="B1988" s="3"/>
      <c r="C1988" s="3"/>
      <c r="D1988" s="5"/>
      <c r="E1988" s="5"/>
      <c r="F1988" s="3"/>
      <c r="G1988" s="7"/>
      <c r="H1988" s="3"/>
    </row>
    <row r="1989">
      <c r="A1989" s="3"/>
      <c r="B1989" s="3"/>
      <c r="C1989" s="3"/>
      <c r="D1989" s="5"/>
      <c r="E1989" s="5"/>
      <c r="F1989" s="3"/>
      <c r="G1989" s="7"/>
      <c r="H1989" s="3"/>
    </row>
    <row r="1990">
      <c r="A1990" s="3"/>
      <c r="B1990" s="3"/>
      <c r="C1990" s="3"/>
      <c r="D1990" s="5"/>
      <c r="E1990" s="5"/>
      <c r="F1990" s="3"/>
      <c r="G1990" s="3"/>
      <c r="H1990" s="3"/>
    </row>
    <row r="1991">
      <c r="A1991" s="3"/>
      <c r="B1991" s="3"/>
      <c r="C1991" s="3"/>
      <c r="D1991" s="5"/>
      <c r="E1991" s="5"/>
      <c r="F1991" s="3"/>
      <c r="G1991" s="7"/>
      <c r="H1991" s="3"/>
    </row>
    <row r="1992">
      <c r="A1992" s="3"/>
      <c r="B1992" s="3"/>
      <c r="C1992" s="3"/>
      <c r="D1992" s="5"/>
      <c r="E1992" s="5"/>
      <c r="F1992" s="3"/>
      <c r="G1992" s="7"/>
      <c r="H1992" s="3"/>
    </row>
    <row r="1993">
      <c r="A1993" s="3"/>
      <c r="B1993" s="3"/>
      <c r="C1993" s="3"/>
      <c r="D1993" s="5"/>
      <c r="E1993" s="5"/>
      <c r="F1993" s="3"/>
      <c r="G1993" s="7"/>
      <c r="H1993" s="3"/>
    </row>
    <row r="1994">
      <c r="A1994" s="3"/>
      <c r="B1994" s="3"/>
      <c r="C1994" s="3"/>
      <c r="D1994" s="5"/>
      <c r="E1994" s="5"/>
      <c r="F1994" s="3"/>
      <c r="G1994" s="7"/>
      <c r="H1994" s="3"/>
    </row>
    <row r="1995">
      <c r="A1995" s="3"/>
      <c r="B1995" s="3"/>
      <c r="C1995" s="3"/>
      <c r="D1995" s="5"/>
      <c r="E1995" s="5"/>
      <c r="F1995" s="3"/>
      <c r="G1995" s="3"/>
      <c r="H1995" s="3"/>
    </row>
    <row r="1996">
      <c r="A1996" s="3"/>
      <c r="B1996" s="3"/>
      <c r="C1996" s="3"/>
      <c r="D1996" s="5"/>
      <c r="E1996" s="5"/>
      <c r="F1996" s="3"/>
      <c r="G1996" s="7"/>
      <c r="H1996" s="3"/>
    </row>
    <row r="1997">
      <c r="A1997" s="3"/>
      <c r="B1997" s="3"/>
      <c r="C1997" s="3"/>
      <c r="D1997" s="5"/>
      <c r="E1997" s="5"/>
      <c r="F1997" s="3"/>
      <c r="G1997" s="7"/>
      <c r="H1997" s="3"/>
    </row>
    <row r="1998">
      <c r="A1998" s="3"/>
      <c r="B1998" s="3"/>
      <c r="C1998" s="3"/>
      <c r="D1998" s="5"/>
      <c r="E1998" s="5"/>
      <c r="F1998" s="3"/>
      <c r="G1998" s="7"/>
      <c r="H1998" s="3"/>
    </row>
    <row r="1999">
      <c r="A1999" s="3"/>
      <c r="B1999" s="3"/>
      <c r="C1999" s="3"/>
      <c r="D1999" s="5"/>
      <c r="E1999" s="5"/>
      <c r="F1999" s="3"/>
      <c r="G1999" s="7"/>
      <c r="H1999" s="3"/>
    </row>
    <row r="2000">
      <c r="A2000" s="3"/>
      <c r="B2000" s="3"/>
      <c r="C2000" s="3"/>
      <c r="D2000" s="5"/>
      <c r="E2000" s="5"/>
      <c r="F2000" s="3"/>
      <c r="G2000" s="3"/>
      <c r="H2000" s="3"/>
    </row>
    <row r="2001">
      <c r="A2001" s="3"/>
      <c r="B2001" s="3"/>
      <c r="C2001" s="3"/>
      <c r="D2001" s="5"/>
      <c r="E2001" s="5"/>
      <c r="F2001" s="3"/>
      <c r="G2001" s="7"/>
      <c r="H2001" s="3"/>
    </row>
    <row r="2002">
      <c r="A2002" s="3"/>
      <c r="B2002" s="3"/>
      <c r="C2002" s="3"/>
      <c r="D2002" s="5"/>
      <c r="E2002" s="5"/>
      <c r="F2002" s="3"/>
      <c r="G2002" s="7"/>
      <c r="H2002" s="3"/>
    </row>
    <row r="2003">
      <c r="A2003" s="3"/>
      <c r="B2003" s="3"/>
      <c r="C2003" s="3"/>
      <c r="D2003" s="5"/>
      <c r="E2003" s="5"/>
      <c r="F2003" s="3"/>
      <c r="G2003" s="7"/>
      <c r="H2003" s="3"/>
    </row>
    <row r="2004">
      <c r="A2004" s="3"/>
      <c r="B2004" s="3"/>
      <c r="C2004" s="3"/>
      <c r="D2004" s="5"/>
      <c r="E2004" s="5"/>
      <c r="F2004" s="3"/>
      <c r="G2004" s="7"/>
      <c r="H2004" s="3"/>
    </row>
    <row r="2005">
      <c r="A2005" s="3"/>
      <c r="B2005" s="3"/>
      <c r="C2005" s="3"/>
      <c r="D2005" s="5"/>
      <c r="E2005" s="5"/>
      <c r="F2005" s="3"/>
      <c r="G2005" s="3"/>
      <c r="H2005" s="3"/>
    </row>
    <row r="2006">
      <c r="A2006" s="3"/>
      <c r="B2006" s="3"/>
      <c r="C2006" s="3"/>
      <c r="D2006" s="5"/>
      <c r="E2006" s="5"/>
      <c r="F2006" s="3"/>
      <c r="G2006" s="7"/>
      <c r="H2006" s="3"/>
    </row>
    <row r="2007">
      <c r="A2007" s="3"/>
      <c r="B2007" s="3"/>
      <c r="C2007" s="3"/>
      <c r="D2007" s="5"/>
      <c r="E2007" s="5"/>
      <c r="F2007" s="3"/>
      <c r="G2007" s="7"/>
      <c r="H2007" s="3"/>
    </row>
    <row r="2008">
      <c r="A2008" s="3"/>
      <c r="B2008" s="3"/>
      <c r="C2008" s="3"/>
      <c r="D2008" s="5"/>
      <c r="E2008" s="5"/>
      <c r="F2008" s="3"/>
      <c r="G2008" s="7"/>
      <c r="H2008" s="3"/>
    </row>
    <row r="2009">
      <c r="A2009" s="3"/>
      <c r="B2009" s="3"/>
      <c r="C2009" s="3"/>
      <c r="D2009" s="5"/>
      <c r="E2009" s="5"/>
      <c r="F2009" s="3"/>
      <c r="G2009" s="7"/>
      <c r="H2009" s="3"/>
    </row>
    <row r="2010">
      <c r="A2010" s="3"/>
      <c r="B2010" s="3"/>
      <c r="C2010" s="3"/>
      <c r="D2010" s="5"/>
      <c r="E2010" s="5"/>
      <c r="F2010" s="3"/>
      <c r="G2010" s="3"/>
      <c r="H2010" s="3"/>
    </row>
    <row r="2011">
      <c r="A2011" s="3"/>
      <c r="B2011" s="3"/>
      <c r="C2011" s="3"/>
      <c r="D2011" s="5"/>
      <c r="E2011" s="5"/>
      <c r="F2011" s="3"/>
      <c r="G2011" s="7"/>
      <c r="H2011" s="3"/>
    </row>
    <row r="2012">
      <c r="A2012" s="3"/>
      <c r="B2012" s="3"/>
      <c r="C2012" s="3"/>
      <c r="D2012" s="5"/>
      <c r="E2012" s="5"/>
      <c r="F2012" s="3"/>
      <c r="G2012" s="7"/>
      <c r="H2012" s="3"/>
    </row>
    <row r="2013">
      <c r="A2013" s="3"/>
      <c r="B2013" s="3"/>
      <c r="C2013" s="3"/>
      <c r="D2013" s="5"/>
      <c r="E2013" s="5"/>
      <c r="F2013" s="3"/>
      <c r="G2013" s="7"/>
      <c r="H2013" s="3"/>
    </row>
    <row r="2014">
      <c r="A2014" s="3"/>
      <c r="B2014" s="3"/>
      <c r="C2014" s="3"/>
      <c r="D2014" s="5"/>
      <c r="E2014" s="5"/>
      <c r="F2014" s="3"/>
      <c r="G2014" s="7"/>
      <c r="H2014" s="3"/>
    </row>
    <row r="2015">
      <c r="A2015" s="3"/>
      <c r="B2015" s="3"/>
      <c r="C2015" s="3"/>
      <c r="D2015" s="5"/>
      <c r="E2015" s="5"/>
      <c r="F2015" s="3"/>
      <c r="G2015" s="3"/>
      <c r="H2015" s="3"/>
    </row>
    <row r="2016">
      <c r="A2016" s="3"/>
      <c r="B2016" s="3"/>
      <c r="C2016" s="3"/>
      <c r="D2016" s="5"/>
      <c r="E2016" s="5"/>
      <c r="F2016" s="3"/>
      <c r="G2016" s="7"/>
      <c r="H2016" s="3"/>
    </row>
    <row r="2017">
      <c r="A2017" s="3"/>
      <c r="B2017" s="3"/>
      <c r="C2017" s="3"/>
      <c r="D2017" s="5"/>
      <c r="E2017" s="5"/>
      <c r="F2017" s="3"/>
      <c r="G2017" s="7"/>
      <c r="H2017" s="3"/>
    </row>
    <row r="2018">
      <c r="A2018" s="3"/>
      <c r="B2018" s="3"/>
      <c r="C2018" s="3"/>
      <c r="D2018" s="5"/>
      <c r="E2018" s="5"/>
      <c r="F2018" s="3"/>
      <c r="G2018" s="7"/>
      <c r="H2018" s="3"/>
    </row>
    <row r="2019">
      <c r="A2019" s="3"/>
      <c r="B2019" s="3"/>
      <c r="C2019" s="3"/>
      <c r="D2019" s="5"/>
      <c r="E2019" s="5"/>
      <c r="F2019" s="3"/>
      <c r="G2019" s="7"/>
      <c r="H2019" s="3"/>
    </row>
    <row r="2020">
      <c r="A2020" s="3"/>
      <c r="B2020" s="3"/>
      <c r="C2020" s="3"/>
      <c r="D2020" s="5"/>
      <c r="E2020" s="5"/>
      <c r="F2020" s="3"/>
      <c r="G2020" s="3"/>
      <c r="H2020" s="3"/>
    </row>
    <row r="2021">
      <c r="A2021" s="3"/>
      <c r="B2021" s="3"/>
      <c r="C2021" s="3"/>
      <c r="D2021" s="5"/>
      <c r="E2021" s="5"/>
      <c r="F2021" s="3"/>
      <c r="G2021" s="7"/>
      <c r="H2021" s="3"/>
    </row>
    <row r="2022">
      <c r="A2022" s="3"/>
      <c r="B2022" s="3"/>
      <c r="C2022" s="3"/>
      <c r="D2022" s="5"/>
      <c r="E2022" s="5"/>
      <c r="F2022" s="3"/>
      <c r="G2022" s="7"/>
      <c r="H2022" s="3"/>
    </row>
    <row r="2023">
      <c r="A2023" s="3"/>
      <c r="B2023" s="3"/>
      <c r="C2023" s="3"/>
      <c r="D2023" s="5"/>
      <c r="E2023" s="5"/>
      <c r="F2023" s="3"/>
      <c r="G2023" s="7"/>
      <c r="H2023" s="3"/>
    </row>
    <row r="2024">
      <c r="A2024" s="3"/>
      <c r="B2024" s="3"/>
      <c r="C2024" s="3"/>
      <c r="D2024" s="5"/>
      <c r="E2024" s="5"/>
      <c r="F2024" s="3"/>
      <c r="G2024" s="7"/>
      <c r="H2024" s="3"/>
    </row>
    <row r="2025">
      <c r="A2025" s="3"/>
      <c r="B2025" s="3"/>
      <c r="C2025" s="3"/>
      <c r="D2025" s="5"/>
      <c r="E2025" s="5"/>
      <c r="F2025" s="3"/>
      <c r="G2025" s="3"/>
      <c r="H2025" s="3"/>
    </row>
    <row r="2026">
      <c r="A2026" s="3"/>
      <c r="B2026" s="3"/>
      <c r="C2026" s="3"/>
      <c r="D2026" s="5"/>
      <c r="E2026" s="5"/>
      <c r="F2026" s="3"/>
      <c r="G2026" s="7"/>
      <c r="H2026" s="3"/>
    </row>
    <row r="2027">
      <c r="A2027" s="3"/>
      <c r="B2027" s="3"/>
      <c r="C2027" s="3"/>
      <c r="D2027" s="5"/>
      <c r="E2027" s="5"/>
      <c r="F2027" s="3"/>
      <c r="G2027" s="7"/>
      <c r="H2027" s="3"/>
    </row>
    <row r="2028">
      <c r="A2028" s="3"/>
      <c r="B2028" s="3"/>
      <c r="C2028" s="3"/>
      <c r="D2028" s="5"/>
      <c r="E2028" s="5"/>
      <c r="F2028" s="3"/>
      <c r="G2028" s="7"/>
      <c r="H2028" s="3"/>
    </row>
    <row r="2029">
      <c r="A2029" s="3"/>
      <c r="B2029" s="3"/>
      <c r="C2029" s="3"/>
      <c r="D2029" s="5"/>
      <c r="E2029" s="5"/>
      <c r="F2029" s="3"/>
      <c r="G2029" s="7"/>
      <c r="H2029" s="3"/>
    </row>
    <row r="2030">
      <c r="A2030" s="3"/>
      <c r="B2030" s="3"/>
      <c r="C2030" s="3"/>
      <c r="D2030" s="5"/>
      <c r="E2030" s="5"/>
      <c r="F2030" s="3"/>
      <c r="G2030" s="3"/>
      <c r="H2030" s="3"/>
    </row>
    <row r="2031">
      <c r="A2031" s="3"/>
      <c r="B2031" s="3"/>
      <c r="C2031" s="3"/>
      <c r="D2031" s="5"/>
      <c r="E2031" s="5"/>
      <c r="F2031" s="3"/>
      <c r="G2031" s="7"/>
      <c r="H2031" s="3"/>
    </row>
    <row r="2032">
      <c r="A2032" s="3"/>
      <c r="B2032" s="3"/>
      <c r="C2032" s="3"/>
      <c r="D2032" s="5"/>
      <c r="E2032" s="5"/>
      <c r="F2032" s="3"/>
      <c r="G2032" s="7"/>
      <c r="H2032" s="3"/>
    </row>
    <row r="2033">
      <c r="A2033" s="3"/>
      <c r="B2033" s="3"/>
      <c r="C2033" s="3"/>
      <c r="D2033" s="5"/>
      <c r="E2033" s="5"/>
      <c r="F2033" s="3"/>
      <c r="G2033" s="7"/>
      <c r="H2033" s="3"/>
    </row>
    <row r="2034">
      <c r="A2034" s="3"/>
      <c r="B2034" s="3"/>
      <c r="C2034" s="3"/>
      <c r="D2034" s="5"/>
      <c r="E2034" s="5"/>
      <c r="F2034" s="3"/>
      <c r="G2034" s="7"/>
      <c r="H2034" s="3"/>
    </row>
    <row r="2035">
      <c r="A2035" s="3"/>
      <c r="B2035" s="3"/>
      <c r="C2035" s="3"/>
      <c r="D2035" s="5"/>
      <c r="E2035" s="5"/>
      <c r="F2035" s="3"/>
      <c r="G2035" s="3"/>
      <c r="H2035" s="3"/>
    </row>
    <row r="2036">
      <c r="A2036" s="3"/>
      <c r="B2036" s="3"/>
      <c r="C2036" s="3"/>
      <c r="D2036" s="5"/>
      <c r="E2036" s="5"/>
      <c r="F2036" s="3"/>
      <c r="G2036" s="7"/>
      <c r="H2036" s="3"/>
    </row>
    <row r="2037">
      <c r="A2037" s="3"/>
      <c r="B2037" s="3"/>
      <c r="C2037" s="3"/>
      <c r="D2037" s="5"/>
      <c r="E2037" s="5"/>
      <c r="F2037" s="3"/>
      <c r="G2037" s="7"/>
      <c r="H2037" s="3"/>
    </row>
    <row r="2038">
      <c r="A2038" s="3"/>
      <c r="B2038" s="3"/>
      <c r="C2038" s="3"/>
      <c r="D2038" s="5"/>
      <c r="E2038" s="5"/>
      <c r="F2038" s="3"/>
      <c r="G2038" s="7"/>
      <c r="H2038" s="3"/>
    </row>
    <row r="2039">
      <c r="A2039" s="3"/>
      <c r="B2039" s="3"/>
      <c r="C2039" s="3"/>
      <c r="D2039" s="5"/>
      <c r="E2039" s="5"/>
      <c r="F2039" s="3"/>
      <c r="G2039" s="7"/>
      <c r="H2039" s="3"/>
    </row>
    <row r="2040">
      <c r="A2040" s="3"/>
      <c r="B2040" s="3"/>
      <c r="C2040" s="3"/>
      <c r="D2040" s="5"/>
      <c r="E2040" s="5"/>
      <c r="F2040" s="3"/>
      <c r="G2040" s="3"/>
      <c r="H2040" s="3"/>
    </row>
    <row r="2041">
      <c r="A2041" s="3"/>
      <c r="B2041" s="3"/>
      <c r="C2041" s="3"/>
      <c r="D2041" s="5"/>
      <c r="E2041" s="5"/>
      <c r="F2041" s="3"/>
      <c r="G2041" s="7"/>
      <c r="H2041" s="3"/>
    </row>
    <row r="2042">
      <c r="A2042" s="3"/>
      <c r="B2042" s="3"/>
      <c r="C2042" s="3"/>
      <c r="D2042" s="5"/>
      <c r="E2042" s="5"/>
      <c r="F2042" s="3"/>
      <c r="G2042" s="7"/>
      <c r="H2042" s="3"/>
    </row>
    <row r="2043">
      <c r="A2043" s="3"/>
      <c r="B2043" s="3"/>
      <c r="C2043" s="3"/>
      <c r="D2043" s="5"/>
      <c r="E2043" s="5"/>
      <c r="F2043" s="3"/>
      <c r="G2043" s="7"/>
      <c r="H2043" s="3"/>
    </row>
    <row r="2044">
      <c r="A2044" s="3"/>
      <c r="B2044" s="3"/>
      <c r="C2044" s="3"/>
      <c r="D2044" s="5"/>
      <c r="E2044" s="5"/>
      <c r="F2044" s="3"/>
      <c r="G2044" s="7"/>
      <c r="H2044" s="3"/>
    </row>
    <row r="2045">
      <c r="A2045" s="3"/>
      <c r="B2045" s="3"/>
      <c r="C2045" s="3"/>
      <c r="D2045" s="5"/>
      <c r="E2045" s="5"/>
      <c r="F2045" s="3"/>
      <c r="G2045" s="3"/>
      <c r="H2045" s="3"/>
    </row>
    <row r="2046">
      <c r="A2046" s="3"/>
      <c r="B2046" s="3"/>
      <c r="C2046" s="3"/>
      <c r="D2046" s="5"/>
      <c r="E2046" s="5"/>
      <c r="F2046" s="3"/>
      <c r="G2046" s="7"/>
      <c r="H2046" s="3"/>
    </row>
    <row r="2047">
      <c r="A2047" s="3"/>
      <c r="B2047" s="3"/>
      <c r="C2047" s="3"/>
      <c r="D2047" s="5"/>
      <c r="E2047" s="5"/>
      <c r="F2047" s="3"/>
      <c r="G2047" s="7"/>
      <c r="H2047" s="3"/>
    </row>
    <row r="2048">
      <c r="A2048" s="3"/>
      <c r="B2048" s="3"/>
      <c r="C2048" s="3"/>
      <c r="D2048" s="5"/>
      <c r="E2048" s="5"/>
      <c r="F2048" s="3"/>
      <c r="G2048" s="7"/>
      <c r="H2048" s="3"/>
    </row>
    <row r="2049">
      <c r="A2049" s="3"/>
      <c r="B2049" s="3"/>
      <c r="C2049" s="3"/>
      <c r="D2049" s="5"/>
      <c r="E2049" s="5"/>
      <c r="F2049" s="3"/>
      <c r="G2049" s="7"/>
      <c r="H2049" s="3"/>
    </row>
    <row r="2050">
      <c r="A2050" s="3"/>
      <c r="B2050" s="3"/>
      <c r="C2050" s="3"/>
      <c r="D2050" s="5"/>
      <c r="E2050" s="5"/>
      <c r="F2050" s="3"/>
      <c r="G2050" s="3"/>
      <c r="H2050" s="3"/>
    </row>
    <row r="2051">
      <c r="A2051" s="3"/>
      <c r="B2051" s="3"/>
      <c r="C2051" s="3"/>
      <c r="D2051" s="5"/>
      <c r="E2051" s="5"/>
      <c r="F2051" s="3"/>
      <c r="G2051" s="7"/>
      <c r="H2051" s="3"/>
    </row>
    <row r="2052">
      <c r="A2052" s="3"/>
      <c r="B2052" s="3"/>
      <c r="C2052" s="3"/>
      <c r="D2052" s="5"/>
      <c r="E2052" s="5"/>
      <c r="F2052" s="3"/>
      <c r="G2052" s="7"/>
      <c r="H2052" s="3"/>
    </row>
    <row r="2053">
      <c r="A2053" s="3"/>
      <c r="B2053" s="3"/>
      <c r="C2053" s="3"/>
      <c r="D2053" s="5"/>
      <c r="E2053" s="5"/>
      <c r="F2053" s="3"/>
      <c r="G2053" s="7"/>
      <c r="H2053" s="3"/>
    </row>
    <row r="2054">
      <c r="A2054" s="3"/>
      <c r="B2054" s="3"/>
      <c r="C2054" s="3"/>
      <c r="D2054" s="5"/>
      <c r="E2054" s="5"/>
      <c r="F2054" s="3"/>
      <c r="G2054" s="7"/>
      <c r="H2054" s="3"/>
    </row>
    <row r="2055">
      <c r="A2055" s="3"/>
      <c r="B2055" s="3"/>
      <c r="C2055" s="3"/>
      <c r="D2055" s="5"/>
      <c r="E2055" s="5"/>
      <c r="F2055" s="3"/>
      <c r="G2055" s="3"/>
      <c r="H2055" s="3"/>
    </row>
    <row r="2056">
      <c r="A2056" s="3"/>
      <c r="B2056" s="3"/>
      <c r="C2056" s="3"/>
      <c r="D2056" s="5"/>
      <c r="E2056" s="5"/>
      <c r="F2056" s="3"/>
      <c r="G2056" s="7"/>
      <c r="H2056" s="3"/>
    </row>
    <row r="2057">
      <c r="A2057" s="3"/>
      <c r="B2057" s="3"/>
      <c r="C2057" s="3"/>
      <c r="D2057" s="5"/>
      <c r="E2057" s="5"/>
      <c r="F2057" s="3"/>
      <c r="G2057" s="7"/>
      <c r="H2057" s="3"/>
    </row>
    <row r="2058">
      <c r="A2058" s="3"/>
      <c r="B2058" s="3"/>
      <c r="C2058" s="3"/>
      <c r="D2058" s="5"/>
      <c r="E2058" s="5"/>
      <c r="F2058" s="3"/>
      <c r="G2058" s="7"/>
      <c r="H2058" s="3"/>
    </row>
    <row r="2059">
      <c r="A2059" s="3"/>
      <c r="B2059" s="3"/>
      <c r="C2059" s="3"/>
      <c r="D2059" s="5"/>
      <c r="E2059" s="5"/>
      <c r="F2059" s="3"/>
      <c r="G2059" s="7"/>
      <c r="H2059" s="3"/>
    </row>
    <row r="2060">
      <c r="A2060" s="3"/>
      <c r="B2060" s="3"/>
      <c r="C2060" s="3"/>
      <c r="D2060" s="5"/>
      <c r="E2060" s="5"/>
      <c r="F2060" s="3"/>
      <c r="G2060" s="3"/>
      <c r="H2060" s="3"/>
    </row>
    <row r="2061">
      <c r="A2061" s="3"/>
      <c r="B2061" s="3"/>
      <c r="C2061" s="3"/>
      <c r="D2061" s="5"/>
      <c r="E2061" s="5"/>
      <c r="F2061" s="3"/>
      <c r="G2061" s="7"/>
      <c r="H2061" s="3"/>
    </row>
    <row r="2062">
      <c r="A2062" s="3"/>
      <c r="B2062" s="3"/>
      <c r="C2062" s="3"/>
      <c r="D2062" s="5"/>
      <c r="E2062" s="5"/>
      <c r="F2062" s="3"/>
      <c r="G2062" s="7"/>
      <c r="H2062" s="3"/>
    </row>
    <row r="2063">
      <c r="A2063" s="3"/>
      <c r="B2063" s="3"/>
      <c r="C2063" s="3"/>
      <c r="D2063" s="5"/>
      <c r="E2063" s="5"/>
      <c r="F2063" s="3"/>
      <c r="G2063" s="7"/>
      <c r="H2063" s="3"/>
    </row>
    <row r="2064">
      <c r="A2064" s="3"/>
      <c r="B2064" s="3"/>
      <c r="C2064" s="3"/>
      <c r="D2064" s="5"/>
      <c r="E2064" s="5"/>
      <c r="F2064" s="3"/>
      <c r="G2064" s="7"/>
      <c r="H2064" s="3"/>
    </row>
    <row r="2065">
      <c r="A2065" s="3"/>
      <c r="B2065" s="3"/>
      <c r="C2065" s="3"/>
      <c r="D2065" s="5"/>
      <c r="E2065" s="5"/>
      <c r="F2065" s="3"/>
      <c r="G2065" s="3"/>
      <c r="H2065" s="3"/>
    </row>
    <row r="2066">
      <c r="A2066" s="3"/>
      <c r="B2066" s="3"/>
      <c r="C2066" s="3"/>
      <c r="D2066" s="5"/>
      <c r="E2066" s="5"/>
      <c r="F2066" s="3"/>
      <c r="G2066" s="7"/>
      <c r="H2066" s="3"/>
    </row>
    <row r="2067">
      <c r="A2067" s="3"/>
      <c r="B2067" s="3"/>
      <c r="C2067" s="3"/>
      <c r="D2067" s="5"/>
      <c r="E2067" s="5"/>
      <c r="F2067" s="3"/>
      <c r="G2067" s="7"/>
      <c r="H2067" s="3"/>
    </row>
    <row r="2068">
      <c r="A2068" s="3"/>
      <c r="B2068" s="3"/>
      <c r="C2068" s="3"/>
      <c r="D2068" s="5"/>
      <c r="E2068" s="5"/>
      <c r="F2068" s="3"/>
      <c r="G2068" s="7"/>
      <c r="H2068" s="3"/>
    </row>
    <row r="2069">
      <c r="A2069" s="3"/>
      <c r="B2069" s="3"/>
      <c r="C2069" s="3"/>
      <c r="D2069" s="5"/>
      <c r="E2069" s="5"/>
      <c r="F2069" s="3"/>
      <c r="G2069" s="7"/>
      <c r="H2069" s="3"/>
    </row>
    <row r="2070">
      <c r="A2070" s="3"/>
      <c r="B2070" s="3"/>
      <c r="C2070" s="3"/>
      <c r="D2070" s="5"/>
      <c r="E2070" s="5"/>
      <c r="F2070" s="3"/>
      <c r="G2070" s="3"/>
      <c r="H2070" s="3"/>
    </row>
    <row r="2071">
      <c r="A2071" s="3"/>
      <c r="B2071" s="3"/>
      <c r="C2071" s="3"/>
      <c r="D2071" s="5"/>
      <c r="E2071" s="5"/>
      <c r="F2071" s="3"/>
      <c r="G2071" s="7"/>
      <c r="H2071" s="3"/>
    </row>
    <row r="2072">
      <c r="A2072" s="3"/>
      <c r="B2072" s="3"/>
      <c r="C2072" s="3"/>
      <c r="D2072" s="5"/>
      <c r="E2072" s="5"/>
      <c r="F2072" s="3"/>
      <c r="G2072" s="7"/>
      <c r="H2072" s="3"/>
    </row>
    <row r="2073">
      <c r="A2073" s="3"/>
      <c r="B2073" s="3"/>
      <c r="C2073" s="3"/>
      <c r="D2073" s="5"/>
      <c r="E2073" s="5"/>
      <c r="F2073" s="3"/>
      <c r="G2073" s="7"/>
      <c r="H2073" s="3"/>
    </row>
    <row r="2074">
      <c r="A2074" s="3"/>
      <c r="B2074" s="3"/>
      <c r="C2074" s="3"/>
      <c r="D2074" s="5"/>
      <c r="E2074" s="5"/>
      <c r="F2074" s="3"/>
      <c r="G2074" s="7"/>
      <c r="H2074" s="3"/>
    </row>
    <row r="2075">
      <c r="A2075" s="3"/>
      <c r="B2075" s="3"/>
      <c r="C2075" s="3"/>
      <c r="D2075" s="5"/>
      <c r="E2075" s="5"/>
      <c r="F2075" s="3"/>
      <c r="G2075" s="3"/>
      <c r="H2075" s="3"/>
    </row>
    <row r="2076">
      <c r="A2076" s="3"/>
      <c r="B2076" s="3"/>
      <c r="C2076" s="3"/>
      <c r="D2076" s="5"/>
      <c r="E2076" s="5"/>
      <c r="F2076" s="3"/>
      <c r="G2076" s="7"/>
      <c r="H2076" s="3"/>
    </row>
    <row r="2077">
      <c r="A2077" s="3"/>
      <c r="B2077" s="3"/>
      <c r="C2077" s="3"/>
      <c r="D2077" s="5"/>
      <c r="E2077" s="5"/>
      <c r="F2077" s="3"/>
      <c r="G2077" s="7"/>
      <c r="H2077" s="3"/>
    </row>
    <row r="2078">
      <c r="A2078" s="3"/>
      <c r="B2078" s="3"/>
      <c r="C2078" s="3"/>
      <c r="D2078" s="5"/>
      <c r="E2078" s="5"/>
      <c r="F2078" s="3"/>
      <c r="G2078" s="7"/>
      <c r="H2078" s="3"/>
    </row>
    <row r="2079">
      <c r="A2079" s="3"/>
      <c r="B2079" s="3"/>
      <c r="C2079" s="3"/>
      <c r="D2079" s="5"/>
      <c r="E2079" s="5"/>
      <c r="F2079" s="3"/>
      <c r="G2079" s="7"/>
      <c r="H2079" s="3"/>
    </row>
    <row r="2080">
      <c r="A2080" s="3"/>
      <c r="B2080" s="3"/>
      <c r="C2080" s="3"/>
      <c r="D2080" s="5"/>
      <c r="E2080" s="5"/>
      <c r="F2080" s="3"/>
      <c r="G2080" s="3"/>
      <c r="H2080" s="3"/>
    </row>
    <row r="2081">
      <c r="A2081" s="3"/>
      <c r="B2081" s="3"/>
      <c r="C2081" s="3"/>
      <c r="D2081" s="5"/>
      <c r="E2081" s="5"/>
      <c r="F2081" s="3"/>
      <c r="G2081" s="7"/>
      <c r="H2081" s="3"/>
    </row>
    <row r="2082">
      <c r="A2082" s="3"/>
      <c r="B2082" s="3"/>
      <c r="C2082" s="3"/>
      <c r="D2082" s="5"/>
      <c r="E2082" s="5"/>
      <c r="F2082" s="3"/>
      <c r="G2082" s="7"/>
      <c r="H2082" s="3"/>
    </row>
    <row r="2083">
      <c r="A2083" s="3"/>
      <c r="B2083" s="3"/>
      <c r="C2083" s="3"/>
      <c r="D2083" s="5"/>
      <c r="E2083" s="5"/>
      <c r="F2083" s="3"/>
      <c r="G2083" s="7"/>
      <c r="H2083" s="3"/>
    </row>
    <row r="2084">
      <c r="A2084" s="3"/>
      <c r="B2084" s="3"/>
      <c r="C2084" s="3"/>
      <c r="D2084" s="5"/>
      <c r="E2084" s="5"/>
      <c r="F2084" s="3"/>
      <c r="G2084" s="7"/>
      <c r="H2084" s="3"/>
    </row>
    <row r="2085">
      <c r="A2085" s="3"/>
      <c r="B2085" s="3"/>
      <c r="C2085" s="3"/>
      <c r="D2085" s="5"/>
      <c r="E2085" s="5"/>
      <c r="F2085" s="3"/>
      <c r="G2085" s="3"/>
      <c r="H2085" s="3"/>
    </row>
    <row r="2086">
      <c r="A2086" s="3"/>
      <c r="B2086" s="3"/>
      <c r="C2086" s="3"/>
      <c r="D2086" s="5"/>
      <c r="E2086" s="5"/>
      <c r="F2086" s="3"/>
      <c r="G2086" s="7"/>
      <c r="H2086" s="3"/>
    </row>
    <row r="2087">
      <c r="A2087" s="3"/>
      <c r="B2087" s="3"/>
      <c r="C2087" s="3"/>
      <c r="D2087" s="5"/>
      <c r="E2087" s="5"/>
      <c r="F2087" s="3"/>
      <c r="G2087" s="7"/>
      <c r="H2087" s="3"/>
    </row>
    <row r="2088">
      <c r="A2088" s="3"/>
      <c r="B2088" s="3"/>
      <c r="C2088" s="3"/>
      <c r="D2088" s="5"/>
      <c r="E2088" s="5"/>
      <c r="F2088" s="3"/>
      <c r="G2088" s="7"/>
      <c r="H2088" s="3"/>
    </row>
    <row r="2089">
      <c r="A2089" s="3"/>
      <c r="B2089" s="3"/>
      <c r="C2089" s="3"/>
      <c r="D2089" s="5"/>
      <c r="E2089" s="5"/>
      <c r="F2089" s="3"/>
      <c r="G2089" s="7"/>
      <c r="H2089" s="3"/>
    </row>
    <row r="2090">
      <c r="A2090" s="3"/>
      <c r="B2090" s="3"/>
      <c r="C2090" s="3"/>
      <c r="D2090" s="5"/>
      <c r="E2090" s="5"/>
      <c r="F2090" s="3"/>
      <c r="G2090" s="7"/>
      <c r="H2090" s="3"/>
    </row>
    <row r="2091">
      <c r="A2091" s="3"/>
      <c r="B2091" s="3"/>
      <c r="C2091" s="3"/>
      <c r="D2091" s="5"/>
      <c r="E2091" s="5"/>
      <c r="F2091" s="3"/>
      <c r="G2091" s="7"/>
      <c r="H2091" s="3"/>
    </row>
    <row r="2092">
      <c r="A2092" s="3"/>
      <c r="B2092" s="3"/>
      <c r="C2092" s="3"/>
      <c r="D2092" s="5"/>
      <c r="E2092" s="5"/>
      <c r="F2092" s="3"/>
      <c r="G2092" s="3"/>
      <c r="H2092" s="3"/>
    </row>
    <row r="2093">
      <c r="A2093" s="3"/>
      <c r="B2093" s="3"/>
      <c r="C2093" s="3"/>
      <c r="D2093" s="5"/>
      <c r="E2093" s="5"/>
      <c r="F2093" s="3"/>
      <c r="G2093" s="7"/>
      <c r="H2093" s="3"/>
    </row>
    <row r="2094">
      <c r="A2094" s="3"/>
      <c r="B2094" s="3"/>
      <c r="C2094" s="3"/>
      <c r="D2094" s="5"/>
      <c r="E2094" s="5"/>
      <c r="F2094" s="3"/>
      <c r="G2094" s="7"/>
      <c r="H2094" s="3"/>
    </row>
    <row r="2095">
      <c r="A2095" s="3"/>
      <c r="B2095" s="3"/>
      <c r="C2095" s="3"/>
      <c r="D2095" s="5"/>
      <c r="E2095" s="5"/>
      <c r="F2095" s="3"/>
      <c r="G2095" s="7"/>
      <c r="H2095" s="3"/>
    </row>
    <row r="2096">
      <c r="A2096" s="3"/>
      <c r="B2096" s="3"/>
      <c r="C2096" s="3"/>
      <c r="D2096" s="5"/>
      <c r="E2096" s="5"/>
      <c r="F2096" s="3"/>
      <c r="G2096" s="7"/>
      <c r="H2096" s="3"/>
    </row>
    <row r="2097">
      <c r="A2097" s="3"/>
      <c r="B2097" s="3"/>
      <c r="C2097" s="3"/>
      <c r="D2097" s="5"/>
      <c r="E2097" s="5"/>
      <c r="F2097" s="3"/>
      <c r="G2097" s="3"/>
      <c r="H2097" s="3"/>
    </row>
    <row r="2098">
      <c r="A2098" s="3"/>
      <c r="B2098" s="3"/>
      <c r="C2098" s="3"/>
      <c r="D2098" s="5"/>
      <c r="E2098" s="5"/>
      <c r="F2098" s="3"/>
      <c r="G2098" s="7"/>
      <c r="H2098" s="3"/>
    </row>
    <row r="2099">
      <c r="A2099" s="3"/>
      <c r="B2099" s="3"/>
      <c r="C2099" s="3"/>
      <c r="D2099" s="5"/>
      <c r="E2099" s="5"/>
      <c r="F2099" s="3"/>
      <c r="G2099" s="7"/>
      <c r="H2099" s="3"/>
    </row>
    <row r="2100">
      <c r="A2100" s="3"/>
      <c r="B2100" s="3"/>
      <c r="C2100" s="3"/>
      <c r="D2100" s="5"/>
      <c r="E2100" s="5"/>
      <c r="F2100" s="3"/>
      <c r="G2100" s="7"/>
      <c r="H2100" s="3"/>
    </row>
    <row r="2101">
      <c r="A2101" s="3"/>
      <c r="B2101" s="3"/>
      <c r="C2101" s="3"/>
      <c r="D2101" s="5"/>
      <c r="E2101" s="5"/>
      <c r="F2101" s="3"/>
      <c r="G2101" s="7"/>
      <c r="H2101" s="3"/>
    </row>
    <row r="2102">
      <c r="A2102" s="3"/>
      <c r="B2102" s="3"/>
      <c r="C2102" s="3"/>
      <c r="D2102" s="5"/>
      <c r="E2102" s="5"/>
      <c r="F2102" s="3"/>
      <c r="G2102" s="3"/>
      <c r="H2102" s="3"/>
    </row>
    <row r="2103">
      <c r="A2103" s="3"/>
      <c r="B2103" s="3"/>
      <c r="C2103" s="3"/>
      <c r="D2103" s="5"/>
      <c r="E2103" s="5"/>
      <c r="F2103" s="3"/>
      <c r="G2103" s="7"/>
      <c r="H2103" s="3"/>
    </row>
    <row r="2104">
      <c r="A2104" s="3"/>
      <c r="B2104" s="3"/>
      <c r="C2104" s="3"/>
      <c r="D2104" s="5"/>
      <c r="E2104" s="5"/>
      <c r="F2104" s="3"/>
      <c r="G2104" s="7"/>
      <c r="H2104" s="3"/>
    </row>
    <row r="2105">
      <c r="A2105" s="3"/>
      <c r="B2105" s="3"/>
      <c r="C2105" s="3"/>
      <c r="D2105" s="5"/>
      <c r="E2105" s="5"/>
      <c r="F2105" s="3"/>
      <c r="G2105" s="7"/>
      <c r="H2105" s="3"/>
    </row>
    <row r="2106">
      <c r="A2106" s="3"/>
      <c r="B2106" s="3"/>
      <c r="C2106" s="3"/>
      <c r="D2106" s="5"/>
      <c r="E2106" s="5"/>
      <c r="F2106" s="3"/>
      <c r="G2106" s="7"/>
      <c r="H2106" s="3"/>
    </row>
    <row r="2107">
      <c r="A2107" s="3"/>
      <c r="B2107" s="3"/>
      <c r="C2107" s="3"/>
      <c r="D2107" s="5"/>
      <c r="E2107" s="5"/>
      <c r="F2107" s="3"/>
      <c r="G2107" s="3"/>
      <c r="H2107" s="3"/>
    </row>
    <row r="2108">
      <c r="A2108" s="3"/>
      <c r="B2108" s="3"/>
      <c r="C2108" s="3"/>
      <c r="D2108" s="5"/>
      <c r="E2108" s="5"/>
      <c r="F2108" s="3"/>
      <c r="G2108" s="7"/>
      <c r="H2108" s="3"/>
    </row>
    <row r="2109">
      <c r="A2109" s="3"/>
      <c r="B2109" s="3"/>
      <c r="C2109" s="3"/>
      <c r="D2109" s="5"/>
      <c r="E2109" s="5"/>
      <c r="F2109" s="3"/>
      <c r="G2109" s="7"/>
      <c r="H2109" s="3"/>
    </row>
    <row r="2110">
      <c r="A2110" s="3"/>
      <c r="B2110" s="3"/>
      <c r="C2110" s="3"/>
      <c r="D2110" s="5"/>
      <c r="E2110" s="5"/>
      <c r="F2110" s="3"/>
      <c r="G2110" s="7"/>
      <c r="H2110" s="3"/>
    </row>
    <row r="2111">
      <c r="A2111" s="3"/>
      <c r="B2111" s="3"/>
      <c r="C2111" s="3"/>
      <c r="D2111" s="5"/>
      <c r="E2111" s="5"/>
      <c r="F2111" s="3"/>
      <c r="G2111" s="7"/>
      <c r="H2111" s="3"/>
    </row>
    <row r="2112">
      <c r="A2112" s="3"/>
      <c r="B2112" s="3"/>
      <c r="C2112" s="3"/>
      <c r="D2112" s="5"/>
      <c r="E2112" s="5"/>
      <c r="F2112" s="3"/>
      <c r="G2112" s="3"/>
      <c r="H2112" s="3"/>
    </row>
    <row r="2113">
      <c r="A2113" s="3"/>
      <c r="B2113" s="3"/>
      <c r="C2113" s="3"/>
      <c r="D2113" s="5"/>
      <c r="E2113" s="5"/>
      <c r="F2113" s="3"/>
      <c r="G2113" s="7"/>
      <c r="H2113" s="3"/>
    </row>
    <row r="2114">
      <c r="A2114" s="3"/>
      <c r="B2114" s="3"/>
      <c r="C2114" s="3"/>
      <c r="D2114" s="5"/>
      <c r="E2114" s="5"/>
      <c r="F2114" s="3"/>
      <c r="G2114" s="7"/>
      <c r="H2114" s="3"/>
    </row>
    <row r="2115">
      <c r="A2115" s="3"/>
      <c r="B2115" s="3"/>
      <c r="C2115" s="3"/>
      <c r="D2115" s="5"/>
      <c r="E2115" s="5"/>
      <c r="F2115" s="3"/>
      <c r="G2115" s="7"/>
      <c r="H2115" s="3"/>
    </row>
    <row r="2116">
      <c r="A2116" s="3"/>
      <c r="B2116" s="3"/>
      <c r="C2116" s="3"/>
      <c r="D2116" s="5"/>
      <c r="E2116" s="3"/>
      <c r="F2116" s="5"/>
      <c r="G2116" s="7"/>
      <c r="H2116" s="3"/>
    </row>
    <row r="2117">
      <c r="A2117" s="3"/>
      <c r="B2117" s="3"/>
      <c r="C2117" s="3"/>
      <c r="D2117" s="5"/>
      <c r="E2117" s="5"/>
      <c r="F2117" s="3"/>
      <c r="G2117" s="3"/>
      <c r="H2117" s="3"/>
    </row>
    <row r="2118">
      <c r="A2118" s="3"/>
      <c r="B2118" s="3"/>
      <c r="C2118" s="3"/>
      <c r="D2118" s="5"/>
      <c r="E2118" s="5"/>
      <c r="F2118" s="3"/>
      <c r="G2118" s="7"/>
      <c r="H2118" s="3"/>
    </row>
    <row r="2119">
      <c r="A2119" s="3"/>
      <c r="B2119" s="3"/>
      <c r="C2119" s="3"/>
      <c r="D2119" s="5"/>
      <c r="E2119" s="5"/>
      <c r="F2119" s="3"/>
      <c r="G2119" s="7"/>
      <c r="H2119" s="3"/>
    </row>
    <row r="2120">
      <c r="A2120" s="3"/>
      <c r="B2120" s="3"/>
      <c r="C2120" s="3"/>
      <c r="D2120" s="5"/>
      <c r="E2120" s="5"/>
      <c r="F2120" s="3"/>
      <c r="G2120" s="7"/>
      <c r="H2120" s="3"/>
    </row>
    <row r="2121">
      <c r="A2121" s="3"/>
      <c r="B2121" s="3"/>
      <c r="C2121" s="3"/>
      <c r="D2121" s="5"/>
      <c r="E2121" s="3"/>
      <c r="F2121" s="5"/>
      <c r="G2121" s="7"/>
      <c r="H2121" s="3"/>
    </row>
    <row r="2122">
      <c r="A2122" s="3"/>
      <c r="B2122" s="3"/>
      <c r="C2122" s="3"/>
      <c r="D2122" s="5"/>
      <c r="E2122" s="5"/>
      <c r="F2122" s="3"/>
      <c r="G2122" s="3"/>
      <c r="H2122" s="3"/>
    </row>
    <row r="2123">
      <c r="A2123" s="3"/>
      <c r="B2123" s="3"/>
      <c r="C2123" s="3"/>
      <c r="D2123" s="5"/>
      <c r="E2123" s="5"/>
      <c r="F2123" s="3"/>
      <c r="G2123" s="7"/>
      <c r="H2123" s="3"/>
    </row>
    <row r="2124">
      <c r="A2124" s="3"/>
      <c r="B2124" s="3"/>
      <c r="C2124" s="3"/>
      <c r="D2124" s="5"/>
      <c r="E2124" s="5"/>
      <c r="F2124" s="3"/>
      <c r="G2124" s="7"/>
      <c r="H2124" s="3"/>
    </row>
    <row r="2125">
      <c r="A2125" s="3"/>
      <c r="B2125" s="3"/>
      <c r="C2125" s="3"/>
      <c r="D2125" s="5"/>
      <c r="E2125" s="3"/>
      <c r="F2125" s="5"/>
      <c r="G2125" s="7"/>
      <c r="H2125" s="3"/>
    </row>
    <row r="2126">
      <c r="A2126" s="3"/>
      <c r="B2126" s="3"/>
      <c r="C2126" s="3"/>
      <c r="D2126" s="5"/>
      <c r="E2126" s="3"/>
      <c r="F2126" s="5"/>
      <c r="G2126" s="7"/>
      <c r="H2126" s="3"/>
    </row>
    <row r="2127">
      <c r="A2127" s="3"/>
      <c r="B2127" s="3"/>
      <c r="C2127" s="3"/>
      <c r="D2127" s="5"/>
      <c r="E2127" s="5"/>
      <c r="F2127" s="3"/>
      <c r="G2127" s="3"/>
      <c r="H2127" s="3"/>
    </row>
    <row r="2128">
      <c r="A2128" s="3"/>
      <c r="B2128" s="3"/>
      <c r="C2128" s="3"/>
      <c r="D2128" s="5"/>
      <c r="E2128" s="5"/>
      <c r="F2128" s="3"/>
      <c r="G2128" s="7"/>
      <c r="H2128" s="3"/>
    </row>
    <row r="2129">
      <c r="A2129" s="3"/>
      <c r="B2129" s="3"/>
      <c r="C2129" s="3"/>
      <c r="D2129" s="5"/>
      <c r="E2129" s="5"/>
      <c r="F2129" s="3"/>
      <c r="G2129" s="7"/>
      <c r="H2129" s="3"/>
    </row>
    <row r="2130">
      <c r="A2130" s="3"/>
      <c r="B2130" s="3"/>
      <c r="C2130" s="3"/>
      <c r="D2130" s="5"/>
      <c r="E2130" s="3"/>
      <c r="F2130" s="5"/>
      <c r="G2130" s="7"/>
      <c r="H2130" s="3"/>
    </row>
    <row r="2131">
      <c r="A2131" s="3"/>
      <c r="B2131" s="3"/>
      <c r="C2131" s="3"/>
      <c r="D2131" s="5"/>
      <c r="E2131" s="3"/>
      <c r="F2131" s="5"/>
      <c r="G2131" s="7"/>
      <c r="H2131" s="3"/>
    </row>
    <row r="2132">
      <c r="A2132" s="3"/>
      <c r="B2132" s="3"/>
      <c r="C2132" s="3"/>
      <c r="D2132" s="5"/>
      <c r="E2132" s="3"/>
      <c r="F2132" s="5"/>
      <c r="G2132" s="3"/>
    </row>
    <row r="2133">
      <c r="A2133" s="3"/>
      <c r="B2133" s="3"/>
      <c r="C2133" s="3"/>
      <c r="D2133" s="5"/>
      <c r="E2133" s="3"/>
      <c r="F2133" s="5"/>
      <c r="G2133" s="7"/>
    </row>
    <row r="2134">
      <c r="A2134" s="3"/>
      <c r="B2134" s="3"/>
      <c r="C2134" s="3"/>
      <c r="D2134" s="5"/>
      <c r="E2134" s="3"/>
      <c r="F2134" s="5"/>
      <c r="G2134" s="7"/>
    </row>
    <row r="2135">
      <c r="A2135" s="3"/>
      <c r="B2135" s="3"/>
      <c r="C2135" s="3"/>
      <c r="D2135" s="5"/>
      <c r="E2135" s="3"/>
      <c r="F2135" s="5"/>
      <c r="G2135" s="7"/>
    </row>
    <row r="2136">
      <c r="A2136" s="3"/>
      <c r="B2136" s="3"/>
      <c r="C2136" s="3"/>
      <c r="D2136" s="5"/>
      <c r="E2136" s="3"/>
      <c r="F2136" s="5"/>
      <c r="G2136" s="7"/>
    </row>
    <row r="2137">
      <c r="A2137" s="3"/>
      <c r="B2137" s="3"/>
      <c r="C2137" s="3"/>
      <c r="D2137" s="5"/>
      <c r="E2137" s="3"/>
      <c r="F2137" s="5"/>
      <c r="G2137" s="3"/>
    </row>
    <row r="2138">
      <c r="A2138" s="3"/>
      <c r="B2138" s="3"/>
      <c r="C2138" s="3"/>
      <c r="D2138" s="5"/>
      <c r="E2138" s="3"/>
      <c r="F2138" s="5"/>
      <c r="G2138" s="7"/>
    </row>
    <row r="2139">
      <c r="A2139" s="3"/>
      <c r="B2139" s="3"/>
      <c r="C2139" s="3"/>
      <c r="D2139" s="5"/>
      <c r="E2139" s="3"/>
      <c r="F2139" s="5"/>
      <c r="G2139" s="7"/>
    </row>
    <row r="2140">
      <c r="A2140" s="3"/>
      <c r="B2140" s="3"/>
      <c r="C2140" s="3"/>
      <c r="D2140" s="5"/>
      <c r="E2140" s="3"/>
      <c r="F2140" s="5"/>
      <c r="G2140" s="7"/>
    </row>
    <row r="2141">
      <c r="A2141" s="3"/>
      <c r="B2141" s="3"/>
      <c r="C2141" s="3"/>
      <c r="D2141" s="5"/>
      <c r="E2141" s="3"/>
      <c r="F2141" s="5"/>
      <c r="G2141" s="7"/>
    </row>
    <row r="2142">
      <c r="A2142" s="3"/>
      <c r="B2142" s="3"/>
      <c r="C2142" s="3"/>
      <c r="D2142" s="5"/>
      <c r="E2142" s="3"/>
      <c r="F2142" s="5"/>
      <c r="G2142" s="3"/>
    </row>
    <row r="2143">
      <c r="A2143" s="3"/>
      <c r="B2143" s="3"/>
      <c r="C2143" s="3"/>
      <c r="D2143" s="5"/>
      <c r="E2143" s="3"/>
      <c r="F2143" s="5"/>
      <c r="G2143" s="7"/>
    </row>
    <row r="2144">
      <c r="A2144" s="3"/>
      <c r="B2144" s="3"/>
      <c r="C2144" s="3"/>
      <c r="D2144" s="5"/>
      <c r="E2144" s="3"/>
      <c r="F2144" s="5"/>
      <c r="G2144" s="7"/>
    </row>
    <row r="2145">
      <c r="A2145" s="3"/>
      <c r="B2145" s="3"/>
      <c r="C2145" s="3"/>
      <c r="D2145" s="5"/>
      <c r="E2145" s="3"/>
      <c r="F2145" s="5"/>
      <c r="G2145" s="7"/>
    </row>
    <row r="2146">
      <c r="A2146" s="3"/>
      <c r="B2146" s="3"/>
      <c r="C2146" s="3"/>
      <c r="D2146" s="5"/>
      <c r="E2146" s="3"/>
      <c r="F2146" s="5"/>
      <c r="G2146" s="7"/>
    </row>
  </sheetData>
  <dataValidations>
    <dataValidation type="list" allowBlank="1" sqref="C1">
      <formula1>"CW- 1,CW- 2,CW- 3,CW- 4,CW- 5,CW- 6,CW- 7,CW- 8,CW- 9,CW- 10,CW- 11,CW- 12,CW- 13,CW- 14,CW- 15,CW- 16,CW- 17,CW- 18,CW- 19,CW- 20,CW- 21,CW- 22,CW- 23,CW- 24,CW- 25,CW- 26,CW- 27,CW- 28,CW- 29,CW- 30,CW- 31,CW- 32,CW- 33,CW- 34,CW- 35,CW- 36,CW- 37,CW- 3"&amp;"8,CW- 39,CW- 40,CW- 41,CW- 42,CW- 43,CW- 44,CW- 45,CW- 46,CW- 47,CW- 48,CW- 49,CW- 50,CW- 51,CW- 52"</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2" max="2" width="20.25"/>
    <col customWidth="1" min="3" max="3" width="19.75"/>
    <col customWidth="1" min="5" max="5" width="26.0"/>
    <col customWidth="1" min="6" max="6" width="20.63"/>
    <col customWidth="1" min="7" max="7" width="17.75"/>
  </cols>
  <sheetData>
    <row r="1">
      <c r="A1" s="1" t="s">
        <v>0</v>
      </c>
      <c r="B1" s="1" t="s">
        <v>1</v>
      </c>
      <c r="C1" s="1" t="s">
        <v>0</v>
      </c>
      <c r="D1" s="1" t="s">
        <v>2</v>
      </c>
      <c r="E1" s="1" t="s">
        <v>3</v>
      </c>
      <c r="F1" s="1" t="s">
        <v>4</v>
      </c>
      <c r="G1" s="1" t="s">
        <v>5</v>
      </c>
      <c r="H1" s="1" t="s">
        <v>6</v>
      </c>
      <c r="I1" s="1" t="s">
        <v>7</v>
      </c>
      <c r="J1" s="1" t="s">
        <v>8</v>
      </c>
    </row>
    <row r="2">
      <c r="A2" s="3" t="s">
        <v>9</v>
      </c>
      <c r="B2" s="3" t="s">
        <v>10</v>
      </c>
      <c r="C2" s="3" t="s">
        <v>10</v>
      </c>
      <c r="D2" s="3">
        <v>4960.0</v>
      </c>
      <c r="E2" s="3" t="s">
        <v>12</v>
      </c>
      <c r="F2" s="5">
        <v>46083.745358796295</v>
      </c>
      <c r="G2" s="5">
        <v>46083.63197916667</v>
      </c>
      <c r="H2" s="3" t="s">
        <v>14</v>
      </c>
      <c r="I2" s="3">
        <v>0.0</v>
      </c>
      <c r="J2" s="3" t="s">
        <v>15</v>
      </c>
    </row>
    <row r="3">
      <c r="A3" s="3" t="s">
        <v>16</v>
      </c>
      <c r="B3" s="3" t="s">
        <v>17</v>
      </c>
      <c r="C3" s="3" t="s">
        <v>17</v>
      </c>
      <c r="D3" s="3">
        <v>4960.0</v>
      </c>
      <c r="E3" s="3" t="s">
        <v>12</v>
      </c>
      <c r="F3" s="5">
        <v>46083.75230324074</v>
      </c>
      <c r="G3" s="5">
        <v>46083.632523148146</v>
      </c>
      <c r="H3" s="3" t="s">
        <v>14</v>
      </c>
      <c r="I3" s="7">
        <v>0.0</v>
      </c>
      <c r="J3" s="3" t="s">
        <v>15</v>
      </c>
    </row>
    <row r="4">
      <c r="A4" s="3" t="s">
        <v>20</v>
      </c>
      <c r="B4" s="3" t="s">
        <v>21</v>
      </c>
      <c r="C4" s="3" t="s">
        <v>21</v>
      </c>
      <c r="D4" s="3">
        <v>4960.0</v>
      </c>
      <c r="E4" s="3" t="s">
        <v>12</v>
      </c>
      <c r="F4" s="5">
        <v>46084.41875</v>
      </c>
      <c r="G4" s="5">
        <v>46083.63263888889</v>
      </c>
      <c r="H4" s="3" t="s">
        <v>14</v>
      </c>
      <c r="I4" s="7">
        <v>0.0</v>
      </c>
      <c r="J4" s="3" t="s">
        <v>15</v>
      </c>
    </row>
    <row r="5">
      <c r="A5" s="3" t="s">
        <v>23</v>
      </c>
      <c r="B5" s="3" t="s">
        <v>24</v>
      </c>
      <c r="C5" s="3" t="s">
        <v>24</v>
      </c>
      <c r="D5" s="3">
        <v>4960.0</v>
      </c>
      <c r="E5" s="3" t="s">
        <v>12</v>
      </c>
      <c r="F5" s="5">
        <v>46086.41875</v>
      </c>
      <c r="G5" s="5">
        <v>46083.69431712963</v>
      </c>
      <c r="H5" s="3" t="s">
        <v>14</v>
      </c>
      <c r="I5" s="7">
        <v>0.0</v>
      </c>
      <c r="J5" s="3" t="s">
        <v>15</v>
      </c>
    </row>
    <row r="6">
      <c r="A6" s="3" t="s">
        <v>25</v>
      </c>
      <c r="B6" s="3" t="s">
        <v>26</v>
      </c>
      <c r="C6" s="3" t="s">
        <v>26</v>
      </c>
      <c r="D6" s="3">
        <v>4960.0</v>
      </c>
      <c r="E6" s="3" t="s">
        <v>12</v>
      </c>
      <c r="F6" s="5">
        <v>46086.46041666667</v>
      </c>
      <c r="G6" s="5">
        <v>46083.694386574076</v>
      </c>
      <c r="H6" s="3" t="s">
        <v>14</v>
      </c>
      <c r="I6" s="7">
        <v>0.0</v>
      </c>
      <c r="J6" s="3" t="s">
        <v>15</v>
      </c>
    </row>
    <row r="7">
      <c r="C7" s="3" t="s">
        <v>10</v>
      </c>
      <c r="D7" s="3">
        <v>4961.0</v>
      </c>
      <c r="E7" s="3" t="s">
        <v>30</v>
      </c>
      <c r="F7" s="5">
        <v>46083.780335648145</v>
      </c>
      <c r="G7" s="5">
        <v>46083.63197916667</v>
      </c>
      <c r="H7" s="3">
        <v>490.0</v>
      </c>
      <c r="I7" s="3">
        <v>0.0</v>
      </c>
      <c r="J7" s="3" t="s">
        <v>15</v>
      </c>
    </row>
    <row r="8">
      <c r="C8" s="3" t="s">
        <v>17</v>
      </c>
      <c r="D8" s="3">
        <v>4961.0</v>
      </c>
      <c r="E8" s="3" t="s">
        <v>30</v>
      </c>
      <c r="F8" s="5">
        <v>46083.78728009259</v>
      </c>
      <c r="G8" s="5">
        <v>46083.6325462963</v>
      </c>
      <c r="H8" s="3">
        <v>490.0</v>
      </c>
      <c r="I8" s="7">
        <v>0.0</v>
      </c>
      <c r="J8" s="3" t="s">
        <v>15</v>
      </c>
    </row>
    <row r="9">
      <c r="C9" s="3" t="s">
        <v>21</v>
      </c>
      <c r="D9" s="3">
        <v>4961.0</v>
      </c>
      <c r="E9" s="3" t="s">
        <v>30</v>
      </c>
      <c r="F9" s="5">
        <v>46084.49513888889</v>
      </c>
      <c r="G9" s="5">
        <v>46083.632685185185</v>
      </c>
      <c r="H9" s="3">
        <v>495.0</v>
      </c>
      <c r="I9" s="7">
        <v>0.0</v>
      </c>
      <c r="J9" s="3" t="s">
        <v>15</v>
      </c>
    </row>
    <row r="10">
      <c r="C10" s="3" t="s">
        <v>24</v>
      </c>
      <c r="D10" s="3">
        <v>4961.0</v>
      </c>
      <c r="E10" s="3" t="s">
        <v>30</v>
      </c>
      <c r="F10" s="5">
        <v>46086.49513888889</v>
      </c>
      <c r="G10" s="5">
        <v>46084.74443287037</v>
      </c>
      <c r="H10" s="3" t="s">
        <v>14</v>
      </c>
      <c r="I10" s="7">
        <v>0.0</v>
      </c>
      <c r="J10" s="3" t="s">
        <v>15</v>
      </c>
    </row>
    <row r="11">
      <c r="C11" s="3" t="s">
        <v>26</v>
      </c>
      <c r="D11" s="3">
        <v>4961.0</v>
      </c>
      <c r="E11" s="3" t="s">
        <v>30</v>
      </c>
      <c r="F11" s="5">
        <v>46086.53680555556</v>
      </c>
      <c r="G11" s="5">
        <v>46084.74449074074</v>
      </c>
      <c r="H11" s="3">
        <v>491.0</v>
      </c>
      <c r="I11" s="7">
        <v>0.0</v>
      </c>
      <c r="J11" s="3" t="s">
        <v>15</v>
      </c>
    </row>
    <row r="12">
      <c r="C12" s="3" t="s">
        <v>10</v>
      </c>
      <c r="D12" s="3">
        <v>4962.0</v>
      </c>
      <c r="E12" s="3" t="s">
        <v>46</v>
      </c>
      <c r="F12" s="5">
        <v>46083.78141203704</v>
      </c>
      <c r="G12" s="5">
        <v>46083.632002314815</v>
      </c>
      <c r="H12" s="3">
        <v>490.0</v>
      </c>
      <c r="I12" s="3">
        <v>0.0</v>
      </c>
      <c r="J12" s="3" t="s">
        <v>48</v>
      </c>
    </row>
    <row r="13">
      <c r="C13" s="3" t="s">
        <v>17</v>
      </c>
      <c r="D13" s="3">
        <v>4962.0</v>
      </c>
      <c r="E13" s="3" t="s">
        <v>46</v>
      </c>
      <c r="F13" s="5">
        <v>46083.788356481484</v>
      </c>
      <c r="G13" s="5">
        <v>46083.63208333333</v>
      </c>
      <c r="H13" s="3">
        <v>482.0</v>
      </c>
      <c r="I13" s="7">
        <v>0.0</v>
      </c>
      <c r="J13" s="3" t="s">
        <v>48</v>
      </c>
    </row>
    <row r="14">
      <c r="C14" s="3" t="s">
        <v>21</v>
      </c>
      <c r="D14" s="3">
        <v>4962.0</v>
      </c>
      <c r="E14" s="3" t="s">
        <v>46</v>
      </c>
      <c r="F14" s="5">
        <v>46084.49652777778</v>
      </c>
      <c r="G14" s="5">
        <v>46083.632685185185</v>
      </c>
      <c r="H14" s="3">
        <v>493.0</v>
      </c>
      <c r="I14" s="7">
        <v>0.0</v>
      </c>
      <c r="J14" s="3" t="s">
        <v>48</v>
      </c>
    </row>
    <row r="15">
      <c r="C15" s="3" t="s">
        <v>24</v>
      </c>
      <c r="D15" s="3">
        <v>4962.0</v>
      </c>
      <c r="E15" s="3" t="s">
        <v>46</v>
      </c>
      <c r="F15" s="5">
        <v>46086.49652777778</v>
      </c>
      <c r="G15" s="5">
        <v>46084.638020833336</v>
      </c>
      <c r="H15" s="3" t="s">
        <v>14</v>
      </c>
      <c r="I15" s="7">
        <v>0.0</v>
      </c>
      <c r="J15" s="3" t="s">
        <v>48</v>
      </c>
    </row>
    <row r="16">
      <c r="C16" s="3" t="s">
        <v>26</v>
      </c>
      <c r="D16" s="3">
        <v>4962.0</v>
      </c>
      <c r="E16" s="3" t="s">
        <v>46</v>
      </c>
      <c r="F16" s="5">
        <v>46086.538194444445</v>
      </c>
      <c r="G16" s="5">
        <v>46084.63841435185</v>
      </c>
      <c r="H16" s="3">
        <v>491.0</v>
      </c>
      <c r="I16" s="7">
        <v>0.0</v>
      </c>
      <c r="J16" s="3" t="s">
        <v>48</v>
      </c>
    </row>
    <row r="17">
      <c r="C17" s="3" t="s">
        <v>10</v>
      </c>
      <c r="D17" s="3">
        <v>4963.0</v>
      </c>
      <c r="E17" s="3" t="s">
        <v>52</v>
      </c>
      <c r="F17" s="5">
        <v>46084.80105324074</v>
      </c>
      <c r="G17" s="5">
        <v>46084.63851851852</v>
      </c>
      <c r="H17" s="3">
        <v>0.0</v>
      </c>
      <c r="I17" s="3">
        <v>0.0</v>
      </c>
      <c r="J17" s="3" t="s">
        <v>48</v>
      </c>
    </row>
    <row r="18">
      <c r="C18" s="3" t="s">
        <v>17</v>
      </c>
      <c r="D18" s="3">
        <v>4963.0</v>
      </c>
      <c r="E18" s="3" t="s">
        <v>52</v>
      </c>
      <c r="F18" s="5">
        <v>46084.80799768519</v>
      </c>
      <c r="G18" s="5">
        <v>46084.63863425926</v>
      </c>
      <c r="H18" s="3">
        <v>8.0</v>
      </c>
      <c r="I18" s="7">
        <v>0.0</v>
      </c>
      <c r="J18" s="3" t="s">
        <v>48</v>
      </c>
    </row>
    <row r="19">
      <c r="C19" s="3" t="s">
        <v>21</v>
      </c>
      <c r="D19" s="3">
        <v>4963.0</v>
      </c>
      <c r="E19" s="3" t="s">
        <v>52</v>
      </c>
      <c r="F19" s="5">
        <v>46086.47430555556</v>
      </c>
      <c r="G19" s="5">
        <v>46084.63866898148</v>
      </c>
      <c r="H19" s="3">
        <v>2.0</v>
      </c>
      <c r="I19" s="7">
        <v>0.0</v>
      </c>
      <c r="J19" s="3" t="s">
        <v>48</v>
      </c>
    </row>
    <row r="20">
      <c r="C20" s="3" t="s">
        <v>24</v>
      </c>
      <c r="D20" s="3">
        <v>4963.0</v>
      </c>
      <c r="E20" s="3" t="s">
        <v>52</v>
      </c>
      <c r="F20" s="5">
        <v>46087.47430555556</v>
      </c>
      <c r="G20" s="5">
        <v>46084.638703703706</v>
      </c>
      <c r="H20" s="3" t="s">
        <v>14</v>
      </c>
      <c r="I20" s="7">
        <v>0.0</v>
      </c>
      <c r="J20" s="3" t="s">
        <v>48</v>
      </c>
    </row>
    <row r="21">
      <c r="C21" s="3" t="s">
        <v>26</v>
      </c>
      <c r="D21" s="3">
        <v>4963.0</v>
      </c>
      <c r="E21" s="3" t="s">
        <v>52</v>
      </c>
      <c r="F21" s="5">
        <v>46087.51597222222</v>
      </c>
      <c r="G21" s="5">
        <v>46084.638761574075</v>
      </c>
      <c r="H21" s="3">
        <v>0.0</v>
      </c>
      <c r="I21" s="7">
        <v>0.0</v>
      </c>
      <c r="J21" s="3" t="s">
        <v>48</v>
      </c>
    </row>
    <row r="22">
      <c r="C22" s="3" t="s">
        <v>10</v>
      </c>
      <c r="D22" s="3">
        <v>4964.0</v>
      </c>
      <c r="E22" s="3" t="s">
        <v>56</v>
      </c>
      <c r="F22" s="5">
        <v>46084.82603009259</v>
      </c>
      <c r="G22" s="5">
        <v>46084.74417824074</v>
      </c>
      <c r="H22" s="5">
        <v>46167.16196759259</v>
      </c>
      <c r="I22" s="3">
        <v>0.0</v>
      </c>
      <c r="J22" s="3" t="s">
        <v>15</v>
      </c>
    </row>
    <row r="23">
      <c r="C23" s="3" t="s">
        <v>17</v>
      </c>
      <c r="D23" s="3">
        <v>4964.0</v>
      </c>
      <c r="E23" s="3" t="s">
        <v>56</v>
      </c>
      <c r="F23" s="5">
        <v>46084.832974537036</v>
      </c>
      <c r="G23" s="5">
        <v>46084.7443287037</v>
      </c>
      <c r="H23" s="5">
        <v>46167.19050925926</v>
      </c>
      <c r="I23" s="7">
        <v>0.0</v>
      </c>
      <c r="J23" s="3" t="s">
        <v>15</v>
      </c>
    </row>
    <row r="24">
      <c r="C24" s="3" t="s">
        <v>21</v>
      </c>
      <c r="D24" s="3">
        <v>4964.0</v>
      </c>
      <c r="E24" s="3" t="s">
        <v>56</v>
      </c>
      <c r="F24" s="5">
        <v>46086.540972222225</v>
      </c>
      <c r="G24" s="5">
        <v>46084.74438657407</v>
      </c>
      <c r="H24" s="5">
        <v>46166.64701388889</v>
      </c>
      <c r="I24" s="7">
        <v>0.0</v>
      </c>
      <c r="J24" s="3" t="s">
        <v>15</v>
      </c>
    </row>
    <row r="25">
      <c r="C25" s="3" t="s">
        <v>24</v>
      </c>
      <c r="D25" s="3">
        <v>4964.0</v>
      </c>
      <c r="E25" s="3" t="s">
        <v>56</v>
      </c>
      <c r="F25" s="5">
        <v>46087.540972222225</v>
      </c>
      <c r="G25" s="5">
        <v>46084.744525462964</v>
      </c>
      <c r="H25" s="3" t="s">
        <v>14</v>
      </c>
      <c r="I25" s="7">
        <v>0.0</v>
      </c>
      <c r="J25" s="3" t="s">
        <v>15</v>
      </c>
    </row>
    <row r="26">
      <c r="C26" s="3" t="s">
        <v>26</v>
      </c>
      <c r="D26" s="3">
        <v>4964.0</v>
      </c>
      <c r="E26" s="3" t="s">
        <v>56</v>
      </c>
      <c r="F26" s="5">
        <v>46087.58263888889</v>
      </c>
      <c r="G26" s="5">
        <v>46084.744525462964</v>
      </c>
      <c r="H26" s="5">
        <v>46167.418657407405</v>
      </c>
      <c r="I26" s="7">
        <v>0.0</v>
      </c>
      <c r="J26" s="3" t="s">
        <v>15</v>
      </c>
    </row>
    <row r="27">
      <c r="C27" s="3" t="s">
        <v>10</v>
      </c>
      <c r="D27" s="3">
        <v>4965.0</v>
      </c>
      <c r="E27" s="3" t="s">
        <v>59</v>
      </c>
      <c r="F27" s="5">
        <v>46086.60822916667</v>
      </c>
      <c r="G27" s="5">
        <v>46086.49304398148</v>
      </c>
      <c r="H27" s="5">
        <v>46166.821064814816</v>
      </c>
      <c r="I27" s="3">
        <v>0.0</v>
      </c>
      <c r="J27" s="3" t="s">
        <v>61</v>
      </c>
    </row>
    <row r="28">
      <c r="C28" s="3" t="s">
        <v>17</v>
      </c>
      <c r="D28" s="3">
        <v>4965.0</v>
      </c>
      <c r="E28" s="3" t="s">
        <v>59</v>
      </c>
      <c r="F28" s="5">
        <v>46086.61517361111</v>
      </c>
      <c r="G28" s="5">
        <v>46086.493101851855</v>
      </c>
      <c r="H28" s="5">
        <v>46166.82859953704</v>
      </c>
      <c r="I28" s="7">
        <v>0.0</v>
      </c>
      <c r="J28" s="3" t="s">
        <v>61</v>
      </c>
    </row>
    <row r="29">
      <c r="C29" s="3" t="s">
        <v>21</v>
      </c>
      <c r="D29" s="3">
        <v>4965.0</v>
      </c>
      <c r="E29" s="3" t="s">
        <v>59</v>
      </c>
      <c r="F29" s="5">
        <v>46086.71934027778</v>
      </c>
      <c r="G29" s="5">
        <v>46086.49313657408</v>
      </c>
      <c r="H29" s="5">
        <v>46166.07575231481</v>
      </c>
      <c r="I29" s="7">
        <v>0.0</v>
      </c>
      <c r="J29" s="3" t="s">
        <v>61</v>
      </c>
    </row>
    <row r="30">
      <c r="C30" s="3" t="s">
        <v>24</v>
      </c>
      <c r="D30" s="3">
        <v>4965.0</v>
      </c>
      <c r="E30" s="3" t="s">
        <v>59</v>
      </c>
      <c r="F30" s="5">
        <v>46087.71875</v>
      </c>
      <c r="G30" s="5">
        <v>46086.629155092596</v>
      </c>
      <c r="H30" s="3" t="s">
        <v>14</v>
      </c>
      <c r="I30" s="7">
        <v>0.0</v>
      </c>
      <c r="J30" s="3" t="s">
        <v>61</v>
      </c>
    </row>
    <row r="31">
      <c r="C31" s="3" t="s">
        <v>26</v>
      </c>
      <c r="D31" s="3">
        <v>4965.0</v>
      </c>
      <c r="E31" s="3" t="s">
        <v>59</v>
      </c>
      <c r="F31" s="5">
        <v>46087.760416666664</v>
      </c>
      <c r="G31" s="5">
        <v>46087.40925925926</v>
      </c>
      <c r="H31" s="5">
        <v>46166.28456018519</v>
      </c>
      <c r="I31" s="7">
        <v>0.0</v>
      </c>
      <c r="J31" s="3" t="s">
        <v>61</v>
      </c>
    </row>
    <row r="32">
      <c r="C32" s="3" t="s">
        <v>10</v>
      </c>
      <c r="D32" s="3">
        <v>4966.0</v>
      </c>
      <c r="E32" s="3" t="s">
        <v>71</v>
      </c>
      <c r="F32" s="5">
        <v>46087.43819444445</v>
      </c>
      <c r="G32" s="5">
        <v>46086.70101851852</v>
      </c>
      <c r="H32" s="3" t="s">
        <v>14</v>
      </c>
      <c r="I32" s="3">
        <v>0.0</v>
      </c>
      <c r="J32" s="3" t="s">
        <v>72</v>
      </c>
    </row>
    <row r="33">
      <c r="C33" s="3" t="s">
        <v>17</v>
      </c>
      <c r="D33" s="3">
        <v>4966.0</v>
      </c>
      <c r="E33" s="3" t="s">
        <v>71</v>
      </c>
      <c r="F33" s="5">
        <v>46087.44513888889</v>
      </c>
      <c r="G33" s="5">
        <v>46086.70119212963</v>
      </c>
      <c r="H33" s="3" t="s">
        <v>14</v>
      </c>
      <c r="I33" s="7">
        <v>0.0</v>
      </c>
      <c r="J33" s="3" t="s">
        <v>72</v>
      </c>
    </row>
    <row r="34">
      <c r="C34" s="3" t="s">
        <v>21</v>
      </c>
      <c r="D34" s="3">
        <v>4966.0</v>
      </c>
      <c r="E34" s="3" t="s">
        <v>71</v>
      </c>
      <c r="F34" s="5">
        <v>46087.549305555556</v>
      </c>
      <c r="G34" s="5">
        <v>46086.71181712963</v>
      </c>
      <c r="H34" s="3" t="s">
        <v>14</v>
      </c>
      <c r="I34" s="7">
        <v>0.0</v>
      </c>
      <c r="J34" s="3" t="s">
        <v>72</v>
      </c>
    </row>
    <row r="35">
      <c r="C35" s="3" t="s">
        <v>24</v>
      </c>
      <c r="D35" s="3">
        <v>4966.0</v>
      </c>
      <c r="E35" s="3" t="s">
        <v>71</v>
      </c>
      <c r="F35" s="5">
        <v>46088.549305555556</v>
      </c>
      <c r="G35" s="5">
        <v>46087.66334490741</v>
      </c>
      <c r="H35" s="3" t="s">
        <v>14</v>
      </c>
      <c r="I35" s="7">
        <v>0.0</v>
      </c>
      <c r="J35" s="3" t="s">
        <v>72</v>
      </c>
    </row>
    <row r="36">
      <c r="C36" s="3" t="s">
        <v>26</v>
      </c>
      <c r="D36" s="3">
        <v>4966.0</v>
      </c>
      <c r="E36" s="3" t="s">
        <v>71</v>
      </c>
      <c r="F36" s="5">
        <v>46088.59097222222</v>
      </c>
      <c r="G36" s="5">
        <v>46087.663449074076</v>
      </c>
      <c r="H36" s="3" t="s">
        <v>14</v>
      </c>
      <c r="I36" s="7">
        <v>0.0</v>
      </c>
      <c r="J36" s="3" t="s">
        <v>72</v>
      </c>
    </row>
    <row r="37">
      <c r="C37" s="3" t="s">
        <v>10</v>
      </c>
      <c r="D37" s="3">
        <v>4967.0</v>
      </c>
      <c r="E37" s="3" t="s">
        <v>74</v>
      </c>
      <c r="F37" s="5">
        <v>46087.44027777778</v>
      </c>
      <c r="G37" s="5">
        <v>46086.70104166667</v>
      </c>
      <c r="H37" s="3" t="s">
        <v>14</v>
      </c>
      <c r="I37" s="3">
        <v>0.0</v>
      </c>
      <c r="J37" s="3" t="s">
        <v>72</v>
      </c>
    </row>
    <row r="38">
      <c r="C38" s="3" t="s">
        <v>17</v>
      </c>
      <c r="D38" s="3">
        <v>4967.0</v>
      </c>
      <c r="E38" s="3" t="s">
        <v>74</v>
      </c>
      <c r="F38" s="5">
        <v>46087.447222222225</v>
      </c>
      <c r="G38" s="5">
        <v>46086.701215277775</v>
      </c>
      <c r="H38" s="3" t="s">
        <v>14</v>
      </c>
      <c r="I38" s="7">
        <v>0.0</v>
      </c>
      <c r="J38" s="3" t="s">
        <v>72</v>
      </c>
    </row>
    <row r="39">
      <c r="C39" s="3" t="s">
        <v>21</v>
      </c>
      <c r="D39" s="3">
        <v>4967.0</v>
      </c>
      <c r="E39" s="3" t="s">
        <v>74</v>
      </c>
      <c r="F39" s="5">
        <v>46087.55138888889</v>
      </c>
      <c r="G39" s="5">
        <v>46086.71181712963</v>
      </c>
      <c r="H39" s="3" t="s">
        <v>14</v>
      </c>
      <c r="I39" s="7">
        <v>0.0</v>
      </c>
      <c r="J39" s="3" t="s">
        <v>72</v>
      </c>
    </row>
    <row r="40">
      <c r="C40" s="3" t="s">
        <v>24</v>
      </c>
      <c r="D40" s="3">
        <v>4967.0</v>
      </c>
      <c r="E40" s="3" t="s">
        <v>74</v>
      </c>
      <c r="F40" s="5">
        <v>46088.55138888889</v>
      </c>
      <c r="G40" s="5">
        <v>46087.66336805555</v>
      </c>
      <c r="H40" s="3" t="s">
        <v>14</v>
      </c>
      <c r="I40" s="7">
        <v>0.0</v>
      </c>
      <c r="J40" s="3" t="s">
        <v>72</v>
      </c>
    </row>
    <row r="41">
      <c r="C41" s="3" t="s">
        <v>26</v>
      </c>
      <c r="D41" s="3">
        <v>4967.0</v>
      </c>
      <c r="E41" s="3" t="s">
        <v>74</v>
      </c>
      <c r="F41" s="5">
        <v>46088.59305555555</v>
      </c>
      <c r="G41" s="5">
        <v>46087.66342592592</v>
      </c>
      <c r="H41" s="3" t="s">
        <v>14</v>
      </c>
      <c r="I41" s="7">
        <v>0.0</v>
      </c>
      <c r="J41" s="3" t="s">
        <v>72</v>
      </c>
    </row>
    <row r="42">
      <c r="C42" s="3" t="s">
        <v>10</v>
      </c>
      <c r="D42" s="3">
        <v>4968.0</v>
      </c>
      <c r="E42" s="3" t="s">
        <v>82</v>
      </c>
      <c r="F42" s="5">
        <v>46087.62372685185</v>
      </c>
      <c r="G42" s="5">
        <v>46087.47363425926</v>
      </c>
      <c r="H42" s="3" t="s">
        <v>14</v>
      </c>
      <c r="I42" s="3">
        <v>0.0</v>
      </c>
      <c r="J42" s="3" t="s">
        <v>15</v>
      </c>
    </row>
    <row r="43">
      <c r="C43" s="3" t="s">
        <v>17</v>
      </c>
      <c r="D43" s="3">
        <v>4968.0</v>
      </c>
      <c r="E43" s="3" t="s">
        <v>82</v>
      </c>
      <c r="F43" s="5">
        <v>46087.6306712963</v>
      </c>
      <c r="G43" s="5">
        <v>46087.47372685185</v>
      </c>
      <c r="H43" s="3" t="s">
        <v>14</v>
      </c>
      <c r="I43" s="7">
        <v>0.0</v>
      </c>
      <c r="J43" s="3" t="s">
        <v>15</v>
      </c>
    </row>
    <row r="44">
      <c r="C44" s="3" t="s">
        <v>21</v>
      </c>
      <c r="D44" s="3">
        <v>4968.0</v>
      </c>
      <c r="E44" s="3" t="s">
        <v>82</v>
      </c>
      <c r="F44" s="5">
        <v>46087.73483796296</v>
      </c>
      <c r="G44" s="5">
        <v>46087.47381944444</v>
      </c>
      <c r="H44" s="3" t="s">
        <v>14</v>
      </c>
      <c r="I44" s="7">
        <v>0.0</v>
      </c>
      <c r="J44" s="3" t="s">
        <v>15</v>
      </c>
    </row>
    <row r="45">
      <c r="C45" s="3" t="s">
        <v>24</v>
      </c>
      <c r="D45" s="3">
        <v>4968.0</v>
      </c>
      <c r="E45" s="3" t="s">
        <v>82</v>
      </c>
      <c r="F45" s="5">
        <v>46088.73472222222</v>
      </c>
      <c r="G45" s="5">
        <v>46087.49581018519</v>
      </c>
      <c r="H45" s="3" t="s">
        <v>14</v>
      </c>
      <c r="I45" s="7">
        <v>0.0</v>
      </c>
      <c r="J45" s="3" t="s">
        <v>15</v>
      </c>
    </row>
    <row r="46">
      <c r="C46" s="3" t="s">
        <v>26</v>
      </c>
      <c r="D46" s="3">
        <v>4968.0</v>
      </c>
      <c r="E46" s="3" t="s">
        <v>82</v>
      </c>
      <c r="F46" s="5">
        <v>46088.77638888889</v>
      </c>
      <c r="G46" s="5">
        <v>46087.49585648148</v>
      </c>
      <c r="H46" s="3" t="s">
        <v>14</v>
      </c>
      <c r="I46" s="7">
        <v>0.0</v>
      </c>
      <c r="J46" s="3" t="s">
        <v>15</v>
      </c>
    </row>
    <row r="47">
      <c r="C47" s="3" t="s">
        <v>10</v>
      </c>
      <c r="D47" s="3">
        <v>4969.0</v>
      </c>
      <c r="E47" s="3" t="s">
        <v>84</v>
      </c>
      <c r="F47" s="5">
        <v>46087.80578703704</v>
      </c>
      <c r="G47" s="5">
        <v>46087.640439814815</v>
      </c>
      <c r="H47" s="3" t="s">
        <v>14</v>
      </c>
      <c r="I47" s="3">
        <v>0.0</v>
      </c>
      <c r="J47" s="3" t="s">
        <v>61</v>
      </c>
    </row>
    <row r="48">
      <c r="C48" s="3" t="s">
        <v>17</v>
      </c>
      <c r="D48" s="3">
        <v>4969.0</v>
      </c>
      <c r="E48" s="3" t="s">
        <v>84</v>
      </c>
      <c r="F48" s="5">
        <v>46087.812731481485</v>
      </c>
      <c r="G48" s="5">
        <v>46087.64059027778</v>
      </c>
      <c r="H48" s="3" t="s">
        <v>14</v>
      </c>
      <c r="I48" s="7">
        <v>0.0</v>
      </c>
      <c r="J48" s="3" t="s">
        <v>61</v>
      </c>
    </row>
    <row r="49">
      <c r="C49" s="3" t="s">
        <v>21</v>
      </c>
      <c r="D49" s="3">
        <v>4969.0</v>
      </c>
      <c r="E49" s="3" t="s">
        <v>84</v>
      </c>
      <c r="F49" s="5">
        <v>46088.520833333336</v>
      </c>
      <c r="G49" s="5">
        <v>46088.41774305556</v>
      </c>
      <c r="H49" s="3" t="s">
        <v>14</v>
      </c>
      <c r="I49" s="7">
        <v>0.0</v>
      </c>
      <c r="J49" s="3" t="s">
        <v>61</v>
      </c>
    </row>
    <row r="50">
      <c r="C50" s="3" t="s">
        <v>24</v>
      </c>
      <c r="D50" s="3">
        <v>4969.0</v>
      </c>
      <c r="E50" s="3" t="s">
        <v>84</v>
      </c>
      <c r="F50" s="5">
        <v>46090.520833333336</v>
      </c>
      <c r="G50" s="5">
        <v>46088.41782407407</v>
      </c>
      <c r="H50" s="3" t="s">
        <v>14</v>
      </c>
      <c r="I50" s="7">
        <v>0.0</v>
      </c>
      <c r="J50" s="3" t="s">
        <v>61</v>
      </c>
    </row>
    <row r="51">
      <c r="C51" s="3" t="s">
        <v>26</v>
      </c>
      <c r="D51" s="3">
        <v>4969.0</v>
      </c>
      <c r="E51" s="3" t="s">
        <v>84</v>
      </c>
      <c r="F51" s="5">
        <v>46090.5625</v>
      </c>
      <c r="G51" s="5">
        <v>46088.41788194444</v>
      </c>
      <c r="H51" s="3" t="s">
        <v>14</v>
      </c>
      <c r="I51" s="7">
        <v>0.0</v>
      </c>
      <c r="J51" s="3" t="s">
        <v>61</v>
      </c>
    </row>
    <row r="52">
      <c r="C52" s="3" t="s">
        <v>10</v>
      </c>
      <c r="D52" s="3">
        <v>4970.0</v>
      </c>
      <c r="E52" s="3" t="s">
        <v>90</v>
      </c>
      <c r="F52" s="5">
        <v>46088.48263888889</v>
      </c>
      <c r="G52" s="5">
        <v>46087.73550925926</v>
      </c>
      <c r="H52" s="3" t="s">
        <v>14</v>
      </c>
      <c r="I52" s="3">
        <v>0.0</v>
      </c>
      <c r="J52" s="3" t="s">
        <v>15</v>
      </c>
    </row>
    <row r="53">
      <c r="C53" s="3" t="s">
        <v>17</v>
      </c>
      <c r="D53" s="3">
        <v>4970.0</v>
      </c>
      <c r="E53" s="3" t="s">
        <v>90</v>
      </c>
      <c r="F53" s="5">
        <v>46088.489583333336</v>
      </c>
      <c r="G53" s="5">
        <v>46087.73570601852</v>
      </c>
      <c r="H53" s="3" t="s">
        <v>14</v>
      </c>
      <c r="I53" s="7">
        <v>0.0</v>
      </c>
      <c r="J53" s="3" t="s">
        <v>15</v>
      </c>
    </row>
    <row r="54">
      <c r="C54" s="3" t="s">
        <v>21</v>
      </c>
      <c r="D54" s="3">
        <v>4970.0</v>
      </c>
      <c r="E54" s="3" t="s">
        <v>90</v>
      </c>
      <c r="F54" s="5">
        <v>46088.59375</v>
      </c>
      <c r="G54" s="5">
        <v>46087.73599537037</v>
      </c>
      <c r="H54" s="3" t="s">
        <v>14</v>
      </c>
      <c r="I54" s="7">
        <v>0.0</v>
      </c>
      <c r="J54" s="3" t="s">
        <v>15</v>
      </c>
    </row>
    <row r="55">
      <c r="C55" s="3" t="s">
        <v>24</v>
      </c>
      <c r="D55" s="3">
        <v>4970.0</v>
      </c>
      <c r="E55" s="3" t="s">
        <v>90</v>
      </c>
      <c r="F55" s="5">
        <v>46090.59375</v>
      </c>
      <c r="G55" s="5">
        <v>46088.44898148148</v>
      </c>
      <c r="H55" s="3" t="s">
        <v>14</v>
      </c>
      <c r="I55" s="7">
        <v>0.0</v>
      </c>
      <c r="J55" s="3" t="s">
        <v>15</v>
      </c>
    </row>
    <row r="56">
      <c r="C56" s="3" t="s">
        <v>26</v>
      </c>
      <c r="D56" s="3">
        <v>4970.0</v>
      </c>
      <c r="E56" s="3" t="s">
        <v>90</v>
      </c>
      <c r="F56" s="5">
        <v>46090.635416666664</v>
      </c>
      <c r="G56" s="5">
        <v>46088.44907407407</v>
      </c>
      <c r="H56" s="3" t="s">
        <v>14</v>
      </c>
      <c r="I56" s="7">
        <v>0.0</v>
      </c>
      <c r="J56" s="3" t="s">
        <v>15</v>
      </c>
    </row>
    <row r="57">
      <c r="C57" s="3" t="s">
        <v>10</v>
      </c>
      <c r="D57" s="3">
        <v>4971.0</v>
      </c>
      <c r="E57" s="3" t="s">
        <v>94</v>
      </c>
      <c r="F57" s="5">
        <v>46088.52569444444</v>
      </c>
      <c r="G57" s="5">
        <v>46088.4175</v>
      </c>
      <c r="H57" s="3" t="s">
        <v>14</v>
      </c>
      <c r="I57" s="3">
        <v>0.0</v>
      </c>
      <c r="J57" s="3" t="s">
        <v>15</v>
      </c>
    </row>
    <row r="58">
      <c r="C58" s="3" t="s">
        <v>17</v>
      </c>
      <c r="D58" s="3">
        <v>4971.0</v>
      </c>
      <c r="E58" s="3" t="s">
        <v>94</v>
      </c>
      <c r="F58" s="5">
        <v>46088.532638888886</v>
      </c>
      <c r="G58" s="5">
        <v>46088.41758101852</v>
      </c>
      <c r="H58" s="3" t="s">
        <v>14</v>
      </c>
      <c r="I58" s="7">
        <v>0.0</v>
      </c>
      <c r="J58" s="3" t="s">
        <v>15</v>
      </c>
    </row>
    <row r="59">
      <c r="C59" s="3" t="s">
        <v>21</v>
      </c>
      <c r="D59" s="3">
        <v>4971.0</v>
      </c>
      <c r="E59" s="3" t="s">
        <v>94</v>
      </c>
      <c r="F59" s="5">
        <v>46088.63680555556</v>
      </c>
      <c r="G59" s="5">
        <v>46088.41813657407</v>
      </c>
      <c r="H59" s="3" t="s">
        <v>14</v>
      </c>
      <c r="I59" s="7">
        <v>0.0</v>
      </c>
      <c r="J59" s="3" t="s">
        <v>15</v>
      </c>
    </row>
    <row r="60">
      <c r="C60" s="3" t="s">
        <v>24</v>
      </c>
      <c r="D60" s="3">
        <v>4971.0</v>
      </c>
      <c r="E60" s="3" t="s">
        <v>94</v>
      </c>
      <c r="F60" s="5">
        <v>46090.63680555556</v>
      </c>
      <c r="G60" s="5">
        <v>46088.44912037037</v>
      </c>
      <c r="H60" s="3" t="s">
        <v>14</v>
      </c>
      <c r="I60" s="7">
        <v>0.0</v>
      </c>
      <c r="J60" s="3" t="s">
        <v>15</v>
      </c>
    </row>
    <row r="61">
      <c r="C61" s="3" t="s">
        <v>26</v>
      </c>
      <c r="D61" s="3">
        <v>4971.0</v>
      </c>
      <c r="E61" s="3" t="s">
        <v>94</v>
      </c>
      <c r="F61" s="5">
        <v>46090.67847222222</v>
      </c>
      <c r="G61" s="5">
        <v>46088.50059027778</v>
      </c>
      <c r="H61" s="3" t="s">
        <v>14</v>
      </c>
      <c r="I61" s="7">
        <v>0.0</v>
      </c>
      <c r="J61" s="3" t="s">
        <v>15</v>
      </c>
    </row>
    <row r="62">
      <c r="C62" s="3" t="s">
        <v>10</v>
      </c>
      <c r="D62" s="3">
        <v>4972.0</v>
      </c>
      <c r="E62" s="3" t="s">
        <v>101</v>
      </c>
      <c r="F62" s="5">
        <v>46088.58368055556</v>
      </c>
      <c r="G62" s="5">
        <v>46088.41740740741</v>
      </c>
      <c r="H62" s="3" t="s">
        <v>14</v>
      </c>
      <c r="I62" s="3">
        <v>0.0</v>
      </c>
      <c r="J62" s="3" t="s">
        <v>61</v>
      </c>
    </row>
    <row r="63">
      <c r="C63" s="3" t="s">
        <v>17</v>
      </c>
      <c r="D63" s="3">
        <v>4972.0</v>
      </c>
      <c r="E63" s="3" t="s">
        <v>101</v>
      </c>
      <c r="F63" s="5">
        <v>46088.590625</v>
      </c>
      <c r="G63" s="5">
        <v>46088.41758101852</v>
      </c>
      <c r="H63" s="3" t="s">
        <v>14</v>
      </c>
      <c r="I63" s="7">
        <v>0.0</v>
      </c>
      <c r="J63" s="3" t="s">
        <v>61</v>
      </c>
    </row>
    <row r="64">
      <c r="C64" s="3" t="s">
        <v>21</v>
      </c>
      <c r="D64" s="3">
        <v>4972.0</v>
      </c>
      <c r="E64" s="3" t="s">
        <v>101</v>
      </c>
      <c r="F64" s="5">
        <v>46088.69479166667</v>
      </c>
      <c r="G64" s="5">
        <v>46088.41815972222</v>
      </c>
      <c r="H64" s="3" t="s">
        <v>14</v>
      </c>
      <c r="I64" s="7">
        <v>0.0</v>
      </c>
      <c r="J64" s="3" t="s">
        <v>61</v>
      </c>
    </row>
    <row r="65">
      <c r="C65" s="3" t="s">
        <v>24</v>
      </c>
      <c r="D65" s="3">
        <v>4972.0</v>
      </c>
      <c r="E65" s="3" t="s">
        <v>101</v>
      </c>
      <c r="F65" s="5">
        <v>46090.694444444445</v>
      </c>
      <c r="G65" s="5">
        <v>46088.48164351852</v>
      </c>
      <c r="H65" s="3" t="s">
        <v>14</v>
      </c>
      <c r="I65" s="7">
        <v>0.0</v>
      </c>
      <c r="J65" s="3" t="s">
        <v>61</v>
      </c>
    </row>
    <row r="66">
      <c r="C66" s="3" t="s">
        <v>26</v>
      </c>
      <c r="D66" s="3">
        <v>4972.0</v>
      </c>
      <c r="E66" s="3" t="s">
        <v>101</v>
      </c>
      <c r="F66" s="5">
        <v>46090.73611111111</v>
      </c>
      <c r="G66" s="5">
        <v>46088.48170138889</v>
      </c>
      <c r="H66" s="3" t="s">
        <v>14</v>
      </c>
      <c r="I66" s="7">
        <v>0.0</v>
      </c>
      <c r="J66" s="3" t="s">
        <v>61</v>
      </c>
    </row>
    <row r="67">
      <c r="C67" s="3" t="s">
        <v>10</v>
      </c>
      <c r="D67" s="3">
        <v>4973.0</v>
      </c>
      <c r="E67" s="3" t="s">
        <v>109</v>
      </c>
      <c r="F67" s="5">
        <v>46088.60958333333</v>
      </c>
      <c r="G67" s="5">
        <v>46088.448530092595</v>
      </c>
      <c r="H67" s="3" t="s">
        <v>14</v>
      </c>
      <c r="I67" s="3">
        <v>0.0</v>
      </c>
      <c r="J67" s="3" t="s">
        <v>15</v>
      </c>
    </row>
    <row r="68">
      <c r="C68" s="3" t="s">
        <v>17</v>
      </c>
      <c r="D68" s="3">
        <v>4973.0</v>
      </c>
      <c r="E68" s="3" t="s">
        <v>109</v>
      </c>
      <c r="F68" s="5">
        <v>46088.616527777776</v>
      </c>
      <c r="G68" s="5">
        <v>46088.4487037037</v>
      </c>
      <c r="H68" s="3" t="s">
        <v>14</v>
      </c>
      <c r="I68" s="7">
        <v>0.0</v>
      </c>
      <c r="J68" s="3" t="s">
        <v>15</v>
      </c>
    </row>
    <row r="69">
      <c r="C69" s="3" t="s">
        <v>21</v>
      </c>
      <c r="D69" s="3">
        <v>4973.0</v>
      </c>
      <c r="E69" s="3" t="s">
        <v>109</v>
      </c>
      <c r="F69" s="5">
        <v>46088.72069444445</v>
      </c>
      <c r="G69" s="5">
        <v>46088.448842592596</v>
      </c>
      <c r="H69" s="3" t="s">
        <v>14</v>
      </c>
      <c r="I69" s="7">
        <v>0.0</v>
      </c>
      <c r="J69" s="3" t="s">
        <v>15</v>
      </c>
    </row>
    <row r="70">
      <c r="C70" s="3" t="s">
        <v>24</v>
      </c>
      <c r="D70" s="3">
        <v>4973.0</v>
      </c>
      <c r="E70" s="3" t="s">
        <v>109</v>
      </c>
      <c r="F70" s="5">
        <v>46090.720138888886</v>
      </c>
      <c r="G70" s="5">
        <v>46090.62253472222</v>
      </c>
      <c r="H70" s="3" t="s">
        <v>14</v>
      </c>
      <c r="I70" s="7">
        <v>0.0</v>
      </c>
      <c r="J70" s="3" t="s">
        <v>15</v>
      </c>
    </row>
    <row r="71">
      <c r="C71" s="3" t="s">
        <v>26</v>
      </c>
      <c r="D71" s="3">
        <v>4973.0</v>
      </c>
      <c r="E71" s="3" t="s">
        <v>109</v>
      </c>
      <c r="F71" s="5">
        <v>46090.76180555556</v>
      </c>
      <c r="G71" s="5">
        <v>46090.67188657408</v>
      </c>
      <c r="H71" s="3" t="s">
        <v>14</v>
      </c>
      <c r="I71" s="7">
        <v>0.0</v>
      </c>
      <c r="J71" s="3" t="s">
        <v>15</v>
      </c>
    </row>
    <row r="72">
      <c r="C72" s="3" t="s">
        <v>10</v>
      </c>
      <c r="D72" s="3">
        <v>4974.0</v>
      </c>
      <c r="E72" s="3" t="s">
        <v>116</v>
      </c>
      <c r="F72" s="5">
        <v>46090.66302083333</v>
      </c>
      <c r="G72" s="5">
        <v>46090.51929398148</v>
      </c>
      <c r="H72" s="3" t="s">
        <v>14</v>
      </c>
      <c r="I72" s="3">
        <v>0.0</v>
      </c>
      <c r="J72" s="3" t="s">
        <v>15</v>
      </c>
    </row>
    <row r="73">
      <c r="C73" s="3" t="s">
        <v>17</v>
      </c>
      <c r="D73" s="3">
        <v>4974.0</v>
      </c>
      <c r="E73" s="3" t="s">
        <v>116</v>
      </c>
      <c r="F73" s="5">
        <v>46090.669965277775</v>
      </c>
      <c r="G73" s="5">
        <v>46090.519467592596</v>
      </c>
      <c r="H73" s="3" t="s">
        <v>14</v>
      </c>
      <c r="I73" s="7">
        <v>0.0</v>
      </c>
      <c r="J73" s="3" t="s">
        <v>15</v>
      </c>
    </row>
    <row r="74">
      <c r="C74" s="3" t="s">
        <v>21</v>
      </c>
      <c r="D74" s="3">
        <v>4974.0</v>
      </c>
      <c r="E74" s="3" t="s">
        <v>116</v>
      </c>
      <c r="F74" s="5">
        <v>46090.77413194445</v>
      </c>
      <c r="G74" s="5">
        <v>46090.67171296296</v>
      </c>
      <c r="H74" s="3" t="s">
        <v>14</v>
      </c>
      <c r="I74" s="7">
        <v>0.0</v>
      </c>
      <c r="J74" s="3" t="s">
        <v>15</v>
      </c>
    </row>
    <row r="75">
      <c r="C75" s="3" t="s">
        <v>24</v>
      </c>
      <c r="D75" s="3">
        <v>4974.0</v>
      </c>
      <c r="E75" s="3" t="s">
        <v>116</v>
      </c>
      <c r="F75" s="5">
        <v>46091.77361111111</v>
      </c>
      <c r="G75" s="5">
        <v>46091.772465277776</v>
      </c>
      <c r="H75" s="3" t="s">
        <v>14</v>
      </c>
      <c r="I75" s="7">
        <v>0.0</v>
      </c>
      <c r="J75" s="3" t="s">
        <v>15</v>
      </c>
    </row>
    <row r="76">
      <c r="C76" s="3" t="s">
        <v>26</v>
      </c>
      <c r="D76" s="3">
        <v>4974.0</v>
      </c>
      <c r="E76" s="3" t="s">
        <v>116</v>
      </c>
      <c r="F76" s="5">
        <v>46091.81527777778</v>
      </c>
      <c r="G76" s="5">
        <v>46091.775300925925</v>
      </c>
      <c r="H76" s="3" t="s">
        <v>14</v>
      </c>
      <c r="I76" s="7">
        <v>0.0</v>
      </c>
      <c r="J76" s="3" t="s">
        <v>15</v>
      </c>
    </row>
    <row r="77">
      <c r="C77" s="3" t="s">
        <v>10</v>
      </c>
      <c r="D77" s="3">
        <v>4975.0</v>
      </c>
      <c r="E77" s="3" t="s">
        <v>120</v>
      </c>
      <c r="F77" s="5">
        <v>46090.70149305555</v>
      </c>
      <c r="G77" s="5">
        <v>46090.62032407407</v>
      </c>
      <c r="H77" s="3" t="s">
        <v>14</v>
      </c>
      <c r="I77" s="3">
        <v>0.0</v>
      </c>
      <c r="J77" s="3" t="s">
        <v>15</v>
      </c>
    </row>
    <row r="78">
      <c r="C78" s="3" t="s">
        <v>17</v>
      </c>
      <c r="D78" s="3">
        <v>4975.0</v>
      </c>
      <c r="E78" s="3" t="s">
        <v>120</v>
      </c>
      <c r="F78" s="5">
        <v>46090.7084375</v>
      </c>
      <c r="G78" s="5">
        <v>46090.62068287037</v>
      </c>
      <c r="H78" s="3" t="s">
        <v>14</v>
      </c>
      <c r="I78" s="7">
        <v>0.0</v>
      </c>
      <c r="J78" s="3" t="s">
        <v>15</v>
      </c>
    </row>
    <row r="79">
      <c r="C79" s="3" t="s">
        <v>21</v>
      </c>
      <c r="D79" s="3">
        <v>4975.0</v>
      </c>
      <c r="E79" s="3" t="s">
        <v>120</v>
      </c>
      <c r="F79" s="5">
        <v>46090.81260416667</v>
      </c>
      <c r="G79" s="5">
        <v>46090.671793981484</v>
      </c>
      <c r="H79" s="3" t="s">
        <v>14</v>
      </c>
      <c r="I79" s="7">
        <v>0.0</v>
      </c>
      <c r="J79" s="3" t="s">
        <v>15</v>
      </c>
    </row>
    <row r="80">
      <c r="C80" s="3" t="s">
        <v>24</v>
      </c>
      <c r="D80" s="3">
        <v>4975.0</v>
      </c>
      <c r="E80" s="3" t="s">
        <v>120</v>
      </c>
      <c r="F80" s="5">
        <v>46091.8125</v>
      </c>
      <c r="G80" s="5">
        <v>46091.540289351855</v>
      </c>
      <c r="H80" s="3" t="s">
        <v>14</v>
      </c>
      <c r="I80" s="7">
        <v>0.0</v>
      </c>
      <c r="J80" s="3" t="s">
        <v>15</v>
      </c>
    </row>
    <row r="81">
      <c r="C81" s="3" t="s">
        <v>26</v>
      </c>
      <c r="D81" s="3">
        <v>4975.0</v>
      </c>
      <c r="E81" s="3" t="s">
        <v>120</v>
      </c>
      <c r="F81" s="5">
        <v>46092.4375</v>
      </c>
      <c r="G81" s="5">
        <v>46091.54032407407</v>
      </c>
      <c r="H81" s="3" t="s">
        <v>14</v>
      </c>
      <c r="I81" s="7">
        <v>0.0</v>
      </c>
      <c r="J81" s="3" t="s">
        <v>15</v>
      </c>
    </row>
    <row r="82">
      <c r="C82" s="3" t="s">
        <v>10</v>
      </c>
      <c r="D82" s="3">
        <v>4976.0</v>
      </c>
      <c r="E82" s="3" t="s">
        <v>125</v>
      </c>
      <c r="F82" s="5">
        <v>46090.70457175926</v>
      </c>
      <c r="G82" s="5">
        <v>46090.6202662037</v>
      </c>
      <c r="H82" s="3" t="s">
        <v>14</v>
      </c>
      <c r="I82" s="3">
        <v>0.0</v>
      </c>
      <c r="J82" s="3" t="s">
        <v>61</v>
      </c>
    </row>
    <row r="83">
      <c r="C83" s="3" t="s">
        <v>17</v>
      </c>
      <c r="D83" s="3">
        <v>4976.0</v>
      </c>
      <c r="E83" s="3" t="s">
        <v>125</v>
      </c>
      <c r="F83" s="5">
        <v>46090.7115162037</v>
      </c>
      <c r="G83" s="5">
        <v>46090.620625</v>
      </c>
      <c r="H83" s="3" t="s">
        <v>14</v>
      </c>
      <c r="I83" s="7">
        <v>0.0</v>
      </c>
      <c r="J83" s="3" t="s">
        <v>61</v>
      </c>
    </row>
    <row r="84">
      <c r="C84" s="3" t="s">
        <v>21</v>
      </c>
      <c r="D84" s="3">
        <v>4976.0</v>
      </c>
      <c r="E84" s="3" t="s">
        <v>125</v>
      </c>
      <c r="F84" s="5">
        <v>46090.81568287037</v>
      </c>
      <c r="G84" s="5">
        <v>46090.6246875</v>
      </c>
      <c r="H84" s="3" t="s">
        <v>14</v>
      </c>
      <c r="I84" s="7">
        <v>0.0</v>
      </c>
      <c r="J84" s="3" t="s">
        <v>61</v>
      </c>
    </row>
    <row r="85">
      <c r="C85" s="3" t="s">
        <v>24</v>
      </c>
      <c r="D85" s="3">
        <v>4976.0</v>
      </c>
      <c r="E85" s="3" t="s">
        <v>125</v>
      </c>
      <c r="F85" s="5">
        <v>46091.81527777778</v>
      </c>
      <c r="G85" s="5">
        <v>46090.62472222222</v>
      </c>
      <c r="H85" s="3" t="s">
        <v>14</v>
      </c>
      <c r="I85" s="7">
        <v>0.0</v>
      </c>
      <c r="J85" s="3" t="s">
        <v>61</v>
      </c>
    </row>
    <row r="86">
      <c r="C86" s="3" t="s">
        <v>26</v>
      </c>
      <c r="D86" s="3">
        <v>4976.0</v>
      </c>
      <c r="E86" s="3" t="s">
        <v>125</v>
      </c>
      <c r="F86" s="5">
        <v>46092.44027777778</v>
      </c>
      <c r="G86" s="5">
        <v>46090.62479166667</v>
      </c>
      <c r="H86" s="3" t="s">
        <v>14</v>
      </c>
      <c r="I86" s="7">
        <v>0.0</v>
      </c>
      <c r="J86" s="3" t="s">
        <v>61</v>
      </c>
    </row>
    <row r="87">
      <c r="C87" s="3" t="s">
        <v>10</v>
      </c>
      <c r="D87" s="3">
        <v>4977.0</v>
      </c>
      <c r="E87" s="3" t="s">
        <v>130</v>
      </c>
      <c r="F87" s="5">
        <v>46090.70701388889</v>
      </c>
      <c r="G87" s="5">
        <v>46090.549733796295</v>
      </c>
      <c r="H87" s="3" t="s">
        <v>14</v>
      </c>
      <c r="I87" s="3">
        <v>0.0</v>
      </c>
      <c r="J87" s="3" t="s">
        <v>48</v>
      </c>
    </row>
    <row r="88">
      <c r="C88" s="3" t="s">
        <v>17</v>
      </c>
      <c r="D88" s="3">
        <v>4977.0</v>
      </c>
      <c r="E88" s="3" t="s">
        <v>130</v>
      </c>
      <c r="F88" s="5">
        <v>46090.713958333334</v>
      </c>
      <c r="G88" s="5">
        <v>46090.54988425926</v>
      </c>
      <c r="H88" s="3" t="s">
        <v>14</v>
      </c>
      <c r="I88" s="7">
        <v>0.0</v>
      </c>
      <c r="J88" s="3" t="s">
        <v>48</v>
      </c>
    </row>
    <row r="89">
      <c r="C89" s="3" t="s">
        <v>21</v>
      </c>
      <c r="D89" s="3">
        <v>4977.0</v>
      </c>
      <c r="E89" s="3" t="s">
        <v>130</v>
      </c>
      <c r="F89" s="5">
        <v>46090.818125</v>
      </c>
      <c r="G89" s="5">
        <v>46090.549942129626</v>
      </c>
      <c r="H89" s="3" t="s">
        <v>14</v>
      </c>
      <c r="I89" s="7">
        <v>0.0</v>
      </c>
      <c r="J89" s="3" t="s">
        <v>48</v>
      </c>
    </row>
    <row r="90">
      <c r="C90" s="3" t="s">
        <v>24</v>
      </c>
      <c r="D90" s="3">
        <v>4977.0</v>
      </c>
      <c r="E90" s="3" t="s">
        <v>130</v>
      </c>
      <c r="F90" s="5">
        <v>46091.81805555556</v>
      </c>
      <c r="G90" s="5">
        <v>46091.46880787037</v>
      </c>
      <c r="H90" s="3" t="s">
        <v>14</v>
      </c>
      <c r="I90" s="7">
        <v>0.0</v>
      </c>
      <c r="J90" s="3" t="s">
        <v>48</v>
      </c>
    </row>
    <row r="91">
      <c r="C91" s="3" t="s">
        <v>26</v>
      </c>
      <c r="D91" s="3">
        <v>4977.0</v>
      </c>
      <c r="E91" s="3" t="s">
        <v>130</v>
      </c>
      <c r="F91" s="5">
        <v>46092.44305555556</v>
      </c>
      <c r="G91" s="5">
        <v>46091.46886574074</v>
      </c>
      <c r="H91" s="3" t="s">
        <v>14</v>
      </c>
      <c r="I91" s="7">
        <v>0.0</v>
      </c>
      <c r="J91" s="3" t="s">
        <v>48</v>
      </c>
    </row>
    <row r="92">
      <c r="C92" s="3" t="s">
        <v>10</v>
      </c>
      <c r="D92" s="3">
        <v>4978.0</v>
      </c>
      <c r="E92" s="3" t="s">
        <v>136</v>
      </c>
      <c r="F92" s="5">
        <v>46090.74271990741</v>
      </c>
      <c r="G92" s="5">
        <v>46090.62042824074</v>
      </c>
      <c r="H92" s="3" t="s">
        <v>14</v>
      </c>
      <c r="I92" s="3">
        <v>0.0</v>
      </c>
      <c r="J92" s="3" t="s">
        <v>15</v>
      </c>
    </row>
    <row r="93">
      <c r="C93" s="3" t="s">
        <v>17</v>
      </c>
      <c r="D93" s="3">
        <v>4978.0</v>
      </c>
      <c r="E93" s="3" t="s">
        <v>136</v>
      </c>
      <c r="F93" s="5">
        <v>46090.74966435185</v>
      </c>
      <c r="G93" s="5">
        <v>46090.77300925926</v>
      </c>
      <c r="H93" s="3" t="s">
        <v>14</v>
      </c>
      <c r="I93" s="7">
        <v>0.02335648148148148</v>
      </c>
      <c r="J93" s="3" t="s">
        <v>15</v>
      </c>
    </row>
    <row r="94">
      <c r="C94" s="3" t="s">
        <v>21</v>
      </c>
      <c r="D94" s="3">
        <v>4978.0</v>
      </c>
      <c r="E94" s="3" t="s">
        <v>136</v>
      </c>
      <c r="F94" s="5">
        <v>46091.45763888889</v>
      </c>
      <c r="G94" s="5">
        <v>46090.77306712963</v>
      </c>
      <c r="H94" s="3" t="s">
        <v>14</v>
      </c>
      <c r="I94" s="7">
        <v>0.0</v>
      </c>
      <c r="J94" s="3" t="s">
        <v>15</v>
      </c>
    </row>
    <row r="95">
      <c r="C95" s="3" t="s">
        <v>24</v>
      </c>
      <c r="D95" s="3">
        <v>4978.0</v>
      </c>
      <c r="E95" s="3" t="s">
        <v>136</v>
      </c>
      <c r="F95" s="5">
        <v>46092.45763888889</v>
      </c>
      <c r="G95" s="5">
        <v>46091.54042824074</v>
      </c>
      <c r="H95" s="3" t="s">
        <v>14</v>
      </c>
      <c r="I95" s="7">
        <v>0.0</v>
      </c>
      <c r="J95" s="3" t="s">
        <v>15</v>
      </c>
    </row>
    <row r="96">
      <c r="C96" s="3" t="s">
        <v>26</v>
      </c>
      <c r="D96" s="3">
        <v>4978.0</v>
      </c>
      <c r="E96" s="3" t="s">
        <v>136</v>
      </c>
      <c r="F96" s="5">
        <v>46092.49930555555</v>
      </c>
      <c r="G96" s="5">
        <v>46091.54046296296</v>
      </c>
      <c r="H96" s="3" t="s">
        <v>14</v>
      </c>
      <c r="I96" s="7">
        <v>0.0</v>
      </c>
      <c r="J96" s="3" t="s">
        <v>15</v>
      </c>
    </row>
    <row r="97">
      <c r="C97" s="3" t="s">
        <v>10</v>
      </c>
      <c r="D97" s="3">
        <v>4979.0</v>
      </c>
      <c r="E97" s="3" t="s">
        <v>145</v>
      </c>
      <c r="F97" s="5">
        <v>46091.76150462963</v>
      </c>
      <c r="G97" s="5">
        <v>46091.46802083333</v>
      </c>
      <c r="H97" s="3" t="s">
        <v>14</v>
      </c>
      <c r="I97" s="3">
        <v>0.0</v>
      </c>
      <c r="J97" s="3" t="s">
        <v>15</v>
      </c>
    </row>
    <row r="98">
      <c r="C98" s="3" t="s">
        <v>17</v>
      </c>
      <c r="D98" s="3">
        <v>4979.0</v>
      </c>
      <c r="E98" s="3" t="s">
        <v>145</v>
      </c>
      <c r="F98" s="5">
        <v>46091.76844907407</v>
      </c>
      <c r="G98" s="5">
        <v>46091.46834490741</v>
      </c>
      <c r="H98" s="3" t="s">
        <v>14</v>
      </c>
      <c r="I98" s="7">
        <v>0.0</v>
      </c>
      <c r="J98" s="3" t="s">
        <v>15</v>
      </c>
    </row>
    <row r="99">
      <c r="C99" s="3" t="s">
        <v>21</v>
      </c>
      <c r="D99" s="3">
        <v>4979.0</v>
      </c>
      <c r="E99" s="3" t="s">
        <v>145</v>
      </c>
      <c r="F99" s="5">
        <v>46091.47638888889</v>
      </c>
      <c r="G99" s="5">
        <v>46091.468564814815</v>
      </c>
      <c r="H99" s="3" t="s">
        <v>14</v>
      </c>
      <c r="I99" s="7">
        <v>0.0</v>
      </c>
      <c r="J99" s="3" t="s">
        <v>15</v>
      </c>
    </row>
    <row r="100">
      <c r="C100" s="3" t="s">
        <v>24</v>
      </c>
      <c r="D100" s="3">
        <v>4979.0</v>
      </c>
      <c r="E100" s="3" t="s">
        <v>145</v>
      </c>
      <c r="F100" s="5">
        <v>46092.47638888889</v>
      </c>
      <c r="G100" s="5">
        <v>46091.46864583333</v>
      </c>
      <c r="H100" s="3" t="s">
        <v>14</v>
      </c>
      <c r="I100" s="7">
        <v>0.0</v>
      </c>
      <c r="J100" s="3" t="s">
        <v>15</v>
      </c>
    </row>
    <row r="101">
      <c r="C101" s="3" t="s">
        <v>26</v>
      </c>
      <c r="D101" s="3">
        <v>4979.0</v>
      </c>
      <c r="E101" s="3" t="s">
        <v>145</v>
      </c>
      <c r="F101" s="5">
        <v>46092.518055555556</v>
      </c>
      <c r="G101" s="5">
        <v>46091.46869212963</v>
      </c>
      <c r="H101" s="3" t="s">
        <v>14</v>
      </c>
      <c r="I101" s="7">
        <v>0.0</v>
      </c>
      <c r="J101" s="3" t="s">
        <v>15</v>
      </c>
    </row>
    <row r="102">
      <c r="C102" s="3" t="s">
        <v>10</v>
      </c>
      <c r="D102" s="3">
        <v>4980.0</v>
      </c>
      <c r="E102" s="3" t="s">
        <v>154</v>
      </c>
      <c r="F102" s="5">
        <v>46091.78534722222</v>
      </c>
      <c r="G102" s="5">
        <v>46091.62577546296</v>
      </c>
      <c r="H102" s="3" t="s">
        <v>14</v>
      </c>
      <c r="I102" s="3">
        <v>0.0</v>
      </c>
      <c r="J102" s="3" t="s">
        <v>61</v>
      </c>
    </row>
    <row r="103">
      <c r="C103" s="3" t="s">
        <v>17</v>
      </c>
      <c r="D103" s="3">
        <v>4980.0</v>
      </c>
      <c r="E103" s="3" t="s">
        <v>154</v>
      </c>
      <c r="F103" s="5">
        <v>46091.792291666665</v>
      </c>
      <c r="G103" s="5">
        <v>46091.6258912037</v>
      </c>
      <c r="H103" s="3" t="s">
        <v>14</v>
      </c>
      <c r="I103" s="7">
        <v>0.0</v>
      </c>
      <c r="J103" s="3" t="s">
        <v>61</v>
      </c>
    </row>
    <row r="104">
      <c r="C104" s="3" t="s">
        <v>21</v>
      </c>
      <c r="D104" s="3">
        <v>4980.0</v>
      </c>
      <c r="E104" s="3" t="s">
        <v>154</v>
      </c>
      <c r="F104" s="5">
        <v>46092.458333333336</v>
      </c>
      <c r="G104" s="5">
        <v>46091.77643518519</v>
      </c>
      <c r="H104" s="3" t="s">
        <v>14</v>
      </c>
      <c r="I104" s="7">
        <v>0.0</v>
      </c>
      <c r="J104" s="3" t="s">
        <v>61</v>
      </c>
    </row>
    <row r="105">
      <c r="C105" s="3" t="s">
        <v>24</v>
      </c>
      <c r="D105" s="3">
        <v>4980.0</v>
      </c>
      <c r="E105" s="3" t="s">
        <v>154</v>
      </c>
      <c r="F105" s="5">
        <v>46093.458333333336</v>
      </c>
      <c r="G105" s="5">
        <v>46092.416284722225</v>
      </c>
      <c r="H105" s="3" t="s">
        <v>14</v>
      </c>
      <c r="I105" s="7">
        <v>0.0</v>
      </c>
      <c r="J105" s="3" t="s">
        <v>61</v>
      </c>
    </row>
    <row r="106">
      <c r="C106" s="3" t="s">
        <v>26</v>
      </c>
      <c r="D106" s="3">
        <v>4980.0</v>
      </c>
      <c r="E106" s="3" t="s">
        <v>154</v>
      </c>
      <c r="F106" s="5">
        <v>46093.5</v>
      </c>
      <c r="G106" s="5">
        <v>46092.41633101852</v>
      </c>
      <c r="H106" s="3" t="s">
        <v>14</v>
      </c>
      <c r="I106" s="7">
        <v>0.0</v>
      </c>
      <c r="J106" s="3" t="s">
        <v>61</v>
      </c>
    </row>
    <row r="107">
      <c r="C107" s="3" t="s">
        <v>10</v>
      </c>
      <c r="D107" s="3">
        <v>4981.0</v>
      </c>
      <c r="E107" s="3" t="s">
        <v>158</v>
      </c>
      <c r="F107" s="5">
        <v>46091.78946759259</v>
      </c>
      <c r="G107" s="5">
        <v>46091.625752314816</v>
      </c>
      <c r="H107" s="3" t="s">
        <v>14</v>
      </c>
      <c r="I107" s="3">
        <v>0.0</v>
      </c>
      <c r="J107" s="3" t="s">
        <v>15</v>
      </c>
    </row>
    <row r="108">
      <c r="C108" s="3" t="s">
        <v>17</v>
      </c>
      <c r="D108" s="3">
        <v>4981.0</v>
      </c>
      <c r="E108" s="3" t="s">
        <v>158</v>
      </c>
      <c r="F108" s="5">
        <v>46091.79641203704</v>
      </c>
      <c r="G108" s="5">
        <v>46091.6259375</v>
      </c>
      <c r="H108" s="3" t="s">
        <v>14</v>
      </c>
      <c r="I108" s="7">
        <v>0.0</v>
      </c>
      <c r="J108" s="3" t="s">
        <v>15</v>
      </c>
    </row>
    <row r="109">
      <c r="C109" s="3" t="s">
        <v>21</v>
      </c>
      <c r="D109" s="3">
        <v>4981.0</v>
      </c>
      <c r="E109" s="3" t="s">
        <v>158</v>
      </c>
      <c r="F109" s="5">
        <v>46092.4625</v>
      </c>
      <c r="G109" s="5">
        <v>46091.77626157407</v>
      </c>
      <c r="H109" s="3" t="s">
        <v>14</v>
      </c>
      <c r="I109" s="7">
        <v>0.0</v>
      </c>
      <c r="J109" s="3" t="s">
        <v>15</v>
      </c>
    </row>
    <row r="110">
      <c r="C110" s="3" t="s">
        <v>24</v>
      </c>
      <c r="D110" s="3">
        <v>4981.0</v>
      </c>
      <c r="E110" s="3" t="s">
        <v>158</v>
      </c>
      <c r="F110" s="5">
        <v>46093.4625</v>
      </c>
      <c r="G110" s="5">
        <v>46091.77631944444</v>
      </c>
      <c r="H110" s="3" t="s">
        <v>14</v>
      </c>
      <c r="I110" s="7">
        <v>0.0</v>
      </c>
      <c r="J110" s="3" t="s">
        <v>15</v>
      </c>
    </row>
    <row r="111">
      <c r="C111" s="3" t="s">
        <v>26</v>
      </c>
      <c r="D111" s="3">
        <v>4981.0</v>
      </c>
      <c r="E111" s="3" t="s">
        <v>158</v>
      </c>
      <c r="F111" s="5">
        <v>46093.504166666666</v>
      </c>
      <c r="G111" s="5">
        <v>46091.776342592595</v>
      </c>
      <c r="H111" s="3" t="s">
        <v>14</v>
      </c>
      <c r="I111" s="7">
        <v>0.0</v>
      </c>
      <c r="J111" s="3" t="s">
        <v>15</v>
      </c>
    </row>
    <row r="112">
      <c r="C112" s="3" t="s">
        <v>10</v>
      </c>
      <c r="D112" s="3">
        <v>4982.0</v>
      </c>
      <c r="E112" s="3" t="s">
        <v>166</v>
      </c>
      <c r="F112" s="5">
        <v>46092.48819444444</v>
      </c>
      <c r="G112" s="5">
        <v>46091.77605324074</v>
      </c>
      <c r="H112" s="3" t="s">
        <v>14</v>
      </c>
      <c r="I112" s="3">
        <v>0.0</v>
      </c>
      <c r="J112" s="3" t="s">
        <v>15</v>
      </c>
    </row>
    <row r="113">
      <c r="C113" s="3" t="s">
        <v>17</v>
      </c>
      <c r="D113" s="3">
        <v>4982.0</v>
      </c>
      <c r="E113" s="3" t="s">
        <v>166</v>
      </c>
      <c r="F113" s="5">
        <v>46092.49513888889</v>
      </c>
      <c r="G113" s="5">
        <v>46091.77615740741</v>
      </c>
      <c r="H113" s="3" t="s">
        <v>14</v>
      </c>
      <c r="I113" s="7">
        <v>0.0</v>
      </c>
      <c r="J113" s="3" t="s">
        <v>15</v>
      </c>
    </row>
    <row r="114">
      <c r="C114" s="3" t="s">
        <v>21</v>
      </c>
      <c r="D114" s="3">
        <v>4982.0</v>
      </c>
      <c r="E114" s="3" t="s">
        <v>166</v>
      </c>
      <c r="F114" s="5">
        <v>46092.59930555556</v>
      </c>
      <c r="G114" s="5">
        <v>46092.43224537037</v>
      </c>
      <c r="H114" s="3" t="s">
        <v>14</v>
      </c>
      <c r="I114" s="7">
        <v>0.0</v>
      </c>
      <c r="J114" s="3" t="s">
        <v>15</v>
      </c>
    </row>
    <row r="115">
      <c r="C115" s="3" t="s">
        <v>24</v>
      </c>
      <c r="D115" s="3">
        <v>4982.0</v>
      </c>
      <c r="E115" s="3" t="s">
        <v>166</v>
      </c>
      <c r="F115" s="5">
        <v>46093.59930555556</v>
      </c>
      <c r="G115" s="5">
        <v>46092.59758101852</v>
      </c>
      <c r="H115" s="3" t="s">
        <v>14</v>
      </c>
      <c r="I115" s="7">
        <v>0.0</v>
      </c>
      <c r="J115" s="3" t="s">
        <v>15</v>
      </c>
    </row>
    <row r="116">
      <c r="C116" s="3" t="s">
        <v>26</v>
      </c>
      <c r="D116" s="3">
        <v>4982.0</v>
      </c>
      <c r="E116" s="3" t="s">
        <v>166</v>
      </c>
      <c r="F116" s="5">
        <v>46093.64097222222</v>
      </c>
      <c r="G116" s="5">
        <v>46092.597650462965</v>
      </c>
      <c r="H116" s="3" t="s">
        <v>14</v>
      </c>
      <c r="I116" s="7">
        <v>0.0</v>
      </c>
      <c r="J116" s="3" t="s">
        <v>15</v>
      </c>
    </row>
    <row r="117">
      <c r="C117" s="3" t="s">
        <v>10</v>
      </c>
      <c r="D117" s="3">
        <v>4983.0</v>
      </c>
      <c r="E117" s="3">
        <v>3152.0</v>
      </c>
      <c r="F117" s="5">
        <v>46092.5625</v>
      </c>
      <c r="G117" s="5">
        <v>46092.43209490741</v>
      </c>
      <c r="H117" s="3" t="s">
        <v>14</v>
      </c>
      <c r="I117" s="3">
        <v>0.0</v>
      </c>
      <c r="J117" s="3" t="s">
        <v>72</v>
      </c>
    </row>
    <row r="118">
      <c r="C118" s="3" t="s">
        <v>17</v>
      </c>
      <c r="D118" s="3">
        <v>4983.0</v>
      </c>
      <c r="E118" s="3">
        <v>3152.0</v>
      </c>
      <c r="F118" s="5">
        <v>46092.569444444445</v>
      </c>
      <c r="G118" s="5">
        <v>46092.43216435185</v>
      </c>
      <c r="H118" s="3" t="s">
        <v>14</v>
      </c>
      <c r="I118" s="7">
        <v>0.0</v>
      </c>
      <c r="J118" s="3" t="s">
        <v>72</v>
      </c>
    </row>
    <row r="119">
      <c r="C119" s="3" t="s">
        <v>21</v>
      </c>
      <c r="D119" s="3">
        <v>4983.0</v>
      </c>
      <c r="E119" s="3">
        <v>3152.0</v>
      </c>
      <c r="F119" s="5">
        <v>46092.67361111111</v>
      </c>
      <c r="G119" s="5">
        <v>46092.43221064815</v>
      </c>
      <c r="H119" s="3" t="s">
        <v>14</v>
      </c>
      <c r="I119" s="7">
        <v>0.0</v>
      </c>
      <c r="J119" s="3" t="s">
        <v>72</v>
      </c>
    </row>
    <row r="120">
      <c r="C120" s="3" t="s">
        <v>24</v>
      </c>
      <c r="D120" s="3">
        <v>4983.0</v>
      </c>
      <c r="E120" s="3">
        <v>3152.0</v>
      </c>
      <c r="F120" s="5">
        <v>46093.67361111111</v>
      </c>
      <c r="G120" s="5">
        <v>46092.43226851852</v>
      </c>
      <c r="H120" s="3" t="s">
        <v>14</v>
      </c>
      <c r="I120" s="7">
        <v>0.0</v>
      </c>
      <c r="J120" s="3" t="s">
        <v>72</v>
      </c>
    </row>
    <row r="121">
      <c r="C121" s="3" t="s">
        <v>26</v>
      </c>
      <c r="D121" s="3">
        <v>4983.0</v>
      </c>
      <c r="E121" s="3">
        <v>3152.0</v>
      </c>
      <c r="F121" s="5">
        <v>46093.71527777778</v>
      </c>
      <c r="G121" s="5">
        <v>46093.42423611111</v>
      </c>
      <c r="H121" s="3" t="s">
        <v>14</v>
      </c>
      <c r="I121" s="7">
        <v>0.0</v>
      </c>
      <c r="J121" s="3" t="s">
        <v>72</v>
      </c>
    </row>
    <row r="122">
      <c r="C122" s="3" t="s">
        <v>10</v>
      </c>
      <c r="D122" s="3">
        <v>4984.0</v>
      </c>
      <c r="E122" s="3" t="s">
        <v>178</v>
      </c>
      <c r="F122" s="5">
        <v>46092.80049768519</v>
      </c>
      <c r="G122" s="5">
        <v>46092.74086805555</v>
      </c>
      <c r="H122" s="3" t="s">
        <v>14</v>
      </c>
      <c r="I122" s="3">
        <v>0.0</v>
      </c>
      <c r="J122" s="3" t="s">
        <v>15</v>
      </c>
    </row>
    <row r="123">
      <c r="C123" s="3" t="s">
        <v>17</v>
      </c>
      <c r="D123" s="3">
        <v>4984.0</v>
      </c>
      <c r="E123" s="3" t="s">
        <v>178</v>
      </c>
      <c r="F123" s="5">
        <v>46092.807442129626</v>
      </c>
      <c r="G123" s="5">
        <v>46092.7409837963</v>
      </c>
      <c r="H123" s="3" t="s">
        <v>14</v>
      </c>
      <c r="I123" s="7">
        <v>0.0</v>
      </c>
      <c r="J123" s="3" t="s">
        <v>15</v>
      </c>
    </row>
    <row r="124">
      <c r="C124" s="3" t="s">
        <v>21</v>
      </c>
      <c r="D124" s="3">
        <v>4984.0</v>
      </c>
      <c r="E124" s="3" t="s">
        <v>178</v>
      </c>
      <c r="F124" s="5">
        <v>46093.47361111111</v>
      </c>
      <c r="G124" s="5">
        <v>46092.741064814814</v>
      </c>
      <c r="H124" s="3" t="s">
        <v>14</v>
      </c>
      <c r="I124" s="7">
        <v>0.0</v>
      </c>
      <c r="J124" s="3" t="s">
        <v>15</v>
      </c>
    </row>
    <row r="125">
      <c r="C125" s="3" t="s">
        <v>24</v>
      </c>
      <c r="D125" s="3">
        <v>4984.0</v>
      </c>
      <c r="E125" s="3" t="s">
        <v>178</v>
      </c>
      <c r="F125" s="5">
        <v>46094.47361111111</v>
      </c>
      <c r="G125" s="5">
        <v>46092.76840277778</v>
      </c>
      <c r="H125" s="3" t="s">
        <v>14</v>
      </c>
      <c r="I125" s="7">
        <v>0.0</v>
      </c>
      <c r="J125" s="3" t="s">
        <v>15</v>
      </c>
    </row>
    <row r="126">
      <c r="C126" s="3" t="s">
        <v>26</v>
      </c>
      <c r="D126" s="3">
        <v>4984.0</v>
      </c>
      <c r="E126" s="3" t="s">
        <v>178</v>
      </c>
      <c r="F126" s="5">
        <v>46094.51527777778</v>
      </c>
      <c r="G126" s="5">
        <v>46092.7684375</v>
      </c>
      <c r="H126" s="3" t="s">
        <v>14</v>
      </c>
      <c r="I126" s="7">
        <v>0.0</v>
      </c>
      <c r="J126" s="3" t="s">
        <v>15</v>
      </c>
    </row>
    <row r="127">
      <c r="C127" s="3" t="s">
        <v>10</v>
      </c>
      <c r="D127" s="3">
        <v>4985.0</v>
      </c>
      <c r="E127" s="3" t="s">
        <v>193</v>
      </c>
      <c r="F127" s="5">
        <v>46093.61638888889</v>
      </c>
      <c r="G127" s="5">
        <v>46093.52087962963</v>
      </c>
      <c r="H127" s="3" t="s">
        <v>14</v>
      </c>
      <c r="I127" s="3">
        <v>0.0</v>
      </c>
      <c r="J127" s="3" t="s">
        <v>61</v>
      </c>
    </row>
    <row r="128">
      <c r="C128" s="3" t="s">
        <v>17</v>
      </c>
      <c r="D128" s="3">
        <v>4985.0</v>
      </c>
      <c r="E128" s="3" t="s">
        <v>193</v>
      </c>
      <c r="F128" s="5">
        <v>46093.62333333334</v>
      </c>
      <c r="G128" s="5">
        <v>46093.545</v>
      </c>
      <c r="H128" s="3" t="s">
        <v>14</v>
      </c>
      <c r="I128" s="7">
        <v>0.0</v>
      </c>
      <c r="J128" s="3" t="s">
        <v>61</v>
      </c>
    </row>
    <row r="129">
      <c r="C129" s="3" t="s">
        <v>21</v>
      </c>
      <c r="D129" s="3">
        <v>4985.0</v>
      </c>
      <c r="E129" s="3" t="s">
        <v>193</v>
      </c>
      <c r="F129" s="5">
        <v>46093.7275</v>
      </c>
      <c r="G129" s="5">
        <v>46093.545115740744</v>
      </c>
      <c r="H129" s="3" t="s">
        <v>14</v>
      </c>
      <c r="I129" s="7">
        <v>0.0</v>
      </c>
      <c r="J129" s="3" t="s">
        <v>61</v>
      </c>
    </row>
    <row r="130">
      <c r="C130" s="3" t="s">
        <v>24</v>
      </c>
      <c r="D130" s="3">
        <v>4985.0</v>
      </c>
      <c r="E130" s="3" t="s">
        <v>193</v>
      </c>
      <c r="F130" s="5">
        <v>46094.72708333333</v>
      </c>
      <c r="G130" s="5">
        <v>46094.43350694444</v>
      </c>
      <c r="H130" s="3" t="s">
        <v>14</v>
      </c>
      <c r="I130" s="7">
        <v>0.0</v>
      </c>
      <c r="J130" s="3" t="s">
        <v>61</v>
      </c>
    </row>
    <row r="131">
      <c r="C131" s="3" t="s">
        <v>26</v>
      </c>
      <c r="D131" s="3">
        <v>4985.0</v>
      </c>
      <c r="E131" s="3" t="s">
        <v>193</v>
      </c>
      <c r="F131" s="5">
        <v>46094.76875</v>
      </c>
      <c r="G131" s="5">
        <v>46094.50879629629</v>
      </c>
      <c r="H131" s="3" t="s">
        <v>14</v>
      </c>
      <c r="I131" s="7">
        <v>0.0</v>
      </c>
      <c r="J131" s="3" t="s">
        <v>61</v>
      </c>
    </row>
    <row r="132">
      <c r="C132" s="3" t="s">
        <v>10</v>
      </c>
      <c r="D132" s="3">
        <v>4986.0</v>
      </c>
      <c r="E132" s="3" t="s">
        <v>202</v>
      </c>
      <c r="F132" s="5">
        <v>46093.61719907408</v>
      </c>
      <c r="G132" s="5">
        <v>46093.52091435185</v>
      </c>
      <c r="H132" s="3" t="s">
        <v>14</v>
      </c>
      <c r="I132" s="3">
        <v>0.0</v>
      </c>
      <c r="J132" s="3" t="s">
        <v>72</v>
      </c>
    </row>
    <row r="133">
      <c r="C133" s="3" t="s">
        <v>17</v>
      </c>
      <c r="D133" s="3">
        <v>4986.0</v>
      </c>
      <c r="E133" s="3" t="s">
        <v>202</v>
      </c>
      <c r="F133" s="5">
        <v>46093.62414351852</v>
      </c>
      <c r="G133" s="5">
        <v>46093.545</v>
      </c>
      <c r="H133" s="3" t="s">
        <v>14</v>
      </c>
      <c r="I133" s="7">
        <v>0.0</v>
      </c>
      <c r="J133" s="3" t="s">
        <v>72</v>
      </c>
    </row>
    <row r="134">
      <c r="C134" s="3" t="s">
        <v>21</v>
      </c>
      <c r="D134" s="3">
        <v>4986.0</v>
      </c>
      <c r="E134" s="3" t="s">
        <v>202</v>
      </c>
      <c r="F134" s="5">
        <v>46093.728310185186</v>
      </c>
      <c r="G134" s="5">
        <v>46093.545115740744</v>
      </c>
      <c r="H134" s="3" t="s">
        <v>14</v>
      </c>
      <c r="I134" s="7">
        <v>0.0</v>
      </c>
      <c r="J134" s="3" t="s">
        <v>72</v>
      </c>
    </row>
    <row r="135">
      <c r="C135" s="3" t="s">
        <v>24</v>
      </c>
      <c r="D135" s="3">
        <v>4986.0</v>
      </c>
      <c r="E135" s="3" t="s">
        <v>202</v>
      </c>
      <c r="F135" s="5">
        <v>46094.72777777778</v>
      </c>
      <c r="G135" s="5">
        <v>46094.43351851852</v>
      </c>
      <c r="H135" s="3" t="s">
        <v>14</v>
      </c>
      <c r="I135" s="7">
        <v>0.0</v>
      </c>
      <c r="J135" s="3" t="s">
        <v>72</v>
      </c>
    </row>
    <row r="136">
      <c r="C136" s="3" t="s">
        <v>26</v>
      </c>
      <c r="D136" s="3">
        <v>4986.0</v>
      </c>
      <c r="E136" s="3" t="s">
        <v>202</v>
      </c>
      <c r="F136" s="5">
        <v>46094.76944444444</v>
      </c>
      <c r="G136" s="5">
        <v>46094.50880787037</v>
      </c>
      <c r="H136" s="3" t="s">
        <v>14</v>
      </c>
      <c r="I136" s="7">
        <v>0.0</v>
      </c>
      <c r="J136" s="3" t="s">
        <v>72</v>
      </c>
    </row>
    <row r="137">
      <c r="C137" s="3" t="s">
        <v>10</v>
      </c>
      <c r="D137" s="3">
        <v>4987.0</v>
      </c>
      <c r="E137" s="3" t="s">
        <v>210</v>
      </c>
      <c r="F137" s="5">
        <v>46093.61785879629</v>
      </c>
      <c r="G137" s="5">
        <v>46093.52092592593</v>
      </c>
      <c r="H137" s="3" t="s">
        <v>14</v>
      </c>
      <c r="I137" s="3">
        <v>0.0</v>
      </c>
      <c r="J137" s="3" t="s">
        <v>72</v>
      </c>
    </row>
    <row r="138">
      <c r="C138" s="3" t="s">
        <v>17</v>
      </c>
      <c r="D138" s="3">
        <v>4987.0</v>
      </c>
      <c r="E138" s="3" t="s">
        <v>210</v>
      </c>
      <c r="F138" s="5">
        <v>46093.62480324074</v>
      </c>
      <c r="G138" s="5">
        <v>46093.545</v>
      </c>
      <c r="H138" s="3" t="s">
        <v>14</v>
      </c>
      <c r="I138" s="7">
        <v>0.0</v>
      </c>
      <c r="J138" s="3" t="s">
        <v>72</v>
      </c>
    </row>
    <row r="139">
      <c r="C139" s="3" t="s">
        <v>21</v>
      </c>
      <c r="D139" s="3">
        <v>4987.0</v>
      </c>
      <c r="E139" s="3" t="s">
        <v>210</v>
      </c>
      <c r="F139" s="5">
        <v>46093.72896990741</v>
      </c>
      <c r="G139" s="5">
        <v>46093.545115740744</v>
      </c>
      <c r="H139" s="3" t="s">
        <v>14</v>
      </c>
      <c r="I139" s="7">
        <v>0.0</v>
      </c>
      <c r="J139" s="3" t="s">
        <v>72</v>
      </c>
    </row>
    <row r="140">
      <c r="C140" s="3" t="s">
        <v>24</v>
      </c>
      <c r="D140" s="3">
        <v>4987.0</v>
      </c>
      <c r="E140" s="3" t="s">
        <v>210</v>
      </c>
      <c r="F140" s="5">
        <v>46094.728472222225</v>
      </c>
      <c r="G140" s="5">
        <v>46094.433530092596</v>
      </c>
      <c r="H140" s="3" t="s">
        <v>14</v>
      </c>
      <c r="I140" s="7">
        <v>0.0</v>
      </c>
      <c r="J140" s="3" t="s">
        <v>72</v>
      </c>
    </row>
    <row r="141">
      <c r="C141" s="3" t="s">
        <v>26</v>
      </c>
      <c r="D141" s="3">
        <v>4987.0</v>
      </c>
      <c r="E141" s="3" t="s">
        <v>210</v>
      </c>
      <c r="F141" s="5">
        <v>46094.77013888889</v>
      </c>
      <c r="G141" s="5">
        <v>46094.50880787037</v>
      </c>
      <c r="H141" s="3" t="s">
        <v>14</v>
      </c>
      <c r="I141" s="7">
        <v>0.0</v>
      </c>
      <c r="J141" s="3" t="s">
        <v>72</v>
      </c>
    </row>
    <row r="142">
      <c r="C142" s="3" t="s">
        <v>10</v>
      </c>
      <c r="D142" s="3">
        <v>4988.0</v>
      </c>
      <c r="E142" s="3" t="s">
        <v>219</v>
      </c>
      <c r="F142" s="5">
        <v>46093.61853009259</v>
      </c>
      <c r="G142" s="5">
        <v>46093.520949074074</v>
      </c>
      <c r="H142" s="3" t="s">
        <v>14</v>
      </c>
      <c r="I142" s="3">
        <v>0.0</v>
      </c>
      <c r="J142" s="3" t="s">
        <v>72</v>
      </c>
    </row>
    <row r="143">
      <c r="C143" s="3" t="s">
        <v>17</v>
      </c>
      <c r="D143" s="3">
        <v>4988.0</v>
      </c>
      <c r="E143" s="3" t="s">
        <v>219</v>
      </c>
      <c r="F143" s="5">
        <v>46093.62547453704</v>
      </c>
      <c r="G143" s="5">
        <v>46093.545</v>
      </c>
      <c r="H143" s="3" t="s">
        <v>14</v>
      </c>
      <c r="I143" s="7">
        <v>0.0</v>
      </c>
      <c r="J143" s="3" t="s">
        <v>72</v>
      </c>
    </row>
    <row r="144">
      <c r="C144" s="3" t="s">
        <v>21</v>
      </c>
      <c r="D144" s="3">
        <v>4988.0</v>
      </c>
      <c r="E144" s="3" t="s">
        <v>219</v>
      </c>
      <c r="F144" s="5">
        <v>46093.7296412037</v>
      </c>
      <c r="G144" s="5">
        <v>46093.54517361111</v>
      </c>
      <c r="H144" s="3" t="s">
        <v>14</v>
      </c>
      <c r="I144" s="7">
        <v>0.0</v>
      </c>
      <c r="J144" s="3" t="s">
        <v>72</v>
      </c>
    </row>
    <row r="145">
      <c r="C145" s="3" t="s">
        <v>24</v>
      </c>
      <c r="D145" s="3">
        <v>4988.0</v>
      </c>
      <c r="E145" s="3" t="s">
        <v>219</v>
      </c>
      <c r="F145" s="5">
        <v>46094.729166666664</v>
      </c>
      <c r="G145" s="5">
        <v>46094.43355324074</v>
      </c>
      <c r="H145" s="3" t="s">
        <v>14</v>
      </c>
      <c r="I145" s="7">
        <v>0.0</v>
      </c>
      <c r="J145" s="3" t="s">
        <v>72</v>
      </c>
    </row>
    <row r="146">
      <c r="C146" s="3" t="s">
        <v>26</v>
      </c>
      <c r="D146" s="3">
        <v>4988.0</v>
      </c>
      <c r="E146" s="3" t="s">
        <v>219</v>
      </c>
      <c r="F146" s="5">
        <v>46094.770833333336</v>
      </c>
      <c r="G146" s="5">
        <v>46094.50881944445</v>
      </c>
      <c r="H146" s="3" t="s">
        <v>14</v>
      </c>
      <c r="I146" s="7">
        <v>0.0</v>
      </c>
      <c r="J146" s="3" t="s">
        <v>72</v>
      </c>
    </row>
    <row r="147">
      <c r="C147" s="3" t="s">
        <v>10</v>
      </c>
      <c r="D147" s="3">
        <v>4989.0</v>
      </c>
      <c r="E147" s="3" t="s">
        <v>230</v>
      </c>
      <c r="F147" s="5">
        <v>46093.6869212963</v>
      </c>
      <c r="G147" s="5">
        <v>46093.52108796296</v>
      </c>
      <c r="H147" s="3" t="s">
        <v>14</v>
      </c>
      <c r="I147" s="3">
        <v>0.0</v>
      </c>
      <c r="J147" s="3" t="s">
        <v>72</v>
      </c>
    </row>
    <row r="148">
      <c r="C148" s="3" t="s">
        <v>17</v>
      </c>
      <c r="D148" s="3">
        <v>4989.0</v>
      </c>
      <c r="E148" s="3" t="s">
        <v>230</v>
      </c>
      <c r="F148" s="5">
        <v>46093.69386574074</v>
      </c>
      <c r="G148" s="5">
        <v>46093.545011574075</v>
      </c>
      <c r="H148" s="3" t="s">
        <v>14</v>
      </c>
      <c r="I148" s="7">
        <v>0.0</v>
      </c>
      <c r="J148" s="3" t="s">
        <v>72</v>
      </c>
    </row>
    <row r="149">
      <c r="C149" s="3" t="s">
        <v>21</v>
      </c>
      <c r="D149" s="3">
        <v>4989.0</v>
      </c>
      <c r="E149" s="3" t="s">
        <v>230</v>
      </c>
      <c r="F149" s="5">
        <v>46093.79803240741</v>
      </c>
      <c r="G149" s="5">
        <v>46093.54515046296</v>
      </c>
      <c r="H149" s="3" t="s">
        <v>14</v>
      </c>
      <c r="I149" s="7">
        <v>0.0</v>
      </c>
      <c r="J149" s="3" t="s">
        <v>72</v>
      </c>
    </row>
    <row r="150">
      <c r="C150" s="3" t="s">
        <v>24</v>
      </c>
      <c r="D150" s="3">
        <v>4989.0</v>
      </c>
      <c r="E150" s="3" t="s">
        <v>230</v>
      </c>
      <c r="F150" s="5">
        <v>46094.79791666667</v>
      </c>
      <c r="G150" s="5">
        <v>46094.43355324074</v>
      </c>
      <c r="H150" s="3" t="s">
        <v>14</v>
      </c>
      <c r="I150" s="7">
        <v>0.0</v>
      </c>
      <c r="J150" s="3" t="s">
        <v>72</v>
      </c>
    </row>
    <row r="151">
      <c r="C151" s="3" t="s">
        <v>26</v>
      </c>
      <c r="D151" s="3">
        <v>4989.0</v>
      </c>
      <c r="E151" s="3" t="s">
        <v>230</v>
      </c>
      <c r="F151" s="5">
        <v>46095.42291666667</v>
      </c>
      <c r="G151" s="5">
        <v>46094.635613425926</v>
      </c>
      <c r="H151" s="3" t="s">
        <v>14</v>
      </c>
      <c r="I151" s="7">
        <v>0.0</v>
      </c>
      <c r="J151" s="3" t="s">
        <v>72</v>
      </c>
    </row>
    <row r="152">
      <c r="C152" s="3" t="s">
        <v>10</v>
      </c>
      <c r="D152" s="3">
        <v>4990.0</v>
      </c>
      <c r="E152" s="3" t="s">
        <v>236</v>
      </c>
      <c r="F152" s="5">
        <v>46093.720983796295</v>
      </c>
      <c r="G152" s="5">
        <v>46093.58230324074</v>
      </c>
      <c r="H152" s="3" t="s">
        <v>14</v>
      </c>
      <c r="I152" s="3">
        <v>0.0</v>
      </c>
      <c r="J152" s="3" t="s">
        <v>61</v>
      </c>
    </row>
    <row r="153">
      <c r="C153" s="3" t="s">
        <v>17</v>
      </c>
      <c r="D153" s="3">
        <v>4990.0</v>
      </c>
      <c r="E153" s="3" t="s">
        <v>236</v>
      </c>
      <c r="F153" s="5">
        <v>46093.72792824074</v>
      </c>
      <c r="G153" s="5">
        <v>46093.582395833335</v>
      </c>
      <c r="H153" s="3" t="s">
        <v>14</v>
      </c>
      <c r="I153" s="7">
        <v>0.0</v>
      </c>
      <c r="J153" s="3" t="s">
        <v>61</v>
      </c>
    </row>
    <row r="154">
      <c r="C154" s="3" t="s">
        <v>21</v>
      </c>
      <c r="D154" s="3">
        <v>4990.0</v>
      </c>
      <c r="E154" s="3" t="s">
        <v>236</v>
      </c>
      <c r="F154" s="5">
        <v>46093.832094907404</v>
      </c>
      <c r="G154" s="5">
        <v>46093.68939814815</v>
      </c>
      <c r="H154" s="3" t="s">
        <v>14</v>
      </c>
      <c r="I154" s="7">
        <v>0.0</v>
      </c>
      <c r="J154" s="3" t="s">
        <v>61</v>
      </c>
    </row>
    <row r="155">
      <c r="C155" s="3" t="s">
        <v>24</v>
      </c>
      <c r="D155" s="3">
        <v>4990.0</v>
      </c>
      <c r="E155" s="3" t="s">
        <v>236</v>
      </c>
      <c r="F155" s="5">
        <v>46094.83194444444</v>
      </c>
      <c r="G155" s="5">
        <v>46093.68943287037</v>
      </c>
      <c r="H155" s="3" t="s">
        <v>14</v>
      </c>
      <c r="I155" s="7">
        <v>0.0</v>
      </c>
      <c r="J155" s="3" t="s">
        <v>61</v>
      </c>
    </row>
    <row r="156">
      <c r="C156" s="3" t="s">
        <v>26</v>
      </c>
      <c r="D156" s="3">
        <v>4990.0</v>
      </c>
      <c r="E156" s="3" t="s">
        <v>236</v>
      </c>
      <c r="F156" s="5">
        <v>46095.45694444444</v>
      </c>
      <c r="G156" s="5">
        <v>46093.76228009259</v>
      </c>
      <c r="H156" s="3" t="s">
        <v>14</v>
      </c>
      <c r="I156" s="7">
        <v>0.0</v>
      </c>
      <c r="J156" s="3" t="s">
        <v>61</v>
      </c>
    </row>
    <row r="157">
      <c r="C157" s="3" t="s">
        <v>10</v>
      </c>
      <c r="D157" s="3">
        <v>4991.0</v>
      </c>
      <c r="E157" s="3" t="s">
        <v>244</v>
      </c>
      <c r="F157" s="5">
        <v>46093.73579861111</v>
      </c>
      <c r="G157" s="5">
        <v>46093.58232638889</v>
      </c>
      <c r="H157" s="3" t="s">
        <v>14</v>
      </c>
      <c r="I157" s="3">
        <v>0.0</v>
      </c>
      <c r="J157" s="3" t="s">
        <v>15</v>
      </c>
    </row>
    <row r="158">
      <c r="C158" s="3" t="s">
        <v>17</v>
      </c>
      <c r="D158" s="3">
        <v>4991.0</v>
      </c>
      <c r="E158" s="3" t="s">
        <v>244</v>
      </c>
      <c r="F158" s="5">
        <v>46093.742743055554</v>
      </c>
      <c r="G158" s="5">
        <v>46093.582395833335</v>
      </c>
      <c r="H158" s="3" t="s">
        <v>14</v>
      </c>
      <c r="I158" s="7">
        <v>0.0</v>
      </c>
      <c r="J158" s="3" t="s">
        <v>15</v>
      </c>
    </row>
    <row r="159">
      <c r="C159" s="3" t="s">
        <v>21</v>
      </c>
      <c r="D159" s="3">
        <v>4991.0</v>
      </c>
      <c r="E159" s="3" t="s">
        <v>244</v>
      </c>
      <c r="F159" s="5">
        <v>46094.450694444444</v>
      </c>
      <c r="G159" s="5">
        <v>46093.67697916667</v>
      </c>
      <c r="H159" s="3" t="s">
        <v>14</v>
      </c>
      <c r="I159" s="7">
        <v>0.0</v>
      </c>
      <c r="J159" s="3" t="s">
        <v>15</v>
      </c>
    </row>
    <row r="160">
      <c r="C160" s="3" t="s">
        <v>24</v>
      </c>
      <c r="D160" s="3">
        <v>4991.0</v>
      </c>
      <c r="E160" s="3" t="s">
        <v>244</v>
      </c>
      <c r="F160" s="5">
        <v>46095.450694444444</v>
      </c>
      <c r="G160" s="5">
        <v>46093.76215277778</v>
      </c>
      <c r="H160" s="3" t="s">
        <v>14</v>
      </c>
      <c r="I160" s="7">
        <v>0.0</v>
      </c>
      <c r="J160" s="3" t="s">
        <v>15</v>
      </c>
    </row>
    <row r="161">
      <c r="C161" s="3" t="s">
        <v>26</v>
      </c>
      <c r="D161" s="3">
        <v>4991.0</v>
      </c>
      <c r="E161" s="3" t="s">
        <v>244</v>
      </c>
      <c r="F161" s="5">
        <v>46095.49236111111</v>
      </c>
      <c r="G161" s="5">
        <v>46093.76222222222</v>
      </c>
      <c r="H161" s="3" t="s">
        <v>14</v>
      </c>
      <c r="I161" s="7">
        <v>0.0</v>
      </c>
      <c r="J161" s="3" t="s">
        <v>15</v>
      </c>
    </row>
    <row r="162">
      <c r="C162" s="3" t="s">
        <v>10</v>
      </c>
      <c r="D162" s="3">
        <v>4992.0</v>
      </c>
      <c r="E162" s="3" t="s">
        <v>249</v>
      </c>
      <c r="F162" s="5">
        <v>46093.81201388889</v>
      </c>
      <c r="G162" s="5">
        <v>46093.66872685185</v>
      </c>
      <c r="H162" s="3" t="s">
        <v>14</v>
      </c>
      <c r="I162" s="3">
        <v>0.0</v>
      </c>
      <c r="J162" s="3" t="s">
        <v>48</v>
      </c>
    </row>
    <row r="163">
      <c r="C163" s="3" t="s">
        <v>17</v>
      </c>
      <c r="D163" s="3">
        <v>4992.0</v>
      </c>
      <c r="E163" s="3" t="s">
        <v>249</v>
      </c>
      <c r="F163" s="5">
        <v>46093.81895833334</v>
      </c>
      <c r="G163" s="5">
        <v>46093.676886574074</v>
      </c>
      <c r="H163" s="3" t="s">
        <v>14</v>
      </c>
      <c r="I163" s="7">
        <v>0.0</v>
      </c>
      <c r="J163" s="3" t="s">
        <v>48</v>
      </c>
    </row>
    <row r="164">
      <c r="C164" s="3" t="s">
        <v>21</v>
      </c>
      <c r="D164" s="3">
        <v>4992.0</v>
      </c>
      <c r="E164" s="3" t="s">
        <v>249</v>
      </c>
      <c r="F164" s="5">
        <v>46094.527083333334</v>
      </c>
      <c r="G164" s="5">
        <v>46094.45245370371</v>
      </c>
      <c r="H164" s="3" t="s">
        <v>14</v>
      </c>
      <c r="I164" s="7">
        <v>0.0</v>
      </c>
      <c r="J164" s="3" t="s">
        <v>48</v>
      </c>
    </row>
    <row r="165">
      <c r="C165" s="3" t="s">
        <v>24</v>
      </c>
      <c r="D165" s="3">
        <v>4992.0</v>
      </c>
      <c r="E165" s="3" t="s">
        <v>249</v>
      </c>
      <c r="F165" s="5">
        <v>46095.527083333334</v>
      </c>
      <c r="G165" s="5">
        <v>46094.454305555555</v>
      </c>
      <c r="H165" s="3" t="s">
        <v>14</v>
      </c>
      <c r="I165" s="7">
        <v>0.0</v>
      </c>
      <c r="J165" s="3" t="s">
        <v>48</v>
      </c>
    </row>
    <row r="166">
      <c r="C166" s="3" t="s">
        <v>26</v>
      </c>
      <c r="D166" s="3">
        <v>4992.0</v>
      </c>
      <c r="E166" s="3" t="s">
        <v>249</v>
      </c>
      <c r="F166" s="5">
        <v>46095.56875</v>
      </c>
      <c r="G166" s="5">
        <v>46094.45434027778</v>
      </c>
      <c r="H166" s="3" t="s">
        <v>14</v>
      </c>
      <c r="I166" s="7">
        <v>0.0</v>
      </c>
      <c r="J166" s="3" t="s">
        <v>48</v>
      </c>
    </row>
    <row r="167">
      <c r="C167" s="3" t="s">
        <v>10</v>
      </c>
      <c r="D167" s="3">
        <v>4993.0</v>
      </c>
      <c r="E167" s="3">
        <v>3152.0</v>
      </c>
      <c r="F167" s="5">
        <v>46094.47638888889</v>
      </c>
      <c r="G167" s="5">
        <v>46093.749502314815</v>
      </c>
      <c r="H167" s="3" t="s">
        <v>14</v>
      </c>
      <c r="I167" s="3">
        <v>0.0</v>
      </c>
      <c r="J167" s="3" t="s">
        <v>72</v>
      </c>
    </row>
    <row r="168">
      <c r="C168" s="3" t="s">
        <v>17</v>
      </c>
      <c r="D168" s="3">
        <v>4993.0</v>
      </c>
      <c r="E168" s="3">
        <v>3152.0</v>
      </c>
      <c r="F168" s="5">
        <v>46094.48333333333</v>
      </c>
      <c r="G168" s="5">
        <v>46093.74958333333</v>
      </c>
      <c r="H168" s="3" t="s">
        <v>14</v>
      </c>
      <c r="I168" s="7">
        <v>0.0</v>
      </c>
      <c r="J168" s="3" t="s">
        <v>72</v>
      </c>
    </row>
    <row r="169">
      <c r="C169" s="3" t="s">
        <v>21</v>
      </c>
      <c r="D169" s="3">
        <v>4993.0</v>
      </c>
      <c r="E169" s="3">
        <v>3152.0</v>
      </c>
      <c r="F169" s="5">
        <v>46094.5875</v>
      </c>
      <c r="G169" s="5">
        <v>46093.74961805555</v>
      </c>
      <c r="H169" s="3" t="s">
        <v>14</v>
      </c>
      <c r="I169" s="7">
        <v>0.0</v>
      </c>
      <c r="J169" s="3" t="s">
        <v>72</v>
      </c>
    </row>
    <row r="170">
      <c r="C170" s="3" t="s">
        <v>24</v>
      </c>
      <c r="D170" s="3">
        <v>4993.0</v>
      </c>
      <c r="E170" s="3">
        <v>3152.0</v>
      </c>
      <c r="F170" s="5">
        <v>46095.5875</v>
      </c>
      <c r="G170" s="5">
        <v>46093.74965277778</v>
      </c>
      <c r="H170" s="3" t="s">
        <v>14</v>
      </c>
      <c r="I170" s="7">
        <v>0.0</v>
      </c>
      <c r="J170" s="3" t="s">
        <v>72</v>
      </c>
    </row>
    <row r="171">
      <c r="C171" s="3" t="s">
        <v>26</v>
      </c>
      <c r="D171" s="3">
        <v>4993.0</v>
      </c>
      <c r="E171" s="3">
        <v>3152.0</v>
      </c>
      <c r="F171" s="5">
        <v>46095.629166666666</v>
      </c>
      <c r="G171" s="5">
        <v>46094.45543981482</v>
      </c>
      <c r="H171" s="3" t="s">
        <v>14</v>
      </c>
      <c r="I171" s="7">
        <v>0.0</v>
      </c>
      <c r="J171" s="3" t="s">
        <v>72</v>
      </c>
    </row>
    <row r="172">
      <c r="C172" s="3" t="s">
        <v>10</v>
      </c>
      <c r="D172" s="3">
        <v>4994.0</v>
      </c>
      <c r="E172" s="3" t="s">
        <v>74</v>
      </c>
      <c r="F172" s="5">
        <v>46094.48402777778</v>
      </c>
      <c r="G172" s="5">
        <v>46093.74953703704</v>
      </c>
      <c r="H172" s="3" t="s">
        <v>14</v>
      </c>
      <c r="I172" s="3">
        <v>0.0</v>
      </c>
      <c r="J172" s="3" t="s">
        <v>72</v>
      </c>
    </row>
    <row r="173">
      <c r="C173" s="3" t="s">
        <v>17</v>
      </c>
      <c r="D173" s="3">
        <v>4994.0</v>
      </c>
      <c r="E173" s="3" t="s">
        <v>74</v>
      </c>
      <c r="F173" s="5">
        <v>46094.49097222222</v>
      </c>
      <c r="G173" s="5">
        <v>46093.74958333333</v>
      </c>
      <c r="H173" s="3" t="s">
        <v>14</v>
      </c>
      <c r="I173" s="7">
        <v>0.0</v>
      </c>
      <c r="J173" s="3" t="s">
        <v>72</v>
      </c>
    </row>
    <row r="174">
      <c r="C174" s="3" t="s">
        <v>21</v>
      </c>
      <c r="D174" s="3">
        <v>4994.0</v>
      </c>
      <c r="E174" s="3" t="s">
        <v>74</v>
      </c>
      <c r="F174" s="5">
        <v>46094.595138888886</v>
      </c>
      <c r="G174" s="5">
        <v>46093.74961805555</v>
      </c>
      <c r="H174" s="3" t="s">
        <v>14</v>
      </c>
      <c r="I174" s="7">
        <v>0.0</v>
      </c>
      <c r="J174" s="3" t="s">
        <v>72</v>
      </c>
    </row>
    <row r="175">
      <c r="C175" s="3" t="s">
        <v>24</v>
      </c>
      <c r="D175" s="3">
        <v>4994.0</v>
      </c>
      <c r="E175" s="3" t="s">
        <v>74</v>
      </c>
      <c r="F175" s="5">
        <v>46095.595138888886</v>
      </c>
      <c r="G175" s="5">
        <v>46093.74965277778</v>
      </c>
      <c r="H175" s="3" t="s">
        <v>14</v>
      </c>
      <c r="I175" s="7">
        <v>0.0</v>
      </c>
      <c r="J175" s="3" t="s">
        <v>72</v>
      </c>
    </row>
    <row r="176">
      <c r="C176" s="3" t="s">
        <v>26</v>
      </c>
      <c r="D176" s="3">
        <v>4994.0</v>
      </c>
      <c r="E176" s="3" t="s">
        <v>74</v>
      </c>
      <c r="F176" s="5">
        <v>46095.63680555556</v>
      </c>
      <c r="G176" s="5">
        <v>46094.45543981482</v>
      </c>
      <c r="H176" s="3" t="s">
        <v>14</v>
      </c>
      <c r="I176" s="7">
        <v>0.0</v>
      </c>
      <c r="J176" s="3" t="s">
        <v>72</v>
      </c>
    </row>
    <row r="177">
      <c r="C177" s="3" t="s">
        <v>10</v>
      </c>
      <c r="D177" s="3">
        <v>4995.0</v>
      </c>
      <c r="E177" s="3" t="s">
        <v>166</v>
      </c>
      <c r="F177" s="5">
        <v>46094.61219907407</v>
      </c>
      <c r="G177" s="5">
        <v>46094.47667824074</v>
      </c>
      <c r="H177" s="3" t="s">
        <v>14</v>
      </c>
      <c r="I177" s="3">
        <v>0.0</v>
      </c>
      <c r="J177" s="3" t="s">
        <v>15</v>
      </c>
    </row>
    <row r="178">
      <c r="C178" s="3" t="s">
        <v>17</v>
      </c>
      <c r="D178" s="3">
        <v>4995.0</v>
      </c>
      <c r="E178" s="3" t="s">
        <v>166</v>
      </c>
      <c r="F178" s="5">
        <v>46094.61914351852</v>
      </c>
      <c r="G178" s="5">
        <v>46094.47675925926</v>
      </c>
      <c r="H178" s="3" t="s">
        <v>14</v>
      </c>
      <c r="I178" s="7">
        <v>0.0</v>
      </c>
      <c r="J178" s="3" t="s">
        <v>15</v>
      </c>
    </row>
    <row r="179">
      <c r="C179" s="3" t="s">
        <v>21</v>
      </c>
      <c r="D179" s="3">
        <v>4995.0</v>
      </c>
      <c r="E179" s="3" t="s">
        <v>166</v>
      </c>
      <c r="F179" s="5">
        <v>46094.72331018518</v>
      </c>
      <c r="G179" s="5">
        <v>46094.47681712963</v>
      </c>
      <c r="H179" s="3" t="s">
        <v>14</v>
      </c>
      <c r="I179" s="7">
        <v>0.0</v>
      </c>
      <c r="J179" s="3" t="s">
        <v>15</v>
      </c>
    </row>
    <row r="180">
      <c r="C180" s="3" t="s">
        <v>24</v>
      </c>
      <c r="D180" s="3">
        <v>4995.0</v>
      </c>
      <c r="E180" s="3" t="s">
        <v>166</v>
      </c>
      <c r="F180" s="5">
        <v>46095.722916666666</v>
      </c>
      <c r="G180" s="5">
        <v>46094.508368055554</v>
      </c>
      <c r="H180" s="3" t="s">
        <v>14</v>
      </c>
      <c r="I180" s="7">
        <v>0.0</v>
      </c>
      <c r="J180" s="3" t="s">
        <v>15</v>
      </c>
    </row>
    <row r="181">
      <c r="C181" s="3" t="s">
        <v>26</v>
      </c>
      <c r="D181" s="3">
        <v>4995.0</v>
      </c>
      <c r="E181" s="3" t="s">
        <v>166</v>
      </c>
      <c r="F181" s="5">
        <v>46095.76458333333</v>
      </c>
      <c r="G181" s="5">
        <v>46094.50855324074</v>
      </c>
      <c r="H181" s="3" t="s">
        <v>14</v>
      </c>
      <c r="I181" s="7">
        <v>0.0</v>
      </c>
      <c r="J181" s="3" t="s">
        <v>15</v>
      </c>
    </row>
    <row r="182">
      <c r="C182" s="3" t="s">
        <v>10</v>
      </c>
      <c r="D182" s="3">
        <v>4996.0</v>
      </c>
      <c r="E182" s="3" t="s">
        <v>275</v>
      </c>
      <c r="F182" s="5">
        <v>46094.65572916667</v>
      </c>
      <c r="G182" s="5">
        <v>46094.50844907408</v>
      </c>
      <c r="H182" s="3" t="s">
        <v>14</v>
      </c>
      <c r="I182" s="3">
        <v>0.0</v>
      </c>
      <c r="J182" s="3" t="s">
        <v>72</v>
      </c>
    </row>
    <row r="183">
      <c r="C183" s="3" t="s">
        <v>17</v>
      </c>
      <c r="D183" s="3">
        <v>4996.0</v>
      </c>
      <c r="E183" s="3" t="s">
        <v>275</v>
      </c>
      <c r="F183" s="5">
        <v>46094.662673611114</v>
      </c>
      <c r="G183" s="5">
        <v>46094.50855324074</v>
      </c>
      <c r="H183" s="3" t="s">
        <v>14</v>
      </c>
      <c r="I183" s="7">
        <v>0.0</v>
      </c>
      <c r="J183" s="3" t="s">
        <v>72</v>
      </c>
    </row>
    <row r="184">
      <c r="C184" s="3" t="s">
        <v>21</v>
      </c>
      <c r="D184" s="3">
        <v>4996.0</v>
      </c>
      <c r="E184" s="3" t="s">
        <v>275</v>
      </c>
      <c r="F184" s="5">
        <v>46094.76684027778</v>
      </c>
      <c r="G184" s="5">
        <v>46094.50859953704</v>
      </c>
      <c r="H184" s="3" t="s">
        <v>14</v>
      </c>
      <c r="I184" s="7">
        <v>0.0</v>
      </c>
      <c r="J184" s="3" t="s">
        <v>72</v>
      </c>
    </row>
    <row r="185">
      <c r="C185" s="3" t="s">
        <v>24</v>
      </c>
      <c r="D185" s="3">
        <v>4996.0</v>
      </c>
      <c r="E185" s="3" t="s">
        <v>275</v>
      </c>
      <c r="F185" s="5">
        <v>46095.76666666667</v>
      </c>
      <c r="G185" s="5">
        <v>46094.63553240741</v>
      </c>
      <c r="H185" s="3" t="s">
        <v>14</v>
      </c>
      <c r="I185" s="7">
        <v>0.0</v>
      </c>
      <c r="J185" s="3" t="s">
        <v>72</v>
      </c>
    </row>
    <row r="186">
      <c r="C186" s="3" t="s">
        <v>26</v>
      </c>
      <c r="D186" s="3">
        <v>4996.0</v>
      </c>
      <c r="E186" s="3" t="s">
        <v>275</v>
      </c>
      <c r="F186" s="5">
        <v>46097.475</v>
      </c>
      <c r="G186" s="5">
        <v>46095.44493055555</v>
      </c>
      <c r="H186" s="3" t="s">
        <v>14</v>
      </c>
      <c r="I186" s="7">
        <v>0.0</v>
      </c>
      <c r="J186" s="3" t="s">
        <v>72</v>
      </c>
    </row>
    <row r="187">
      <c r="C187" s="3" t="s">
        <v>10</v>
      </c>
      <c r="D187" s="3">
        <v>4997.0</v>
      </c>
      <c r="E187" s="3" t="s">
        <v>280</v>
      </c>
      <c r="F187" s="5">
        <v>46094.688726851855</v>
      </c>
      <c r="G187" s="5">
        <v>46094.56219907408</v>
      </c>
      <c r="H187" s="3" t="s">
        <v>14</v>
      </c>
      <c r="I187" s="3">
        <v>0.0</v>
      </c>
      <c r="J187" s="3" t="s">
        <v>72</v>
      </c>
    </row>
    <row r="188">
      <c r="C188" s="3" t="s">
        <v>17</v>
      </c>
      <c r="D188" s="3">
        <v>4997.0</v>
      </c>
      <c r="E188" s="3" t="s">
        <v>280</v>
      </c>
      <c r="F188" s="5">
        <v>46094.69567129629</v>
      </c>
      <c r="G188" s="5">
        <v>46094.56230324074</v>
      </c>
      <c r="H188" s="3" t="s">
        <v>14</v>
      </c>
      <c r="I188" s="7">
        <v>0.0</v>
      </c>
      <c r="J188" s="3" t="s">
        <v>72</v>
      </c>
    </row>
    <row r="189">
      <c r="C189" s="3" t="s">
        <v>21</v>
      </c>
      <c r="D189" s="3">
        <v>4997.0</v>
      </c>
      <c r="E189" s="3" t="s">
        <v>280</v>
      </c>
      <c r="F189" s="5">
        <v>46094.799837962964</v>
      </c>
      <c r="G189" s="5">
        <v>46094.56233796296</v>
      </c>
      <c r="H189" s="3" t="s">
        <v>14</v>
      </c>
      <c r="I189" s="7">
        <v>0.0</v>
      </c>
      <c r="J189" s="3" t="s">
        <v>72</v>
      </c>
    </row>
    <row r="190">
      <c r="C190" s="3" t="s">
        <v>24</v>
      </c>
      <c r="D190" s="3">
        <v>4997.0</v>
      </c>
      <c r="E190" s="3" t="s">
        <v>280</v>
      </c>
      <c r="F190" s="5">
        <v>46095.799305555556</v>
      </c>
      <c r="G190" s="5">
        <v>46094.63548611111</v>
      </c>
      <c r="H190" s="3" t="s">
        <v>14</v>
      </c>
      <c r="I190" s="7">
        <v>0.0</v>
      </c>
      <c r="J190" s="3" t="s">
        <v>72</v>
      </c>
    </row>
    <row r="191">
      <c r="C191" s="3" t="s">
        <v>26</v>
      </c>
      <c r="D191" s="3">
        <v>4997.0</v>
      </c>
      <c r="E191" s="3" t="s">
        <v>280</v>
      </c>
      <c r="F191" s="5">
        <v>46097.424305555556</v>
      </c>
      <c r="G191" s="5">
        <v>46094.63550925926</v>
      </c>
      <c r="H191" s="3" t="s">
        <v>14</v>
      </c>
      <c r="I191" s="7">
        <v>0.0</v>
      </c>
      <c r="J191" s="3" t="s">
        <v>72</v>
      </c>
    </row>
    <row r="192">
      <c r="C192" s="3" t="s">
        <v>10</v>
      </c>
      <c r="D192" s="3">
        <v>4998.0</v>
      </c>
      <c r="E192" s="3" t="s">
        <v>284</v>
      </c>
      <c r="F192" s="5">
        <v>46094.690717592595</v>
      </c>
      <c r="G192" s="5">
        <v>46094.562476851854</v>
      </c>
      <c r="H192" s="3" t="s">
        <v>14</v>
      </c>
      <c r="I192" s="3">
        <v>0.0</v>
      </c>
      <c r="J192" s="3" t="s">
        <v>48</v>
      </c>
    </row>
    <row r="193">
      <c r="C193" s="3" t="s">
        <v>17</v>
      </c>
      <c r="D193" s="3">
        <v>4998.0</v>
      </c>
      <c r="E193" s="3" t="s">
        <v>284</v>
      </c>
      <c r="F193" s="5">
        <v>46094.69766203704</v>
      </c>
      <c r="G193" s="5">
        <v>46094.56261574074</v>
      </c>
      <c r="H193" s="3" t="s">
        <v>14</v>
      </c>
      <c r="I193" s="7">
        <v>0.0</v>
      </c>
      <c r="J193" s="3" t="s">
        <v>48</v>
      </c>
    </row>
    <row r="194">
      <c r="C194" s="3" t="s">
        <v>21</v>
      </c>
      <c r="D194" s="3">
        <v>4998.0</v>
      </c>
      <c r="E194" s="3" t="s">
        <v>284</v>
      </c>
      <c r="F194" s="5">
        <v>46094.801828703705</v>
      </c>
      <c r="G194" s="5">
        <v>46094.56266203704</v>
      </c>
      <c r="H194" s="3" t="s">
        <v>14</v>
      </c>
      <c r="I194" s="7">
        <v>0.0</v>
      </c>
      <c r="J194" s="3" t="s">
        <v>48</v>
      </c>
    </row>
    <row r="195">
      <c r="C195" s="3" t="s">
        <v>24</v>
      </c>
      <c r="D195" s="3">
        <v>4998.0</v>
      </c>
      <c r="E195" s="3" t="s">
        <v>284</v>
      </c>
      <c r="F195" s="5">
        <v>46097.46805555555</v>
      </c>
      <c r="G195" s="5">
        <v>46095.444814814815</v>
      </c>
      <c r="H195" s="3" t="s">
        <v>14</v>
      </c>
      <c r="I195" s="7">
        <v>0.0</v>
      </c>
      <c r="J195" s="3" t="s">
        <v>48</v>
      </c>
    </row>
    <row r="196">
      <c r="C196" s="3" t="s">
        <v>26</v>
      </c>
      <c r="D196" s="3">
        <v>4998.0</v>
      </c>
      <c r="E196" s="3" t="s">
        <v>284</v>
      </c>
      <c r="F196" s="5">
        <v>46097.509722222225</v>
      </c>
      <c r="G196" s="5">
        <v>46095.44501157408</v>
      </c>
      <c r="H196" s="3" t="s">
        <v>14</v>
      </c>
      <c r="I196" s="7">
        <v>0.0</v>
      </c>
      <c r="J196" s="3" t="s">
        <v>48</v>
      </c>
    </row>
    <row r="197">
      <c r="C197" s="3" t="s">
        <v>10</v>
      </c>
      <c r="D197" s="3">
        <v>4999.0</v>
      </c>
      <c r="E197" s="3" t="s">
        <v>288</v>
      </c>
      <c r="F197" s="5">
        <v>46095.41805555556</v>
      </c>
      <c r="G197" s="5">
        <v>46094.69931712963</v>
      </c>
      <c r="H197" s="3" t="s">
        <v>14</v>
      </c>
      <c r="I197" s="3">
        <v>0.0</v>
      </c>
      <c r="J197" s="3" t="s">
        <v>15</v>
      </c>
    </row>
    <row r="198">
      <c r="C198" s="3" t="s">
        <v>17</v>
      </c>
      <c r="D198" s="3">
        <v>4999.0</v>
      </c>
      <c r="E198" s="3" t="s">
        <v>288</v>
      </c>
      <c r="F198" s="5">
        <v>46095.425</v>
      </c>
      <c r="G198" s="5">
        <v>46094.56261574074</v>
      </c>
      <c r="H198" s="3" t="s">
        <v>14</v>
      </c>
      <c r="I198" s="7">
        <v>0.0</v>
      </c>
      <c r="J198" s="3" t="s">
        <v>15</v>
      </c>
    </row>
    <row r="199">
      <c r="C199" s="3" t="s">
        <v>21</v>
      </c>
      <c r="D199" s="3">
        <v>4999.0</v>
      </c>
      <c r="E199" s="3" t="s">
        <v>288</v>
      </c>
      <c r="F199" s="5">
        <v>46095.52916666667</v>
      </c>
      <c r="G199" s="5">
        <v>46094.90819444445</v>
      </c>
      <c r="H199" s="3" t="s">
        <v>14</v>
      </c>
      <c r="I199" s="7">
        <v>0.0</v>
      </c>
      <c r="J199" s="3" t="s">
        <v>15</v>
      </c>
    </row>
    <row r="200">
      <c r="C200" s="3" t="s">
        <v>24</v>
      </c>
      <c r="D200" s="3">
        <v>4999.0</v>
      </c>
      <c r="E200" s="3" t="s">
        <v>288</v>
      </c>
      <c r="F200" s="5">
        <v>46097.52916666667</v>
      </c>
      <c r="G200" s="5">
        <v>46097.45392361111</v>
      </c>
      <c r="H200" s="3" t="s">
        <v>14</v>
      </c>
      <c r="I200" s="7">
        <v>0.0</v>
      </c>
      <c r="J200" s="3" t="s">
        <v>15</v>
      </c>
    </row>
    <row r="201">
      <c r="C201" s="3" t="s">
        <v>26</v>
      </c>
      <c r="D201" s="3">
        <v>4999.0</v>
      </c>
      <c r="E201" s="3" t="s">
        <v>288</v>
      </c>
      <c r="F201" s="5">
        <v>46097.57083333333</v>
      </c>
      <c r="G201" s="5">
        <v>46097.45445601852</v>
      </c>
      <c r="H201" s="3" t="s">
        <v>14</v>
      </c>
      <c r="I201" s="7">
        <v>0.0</v>
      </c>
      <c r="J201" s="3" t="s">
        <v>15</v>
      </c>
    </row>
    <row r="202">
      <c r="C202" s="3" t="s">
        <v>10</v>
      </c>
      <c r="D202" s="3">
        <v>5000.0</v>
      </c>
      <c r="E202" s="3" t="s">
        <v>166</v>
      </c>
      <c r="F202" s="5">
        <v>46095.48472222222</v>
      </c>
      <c r="G202" s="5">
        <v>46094.75612268518</v>
      </c>
      <c r="H202" s="3" t="s">
        <v>14</v>
      </c>
      <c r="I202" s="3">
        <v>0.0</v>
      </c>
      <c r="J202" s="3" t="s">
        <v>15</v>
      </c>
    </row>
    <row r="203">
      <c r="C203" s="3" t="s">
        <v>17</v>
      </c>
      <c r="D203" s="3">
        <v>5000.0</v>
      </c>
      <c r="E203" s="3" t="s">
        <v>166</v>
      </c>
      <c r="F203" s="5">
        <v>46095.49166666667</v>
      </c>
      <c r="G203" s="5">
        <v>46094.756203703706</v>
      </c>
      <c r="H203" s="3" t="s">
        <v>14</v>
      </c>
      <c r="I203" s="7">
        <v>0.0</v>
      </c>
      <c r="J203" s="3" t="s">
        <v>15</v>
      </c>
    </row>
    <row r="204">
      <c r="C204" s="3" t="s">
        <v>21</v>
      </c>
      <c r="D204" s="3">
        <v>5000.0</v>
      </c>
      <c r="E204" s="3" t="s">
        <v>166</v>
      </c>
      <c r="F204" s="5">
        <v>46095.59583333333</v>
      </c>
      <c r="G204" s="5">
        <v>46094.783483796295</v>
      </c>
      <c r="H204" s="3" t="s">
        <v>14</v>
      </c>
      <c r="I204" s="7">
        <v>0.0</v>
      </c>
      <c r="J204" s="3" t="s">
        <v>15</v>
      </c>
    </row>
    <row r="205">
      <c r="C205" s="3" t="s">
        <v>24</v>
      </c>
      <c r="D205" s="3">
        <v>5000.0</v>
      </c>
      <c r="E205" s="3" t="s">
        <v>166</v>
      </c>
      <c r="F205" s="5">
        <v>46097.59583333333</v>
      </c>
      <c r="G205" s="5">
        <v>46097.45395833333</v>
      </c>
      <c r="H205" s="3" t="s">
        <v>14</v>
      </c>
      <c r="I205" s="7">
        <v>0.0</v>
      </c>
      <c r="J205" s="3" t="s">
        <v>15</v>
      </c>
    </row>
    <row r="206">
      <c r="C206" s="3" t="s">
        <v>26</v>
      </c>
      <c r="D206" s="3">
        <v>5000.0</v>
      </c>
      <c r="E206" s="3" t="s">
        <v>166</v>
      </c>
      <c r="F206" s="5">
        <v>46097.6375</v>
      </c>
      <c r="G206" s="5">
        <v>46097.45447916666</v>
      </c>
      <c r="H206" s="3" t="s">
        <v>14</v>
      </c>
      <c r="I206" s="7">
        <v>0.0</v>
      </c>
      <c r="J206" s="3" t="s">
        <v>15</v>
      </c>
    </row>
    <row r="207">
      <c r="C207" s="3" t="s">
        <v>10</v>
      </c>
      <c r="D207" s="3">
        <v>5001.0</v>
      </c>
      <c r="E207" s="3" t="s">
        <v>296</v>
      </c>
      <c r="F207" s="5">
        <v>46095.62642361111</v>
      </c>
      <c r="G207" s="5">
        <v>46095.522372685184</v>
      </c>
      <c r="H207" s="3" t="s">
        <v>14</v>
      </c>
      <c r="I207" s="3">
        <v>0.0</v>
      </c>
      <c r="J207" s="3" t="s">
        <v>15</v>
      </c>
    </row>
    <row r="208">
      <c r="C208" s="3" t="s">
        <v>17</v>
      </c>
      <c r="D208" s="3">
        <v>5001.0</v>
      </c>
      <c r="E208" s="3" t="s">
        <v>296</v>
      </c>
      <c r="F208" s="5">
        <v>46095.633368055554</v>
      </c>
      <c r="G208" s="5">
        <v>46095.52245370371</v>
      </c>
      <c r="H208" s="3" t="s">
        <v>14</v>
      </c>
      <c r="I208" s="7">
        <v>0.0</v>
      </c>
      <c r="J208" s="3" t="s">
        <v>15</v>
      </c>
    </row>
    <row r="209">
      <c r="C209" s="3" t="s">
        <v>21</v>
      </c>
      <c r="D209" s="3">
        <v>5001.0</v>
      </c>
      <c r="E209" s="3" t="s">
        <v>296</v>
      </c>
      <c r="F209" s="5">
        <v>46095.73753472222</v>
      </c>
      <c r="G209" s="5">
        <v>46095.52258101852</v>
      </c>
      <c r="H209" s="3" t="s">
        <v>14</v>
      </c>
      <c r="I209" s="7">
        <v>0.0</v>
      </c>
      <c r="J209" s="3" t="s">
        <v>15</v>
      </c>
    </row>
    <row r="210">
      <c r="C210" s="3" t="s">
        <v>24</v>
      </c>
      <c r="D210" s="3">
        <v>5001.0</v>
      </c>
      <c r="E210" s="3" t="s">
        <v>296</v>
      </c>
      <c r="F210" s="5">
        <v>46097.7375</v>
      </c>
      <c r="G210" s="5">
        <v>46095.537881944445</v>
      </c>
      <c r="H210" s="3" t="s">
        <v>14</v>
      </c>
      <c r="I210" s="7">
        <v>0.0</v>
      </c>
      <c r="J210" s="3" t="s">
        <v>15</v>
      </c>
    </row>
    <row r="211">
      <c r="C211" s="3" t="s">
        <v>26</v>
      </c>
      <c r="D211" s="3">
        <v>5001.0</v>
      </c>
      <c r="E211" s="3" t="s">
        <v>296</v>
      </c>
      <c r="F211" s="5">
        <v>46097.77916666667</v>
      </c>
      <c r="G211" s="5">
        <v>46095.53789351852</v>
      </c>
      <c r="H211" s="3" t="s">
        <v>14</v>
      </c>
      <c r="I211" s="7">
        <v>0.0</v>
      </c>
      <c r="J211" s="3" t="s">
        <v>15</v>
      </c>
    </row>
    <row r="212">
      <c r="C212" s="3" t="s">
        <v>10</v>
      </c>
      <c r="D212" s="3">
        <v>5002.0</v>
      </c>
      <c r="E212" s="3" t="s">
        <v>301</v>
      </c>
      <c r="F212" s="5">
        <v>46097.44775462963</v>
      </c>
      <c r="G212" s="5">
        <v>46097.431967592594</v>
      </c>
      <c r="H212" s="3" t="s">
        <v>14</v>
      </c>
      <c r="I212" s="3">
        <v>0.0</v>
      </c>
      <c r="J212" s="3" t="s">
        <v>48</v>
      </c>
    </row>
    <row r="213">
      <c r="C213" s="3" t="s">
        <v>17</v>
      </c>
      <c r="D213" s="3">
        <v>5002.0</v>
      </c>
      <c r="E213" s="3" t="s">
        <v>301</v>
      </c>
      <c r="F213" s="5">
        <v>46097.45469907407</v>
      </c>
      <c r="G213" s="5">
        <v>46097.43216435185</v>
      </c>
      <c r="H213" s="3" t="s">
        <v>14</v>
      </c>
      <c r="I213" s="7">
        <v>0.0</v>
      </c>
      <c r="J213" s="3" t="s">
        <v>48</v>
      </c>
    </row>
    <row r="214">
      <c r="C214" s="3" t="s">
        <v>21</v>
      </c>
      <c r="D214" s="3">
        <v>5002.0</v>
      </c>
      <c r="E214" s="3" t="s">
        <v>301</v>
      </c>
      <c r="F214" s="5">
        <v>46097.55886574074</v>
      </c>
      <c r="G214" s="5">
        <v>46097.532002314816</v>
      </c>
      <c r="H214" s="3" t="s">
        <v>14</v>
      </c>
      <c r="I214" s="7">
        <v>0.0</v>
      </c>
      <c r="J214" s="3" t="s">
        <v>48</v>
      </c>
    </row>
    <row r="215">
      <c r="C215" s="3" t="s">
        <v>24</v>
      </c>
      <c r="D215" s="3">
        <v>5002.0</v>
      </c>
      <c r="E215" s="3" t="s">
        <v>301</v>
      </c>
      <c r="F215" s="5">
        <v>46098.558333333334</v>
      </c>
      <c r="G215" s="5">
        <v>46098.544120370374</v>
      </c>
      <c r="H215" s="3" t="s">
        <v>14</v>
      </c>
      <c r="I215" s="7">
        <v>0.0</v>
      </c>
      <c r="J215" s="3" t="s">
        <v>48</v>
      </c>
    </row>
    <row r="216">
      <c r="C216" s="3" t="s">
        <v>26</v>
      </c>
      <c r="D216" s="3">
        <v>5002.0</v>
      </c>
      <c r="E216" s="3" t="s">
        <v>301</v>
      </c>
      <c r="F216" s="5">
        <v>46098.6</v>
      </c>
      <c r="G216" s="5">
        <v>46098.54452546296</v>
      </c>
      <c r="H216" s="3" t="s">
        <v>14</v>
      </c>
      <c r="I216" s="7">
        <v>0.0</v>
      </c>
      <c r="J216" s="3" t="s">
        <v>48</v>
      </c>
    </row>
    <row r="217">
      <c r="C217" s="3" t="s">
        <v>10</v>
      </c>
      <c r="D217" s="3">
        <v>5003.0</v>
      </c>
      <c r="E217" s="3" t="s">
        <v>307</v>
      </c>
      <c r="F217" s="5">
        <v>46097.44775462963</v>
      </c>
      <c r="G217" s="5">
        <v>46097.43199074074</v>
      </c>
      <c r="H217" s="3" t="s">
        <v>14</v>
      </c>
      <c r="I217" s="3">
        <v>0.0</v>
      </c>
      <c r="J217" s="3" t="s">
        <v>48</v>
      </c>
    </row>
    <row r="218">
      <c r="C218" s="3" t="s">
        <v>17</v>
      </c>
      <c r="D218" s="3">
        <v>5003.0</v>
      </c>
      <c r="E218" s="3" t="s">
        <v>307</v>
      </c>
      <c r="F218" s="5">
        <v>46097.45469907407</v>
      </c>
      <c r="G218" s="5">
        <v>46097.43219907407</v>
      </c>
      <c r="H218" s="3" t="s">
        <v>14</v>
      </c>
      <c r="I218" s="7">
        <v>0.0</v>
      </c>
      <c r="J218" s="3" t="s">
        <v>48</v>
      </c>
    </row>
    <row r="219">
      <c r="C219" s="3" t="s">
        <v>21</v>
      </c>
      <c r="D219" s="3">
        <v>5003.0</v>
      </c>
      <c r="E219" s="3" t="s">
        <v>307</v>
      </c>
      <c r="F219" s="5">
        <v>46097.55886574074</v>
      </c>
      <c r="G219" s="5">
        <v>46097.53202546296</v>
      </c>
      <c r="H219" s="3" t="s">
        <v>14</v>
      </c>
      <c r="I219" s="7">
        <v>0.0</v>
      </c>
      <c r="J219" s="3" t="s">
        <v>48</v>
      </c>
    </row>
    <row r="220">
      <c r="C220" s="3" t="s">
        <v>24</v>
      </c>
      <c r="D220" s="3">
        <v>5003.0</v>
      </c>
      <c r="E220" s="3" t="s">
        <v>307</v>
      </c>
      <c r="F220" s="5">
        <v>46098.558333333334</v>
      </c>
      <c r="G220" s="5">
        <v>46098.54417824074</v>
      </c>
      <c r="H220" s="3" t="s">
        <v>14</v>
      </c>
      <c r="I220" s="7">
        <v>0.0</v>
      </c>
      <c r="J220" s="3" t="s">
        <v>48</v>
      </c>
    </row>
    <row r="221">
      <c r="C221" s="3" t="s">
        <v>26</v>
      </c>
      <c r="D221" s="3">
        <v>5003.0</v>
      </c>
      <c r="E221" s="3" t="s">
        <v>307</v>
      </c>
      <c r="F221" s="5">
        <v>46098.6</v>
      </c>
      <c r="G221" s="5">
        <v>46098.54454861111</v>
      </c>
      <c r="H221" s="3" t="s">
        <v>14</v>
      </c>
      <c r="I221" s="7">
        <v>0.0</v>
      </c>
      <c r="J221" s="3" t="s">
        <v>48</v>
      </c>
    </row>
    <row r="222">
      <c r="C222" s="3" t="s">
        <v>10</v>
      </c>
      <c r="D222" s="3">
        <v>5004.0</v>
      </c>
      <c r="E222" s="3" t="s">
        <v>313</v>
      </c>
      <c r="F222" s="5">
        <v>46097.68407407407</v>
      </c>
      <c r="G222" s="5">
        <v>46097.53585648148</v>
      </c>
      <c r="H222" s="3" t="s">
        <v>14</v>
      </c>
      <c r="I222" s="3">
        <v>0.0</v>
      </c>
      <c r="J222" s="3" t="s">
        <v>72</v>
      </c>
    </row>
    <row r="223">
      <c r="C223" s="3" t="s">
        <v>17</v>
      </c>
      <c r="D223" s="3">
        <v>5004.0</v>
      </c>
      <c r="E223" s="3" t="s">
        <v>313</v>
      </c>
      <c r="F223" s="5">
        <v>46097.69101851852</v>
      </c>
      <c r="G223" s="5">
        <v>46097.53592592593</v>
      </c>
      <c r="H223" s="3" t="s">
        <v>14</v>
      </c>
      <c r="I223" s="7">
        <v>0.0</v>
      </c>
      <c r="J223" s="3" t="s">
        <v>72</v>
      </c>
    </row>
    <row r="224">
      <c r="C224" s="3" t="s">
        <v>21</v>
      </c>
      <c r="D224" s="3">
        <v>5004.0</v>
      </c>
      <c r="E224" s="3" t="s">
        <v>313</v>
      </c>
      <c r="F224" s="5">
        <v>46097.79518518518</v>
      </c>
      <c r="G224" s="5">
        <v>46097.53596064815</v>
      </c>
      <c r="H224" s="3" t="s">
        <v>14</v>
      </c>
      <c r="I224" s="7">
        <v>0.0</v>
      </c>
      <c r="J224" s="3" t="s">
        <v>72</v>
      </c>
    </row>
    <row r="225">
      <c r="C225" s="3" t="s">
        <v>24</v>
      </c>
      <c r="D225" s="3">
        <v>5004.0</v>
      </c>
      <c r="E225" s="3" t="s">
        <v>313</v>
      </c>
      <c r="F225" s="5">
        <v>46098.79513888889</v>
      </c>
      <c r="G225" s="5">
        <v>46097.76167824074</v>
      </c>
      <c r="H225" s="3" t="s">
        <v>14</v>
      </c>
      <c r="I225" s="7">
        <v>0.0</v>
      </c>
      <c r="J225" s="3" t="s">
        <v>72</v>
      </c>
    </row>
    <row r="226">
      <c r="C226" s="3" t="s">
        <v>26</v>
      </c>
      <c r="D226" s="3">
        <v>5004.0</v>
      </c>
      <c r="E226" s="3" t="s">
        <v>313</v>
      </c>
      <c r="F226" s="5">
        <v>46099.461805555555</v>
      </c>
      <c r="G226" s="5">
        <v>46099.455</v>
      </c>
      <c r="H226" s="3" t="s">
        <v>14</v>
      </c>
      <c r="I226" s="7">
        <v>0.0</v>
      </c>
      <c r="J226" s="3" t="s">
        <v>72</v>
      </c>
    </row>
    <row r="227">
      <c r="C227" s="3" t="s">
        <v>10</v>
      </c>
      <c r="D227" s="3">
        <v>5005.0</v>
      </c>
      <c r="E227" s="3" t="s">
        <v>318</v>
      </c>
      <c r="F227" s="5">
        <v>46097.783217592594</v>
      </c>
      <c r="G227" s="5">
        <v>46097.675462962965</v>
      </c>
      <c r="H227" s="3" t="s">
        <v>14</v>
      </c>
      <c r="I227" s="3">
        <v>0.0</v>
      </c>
      <c r="J227" s="3" t="s">
        <v>61</v>
      </c>
    </row>
    <row r="228">
      <c r="C228" s="3" t="s">
        <v>17</v>
      </c>
      <c r="D228" s="3">
        <v>5005.0</v>
      </c>
      <c r="E228" s="3" t="s">
        <v>318</v>
      </c>
      <c r="F228" s="5">
        <v>46097.79016203704</v>
      </c>
      <c r="G228" s="5">
        <v>46097.67564814815</v>
      </c>
      <c r="H228" s="3" t="s">
        <v>14</v>
      </c>
      <c r="I228" s="7">
        <v>0.0</v>
      </c>
      <c r="J228" s="3" t="s">
        <v>61</v>
      </c>
    </row>
    <row r="229">
      <c r="C229" s="3" t="s">
        <v>21</v>
      </c>
      <c r="D229" s="3">
        <v>5005.0</v>
      </c>
      <c r="E229" s="3" t="s">
        <v>318</v>
      </c>
      <c r="F229" s="5">
        <v>46098.49791666667</v>
      </c>
      <c r="G229" s="5">
        <v>46097.675775462965</v>
      </c>
      <c r="H229" s="3" t="s">
        <v>14</v>
      </c>
      <c r="I229" s="7">
        <v>0.0</v>
      </c>
      <c r="J229" s="3" t="s">
        <v>61</v>
      </c>
    </row>
    <row r="230">
      <c r="C230" s="3" t="s">
        <v>24</v>
      </c>
      <c r="D230" s="3">
        <v>5005.0</v>
      </c>
      <c r="E230" s="3" t="s">
        <v>318</v>
      </c>
      <c r="F230" s="5">
        <v>46099.49791666667</v>
      </c>
      <c r="G230" s="5">
        <v>46097.76162037037</v>
      </c>
      <c r="H230" s="3" t="s">
        <v>14</v>
      </c>
      <c r="I230" s="7">
        <v>0.0</v>
      </c>
      <c r="J230" s="3" t="s">
        <v>61</v>
      </c>
    </row>
    <row r="231">
      <c r="C231" s="3" t="s">
        <v>26</v>
      </c>
      <c r="D231" s="3">
        <v>5005.0</v>
      </c>
      <c r="E231" s="3" t="s">
        <v>318</v>
      </c>
      <c r="F231" s="5">
        <v>46099.53958333333</v>
      </c>
      <c r="G231" s="5">
        <v>46097.76164351852</v>
      </c>
      <c r="H231" s="3" t="s">
        <v>14</v>
      </c>
      <c r="I231" s="7">
        <v>0.0</v>
      </c>
      <c r="J231" s="3" t="s">
        <v>61</v>
      </c>
    </row>
    <row r="232">
      <c r="C232" s="3" t="s">
        <v>10</v>
      </c>
      <c r="D232" s="3">
        <v>5006.0</v>
      </c>
      <c r="E232" s="3" t="s">
        <v>323</v>
      </c>
      <c r="F232" s="5">
        <v>46099.47708333333</v>
      </c>
      <c r="G232" s="5">
        <v>46098.789305555554</v>
      </c>
      <c r="H232" s="3" t="s">
        <v>14</v>
      </c>
      <c r="I232" s="3">
        <v>0.0</v>
      </c>
      <c r="J232" s="3" t="s">
        <v>15</v>
      </c>
    </row>
    <row r="233">
      <c r="C233" s="3" t="s">
        <v>17</v>
      </c>
      <c r="D233" s="3">
        <v>5006.0</v>
      </c>
      <c r="E233" s="3" t="s">
        <v>323</v>
      </c>
      <c r="F233" s="5">
        <v>46099.48402777778</v>
      </c>
      <c r="G233" s="5">
        <v>46098.78969907408</v>
      </c>
      <c r="H233" s="3" t="s">
        <v>14</v>
      </c>
      <c r="I233" s="7">
        <v>0.0</v>
      </c>
      <c r="J233" s="3" t="s">
        <v>15</v>
      </c>
    </row>
    <row r="234">
      <c r="C234" s="3" t="s">
        <v>21</v>
      </c>
      <c r="D234" s="3">
        <v>5006.0</v>
      </c>
      <c r="E234" s="3" t="s">
        <v>323</v>
      </c>
      <c r="F234" s="5">
        <v>46099.58819444444</v>
      </c>
      <c r="G234" s="5">
        <v>46099.50877314815</v>
      </c>
      <c r="H234" s="3" t="s">
        <v>14</v>
      </c>
      <c r="I234" s="7">
        <v>0.0</v>
      </c>
      <c r="J234" s="3" t="s">
        <v>15</v>
      </c>
    </row>
    <row r="235">
      <c r="C235" s="3" t="s">
        <v>24</v>
      </c>
      <c r="D235" s="3">
        <v>5006.0</v>
      </c>
      <c r="E235" s="3" t="s">
        <v>323</v>
      </c>
      <c r="F235" s="5">
        <v>46100.58819444444</v>
      </c>
      <c r="G235" s="5">
        <v>46099.508784722224</v>
      </c>
      <c r="H235" s="3" t="s">
        <v>14</v>
      </c>
      <c r="I235" s="7">
        <v>0.0</v>
      </c>
      <c r="J235" s="3" t="s">
        <v>15</v>
      </c>
    </row>
    <row r="236">
      <c r="C236" s="3" t="s">
        <v>26</v>
      </c>
      <c r="D236" s="3">
        <v>5006.0</v>
      </c>
      <c r="E236" s="3" t="s">
        <v>323</v>
      </c>
      <c r="F236" s="5">
        <v>46100.62986111111</v>
      </c>
      <c r="G236" s="5">
        <v>46099.50883101852</v>
      </c>
      <c r="H236" s="3" t="s">
        <v>14</v>
      </c>
      <c r="I236" s="7">
        <v>0.0</v>
      </c>
      <c r="J236" s="3" t="s">
        <v>15</v>
      </c>
    </row>
    <row r="237">
      <c r="C237" s="3" t="s">
        <v>10</v>
      </c>
      <c r="D237" s="3">
        <v>5007.0</v>
      </c>
      <c r="E237" s="3" t="s">
        <v>327</v>
      </c>
      <c r="F237" s="5">
        <v>46099.478472222225</v>
      </c>
      <c r="G237" s="5">
        <v>46098.7893287037</v>
      </c>
      <c r="H237" s="3" t="s">
        <v>14</v>
      </c>
      <c r="I237" s="3">
        <v>0.0</v>
      </c>
      <c r="J237" s="3" t="s">
        <v>15</v>
      </c>
    </row>
    <row r="238">
      <c r="C238" s="3" t="s">
        <v>17</v>
      </c>
      <c r="D238" s="3">
        <v>5007.0</v>
      </c>
      <c r="E238" s="3" t="s">
        <v>327</v>
      </c>
      <c r="F238" s="5">
        <v>46099.48541666667</v>
      </c>
      <c r="G238" s="5">
        <v>46098.78973379629</v>
      </c>
      <c r="H238" s="3" t="s">
        <v>14</v>
      </c>
      <c r="I238" s="7">
        <v>0.0</v>
      </c>
      <c r="J238" s="3" t="s">
        <v>15</v>
      </c>
    </row>
    <row r="239">
      <c r="C239" s="3" t="s">
        <v>21</v>
      </c>
      <c r="D239" s="3">
        <v>5007.0</v>
      </c>
      <c r="E239" s="3" t="s">
        <v>327</v>
      </c>
      <c r="F239" s="5">
        <v>46099.589583333334</v>
      </c>
      <c r="G239" s="5">
        <v>46099.570752314816</v>
      </c>
      <c r="H239" s="3" t="s">
        <v>14</v>
      </c>
      <c r="I239" s="7">
        <v>0.0</v>
      </c>
      <c r="J239" s="3" t="s">
        <v>15</v>
      </c>
    </row>
    <row r="240">
      <c r="C240" s="3" t="s">
        <v>24</v>
      </c>
      <c r="D240" s="3">
        <v>5007.0</v>
      </c>
      <c r="E240" s="3" t="s">
        <v>327</v>
      </c>
      <c r="F240" s="5">
        <v>46100.589583333334</v>
      </c>
      <c r="G240" s="5">
        <v>46099.613645833335</v>
      </c>
      <c r="H240" s="3" t="s">
        <v>14</v>
      </c>
      <c r="I240" s="7">
        <v>0.0</v>
      </c>
      <c r="J240" s="3" t="s">
        <v>15</v>
      </c>
    </row>
    <row r="241">
      <c r="C241" s="3" t="s">
        <v>26</v>
      </c>
      <c r="D241" s="3">
        <v>5007.0</v>
      </c>
      <c r="E241" s="3" t="s">
        <v>327</v>
      </c>
      <c r="F241" s="5">
        <v>46100.63125</v>
      </c>
      <c r="G241" s="5">
        <v>46099.81590277778</v>
      </c>
      <c r="H241" s="3" t="s">
        <v>14</v>
      </c>
      <c r="I241" s="7">
        <v>0.0</v>
      </c>
      <c r="J241" s="3" t="s">
        <v>15</v>
      </c>
    </row>
    <row r="242">
      <c r="C242" s="3" t="s">
        <v>10</v>
      </c>
      <c r="D242" s="3">
        <v>5008.0</v>
      </c>
      <c r="E242" s="3" t="s">
        <v>335</v>
      </c>
      <c r="F242" s="5">
        <v>46099.48055555556</v>
      </c>
      <c r="G242" s="5">
        <v>46098.78934027778</v>
      </c>
      <c r="H242" s="3" t="s">
        <v>14</v>
      </c>
      <c r="I242" s="3">
        <v>0.0</v>
      </c>
      <c r="J242" s="3" t="s">
        <v>15</v>
      </c>
    </row>
    <row r="243">
      <c r="C243" s="3" t="s">
        <v>17</v>
      </c>
      <c r="D243" s="3">
        <v>5008.0</v>
      </c>
      <c r="E243" s="3" t="s">
        <v>335</v>
      </c>
      <c r="F243" s="5">
        <v>46099.4875</v>
      </c>
      <c r="G243" s="5">
        <v>46098.789722222224</v>
      </c>
      <c r="H243" s="3" t="s">
        <v>14</v>
      </c>
      <c r="I243" s="7">
        <v>0.0</v>
      </c>
      <c r="J243" s="3" t="s">
        <v>15</v>
      </c>
    </row>
    <row r="244">
      <c r="C244" s="3" t="s">
        <v>21</v>
      </c>
      <c r="D244" s="3">
        <v>5008.0</v>
      </c>
      <c r="E244" s="3" t="s">
        <v>335</v>
      </c>
      <c r="F244" s="5">
        <v>46099.59166666667</v>
      </c>
      <c r="G244" s="5">
        <v>46099.57078703704</v>
      </c>
      <c r="H244" s="3" t="s">
        <v>14</v>
      </c>
      <c r="I244" s="7">
        <v>0.0</v>
      </c>
      <c r="J244" s="3" t="s">
        <v>15</v>
      </c>
    </row>
    <row r="245">
      <c r="C245" s="3" t="s">
        <v>24</v>
      </c>
      <c r="D245" s="3">
        <v>5008.0</v>
      </c>
      <c r="E245" s="3" t="s">
        <v>335</v>
      </c>
      <c r="F245" s="5">
        <v>46100.59166666667</v>
      </c>
      <c r="G245" s="5">
        <v>46100.46376157407</v>
      </c>
      <c r="H245" s="3" t="s">
        <v>14</v>
      </c>
      <c r="I245" s="7">
        <v>0.0</v>
      </c>
      <c r="J245" s="3" t="s">
        <v>15</v>
      </c>
    </row>
    <row r="246">
      <c r="C246" s="3" t="s">
        <v>26</v>
      </c>
      <c r="D246" s="3">
        <v>5008.0</v>
      </c>
      <c r="E246" s="3" t="s">
        <v>335</v>
      </c>
      <c r="F246" s="5">
        <v>46100.63333333333</v>
      </c>
      <c r="G246" s="5">
        <v>46100.62059027778</v>
      </c>
      <c r="H246" s="3" t="s">
        <v>14</v>
      </c>
      <c r="I246" s="7">
        <v>0.0</v>
      </c>
      <c r="J246" s="3" t="s">
        <v>15</v>
      </c>
    </row>
    <row r="247">
      <c r="C247" s="3" t="s">
        <v>10</v>
      </c>
      <c r="D247" s="3">
        <v>5009.0</v>
      </c>
      <c r="E247" s="3" t="s">
        <v>341</v>
      </c>
      <c r="F247" s="5">
        <v>46099.48402777778</v>
      </c>
      <c r="G247" s="5">
        <v>46098.78936342592</v>
      </c>
      <c r="H247" s="3" t="s">
        <v>14</v>
      </c>
      <c r="I247" s="3">
        <v>0.0</v>
      </c>
      <c r="J247" s="3" t="s">
        <v>15</v>
      </c>
    </row>
    <row r="248">
      <c r="C248" s="3" t="s">
        <v>17</v>
      </c>
      <c r="D248" s="3">
        <v>5009.0</v>
      </c>
      <c r="E248" s="3" t="s">
        <v>341</v>
      </c>
      <c r="F248" s="5">
        <v>46099.49097222222</v>
      </c>
      <c r="G248" s="5">
        <v>46098.78975694445</v>
      </c>
      <c r="H248" s="3" t="s">
        <v>14</v>
      </c>
      <c r="I248" s="7">
        <v>0.0</v>
      </c>
      <c r="J248" s="3" t="s">
        <v>15</v>
      </c>
    </row>
    <row r="249">
      <c r="C249" s="3" t="s">
        <v>21</v>
      </c>
      <c r="D249" s="3">
        <v>5009.0</v>
      </c>
      <c r="E249" s="3" t="s">
        <v>341</v>
      </c>
      <c r="F249" s="5">
        <v>46099.595138888886</v>
      </c>
      <c r="G249" s="5">
        <v>46099.57079861111</v>
      </c>
      <c r="H249" s="3" t="s">
        <v>14</v>
      </c>
      <c r="I249" s="7">
        <v>0.0</v>
      </c>
      <c r="J249" s="3" t="s">
        <v>15</v>
      </c>
    </row>
    <row r="250">
      <c r="C250" s="3" t="s">
        <v>24</v>
      </c>
      <c r="D250" s="3">
        <v>5009.0</v>
      </c>
      <c r="E250" s="3" t="s">
        <v>341</v>
      </c>
      <c r="F250" s="5">
        <v>46100.595138888886</v>
      </c>
      <c r="G250" s="5">
        <v>46100.46361111111</v>
      </c>
      <c r="H250" s="3" t="s">
        <v>14</v>
      </c>
      <c r="I250" s="7">
        <v>0.0</v>
      </c>
      <c r="J250" s="3" t="s">
        <v>15</v>
      </c>
    </row>
    <row r="251">
      <c r="C251" s="3" t="s">
        <v>26</v>
      </c>
      <c r="D251" s="3">
        <v>5009.0</v>
      </c>
      <c r="E251" s="3" t="s">
        <v>341</v>
      </c>
      <c r="F251" s="5">
        <v>46100.63680555556</v>
      </c>
      <c r="G251" s="5">
        <v>46100.46363425926</v>
      </c>
      <c r="H251" s="3" t="s">
        <v>14</v>
      </c>
      <c r="I251" s="7">
        <v>0.0</v>
      </c>
      <c r="J251" s="3" t="s">
        <v>15</v>
      </c>
    </row>
    <row r="252">
      <c r="C252" s="3" t="s">
        <v>10</v>
      </c>
      <c r="D252" s="3">
        <v>5010.0</v>
      </c>
      <c r="E252" s="3" t="s">
        <v>350</v>
      </c>
      <c r="F252" s="5">
        <v>46099.48611111111</v>
      </c>
      <c r="G252" s="5">
        <v>46098.78939814815</v>
      </c>
      <c r="H252" s="3" t="s">
        <v>14</v>
      </c>
      <c r="I252" s="3">
        <v>0.0</v>
      </c>
      <c r="J252" s="3" t="s">
        <v>61</v>
      </c>
    </row>
    <row r="253">
      <c r="C253" s="3" t="s">
        <v>17</v>
      </c>
      <c r="D253" s="3">
        <v>5010.0</v>
      </c>
      <c r="E253" s="3" t="s">
        <v>350</v>
      </c>
      <c r="F253" s="5">
        <v>46099.493055555555</v>
      </c>
      <c r="G253" s="5">
        <v>46098.78978009259</v>
      </c>
      <c r="H253" s="3" t="s">
        <v>14</v>
      </c>
      <c r="I253" s="7">
        <v>0.0</v>
      </c>
      <c r="J253" s="3" t="s">
        <v>61</v>
      </c>
    </row>
    <row r="254">
      <c r="C254" s="3" t="s">
        <v>21</v>
      </c>
      <c r="D254" s="3">
        <v>5010.0</v>
      </c>
      <c r="E254" s="3" t="s">
        <v>350</v>
      </c>
      <c r="F254" s="5">
        <v>46099.59722222222</v>
      </c>
      <c r="G254" s="5">
        <v>46099.57082175926</v>
      </c>
      <c r="H254" s="3" t="s">
        <v>14</v>
      </c>
      <c r="I254" s="7">
        <v>0.0</v>
      </c>
      <c r="J254" s="3" t="s">
        <v>61</v>
      </c>
    </row>
    <row r="255">
      <c r="C255" s="3" t="s">
        <v>24</v>
      </c>
      <c r="D255" s="3">
        <v>5010.0</v>
      </c>
      <c r="E255" s="3" t="s">
        <v>350</v>
      </c>
      <c r="F255" s="5">
        <v>46100.59722222222</v>
      </c>
      <c r="G255" s="5">
        <v>46099.81146990741</v>
      </c>
      <c r="H255" s="3" t="s">
        <v>14</v>
      </c>
      <c r="I255" s="7">
        <v>0.0</v>
      </c>
      <c r="J255" s="3" t="s">
        <v>61</v>
      </c>
    </row>
    <row r="256">
      <c r="C256" s="3" t="s">
        <v>26</v>
      </c>
      <c r="D256" s="3">
        <v>5010.0</v>
      </c>
      <c r="E256" s="3" t="s">
        <v>350</v>
      </c>
      <c r="F256" s="5">
        <v>46100.63888888889</v>
      </c>
      <c r="G256" s="5">
        <v>46099.81149305555</v>
      </c>
      <c r="H256" s="3" t="s">
        <v>14</v>
      </c>
      <c r="I256" s="7">
        <v>0.0</v>
      </c>
      <c r="J256" s="3" t="s">
        <v>61</v>
      </c>
    </row>
    <row r="257">
      <c r="C257" s="3" t="s">
        <v>10</v>
      </c>
      <c r="D257" s="3">
        <v>5011.0</v>
      </c>
      <c r="E257" s="3" t="s">
        <v>353</v>
      </c>
      <c r="F257" s="5">
        <v>46099.62987268518</v>
      </c>
      <c r="G257" s="5">
        <v>46099.487291666665</v>
      </c>
      <c r="H257" s="3" t="s">
        <v>14</v>
      </c>
      <c r="I257" s="3">
        <v>0.0</v>
      </c>
      <c r="J257" s="3" t="s">
        <v>72</v>
      </c>
    </row>
    <row r="258">
      <c r="C258" s="3" t="s">
        <v>17</v>
      </c>
      <c r="D258" s="3">
        <v>5011.0</v>
      </c>
      <c r="E258" s="3" t="s">
        <v>353</v>
      </c>
      <c r="F258" s="5">
        <v>46099.63681712963</v>
      </c>
      <c r="G258" s="5">
        <v>46099.487349537034</v>
      </c>
      <c r="H258" s="3" t="s">
        <v>14</v>
      </c>
      <c r="I258" s="7">
        <v>0.0</v>
      </c>
      <c r="J258" s="3" t="s">
        <v>72</v>
      </c>
    </row>
    <row r="259">
      <c r="C259" s="3" t="s">
        <v>21</v>
      </c>
      <c r="D259" s="3">
        <v>5011.0</v>
      </c>
      <c r="E259" s="3" t="s">
        <v>353</v>
      </c>
      <c r="F259" s="5">
        <v>46099.7409837963</v>
      </c>
      <c r="G259" s="5">
        <v>46099.48737268519</v>
      </c>
      <c r="H259" s="3" t="s">
        <v>14</v>
      </c>
      <c r="I259" s="7">
        <v>0.0</v>
      </c>
      <c r="J259" s="3" t="s">
        <v>72</v>
      </c>
    </row>
    <row r="260">
      <c r="C260" s="3" t="s">
        <v>24</v>
      </c>
      <c r="D260" s="3">
        <v>5011.0</v>
      </c>
      <c r="E260" s="3" t="s">
        <v>353</v>
      </c>
      <c r="F260" s="5">
        <v>46100.74097222222</v>
      </c>
      <c r="G260" s="5">
        <v>46099.48740740741</v>
      </c>
      <c r="H260" s="3" t="s">
        <v>14</v>
      </c>
      <c r="I260" s="7">
        <v>0.0</v>
      </c>
      <c r="J260" s="3" t="s">
        <v>72</v>
      </c>
    </row>
    <row r="261">
      <c r="C261" s="3" t="s">
        <v>26</v>
      </c>
      <c r="D261" s="3">
        <v>5011.0</v>
      </c>
      <c r="E261" s="3" t="s">
        <v>353</v>
      </c>
      <c r="F261" s="5">
        <v>46100.782638888886</v>
      </c>
      <c r="G261" s="5">
        <v>46099.77006944444</v>
      </c>
      <c r="H261" s="3" t="s">
        <v>14</v>
      </c>
      <c r="I261" s="7">
        <v>0.0</v>
      </c>
      <c r="J261" s="3" t="s">
        <v>72</v>
      </c>
    </row>
    <row r="262">
      <c r="C262" s="3" t="s">
        <v>10</v>
      </c>
      <c r="D262" s="3">
        <v>5012.0</v>
      </c>
      <c r="E262" s="3" t="s">
        <v>166</v>
      </c>
      <c r="F262" s="5">
        <v>46100.64092592592</v>
      </c>
      <c r="G262" s="5">
        <v>46100.613344907404</v>
      </c>
      <c r="H262" s="3" t="s">
        <v>14</v>
      </c>
      <c r="I262" s="3">
        <v>0.0</v>
      </c>
      <c r="J262" s="3" t="s">
        <v>15</v>
      </c>
    </row>
    <row r="263">
      <c r="C263" s="3" t="s">
        <v>17</v>
      </c>
      <c r="D263" s="3">
        <v>5012.0</v>
      </c>
      <c r="E263" s="3" t="s">
        <v>166</v>
      </c>
      <c r="F263" s="5">
        <v>46100.64787037037</v>
      </c>
      <c r="G263" s="5">
        <v>46100.61344907407</v>
      </c>
      <c r="H263" s="3" t="s">
        <v>14</v>
      </c>
      <c r="I263" s="7">
        <v>0.0</v>
      </c>
      <c r="J263" s="3" t="s">
        <v>15</v>
      </c>
    </row>
    <row r="264">
      <c r="C264" s="3" t="s">
        <v>21</v>
      </c>
      <c r="D264" s="3">
        <v>5012.0</v>
      </c>
      <c r="E264" s="3" t="s">
        <v>166</v>
      </c>
      <c r="F264" s="5">
        <v>46100.75203703704</v>
      </c>
      <c r="G264" s="5">
        <v>46100.61351851852</v>
      </c>
      <c r="H264" s="3" t="s">
        <v>14</v>
      </c>
      <c r="I264" s="7">
        <v>0.0</v>
      </c>
      <c r="J264" s="3" t="s">
        <v>15</v>
      </c>
    </row>
    <row r="265">
      <c r="C265" s="3" t="s">
        <v>24</v>
      </c>
      <c r="D265" s="3">
        <v>5012.0</v>
      </c>
      <c r="E265" s="3" t="s">
        <v>166</v>
      </c>
      <c r="F265" s="5">
        <v>46101.751388888886</v>
      </c>
      <c r="G265" s="5">
        <v>46100.77239583333</v>
      </c>
      <c r="H265" s="3" t="s">
        <v>14</v>
      </c>
      <c r="I265" s="7">
        <v>0.0</v>
      </c>
      <c r="J265" s="3" t="s">
        <v>15</v>
      </c>
    </row>
    <row r="266">
      <c r="C266" s="3" t="s">
        <v>26</v>
      </c>
      <c r="D266" s="3">
        <v>5012.0</v>
      </c>
      <c r="E266" s="3" t="s">
        <v>166</v>
      </c>
      <c r="F266" s="5">
        <v>46101.79305555556</v>
      </c>
      <c r="G266" s="5">
        <v>46100.772465277776</v>
      </c>
      <c r="H266" s="3" t="s">
        <v>14</v>
      </c>
      <c r="I266" s="7">
        <v>0.0</v>
      </c>
      <c r="J266" s="3" t="s">
        <v>15</v>
      </c>
    </row>
    <row r="267">
      <c r="C267" s="3" t="s">
        <v>10</v>
      </c>
      <c r="D267" s="3">
        <v>5013.0</v>
      </c>
      <c r="E267" s="3" t="s">
        <v>365</v>
      </c>
      <c r="F267" s="5">
        <v>46100.80001157407</v>
      </c>
      <c r="G267" s="5">
        <v>46100.6453587963</v>
      </c>
      <c r="H267" s="3" t="s">
        <v>14</v>
      </c>
      <c r="I267" s="3">
        <v>0.0</v>
      </c>
      <c r="J267" s="3" t="s">
        <v>72</v>
      </c>
    </row>
    <row r="268">
      <c r="C268" s="3" t="s">
        <v>17</v>
      </c>
      <c r="D268" s="3">
        <v>5013.0</v>
      </c>
      <c r="E268" s="3" t="s">
        <v>365</v>
      </c>
      <c r="F268" s="5">
        <v>46100.80695601852</v>
      </c>
      <c r="G268" s="5">
        <v>46100.645532407405</v>
      </c>
      <c r="H268" s="3" t="s">
        <v>14</v>
      </c>
      <c r="I268" s="7">
        <v>0.0</v>
      </c>
      <c r="J268" s="3" t="s">
        <v>72</v>
      </c>
    </row>
    <row r="269">
      <c r="C269" s="3" t="s">
        <v>21</v>
      </c>
      <c r="D269" s="3">
        <v>5013.0</v>
      </c>
      <c r="E269" s="3" t="s">
        <v>365</v>
      </c>
      <c r="F269" s="5">
        <v>46101.47361111111</v>
      </c>
      <c r="G269" s="5">
        <v>46100.64561342593</v>
      </c>
      <c r="H269" s="3" t="s">
        <v>14</v>
      </c>
      <c r="I269" s="7">
        <v>0.0</v>
      </c>
      <c r="J269" s="3" t="s">
        <v>72</v>
      </c>
    </row>
    <row r="270">
      <c r="C270" s="3" t="s">
        <v>24</v>
      </c>
      <c r="D270" s="3">
        <v>5013.0</v>
      </c>
      <c r="E270" s="3" t="s">
        <v>365</v>
      </c>
      <c r="F270" s="5">
        <v>46104.47361111111</v>
      </c>
      <c r="G270" s="5">
        <v>46100.71864583333</v>
      </c>
      <c r="H270" s="3" t="s">
        <v>14</v>
      </c>
      <c r="I270" s="7">
        <v>0.0</v>
      </c>
      <c r="J270" s="3" t="s">
        <v>72</v>
      </c>
    </row>
    <row r="271">
      <c r="C271" s="3" t="s">
        <v>26</v>
      </c>
      <c r="D271" s="3">
        <v>5013.0</v>
      </c>
      <c r="E271" s="3" t="s">
        <v>365</v>
      </c>
      <c r="F271" s="5">
        <v>46104.51527777778</v>
      </c>
      <c r="G271" s="5">
        <v>46100.718668981484</v>
      </c>
      <c r="H271" s="3" t="s">
        <v>14</v>
      </c>
      <c r="I271" s="7">
        <v>0.0</v>
      </c>
      <c r="J271" s="3" t="s">
        <v>72</v>
      </c>
    </row>
    <row r="272">
      <c r="C272" s="3" t="s">
        <v>10</v>
      </c>
      <c r="D272" s="3">
        <v>5014.0</v>
      </c>
      <c r="E272" s="3" t="s">
        <v>136</v>
      </c>
      <c r="F272" s="5">
        <v>46100.46527777778</v>
      </c>
      <c r="G272" s="5">
        <v>46100.459386574075</v>
      </c>
      <c r="H272" s="3" t="s">
        <v>14</v>
      </c>
      <c r="I272" s="3">
        <v>0.0</v>
      </c>
      <c r="J272" s="3" t="s">
        <v>15</v>
      </c>
    </row>
    <row r="273">
      <c r="C273" s="3" t="s">
        <v>17</v>
      </c>
      <c r="D273" s="3">
        <v>5014.0</v>
      </c>
      <c r="E273" s="3" t="s">
        <v>136</v>
      </c>
      <c r="F273" s="5">
        <v>46100.47222222222</v>
      </c>
      <c r="G273" s="5">
        <v>46100.77140046296</v>
      </c>
      <c r="H273" s="3" t="s">
        <v>14</v>
      </c>
      <c r="I273" s="7">
        <v>0.29917824074074073</v>
      </c>
      <c r="J273" s="3" t="s">
        <v>15</v>
      </c>
    </row>
    <row r="274">
      <c r="C274" s="3" t="s">
        <v>21</v>
      </c>
      <c r="D274" s="3">
        <v>5014.0</v>
      </c>
      <c r="E274" s="3" t="s">
        <v>136</v>
      </c>
      <c r="F274" s="5">
        <v>46100.57638888889</v>
      </c>
      <c r="G274" s="5">
        <v>46100.77142361111</v>
      </c>
      <c r="H274" s="3" t="s">
        <v>14</v>
      </c>
      <c r="I274" s="7">
        <v>0.19503472222222223</v>
      </c>
      <c r="J274" s="3" t="s">
        <v>15</v>
      </c>
    </row>
    <row r="275">
      <c r="C275" s="3" t="s">
        <v>24</v>
      </c>
      <c r="D275" s="3">
        <v>5014.0</v>
      </c>
      <c r="E275" s="3" t="s">
        <v>136</v>
      </c>
      <c r="F275" s="5">
        <v>46103.57638888889</v>
      </c>
      <c r="G275" s="5">
        <v>46100.77241898148</v>
      </c>
      <c r="H275" s="3" t="s">
        <v>14</v>
      </c>
      <c r="I275" s="7">
        <v>0.0</v>
      </c>
      <c r="J275" s="3" t="s">
        <v>15</v>
      </c>
    </row>
    <row r="276">
      <c r="C276" s="3" t="s">
        <v>26</v>
      </c>
      <c r="D276" s="3">
        <v>5014.0</v>
      </c>
      <c r="E276" s="3" t="s">
        <v>136</v>
      </c>
      <c r="F276" s="5">
        <v>46104.618055555555</v>
      </c>
      <c r="G276" s="5">
        <v>46104.65001157407</v>
      </c>
      <c r="H276" s="3" t="s">
        <v>14</v>
      </c>
      <c r="I276" s="7">
        <v>0.031956018518518516</v>
      </c>
      <c r="J276" s="3" t="s">
        <v>15</v>
      </c>
    </row>
    <row r="277">
      <c r="C277" s="3" t="s">
        <v>10</v>
      </c>
      <c r="D277" s="3">
        <v>5015.0</v>
      </c>
      <c r="E277" s="3" t="s">
        <v>371</v>
      </c>
      <c r="F277" s="5">
        <v>46101.79861111111</v>
      </c>
      <c r="G277" s="5">
        <v>46101.63759259259</v>
      </c>
      <c r="H277" s="3" t="s">
        <v>14</v>
      </c>
      <c r="I277" s="3">
        <v>0.0</v>
      </c>
      <c r="J277" s="3" t="s">
        <v>61</v>
      </c>
    </row>
    <row r="278">
      <c r="C278" s="3" t="s">
        <v>17</v>
      </c>
      <c r="D278" s="3">
        <v>5015.0</v>
      </c>
      <c r="E278" s="3" t="s">
        <v>371</v>
      </c>
      <c r="F278" s="5">
        <v>46102.555555555555</v>
      </c>
      <c r="G278" s="5">
        <v>46101.72222222222</v>
      </c>
      <c r="H278" s="3" t="s">
        <v>14</v>
      </c>
      <c r="I278" s="7">
        <v>0.0</v>
      </c>
      <c r="J278" s="3" t="s">
        <v>61</v>
      </c>
    </row>
    <row r="279">
      <c r="C279" s="3" t="s">
        <v>21</v>
      </c>
      <c r="D279" s="3">
        <v>5015.0</v>
      </c>
      <c r="E279" s="3" t="s">
        <v>371</v>
      </c>
      <c r="F279" s="5">
        <v>46104.65972222222</v>
      </c>
      <c r="G279" s="5">
        <v>46104.510405092595</v>
      </c>
      <c r="H279" s="3" t="s">
        <v>14</v>
      </c>
      <c r="I279" s="7">
        <v>0.0</v>
      </c>
      <c r="J279" s="3" t="s">
        <v>61</v>
      </c>
    </row>
    <row r="280">
      <c r="C280" s="3" t="s">
        <v>24</v>
      </c>
      <c r="D280" s="3">
        <v>5015.0</v>
      </c>
      <c r="E280" s="3" t="s">
        <v>371</v>
      </c>
      <c r="F280" s="5">
        <v>46105.65972222222</v>
      </c>
      <c r="G280" s="5">
        <v>46104.65037037037</v>
      </c>
      <c r="H280" s="3" t="s">
        <v>14</v>
      </c>
      <c r="I280" s="7">
        <v>0.0</v>
      </c>
      <c r="J280" s="3" t="s">
        <v>61</v>
      </c>
    </row>
    <row r="281">
      <c r="C281" s="3" t="s">
        <v>26</v>
      </c>
      <c r="D281" s="3">
        <v>5015.0</v>
      </c>
      <c r="E281" s="3" t="s">
        <v>371</v>
      </c>
      <c r="F281" s="5">
        <v>46105.70138888889</v>
      </c>
      <c r="G281" s="5">
        <v>46104.65039351852</v>
      </c>
      <c r="H281" s="3" t="s">
        <v>14</v>
      </c>
      <c r="I281" s="7">
        <v>0.0</v>
      </c>
      <c r="J281" s="3" t="s">
        <v>61</v>
      </c>
    </row>
    <row r="282">
      <c r="C282" s="3" t="s">
        <v>10</v>
      </c>
      <c r="D282" s="3">
        <v>5016.0</v>
      </c>
      <c r="E282" s="3" t="s">
        <v>375</v>
      </c>
      <c r="F282" s="5">
        <v>46104.48402777778</v>
      </c>
      <c r="G282" s="5">
        <v>46101.73599537037</v>
      </c>
      <c r="H282" s="3" t="s">
        <v>14</v>
      </c>
      <c r="I282" s="3">
        <v>0.0</v>
      </c>
      <c r="J282" s="3" t="s">
        <v>48</v>
      </c>
    </row>
    <row r="283">
      <c r="C283" s="3" t="s">
        <v>17</v>
      </c>
      <c r="D283" s="3">
        <v>5016.0</v>
      </c>
      <c r="E283" s="3" t="s">
        <v>375</v>
      </c>
      <c r="F283" s="5">
        <v>46104.49097222222</v>
      </c>
      <c r="G283" s="5">
        <v>46101.736180555556</v>
      </c>
      <c r="H283" s="3" t="s">
        <v>14</v>
      </c>
      <c r="I283" s="7">
        <v>0.0</v>
      </c>
      <c r="J283" s="3" t="s">
        <v>48</v>
      </c>
    </row>
    <row r="284">
      <c r="C284" s="3" t="s">
        <v>21</v>
      </c>
      <c r="D284" s="3">
        <v>5016.0</v>
      </c>
      <c r="E284" s="3" t="s">
        <v>375</v>
      </c>
      <c r="F284" s="5">
        <v>46104.595138888886</v>
      </c>
      <c r="G284" s="5">
        <v>46101.736238425925</v>
      </c>
      <c r="H284" s="3" t="s">
        <v>14</v>
      </c>
      <c r="I284" s="7">
        <v>0.0</v>
      </c>
      <c r="J284" s="3" t="s">
        <v>48</v>
      </c>
    </row>
    <row r="285">
      <c r="C285" s="3" t="s">
        <v>24</v>
      </c>
      <c r="D285" s="3">
        <v>5016.0</v>
      </c>
      <c r="E285" s="3" t="s">
        <v>375</v>
      </c>
      <c r="F285" s="5">
        <v>46105.595138888886</v>
      </c>
      <c r="G285" s="5">
        <v>46105.450266203705</v>
      </c>
      <c r="H285" s="3" t="s">
        <v>14</v>
      </c>
      <c r="I285" s="7">
        <v>0.0</v>
      </c>
      <c r="J285" s="3" t="s">
        <v>48</v>
      </c>
    </row>
    <row r="286">
      <c r="C286" s="3" t="s">
        <v>26</v>
      </c>
      <c r="D286" s="3">
        <v>5016.0</v>
      </c>
      <c r="E286" s="3" t="s">
        <v>375</v>
      </c>
      <c r="F286" s="5">
        <v>46105.63680555556</v>
      </c>
      <c r="G286" s="5">
        <v>46105.45033564815</v>
      </c>
      <c r="H286" s="3" t="s">
        <v>14</v>
      </c>
      <c r="I286" s="7">
        <v>0.0</v>
      </c>
      <c r="J286" s="3" t="s">
        <v>48</v>
      </c>
    </row>
    <row r="287">
      <c r="C287" s="3" t="s">
        <v>10</v>
      </c>
      <c r="D287" s="3">
        <v>5017.0</v>
      </c>
      <c r="E287" s="3" t="s">
        <v>244</v>
      </c>
      <c r="F287" s="5">
        <v>46104.51666666667</v>
      </c>
      <c r="G287" s="5">
        <v>46101.77480324074</v>
      </c>
      <c r="H287" s="3" t="s">
        <v>14</v>
      </c>
      <c r="I287" s="3">
        <v>0.0</v>
      </c>
      <c r="J287" s="3" t="s">
        <v>48</v>
      </c>
    </row>
    <row r="288">
      <c r="C288" s="3" t="s">
        <v>17</v>
      </c>
      <c r="D288" s="3">
        <v>5017.0</v>
      </c>
      <c r="E288" s="3" t="s">
        <v>244</v>
      </c>
      <c r="F288" s="5">
        <v>46104.52361111111</v>
      </c>
      <c r="G288" s="5">
        <v>46101.77494212963</v>
      </c>
      <c r="H288" s="3" t="s">
        <v>14</v>
      </c>
      <c r="I288" s="7">
        <v>0.0</v>
      </c>
      <c r="J288" s="3" t="s">
        <v>48</v>
      </c>
    </row>
    <row r="289">
      <c r="C289" s="3" t="s">
        <v>21</v>
      </c>
      <c r="D289" s="3">
        <v>5017.0</v>
      </c>
      <c r="E289" s="3" t="s">
        <v>244</v>
      </c>
      <c r="F289" s="5">
        <v>46104.62777777778</v>
      </c>
      <c r="G289" s="5">
        <v>46101.774988425925</v>
      </c>
      <c r="H289" s="3" t="s">
        <v>14</v>
      </c>
      <c r="I289" s="7">
        <v>0.0</v>
      </c>
      <c r="J289" s="3" t="s">
        <v>48</v>
      </c>
    </row>
    <row r="290">
      <c r="C290" s="3" t="s">
        <v>24</v>
      </c>
      <c r="D290" s="3">
        <v>5017.0</v>
      </c>
      <c r="E290" s="3" t="s">
        <v>244</v>
      </c>
      <c r="F290" s="5">
        <v>46105.62777777778</v>
      </c>
      <c r="G290" s="5">
        <v>46104.68761574074</v>
      </c>
      <c r="H290" s="3" t="s">
        <v>14</v>
      </c>
      <c r="I290" s="7">
        <v>0.0</v>
      </c>
      <c r="J290" s="3" t="s">
        <v>48</v>
      </c>
    </row>
    <row r="291">
      <c r="C291" s="3" t="s">
        <v>26</v>
      </c>
      <c r="D291" s="3">
        <v>5017.0</v>
      </c>
      <c r="E291" s="3" t="s">
        <v>244</v>
      </c>
      <c r="F291" s="5">
        <v>46105.669444444444</v>
      </c>
      <c r="G291" s="5">
        <v>46105.45034722222</v>
      </c>
      <c r="H291" s="3" t="s">
        <v>14</v>
      </c>
      <c r="I291" s="7">
        <v>0.0</v>
      </c>
      <c r="J291" s="3" t="s">
        <v>48</v>
      </c>
    </row>
    <row r="292">
      <c r="C292" s="3" t="s">
        <v>10</v>
      </c>
      <c r="D292" s="3">
        <v>5018.0</v>
      </c>
      <c r="E292" s="3" t="s">
        <v>244</v>
      </c>
      <c r="F292" s="5">
        <v>46104.807905092595</v>
      </c>
      <c r="G292" s="5">
        <v>46104.65289351852</v>
      </c>
      <c r="H292" s="3" t="s">
        <v>14</v>
      </c>
      <c r="I292" s="3">
        <v>0.0</v>
      </c>
      <c r="J292" s="3" t="s">
        <v>15</v>
      </c>
    </row>
    <row r="293">
      <c r="C293" s="3" t="s">
        <v>17</v>
      </c>
      <c r="D293" s="3">
        <v>5018.0</v>
      </c>
      <c r="E293" s="3" t="s">
        <v>244</v>
      </c>
      <c r="F293" s="5">
        <v>46104.81484953704</v>
      </c>
      <c r="G293" s="5">
        <v>46104.65304398148</v>
      </c>
      <c r="H293" s="3" t="s">
        <v>14</v>
      </c>
      <c r="I293" s="7">
        <v>0.0</v>
      </c>
      <c r="J293" s="3" t="s">
        <v>15</v>
      </c>
    </row>
    <row r="294">
      <c r="C294" s="3" t="s">
        <v>21</v>
      </c>
      <c r="D294" s="3">
        <v>5018.0</v>
      </c>
      <c r="E294" s="3" t="s">
        <v>244</v>
      </c>
      <c r="F294" s="5">
        <v>46105.52291666667</v>
      </c>
      <c r="G294" s="5">
        <v>46104.687523148146</v>
      </c>
      <c r="H294" s="3" t="s">
        <v>14</v>
      </c>
      <c r="I294" s="7">
        <v>0.0</v>
      </c>
      <c r="J294" s="3" t="s">
        <v>15</v>
      </c>
    </row>
    <row r="295">
      <c r="C295" s="3" t="s">
        <v>24</v>
      </c>
      <c r="D295" s="3">
        <v>5018.0</v>
      </c>
      <c r="E295" s="3" t="s">
        <v>244</v>
      </c>
      <c r="F295" s="5">
        <v>46106.52291666667</v>
      </c>
      <c r="G295" s="5">
        <v>46104.687581018516</v>
      </c>
      <c r="H295" s="3" t="s">
        <v>14</v>
      </c>
      <c r="I295" s="7">
        <v>0.0</v>
      </c>
      <c r="J295" s="3" t="s">
        <v>15</v>
      </c>
    </row>
    <row r="296">
      <c r="C296" s="3" t="s">
        <v>26</v>
      </c>
      <c r="D296" s="3">
        <v>5018.0</v>
      </c>
      <c r="E296" s="3" t="s">
        <v>244</v>
      </c>
      <c r="F296" s="5">
        <v>46106.56458333333</v>
      </c>
      <c r="G296" s="5">
        <v>46104.736296296294</v>
      </c>
      <c r="H296" s="3" t="s">
        <v>14</v>
      </c>
      <c r="I296" s="7">
        <v>0.0</v>
      </c>
      <c r="J296" s="3" t="s">
        <v>15</v>
      </c>
    </row>
    <row r="297">
      <c r="C297" s="3" t="s">
        <v>10</v>
      </c>
      <c r="D297" s="3">
        <v>5019.0</v>
      </c>
      <c r="E297" s="3" t="s">
        <v>383</v>
      </c>
      <c r="F297" s="5">
        <v>46104.82944444445</v>
      </c>
      <c r="G297" s="5">
        <v>46104.73405092592</v>
      </c>
      <c r="H297" s="3" t="s">
        <v>14</v>
      </c>
      <c r="I297" s="3">
        <v>0.0</v>
      </c>
      <c r="J297" s="3" t="s">
        <v>48</v>
      </c>
    </row>
    <row r="298">
      <c r="C298" s="3" t="s">
        <v>17</v>
      </c>
      <c r="D298" s="3">
        <v>5019.0</v>
      </c>
      <c r="E298" s="3" t="s">
        <v>383</v>
      </c>
      <c r="F298" s="5">
        <v>46105.45416666667</v>
      </c>
      <c r="G298" s="5">
        <v>46104.73478009259</v>
      </c>
      <c r="H298" s="3" t="s">
        <v>14</v>
      </c>
      <c r="I298" s="7">
        <v>0.0</v>
      </c>
      <c r="J298" s="3" t="s">
        <v>48</v>
      </c>
    </row>
    <row r="299">
      <c r="C299" s="3" t="s">
        <v>21</v>
      </c>
      <c r="D299" s="3">
        <v>5019.0</v>
      </c>
      <c r="E299" s="3" t="s">
        <v>383</v>
      </c>
      <c r="F299" s="5">
        <v>46105.558333333334</v>
      </c>
      <c r="G299" s="5">
        <v>46104.734988425924</v>
      </c>
      <c r="H299" s="3" t="s">
        <v>14</v>
      </c>
      <c r="I299" s="7">
        <v>0.0</v>
      </c>
      <c r="J299" s="3" t="s">
        <v>48</v>
      </c>
    </row>
    <row r="300">
      <c r="C300" s="3" t="s">
        <v>24</v>
      </c>
      <c r="D300" s="3">
        <v>5019.0</v>
      </c>
      <c r="E300" s="3" t="s">
        <v>383</v>
      </c>
      <c r="F300" s="5">
        <v>46106.558333333334</v>
      </c>
      <c r="G300" s="5">
        <v>46104.73606481482</v>
      </c>
      <c r="H300" s="3" t="s">
        <v>14</v>
      </c>
      <c r="I300" s="7">
        <v>0.0</v>
      </c>
      <c r="J300" s="3" t="s">
        <v>48</v>
      </c>
    </row>
    <row r="301">
      <c r="C301" s="3" t="s">
        <v>26</v>
      </c>
      <c r="D301" s="3">
        <v>5019.0</v>
      </c>
      <c r="E301" s="3" t="s">
        <v>383</v>
      </c>
      <c r="F301" s="5">
        <v>46106.6</v>
      </c>
      <c r="G301" s="5">
        <v>46105.69603009259</v>
      </c>
      <c r="H301" s="3" t="s">
        <v>14</v>
      </c>
      <c r="I301" s="7">
        <v>0.0</v>
      </c>
      <c r="J301" s="3" t="s">
        <v>48</v>
      </c>
    </row>
    <row r="302">
      <c r="C302" s="3" t="s">
        <v>10</v>
      </c>
      <c r="D302" s="3">
        <v>5020.0</v>
      </c>
      <c r="E302" s="3" t="s">
        <v>386</v>
      </c>
      <c r="F302" s="5">
        <v>46105.46805555555</v>
      </c>
      <c r="G302" s="5">
        <v>46104.73405092592</v>
      </c>
      <c r="H302" s="3" t="s">
        <v>14</v>
      </c>
      <c r="I302" s="3">
        <v>0.0</v>
      </c>
      <c r="J302" s="3" t="s">
        <v>72</v>
      </c>
    </row>
    <row r="303">
      <c r="C303" s="3" t="s">
        <v>17</v>
      </c>
      <c r="D303" s="3">
        <v>5020.0</v>
      </c>
      <c r="E303" s="3" t="s">
        <v>386</v>
      </c>
      <c r="F303" s="5">
        <v>46105.475</v>
      </c>
      <c r="G303" s="5">
        <v>46104.73488425926</v>
      </c>
      <c r="H303" s="3" t="s">
        <v>14</v>
      </c>
      <c r="I303" s="7">
        <v>0.0</v>
      </c>
      <c r="J303" s="3" t="s">
        <v>72</v>
      </c>
    </row>
    <row r="304">
      <c r="C304" s="3" t="s">
        <v>21</v>
      </c>
      <c r="D304" s="3">
        <v>5020.0</v>
      </c>
      <c r="E304" s="3" t="s">
        <v>386</v>
      </c>
      <c r="F304" s="5">
        <v>46105.57916666667</v>
      </c>
      <c r="G304" s="5">
        <v>46104.73501157408</v>
      </c>
      <c r="H304" s="3" t="s">
        <v>14</v>
      </c>
      <c r="I304" s="7">
        <v>0.0</v>
      </c>
      <c r="J304" s="3" t="s">
        <v>72</v>
      </c>
    </row>
    <row r="305">
      <c r="C305" s="3" t="s">
        <v>24</v>
      </c>
      <c r="D305" s="3">
        <v>5020.0</v>
      </c>
      <c r="E305" s="3" t="s">
        <v>386</v>
      </c>
      <c r="F305" s="5">
        <v>46106.57916666667</v>
      </c>
      <c r="G305" s="5">
        <v>46104.73607638889</v>
      </c>
      <c r="H305" s="3" t="s">
        <v>14</v>
      </c>
      <c r="I305" s="7">
        <v>0.0</v>
      </c>
      <c r="J305" s="3" t="s">
        <v>72</v>
      </c>
    </row>
    <row r="306">
      <c r="C306" s="3" t="s">
        <v>26</v>
      </c>
      <c r="D306" s="3">
        <v>5020.0</v>
      </c>
      <c r="E306" s="3" t="s">
        <v>386</v>
      </c>
      <c r="F306" s="5">
        <v>46106.620833333334</v>
      </c>
      <c r="G306" s="5">
        <v>46106.48459490741</v>
      </c>
      <c r="H306" s="3" t="s">
        <v>14</v>
      </c>
      <c r="I306" s="7">
        <v>0.0</v>
      </c>
      <c r="J306" s="3" t="s">
        <v>72</v>
      </c>
    </row>
    <row r="307">
      <c r="C307" s="3" t="s">
        <v>10</v>
      </c>
      <c r="D307" s="3">
        <v>5021.0</v>
      </c>
      <c r="E307" s="3" t="s">
        <v>389</v>
      </c>
      <c r="F307" s="5">
        <v>46106.44305555556</v>
      </c>
      <c r="G307" s="5">
        <v>46105.69577546296</v>
      </c>
      <c r="H307" s="3" t="s">
        <v>14</v>
      </c>
      <c r="I307" s="3">
        <v>0.0</v>
      </c>
      <c r="J307" s="3" t="s">
        <v>48</v>
      </c>
    </row>
    <row r="308">
      <c r="C308" s="3" t="s">
        <v>17</v>
      </c>
      <c r="D308" s="3">
        <v>5021.0</v>
      </c>
      <c r="E308" s="3" t="s">
        <v>389</v>
      </c>
      <c r="F308" s="5">
        <v>46106.45</v>
      </c>
      <c r="G308" s="5">
        <v>46105.69583333333</v>
      </c>
      <c r="H308" s="3" t="s">
        <v>14</v>
      </c>
      <c r="I308" s="7">
        <v>0.0</v>
      </c>
      <c r="J308" s="3" t="s">
        <v>48</v>
      </c>
    </row>
    <row r="309">
      <c r="C309" s="3" t="s">
        <v>21</v>
      </c>
      <c r="D309" s="3">
        <v>5021.0</v>
      </c>
      <c r="E309" s="3" t="s">
        <v>389</v>
      </c>
      <c r="F309" s="5">
        <v>46106.55416666667</v>
      </c>
      <c r="G309" s="5">
        <v>46105.7784837963</v>
      </c>
      <c r="H309" s="3" t="s">
        <v>14</v>
      </c>
      <c r="I309" s="7">
        <v>0.0</v>
      </c>
      <c r="J309" s="3" t="s">
        <v>48</v>
      </c>
    </row>
    <row r="310">
      <c r="C310" s="3" t="s">
        <v>24</v>
      </c>
      <c r="D310" s="3">
        <v>5021.0</v>
      </c>
      <c r="E310" s="3" t="s">
        <v>389</v>
      </c>
      <c r="F310" s="5">
        <v>46107.55416666667</v>
      </c>
      <c r="G310" s="5">
        <v>46106.52581018519</v>
      </c>
      <c r="H310" s="3" t="s">
        <v>14</v>
      </c>
      <c r="I310" s="7">
        <v>0.0</v>
      </c>
      <c r="J310" s="3" t="s">
        <v>48</v>
      </c>
    </row>
    <row r="311">
      <c r="C311" s="3" t="s">
        <v>26</v>
      </c>
      <c r="D311" s="3">
        <v>5021.0</v>
      </c>
      <c r="E311" s="3" t="s">
        <v>389</v>
      </c>
      <c r="F311" s="5">
        <v>46107.59583333333</v>
      </c>
      <c r="G311" s="5">
        <v>46106.66237268518</v>
      </c>
      <c r="H311" s="3" t="s">
        <v>14</v>
      </c>
      <c r="I311" s="7">
        <v>0.0</v>
      </c>
      <c r="J311" s="3" t="s">
        <v>48</v>
      </c>
    </row>
    <row r="312">
      <c r="C312" s="3" t="s">
        <v>10</v>
      </c>
      <c r="D312" s="3">
        <v>5022.0</v>
      </c>
      <c r="E312" s="3" t="s">
        <v>166</v>
      </c>
      <c r="F312" s="5">
        <v>46106.628912037035</v>
      </c>
      <c r="G312" s="5">
        <v>46106.4844212963</v>
      </c>
      <c r="H312" s="3" t="s">
        <v>14</v>
      </c>
      <c r="I312" s="3">
        <v>0.0</v>
      </c>
      <c r="J312" s="3" t="s">
        <v>15</v>
      </c>
    </row>
    <row r="313">
      <c r="C313" s="3" t="s">
        <v>17</v>
      </c>
      <c r="D313" s="3">
        <v>5022.0</v>
      </c>
      <c r="E313" s="3" t="s">
        <v>166</v>
      </c>
      <c r="F313" s="5">
        <v>46106.63585648148</v>
      </c>
      <c r="G313" s="5">
        <v>46106.48458333333</v>
      </c>
      <c r="H313" s="3" t="s">
        <v>14</v>
      </c>
      <c r="I313" s="7">
        <v>0.0</v>
      </c>
      <c r="J313" s="3" t="s">
        <v>15</v>
      </c>
    </row>
    <row r="314">
      <c r="C314" s="3" t="s">
        <v>21</v>
      </c>
      <c r="D314" s="3">
        <v>5022.0</v>
      </c>
      <c r="E314" s="3" t="s">
        <v>166</v>
      </c>
      <c r="F314" s="5">
        <v>46106.74002314815</v>
      </c>
      <c r="G314" s="5">
        <v>46106.63626157407</v>
      </c>
      <c r="H314" s="3" t="s">
        <v>14</v>
      </c>
      <c r="I314" s="7">
        <v>0.0</v>
      </c>
      <c r="J314" s="3" t="s">
        <v>15</v>
      </c>
    </row>
    <row r="315">
      <c r="C315" s="3" t="s">
        <v>24</v>
      </c>
      <c r="D315" s="3">
        <v>5022.0</v>
      </c>
      <c r="E315" s="3" t="s">
        <v>166</v>
      </c>
      <c r="F315" s="5">
        <v>46107.739583333336</v>
      </c>
      <c r="G315" s="5">
        <v>46106.596550925926</v>
      </c>
      <c r="H315" s="3" t="s">
        <v>14</v>
      </c>
      <c r="I315" s="7">
        <v>0.0</v>
      </c>
      <c r="J315" s="3" t="s">
        <v>15</v>
      </c>
    </row>
    <row r="316">
      <c r="C316" s="3" t="s">
        <v>26</v>
      </c>
      <c r="D316" s="3">
        <v>5022.0</v>
      </c>
      <c r="E316" s="3" t="s">
        <v>166</v>
      </c>
      <c r="F316" s="5">
        <v>46107.78125</v>
      </c>
      <c r="G316" s="5">
        <v>46106.596597222226</v>
      </c>
      <c r="H316" s="3" t="s">
        <v>14</v>
      </c>
      <c r="I316" s="7">
        <v>0.0</v>
      </c>
      <c r="J316" s="3" t="s">
        <v>15</v>
      </c>
    </row>
    <row r="317">
      <c r="C317" s="3" t="s">
        <v>10</v>
      </c>
      <c r="D317" s="3">
        <v>5023.0</v>
      </c>
      <c r="E317" s="3" t="s">
        <v>397</v>
      </c>
      <c r="F317" s="5">
        <v>46106.798993055556</v>
      </c>
      <c r="G317" s="5">
        <v>46106.63606481482</v>
      </c>
      <c r="H317" s="3" t="s">
        <v>14</v>
      </c>
      <c r="I317" s="3">
        <v>0.0</v>
      </c>
      <c r="J317" s="3" t="s">
        <v>48</v>
      </c>
    </row>
    <row r="318">
      <c r="C318" s="3" t="s">
        <v>17</v>
      </c>
      <c r="D318" s="3">
        <v>5023.0</v>
      </c>
      <c r="E318" s="3" t="s">
        <v>397</v>
      </c>
      <c r="F318" s="5">
        <v>46106.8059375</v>
      </c>
      <c r="G318" s="5">
        <v>46106.63613425926</v>
      </c>
      <c r="H318" s="3" t="s">
        <v>14</v>
      </c>
      <c r="I318" s="7">
        <v>0.0</v>
      </c>
      <c r="J318" s="3" t="s">
        <v>48</v>
      </c>
    </row>
    <row r="319">
      <c r="C319" s="3" t="s">
        <v>21</v>
      </c>
      <c r="D319" s="3">
        <v>5023.0</v>
      </c>
      <c r="E319" s="3" t="s">
        <v>397</v>
      </c>
      <c r="F319" s="5">
        <v>46107.47222222222</v>
      </c>
      <c r="G319" s="5">
        <v>46106.63626157407</v>
      </c>
      <c r="H319" s="3" t="s">
        <v>14</v>
      </c>
      <c r="I319" s="7">
        <v>0.0</v>
      </c>
      <c r="J319" s="3" t="s">
        <v>48</v>
      </c>
    </row>
    <row r="320">
      <c r="C320" s="3" t="s">
        <v>24</v>
      </c>
      <c r="D320" s="3">
        <v>5023.0</v>
      </c>
      <c r="E320" s="3" t="s">
        <v>397</v>
      </c>
      <c r="F320" s="5">
        <v>46108.47222222222</v>
      </c>
      <c r="G320" s="5">
        <v>46106.66244212963</v>
      </c>
      <c r="H320" s="3" t="s">
        <v>14</v>
      </c>
      <c r="I320" s="7">
        <v>0.0</v>
      </c>
      <c r="J320" s="3" t="s">
        <v>48</v>
      </c>
    </row>
    <row r="321">
      <c r="C321" s="3" t="s">
        <v>26</v>
      </c>
      <c r="D321" s="3">
        <v>5023.0</v>
      </c>
      <c r="E321" s="3" t="s">
        <v>397</v>
      </c>
      <c r="F321" s="5">
        <v>46108.51388888889</v>
      </c>
      <c r="G321" s="5">
        <v>46106.66248842593</v>
      </c>
      <c r="H321" s="3" t="s">
        <v>14</v>
      </c>
      <c r="I321" s="7">
        <v>0.0</v>
      </c>
      <c r="J321" s="3" t="s">
        <v>48</v>
      </c>
    </row>
    <row r="322">
      <c r="C322" s="3" t="s">
        <v>10</v>
      </c>
      <c r="D322" s="3">
        <v>5024.0</v>
      </c>
      <c r="E322" s="3" t="s">
        <v>403</v>
      </c>
      <c r="F322" s="5">
        <v>46106.80328703704</v>
      </c>
      <c r="G322" s="5">
        <v>46106.68388888889</v>
      </c>
      <c r="H322" s="3" t="s">
        <v>14</v>
      </c>
      <c r="I322" s="3">
        <v>0.0</v>
      </c>
      <c r="J322" s="3" t="s">
        <v>15</v>
      </c>
    </row>
    <row r="323">
      <c r="C323" s="3" t="s">
        <v>17</v>
      </c>
      <c r="D323" s="3">
        <v>5024.0</v>
      </c>
      <c r="E323" s="3" t="s">
        <v>403</v>
      </c>
      <c r="F323" s="5">
        <v>46106.81023148148</v>
      </c>
      <c r="G323" s="5">
        <v>46106.68373842593</v>
      </c>
      <c r="H323" s="3" t="s">
        <v>14</v>
      </c>
      <c r="I323" s="7">
        <v>0.0</v>
      </c>
      <c r="J323" s="3" t="s">
        <v>15</v>
      </c>
    </row>
    <row r="324">
      <c r="C324" s="3" t="s">
        <v>21</v>
      </c>
      <c r="D324" s="3">
        <v>5024.0</v>
      </c>
      <c r="E324" s="3" t="s">
        <v>403</v>
      </c>
      <c r="F324" s="5">
        <v>46107.47638888889</v>
      </c>
      <c r="G324" s="5">
        <v>46106.683796296296</v>
      </c>
      <c r="H324" s="3" t="s">
        <v>14</v>
      </c>
      <c r="I324" s="7">
        <v>0.0</v>
      </c>
      <c r="J324" s="3" t="s">
        <v>15</v>
      </c>
    </row>
    <row r="325">
      <c r="C325" s="3" t="s">
        <v>24</v>
      </c>
      <c r="D325" s="3">
        <v>5024.0</v>
      </c>
      <c r="E325" s="3" t="s">
        <v>403</v>
      </c>
      <c r="F325" s="5">
        <v>46108.47638888889</v>
      </c>
      <c r="G325" s="5">
        <v>46106.7559375</v>
      </c>
      <c r="H325" s="3" t="s">
        <v>14</v>
      </c>
      <c r="I325" s="7">
        <v>0.0</v>
      </c>
      <c r="J325" s="3" t="s">
        <v>15</v>
      </c>
    </row>
    <row r="326">
      <c r="C326" s="3" t="s">
        <v>26</v>
      </c>
      <c r="D326" s="3">
        <v>5024.0</v>
      </c>
      <c r="E326" s="3" t="s">
        <v>403</v>
      </c>
      <c r="F326" s="5">
        <v>46108.518055555556</v>
      </c>
      <c r="G326" s="5">
        <v>46106.7559837963</v>
      </c>
      <c r="H326" s="3" t="s">
        <v>14</v>
      </c>
      <c r="I326" s="7">
        <v>0.0</v>
      </c>
      <c r="J326" s="3" t="s">
        <v>15</v>
      </c>
    </row>
    <row r="327">
      <c r="C327" s="3" t="s">
        <v>10</v>
      </c>
      <c r="D327" s="3">
        <v>5025.0</v>
      </c>
      <c r="E327" s="3" t="s">
        <v>407</v>
      </c>
      <c r="F327" s="5">
        <v>46107.46041666667</v>
      </c>
      <c r="G327" s="5">
        <v>46106.75603009259</v>
      </c>
      <c r="H327" s="3" t="s">
        <v>14</v>
      </c>
      <c r="I327" s="3">
        <v>0.0</v>
      </c>
      <c r="J327" s="3" t="s">
        <v>72</v>
      </c>
    </row>
    <row r="328">
      <c r="C328" s="3" t="s">
        <v>17</v>
      </c>
      <c r="D328" s="3">
        <v>5025.0</v>
      </c>
      <c r="E328" s="3" t="s">
        <v>407</v>
      </c>
      <c r="F328" s="5">
        <v>46107.467361111114</v>
      </c>
      <c r="G328" s="5">
        <v>46106.75623842593</v>
      </c>
      <c r="H328" s="3" t="s">
        <v>14</v>
      </c>
      <c r="I328" s="7">
        <v>0.0</v>
      </c>
      <c r="J328" s="3" t="s">
        <v>72</v>
      </c>
    </row>
    <row r="329">
      <c r="C329" s="3" t="s">
        <v>21</v>
      </c>
      <c r="D329" s="3">
        <v>5025.0</v>
      </c>
      <c r="E329" s="3" t="s">
        <v>407</v>
      </c>
      <c r="F329" s="5">
        <v>46107.57152777778</v>
      </c>
      <c r="G329" s="5">
        <v>46106.756377314814</v>
      </c>
      <c r="H329" s="3" t="s">
        <v>14</v>
      </c>
      <c r="I329" s="7">
        <v>0.0</v>
      </c>
      <c r="J329" s="3" t="s">
        <v>72</v>
      </c>
    </row>
    <row r="330">
      <c r="C330" s="3" t="s">
        <v>24</v>
      </c>
      <c r="D330" s="3">
        <v>5025.0</v>
      </c>
      <c r="E330" s="3" t="s">
        <v>407</v>
      </c>
      <c r="F330" s="5">
        <v>46108.57152777778</v>
      </c>
      <c r="G330" s="5">
        <v>46107.47628472222</v>
      </c>
      <c r="H330" s="3" t="s">
        <v>14</v>
      </c>
      <c r="I330" s="7">
        <v>0.0</v>
      </c>
      <c r="J330" s="3" t="s">
        <v>72</v>
      </c>
    </row>
    <row r="331">
      <c r="C331" s="3" t="s">
        <v>26</v>
      </c>
      <c r="D331" s="3">
        <v>5025.0</v>
      </c>
      <c r="E331" s="3" t="s">
        <v>407</v>
      </c>
      <c r="F331" s="5">
        <v>46108.61319444444</v>
      </c>
      <c r="G331" s="5">
        <v>46107.47634259259</v>
      </c>
      <c r="H331" s="3" t="s">
        <v>14</v>
      </c>
      <c r="I331" s="7">
        <v>0.0</v>
      </c>
      <c r="J331" s="3" t="s">
        <v>72</v>
      </c>
    </row>
    <row r="332">
      <c r="C332" s="3" t="s">
        <v>10</v>
      </c>
      <c r="D332" s="3">
        <v>5026.0</v>
      </c>
      <c r="E332" s="3" t="s">
        <v>410</v>
      </c>
      <c r="F332" s="5">
        <v>46107.46805555555</v>
      </c>
      <c r="G332" s="5">
        <v>46106.756053240744</v>
      </c>
      <c r="H332" s="3" t="s">
        <v>14</v>
      </c>
      <c r="I332" s="3">
        <v>0.0</v>
      </c>
      <c r="J332" s="3" t="s">
        <v>72</v>
      </c>
    </row>
    <row r="333">
      <c r="C333" s="3" t="s">
        <v>17</v>
      </c>
      <c r="D333" s="3">
        <v>5026.0</v>
      </c>
      <c r="E333" s="3" t="s">
        <v>410</v>
      </c>
      <c r="F333" s="5">
        <v>46107.475</v>
      </c>
      <c r="G333" s="5">
        <v>46106.75625</v>
      </c>
      <c r="H333" s="3" t="s">
        <v>14</v>
      </c>
      <c r="I333" s="7">
        <v>0.0</v>
      </c>
      <c r="J333" s="3" t="s">
        <v>72</v>
      </c>
    </row>
    <row r="334">
      <c r="C334" s="3" t="s">
        <v>21</v>
      </c>
      <c r="D334" s="3">
        <v>5026.0</v>
      </c>
      <c r="E334" s="3" t="s">
        <v>410</v>
      </c>
      <c r="F334" s="5">
        <v>46107.57916666667</v>
      </c>
      <c r="G334" s="5">
        <v>46106.75638888889</v>
      </c>
      <c r="H334" s="3" t="s">
        <v>14</v>
      </c>
      <c r="I334" s="7">
        <v>0.0</v>
      </c>
      <c r="J334" s="3" t="s">
        <v>72</v>
      </c>
    </row>
    <row r="335">
      <c r="C335" s="3" t="s">
        <v>24</v>
      </c>
      <c r="D335" s="3">
        <v>5026.0</v>
      </c>
      <c r="E335" s="3" t="s">
        <v>410</v>
      </c>
      <c r="F335" s="5">
        <v>46108.57916666667</v>
      </c>
      <c r="G335" s="5">
        <v>46107.4762962963</v>
      </c>
      <c r="H335" s="3" t="s">
        <v>14</v>
      </c>
      <c r="I335" s="7">
        <v>0.0</v>
      </c>
      <c r="J335" s="3" t="s">
        <v>72</v>
      </c>
    </row>
    <row r="336">
      <c r="C336" s="3" t="s">
        <v>26</v>
      </c>
      <c r="D336" s="3">
        <v>5026.0</v>
      </c>
      <c r="E336" s="3" t="s">
        <v>410</v>
      </c>
      <c r="F336" s="5">
        <v>46108.620833333334</v>
      </c>
      <c r="G336" s="5">
        <v>46107.47635416667</v>
      </c>
      <c r="H336" s="3" t="s">
        <v>14</v>
      </c>
      <c r="I336" s="7">
        <v>0.0</v>
      </c>
      <c r="J336" s="3" t="s">
        <v>72</v>
      </c>
    </row>
    <row r="337">
      <c r="C337" s="3" t="s">
        <v>10</v>
      </c>
      <c r="D337" s="3">
        <v>5027.0</v>
      </c>
      <c r="E337" s="3" t="s">
        <v>413</v>
      </c>
      <c r="F337" s="5">
        <v>46107.6478587963</v>
      </c>
      <c r="G337" s="5">
        <v>46107.48782407407</v>
      </c>
      <c r="H337" s="3" t="s">
        <v>14</v>
      </c>
      <c r="I337" s="3">
        <v>0.0</v>
      </c>
      <c r="J337" s="3" t="s">
        <v>15</v>
      </c>
    </row>
    <row r="338">
      <c r="C338" s="3" t="s">
        <v>17</v>
      </c>
      <c r="D338" s="3">
        <v>5027.0</v>
      </c>
      <c r="E338" s="3" t="s">
        <v>413</v>
      </c>
      <c r="F338" s="5">
        <v>46107.65480324074</v>
      </c>
      <c r="G338" s="5">
        <v>46107.48815972222</v>
      </c>
      <c r="H338" s="3" t="s">
        <v>14</v>
      </c>
      <c r="I338" s="7">
        <v>0.0</v>
      </c>
      <c r="J338" s="3" t="s">
        <v>15</v>
      </c>
    </row>
    <row r="339">
      <c r="C339" s="3" t="s">
        <v>21</v>
      </c>
      <c r="D339" s="3">
        <v>5027.0</v>
      </c>
      <c r="E339" s="3" t="s">
        <v>413</v>
      </c>
      <c r="F339" s="5">
        <v>46107.75896990741</v>
      </c>
      <c r="G339" s="5">
        <v>46107.58443287037</v>
      </c>
      <c r="H339" s="3" t="s">
        <v>14</v>
      </c>
      <c r="I339" s="7">
        <v>0.0</v>
      </c>
      <c r="J339" s="3" t="s">
        <v>15</v>
      </c>
    </row>
    <row r="340">
      <c r="C340" s="3" t="s">
        <v>24</v>
      </c>
      <c r="D340" s="3">
        <v>5027.0</v>
      </c>
      <c r="E340" s="3" t="s">
        <v>413</v>
      </c>
      <c r="F340" s="5">
        <v>46108.75833333333</v>
      </c>
      <c r="G340" s="5">
        <v>46108.61541666667</v>
      </c>
      <c r="H340" s="3" t="s">
        <v>14</v>
      </c>
      <c r="I340" s="7">
        <v>0.0</v>
      </c>
      <c r="J340" s="3" t="s">
        <v>15</v>
      </c>
    </row>
    <row r="341">
      <c r="C341" s="3" t="s">
        <v>26</v>
      </c>
      <c r="D341" s="3">
        <v>5027.0</v>
      </c>
      <c r="E341" s="3" t="s">
        <v>413</v>
      </c>
      <c r="F341" s="5">
        <v>46108.8</v>
      </c>
      <c r="G341" s="5">
        <v>46108.584386574075</v>
      </c>
      <c r="H341" s="3" t="s">
        <v>14</v>
      </c>
      <c r="I341" s="7">
        <v>0.0</v>
      </c>
      <c r="J341" s="3" t="s">
        <v>15</v>
      </c>
    </row>
    <row r="342">
      <c r="C342" s="3" t="s">
        <v>10</v>
      </c>
      <c r="D342" s="3">
        <v>5028.0</v>
      </c>
      <c r="E342" s="3" t="s">
        <v>371</v>
      </c>
      <c r="F342" s="5">
        <v>46107.67118055555</v>
      </c>
      <c r="G342" s="5">
        <v>46107.584027777775</v>
      </c>
      <c r="H342" s="3" t="s">
        <v>14</v>
      </c>
      <c r="I342" s="3">
        <v>0.0</v>
      </c>
      <c r="J342" s="3" t="s">
        <v>72</v>
      </c>
    </row>
    <row r="343">
      <c r="C343" s="3" t="s">
        <v>17</v>
      </c>
      <c r="D343" s="3">
        <v>5028.0</v>
      </c>
      <c r="E343" s="3" t="s">
        <v>371</v>
      </c>
      <c r="F343" s="5">
        <v>46107.678125</v>
      </c>
      <c r="G343" s="5">
        <v>46107.58435185185</v>
      </c>
      <c r="H343" s="3" t="s">
        <v>14</v>
      </c>
      <c r="I343" s="7">
        <v>0.0</v>
      </c>
      <c r="J343" s="3" t="s">
        <v>72</v>
      </c>
    </row>
    <row r="344">
      <c r="C344" s="3" t="s">
        <v>21</v>
      </c>
      <c r="D344" s="3">
        <v>5028.0</v>
      </c>
      <c r="E344" s="3" t="s">
        <v>371</v>
      </c>
      <c r="F344" s="5">
        <v>46107.78229166667</v>
      </c>
      <c r="G344" s="5">
        <v>46107.58445601852</v>
      </c>
      <c r="H344" s="3" t="s">
        <v>14</v>
      </c>
      <c r="I344" s="7">
        <v>0.0</v>
      </c>
      <c r="J344" s="3" t="s">
        <v>72</v>
      </c>
    </row>
    <row r="345">
      <c r="C345" s="3" t="s">
        <v>24</v>
      </c>
      <c r="D345" s="3">
        <v>5028.0</v>
      </c>
      <c r="E345" s="3" t="s">
        <v>371</v>
      </c>
      <c r="F345" s="5">
        <v>46108.78194444445</v>
      </c>
      <c r="G345" s="5">
        <v>46108.615069444444</v>
      </c>
      <c r="H345" s="3" t="s">
        <v>14</v>
      </c>
      <c r="I345" s="7">
        <v>0.0</v>
      </c>
      <c r="J345" s="3" t="s">
        <v>72</v>
      </c>
    </row>
    <row r="346">
      <c r="C346" s="3" t="s">
        <v>26</v>
      </c>
      <c r="D346" s="3">
        <v>5028.0</v>
      </c>
      <c r="E346" s="3" t="s">
        <v>371</v>
      </c>
      <c r="F346" s="5">
        <v>46108.82361111111</v>
      </c>
      <c r="G346" s="5">
        <v>46108.584386574075</v>
      </c>
      <c r="H346" s="3" t="s">
        <v>14</v>
      </c>
      <c r="I346" s="7">
        <v>0.0</v>
      </c>
      <c r="J346" s="3" t="s">
        <v>72</v>
      </c>
    </row>
    <row r="347">
      <c r="C347" s="3" t="s">
        <v>10</v>
      </c>
      <c r="D347" s="3">
        <v>5029.0</v>
      </c>
      <c r="E347" s="3" t="s">
        <v>371</v>
      </c>
      <c r="F347" s="5">
        <v>46107.67592592593</v>
      </c>
      <c r="G347" s="5">
        <v>46107.584074074075</v>
      </c>
      <c r="H347" s="3" t="s">
        <v>14</v>
      </c>
      <c r="I347" s="3">
        <v>0.0</v>
      </c>
      <c r="J347" s="3" t="s">
        <v>72</v>
      </c>
    </row>
    <row r="348">
      <c r="C348" s="3" t="s">
        <v>17</v>
      </c>
      <c r="D348" s="3">
        <v>5029.0</v>
      </c>
      <c r="E348" s="3" t="s">
        <v>371</v>
      </c>
      <c r="F348" s="5">
        <v>46107.68287037037</v>
      </c>
      <c r="G348" s="5">
        <v>46107.58436342593</v>
      </c>
      <c r="H348" s="3" t="s">
        <v>14</v>
      </c>
      <c r="I348" s="7">
        <v>0.0</v>
      </c>
      <c r="J348" s="3" t="s">
        <v>72</v>
      </c>
    </row>
    <row r="349">
      <c r="C349" s="3" t="s">
        <v>21</v>
      </c>
      <c r="D349" s="3">
        <v>5029.0</v>
      </c>
      <c r="E349" s="3" t="s">
        <v>371</v>
      </c>
      <c r="F349" s="5">
        <v>46107.78703703704</v>
      </c>
      <c r="G349" s="5">
        <v>46107.58446759259</v>
      </c>
      <c r="H349" s="3" t="s">
        <v>14</v>
      </c>
      <c r="I349" s="7">
        <v>0.0</v>
      </c>
      <c r="J349" s="3" t="s">
        <v>72</v>
      </c>
    </row>
    <row r="350">
      <c r="C350" s="3" t="s">
        <v>24</v>
      </c>
      <c r="D350" s="3">
        <v>5029.0</v>
      </c>
      <c r="E350" s="3" t="s">
        <v>371</v>
      </c>
      <c r="F350" s="5">
        <v>46108.78680555556</v>
      </c>
      <c r="G350" s="5">
        <v>46108.584386574075</v>
      </c>
      <c r="H350" s="3" t="s">
        <v>14</v>
      </c>
      <c r="I350" s="7">
        <v>0.0</v>
      </c>
      <c r="J350" s="3" t="s">
        <v>72</v>
      </c>
    </row>
    <row r="351">
      <c r="C351" s="3" t="s">
        <v>26</v>
      </c>
      <c r="D351" s="3">
        <v>5029.0</v>
      </c>
      <c r="E351" s="3" t="s">
        <v>371</v>
      </c>
      <c r="F351" s="5">
        <v>46108.82847222222</v>
      </c>
      <c r="G351" s="5">
        <v>46108.584386574075</v>
      </c>
      <c r="H351" s="3" t="s">
        <v>14</v>
      </c>
      <c r="I351" s="7">
        <v>0.0</v>
      </c>
      <c r="J351" s="3" t="s">
        <v>72</v>
      </c>
    </row>
    <row r="352">
      <c r="C352" s="3" t="s">
        <v>10</v>
      </c>
      <c r="D352" s="3">
        <v>5030.0</v>
      </c>
      <c r="E352" s="3" t="s">
        <v>421</v>
      </c>
      <c r="F352" s="5">
        <v>46107.699166666665</v>
      </c>
      <c r="G352" s="5">
        <v>46107.584085648145</v>
      </c>
      <c r="H352" s="3" t="s">
        <v>14</v>
      </c>
      <c r="I352" s="3">
        <v>0.0</v>
      </c>
      <c r="J352" s="3" t="s">
        <v>48</v>
      </c>
    </row>
    <row r="353">
      <c r="C353" s="3" t="s">
        <v>17</v>
      </c>
      <c r="D353" s="3">
        <v>5030.0</v>
      </c>
      <c r="E353" s="3" t="s">
        <v>421</v>
      </c>
      <c r="F353" s="5">
        <v>46107.70611111111</v>
      </c>
      <c r="G353" s="5">
        <v>46107.584375</v>
      </c>
      <c r="H353" s="3" t="s">
        <v>14</v>
      </c>
      <c r="I353" s="7">
        <v>0.0</v>
      </c>
      <c r="J353" s="3" t="s">
        <v>48</v>
      </c>
    </row>
    <row r="354">
      <c r="C354" s="3" t="s">
        <v>21</v>
      </c>
      <c r="D354" s="3">
        <v>5030.0</v>
      </c>
      <c r="E354" s="3" t="s">
        <v>421</v>
      </c>
      <c r="F354" s="5">
        <v>46107.810277777775</v>
      </c>
      <c r="G354" s="5">
        <v>46107.58447916667</v>
      </c>
      <c r="H354" s="3" t="s">
        <v>14</v>
      </c>
      <c r="I354" s="7">
        <v>0.0</v>
      </c>
      <c r="J354" s="3" t="s">
        <v>48</v>
      </c>
    </row>
    <row r="355">
      <c r="C355" s="3" t="s">
        <v>24</v>
      </c>
      <c r="D355" s="3">
        <v>5030.0</v>
      </c>
      <c r="E355" s="3" t="s">
        <v>421</v>
      </c>
      <c r="F355" s="5">
        <v>46108.80972222222</v>
      </c>
      <c r="G355" s="5">
        <v>46108.715787037036</v>
      </c>
      <c r="H355" s="3" t="s">
        <v>14</v>
      </c>
      <c r="I355" s="7">
        <v>0.0</v>
      </c>
      <c r="J355" s="3" t="s">
        <v>48</v>
      </c>
    </row>
    <row r="356">
      <c r="C356" s="3" t="s">
        <v>26</v>
      </c>
      <c r="D356" s="3">
        <v>5030.0</v>
      </c>
      <c r="E356" s="3" t="s">
        <v>421</v>
      </c>
      <c r="F356" s="5">
        <v>46109.43472222222</v>
      </c>
      <c r="G356" s="5">
        <v>46108.584386574075</v>
      </c>
      <c r="H356" s="3" t="s">
        <v>14</v>
      </c>
      <c r="I356" s="7">
        <v>0.0</v>
      </c>
      <c r="J356" s="3" t="s">
        <v>48</v>
      </c>
    </row>
    <row r="357">
      <c r="C357" s="3" t="s">
        <v>10</v>
      </c>
      <c r="D357" s="3">
        <v>5031.0</v>
      </c>
      <c r="E357" s="3" t="s">
        <v>424</v>
      </c>
      <c r="F357" s="5">
        <v>46107.73646990741</v>
      </c>
      <c r="G357" s="5">
        <v>46107.58409722222</v>
      </c>
      <c r="H357" s="3" t="s">
        <v>14</v>
      </c>
      <c r="I357" s="3">
        <v>0.0</v>
      </c>
      <c r="J357" s="3" t="s">
        <v>48</v>
      </c>
    </row>
    <row r="358">
      <c r="C358" s="3" t="s">
        <v>17</v>
      </c>
      <c r="D358" s="3">
        <v>5031.0</v>
      </c>
      <c r="E358" s="3" t="s">
        <v>424</v>
      </c>
      <c r="F358" s="5">
        <v>46107.743414351855</v>
      </c>
      <c r="G358" s="5">
        <v>46107.584386574075</v>
      </c>
      <c r="H358" s="3" t="s">
        <v>14</v>
      </c>
      <c r="I358" s="7">
        <v>0.0</v>
      </c>
      <c r="J358" s="3" t="s">
        <v>48</v>
      </c>
    </row>
    <row r="359">
      <c r="C359" s="3" t="s">
        <v>21</v>
      </c>
      <c r="D359" s="3">
        <v>5031.0</v>
      </c>
      <c r="E359" s="3" t="s">
        <v>424</v>
      </c>
      <c r="F359" s="5">
        <v>46108.45138888889</v>
      </c>
      <c r="G359" s="5">
        <v>46107.584502314814</v>
      </c>
      <c r="H359" s="3" t="s">
        <v>14</v>
      </c>
      <c r="I359" s="7">
        <v>0.0</v>
      </c>
      <c r="J359" s="3" t="s">
        <v>48</v>
      </c>
    </row>
    <row r="360">
      <c r="C360" s="3" t="s">
        <v>24</v>
      </c>
      <c r="D360" s="3">
        <v>5031.0</v>
      </c>
      <c r="E360" s="3" t="s">
        <v>424</v>
      </c>
      <c r="F360" s="5">
        <v>46109.45138888889</v>
      </c>
      <c r="G360" s="5">
        <v>46108.71616898148</v>
      </c>
      <c r="H360" s="3" t="s">
        <v>14</v>
      </c>
      <c r="I360" s="7">
        <v>0.0</v>
      </c>
      <c r="J360" s="3" t="s">
        <v>48</v>
      </c>
    </row>
    <row r="361">
      <c r="C361" s="3" t="s">
        <v>26</v>
      </c>
      <c r="D361" s="3">
        <v>5031.0</v>
      </c>
      <c r="E361" s="3" t="s">
        <v>424</v>
      </c>
      <c r="F361" s="5">
        <v>46109.493055555555</v>
      </c>
      <c r="G361" s="5">
        <v>46108.584386574075</v>
      </c>
      <c r="H361" s="3" t="s">
        <v>14</v>
      </c>
      <c r="I361" s="7">
        <v>0.0</v>
      </c>
      <c r="J361" s="3" t="s">
        <v>48</v>
      </c>
    </row>
    <row r="362">
      <c r="C362" s="3" t="s">
        <v>10</v>
      </c>
      <c r="D362" s="3">
        <v>5032.0</v>
      </c>
      <c r="E362" s="3" t="s">
        <v>166</v>
      </c>
      <c r="F362" s="5">
        <v>46108.701215277775</v>
      </c>
      <c r="G362" s="5">
        <v>46108.61587962963</v>
      </c>
      <c r="H362" s="3" t="s">
        <v>14</v>
      </c>
      <c r="I362" s="3">
        <v>0.0</v>
      </c>
      <c r="J362" s="3" t="s">
        <v>15</v>
      </c>
    </row>
    <row r="363">
      <c r="C363" s="3" t="s">
        <v>17</v>
      </c>
      <c r="D363" s="3">
        <v>5032.0</v>
      </c>
      <c r="E363" s="3" t="s">
        <v>166</v>
      </c>
      <c r="F363" s="5">
        <v>46108.70815972222</v>
      </c>
      <c r="G363" s="5">
        <v>46108.584386574075</v>
      </c>
      <c r="H363" s="3" t="s">
        <v>14</v>
      </c>
      <c r="I363" s="7">
        <v>0.0</v>
      </c>
      <c r="J363" s="3" t="s">
        <v>15</v>
      </c>
    </row>
    <row r="364">
      <c r="C364" s="3" t="s">
        <v>21</v>
      </c>
      <c r="D364" s="3">
        <v>5032.0</v>
      </c>
      <c r="E364" s="3" t="s">
        <v>166</v>
      </c>
      <c r="F364" s="5">
        <v>46108.81232638889</v>
      </c>
      <c r="G364" s="5">
        <v>46108.584386574075</v>
      </c>
      <c r="H364" s="3" t="s">
        <v>14</v>
      </c>
      <c r="I364" s="7">
        <v>0.0</v>
      </c>
      <c r="J364" s="3" t="s">
        <v>15</v>
      </c>
    </row>
    <row r="365">
      <c r="C365" s="3" t="s">
        <v>24</v>
      </c>
      <c r="D365" s="3">
        <v>5032.0</v>
      </c>
      <c r="E365" s="3" t="s">
        <v>166</v>
      </c>
      <c r="F365" s="5">
        <v>46109.81180555555</v>
      </c>
      <c r="G365" s="5">
        <v>46108.67318287037</v>
      </c>
      <c r="H365" s="3" t="s">
        <v>14</v>
      </c>
      <c r="I365" s="7">
        <v>0.0</v>
      </c>
      <c r="J365" s="3" t="s">
        <v>15</v>
      </c>
    </row>
    <row r="366">
      <c r="C366" s="3" t="s">
        <v>26</v>
      </c>
      <c r="D366" s="3">
        <v>5032.0</v>
      </c>
      <c r="E366" s="3" t="s">
        <v>166</v>
      </c>
      <c r="F366" s="5">
        <v>46111.43680555555</v>
      </c>
      <c r="G366" s="5">
        <v>46108.67320601852</v>
      </c>
      <c r="H366" s="3" t="s">
        <v>14</v>
      </c>
      <c r="I366" s="7">
        <v>0.0</v>
      </c>
      <c r="J366" s="3" t="s">
        <v>15</v>
      </c>
    </row>
    <row r="367">
      <c r="C367" s="3" t="s">
        <v>10</v>
      </c>
      <c r="D367" s="3">
        <v>5033.0</v>
      </c>
      <c r="E367" s="3" t="s">
        <v>430</v>
      </c>
      <c r="F367" s="5">
        <v>46109.42361111111</v>
      </c>
      <c r="G367" s="5">
        <v>46108.783159722225</v>
      </c>
      <c r="H367" s="3" t="s">
        <v>14</v>
      </c>
      <c r="I367" s="3">
        <v>0.0</v>
      </c>
      <c r="J367" s="3" t="s">
        <v>15</v>
      </c>
    </row>
    <row r="368">
      <c r="C368" s="3" t="s">
        <v>17</v>
      </c>
      <c r="D368" s="3">
        <v>5033.0</v>
      </c>
      <c r="E368" s="3" t="s">
        <v>430</v>
      </c>
      <c r="F368" s="5">
        <v>46109.430555555555</v>
      </c>
      <c r="G368" s="5">
        <v>46108.789988425924</v>
      </c>
      <c r="H368" s="3" t="s">
        <v>14</v>
      </c>
      <c r="I368" s="7">
        <v>0.0</v>
      </c>
      <c r="J368" s="3" t="s">
        <v>15</v>
      </c>
    </row>
    <row r="369">
      <c r="C369" s="3" t="s">
        <v>21</v>
      </c>
      <c r="D369" s="3">
        <v>5033.0</v>
      </c>
      <c r="E369" s="3" t="s">
        <v>430</v>
      </c>
      <c r="F369" s="5">
        <v>46109.53472222222</v>
      </c>
      <c r="G369" s="5">
        <v>46108.78991898148</v>
      </c>
      <c r="H369" s="3" t="s">
        <v>14</v>
      </c>
      <c r="I369" s="7">
        <v>0.0</v>
      </c>
      <c r="J369" s="3" t="s">
        <v>15</v>
      </c>
    </row>
    <row r="370">
      <c r="C370" s="3" t="s">
        <v>24</v>
      </c>
      <c r="D370" s="3">
        <v>5033.0</v>
      </c>
      <c r="E370" s="3" t="s">
        <v>430</v>
      </c>
      <c r="F370" s="5">
        <v>46111.53472222222</v>
      </c>
      <c r="G370" s="5">
        <v>46110.70962962963</v>
      </c>
      <c r="H370" s="3" t="s">
        <v>14</v>
      </c>
      <c r="I370" s="7">
        <v>0.0</v>
      </c>
      <c r="J370" s="3" t="s">
        <v>15</v>
      </c>
    </row>
    <row r="371">
      <c r="C371" s="3" t="s">
        <v>26</v>
      </c>
      <c r="D371" s="3">
        <v>5033.0</v>
      </c>
      <c r="E371" s="3" t="s">
        <v>430</v>
      </c>
      <c r="F371" s="5">
        <v>46111.57638888889</v>
      </c>
      <c r="G371" s="5">
        <v>46110.709699074076</v>
      </c>
      <c r="H371" s="3" t="s">
        <v>14</v>
      </c>
      <c r="I371" s="7">
        <v>0.0</v>
      </c>
      <c r="J371" s="3" t="s">
        <v>15</v>
      </c>
    </row>
    <row r="372">
      <c r="C372" s="3" t="s">
        <v>10</v>
      </c>
      <c r="D372" s="3">
        <v>5034.0</v>
      </c>
      <c r="E372" s="3" t="s">
        <v>436</v>
      </c>
      <c r="F372" s="5">
        <v>46109.45486111111</v>
      </c>
      <c r="G372" s="5">
        <v>46108.783159722225</v>
      </c>
      <c r="H372" s="3" t="s">
        <v>14</v>
      </c>
      <c r="I372" s="3">
        <v>0.0</v>
      </c>
      <c r="J372" s="3" t="s">
        <v>48</v>
      </c>
    </row>
    <row r="373">
      <c r="C373" s="3" t="s">
        <v>17</v>
      </c>
      <c r="D373" s="3">
        <v>5034.0</v>
      </c>
      <c r="E373" s="3" t="s">
        <v>436</v>
      </c>
      <c r="F373" s="5">
        <v>46109.461805555555</v>
      </c>
      <c r="G373" s="5">
        <v>46108.79002314815</v>
      </c>
      <c r="H373" s="3" t="s">
        <v>14</v>
      </c>
      <c r="I373" s="7">
        <v>0.0</v>
      </c>
      <c r="J373" s="3" t="s">
        <v>48</v>
      </c>
    </row>
    <row r="374">
      <c r="C374" s="3" t="s">
        <v>21</v>
      </c>
      <c r="D374" s="3">
        <v>5034.0</v>
      </c>
      <c r="E374" s="3" t="s">
        <v>436</v>
      </c>
      <c r="F374" s="5">
        <v>46109.56597222222</v>
      </c>
      <c r="G374" s="5">
        <v>46108.79006944445</v>
      </c>
      <c r="H374" s="3" t="s">
        <v>14</v>
      </c>
      <c r="I374" s="7">
        <v>0.0</v>
      </c>
      <c r="J374" s="3" t="s">
        <v>48</v>
      </c>
    </row>
    <row r="375">
      <c r="C375" s="3" t="s">
        <v>24</v>
      </c>
      <c r="D375" s="3">
        <v>5034.0</v>
      </c>
      <c r="E375" s="3" t="s">
        <v>436</v>
      </c>
      <c r="F375" s="5">
        <v>46111.56597222222</v>
      </c>
      <c r="G375" s="5">
        <v>46109.68100694445</v>
      </c>
      <c r="H375" s="3" t="s">
        <v>14</v>
      </c>
      <c r="I375" s="7">
        <v>0.0</v>
      </c>
      <c r="J375" s="3" t="s">
        <v>48</v>
      </c>
    </row>
    <row r="376">
      <c r="C376" s="3" t="s">
        <v>26</v>
      </c>
      <c r="D376" s="3">
        <v>5034.0</v>
      </c>
      <c r="E376" s="3" t="s">
        <v>436</v>
      </c>
      <c r="F376" s="5">
        <v>46111.60763888889</v>
      </c>
      <c r="G376" s="5">
        <v>46109.68101851852</v>
      </c>
      <c r="H376" s="3" t="s">
        <v>14</v>
      </c>
      <c r="I376" s="7">
        <v>0.0</v>
      </c>
      <c r="J376" s="3" t="s">
        <v>48</v>
      </c>
    </row>
    <row r="377">
      <c r="C377" s="3" t="s">
        <v>10</v>
      </c>
      <c r="D377" s="3">
        <v>5035.0</v>
      </c>
      <c r="E377" s="3" t="s">
        <v>441</v>
      </c>
      <c r="F377" s="5">
        <v>46109.64267361111</v>
      </c>
      <c r="G377" s="5">
        <v>46109.47861111111</v>
      </c>
      <c r="H377" s="3" t="s">
        <v>14</v>
      </c>
      <c r="I377" s="3">
        <v>0.0</v>
      </c>
      <c r="J377" s="3" t="s">
        <v>15</v>
      </c>
    </row>
    <row r="378">
      <c r="C378" s="3" t="s">
        <v>17</v>
      </c>
      <c r="D378" s="3">
        <v>5035.0</v>
      </c>
      <c r="E378" s="3" t="s">
        <v>441</v>
      </c>
      <c r="F378" s="5">
        <v>46109.649618055555</v>
      </c>
      <c r="G378" s="5">
        <v>46109.47869212963</v>
      </c>
      <c r="H378" s="3" t="s">
        <v>14</v>
      </c>
      <c r="I378" s="7">
        <v>0.0</v>
      </c>
      <c r="J378" s="3" t="s">
        <v>15</v>
      </c>
    </row>
    <row r="379">
      <c r="C379" s="3" t="s">
        <v>21</v>
      </c>
      <c r="D379" s="3">
        <v>5035.0</v>
      </c>
      <c r="E379" s="3" t="s">
        <v>441</v>
      </c>
      <c r="F379" s="5">
        <v>46109.75378472222</v>
      </c>
      <c r="G379" s="5">
        <v>46109.622141203705</v>
      </c>
      <c r="H379" s="3" t="s">
        <v>14</v>
      </c>
      <c r="I379" s="7">
        <v>0.0</v>
      </c>
      <c r="J379" s="3" t="s">
        <v>15</v>
      </c>
    </row>
    <row r="380">
      <c r="C380" s="3" t="s">
        <v>24</v>
      </c>
      <c r="D380" s="3">
        <v>5035.0</v>
      </c>
      <c r="E380" s="3" t="s">
        <v>441</v>
      </c>
      <c r="F380" s="5">
        <v>46111.75347222222</v>
      </c>
      <c r="G380" s="5">
        <v>46109.68108796296</v>
      </c>
      <c r="H380" s="3" t="s">
        <v>14</v>
      </c>
      <c r="I380" s="7">
        <v>0.0</v>
      </c>
      <c r="J380" s="3" t="s">
        <v>15</v>
      </c>
    </row>
    <row r="381">
      <c r="C381" s="3" t="s">
        <v>26</v>
      </c>
      <c r="D381" s="3">
        <v>5035.0</v>
      </c>
      <c r="E381" s="3" t="s">
        <v>441</v>
      </c>
      <c r="F381" s="5">
        <v>46111.79513888889</v>
      </c>
      <c r="G381" s="5">
        <v>46109.68111111111</v>
      </c>
      <c r="H381" s="3" t="s">
        <v>14</v>
      </c>
      <c r="I381" s="7">
        <v>0.0</v>
      </c>
      <c r="J381" s="3" t="s">
        <v>15</v>
      </c>
    </row>
    <row r="382">
      <c r="C382" s="3" t="s">
        <v>10</v>
      </c>
      <c r="D382" s="3">
        <v>5036.0</v>
      </c>
      <c r="E382" s="3" t="s">
        <v>447</v>
      </c>
      <c r="F382" s="5">
        <v>46109.667604166665</v>
      </c>
      <c r="G382" s="5">
        <v>46109.53091435185</v>
      </c>
      <c r="H382" s="3" t="s">
        <v>14</v>
      </c>
      <c r="I382" s="3">
        <v>0.0</v>
      </c>
      <c r="J382" s="3" t="s">
        <v>15</v>
      </c>
    </row>
    <row r="383">
      <c r="C383" s="3" t="s">
        <v>17</v>
      </c>
      <c r="D383" s="3">
        <v>5036.0</v>
      </c>
      <c r="E383" s="3" t="s">
        <v>447</v>
      </c>
      <c r="F383" s="5">
        <v>46109.67454861111</v>
      </c>
      <c r="G383" s="5">
        <v>46109.530960648146</v>
      </c>
      <c r="H383" s="3" t="s">
        <v>14</v>
      </c>
      <c r="I383" s="7">
        <v>0.0</v>
      </c>
      <c r="J383" s="3" t="s">
        <v>15</v>
      </c>
    </row>
    <row r="384">
      <c r="C384" s="3" t="s">
        <v>21</v>
      </c>
      <c r="D384" s="3">
        <v>5036.0</v>
      </c>
      <c r="E384" s="3" t="s">
        <v>447</v>
      </c>
      <c r="F384" s="5">
        <v>46109.778715277775</v>
      </c>
      <c r="G384" s="5">
        <v>46109.622152777774</v>
      </c>
      <c r="H384" s="3" t="s">
        <v>14</v>
      </c>
      <c r="I384" s="7">
        <v>0.0</v>
      </c>
      <c r="J384" s="3" t="s">
        <v>15</v>
      </c>
    </row>
    <row r="385">
      <c r="C385" s="3" t="s">
        <v>24</v>
      </c>
      <c r="D385" s="3">
        <v>5036.0</v>
      </c>
      <c r="E385" s="3" t="s">
        <v>447</v>
      </c>
      <c r="F385" s="5">
        <v>46111.77847222222</v>
      </c>
      <c r="G385" s="5">
        <v>46110.71025462963</v>
      </c>
      <c r="H385" s="3" t="s">
        <v>14</v>
      </c>
      <c r="I385" s="7">
        <v>0.0</v>
      </c>
      <c r="J385" s="3" t="s">
        <v>15</v>
      </c>
    </row>
    <row r="386">
      <c r="C386" s="3" t="s">
        <v>26</v>
      </c>
      <c r="D386" s="3">
        <v>5036.0</v>
      </c>
      <c r="E386" s="3" t="s">
        <v>447</v>
      </c>
      <c r="F386" s="5">
        <v>46111.82013888889</v>
      </c>
      <c r="G386" s="5">
        <v>46110.71030092592</v>
      </c>
      <c r="H386" s="3" t="s">
        <v>14</v>
      </c>
      <c r="I386" s="7">
        <v>0.0</v>
      </c>
      <c r="J386" s="3" t="s">
        <v>15</v>
      </c>
    </row>
    <row r="387">
      <c r="C387" s="3" t="s">
        <v>10</v>
      </c>
      <c r="D387" s="3">
        <v>5037.0</v>
      </c>
      <c r="E387" s="3" t="s">
        <v>451</v>
      </c>
      <c r="F387" s="5">
        <v>46109.686898148146</v>
      </c>
      <c r="G387" s="5">
        <v>46109.531018518515</v>
      </c>
      <c r="H387" s="3" t="s">
        <v>14</v>
      </c>
      <c r="I387" s="3">
        <v>0.0</v>
      </c>
      <c r="J387" s="3" t="s">
        <v>15</v>
      </c>
    </row>
    <row r="388">
      <c r="C388" s="3" t="s">
        <v>17</v>
      </c>
      <c r="D388" s="3">
        <v>5037.0</v>
      </c>
      <c r="E388" s="3" t="s">
        <v>451</v>
      </c>
      <c r="F388" s="5">
        <v>46109.69384259259</v>
      </c>
      <c r="G388" s="5">
        <v>46109.531064814815</v>
      </c>
      <c r="H388" s="3" t="s">
        <v>14</v>
      </c>
      <c r="I388" s="7">
        <v>0.0</v>
      </c>
      <c r="J388" s="3" t="s">
        <v>15</v>
      </c>
    </row>
    <row r="389">
      <c r="C389" s="3" t="s">
        <v>21</v>
      </c>
      <c r="D389" s="3">
        <v>5037.0</v>
      </c>
      <c r="E389" s="3" t="s">
        <v>451</v>
      </c>
      <c r="F389" s="5">
        <v>46109.79800925926</v>
      </c>
      <c r="G389" s="5">
        <v>46109.62217592593</v>
      </c>
      <c r="H389" s="3" t="s">
        <v>14</v>
      </c>
      <c r="I389" s="7">
        <v>0.0</v>
      </c>
      <c r="J389" s="3" t="s">
        <v>15</v>
      </c>
    </row>
    <row r="390">
      <c r="C390" s="3" t="s">
        <v>24</v>
      </c>
      <c r="D390" s="3">
        <v>5037.0</v>
      </c>
      <c r="E390" s="3" t="s">
        <v>451</v>
      </c>
      <c r="F390" s="5">
        <v>46111.79791666667</v>
      </c>
      <c r="G390" s="5">
        <v>46109.683275462965</v>
      </c>
      <c r="H390" s="3" t="s">
        <v>14</v>
      </c>
      <c r="I390" s="7">
        <v>0.0</v>
      </c>
      <c r="J390" s="3" t="s">
        <v>15</v>
      </c>
    </row>
    <row r="391">
      <c r="C391" s="3" t="s">
        <v>26</v>
      </c>
      <c r="D391" s="3">
        <v>5037.0</v>
      </c>
      <c r="E391" s="3" t="s">
        <v>451</v>
      </c>
      <c r="F391" s="5">
        <v>46112.42291666667</v>
      </c>
      <c r="G391" s="5">
        <v>46109.68329861111</v>
      </c>
      <c r="H391" s="3" t="s">
        <v>14</v>
      </c>
      <c r="I391" s="7">
        <v>0.0</v>
      </c>
      <c r="J391" s="3" t="s">
        <v>15</v>
      </c>
    </row>
    <row r="392">
      <c r="C392" s="3" t="s">
        <v>10</v>
      </c>
      <c r="D392" s="3">
        <v>5038.0</v>
      </c>
      <c r="E392" s="3" t="s">
        <v>455</v>
      </c>
      <c r="F392" s="5">
        <v>46109.703877314816</v>
      </c>
      <c r="G392" s="5">
        <v>46109.54083333333</v>
      </c>
      <c r="H392" s="3" t="s">
        <v>14</v>
      </c>
      <c r="I392" s="3">
        <v>0.0</v>
      </c>
      <c r="J392" s="3" t="s">
        <v>15</v>
      </c>
    </row>
    <row r="393">
      <c r="C393" s="3" t="s">
        <v>17</v>
      </c>
      <c r="D393" s="3">
        <v>5038.0</v>
      </c>
      <c r="E393" s="3" t="s">
        <v>455</v>
      </c>
      <c r="F393" s="5">
        <v>46109.71082175926</v>
      </c>
      <c r="G393" s="5">
        <v>46109.54090277778</v>
      </c>
      <c r="H393" s="3" t="s">
        <v>14</v>
      </c>
      <c r="I393" s="7">
        <v>0.0</v>
      </c>
      <c r="J393" s="3" t="s">
        <v>15</v>
      </c>
    </row>
    <row r="394">
      <c r="C394" s="3" t="s">
        <v>21</v>
      </c>
      <c r="D394" s="3">
        <v>5038.0</v>
      </c>
      <c r="E394" s="3" t="s">
        <v>455</v>
      </c>
      <c r="F394" s="5">
        <v>46109.814988425926</v>
      </c>
      <c r="G394" s="5">
        <v>46109.622199074074</v>
      </c>
      <c r="H394" s="3" t="s">
        <v>14</v>
      </c>
      <c r="I394" s="7">
        <v>0.0</v>
      </c>
      <c r="J394" s="3" t="s">
        <v>15</v>
      </c>
    </row>
    <row r="395">
      <c r="C395" s="3" t="s">
        <v>24</v>
      </c>
      <c r="D395" s="3">
        <v>5038.0</v>
      </c>
      <c r="E395" s="3" t="s">
        <v>455</v>
      </c>
      <c r="F395" s="5">
        <v>46111.81458333333</v>
      </c>
      <c r="G395" s="5">
        <v>46109.68342592593</v>
      </c>
      <c r="H395" s="3" t="s">
        <v>14</v>
      </c>
      <c r="I395" s="7">
        <v>0.0</v>
      </c>
      <c r="J395" s="3" t="s">
        <v>15</v>
      </c>
    </row>
    <row r="396">
      <c r="C396" s="3" t="s">
        <v>26</v>
      </c>
      <c r="D396" s="3">
        <v>5038.0</v>
      </c>
      <c r="E396" s="3" t="s">
        <v>455</v>
      </c>
      <c r="F396" s="5">
        <v>46112.43958333333</v>
      </c>
      <c r="G396" s="5">
        <v>46109.68344907407</v>
      </c>
      <c r="H396" s="3" t="s">
        <v>14</v>
      </c>
      <c r="I396" s="7">
        <v>0.0</v>
      </c>
      <c r="J396" s="3" t="s">
        <v>15</v>
      </c>
    </row>
    <row r="397">
      <c r="C397" s="3" t="s">
        <v>10</v>
      </c>
      <c r="D397" s="3">
        <v>5039.0</v>
      </c>
      <c r="E397" s="3" t="s">
        <v>460</v>
      </c>
      <c r="F397" s="5">
        <v>46109.70880787037</v>
      </c>
      <c r="G397" s="5">
        <v>46109.62185185185</v>
      </c>
      <c r="H397" s="3" t="s">
        <v>14</v>
      </c>
      <c r="I397" s="3">
        <v>0.0</v>
      </c>
      <c r="J397" s="3" t="s">
        <v>15</v>
      </c>
    </row>
    <row r="398">
      <c r="C398" s="3" t="s">
        <v>17</v>
      </c>
      <c r="D398" s="3">
        <v>5039.0</v>
      </c>
      <c r="E398" s="3" t="s">
        <v>460</v>
      </c>
      <c r="F398" s="5">
        <v>46109.71575231481</v>
      </c>
      <c r="G398" s="5">
        <v>46109.62199074074</v>
      </c>
      <c r="H398" s="3" t="s">
        <v>14</v>
      </c>
      <c r="I398" s="7">
        <v>0.0</v>
      </c>
      <c r="J398" s="3" t="s">
        <v>15</v>
      </c>
    </row>
    <row r="399">
      <c r="C399" s="3" t="s">
        <v>21</v>
      </c>
      <c r="D399" s="3">
        <v>5039.0</v>
      </c>
      <c r="E399" s="3" t="s">
        <v>460</v>
      </c>
      <c r="F399" s="5">
        <v>46109.819918981484</v>
      </c>
      <c r="G399" s="5">
        <v>46109.62222222222</v>
      </c>
      <c r="H399" s="3" t="s">
        <v>14</v>
      </c>
      <c r="I399" s="7">
        <v>0.0</v>
      </c>
      <c r="J399" s="3" t="s">
        <v>15</v>
      </c>
    </row>
    <row r="400">
      <c r="C400" s="3" t="s">
        <v>24</v>
      </c>
      <c r="D400" s="3">
        <v>5039.0</v>
      </c>
      <c r="E400" s="3" t="s">
        <v>460</v>
      </c>
      <c r="F400" s="5">
        <v>46111.819444444445</v>
      </c>
      <c r="G400" s="5">
        <v>46109.68357638889</v>
      </c>
      <c r="H400" s="3" t="s">
        <v>14</v>
      </c>
      <c r="I400" s="7">
        <v>0.0</v>
      </c>
      <c r="J400" s="3" t="s">
        <v>15</v>
      </c>
    </row>
    <row r="401">
      <c r="C401" s="3" t="s">
        <v>26</v>
      </c>
      <c r="D401" s="3">
        <v>5039.0</v>
      </c>
      <c r="E401" s="3" t="s">
        <v>460</v>
      </c>
      <c r="F401" s="5">
        <v>46112.444444444445</v>
      </c>
      <c r="G401" s="5">
        <v>46109.68362268519</v>
      </c>
      <c r="H401" s="3" t="s">
        <v>14</v>
      </c>
      <c r="I401" s="7">
        <v>0.0</v>
      </c>
      <c r="J401" s="3" t="s">
        <v>15</v>
      </c>
    </row>
    <row r="402">
      <c r="C402" s="3" t="s">
        <v>10</v>
      </c>
      <c r="D402" s="3">
        <v>5040.0</v>
      </c>
      <c r="E402" s="3" t="s">
        <v>464</v>
      </c>
      <c r="F402" s="5">
        <v>46111.50113425926</v>
      </c>
      <c r="G402" s="5">
        <v>46109.67627314815</v>
      </c>
      <c r="H402" s="3" t="s">
        <v>14</v>
      </c>
      <c r="I402" s="3">
        <v>0.0</v>
      </c>
      <c r="J402" s="3" t="s">
        <v>15</v>
      </c>
    </row>
    <row r="403">
      <c r="C403" s="3" t="s">
        <v>17</v>
      </c>
      <c r="D403" s="3">
        <v>5040.0</v>
      </c>
      <c r="E403" s="3" t="s">
        <v>464</v>
      </c>
      <c r="F403" s="5">
        <v>46111.5080787037</v>
      </c>
      <c r="G403" s="5">
        <v>46109.67642361111</v>
      </c>
      <c r="H403" s="3" t="s">
        <v>14</v>
      </c>
      <c r="I403" s="7">
        <v>0.0</v>
      </c>
      <c r="J403" s="3" t="s">
        <v>15</v>
      </c>
    </row>
    <row r="404">
      <c r="C404" s="3" t="s">
        <v>21</v>
      </c>
      <c r="D404" s="3">
        <v>5040.0</v>
      </c>
      <c r="E404" s="3" t="s">
        <v>464</v>
      </c>
      <c r="F404" s="5">
        <v>46111.61224537037</v>
      </c>
      <c r="G404" s="5">
        <v>46109.67675925926</v>
      </c>
      <c r="H404" s="3" t="s">
        <v>14</v>
      </c>
      <c r="I404" s="7">
        <v>0.0</v>
      </c>
      <c r="J404" s="3" t="s">
        <v>15</v>
      </c>
    </row>
    <row r="405">
      <c r="C405" s="3" t="s">
        <v>24</v>
      </c>
      <c r="D405" s="3">
        <v>5040.0</v>
      </c>
      <c r="E405" s="3" t="s">
        <v>464</v>
      </c>
      <c r="F405" s="5">
        <v>46112.611805555556</v>
      </c>
      <c r="G405" s="5">
        <v>46110.5105787037</v>
      </c>
      <c r="H405" s="3" t="s">
        <v>14</v>
      </c>
      <c r="I405" s="7">
        <v>0.0</v>
      </c>
      <c r="J405" s="3" t="s">
        <v>15</v>
      </c>
    </row>
    <row r="406">
      <c r="C406" s="3" t="s">
        <v>26</v>
      </c>
      <c r="D406" s="3">
        <v>5040.0</v>
      </c>
      <c r="E406" s="3" t="s">
        <v>464</v>
      </c>
      <c r="F406" s="5">
        <v>46112.65347222222</v>
      </c>
      <c r="G406" s="5">
        <v>46110.510775462964</v>
      </c>
      <c r="H406" s="3" t="s">
        <v>14</v>
      </c>
      <c r="I406" s="7">
        <v>0.0</v>
      </c>
      <c r="J406" s="3" t="s">
        <v>15</v>
      </c>
    </row>
    <row r="407">
      <c r="C407" s="3" t="s">
        <v>10</v>
      </c>
      <c r="D407" s="3">
        <v>5041.0</v>
      </c>
      <c r="E407" s="3" t="s">
        <v>469</v>
      </c>
      <c r="F407" s="5">
        <v>46111.50184027778</v>
      </c>
      <c r="G407" s="5">
        <v>46109.67633101852</v>
      </c>
      <c r="H407" s="3" t="s">
        <v>14</v>
      </c>
      <c r="I407" s="3">
        <v>0.0</v>
      </c>
      <c r="J407" s="3" t="s">
        <v>15</v>
      </c>
    </row>
    <row r="408">
      <c r="C408" s="3" t="s">
        <v>17</v>
      </c>
      <c r="D408" s="3">
        <v>5041.0</v>
      </c>
      <c r="E408" s="3" t="s">
        <v>469</v>
      </c>
      <c r="F408" s="5">
        <v>46111.508784722224</v>
      </c>
      <c r="G408" s="5">
        <v>46109.67643518518</v>
      </c>
      <c r="H408" s="3" t="s">
        <v>14</v>
      </c>
      <c r="I408" s="7">
        <v>0.0</v>
      </c>
      <c r="J408" s="3" t="s">
        <v>15</v>
      </c>
    </row>
    <row r="409">
      <c r="C409" s="3" t="s">
        <v>21</v>
      </c>
      <c r="D409" s="3">
        <v>5041.0</v>
      </c>
      <c r="E409" s="3" t="s">
        <v>469</v>
      </c>
      <c r="F409" s="5">
        <v>46111.61295138889</v>
      </c>
      <c r="G409" s="5">
        <v>46109.676782407405</v>
      </c>
      <c r="H409" s="3" t="s">
        <v>14</v>
      </c>
      <c r="I409" s="7">
        <v>0.0</v>
      </c>
      <c r="J409" s="3" t="s">
        <v>15</v>
      </c>
    </row>
    <row r="410">
      <c r="C410" s="3" t="s">
        <v>24</v>
      </c>
      <c r="D410" s="3">
        <v>5041.0</v>
      </c>
      <c r="E410" s="3" t="s">
        <v>469</v>
      </c>
      <c r="F410" s="5">
        <v>46112.6125</v>
      </c>
      <c r="G410" s="5">
        <v>46110.59369212963</v>
      </c>
      <c r="H410" s="3" t="s">
        <v>14</v>
      </c>
      <c r="I410" s="7">
        <v>0.0</v>
      </c>
      <c r="J410" s="3" t="s">
        <v>15</v>
      </c>
    </row>
    <row r="411">
      <c r="C411" s="3" t="s">
        <v>26</v>
      </c>
      <c r="D411" s="3">
        <v>5041.0</v>
      </c>
      <c r="E411" s="3" t="s">
        <v>469</v>
      </c>
      <c r="F411" s="5">
        <v>46112.65416666667</v>
      </c>
      <c r="G411" s="5">
        <v>46110.593726851854</v>
      </c>
      <c r="H411" s="3" t="s">
        <v>14</v>
      </c>
      <c r="I411" s="7">
        <v>0.0</v>
      </c>
      <c r="J411" s="3" t="s">
        <v>15</v>
      </c>
    </row>
    <row r="412">
      <c r="C412" s="3" t="s">
        <v>10</v>
      </c>
      <c r="D412" s="3">
        <v>5042.0</v>
      </c>
      <c r="E412" s="3" t="s">
        <v>474</v>
      </c>
      <c r="F412" s="5">
        <v>46111.502916666665</v>
      </c>
      <c r="G412" s="5">
        <v>46109.67652777778</v>
      </c>
      <c r="H412" s="3" t="s">
        <v>14</v>
      </c>
      <c r="I412" s="3">
        <v>0.0</v>
      </c>
      <c r="J412" s="3" t="s">
        <v>15</v>
      </c>
    </row>
    <row r="413">
      <c r="C413" s="3" t="s">
        <v>17</v>
      </c>
      <c r="D413" s="3">
        <v>5042.0</v>
      </c>
      <c r="E413" s="3" t="s">
        <v>474</v>
      </c>
      <c r="F413" s="5">
        <v>46111.50986111111</v>
      </c>
      <c r="G413" s="5">
        <v>46109.67658564815</v>
      </c>
      <c r="H413" s="3" t="s">
        <v>14</v>
      </c>
      <c r="I413" s="7">
        <v>0.0</v>
      </c>
      <c r="J413" s="3" t="s">
        <v>15</v>
      </c>
    </row>
    <row r="414">
      <c r="C414" s="3" t="s">
        <v>21</v>
      </c>
      <c r="D414" s="3">
        <v>5042.0</v>
      </c>
      <c r="E414" s="3" t="s">
        <v>474</v>
      </c>
      <c r="F414" s="5">
        <v>46111.61402777778</v>
      </c>
      <c r="G414" s="5">
        <v>46109.67679398148</v>
      </c>
      <c r="H414" s="3" t="s">
        <v>14</v>
      </c>
      <c r="I414" s="7">
        <v>0.0</v>
      </c>
      <c r="J414" s="3" t="s">
        <v>15</v>
      </c>
    </row>
    <row r="415">
      <c r="C415" s="3" t="s">
        <v>24</v>
      </c>
      <c r="D415" s="3">
        <v>5042.0</v>
      </c>
      <c r="E415" s="3" t="s">
        <v>474</v>
      </c>
      <c r="F415" s="5">
        <v>46112.61388888889</v>
      </c>
      <c r="G415" s="5">
        <v>46110.59400462963</v>
      </c>
      <c r="H415" s="3" t="s">
        <v>14</v>
      </c>
      <c r="I415" s="7">
        <v>0.0</v>
      </c>
      <c r="J415" s="3" t="s">
        <v>15</v>
      </c>
    </row>
    <row r="416">
      <c r="C416" s="3" t="s">
        <v>26</v>
      </c>
      <c r="D416" s="3">
        <v>5042.0</v>
      </c>
      <c r="E416" s="3" t="s">
        <v>474</v>
      </c>
      <c r="F416" s="5">
        <v>46112.65555555555</v>
      </c>
      <c r="G416" s="5">
        <v>46110.594039351854</v>
      </c>
      <c r="H416" s="3" t="s">
        <v>14</v>
      </c>
      <c r="I416" s="7">
        <v>0.0</v>
      </c>
      <c r="J416" s="3" t="s">
        <v>15</v>
      </c>
    </row>
    <row r="417">
      <c r="C417" s="3" t="s">
        <v>10</v>
      </c>
      <c r="D417" s="3">
        <v>5043.0</v>
      </c>
      <c r="E417" s="3" t="s">
        <v>166</v>
      </c>
      <c r="F417" s="5">
        <v>46111.50641203704</v>
      </c>
      <c r="G417" s="5">
        <v>46109.676620370374</v>
      </c>
      <c r="H417" s="3" t="s">
        <v>14</v>
      </c>
      <c r="I417" s="3">
        <v>0.0</v>
      </c>
      <c r="J417" s="3" t="s">
        <v>15</v>
      </c>
    </row>
    <row r="418">
      <c r="C418" s="3" t="s">
        <v>17</v>
      </c>
      <c r="D418" s="3">
        <v>5043.0</v>
      </c>
      <c r="E418" s="3" t="s">
        <v>166</v>
      </c>
      <c r="F418" s="5">
        <v>46111.51335648148</v>
      </c>
      <c r="G418" s="5">
        <v>46109.676712962966</v>
      </c>
      <c r="H418" s="3" t="s">
        <v>14</v>
      </c>
      <c r="I418" s="7">
        <v>0.0</v>
      </c>
      <c r="J418" s="3" t="s">
        <v>15</v>
      </c>
    </row>
    <row r="419">
      <c r="C419" s="3" t="s">
        <v>21</v>
      </c>
      <c r="D419" s="3">
        <v>5043.0</v>
      </c>
      <c r="E419" s="3" t="s">
        <v>166</v>
      </c>
      <c r="F419" s="5">
        <v>46111.61752314815</v>
      </c>
      <c r="G419" s="5">
        <v>46109.67681712963</v>
      </c>
      <c r="H419" s="3" t="s">
        <v>14</v>
      </c>
      <c r="I419" s="7">
        <v>0.0</v>
      </c>
      <c r="J419" s="3" t="s">
        <v>15</v>
      </c>
    </row>
    <row r="420">
      <c r="C420" s="3" t="s">
        <v>24</v>
      </c>
      <c r="D420" s="3">
        <v>5043.0</v>
      </c>
      <c r="E420" s="3" t="s">
        <v>166</v>
      </c>
      <c r="F420" s="5">
        <v>46112.61736111111</v>
      </c>
      <c r="G420" s="5">
        <v>46109.6844212963</v>
      </c>
      <c r="H420" s="3" t="s">
        <v>14</v>
      </c>
      <c r="I420" s="7">
        <v>0.0</v>
      </c>
      <c r="J420" s="3" t="s">
        <v>15</v>
      </c>
    </row>
    <row r="421">
      <c r="C421" s="3" t="s">
        <v>26</v>
      </c>
      <c r="D421" s="3">
        <v>5043.0</v>
      </c>
      <c r="E421" s="3" t="s">
        <v>166</v>
      </c>
      <c r="F421" s="5">
        <v>46112.65902777778</v>
      </c>
      <c r="G421" s="5">
        <v>46109.684432870374</v>
      </c>
      <c r="H421" s="3" t="s">
        <v>14</v>
      </c>
      <c r="I421" s="7">
        <v>0.0</v>
      </c>
      <c r="J421" s="3" t="s">
        <v>15</v>
      </c>
    </row>
    <row r="422">
      <c r="C422" s="3" t="s">
        <v>10</v>
      </c>
      <c r="D422" s="3">
        <v>5044.0</v>
      </c>
      <c r="E422" s="3" t="s">
        <v>482</v>
      </c>
      <c r="F422" s="5">
        <v>46111.69021990741</v>
      </c>
      <c r="G422" s="5">
        <v>46111.546006944445</v>
      </c>
      <c r="H422" s="3" t="s">
        <v>14</v>
      </c>
      <c r="I422" s="3">
        <v>0.0</v>
      </c>
      <c r="J422" s="3" t="s">
        <v>48</v>
      </c>
    </row>
    <row r="423">
      <c r="C423" s="3" t="s">
        <v>17</v>
      </c>
      <c r="D423" s="3">
        <v>5044.0</v>
      </c>
      <c r="E423" s="3" t="s">
        <v>482</v>
      </c>
      <c r="F423" s="5">
        <v>46111.697164351855</v>
      </c>
      <c r="G423" s="5">
        <v>46111.54608796296</v>
      </c>
      <c r="H423" s="3" t="s">
        <v>14</v>
      </c>
      <c r="I423" s="7">
        <v>0.0</v>
      </c>
      <c r="J423" s="3" t="s">
        <v>48</v>
      </c>
    </row>
    <row r="424">
      <c r="C424" s="3" t="s">
        <v>21</v>
      </c>
      <c r="D424" s="3">
        <v>5044.0</v>
      </c>
      <c r="E424" s="3" t="s">
        <v>482</v>
      </c>
      <c r="F424" s="5">
        <v>46111.80133101852</v>
      </c>
      <c r="G424" s="5">
        <v>46111.54613425926</v>
      </c>
      <c r="H424" s="3" t="s">
        <v>14</v>
      </c>
      <c r="I424" s="7">
        <v>0.0</v>
      </c>
      <c r="J424" s="3" t="s">
        <v>48</v>
      </c>
    </row>
    <row r="425">
      <c r="C425" s="3" t="s">
        <v>24</v>
      </c>
      <c r="D425" s="3">
        <v>5044.0</v>
      </c>
      <c r="E425" s="3" t="s">
        <v>482</v>
      </c>
      <c r="F425" s="5">
        <v>46112.80069444444</v>
      </c>
      <c r="G425" s="5">
        <v>46111.54586805555</v>
      </c>
      <c r="H425" s="3" t="s">
        <v>14</v>
      </c>
      <c r="I425" s="7">
        <v>0.0</v>
      </c>
      <c r="J425" s="3" t="s">
        <v>48</v>
      </c>
    </row>
    <row r="426">
      <c r="C426" s="3" t="s">
        <v>26</v>
      </c>
      <c r="D426" s="3">
        <v>5044.0</v>
      </c>
      <c r="E426" s="3" t="s">
        <v>482</v>
      </c>
      <c r="F426" s="5">
        <v>46113.42569444444</v>
      </c>
      <c r="G426" s="5">
        <v>46112.44664351852</v>
      </c>
      <c r="H426" s="3" t="s">
        <v>14</v>
      </c>
      <c r="I426" s="7">
        <v>0.0</v>
      </c>
      <c r="J426" s="3" t="s">
        <v>48</v>
      </c>
    </row>
    <row r="427">
      <c r="C427" s="3" t="s">
        <v>10</v>
      </c>
      <c r="D427" s="3">
        <v>5045.0</v>
      </c>
      <c r="E427" s="3" t="s">
        <v>74</v>
      </c>
      <c r="F427" s="5">
        <v>46111.75650462963</v>
      </c>
      <c r="G427" s="5">
        <v>46111.656168981484</v>
      </c>
      <c r="H427" s="3" t="s">
        <v>14</v>
      </c>
      <c r="I427" s="3">
        <v>0.0</v>
      </c>
      <c r="J427" s="3" t="s">
        <v>72</v>
      </c>
    </row>
    <row r="428">
      <c r="C428" s="3" t="s">
        <v>17</v>
      </c>
      <c r="D428" s="3">
        <v>5045.0</v>
      </c>
      <c r="E428" s="3" t="s">
        <v>74</v>
      </c>
      <c r="F428" s="5">
        <v>46111.763449074075</v>
      </c>
      <c r="G428" s="5">
        <v>46111.6565162037</v>
      </c>
      <c r="H428" s="3" t="s">
        <v>14</v>
      </c>
      <c r="I428" s="7">
        <v>0.0</v>
      </c>
      <c r="J428" s="3" t="s">
        <v>72</v>
      </c>
    </row>
    <row r="429">
      <c r="C429" s="3" t="s">
        <v>21</v>
      </c>
      <c r="D429" s="3">
        <v>5045.0</v>
      </c>
      <c r="E429" s="3" t="s">
        <v>74</v>
      </c>
      <c r="F429" s="5">
        <v>46112.42986111111</v>
      </c>
      <c r="G429" s="5">
        <v>46111.6565625</v>
      </c>
      <c r="H429" s="3" t="s">
        <v>14</v>
      </c>
      <c r="I429" s="7">
        <v>0.0</v>
      </c>
      <c r="J429" s="3" t="s">
        <v>72</v>
      </c>
    </row>
    <row r="430">
      <c r="C430" s="3" t="s">
        <v>24</v>
      </c>
      <c r="D430" s="3">
        <v>5045.0</v>
      </c>
      <c r="E430" s="3" t="s">
        <v>74</v>
      </c>
      <c r="F430" s="5">
        <v>46113.42986111111</v>
      </c>
      <c r="G430" s="5">
        <v>46112.56263888889</v>
      </c>
      <c r="H430" s="3" t="s">
        <v>14</v>
      </c>
      <c r="I430" s="7">
        <v>0.0</v>
      </c>
      <c r="J430" s="3" t="s">
        <v>72</v>
      </c>
    </row>
    <row r="431">
      <c r="C431" s="3" t="s">
        <v>26</v>
      </c>
      <c r="D431" s="3">
        <v>5045.0</v>
      </c>
      <c r="E431" s="3" t="s">
        <v>74</v>
      </c>
      <c r="F431" s="5">
        <v>46113.47152777778</v>
      </c>
      <c r="G431" s="5">
        <v>46112.562743055554</v>
      </c>
      <c r="H431" s="3" t="s">
        <v>14</v>
      </c>
      <c r="I431" s="7">
        <v>0.0</v>
      </c>
      <c r="J431" s="3" t="s">
        <v>72</v>
      </c>
    </row>
    <row r="432">
      <c r="C432" s="3" t="s">
        <v>10</v>
      </c>
      <c r="D432" s="3">
        <v>5046.0</v>
      </c>
      <c r="E432" s="3">
        <v>3629.0</v>
      </c>
      <c r="F432" s="5">
        <v>46111.806226851855</v>
      </c>
      <c r="G432" s="5">
        <v>46111.656180555554</v>
      </c>
      <c r="H432" s="3" t="s">
        <v>14</v>
      </c>
      <c r="I432" s="3">
        <v>0.0</v>
      </c>
      <c r="J432" s="3" t="s">
        <v>72</v>
      </c>
    </row>
    <row r="433">
      <c r="C433" s="3" t="s">
        <v>17</v>
      </c>
      <c r="D433" s="3">
        <v>5046.0</v>
      </c>
      <c r="E433" s="3">
        <v>3629.0</v>
      </c>
      <c r="F433" s="5">
        <v>46111.81317129629</v>
      </c>
      <c r="G433" s="5">
        <v>46111.65646990741</v>
      </c>
      <c r="H433" s="3" t="s">
        <v>14</v>
      </c>
      <c r="I433" s="7">
        <v>0.0</v>
      </c>
      <c r="J433" s="3" t="s">
        <v>72</v>
      </c>
    </row>
    <row r="434">
      <c r="C434" s="3" t="s">
        <v>21</v>
      </c>
      <c r="D434" s="3">
        <v>5046.0</v>
      </c>
      <c r="E434" s="3">
        <v>3629.0</v>
      </c>
      <c r="F434" s="5">
        <v>46112.520833333336</v>
      </c>
      <c r="G434" s="5">
        <v>46111.6565625</v>
      </c>
      <c r="H434" s="3" t="s">
        <v>14</v>
      </c>
      <c r="I434" s="7">
        <v>0.0</v>
      </c>
      <c r="J434" s="3" t="s">
        <v>72</v>
      </c>
    </row>
    <row r="435">
      <c r="C435" s="3" t="s">
        <v>24</v>
      </c>
      <c r="D435" s="3">
        <v>5046.0</v>
      </c>
      <c r="E435" s="3">
        <v>3629.0</v>
      </c>
      <c r="F435" s="5">
        <v>46113.520833333336</v>
      </c>
      <c r="G435" s="5">
        <v>46112.56266203704</v>
      </c>
      <c r="H435" s="3" t="s">
        <v>14</v>
      </c>
      <c r="I435" s="7">
        <v>0.0</v>
      </c>
      <c r="J435" s="3" t="s">
        <v>72</v>
      </c>
    </row>
    <row r="436">
      <c r="C436" s="3" t="s">
        <v>26</v>
      </c>
      <c r="D436" s="3">
        <v>5046.0</v>
      </c>
      <c r="E436" s="3">
        <v>3629.0</v>
      </c>
      <c r="F436" s="5">
        <v>46113.5625</v>
      </c>
      <c r="G436" s="5">
        <v>46112.562743055554</v>
      </c>
      <c r="H436" s="3" t="s">
        <v>14</v>
      </c>
      <c r="I436" s="7">
        <v>0.0</v>
      </c>
      <c r="J436" s="3" t="s">
        <v>72</v>
      </c>
    </row>
    <row r="437">
      <c r="C437" s="3" t="s">
        <v>10</v>
      </c>
      <c r="D437" s="3">
        <v>5047.0</v>
      </c>
      <c r="E437" s="3">
        <v>3630.0</v>
      </c>
      <c r="F437" s="5">
        <v>46111.80738425926</v>
      </c>
      <c r="G437" s="5">
        <v>46111.65619212963</v>
      </c>
      <c r="H437" s="3" t="s">
        <v>14</v>
      </c>
      <c r="I437" s="3">
        <v>0.0</v>
      </c>
      <c r="J437" s="3" t="s">
        <v>72</v>
      </c>
    </row>
    <row r="438">
      <c r="C438" s="3" t="s">
        <v>17</v>
      </c>
      <c r="D438" s="3">
        <v>5047.0</v>
      </c>
      <c r="E438" s="3">
        <v>3630.0</v>
      </c>
      <c r="F438" s="5">
        <v>46111.8143287037</v>
      </c>
      <c r="G438" s="5">
        <v>46111.656481481485</v>
      </c>
      <c r="H438" s="3" t="s">
        <v>14</v>
      </c>
      <c r="I438" s="7">
        <v>0.0</v>
      </c>
      <c r="J438" s="3" t="s">
        <v>72</v>
      </c>
    </row>
    <row r="439">
      <c r="C439" s="3" t="s">
        <v>21</v>
      </c>
      <c r="D439" s="3">
        <v>5047.0</v>
      </c>
      <c r="E439" s="3">
        <v>3630.0</v>
      </c>
      <c r="F439" s="5">
        <v>46112.52222222222</v>
      </c>
      <c r="G439" s="5">
        <v>46111.6565625</v>
      </c>
      <c r="H439" s="3" t="s">
        <v>14</v>
      </c>
      <c r="I439" s="7">
        <v>0.0</v>
      </c>
      <c r="J439" s="3" t="s">
        <v>72</v>
      </c>
    </row>
    <row r="440">
      <c r="C440" s="3" t="s">
        <v>24</v>
      </c>
      <c r="D440" s="3">
        <v>5047.0</v>
      </c>
      <c r="E440" s="3">
        <v>3630.0</v>
      </c>
      <c r="F440" s="5">
        <v>46113.52222222222</v>
      </c>
      <c r="G440" s="5">
        <v>46112.56267361111</v>
      </c>
      <c r="H440" s="3" t="s">
        <v>14</v>
      </c>
      <c r="I440" s="7">
        <v>0.0</v>
      </c>
      <c r="J440" s="3" t="s">
        <v>72</v>
      </c>
    </row>
    <row r="441">
      <c r="C441" s="3" t="s">
        <v>26</v>
      </c>
      <c r="D441" s="3">
        <v>5047.0</v>
      </c>
      <c r="E441" s="3">
        <v>3630.0</v>
      </c>
      <c r="F441" s="5">
        <v>46113.563888888886</v>
      </c>
      <c r="G441" s="5">
        <v>46112.56275462963</v>
      </c>
      <c r="H441" s="3" t="s">
        <v>14</v>
      </c>
      <c r="I441" s="7">
        <v>0.0</v>
      </c>
      <c r="J441" s="3" t="s">
        <v>72</v>
      </c>
    </row>
    <row r="442">
      <c r="C442" s="3" t="s">
        <v>10</v>
      </c>
      <c r="D442" s="3">
        <v>5048.0</v>
      </c>
      <c r="E442" s="3">
        <v>3629.0</v>
      </c>
      <c r="F442" s="5">
        <v>46111.808125</v>
      </c>
      <c r="G442" s="5">
        <v>46111.65619212963</v>
      </c>
      <c r="H442" s="3" t="s">
        <v>14</v>
      </c>
      <c r="I442" s="3">
        <v>0.0</v>
      </c>
      <c r="J442" s="3" t="s">
        <v>72</v>
      </c>
    </row>
    <row r="443">
      <c r="C443" s="3" t="s">
        <v>17</v>
      </c>
      <c r="D443" s="3">
        <v>5048.0</v>
      </c>
      <c r="E443" s="3">
        <v>3629.0</v>
      </c>
      <c r="F443" s="5">
        <v>46111.81506944444</v>
      </c>
      <c r="G443" s="5">
        <v>46111.65650462963</v>
      </c>
      <c r="H443" s="3" t="s">
        <v>14</v>
      </c>
      <c r="I443" s="7">
        <v>0.0</v>
      </c>
      <c r="J443" s="3" t="s">
        <v>72</v>
      </c>
    </row>
    <row r="444">
      <c r="C444" s="3" t="s">
        <v>21</v>
      </c>
      <c r="D444" s="3">
        <v>5048.0</v>
      </c>
      <c r="E444" s="3">
        <v>3629.0</v>
      </c>
      <c r="F444" s="5">
        <v>46112.52291666667</v>
      </c>
      <c r="G444" s="5">
        <v>46111.6565625</v>
      </c>
      <c r="H444" s="3" t="s">
        <v>14</v>
      </c>
      <c r="I444" s="7">
        <v>0.0</v>
      </c>
      <c r="J444" s="3" t="s">
        <v>72</v>
      </c>
    </row>
    <row r="445">
      <c r="C445" s="3" t="s">
        <v>24</v>
      </c>
      <c r="D445" s="3">
        <v>5048.0</v>
      </c>
      <c r="E445" s="3">
        <v>3629.0</v>
      </c>
      <c r="F445" s="5">
        <v>46113.52291666667</v>
      </c>
      <c r="G445" s="5">
        <v>46112.56267361111</v>
      </c>
      <c r="H445" s="3" t="s">
        <v>14</v>
      </c>
      <c r="I445" s="7">
        <v>0.0</v>
      </c>
      <c r="J445" s="3" t="s">
        <v>72</v>
      </c>
    </row>
    <row r="446">
      <c r="C446" s="3" t="s">
        <v>26</v>
      </c>
      <c r="D446" s="3">
        <v>5048.0</v>
      </c>
      <c r="E446" s="3">
        <v>3629.0</v>
      </c>
      <c r="F446" s="5">
        <v>46113.56458333333</v>
      </c>
      <c r="G446" s="5">
        <v>46112.56275462963</v>
      </c>
      <c r="H446" s="3" t="s">
        <v>14</v>
      </c>
      <c r="I446" s="7">
        <v>0.0</v>
      </c>
      <c r="J446" s="3" t="s">
        <v>72</v>
      </c>
    </row>
    <row r="447">
      <c r="C447" s="3" t="s">
        <v>10</v>
      </c>
      <c r="D447" s="3">
        <v>5049.0</v>
      </c>
      <c r="E447" s="3">
        <v>3630.0</v>
      </c>
      <c r="F447" s="5">
        <v>46111.80935185185</v>
      </c>
      <c r="G447" s="5">
        <v>46111.656168981484</v>
      </c>
      <c r="H447" s="3" t="s">
        <v>14</v>
      </c>
      <c r="I447" s="3">
        <v>0.0</v>
      </c>
      <c r="J447" s="3" t="s">
        <v>72</v>
      </c>
    </row>
    <row r="448">
      <c r="C448" s="3" t="s">
        <v>17</v>
      </c>
      <c r="D448" s="3">
        <v>5049.0</v>
      </c>
      <c r="E448" s="3">
        <v>3630.0</v>
      </c>
      <c r="F448" s="5">
        <v>46111.816296296296</v>
      </c>
      <c r="G448" s="5">
        <v>46111.656493055554</v>
      </c>
      <c r="H448" s="3" t="s">
        <v>14</v>
      </c>
      <c r="I448" s="7">
        <v>0.0</v>
      </c>
      <c r="J448" s="3" t="s">
        <v>72</v>
      </c>
    </row>
    <row r="449">
      <c r="C449" s="3" t="s">
        <v>21</v>
      </c>
      <c r="D449" s="3">
        <v>5049.0</v>
      </c>
      <c r="E449" s="3">
        <v>3630.0</v>
      </c>
      <c r="F449" s="5">
        <v>46112.524305555555</v>
      </c>
      <c r="G449" s="5">
        <v>46111.6565625</v>
      </c>
      <c r="H449" s="3" t="s">
        <v>14</v>
      </c>
      <c r="I449" s="7">
        <v>0.0</v>
      </c>
      <c r="J449" s="3" t="s">
        <v>72</v>
      </c>
    </row>
    <row r="450">
      <c r="C450" s="3" t="s">
        <v>24</v>
      </c>
      <c r="D450" s="3">
        <v>5049.0</v>
      </c>
      <c r="E450" s="3">
        <v>3630.0</v>
      </c>
      <c r="F450" s="5">
        <v>46113.524305555555</v>
      </c>
      <c r="G450" s="5">
        <v>46112.56267361111</v>
      </c>
      <c r="H450" s="3" t="s">
        <v>14</v>
      </c>
      <c r="I450" s="7">
        <v>0.0</v>
      </c>
      <c r="J450" s="3" t="s">
        <v>72</v>
      </c>
    </row>
    <row r="451">
      <c r="C451" s="3" t="s">
        <v>26</v>
      </c>
      <c r="D451" s="3">
        <v>5049.0</v>
      </c>
      <c r="E451" s="3">
        <v>3630.0</v>
      </c>
      <c r="F451" s="5">
        <v>46113.56597222222</v>
      </c>
      <c r="G451" s="5">
        <v>46112.5627662037</v>
      </c>
      <c r="H451" s="3" t="s">
        <v>14</v>
      </c>
      <c r="I451" s="7">
        <v>0.0</v>
      </c>
      <c r="J451" s="3" t="s">
        <v>72</v>
      </c>
    </row>
    <row r="452">
      <c r="C452" s="3" t="s">
        <v>10</v>
      </c>
      <c r="D452" s="3">
        <v>5050.0</v>
      </c>
      <c r="E452" s="3" t="s">
        <v>166</v>
      </c>
      <c r="F452" s="5">
        <v>46112.46805555555</v>
      </c>
      <c r="G452" s="5">
        <v>46111.72278935185</v>
      </c>
      <c r="H452" s="3" t="s">
        <v>14</v>
      </c>
      <c r="I452" s="3">
        <v>0.0</v>
      </c>
      <c r="J452" s="3" t="s">
        <v>15</v>
      </c>
    </row>
    <row r="453">
      <c r="C453" s="3" t="s">
        <v>17</v>
      </c>
      <c r="D453" s="3">
        <v>5050.0</v>
      </c>
      <c r="E453" s="3" t="s">
        <v>166</v>
      </c>
      <c r="F453" s="5">
        <v>46112.475</v>
      </c>
      <c r="G453" s="5">
        <v>46111.8025462963</v>
      </c>
      <c r="H453" s="3" t="s">
        <v>14</v>
      </c>
      <c r="I453" s="7">
        <v>0.0</v>
      </c>
      <c r="J453" s="3" t="s">
        <v>15</v>
      </c>
    </row>
    <row r="454">
      <c r="C454" s="3" t="s">
        <v>21</v>
      </c>
      <c r="D454" s="3">
        <v>5050.0</v>
      </c>
      <c r="E454" s="3" t="s">
        <v>166</v>
      </c>
      <c r="F454" s="5">
        <v>46112.57916666667</v>
      </c>
      <c r="G454" s="5">
        <v>46111.80260416667</v>
      </c>
      <c r="H454" s="3" t="s">
        <v>14</v>
      </c>
      <c r="I454" s="7">
        <v>0.0</v>
      </c>
      <c r="J454" s="3" t="s">
        <v>15</v>
      </c>
    </row>
    <row r="455">
      <c r="C455" s="3" t="s">
        <v>24</v>
      </c>
      <c r="D455" s="3">
        <v>5050.0</v>
      </c>
      <c r="E455" s="3" t="s">
        <v>166</v>
      </c>
      <c r="F455" s="5">
        <v>46113.57916666667</v>
      </c>
      <c r="G455" s="5">
        <v>46112.56267361111</v>
      </c>
      <c r="H455" s="3" t="s">
        <v>14</v>
      </c>
      <c r="I455" s="7">
        <v>0.0</v>
      </c>
      <c r="J455" s="3" t="s">
        <v>15</v>
      </c>
    </row>
    <row r="456">
      <c r="C456" s="3" t="s">
        <v>26</v>
      </c>
      <c r="D456" s="3">
        <v>5050.0</v>
      </c>
      <c r="E456" s="3" t="s">
        <v>166</v>
      </c>
      <c r="F456" s="5">
        <v>46113.620833333334</v>
      </c>
      <c r="G456" s="5">
        <v>46112.56277777778</v>
      </c>
      <c r="H456" s="3" t="s">
        <v>14</v>
      </c>
      <c r="I456" s="7">
        <v>0.0</v>
      </c>
      <c r="J456" s="3" t="s">
        <v>15</v>
      </c>
    </row>
    <row r="457">
      <c r="C457" s="3" t="s">
        <v>10</v>
      </c>
      <c r="D457" s="3">
        <v>5051.0</v>
      </c>
      <c r="E457" s="3" t="s">
        <v>508</v>
      </c>
      <c r="F457" s="5">
        <v>46112.65262731481</v>
      </c>
      <c r="G457" s="5">
        <v>46112.48974537037</v>
      </c>
      <c r="H457" s="3" t="s">
        <v>14</v>
      </c>
      <c r="I457" s="3">
        <v>0.0</v>
      </c>
      <c r="J457" s="3" t="s">
        <v>72</v>
      </c>
    </row>
    <row r="458">
      <c r="C458" s="3" t="s">
        <v>17</v>
      </c>
      <c r="D458" s="3">
        <v>5051.0</v>
      </c>
      <c r="E458" s="3" t="s">
        <v>508</v>
      </c>
      <c r="F458" s="5">
        <v>46112.65957175926</v>
      </c>
      <c r="G458" s="5">
        <v>46112.48982638889</v>
      </c>
      <c r="H458" s="3" t="s">
        <v>14</v>
      </c>
      <c r="I458" s="7">
        <v>0.0</v>
      </c>
      <c r="J458" s="3" t="s">
        <v>72</v>
      </c>
    </row>
    <row r="459">
      <c r="C459" s="3" t="s">
        <v>21</v>
      </c>
      <c r="D459" s="3">
        <v>5051.0</v>
      </c>
      <c r="E459" s="3" t="s">
        <v>508</v>
      </c>
      <c r="F459" s="5">
        <v>46112.76373842593</v>
      </c>
      <c r="G459" s="5">
        <v>46112.489895833336</v>
      </c>
      <c r="H459" s="3" t="s">
        <v>14</v>
      </c>
      <c r="I459" s="7">
        <v>0.0</v>
      </c>
      <c r="J459" s="3" t="s">
        <v>72</v>
      </c>
    </row>
    <row r="460">
      <c r="C460" s="3" t="s">
        <v>24</v>
      </c>
      <c r="D460" s="3">
        <v>5051.0</v>
      </c>
      <c r="E460" s="3" t="s">
        <v>508</v>
      </c>
      <c r="F460" s="5">
        <v>46113.763194444444</v>
      </c>
      <c r="G460" s="5">
        <v>46112.56260416667</v>
      </c>
      <c r="H460" s="3" t="s">
        <v>14</v>
      </c>
      <c r="I460" s="7">
        <v>0.0</v>
      </c>
      <c r="J460" s="3" t="s">
        <v>72</v>
      </c>
    </row>
    <row r="461">
      <c r="C461" s="3" t="s">
        <v>26</v>
      </c>
      <c r="D461" s="3">
        <v>5051.0</v>
      </c>
      <c r="E461" s="3" t="s">
        <v>508</v>
      </c>
      <c r="F461" s="5">
        <v>46113.80486111111</v>
      </c>
      <c r="G461" s="5">
        <v>46113.45924768518</v>
      </c>
      <c r="H461" s="3" t="s">
        <v>14</v>
      </c>
      <c r="I461" s="7">
        <v>0.0</v>
      </c>
      <c r="J461" s="3" t="s">
        <v>72</v>
      </c>
    </row>
    <row r="462">
      <c r="C462" s="3" t="s">
        <v>10</v>
      </c>
      <c r="D462" s="3">
        <v>5052.0</v>
      </c>
      <c r="E462" s="3" t="s">
        <v>516</v>
      </c>
      <c r="F462" s="5">
        <v>46112.65520833333</v>
      </c>
      <c r="G462" s="5">
        <v>46112.48976851852</v>
      </c>
      <c r="H462" s="3" t="s">
        <v>14</v>
      </c>
      <c r="I462" s="3">
        <v>0.0</v>
      </c>
      <c r="J462" s="3" t="s">
        <v>72</v>
      </c>
    </row>
    <row r="463">
      <c r="C463" s="3" t="s">
        <v>17</v>
      </c>
      <c r="D463" s="3">
        <v>5052.0</v>
      </c>
      <c r="E463" s="3" t="s">
        <v>516</v>
      </c>
      <c r="F463" s="5">
        <v>46112.662152777775</v>
      </c>
      <c r="G463" s="5">
        <v>46112.48982638889</v>
      </c>
      <c r="H463" s="3" t="s">
        <v>14</v>
      </c>
      <c r="I463" s="7">
        <v>0.0</v>
      </c>
      <c r="J463" s="3" t="s">
        <v>72</v>
      </c>
    </row>
    <row r="464">
      <c r="C464" s="3" t="s">
        <v>21</v>
      </c>
      <c r="D464" s="3">
        <v>5052.0</v>
      </c>
      <c r="E464" s="3" t="s">
        <v>516</v>
      </c>
      <c r="F464" s="5">
        <v>46112.76631944445</v>
      </c>
      <c r="G464" s="5">
        <v>46112.48986111111</v>
      </c>
      <c r="H464" s="3" t="s">
        <v>14</v>
      </c>
      <c r="I464" s="7">
        <v>0.0</v>
      </c>
      <c r="J464" s="3" t="s">
        <v>72</v>
      </c>
    </row>
    <row r="465">
      <c r="C465" s="3" t="s">
        <v>24</v>
      </c>
      <c r="D465" s="3">
        <v>5052.0</v>
      </c>
      <c r="E465" s="3" t="s">
        <v>516</v>
      </c>
      <c r="F465" s="5">
        <v>46113.76597222222</v>
      </c>
      <c r="G465" s="5">
        <v>46112.56269675926</v>
      </c>
      <c r="H465" s="3" t="s">
        <v>14</v>
      </c>
      <c r="I465" s="7">
        <v>0.0</v>
      </c>
      <c r="J465" s="3" t="s">
        <v>72</v>
      </c>
    </row>
    <row r="466">
      <c r="C466" s="3" t="s">
        <v>26</v>
      </c>
      <c r="D466" s="3">
        <v>5052.0</v>
      </c>
      <c r="E466" s="3" t="s">
        <v>516</v>
      </c>
      <c r="F466" s="5">
        <v>46113.80763888889</v>
      </c>
      <c r="G466" s="5">
        <v>46113.45927083334</v>
      </c>
      <c r="H466" s="3" t="s">
        <v>14</v>
      </c>
      <c r="I466" s="7">
        <v>0.0</v>
      </c>
      <c r="J466" s="3" t="s">
        <v>72</v>
      </c>
    </row>
    <row r="467">
      <c r="C467" s="3" t="s">
        <v>10</v>
      </c>
      <c r="D467" s="3">
        <v>5053.0</v>
      </c>
      <c r="E467" s="3" t="s">
        <v>523</v>
      </c>
      <c r="F467" s="5">
        <v>46113.63673611111</v>
      </c>
      <c r="G467" s="5">
        <v>46113.47545138889</v>
      </c>
      <c r="H467" s="3" t="s">
        <v>14</v>
      </c>
      <c r="I467" s="3">
        <v>0.0</v>
      </c>
      <c r="J467" s="3" t="s">
        <v>15</v>
      </c>
    </row>
    <row r="468">
      <c r="C468" s="3" t="s">
        <v>17</v>
      </c>
      <c r="D468" s="3">
        <v>5053.0</v>
      </c>
      <c r="E468" s="3" t="s">
        <v>523</v>
      </c>
      <c r="F468" s="5">
        <v>46113.64368055556</v>
      </c>
      <c r="G468" s="5">
        <v>46113.47550925926</v>
      </c>
      <c r="H468" s="3" t="s">
        <v>14</v>
      </c>
      <c r="I468" s="7">
        <v>0.0</v>
      </c>
      <c r="J468" s="3" t="s">
        <v>15</v>
      </c>
    </row>
    <row r="469">
      <c r="C469" s="3" t="s">
        <v>21</v>
      </c>
      <c r="D469" s="3">
        <v>5053.0</v>
      </c>
      <c r="E469" s="3" t="s">
        <v>523</v>
      </c>
      <c r="F469" s="5">
        <v>46113.74784722222</v>
      </c>
      <c r="G469" s="5">
        <v>46113.51520833333</v>
      </c>
      <c r="H469" s="3" t="s">
        <v>14</v>
      </c>
      <c r="I469" s="7">
        <v>0.0</v>
      </c>
      <c r="J469" s="3" t="s">
        <v>15</v>
      </c>
    </row>
    <row r="470">
      <c r="C470" s="3" t="s">
        <v>24</v>
      </c>
      <c r="D470" s="3">
        <v>5053.0</v>
      </c>
      <c r="E470" s="3" t="s">
        <v>523</v>
      </c>
      <c r="F470" s="5">
        <v>46114.74722222222</v>
      </c>
      <c r="G470" s="5">
        <v>46113.515231481484</v>
      </c>
      <c r="H470" s="3" t="s">
        <v>14</v>
      </c>
      <c r="I470" s="7">
        <v>0.0</v>
      </c>
      <c r="J470" s="3" t="s">
        <v>15</v>
      </c>
    </row>
    <row r="471">
      <c r="C471" s="3" t="s">
        <v>26</v>
      </c>
      <c r="D471" s="3">
        <v>5053.0</v>
      </c>
      <c r="E471" s="3" t="s">
        <v>523</v>
      </c>
      <c r="F471" s="5">
        <v>46114.78888888889</v>
      </c>
      <c r="G471" s="5">
        <v>46113.51872685185</v>
      </c>
      <c r="H471" s="3" t="s">
        <v>14</v>
      </c>
      <c r="I471" s="7">
        <v>0.0</v>
      </c>
      <c r="J471" s="3" t="s">
        <v>15</v>
      </c>
    </row>
    <row r="472">
      <c r="C472" s="3" t="s">
        <v>10</v>
      </c>
      <c r="D472" s="3">
        <v>5054.0</v>
      </c>
      <c r="E472" s="3" t="s">
        <v>166</v>
      </c>
      <c r="F472" s="5">
        <v>46113.680601851855</v>
      </c>
      <c r="G472" s="5">
        <v>46113.51530092592</v>
      </c>
      <c r="H472" s="3" t="s">
        <v>14</v>
      </c>
      <c r="I472" s="3">
        <v>0.0</v>
      </c>
      <c r="J472" s="3" t="s">
        <v>15</v>
      </c>
    </row>
    <row r="473">
      <c r="C473" s="3" t="s">
        <v>17</v>
      </c>
      <c r="D473" s="3">
        <v>5054.0</v>
      </c>
      <c r="E473" s="3" t="s">
        <v>166</v>
      </c>
      <c r="F473" s="5">
        <v>46113.6875462963</v>
      </c>
      <c r="G473" s="5">
        <v>46113.5153587963</v>
      </c>
      <c r="H473" s="3" t="s">
        <v>14</v>
      </c>
      <c r="I473" s="7">
        <v>0.0</v>
      </c>
      <c r="J473" s="3" t="s">
        <v>15</v>
      </c>
    </row>
    <row r="474">
      <c r="C474" s="3" t="s">
        <v>21</v>
      </c>
      <c r="D474" s="3">
        <v>5054.0</v>
      </c>
      <c r="E474" s="3" t="s">
        <v>166</v>
      </c>
      <c r="F474" s="5">
        <v>46113.791712962964</v>
      </c>
      <c r="G474" s="5">
        <v>46113.51917824074</v>
      </c>
      <c r="H474" s="3" t="s">
        <v>14</v>
      </c>
      <c r="I474" s="7">
        <v>0.0</v>
      </c>
      <c r="J474" s="3" t="s">
        <v>15</v>
      </c>
    </row>
    <row r="475">
      <c r="C475" s="3" t="s">
        <v>24</v>
      </c>
      <c r="D475" s="3">
        <v>5054.0</v>
      </c>
      <c r="E475" s="3" t="s">
        <v>166</v>
      </c>
      <c r="F475" s="5">
        <v>46114.791666666664</v>
      </c>
      <c r="G475" s="5">
        <v>46113.519212962965</v>
      </c>
      <c r="H475" s="3" t="s">
        <v>14</v>
      </c>
      <c r="I475" s="7">
        <v>0.0</v>
      </c>
      <c r="J475" s="3" t="s">
        <v>15</v>
      </c>
    </row>
    <row r="476">
      <c r="C476" s="3" t="s">
        <v>26</v>
      </c>
      <c r="D476" s="3">
        <v>5054.0</v>
      </c>
      <c r="E476" s="3" t="s">
        <v>166</v>
      </c>
      <c r="F476" s="5">
        <v>46115.416666666664</v>
      </c>
      <c r="G476" s="5">
        <v>46113.51925925926</v>
      </c>
      <c r="H476" s="3" t="s">
        <v>14</v>
      </c>
      <c r="I476" s="7">
        <v>0.0</v>
      </c>
      <c r="J476" s="3" t="s">
        <v>15</v>
      </c>
    </row>
    <row r="477">
      <c r="C477" s="3" t="s">
        <v>10</v>
      </c>
      <c r="D477" s="3">
        <v>5055.0</v>
      </c>
      <c r="E477" s="3" t="s">
        <v>166</v>
      </c>
      <c r="F477" s="5">
        <v>46113.69005787037</v>
      </c>
      <c r="G477" s="5">
        <v>46113.54996527778</v>
      </c>
      <c r="H477" s="3" t="s">
        <v>14</v>
      </c>
      <c r="I477" s="3">
        <v>0.0</v>
      </c>
      <c r="J477" s="3" t="s">
        <v>15</v>
      </c>
    </row>
    <row r="478">
      <c r="C478" s="3" t="s">
        <v>17</v>
      </c>
      <c r="D478" s="3">
        <v>5055.0</v>
      </c>
      <c r="E478" s="3" t="s">
        <v>166</v>
      </c>
      <c r="F478" s="5">
        <v>46113.69700231482</v>
      </c>
      <c r="G478" s="5">
        <v>46113.55</v>
      </c>
      <c r="H478" s="3" t="s">
        <v>14</v>
      </c>
      <c r="I478" s="7">
        <v>0.0</v>
      </c>
      <c r="J478" s="3" t="s">
        <v>15</v>
      </c>
    </row>
    <row r="479">
      <c r="C479" s="3" t="s">
        <v>21</v>
      </c>
      <c r="D479" s="3">
        <v>5055.0</v>
      </c>
      <c r="E479" s="3" t="s">
        <v>166</v>
      </c>
      <c r="F479" s="5">
        <v>46113.80116898148</v>
      </c>
      <c r="G479" s="5">
        <v>46113.55008101852</v>
      </c>
      <c r="H479" s="3" t="s">
        <v>14</v>
      </c>
      <c r="I479" s="7">
        <v>0.0</v>
      </c>
      <c r="J479" s="3" t="s">
        <v>15</v>
      </c>
    </row>
    <row r="480">
      <c r="C480" s="3" t="s">
        <v>24</v>
      </c>
      <c r="D480" s="3">
        <v>5055.0</v>
      </c>
      <c r="E480" s="3" t="s">
        <v>166</v>
      </c>
      <c r="F480" s="5">
        <v>46114.80069444444</v>
      </c>
      <c r="G480" s="5">
        <v>46114.64350694444</v>
      </c>
      <c r="H480" s="3" t="s">
        <v>14</v>
      </c>
      <c r="I480" s="7">
        <v>0.0</v>
      </c>
      <c r="J480" s="3" t="s">
        <v>15</v>
      </c>
    </row>
    <row r="481">
      <c r="C481" s="3" t="s">
        <v>26</v>
      </c>
      <c r="D481" s="3">
        <v>5055.0</v>
      </c>
      <c r="E481" s="3" t="s">
        <v>166</v>
      </c>
      <c r="F481" s="5">
        <v>46115.50902777778</v>
      </c>
      <c r="G481" s="5">
        <v>46115.43519675926</v>
      </c>
      <c r="H481" s="3" t="s">
        <v>14</v>
      </c>
      <c r="I481" s="7">
        <v>0.0</v>
      </c>
      <c r="J481" s="3" t="s">
        <v>15</v>
      </c>
    </row>
    <row r="482">
      <c r="C482" s="3" t="s">
        <v>10</v>
      </c>
      <c r="D482" s="3">
        <v>5056.0</v>
      </c>
      <c r="E482" s="3" t="s">
        <v>534</v>
      </c>
      <c r="F482" s="5">
        <v>46113.69894675926</v>
      </c>
      <c r="G482" s="5">
        <v>46113.54917824074</v>
      </c>
      <c r="H482" s="3" t="s">
        <v>14</v>
      </c>
      <c r="I482" s="3">
        <v>0.0</v>
      </c>
      <c r="J482" s="3" t="s">
        <v>15</v>
      </c>
    </row>
    <row r="483">
      <c r="C483" s="3" t="s">
        <v>17</v>
      </c>
      <c r="D483" s="3">
        <v>5056.0</v>
      </c>
      <c r="E483" s="3" t="s">
        <v>534</v>
      </c>
      <c r="F483" s="5">
        <v>46113.7058912037</v>
      </c>
      <c r="G483" s="5">
        <v>46113.549629629626</v>
      </c>
      <c r="H483" s="3" t="s">
        <v>14</v>
      </c>
      <c r="I483" s="7">
        <v>0.0</v>
      </c>
      <c r="J483" s="3" t="s">
        <v>15</v>
      </c>
    </row>
    <row r="484">
      <c r="C484" s="3" t="s">
        <v>21</v>
      </c>
      <c r="D484" s="3">
        <v>5056.0</v>
      </c>
      <c r="E484" s="3" t="s">
        <v>534</v>
      </c>
      <c r="F484" s="5">
        <v>46113.81005787037</v>
      </c>
      <c r="G484" s="5">
        <v>46113.55012731482</v>
      </c>
      <c r="H484" s="3" t="s">
        <v>14</v>
      </c>
      <c r="I484" s="7">
        <v>0.0</v>
      </c>
      <c r="J484" s="3" t="s">
        <v>15</v>
      </c>
    </row>
    <row r="485">
      <c r="C485" s="3" t="s">
        <v>24</v>
      </c>
      <c r="D485" s="3">
        <v>5056.0</v>
      </c>
      <c r="E485" s="3" t="s">
        <v>534</v>
      </c>
      <c r="F485" s="5">
        <v>46114.80972222222</v>
      </c>
      <c r="G485" s="5">
        <v>46113.56576388889</v>
      </c>
      <c r="H485" s="3" t="s">
        <v>14</v>
      </c>
      <c r="I485" s="7">
        <v>0.0</v>
      </c>
      <c r="J485" s="3" t="s">
        <v>15</v>
      </c>
    </row>
    <row r="486">
      <c r="C486" s="3" t="s">
        <v>26</v>
      </c>
      <c r="D486" s="3">
        <v>5056.0</v>
      </c>
      <c r="E486" s="3" t="s">
        <v>534</v>
      </c>
      <c r="F486" s="5">
        <v>46115.43472222222</v>
      </c>
      <c r="G486" s="5">
        <v>46113.56582175926</v>
      </c>
      <c r="H486" s="3" t="s">
        <v>14</v>
      </c>
      <c r="I486" s="7">
        <v>0.0</v>
      </c>
      <c r="J486" s="3" t="s">
        <v>15</v>
      </c>
    </row>
    <row r="487">
      <c r="C487" s="3" t="s">
        <v>10</v>
      </c>
      <c r="D487" s="3">
        <v>5057.0</v>
      </c>
      <c r="E487" s="3" t="s">
        <v>538</v>
      </c>
      <c r="F487" s="5">
        <v>46113.70049768518</v>
      </c>
      <c r="G487" s="5">
        <v>46113.549305555556</v>
      </c>
      <c r="H487" s="3" t="s">
        <v>14</v>
      </c>
      <c r="I487" s="3">
        <v>0.0</v>
      </c>
      <c r="J487" s="3" t="s">
        <v>15</v>
      </c>
    </row>
    <row r="488">
      <c r="C488" s="3" t="s">
        <v>17</v>
      </c>
      <c r="D488" s="3">
        <v>5057.0</v>
      </c>
      <c r="E488" s="3" t="s">
        <v>538</v>
      </c>
      <c r="F488" s="5">
        <v>46113.70744212963</v>
      </c>
      <c r="G488" s="5">
        <v>46113.54966435185</v>
      </c>
      <c r="H488" s="3" t="s">
        <v>14</v>
      </c>
      <c r="I488" s="7">
        <v>0.0</v>
      </c>
      <c r="J488" s="3" t="s">
        <v>15</v>
      </c>
    </row>
    <row r="489">
      <c r="C489" s="3" t="s">
        <v>21</v>
      </c>
      <c r="D489" s="3">
        <v>5057.0</v>
      </c>
      <c r="E489" s="3" t="s">
        <v>538</v>
      </c>
      <c r="F489" s="5">
        <v>46113.8116087963</v>
      </c>
      <c r="G489" s="5">
        <v>46113.55013888889</v>
      </c>
      <c r="H489" s="3" t="s">
        <v>14</v>
      </c>
      <c r="I489" s="7">
        <v>0.0</v>
      </c>
      <c r="J489" s="3" t="s">
        <v>15</v>
      </c>
    </row>
    <row r="490">
      <c r="C490" s="3" t="s">
        <v>24</v>
      </c>
      <c r="D490" s="3">
        <v>5057.0</v>
      </c>
      <c r="E490" s="3" t="s">
        <v>538</v>
      </c>
      <c r="F490" s="5">
        <v>46114.811111111114</v>
      </c>
      <c r="G490" s="5">
        <v>46113.565671296295</v>
      </c>
      <c r="H490" s="3" t="s">
        <v>14</v>
      </c>
      <c r="I490" s="7">
        <v>0.0</v>
      </c>
      <c r="J490" s="3" t="s">
        <v>15</v>
      </c>
    </row>
    <row r="491">
      <c r="C491" s="3" t="s">
        <v>26</v>
      </c>
      <c r="D491" s="3">
        <v>5057.0</v>
      </c>
      <c r="E491" s="3" t="s">
        <v>538</v>
      </c>
      <c r="F491" s="5">
        <v>46115.436111111114</v>
      </c>
      <c r="G491" s="5">
        <v>46113.56570601852</v>
      </c>
      <c r="H491" s="3" t="s">
        <v>14</v>
      </c>
      <c r="I491" s="7">
        <v>0.0</v>
      </c>
      <c r="J491" s="3" t="s">
        <v>15</v>
      </c>
    </row>
    <row r="492">
      <c r="C492" s="3" t="s">
        <v>10</v>
      </c>
      <c r="D492" s="3">
        <v>5058.0</v>
      </c>
      <c r="E492" s="3" t="s">
        <v>523</v>
      </c>
      <c r="F492" s="5">
        <v>46113.70140046296</v>
      </c>
      <c r="G492" s="5">
        <v>46113.54943287037</v>
      </c>
      <c r="H492" s="3" t="s">
        <v>14</v>
      </c>
      <c r="I492" s="3">
        <v>0.0</v>
      </c>
      <c r="J492" s="3" t="s">
        <v>61</v>
      </c>
    </row>
    <row r="493">
      <c r="C493" s="3" t="s">
        <v>17</v>
      </c>
      <c r="D493" s="3">
        <v>5058.0</v>
      </c>
      <c r="E493" s="3" t="s">
        <v>523</v>
      </c>
      <c r="F493" s="5">
        <v>46113.708344907405</v>
      </c>
      <c r="G493" s="5">
        <v>46113.54969907407</v>
      </c>
      <c r="H493" s="3" t="s">
        <v>14</v>
      </c>
      <c r="I493" s="7">
        <v>0.0</v>
      </c>
      <c r="J493" s="3" t="s">
        <v>61</v>
      </c>
    </row>
    <row r="494">
      <c r="C494" s="3" t="s">
        <v>21</v>
      </c>
      <c r="D494" s="3">
        <v>5058.0</v>
      </c>
      <c r="E494" s="3" t="s">
        <v>523</v>
      </c>
      <c r="F494" s="5">
        <v>46113.81251157408</v>
      </c>
      <c r="G494" s="5">
        <v>46113.55018518519</v>
      </c>
      <c r="H494" s="3" t="s">
        <v>14</v>
      </c>
      <c r="I494" s="7">
        <v>0.0</v>
      </c>
      <c r="J494" s="3" t="s">
        <v>61</v>
      </c>
    </row>
    <row r="495">
      <c r="C495" s="3" t="s">
        <v>24</v>
      </c>
      <c r="D495" s="3">
        <v>5058.0</v>
      </c>
      <c r="E495" s="3" t="s">
        <v>523</v>
      </c>
      <c r="F495" s="5">
        <v>46114.8125</v>
      </c>
      <c r="G495" s="5">
        <v>46113.6762962963</v>
      </c>
      <c r="H495" s="3" t="s">
        <v>14</v>
      </c>
      <c r="I495" s="7">
        <v>0.0</v>
      </c>
      <c r="J495" s="3" t="s">
        <v>61</v>
      </c>
    </row>
    <row r="496">
      <c r="C496" s="3" t="s">
        <v>26</v>
      </c>
      <c r="D496" s="3">
        <v>5058.0</v>
      </c>
      <c r="E496" s="3" t="s">
        <v>523</v>
      </c>
      <c r="F496" s="5">
        <v>46115.4375</v>
      </c>
      <c r="G496" s="5">
        <v>46113.67630787037</v>
      </c>
      <c r="H496" s="3" t="s">
        <v>14</v>
      </c>
      <c r="I496" s="7">
        <v>0.0</v>
      </c>
      <c r="J496" s="3" t="s">
        <v>61</v>
      </c>
    </row>
    <row r="497">
      <c r="C497" s="3" t="s">
        <v>10</v>
      </c>
      <c r="D497" s="3">
        <v>5059.0</v>
      </c>
      <c r="E497" s="3" t="s">
        <v>74</v>
      </c>
      <c r="F497" s="5">
        <v>46114.44305555556</v>
      </c>
      <c r="G497" s="5">
        <v>46113.783159722225</v>
      </c>
      <c r="H497" s="3" t="s">
        <v>14</v>
      </c>
      <c r="I497" s="3">
        <v>0.0</v>
      </c>
      <c r="J497" s="3" t="s">
        <v>72</v>
      </c>
    </row>
    <row r="498">
      <c r="C498" s="3" t="s">
        <v>17</v>
      </c>
      <c r="D498" s="3">
        <v>5059.0</v>
      </c>
      <c r="E498" s="3" t="s">
        <v>74</v>
      </c>
      <c r="F498" s="5">
        <v>46114.45</v>
      </c>
      <c r="G498" s="5">
        <v>46113.78356481482</v>
      </c>
      <c r="H498" s="3" t="s">
        <v>14</v>
      </c>
      <c r="I498" s="7">
        <v>0.0</v>
      </c>
      <c r="J498" s="3" t="s">
        <v>72</v>
      </c>
    </row>
    <row r="499">
      <c r="C499" s="3" t="s">
        <v>21</v>
      </c>
      <c r="D499" s="3">
        <v>5059.0</v>
      </c>
      <c r="E499" s="3" t="s">
        <v>74</v>
      </c>
      <c r="F499" s="5">
        <v>46114.55416666667</v>
      </c>
      <c r="G499" s="5">
        <v>46113.78364583333</v>
      </c>
      <c r="H499" s="3" t="s">
        <v>14</v>
      </c>
      <c r="I499" s="7">
        <v>0.0</v>
      </c>
      <c r="J499" s="3" t="s">
        <v>72</v>
      </c>
    </row>
    <row r="500">
      <c r="C500" s="3" t="s">
        <v>24</v>
      </c>
      <c r="D500" s="3">
        <v>5059.0</v>
      </c>
      <c r="E500" s="3" t="s">
        <v>74</v>
      </c>
      <c r="F500" s="5">
        <v>46115.55416666667</v>
      </c>
      <c r="G500" s="5">
        <v>46115.43445601852</v>
      </c>
      <c r="H500" s="3" t="s">
        <v>14</v>
      </c>
      <c r="I500" s="7">
        <v>0.0</v>
      </c>
      <c r="J500" s="3" t="s">
        <v>72</v>
      </c>
    </row>
    <row r="501">
      <c r="C501" s="3" t="s">
        <v>26</v>
      </c>
      <c r="D501" s="3">
        <v>5059.0</v>
      </c>
      <c r="E501" s="3" t="s">
        <v>74</v>
      </c>
      <c r="F501" s="5">
        <v>46115.59583333333</v>
      </c>
      <c r="G501" s="5">
        <v>46115.43446759259</v>
      </c>
      <c r="H501" s="3" t="s">
        <v>14</v>
      </c>
      <c r="I501" s="7">
        <v>0.0</v>
      </c>
      <c r="J501" s="3" t="s">
        <v>72</v>
      </c>
    </row>
    <row r="502">
      <c r="C502" s="3" t="s">
        <v>10</v>
      </c>
      <c r="D502" s="3">
        <v>5060.0</v>
      </c>
      <c r="E502" s="3" t="s">
        <v>547</v>
      </c>
      <c r="F502" s="5">
        <v>46114.44513888889</v>
      </c>
      <c r="G502" s="5">
        <v>46113.783159722225</v>
      </c>
      <c r="H502" s="3" t="s">
        <v>14</v>
      </c>
      <c r="I502" s="3">
        <v>0.0</v>
      </c>
      <c r="J502" s="3" t="s">
        <v>72</v>
      </c>
    </row>
    <row r="503">
      <c r="C503" s="3" t="s">
        <v>17</v>
      </c>
      <c r="D503" s="3">
        <v>5060.0</v>
      </c>
      <c r="E503" s="3" t="s">
        <v>547</v>
      </c>
      <c r="F503" s="5">
        <v>46114.45208333333</v>
      </c>
      <c r="G503" s="5">
        <v>46113.78356481482</v>
      </c>
      <c r="H503" s="3" t="s">
        <v>14</v>
      </c>
      <c r="I503" s="7">
        <v>0.0</v>
      </c>
      <c r="J503" s="3" t="s">
        <v>72</v>
      </c>
    </row>
    <row r="504">
      <c r="C504" s="3" t="s">
        <v>21</v>
      </c>
      <c r="D504" s="3">
        <v>5060.0</v>
      </c>
      <c r="E504" s="3" t="s">
        <v>547</v>
      </c>
      <c r="F504" s="5">
        <v>46114.55625</v>
      </c>
      <c r="G504" s="5">
        <v>46113.78364583333</v>
      </c>
      <c r="H504" s="3" t="s">
        <v>14</v>
      </c>
      <c r="I504" s="7">
        <v>0.0</v>
      </c>
      <c r="J504" s="3" t="s">
        <v>72</v>
      </c>
    </row>
    <row r="505">
      <c r="C505" s="3" t="s">
        <v>24</v>
      </c>
      <c r="D505" s="3">
        <v>5060.0</v>
      </c>
      <c r="E505" s="3" t="s">
        <v>547</v>
      </c>
      <c r="F505" s="5">
        <v>46115.55625</v>
      </c>
      <c r="G505" s="5">
        <v>46115.43440972222</v>
      </c>
      <c r="H505" s="3" t="s">
        <v>14</v>
      </c>
      <c r="I505" s="7">
        <v>0.0</v>
      </c>
      <c r="J505" s="3" t="s">
        <v>72</v>
      </c>
    </row>
    <row r="506">
      <c r="C506" s="3" t="s">
        <v>26</v>
      </c>
      <c r="D506" s="3">
        <v>5060.0</v>
      </c>
      <c r="E506" s="3" t="s">
        <v>547</v>
      </c>
      <c r="F506" s="5">
        <v>46115.597916666666</v>
      </c>
      <c r="G506" s="5">
        <v>46115.434479166666</v>
      </c>
      <c r="H506" s="3" t="s">
        <v>14</v>
      </c>
      <c r="I506" s="7">
        <v>0.0</v>
      </c>
      <c r="J506" s="3" t="s">
        <v>72</v>
      </c>
    </row>
    <row r="507">
      <c r="C507" s="3" t="s">
        <v>10</v>
      </c>
      <c r="D507" s="3">
        <v>5061.0</v>
      </c>
      <c r="E507" s="3" t="s">
        <v>550</v>
      </c>
      <c r="F507" s="5">
        <v>46114.47083333333</v>
      </c>
      <c r="G507" s="5">
        <v>46113.783159722225</v>
      </c>
      <c r="H507" s="3" t="s">
        <v>14</v>
      </c>
      <c r="I507" s="3">
        <v>0.0</v>
      </c>
      <c r="J507" s="3" t="s">
        <v>61</v>
      </c>
    </row>
    <row r="508">
      <c r="C508" s="3" t="s">
        <v>17</v>
      </c>
      <c r="D508" s="3">
        <v>5061.0</v>
      </c>
      <c r="E508" s="3" t="s">
        <v>550</v>
      </c>
      <c r="F508" s="5">
        <v>46114.47777777778</v>
      </c>
      <c r="G508" s="5">
        <v>46113.78356481482</v>
      </c>
      <c r="H508" s="3" t="s">
        <v>14</v>
      </c>
      <c r="I508" s="7">
        <v>0.0</v>
      </c>
      <c r="J508" s="3" t="s">
        <v>61</v>
      </c>
    </row>
    <row r="509">
      <c r="C509" s="3" t="s">
        <v>21</v>
      </c>
      <c r="D509" s="3">
        <v>5061.0</v>
      </c>
      <c r="E509" s="3" t="s">
        <v>550</v>
      </c>
      <c r="F509" s="5">
        <v>46114.58194444444</v>
      </c>
      <c r="G509" s="5">
        <v>46113.78364583333</v>
      </c>
      <c r="H509" s="3" t="s">
        <v>14</v>
      </c>
      <c r="I509" s="7">
        <v>0.0</v>
      </c>
      <c r="J509" s="3" t="s">
        <v>61</v>
      </c>
    </row>
    <row r="510">
      <c r="C510" s="3" t="s">
        <v>24</v>
      </c>
      <c r="D510" s="3">
        <v>5061.0</v>
      </c>
      <c r="E510" s="3" t="s">
        <v>550</v>
      </c>
      <c r="F510" s="5">
        <v>46115.58194444444</v>
      </c>
      <c r="G510" s="5">
        <v>46115.43444444444</v>
      </c>
      <c r="H510" s="3" t="s">
        <v>14</v>
      </c>
      <c r="I510" s="7">
        <v>0.0</v>
      </c>
      <c r="J510" s="3" t="s">
        <v>61</v>
      </c>
    </row>
    <row r="511">
      <c r="C511" s="3" t="s">
        <v>26</v>
      </c>
      <c r="D511" s="3">
        <v>5061.0</v>
      </c>
      <c r="E511" s="3" t="s">
        <v>550</v>
      </c>
      <c r="F511" s="5">
        <v>46115.623611111114</v>
      </c>
      <c r="G511" s="5">
        <v>46115.43450231481</v>
      </c>
      <c r="H511" s="3" t="s">
        <v>14</v>
      </c>
      <c r="I511" s="7">
        <v>0.0</v>
      </c>
      <c r="J511" s="3" t="s">
        <v>61</v>
      </c>
    </row>
    <row r="512">
      <c r="C512" s="3" t="s">
        <v>10</v>
      </c>
      <c r="D512" s="3">
        <v>5062.0</v>
      </c>
      <c r="E512" s="3" t="s">
        <v>555</v>
      </c>
      <c r="F512" s="5">
        <v>46114.48333333333</v>
      </c>
      <c r="G512" s="5">
        <v>46113.783159722225</v>
      </c>
      <c r="H512" s="3" t="s">
        <v>14</v>
      </c>
      <c r="I512" s="3">
        <v>0.0</v>
      </c>
      <c r="J512" s="3" t="s">
        <v>15</v>
      </c>
    </row>
    <row r="513">
      <c r="C513" s="3" t="s">
        <v>17</v>
      </c>
      <c r="D513" s="3">
        <v>5062.0</v>
      </c>
      <c r="E513" s="3" t="s">
        <v>555</v>
      </c>
      <c r="F513" s="5">
        <v>46114.490277777775</v>
      </c>
      <c r="G513" s="5">
        <v>46113.78356481482</v>
      </c>
      <c r="H513" s="3" t="s">
        <v>14</v>
      </c>
      <c r="I513" s="7">
        <v>0.0</v>
      </c>
      <c r="J513" s="3" t="s">
        <v>15</v>
      </c>
    </row>
    <row r="514">
      <c r="C514" s="3" t="s">
        <v>21</v>
      </c>
      <c r="D514" s="3">
        <v>5062.0</v>
      </c>
      <c r="E514" s="3" t="s">
        <v>555</v>
      </c>
      <c r="F514" s="5">
        <v>46114.59444444445</v>
      </c>
      <c r="G514" s="5">
        <v>46113.783634259256</v>
      </c>
      <c r="H514" s="3" t="s">
        <v>14</v>
      </c>
      <c r="I514" s="7">
        <v>0.0</v>
      </c>
      <c r="J514" s="3" t="s">
        <v>15</v>
      </c>
    </row>
    <row r="515">
      <c r="C515" s="3" t="s">
        <v>24</v>
      </c>
      <c r="D515" s="3">
        <v>5062.0</v>
      </c>
      <c r="E515" s="3" t="s">
        <v>555</v>
      </c>
      <c r="F515" s="5">
        <v>46115.59444444445</v>
      </c>
      <c r="G515" s="5">
        <v>46114.84104166667</v>
      </c>
      <c r="H515" s="3" t="s">
        <v>14</v>
      </c>
      <c r="I515" s="7">
        <v>0.0</v>
      </c>
      <c r="J515" s="3" t="s">
        <v>15</v>
      </c>
    </row>
    <row r="516">
      <c r="C516" s="3" t="s">
        <v>26</v>
      </c>
      <c r="D516" s="3">
        <v>5062.0</v>
      </c>
      <c r="E516" s="3" t="s">
        <v>555</v>
      </c>
      <c r="F516" s="5">
        <v>46115.63611111111</v>
      </c>
      <c r="G516" s="5">
        <v>46114.84111111111</v>
      </c>
      <c r="H516" s="3" t="s">
        <v>14</v>
      </c>
      <c r="I516" s="7">
        <v>0.0</v>
      </c>
      <c r="J516" s="3" t="s">
        <v>15</v>
      </c>
    </row>
    <row r="517">
      <c r="C517" s="3" t="s">
        <v>10</v>
      </c>
      <c r="D517" s="3">
        <v>5063.0</v>
      </c>
      <c r="E517" s="3" t="s">
        <v>166</v>
      </c>
      <c r="F517" s="5">
        <v>46114.48611111111</v>
      </c>
      <c r="G517" s="5">
        <v>46113.78417824074</v>
      </c>
      <c r="H517" s="3" t="s">
        <v>14</v>
      </c>
      <c r="I517" s="3">
        <v>0.0</v>
      </c>
      <c r="J517" s="3" t="s">
        <v>15</v>
      </c>
    </row>
    <row r="518">
      <c r="C518" s="3" t="s">
        <v>17</v>
      </c>
      <c r="D518" s="3">
        <v>5063.0</v>
      </c>
      <c r="E518" s="3" t="s">
        <v>166</v>
      </c>
      <c r="F518" s="5">
        <v>46114.493055555555</v>
      </c>
      <c r="G518" s="5">
        <v>46113.78357638889</v>
      </c>
      <c r="H518" s="3" t="s">
        <v>14</v>
      </c>
      <c r="I518" s="7">
        <v>0.0</v>
      </c>
      <c r="J518" s="3" t="s">
        <v>15</v>
      </c>
    </row>
    <row r="519">
      <c r="C519" s="3" t="s">
        <v>21</v>
      </c>
      <c r="D519" s="3">
        <v>5063.0</v>
      </c>
      <c r="E519" s="3" t="s">
        <v>166</v>
      </c>
      <c r="F519" s="5">
        <v>46114.59722222222</v>
      </c>
      <c r="G519" s="5">
        <v>46113.78430555556</v>
      </c>
      <c r="H519" s="3" t="s">
        <v>14</v>
      </c>
      <c r="I519" s="7">
        <v>0.0</v>
      </c>
      <c r="J519" s="3" t="s">
        <v>15</v>
      </c>
    </row>
    <row r="520">
      <c r="C520" s="3" t="s">
        <v>24</v>
      </c>
      <c r="D520" s="3">
        <v>5063.0</v>
      </c>
      <c r="E520" s="3" t="s">
        <v>166</v>
      </c>
      <c r="F520" s="5">
        <v>46115.59722222222</v>
      </c>
      <c r="G520" s="5">
        <v>46114.45486111111</v>
      </c>
      <c r="H520" s="3" t="s">
        <v>14</v>
      </c>
      <c r="I520" s="7">
        <v>0.0</v>
      </c>
      <c r="J520" s="3" t="s">
        <v>15</v>
      </c>
    </row>
    <row r="521">
      <c r="C521" s="3" t="s">
        <v>26</v>
      </c>
      <c r="D521" s="3">
        <v>5063.0</v>
      </c>
      <c r="E521" s="3" t="s">
        <v>166</v>
      </c>
      <c r="F521" s="5">
        <v>46115.63888888889</v>
      </c>
      <c r="G521" s="5">
        <v>46114.45489583333</v>
      </c>
      <c r="H521" s="3" t="s">
        <v>14</v>
      </c>
      <c r="I521" s="7">
        <v>0.0</v>
      </c>
      <c r="J521" s="3" t="s">
        <v>15</v>
      </c>
    </row>
    <row r="522">
      <c r="C522" s="3" t="s">
        <v>10</v>
      </c>
      <c r="D522" s="3">
        <v>5064.0</v>
      </c>
      <c r="E522" s="3" t="s">
        <v>560</v>
      </c>
      <c r="F522" s="5">
        <v>46114.486805555556</v>
      </c>
      <c r="G522" s="5">
        <v>46113.78319444445</v>
      </c>
      <c r="H522" s="3" t="s">
        <v>14</v>
      </c>
      <c r="I522" s="3">
        <v>0.0</v>
      </c>
      <c r="J522" s="3" t="s">
        <v>15</v>
      </c>
    </row>
    <row r="523">
      <c r="C523" s="3" t="s">
        <v>17</v>
      </c>
      <c r="D523" s="3">
        <v>5064.0</v>
      </c>
      <c r="E523" s="3" t="s">
        <v>560</v>
      </c>
      <c r="F523" s="5">
        <v>46114.49375</v>
      </c>
      <c r="G523" s="5">
        <v>46113.783587962964</v>
      </c>
      <c r="H523" s="3" t="s">
        <v>14</v>
      </c>
      <c r="I523" s="7">
        <v>0.0</v>
      </c>
      <c r="J523" s="3" t="s">
        <v>15</v>
      </c>
    </row>
    <row r="524">
      <c r="C524" s="3" t="s">
        <v>21</v>
      </c>
      <c r="D524" s="3">
        <v>5064.0</v>
      </c>
      <c r="E524" s="3" t="s">
        <v>560</v>
      </c>
      <c r="F524" s="5">
        <v>46114.597916666666</v>
      </c>
      <c r="G524" s="5">
        <v>46113.78435185185</v>
      </c>
      <c r="H524" s="3" t="s">
        <v>14</v>
      </c>
      <c r="I524" s="7">
        <v>0.0</v>
      </c>
      <c r="J524" s="3" t="s">
        <v>15</v>
      </c>
    </row>
    <row r="525">
      <c r="C525" s="3" t="s">
        <v>24</v>
      </c>
      <c r="D525" s="3">
        <v>5064.0</v>
      </c>
      <c r="E525" s="3" t="s">
        <v>560</v>
      </c>
      <c r="F525" s="5">
        <v>46115.597916666666</v>
      </c>
      <c r="G525" s="5">
        <v>46114.454872685186</v>
      </c>
      <c r="H525" s="3" t="s">
        <v>14</v>
      </c>
      <c r="I525" s="7">
        <v>0.0</v>
      </c>
      <c r="J525" s="3" t="s">
        <v>15</v>
      </c>
    </row>
    <row r="526">
      <c r="C526" s="3" t="s">
        <v>26</v>
      </c>
      <c r="D526" s="3">
        <v>5064.0</v>
      </c>
      <c r="E526" s="3" t="s">
        <v>560</v>
      </c>
      <c r="F526" s="5">
        <v>46115.63958333333</v>
      </c>
      <c r="G526" s="5">
        <v>46114.45490740741</v>
      </c>
      <c r="H526" s="3" t="s">
        <v>14</v>
      </c>
      <c r="I526" s="7">
        <v>0.0</v>
      </c>
      <c r="J526" s="3" t="s">
        <v>15</v>
      </c>
    </row>
    <row r="527">
      <c r="C527" s="3" t="s">
        <v>10</v>
      </c>
      <c r="D527" s="3">
        <v>5065.0</v>
      </c>
      <c r="E527" s="3" t="s">
        <v>566</v>
      </c>
      <c r="F527" s="5">
        <v>46114.741435185184</v>
      </c>
      <c r="G527" s="5">
        <v>46114.61476851852</v>
      </c>
      <c r="H527" s="3" t="s">
        <v>14</v>
      </c>
      <c r="I527" s="3">
        <v>0.0</v>
      </c>
      <c r="J527" s="3" t="s">
        <v>48</v>
      </c>
    </row>
    <row r="528">
      <c r="C528" s="3" t="s">
        <v>17</v>
      </c>
      <c r="D528" s="3">
        <v>5065.0</v>
      </c>
      <c r="E528" s="3" t="s">
        <v>566</v>
      </c>
      <c r="F528" s="5">
        <v>46114.74837962963</v>
      </c>
      <c r="G528" s="5">
        <v>46114.614849537036</v>
      </c>
      <c r="H528" s="3" t="s">
        <v>14</v>
      </c>
      <c r="I528" s="7">
        <v>0.0</v>
      </c>
      <c r="J528" s="3" t="s">
        <v>48</v>
      </c>
    </row>
    <row r="529">
      <c r="C529" s="3" t="s">
        <v>21</v>
      </c>
      <c r="D529" s="3">
        <v>5065.0</v>
      </c>
      <c r="E529" s="3" t="s">
        <v>566</v>
      </c>
      <c r="F529" s="5">
        <v>46115.45625</v>
      </c>
      <c r="G529" s="5">
        <v>46114.614895833336</v>
      </c>
      <c r="H529" s="3" t="s">
        <v>14</v>
      </c>
      <c r="I529" s="7">
        <v>0.0</v>
      </c>
      <c r="J529" s="3" t="s">
        <v>48</v>
      </c>
    </row>
    <row r="530">
      <c r="C530" s="3" t="s">
        <v>24</v>
      </c>
      <c r="D530" s="3">
        <v>5065.0</v>
      </c>
      <c r="E530" s="3" t="s">
        <v>566</v>
      </c>
      <c r="F530" s="5">
        <v>46116.45625</v>
      </c>
      <c r="G530" s="5">
        <v>46115.43877314815</v>
      </c>
      <c r="H530" s="3" t="s">
        <v>14</v>
      </c>
      <c r="I530" s="7">
        <v>0.0</v>
      </c>
      <c r="J530" s="3" t="s">
        <v>48</v>
      </c>
    </row>
    <row r="531">
      <c r="C531" s="3" t="s">
        <v>26</v>
      </c>
      <c r="D531" s="3">
        <v>5065.0</v>
      </c>
      <c r="E531" s="3" t="s">
        <v>566</v>
      </c>
      <c r="F531" s="5">
        <v>46116.49791666667</v>
      </c>
      <c r="G531" s="5">
        <v>46115.43886574074</v>
      </c>
      <c r="H531" s="3" t="s">
        <v>14</v>
      </c>
      <c r="I531" s="7">
        <v>0.0</v>
      </c>
      <c r="J531" s="3" t="s">
        <v>48</v>
      </c>
    </row>
    <row r="532">
      <c r="C532" s="3" t="s">
        <v>10</v>
      </c>
      <c r="D532" s="3">
        <v>5066.0</v>
      </c>
      <c r="E532" s="3" t="s">
        <v>566</v>
      </c>
      <c r="F532" s="5">
        <v>46114.80386574074</v>
      </c>
      <c r="G532" s="5">
        <v>46114.61476851852</v>
      </c>
      <c r="H532" s="3" t="s">
        <v>14</v>
      </c>
      <c r="I532" s="3">
        <v>0.0</v>
      </c>
      <c r="J532" s="3" t="s">
        <v>48</v>
      </c>
    </row>
    <row r="533">
      <c r="C533" s="3" t="s">
        <v>17</v>
      </c>
      <c r="D533" s="3">
        <v>5066.0</v>
      </c>
      <c r="E533" s="3" t="s">
        <v>566</v>
      </c>
      <c r="F533" s="5">
        <v>46114.81081018518</v>
      </c>
      <c r="G533" s="5">
        <v>46114.680300925924</v>
      </c>
      <c r="H533" s="3" t="s">
        <v>14</v>
      </c>
      <c r="I533" s="7">
        <v>0.0</v>
      </c>
      <c r="J533" s="3" t="s">
        <v>48</v>
      </c>
    </row>
    <row r="534">
      <c r="C534" s="3" t="s">
        <v>21</v>
      </c>
      <c r="D534" s="3">
        <v>5066.0</v>
      </c>
      <c r="E534" s="3" t="s">
        <v>566</v>
      </c>
      <c r="F534" s="5">
        <v>46115.47708333333</v>
      </c>
      <c r="G534" s="5">
        <v>46114.78766203704</v>
      </c>
      <c r="H534" s="3" t="s">
        <v>14</v>
      </c>
      <c r="I534" s="7">
        <v>0.0</v>
      </c>
      <c r="J534" s="3" t="s">
        <v>48</v>
      </c>
    </row>
    <row r="535">
      <c r="C535" s="3" t="s">
        <v>24</v>
      </c>
      <c r="D535" s="3">
        <v>5066.0</v>
      </c>
      <c r="E535" s="3" t="s">
        <v>566</v>
      </c>
      <c r="F535" s="5">
        <v>46116.47708333333</v>
      </c>
      <c r="G535" s="5">
        <v>46115.438796296294</v>
      </c>
      <c r="H535" s="3" t="s">
        <v>14</v>
      </c>
      <c r="I535" s="7">
        <v>0.0</v>
      </c>
      <c r="J535" s="3" t="s">
        <v>48</v>
      </c>
    </row>
    <row r="536">
      <c r="C536" s="3" t="s">
        <v>26</v>
      </c>
      <c r="D536" s="3">
        <v>5066.0</v>
      </c>
      <c r="E536" s="3" t="s">
        <v>566</v>
      </c>
      <c r="F536" s="5">
        <v>46116.51875</v>
      </c>
      <c r="G536" s="5">
        <v>46115.438888888886</v>
      </c>
      <c r="H536" s="3" t="s">
        <v>14</v>
      </c>
      <c r="I536" s="7">
        <v>0.0</v>
      </c>
      <c r="J536" s="3" t="s">
        <v>48</v>
      </c>
    </row>
    <row r="537">
      <c r="C537" s="3" t="s">
        <v>10</v>
      </c>
      <c r="D537" s="3">
        <v>5067.0</v>
      </c>
      <c r="E537" s="3" t="s">
        <v>573</v>
      </c>
      <c r="F537" s="5">
        <v>46115.42638888889</v>
      </c>
      <c r="G537" s="5">
        <v>46114.68001157408</v>
      </c>
      <c r="H537" s="3" t="s">
        <v>14</v>
      </c>
      <c r="I537" s="3">
        <v>0.0</v>
      </c>
      <c r="J537" s="3" t="s">
        <v>15</v>
      </c>
    </row>
    <row r="538">
      <c r="C538" s="3" t="s">
        <v>17</v>
      </c>
      <c r="D538" s="3">
        <v>5067.0</v>
      </c>
      <c r="E538" s="3" t="s">
        <v>573</v>
      </c>
      <c r="F538" s="5">
        <v>46115.433333333334</v>
      </c>
      <c r="G538" s="5">
        <v>46114.68025462963</v>
      </c>
      <c r="H538" s="3" t="s">
        <v>14</v>
      </c>
      <c r="I538" s="7">
        <v>0.0</v>
      </c>
      <c r="J538" s="3" t="s">
        <v>15</v>
      </c>
    </row>
    <row r="539">
      <c r="C539" s="3" t="s">
        <v>21</v>
      </c>
      <c r="D539" s="3">
        <v>5067.0</v>
      </c>
      <c r="E539" s="3" t="s">
        <v>573</v>
      </c>
      <c r="F539" s="5">
        <v>46115.5375</v>
      </c>
      <c r="G539" s="5">
        <v>46114.71440972222</v>
      </c>
      <c r="H539" s="3" t="s">
        <v>14</v>
      </c>
      <c r="I539" s="7">
        <v>0.0</v>
      </c>
      <c r="J539" s="3" t="s">
        <v>15</v>
      </c>
    </row>
    <row r="540">
      <c r="C540" s="3" t="s">
        <v>24</v>
      </c>
      <c r="D540" s="3">
        <v>5067.0</v>
      </c>
      <c r="E540" s="3" t="s">
        <v>573</v>
      </c>
      <c r="F540" s="5">
        <v>46116.5375</v>
      </c>
      <c r="G540" s="5">
        <v>46114.78769675926</v>
      </c>
      <c r="H540" s="3" t="s">
        <v>14</v>
      </c>
      <c r="I540" s="7">
        <v>0.0</v>
      </c>
      <c r="J540" s="3" t="s">
        <v>15</v>
      </c>
    </row>
    <row r="541">
      <c r="C541" s="3" t="s">
        <v>26</v>
      </c>
      <c r="D541" s="3">
        <v>5067.0</v>
      </c>
      <c r="E541" s="3" t="s">
        <v>573</v>
      </c>
      <c r="F541" s="5">
        <v>46116.57916666667</v>
      </c>
      <c r="G541" s="5">
        <v>46114.787939814814</v>
      </c>
      <c r="H541" s="3" t="s">
        <v>14</v>
      </c>
      <c r="I541" s="7">
        <v>0.0</v>
      </c>
      <c r="J541" s="3" t="s">
        <v>15</v>
      </c>
    </row>
    <row r="542">
      <c r="C542" s="3" t="s">
        <v>10</v>
      </c>
      <c r="D542" s="3">
        <v>5068.0</v>
      </c>
      <c r="E542" s="3" t="s">
        <v>275</v>
      </c>
      <c r="F542" s="5">
        <v>46115.427777777775</v>
      </c>
      <c r="G542" s="5">
        <v>46114.68017361111</v>
      </c>
      <c r="H542" s="3" t="s">
        <v>14</v>
      </c>
      <c r="I542" s="3">
        <v>0.0</v>
      </c>
      <c r="J542" s="3" t="s">
        <v>15</v>
      </c>
    </row>
    <row r="543">
      <c r="C543" s="3" t="s">
        <v>17</v>
      </c>
      <c r="D543" s="3">
        <v>5068.0</v>
      </c>
      <c r="E543" s="3" t="s">
        <v>275</v>
      </c>
      <c r="F543" s="5">
        <v>46115.43472222222</v>
      </c>
      <c r="G543" s="5">
        <v>46114.68032407408</v>
      </c>
      <c r="H543" s="3" t="s">
        <v>14</v>
      </c>
      <c r="I543" s="7">
        <v>0.0</v>
      </c>
      <c r="J543" s="3" t="s">
        <v>15</v>
      </c>
    </row>
    <row r="544">
      <c r="C544" s="3" t="s">
        <v>21</v>
      </c>
      <c r="D544" s="3">
        <v>5068.0</v>
      </c>
      <c r="E544" s="3" t="s">
        <v>275</v>
      </c>
      <c r="F544" s="5">
        <v>46115.53888888889</v>
      </c>
      <c r="G544" s="5">
        <v>46114.71440972222</v>
      </c>
      <c r="H544" s="3" t="s">
        <v>14</v>
      </c>
      <c r="I544" s="7">
        <v>0.0</v>
      </c>
      <c r="J544" s="3" t="s">
        <v>15</v>
      </c>
    </row>
    <row r="545">
      <c r="C545" s="3" t="s">
        <v>24</v>
      </c>
      <c r="D545" s="3">
        <v>5068.0</v>
      </c>
      <c r="E545" s="3" t="s">
        <v>275</v>
      </c>
      <c r="F545" s="5">
        <v>46116.53888888889</v>
      </c>
      <c r="G545" s="5">
        <v>46114.78773148148</v>
      </c>
      <c r="H545" s="3" t="s">
        <v>14</v>
      </c>
      <c r="I545" s="7">
        <v>0.0</v>
      </c>
      <c r="J545" s="3" t="s">
        <v>15</v>
      </c>
    </row>
    <row r="546">
      <c r="C546" s="3" t="s">
        <v>26</v>
      </c>
      <c r="D546" s="3">
        <v>5068.0</v>
      </c>
      <c r="E546" s="3" t="s">
        <v>275</v>
      </c>
      <c r="F546" s="5">
        <v>46116.580555555556</v>
      </c>
      <c r="G546" s="5">
        <v>46114.78795138889</v>
      </c>
      <c r="H546" s="3" t="s">
        <v>14</v>
      </c>
      <c r="I546" s="7">
        <v>0.0</v>
      </c>
      <c r="J546" s="3" t="s">
        <v>15</v>
      </c>
    </row>
    <row r="547">
      <c r="C547" s="3" t="s">
        <v>10</v>
      </c>
      <c r="D547" s="3">
        <v>5069.0</v>
      </c>
      <c r="E547" s="3" t="s">
        <v>580</v>
      </c>
      <c r="F547" s="5">
        <v>46115.63945601852</v>
      </c>
      <c r="G547" s="5">
        <v>46115.51587962963</v>
      </c>
      <c r="H547" s="3" t="s">
        <v>14</v>
      </c>
      <c r="I547" s="3">
        <v>0.0</v>
      </c>
      <c r="J547" s="3" t="s">
        <v>72</v>
      </c>
    </row>
    <row r="548">
      <c r="C548" s="3" t="s">
        <v>17</v>
      </c>
      <c r="D548" s="3">
        <v>5069.0</v>
      </c>
      <c r="E548" s="3" t="s">
        <v>580</v>
      </c>
      <c r="F548" s="5">
        <v>46115.64640046296</v>
      </c>
      <c r="G548" s="5">
        <v>46115.516168981485</v>
      </c>
      <c r="H548" s="3" t="s">
        <v>14</v>
      </c>
      <c r="I548" s="7">
        <v>0.0</v>
      </c>
      <c r="J548" s="3" t="s">
        <v>72</v>
      </c>
    </row>
    <row r="549">
      <c r="C549" s="3" t="s">
        <v>21</v>
      </c>
      <c r="D549" s="3">
        <v>5069.0</v>
      </c>
      <c r="E549" s="3" t="s">
        <v>580</v>
      </c>
      <c r="F549" s="5">
        <v>46115.75056712963</v>
      </c>
      <c r="G549" s="5">
        <v>46115.51621527778</v>
      </c>
      <c r="H549" s="3" t="s">
        <v>14</v>
      </c>
      <c r="I549" s="7">
        <v>0.0</v>
      </c>
      <c r="J549" s="3" t="s">
        <v>72</v>
      </c>
    </row>
    <row r="550">
      <c r="C550" s="3" t="s">
        <v>24</v>
      </c>
      <c r="D550" s="3">
        <v>5069.0</v>
      </c>
      <c r="E550" s="3" t="s">
        <v>580</v>
      </c>
      <c r="F550" s="5">
        <v>46116.75</v>
      </c>
      <c r="G550" s="5">
        <v>46115.51672453704</v>
      </c>
      <c r="H550" s="3" t="s">
        <v>14</v>
      </c>
      <c r="I550" s="7">
        <v>0.0</v>
      </c>
      <c r="J550" s="3" t="s">
        <v>72</v>
      </c>
    </row>
    <row r="551">
      <c r="C551" s="3" t="s">
        <v>26</v>
      </c>
      <c r="D551" s="3">
        <v>5069.0</v>
      </c>
      <c r="E551" s="3" t="s">
        <v>580</v>
      </c>
      <c r="F551" s="5">
        <v>46116.791666666664</v>
      </c>
      <c r="G551" s="5">
        <v>46115.69564814815</v>
      </c>
      <c r="H551" s="3" t="s">
        <v>14</v>
      </c>
      <c r="I551" s="7">
        <v>0.0</v>
      </c>
      <c r="J551" s="3" t="s">
        <v>72</v>
      </c>
    </row>
    <row r="552">
      <c r="C552" s="3" t="s">
        <v>10</v>
      </c>
      <c r="D552" s="3">
        <v>5070.0</v>
      </c>
      <c r="E552" s="3" t="s">
        <v>583</v>
      </c>
      <c r="F552" s="5">
        <v>46115.6456712963</v>
      </c>
      <c r="G552" s="5">
        <v>46115.515868055554</v>
      </c>
      <c r="H552" s="3" t="s">
        <v>14</v>
      </c>
      <c r="I552" s="3">
        <v>0.0</v>
      </c>
      <c r="J552" s="3" t="s">
        <v>72</v>
      </c>
    </row>
    <row r="553">
      <c r="C553" s="3" t="s">
        <v>17</v>
      </c>
      <c r="D553" s="3">
        <v>5070.0</v>
      </c>
      <c r="E553" s="3" t="s">
        <v>583</v>
      </c>
      <c r="F553" s="5">
        <v>46115.65261574074</v>
      </c>
      <c r="G553" s="5">
        <v>46115.516168981485</v>
      </c>
      <c r="H553" s="3" t="s">
        <v>14</v>
      </c>
      <c r="I553" s="7">
        <v>0.0</v>
      </c>
      <c r="J553" s="3" t="s">
        <v>72</v>
      </c>
    </row>
    <row r="554">
      <c r="C554" s="3" t="s">
        <v>21</v>
      </c>
      <c r="D554" s="3">
        <v>5070.0</v>
      </c>
      <c r="E554" s="3" t="s">
        <v>583</v>
      </c>
      <c r="F554" s="5">
        <v>46115.75678240741</v>
      </c>
      <c r="G554" s="5">
        <v>46115.516226851854</v>
      </c>
      <c r="H554" s="3" t="s">
        <v>14</v>
      </c>
      <c r="I554" s="7">
        <v>0.0</v>
      </c>
      <c r="J554" s="3" t="s">
        <v>72</v>
      </c>
    </row>
    <row r="555">
      <c r="C555" s="3" t="s">
        <v>24</v>
      </c>
      <c r="D555" s="3">
        <v>5070.0</v>
      </c>
      <c r="E555" s="3" t="s">
        <v>583</v>
      </c>
      <c r="F555" s="5">
        <v>46116.75625</v>
      </c>
      <c r="G555" s="5">
        <v>46115.51672453704</v>
      </c>
      <c r="H555" s="3" t="s">
        <v>14</v>
      </c>
      <c r="I555" s="7">
        <v>0.0</v>
      </c>
      <c r="J555" s="3" t="s">
        <v>72</v>
      </c>
    </row>
    <row r="556">
      <c r="C556" s="3" t="s">
        <v>26</v>
      </c>
      <c r="D556" s="3">
        <v>5070.0</v>
      </c>
      <c r="E556" s="3" t="s">
        <v>583</v>
      </c>
      <c r="F556" s="5">
        <v>46116.79791666667</v>
      </c>
      <c r="G556" s="5">
        <v>46115.690983796296</v>
      </c>
      <c r="H556" s="3" t="s">
        <v>14</v>
      </c>
      <c r="I556" s="7">
        <v>0.0</v>
      </c>
      <c r="J556" s="3" t="s">
        <v>72</v>
      </c>
    </row>
    <row r="557">
      <c r="C557" s="3" t="s">
        <v>10</v>
      </c>
      <c r="D557" s="3">
        <v>5071.0</v>
      </c>
      <c r="E557" s="3" t="s">
        <v>407</v>
      </c>
      <c r="F557" s="5">
        <v>46115.64949074074</v>
      </c>
      <c r="G557" s="5">
        <v>46115.51587962963</v>
      </c>
      <c r="H557" s="3" t="s">
        <v>14</v>
      </c>
      <c r="I557" s="3">
        <v>0.0</v>
      </c>
      <c r="J557" s="3" t="s">
        <v>15</v>
      </c>
    </row>
    <row r="558">
      <c r="C558" s="3" t="s">
        <v>17</v>
      </c>
      <c r="D558" s="3">
        <v>5071.0</v>
      </c>
      <c r="E558" s="3" t="s">
        <v>407</v>
      </c>
      <c r="F558" s="5">
        <v>46115.656435185185</v>
      </c>
      <c r="G558" s="5">
        <v>46115.516180555554</v>
      </c>
      <c r="H558" s="3" t="s">
        <v>14</v>
      </c>
      <c r="I558" s="7">
        <v>0.0</v>
      </c>
      <c r="J558" s="3" t="s">
        <v>15</v>
      </c>
    </row>
    <row r="559">
      <c r="C559" s="3" t="s">
        <v>21</v>
      </c>
      <c r="D559" s="3">
        <v>5071.0</v>
      </c>
      <c r="E559" s="3" t="s">
        <v>407</v>
      </c>
      <c r="F559" s="5">
        <v>46115.76060185185</v>
      </c>
      <c r="G559" s="5">
        <v>46115.652962962966</v>
      </c>
      <c r="H559" s="3" t="s">
        <v>14</v>
      </c>
      <c r="I559" s="7">
        <v>0.0</v>
      </c>
      <c r="J559" s="3" t="s">
        <v>15</v>
      </c>
    </row>
    <row r="560">
      <c r="C560" s="3" t="s">
        <v>24</v>
      </c>
      <c r="D560" s="3">
        <v>5071.0</v>
      </c>
      <c r="E560" s="3" t="s">
        <v>407</v>
      </c>
      <c r="F560" s="5">
        <v>46116.760416666664</v>
      </c>
      <c r="G560" s="5">
        <v>46115.51672453704</v>
      </c>
      <c r="H560" s="3" t="s">
        <v>14</v>
      </c>
      <c r="I560" s="7">
        <v>0.0</v>
      </c>
      <c r="J560" s="3" t="s">
        <v>15</v>
      </c>
    </row>
    <row r="561">
      <c r="C561" s="3" t="s">
        <v>26</v>
      </c>
      <c r="D561" s="3">
        <v>5071.0</v>
      </c>
      <c r="E561" s="3" t="s">
        <v>407</v>
      </c>
      <c r="F561" s="5">
        <v>46116.802083333336</v>
      </c>
      <c r="G561" s="5">
        <v>46115.69100694444</v>
      </c>
      <c r="H561" s="3" t="s">
        <v>14</v>
      </c>
      <c r="I561" s="7">
        <v>0.0</v>
      </c>
      <c r="J561" s="3" t="s">
        <v>15</v>
      </c>
    </row>
    <row r="562">
      <c r="C562" s="3" t="s">
        <v>10</v>
      </c>
      <c r="D562" s="3">
        <v>5072.0</v>
      </c>
      <c r="E562" s="3" t="s">
        <v>593</v>
      </c>
      <c r="F562" s="5">
        <v>46115.71160879629</v>
      </c>
      <c r="G562" s="5">
        <v>46115.54547453704</v>
      </c>
      <c r="H562" s="3" t="s">
        <v>14</v>
      </c>
      <c r="I562" s="3">
        <v>0.0</v>
      </c>
      <c r="J562" s="3" t="s">
        <v>15</v>
      </c>
    </row>
    <row r="563">
      <c r="C563" s="3" t="s">
        <v>17</v>
      </c>
      <c r="D563" s="3">
        <v>5072.0</v>
      </c>
      <c r="E563" s="3" t="s">
        <v>593</v>
      </c>
      <c r="F563" s="5">
        <v>46115.71855324074</v>
      </c>
      <c r="G563" s="5">
        <v>46115.54601851852</v>
      </c>
      <c r="H563" s="3" t="s">
        <v>14</v>
      </c>
      <c r="I563" s="7">
        <v>0.0</v>
      </c>
      <c r="J563" s="3" t="s">
        <v>15</v>
      </c>
    </row>
    <row r="564">
      <c r="C564" s="3" t="s">
        <v>21</v>
      </c>
      <c r="D564" s="3">
        <v>5072.0</v>
      </c>
      <c r="E564" s="3" t="s">
        <v>593</v>
      </c>
      <c r="F564" s="5">
        <v>46115.82271990741</v>
      </c>
      <c r="G564" s="5">
        <v>46115.653333333335</v>
      </c>
      <c r="H564" s="3" t="s">
        <v>14</v>
      </c>
      <c r="I564" s="7">
        <v>0.0</v>
      </c>
      <c r="J564" s="3" t="s">
        <v>15</v>
      </c>
    </row>
    <row r="565">
      <c r="C565" s="3" t="s">
        <v>24</v>
      </c>
      <c r="D565" s="3">
        <v>5072.0</v>
      </c>
      <c r="E565" s="3" t="s">
        <v>593</v>
      </c>
      <c r="F565" s="5">
        <v>46116.822222222225</v>
      </c>
      <c r="G565" s="5">
        <v>46115.690833333334</v>
      </c>
      <c r="H565" s="3" t="s">
        <v>14</v>
      </c>
      <c r="I565" s="7">
        <v>0.0</v>
      </c>
      <c r="J565" s="3" t="s">
        <v>15</v>
      </c>
    </row>
    <row r="566">
      <c r="C566" s="3" t="s">
        <v>26</v>
      </c>
      <c r="D566" s="3">
        <v>5072.0</v>
      </c>
      <c r="E566" s="3" t="s">
        <v>593</v>
      </c>
      <c r="F566" s="5">
        <v>46118.447222222225</v>
      </c>
      <c r="G566" s="5">
        <v>46115.69087962963</v>
      </c>
      <c r="H566" s="3" t="s">
        <v>14</v>
      </c>
      <c r="I566" s="7">
        <v>0.0</v>
      </c>
      <c r="J566" s="3" t="s">
        <v>15</v>
      </c>
    </row>
    <row r="567">
      <c r="C567" s="3" t="s">
        <v>10</v>
      </c>
      <c r="D567" s="3">
        <v>5073.0</v>
      </c>
      <c r="E567" s="3" t="s">
        <v>166</v>
      </c>
      <c r="F567" s="5">
        <v>46115.72409722222</v>
      </c>
      <c r="G567" s="5">
        <v>46115.65248842593</v>
      </c>
      <c r="H567" s="3" t="s">
        <v>14</v>
      </c>
      <c r="I567" s="3">
        <v>0.0</v>
      </c>
      <c r="J567" s="3" t="s">
        <v>15</v>
      </c>
    </row>
    <row r="568">
      <c r="C568" s="3" t="s">
        <v>17</v>
      </c>
      <c r="D568" s="3">
        <v>5073.0</v>
      </c>
      <c r="E568" s="3" t="s">
        <v>166</v>
      </c>
      <c r="F568" s="5">
        <v>46115.731041666666</v>
      </c>
      <c r="G568" s="5">
        <v>46115.65274305556</v>
      </c>
      <c r="H568" s="3" t="s">
        <v>14</v>
      </c>
      <c r="I568" s="7">
        <v>0.0</v>
      </c>
      <c r="J568" s="3" t="s">
        <v>15</v>
      </c>
    </row>
    <row r="569">
      <c r="C569" s="3" t="s">
        <v>21</v>
      </c>
      <c r="D569" s="3">
        <v>5073.0</v>
      </c>
      <c r="E569" s="3" t="s">
        <v>166</v>
      </c>
      <c r="F569" s="5">
        <v>46116.438888888886</v>
      </c>
      <c r="G569" s="5">
        <v>46115.652766203704</v>
      </c>
      <c r="H569" s="3" t="s">
        <v>14</v>
      </c>
      <c r="I569" s="7">
        <v>0.0</v>
      </c>
      <c r="J569" s="3" t="s">
        <v>15</v>
      </c>
    </row>
    <row r="570">
      <c r="C570" s="3" t="s">
        <v>24</v>
      </c>
      <c r="D570" s="3">
        <v>5073.0</v>
      </c>
      <c r="E570" s="3" t="s">
        <v>166</v>
      </c>
      <c r="F570" s="5">
        <v>46118.438888888886</v>
      </c>
      <c r="G570" s="5">
        <v>46115.69091435185</v>
      </c>
      <c r="H570" s="3" t="s">
        <v>14</v>
      </c>
      <c r="I570" s="7">
        <v>0.0</v>
      </c>
      <c r="J570" s="3" t="s">
        <v>15</v>
      </c>
    </row>
    <row r="571">
      <c r="C571" s="3" t="s">
        <v>26</v>
      </c>
      <c r="D571" s="3">
        <v>5073.0</v>
      </c>
      <c r="E571" s="3" t="s">
        <v>166</v>
      </c>
      <c r="F571" s="5">
        <v>46118.48055555556</v>
      </c>
      <c r="G571" s="5">
        <v>46115.6909375</v>
      </c>
      <c r="H571" s="3" t="s">
        <v>14</v>
      </c>
      <c r="I571" s="7">
        <v>0.0</v>
      </c>
      <c r="J571" s="3" t="s">
        <v>15</v>
      </c>
    </row>
    <row r="572">
      <c r="C572" s="3" t="s">
        <v>10</v>
      </c>
      <c r="D572" s="3">
        <v>5074.0</v>
      </c>
      <c r="E572" s="3" t="s">
        <v>74</v>
      </c>
      <c r="F572" s="5">
        <v>46115.783530092594</v>
      </c>
      <c r="G572" s="5">
        <v>46115.65282407407</v>
      </c>
      <c r="H572" s="3" t="s">
        <v>14</v>
      </c>
      <c r="I572" s="3">
        <v>0.0</v>
      </c>
      <c r="J572" s="3" t="s">
        <v>72</v>
      </c>
    </row>
    <row r="573">
      <c r="C573" s="3" t="s">
        <v>17</v>
      </c>
      <c r="D573" s="3">
        <v>5074.0</v>
      </c>
      <c r="E573" s="3" t="s">
        <v>74</v>
      </c>
      <c r="F573" s="5">
        <v>46115.79047453704</v>
      </c>
      <c r="G573" s="5">
        <v>46115.65287037037</v>
      </c>
      <c r="H573" s="3" t="s">
        <v>14</v>
      </c>
      <c r="I573" s="7">
        <v>0.0</v>
      </c>
      <c r="J573" s="3" t="s">
        <v>72</v>
      </c>
    </row>
    <row r="574">
      <c r="C574" s="3" t="s">
        <v>21</v>
      </c>
      <c r="D574" s="3">
        <v>5074.0</v>
      </c>
      <c r="E574" s="3" t="s">
        <v>74</v>
      </c>
      <c r="F574" s="5">
        <v>46116.498611111114</v>
      </c>
      <c r="G574" s="5">
        <v>46115.695752314816</v>
      </c>
      <c r="H574" s="3" t="s">
        <v>14</v>
      </c>
      <c r="I574" s="7">
        <v>0.0</v>
      </c>
      <c r="J574" s="3" t="s">
        <v>72</v>
      </c>
    </row>
    <row r="575">
      <c r="C575" s="3" t="s">
        <v>24</v>
      </c>
      <c r="D575" s="3">
        <v>5074.0</v>
      </c>
      <c r="E575" s="3" t="s">
        <v>74</v>
      </c>
      <c r="F575" s="5">
        <v>46118.498611111114</v>
      </c>
      <c r="G575" s="5">
        <v>46115.69598379629</v>
      </c>
      <c r="H575" s="3" t="s">
        <v>14</v>
      </c>
      <c r="I575" s="7">
        <v>0.0</v>
      </c>
      <c r="J575" s="3" t="s">
        <v>72</v>
      </c>
    </row>
    <row r="576">
      <c r="C576" s="3" t="s">
        <v>26</v>
      </c>
      <c r="D576" s="3">
        <v>5074.0</v>
      </c>
      <c r="E576" s="3" t="s">
        <v>74</v>
      </c>
      <c r="F576" s="5">
        <v>46118.54027777778</v>
      </c>
      <c r="G576" s="5">
        <v>46115.69603009259</v>
      </c>
      <c r="H576" s="3" t="s">
        <v>14</v>
      </c>
      <c r="I576" s="7">
        <v>0.0</v>
      </c>
      <c r="J576" s="3" t="s">
        <v>72</v>
      </c>
    </row>
    <row r="577">
      <c r="C577" s="3" t="s">
        <v>10</v>
      </c>
      <c r="D577" s="3">
        <v>5075.0</v>
      </c>
      <c r="E577" s="3" t="s">
        <v>601</v>
      </c>
      <c r="F577" s="5">
        <v>46118.48677083333</v>
      </c>
      <c r="G577" s="5">
        <v>46116.67931712963</v>
      </c>
      <c r="H577" s="3" t="s">
        <v>14</v>
      </c>
      <c r="I577" s="3">
        <v>0.0</v>
      </c>
      <c r="J577" s="3" t="s">
        <v>15</v>
      </c>
    </row>
    <row r="578">
      <c r="C578" s="3" t="s">
        <v>17</v>
      </c>
      <c r="D578" s="3">
        <v>5075.0</v>
      </c>
      <c r="E578" s="3" t="s">
        <v>601</v>
      </c>
      <c r="F578" s="5">
        <v>46118.49371527778</v>
      </c>
      <c r="G578" s="5">
        <v>46116.67952546296</v>
      </c>
      <c r="H578" s="3" t="s">
        <v>14</v>
      </c>
      <c r="I578" s="7">
        <v>0.0</v>
      </c>
      <c r="J578" s="3" t="s">
        <v>15</v>
      </c>
    </row>
    <row r="579">
      <c r="C579" s="3" t="s">
        <v>21</v>
      </c>
      <c r="D579" s="3">
        <v>5075.0</v>
      </c>
      <c r="E579" s="3" t="s">
        <v>601</v>
      </c>
      <c r="F579" s="5">
        <v>46118.59788194444</v>
      </c>
      <c r="G579" s="5">
        <v>46116.71575231481</v>
      </c>
      <c r="H579" s="3" t="s">
        <v>14</v>
      </c>
      <c r="I579" s="7">
        <v>0.0</v>
      </c>
      <c r="J579" s="3" t="s">
        <v>15</v>
      </c>
    </row>
    <row r="580">
      <c r="C580" s="3" t="s">
        <v>24</v>
      </c>
      <c r="D580" s="3">
        <v>5075.0</v>
      </c>
      <c r="E580" s="3" t="s">
        <v>601</v>
      </c>
      <c r="F580" s="5">
        <v>46119.59722222222</v>
      </c>
      <c r="G580" s="5">
        <v>46118.438055555554</v>
      </c>
      <c r="H580" s="3" t="s">
        <v>14</v>
      </c>
      <c r="I580" s="7">
        <v>0.0</v>
      </c>
      <c r="J580" s="3" t="s">
        <v>15</v>
      </c>
    </row>
    <row r="581">
      <c r="C581" s="3" t="s">
        <v>26</v>
      </c>
      <c r="D581" s="3">
        <v>5075.0</v>
      </c>
      <c r="E581" s="3" t="s">
        <v>601</v>
      </c>
      <c r="F581" s="5">
        <v>46119.63888888889</v>
      </c>
      <c r="G581" s="5">
        <v>46118.43809027778</v>
      </c>
      <c r="H581" s="3" t="s">
        <v>14</v>
      </c>
      <c r="I581" s="7">
        <v>0.0</v>
      </c>
      <c r="J581" s="3" t="s">
        <v>15</v>
      </c>
    </row>
    <row r="582">
      <c r="C582" s="3" t="s">
        <v>10</v>
      </c>
      <c r="D582" s="3">
        <v>5076.0</v>
      </c>
      <c r="E582" s="3" t="s">
        <v>436</v>
      </c>
      <c r="F582" s="5">
        <v>46118.647523148145</v>
      </c>
      <c r="G582" s="5">
        <v>46118.48840277778</v>
      </c>
      <c r="H582" s="3" t="s">
        <v>14</v>
      </c>
      <c r="I582" s="3">
        <v>0.0</v>
      </c>
      <c r="J582" s="3" t="s">
        <v>48</v>
      </c>
    </row>
    <row r="583">
      <c r="C583" s="3" t="s">
        <v>17</v>
      </c>
      <c r="D583" s="3">
        <v>5076.0</v>
      </c>
      <c r="E583" s="3" t="s">
        <v>436</v>
      </c>
      <c r="F583" s="5">
        <v>46118.65446759259</v>
      </c>
      <c r="G583" s="5">
        <v>46118.4884375</v>
      </c>
      <c r="H583" s="3" t="s">
        <v>14</v>
      </c>
      <c r="I583" s="7">
        <v>0.0</v>
      </c>
      <c r="J583" s="3" t="s">
        <v>48</v>
      </c>
    </row>
    <row r="584">
      <c r="C584" s="3" t="s">
        <v>21</v>
      </c>
      <c r="D584" s="3">
        <v>5076.0</v>
      </c>
      <c r="E584" s="3" t="s">
        <v>436</v>
      </c>
      <c r="F584" s="5">
        <v>46118.75863425926</v>
      </c>
      <c r="G584" s="5">
        <v>46118.48851851852</v>
      </c>
      <c r="H584" s="3" t="s">
        <v>14</v>
      </c>
      <c r="I584" s="7">
        <v>0.0</v>
      </c>
      <c r="J584" s="3" t="s">
        <v>48</v>
      </c>
    </row>
    <row r="585">
      <c r="C585" s="3" t="s">
        <v>24</v>
      </c>
      <c r="D585" s="3">
        <v>5076.0</v>
      </c>
      <c r="E585" s="3" t="s">
        <v>436</v>
      </c>
      <c r="F585" s="5">
        <v>46119.75833333333</v>
      </c>
      <c r="G585" s="5">
        <v>46118.76230324074</v>
      </c>
      <c r="H585" s="3" t="s">
        <v>14</v>
      </c>
      <c r="I585" s="7">
        <v>0.0</v>
      </c>
      <c r="J585" s="3" t="s">
        <v>48</v>
      </c>
    </row>
    <row r="586">
      <c r="C586" s="3" t="s">
        <v>26</v>
      </c>
      <c r="D586" s="3">
        <v>5076.0</v>
      </c>
      <c r="E586" s="3" t="s">
        <v>436</v>
      </c>
      <c r="F586" s="5">
        <v>46119.8</v>
      </c>
      <c r="G586" s="5">
        <v>46118.762337962966</v>
      </c>
      <c r="H586" s="3" t="s">
        <v>14</v>
      </c>
      <c r="I586" s="7">
        <v>0.0</v>
      </c>
      <c r="J586" s="3" t="s">
        <v>48</v>
      </c>
    </row>
    <row r="587">
      <c r="C587" s="3" t="s">
        <v>10</v>
      </c>
      <c r="D587" s="3">
        <v>5077.0</v>
      </c>
      <c r="E587" s="3" t="s">
        <v>607</v>
      </c>
      <c r="F587" s="5">
        <v>46118.82678240741</v>
      </c>
      <c r="G587" s="5">
        <v>46118.67244212963</v>
      </c>
      <c r="H587" s="3" t="s">
        <v>14</v>
      </c>
      <c r="I587" s="3">
        <v>0.0</v>
      </c>
      <c r="J587" s="3" t="s">
        <v>72</v>
      </c>
    </row>
    <row r="588">
      <c r="C588" s="3" t="s">
        <v>17</v>
      </c>
      <c r="D588" s="3">
        <v>5077.0</v>
      </c>
      <c r="E588" s="3" t="s">
        <v>607</v>
      </c>
      <c r="F588" s="5">
        <v>46119.45138888889</v>
      </c>
      <c r="G588" s="5">
        <v>46118.67252314815</v>
      </c>
      <c r="H588" s="3" t="s">
        <v>14</v>
      </c>
      <c r="I588" s="7">
        <v>0.0</v>
      </c>
      <c r="J588" s="3" t="s">
        <v>72</v>
      </c>
    </row>
    <row r="589">
      <c r="C589" s="3" t="s">
        <v>21</v>
      </c>
      <c r="D589" s="3">
        <v>5077.0</v>
      </c>
      <c r="E589" s="3" t="s">
        <v>607</v>
      </c>
      <c r="F589" s="5">
        <v>46119.555555555555</v>
      </c>
      <c r="G589" s="5">
        <v>46118.762094907404</v>
      </c>
      <c r="H589" s="3" t="s">
        <v>14</v>
      </c>
      <c r="I589" s="7">
        <v>0.0</v>
      </c>
      <c r="J589" s="3" t="s">
        <v>72</v>
      </c>
    </row>
    <row r="590">
      <c r="C590" s="3" t="s">
        <v>24</v>
      </c>
      <c r="D590" s="3">
        <v>5077.0</v>
      </c>
      <c r="E590" s="3" t="s">
        <v>607</v>
      </c>
      <c r="F590" s="5">
        <v>46120.555555555555</v>
      </c>
      <c r="G590" s="5">
        <v>46119.484988425924</v>
      </c>
      <c r="H590" s="3" t="s">
        <v>14</v>
      </c>
      <c r="I590" s="7">
        <v>0.0</v>
      </c>
      <c r="J590" s="3" t="s">
        <v>72</v>
      </c>
    </row>
    <row r="591">
      <c r="C591" s="3" t="s">
        <v>26</v>
      </c>
      <c r="D591" s="3">
        <v>5077.0</v>
      </c>
      <c r="E591" s="3" t="s">
        <v>607</v>
      </c>
      <c r="F591" s="5">
        <v>46120.59722222222</v>
      </c>
      <c r="G591" s="5">
        <v>46119.48501157408</v>
      </c>
      <c r="H591" s="3" t="s">
        <v>14</v>
      </c>
      <c r="I591" s="7">
        <v>0.0</v>
      </c>
      <c r="J591" s="3" t="s">
        <v>72</v>
      </c>
    </row>
    <row r="592">
      <c r="C592" s="3" t="s">
        <v>10</v>
      </c>
      <c r="D592" s="3">
        <v>5078.0</v>
      </c>
      <c r="E592" s="3" t="s">
        <v>613</v>
      </c>
      <c r="F592" s="5">
        <v>46119.486805555556</v>
      </c>
      <c r="G592" s="5">
        <v>46118.76158564815</v>
      </c>
      <c r="H592" s="3" t="s">
        <v>14</v>
      </c>
      <c r="I592" s="3">
        <v>0.0</v>
      </c>
      <c r="J592" s="3" t="s">
        <v>15</v>
      </c>
    </row>
    <row r="593">
      <c r="C593" s="3" t="s">
        <v>17</v>
      </c>
      <c r="D593" s="3">
        <v>5078.0</v>
      </c>
      <c r="E593" s="3" t="s">
        <v>613</v>
      </c>
      <c r="F593" s="5">
        <v>46119.49375</v>
      </c>
      <c r="G593" s="5">
        <v>46118.76195601852</v>
      </c>
      <c r="H593" s="3" t="s">
        <v>14</v>
      </c>
      <c r="I593" s="7">
        <v>0.0</v>
      </c>
      <c r="J593" s="3" t="s">
        <v>15</v>
      </c>
    </row>
    <row r="594">
      <c r="C594" s="3" t="s">
        <v>21</v>
      </c>
      <c r="D594" s="3">
        <v>5078.0</v>
      </c>
      <c r="E594" s="3" t="s">
        <v>613</v>
      </c>
      <c r="F594" s="5">
        <v>46119.597916666666</v>
      </c>
      <c r="G594" s="5">
        <v>46118.76212962963</v>
      </c>
      <c r="H594" s="3" t="s">
        <v>14</v>
      </c>
      <c r="I594" s="7">
        <v>0.0</v>
      </c>
      <c r="J594" s="3" t="s">
        <v>15</v>
      </c>
    </row>
    <row r="595">
      <c r="C595" s="3" t="s">
        <v>24</v>
      </c>
      <c r="D595" s="3">
        <v>5078.0</v>
      </c>
      <c r="E595" s="3" t="s">
        <v>613</v>
      </c>
      <c r="F595" s="5">
        <v>46120.597916666666</v>
      </c>
      <c r="G595" s="5">
        <v>46119.55931712963</v>
      </c>
      <c r="H595" s="3" t="s">
        <v>14</v>
      </c>
      <c r="I595" s="7">
        <v>0.0</v>
      </c>
      <c r="J595" s="3" t="s">
        <v>15</v>
      </c>
    </row>
    <row r="596">
      <c r="C596" s="3" t="s">
        <v>26</v>
      </c>
      <c r="D596" s="3">
        <v>5078.0</v>
      </c>
      <c r="E596" s="3" t="s">
        <v>613</v>
      </c>
      <c r="F596" s="5">
        <v>46120.63958333333</v>
      </c>
      <c r="G596" s="5">
        <v>46119.559583333335</v>
      </c>
      <c r="H596" s="3" t="s">
        <v>14</v>
      </c>
      <c r="I596" s="7">
        <v>0.0</v>
      </c>
      <c r="J596" s="3" t="s">
        <v>15</v>
      </c>
    </row>
    <row r="597">
      <c r="C597" s="3" t="s">
        <v>10</v>
      </c>
      <c r="D597" s="3">
        <v>5079.0</v>
      </c>
      <c r="E597" s="3" t="s">
        <v>618</v>
      </c>
      <c r="F597" s="5">
        <v>46119.4875</v>
      </c>
      <c r="G597" s="5">
        <v>46118.761666666665</v>
      </c>
      <c r="H597" s="3" t="s">
        <v>14</v>
      </c>
      <c r="I597" s="3">
        <v>0.0</v>
      </c>
      <c r="J597" s="3" t="s">
        <v>72</v>
      </c>
    </row>
    <row r="598">
      <c r="C598" s="3" t="s">
        <v>17</v>
      </c>
      <c r="D598" s="3">
        <v>5079.0</v>
      </c>
      <c r="E598" s="3" t="s">
        <v>618</v>
      </c>
      <c r="F598" s="5">
        <v>46119.49444444444</v>
      </c>
      <c r="G598" s="5">
        <v>46118.76199074074</v>
      </c>
      <c r="H598" s="3" t="s">
        <v>14</v>
      </c>
      <c r="I598" s="7">
        <v>0.0</v>
      </c>
      <c r="J598" s="3" t="s">
        <v>72</v>
      </c>
    </row>
    <row r="599">
      <c r="C599" s="3" t="s">
        <v>21</v>
      </c>
      <c r="D599" s="3">
        <v>5079.0</v>
      </c>
      <c r="E599" s="3" t="s">
        <v>618</v>
      </c>
      <c r="F599" s="5">
        <v>46119.59861111111</v>
      </c>
      <c r="G599" s="5">
        <v>46118.762141203704</v>
      </c>
      <c r="H599" s="3" t="s">
        <v>14</v>
      </c>
      <c r="I599" s="7">
        <v>0.0</v>
      </c>
      <c r="J599" s="3" t="s">
        <v>72</v>
      </c>
    </row>
    <row r="600">
      <c r="C600" s="3" t="s">
        <v>24</v>
      </c>
      <c r="D600" s="3">
        <v>5079.0</v>
      </c>
      <c r="E600" s="3" t="s">
        <v>618</v>
      </c>
      <c r="F600" s="5">
        <v>46120.59861111111</v>
      </c>
      <c r="G600" s="5">
        <v>46119.485300925924</v>
      </c>
      <c r="H600" s="3" t="s">
        <v>14</v>
      </c>
      <c r="I600" s="7">
        <v>0.0</v>
      </c>
      <c r="J600" s="3" t="s">
        <v>72</v>
      </c>
    </row>
    <row r="601">
      <c r="C601" s="3" t="s">
        <v>26</v>
      </c>
      <c r="D601" s="3">
        <v>5079.0</v>
      </c>
      <c r="E601" s="3" t="s">
        <v>618</v>
      </c>
      <c r="F601" s="5">
        <v>46120.64027777778</v>
      </c>
      <c r="G601" s="5">
        <v>46119.48535879629</v>
      </c>
      <c r="H601" s="3" t="s">
        <v>14</v>
      </c>
      <c r="I601" s="7">
        <v>0.0</v>
      </c>
      <c r="J601" s="3" t="s">
        <v>72</v>
      </c>
    </row>
    <row r="602">
      <c r="C602" s="3" t="s">
        <v>10</v>
      </c>
      <c r="D602" s="3">
        <v>5080.0</v>
      </c>
      <c r="E602" s="3" t="s">
        <v>623</v>
      </c>
      <c r="F602" s="5">
        <v>46119.48888888889</v>
      </c>
      <c r="G602" s="5">
        <v>46118.76168981481</v>
      </c>
      <c r="H602" s="3" t="s">
        <v>14</v>
      </c>
      <c r="I602" s="3">
        <v>0.0</v>
      </c>
      <c r="J602" s="3" t="s">
        <v>48</v>
      </c>
    </row>
    <row r="603">
      <c r="C603" s="3" t="s">
        <v>17</v>
      </c>
      <c r="D603" s="3">
        <v>5080.0</v>
      </c>
      <c r="E603" s="3" t="s">
        <v>623</v>
      </c>
      <c r="F603" s="5">
        <v>46119.495833333334</v>
      </c>
      <c r="G603" s="5">
        <v>46118.76201388889</v>
      </c>
      <c r="H603" s="3" t="s">
        <v>14</v>
      </c>
      <c r="I603" s="7">
        <v>0.0</v>
      </c>
      <c r="J603" s="3" t="s">
        <v>48</v>
      </c>
    </row>
    <row r="604">
      <c r="C604" s="3" t="s">
        <v>21</v>
      </c>
      <c r="D604" s="3">
        <v>5080.0</v>
      </c>
      <c r="E604" s="3" t="s">
        <v>623</v>
      </c>
      <c r="F604" s="5">
        <v>46119.6</v>
      </c>
      <c r="G604" s="5">
        <v>46118.76217592593</v>
      </c>
      <c r="H604" s="3" t="s">
        <v>14</v>
      </c>
      <c r="I604" s="7">
        <v>0.0</v>
      </c>
      <c r="J604" s="3" t="s">
        <v>48</v>
      </c>
    </row>
    <row r="605">
      <c r="C605" s="3" t="s">
        <v>24</v>
      </c>
      <c r="D605" s="3">
        <v>5080.0</v>
      </c>
      <c r="E605" s="3" t="s">
        <v>623</v>
      </c>
      <c r="F605" s="5">
        <v>46120.6</v>
      </c>
      <c r="G605" s="5">
        <v>46119.48532407408</v>
      </c>
      <c r="H605" s="3" t="s">
        <v>14</v>
      </c>
      <c r="I605" s="7">
        <v>0.0</v>
      </c>
      <c r="J605" s="3" t="s">
        <v>48</v>
      </c>
    </row>
    <row r="606">
      <c r="C606" s="3" t="s">
        <v>26</v>
      </c>
      <c r="D606" s="3">
        <v>5080.0</v>
      </c>
      <c r="E606" s="3" t="s">
        <v>623</v>
      </c>
      <c r="F606" s="5">
        <v>46120.64166666667</v>
      </c>
      <c r="G606" s="5">
        <v>46119.48537037037</v>
      </c>
      <c r="H606" s="3" t="s">
        <v>14</v>
      </c>
      <c r="I606" s="7">
        <v>0.0</v>
      </c>
      <c r="J606" s="3" t="s">
        <v>48</v>
      </c>
    </row>
    <row r="607">
      <c r="C607" s="3" t="s">
        <v>10</v>
      </c>
      <c r="D607" s="3">
        <v>5081.0</v>
      </c>
      <c r="E607" s="3" t="s">
        <v>628</v>
      </c>
      <c r="F607" s="5">
        <v>46119.639340277776</v>
      </c>
      <c r="G607" s="5">
        <v>46119.4846875</v>
      </c>
      <c r="H607" s="3" t="s">
        <v>14</v>
      </c>
      <c r="I607" s="3">
        <v>0.0</v>
      </c>
      <c r="J607" s="3" t="s">
        <v>15</v>
      </c>
    </row>
    <row r="608">
      <c r="C608" s="3" t="s">
        <v>17</v>
      </c>
      <c r="D608" s="3">
        <v>5081.0</v>
      </c>
      <c r="E608" s="3" t="s">
        <v>628</v>
      </c>
      <c r="F608" s="5">
        <v>46119.64628472222</v>
      </c>
      <c r="G608" s="5">
        <v>46119.484768518516</v>
      </c>
      <c r="H608" s="3" t="s">
        <v>14</v>
      </c>
      <c r="I608" s="7">
        <v>0.0</v>
      </c>
      <c r="J608" s="3" t="s">
        <v>15</v>
      </c>
    </row>
    <row r="609">
      <c r="C609" s="3" t="s">
        <v>21</v>
      </c>
      <c r="D609" s="3">
        <v>5081.0</v>
      </c>
      <c r="E609" s="3" t="s">
        <v>628</v>
      </c>
      <c r="F609" s="5">
        <v>46119.750451388885</v>
      </c>
      <c r="G609" s="5">
        <v>46119.48480324074</v>
      </c>
      <c r="H609" s="3" t="s">
        <v>14</v>
      </c>
      <c r="I609" s="7">
        <v>0.0</v>
      </c>
      <c r="J609" s="3" t="s">
        <v>15</v>
      </c>
    </row>
    <row r="610">
      <c r="C610" s="3" t="s">
        <v>24</v>
      </c>
      <c r="D610" s="3">
        <v>5081.0</v>
      </c>
      <c r="E610" s="3" t="s">
        <v>628</v>
      </c>
      <c r="F610" s="5">
        <v>46120.75</v>
      </c>
      <c r="G610" s="5">
        <v>46119.61195601852</v>
      </c>
      <c r="H610" s="3" t="s">
        <v>14</v>
      </c>
      <c r="I610" s="7">
        <v>0.0</v>
      </c>
      <c r="J610" s="3" t="s">
        <v>15</v>
      </c>
    </row>
    <row r="611">
      <c r="C611" s="3" t="s">
        <v>26</v>
      </c>
      <c r="D611" s="3">
        <v>5081.0</v>
      </c>
      <c r="E611" s="3" t="s">
        <v>628</v>
      </c>
      <c r="F611" s="5">
        <v>46120.791666666664</v>
      </c>
      <c r="G611" s="5">
        <v>46119.67438657407</v>
      </c>
      <c r="H611" s="3" t="s">
        <v>14</v>
      </c>
      <c r="I611" s="7">
        <v>0.0</v>
      </c>
      <c r="J611" s="3" t="s">
        <v>15</v>
      </c>
    </row>
    <row r="612">
      <c r="C612" s="3" t="s">
        <v>10</v>
      </c>
      <c r="D612" s="3">
        <v>5082.0</v>
      </c>
      <c r="E612" s="3" t="s">
        <v>631</v>
      </c>
      <c r="F612" s="5">
        <v>46119.641377314816</v>
      </c>
      <c r="G612" s="5">
        <v>46119.48467592592</v>
      </c>
      <c r="H612" s="3" t="s">
        <v>14</v>
      </c>
      <c r="I612" s="3">
        <v>0.0</v>
      </c>
      <c r="J612" s="3" t="s">
        <v>15</v>
      </c>
    </row>
    <row r="613">
      <c r="C613" s="3" t="s">
        <v>17</v>
      </c>
      <c r="D613" s="3">
        <v>5082.0</v>
      </c>
      <c r="E613" s="3" t="s">
        <v>631</v>
      </c>
      <c r="F613" s="5">
        <v>46119.64832175926</v>
      </c>
      <c r="G613" s="5">
        <v>46119.61168981482</v>
      </c>
      <c r="H613" s="3" t="s">
        <v>14</v>
      </c>
      <c r="I613" s="7">
        <v>0.0</v>
      </c>
      <c r="J613" s="3" t="s">
        <v>15</v>
      </c>
    </row>
    <row r="614">
      <c r="C614" s="3" t="s">
        <v>21</v>
      </c>
      <c r="D614" s="3">
        <v>5082.0</v>
      </c>
      <c r="E614" s="3" t="s">
        <v>631</v>
      </c>
      <c r="F614" s="5">
        <v>46119.752488425926</v>
      </c>
      <c r="G614" s="5">
        <v>46119.61177083333</v>
      </c>
      <c r="H614" s="3" t="s">
        <v>14</v>
      </c>
      <c r="I614" s="7">
        <v>0.0</v>
      </c>
      <c r="J614" s="3" t="s">
        <v>15</v>
      </c>
    </row>
    <row r="615">
      <c r="C615" s="3" t="s">
        <v>24</v>
      </c>
      <c r="D615" s="3">
        <v>5082.0</v>
      </c>
      <c r="E615" s="3" t="s">
        <v>631</v>
      </c>
      <c r="F615" s="5">
        <v>46120.75208333333</v>
      </c>
      <c r="G615" s="5">
        <v>46119.610972222225</v>
      </c>
      <c r="H615" s="3" t="s">
        <v>14</v>
      </c>
      <c r="I615" s="7">
        <v>0.0</v>
      </c>
      <c r="J615" s="3" t="s">
        <v>15</v>
      </c>
    </row>
    <row r="616">
      <c r="C616" s="3" t="s">
        <v>26</v>
      </c>
      <c r="D616" s="3">
        <v>5082.0</v>
      </c>
      <c r="E616" s="3" t="s">
        <v>631</v>
      </c>
      <c r="F616" s="5">
        <v>46120.79375</v>
      </c>
      <c r="G616" s="5">
        <v>46120.622465277775</v>
      </c>
      <c r="H616" s="3" t="s">
        <v>14</v>
      </c>
      <c r="I616" s="7">
        <v>0.0</v>
      </c>
      <c r="J616" s="3" t="s">
        <v>15</v>
      </c>
    </row>
    <row r="617">
      <c r="C617" s="3" t="s">
        <v>10</v>
      </c>
      <c r="D617" s="3">
        <v>5083.0</v>
      </c>
      <c r="E617" s="3" t="s">
        <v>636</v>
      </c>
      <c r="F617" s="5">
        <v>46119.6728125</v>
      </c>
      <c r="G617" s="5">
        <v>46119.55412037037</v>
      </c>
      <c r="H617" s="3" t="s">
        <v>14</v>
      </c>
      <c r="I617" s="3">
        <v>0.0</v>
      </c>
      <c r="J617" s="3" t="s">
        <v>61</v>
      </c>
    </row>
    <row r="618">
      <c r="C618" s="3" t="s">
        <v>17</v>
      </c>
      <c r="D618" s="3">
        <v>5083.0</v>
      </c>
      <c r="E618" s="3" t="s">
        <v>636</v>
      </c>
      <c r="F618" s="5">
        <v>46119.679756944446</v>
      </c>
      <c r="G618" s="5">
        <v>46119.55420138889</v>
      </c>
      <c r="H618" s="3" t="s">
        <v>14</v>
      </c>
      <c r="I618" s="7">
        <v>0.0</v>
      </c>
      <c r="J618" s="3" t="s">
        <v>61</v>
      </c>
    </row>
    <row r="619">
      <c r="C619" s="3" t="s">
        <v>21</v>
      </c>
      <c r="D619" s="3">
        <v>5083.0</v>
      </c>
      <c r="E619" s="3" t="s">
        <v>636</v>
      </c>
      <c r="F619" s="5">
        <v>46119.78392361111</v>
      </c>
      <c r="G619" s="5">
        <v>46119.55425925926</v>
      </c>
      <c r="H619" s="3" t="s">
        <v>14</v>
      </c>
      <c r="I619" s="7">
        <v>0.0</v>
      </c>
      <c r="J619" s="3" t="s">
        <v>61</v>
      </c>
    </row>
    <row r="620">
      <c r="C620" s="3" t="s">
        <v>24</v>
      </c>
      <c r="D620" s="3">
        <v>5083.0</v>
      </c>
      <c r="E620" s="3" t="s">
        <v>636</v>
      </c>
      <c r="F620" s="5">
        <v>46120.78333333333</v>
      </c>
      <c r="G620" s="5">
        <v>46119.61099537037</v>
      </c>
      <c r="H620" s="3" t="s">
        <v>14</v>
      </c>
      <c r="I620" s="7">
        <v>0.0</v>
      </c>
      <c r="J620" s="3" t="s">
        <v>61</v>
      </c>
    </row>
    <row r="621">
      <c r="C621" s="3" t="s">
        <v>26</v>
      </c>
      <c r="D621" s="3">
        <v>5083.0</v>
      </c>
      <c r="E621" s="3" t="s">
        <v>636</v>
      </c>
      <c r="F621" s="5">
        <v>46120.825</v>
      </c>
      <c r="G621" s="5">
        <v>46119.68728009259</v>
      </c>
      <c r="H621" s="3" t="s">
        <v>14</v>
      </c>
      <c r="I621" s="7">
        <v>0.0</v>
      </c>
      <c r="J621" s="3" t="s">
        <v>61</v>
      </c>
    </row>
    <row r="622">
      <c r="C622" s="3" t="s">
        <v>10</v>
      </c>
      <c r="D622" s="3">
        <v>5084.0</v>
      </c>
      <c r="E622" s="3" t="s">
        <v>640</v>
      </c>
      <c r="F622" s="5">
        <v>46119.67699074074</v>
      </c>
      <c r="G622" s="5">
        <v>46119.61142361111</v>
      </c>
      <c r="H622" s="3" t="s">
        <v>14</v>
      </c>
      <c r="I622" s="3">
        <v>0.0</v>
      </c>
      <c r="J622" s="3" t="s">
        <v>72</v>
      </c>
    </row>
    <row r="623">
      <c r="C623" s="3" t="s">
        <v>17</v>
      </c>
      <c r="D623" s="3">
        <v>5084.0</v>
      </c>
      <c r="E623" s="3" t="s">
        <v>640</v>
      </c>
      <c r="F623" s="5">
        <v>46119.68393518519</v>
      </c>
      <c r="G623" s="5">
        <v>46119.61119212963</v>
      </c>
      <c r="H623" s="3" t="s">
        <v>14</v>
      </c>
      <c r="I623" s="7">
        <v>0.0</v>
      </c>
      <c r="J623" s="3" t="s">
        <v>72</v>
      </c>
    </row>
    <row r="624">
      <c r="C624" s="3" t="s">
        <v>21</v>
      </c>
      <c r="D624" s="3">
        <v>5084.0</v>
      </c>
      <c r="E624" s="3" t="s">
        <v>640</v>
      </c>
      <c r="F624" s="5">
        <v>46119.78810185185</v>
      </c>
      <c r="G624" s="5">
        <v>46119.61152777778</v>
      </c>
      <c r="H624" s="3" t="s">
        <v>14</v>
      </c>
      <c r="I624" s="7">
        <v>0.0</v>
      </c>
      <c r="J624" s="3" t="s">
        <v>72</v>
      </c>
    </row>
    <row r="625">
      <c r="C625" s="3" t="s">
        <v>24</v>
      </c>
      <c r="D625" s="3">
        <v>5084.0</v>
      </c>
      <c r="E625" s="3" t="s">
        <v>640</v>
      </c>
      <c r="F625" s="5">
        <v>46120.7875</v>
      </c>
      <c r="G625" s="5">
        <v>46119.61101851852</v>
      </c>
      <c r="H625" s="3" t="s">
        <v>14</v>
      </c>
      <c r="I625" s="7">
        <v>0.0</v>
      </c>
      <c r="J625" s="3" t="s">
        <v>72</v>
      </c>
    </row>
    <row r="626">
      <c r="C626" s="3" t="s">
        <v>26</v>
      </c>
      <c r="D626" s="3">
        <v>5084.0</v>
      </c>
      <c r="E626" s="3" t="s">
        <v>640</v>
      </c>
      <c r="F626" s="5">
        <v>46120.82916666667</v>
      </c>
      <c r="G626" s="5">
        <v>46119.68730324074</v>
      </c>
      <c r="H626" s="3" t="s">
        <v>14</v>
      </c>
      <c r="I626" s="7">
        <v>0.0</v>
      </c>
      <c r="J626" s="3" t="s">
        <v>72</v>
      </c>
    </row>
    <row r="627">
      <c r="C627" s="3" t="s">
        <v>10</v>
      </c>
      <c r="D627" s="3">
        <v>5085.0</v>
      </c>
      <c r="E627" s="3" t="s">
        <v>410</v>
      </c>
      <c r="F627" s="5">
        <v>46119.69744212963</v>
      </c>
      <c r="G627" s="5">
        <v>46119.55409722222</v>
      </c>
      <c r="H627" s="3" t="s">
        <v>14</v>
      </c>
      <c r="I627" s="3">
        <v>0.0</v>
      </c>
      <c r="J627" s="3" t="s">
        <v>72</v>
      </c>
    </row>
    <row r="628">
      <c r="C628" s="3" t="s">
        <v>17</v>
      </c>
      <c r="D628" s="3">
        <v>5085.0</v>
      </c>
      <c r="E628" s="3" t="s">
        <v>410</v>
      </c>
      <c r="F628" s="5">
        <v>46119.70438657407</v>
      </c>
      <c r="G628" s="5">
        <v>46119.55420138889</v>
      </c>
      <c r="H628" s="3" t="s">
        <v>14</v>
      </c>
      <c r="I628" s="7">
        <v>0.0</v>
      </c>
      <c r="J628" s="3" t="s">
        <v>72</v>
      </c>
    </row>
    <row r="629">
      <c r="C629" s="3" t="s">
        <v>21</v>
      </c>
      <c r="D629" s="3">
        <v>5085.0</v>
      </c>
      <c r="E629" s="3" t="s">
        <v>410</v>
      </c>
      <c r="F629" s="5">
        <v>46119.80855324074</v>
      </c>
      <c r="G629" s="5">
        <v>46119.55427083333</v>
      </c>
      <c r="H629" s="3" t="s">
        <v>14</v>
      </c>
      <c r="I629" s="7">
        <v>0.0</v>
      </c>
      <c r="J629" s="3" t="s">
        <v>72</v>
      </c>
    </row>
    <row r="630">
      <c r="C630" s="3" t="s">
        <v>24</v>
      </c>
      <c r="D630" s="3">
        <v>5085.0</v>
      </c>
      <c r="E630" s="3" t="s">
        <v>410</v>
      </c>
      <c r="F630" s="5">
        <v>46120.808333333334</v>
      </c>
      <c r="G630" s="5">
        <v>46119.611030092594</v>
      </c>
      <c r="H630" s="3" t="s">
        <v>14</v>
      </c>
      <c r="I630" s="7">
        <v>0.0</v>
      </c>
      <c r="J630" s="3" t="s">
        <v>72</v>
      </c>
    </row>
    <row r="631">
      <c r="C631" s="3" t="s">
        <v>26</v>
      </c>
      <c r="D631" s="3">
        <v>5085.0</v>
      </c>
      <c r="E631" s="3" t="s">
        <v>410</v>
      </c>
      <c r="F631" s="5">
        <v>46121.433333333334</v>
      </c>
      <c r="G631" s="5">
        <v>46119.68732638889</v>
      </c>
      <c r="H631" s="3" t="s">
        <v>14</v>
      </c>
      <c r="I631" s="7">
        <v>0.0</v>
      </c>
      <c r="J631" s="3" t="s">
        <v>72</v>
      </c>
    </row>
    <row r="632">
      <c r="C632" s="3" t="s">
        <v>10</v>
      </c>
      <c r="D632" s="3">
        <v>5086.0</v>
      </c>
      <c r="E632" s="3" t="s">
        <v>403</v>
      </c>
      <c r="F632" s="5">
        <v>46120.45138888889</v>
      </c>
      <c r="G632" s="5">
        <v>46119.708761574075</v>
      </c>
      <c r="H632" s="3" t="s">
        <v>14</v>
      </c>
      <c r="I632" s="3">
        <v>0.0</v>
      </c>
      <c r="J632" s="3" t="s">
        <v>15</v>
      </c>
    </row>
    <row r="633">
      <c r="C633" s="3" t="s">
        <v>17</v>
      </c>
      <c r="D633" s="3">
        <v>5086.0</v>
      </c>
      <c r="E633" s="3" t="s">
        <v>403</v>
      </c>
      <c r="F633" s="5">
        <v>46120.458333333336</v>
      </c>
      <c r="G633" s="5">
        <v>46119.70869212963</v>
      </c>
      <c r="H633" s="3" t="s">
        <v>14</v>
      </c>
      <c r="I633" s="7">
        <v>0.0</v>
      </c>
      <c r="J633" s="3" t="s">
        <v>15</v>
      </c>
    </row>
    <row r="634">
      <c r="C634" s="3" t="s">
        <v>21</v>
      </c>
      <c r="D634" s="3">
        <v>5086.0</v>
      </c>
      <c r="E634" s="3" t="s">
        <v>403</v>
      </c>
      <c r="F634" s="5">
        <v>46120.5625</v>
      </c>
      <c r="G634" s="5">
        <v>46119.70885416667</v>
      </c>
      <c r="H634" s="3" t="s">
        <v>14</v>
      </c>
      <c r="I634" s="7">
        <v>0.0</v>
      </c>
      <c r="J634" s="3" t="s">
        <v>15</v>
      </c>
    </row>
    <row r="635">
      <c r="C635" s="3" t="s">
        <v>24</v>
      </c>
      <c r="D635" s="3">
        <v>5086.0</v>
      </c>
      <c r="E635" s="3" t="s">
        <v>403</v>
      </c>
      <c r="F635" s="5">
        <v>46121.5625</v>
      </c>
      <c r="G635" s="5">
        <v>46119.76525462963</v>
      </c>
      <c r="H635" s="3" t="s">
        <v>14</v>
      </c>
      <c r="I635" s="7">
        <v>0.0</v>
      </c>
      <c r="J635" s="3" t="s">
        <v>15</v>
      </c>
    </row>
    <row r="636">
      <c r="C636" s="3" t="s">
        <v>26</v>
      </c>
      <c r="D636" s="3">
        <v>5086.0</v>
      </c>
      <c r="E636" s="3" t="s">
        <v>403</v>
      </c>
      <c r="F636" s="5">
        <v>46121.604166666664</v>
      </c>
      <c r="G636" s="5">
        <v>46119.7653125</v>
      </c>
      <c r="H636" s="3" t="s">
        <v>14</v>
      </c>
      <c r="I636" s="7">
        <v>0.0</v>
      </c>
      <c r="J636" s="3" t="s">
        <v>15</v>
      </c>
    </row>
    <row r="637">
      <c r="C637" s="3" t="s">
        <v>10</v>
      </c>
      <c r="D637" s="3">
        <v>5087.0</v>
      </c>
      <c r="E637" s="3" t="s">
        <v>403</v>
      </c>
      <c r="F637" s="5">
        <v>46120.46597222222</v>
      </c>
      <c r="G637" s="5">
        <v>46119.71910879629</v>
      </c>
      <c r="H637" s="3" t="s">
        <v>14</v>
      </c>
      <c r="I637" s="3">
        <v>0.0</v>
      </c>
      <c r="J637" s="3" t="s">
        <v>61</v>
      </c>
    </row>
    <row r="638">
      <c r="C638" s="3" t="s">
        <v>17</v>
      </c>
      <c r="D638" s="3">
        <v>5087.0</v>
      </c>
      <c r="E638" s="3" t="s">
        <v>403</v>
      </c>
      <c r="F638" s="5">
        <v>46120.472916666666</v>
      </c>
      <c r="G638" s="5">
        <v>46119.71915509259</v>
      </c>
      <c r="H638" s="3" t="s">
        <v>14</v>
      </c>
      <c r="I638" s="7">
        <v>0.0</v>
      </c>
      <c r="J638" s="3" t="s">
        <v>61</v>
      </c>
    </row>
    <row r="639">
      <c r="C639" s="3" t="s">
        <v>21</v>
      </c>
      <c r="D639" s="3">
        <v>5087.0</v>
      </c>
      <c r="E639" s="3" t="s">
        <v>403</v>
      </c>
      <c r="F639" s="5">
        <v>46120.57708333333</v>
      </c>
      <c r="G639" s="5">
        <v>46119.71921296296</v>
      </c>
      <c r="H639" s="3" t="s">
        <v>14</v>
      </c>
      <c r="I639" s="7">
        <v>0.0</v>
      </c>
      <c r="J639" s="3" t="s">
        <v>61</v>
      </c>
    </row>
    <row r="640">
      <c r="C640" s="3" t="s">
        <v>24</v>
      </c>
      <c r="D640" s="3">
        <v>5087.0</v>
      </c>
      <c r="E640" s="3" t="s">
        <v>403</v>
      </c>
      <c r="F640" s="5">
        <v>46121.57708333333</v>
      </c>
      <c r="G640" s="5">
        <v>46119.76526620371</v>
      </c>
      <c r="H640" s="3" t="s">
        <v>14</v>
      </c>
      <c r="I640" s="7">
        <v>0.0</v>
      </c>
      <c r="J640" s="3" t="s">
        <v>61</v>
      </c>
    </row>
    <row r="641">
      <c r="C641" s="3" t="s">
        <v>26</v>
      </c>
      <c r="D641" s="3">
        <v>5087.0</v>
      </c>
      <c r="E641" s="3" t="s">
        <v>403</v>
      </c>
      <c r="F641" s="5">
        <v>46121.61875</v>
      </c>
      <c r="G641" s="5">
        <v>46119.7653587963</v>
      </c>
      <c r="H641" s="3" t="s">
        <v>14</v>
      </c>
      <c r="I641" s="7">
        <v>0.0</v>
      </c>
      <c r="J641" s="3" t="s">
        <v>61</v>
      </c>
    </row>
    <row r="642">
      <c r="C642" s="3" t="s">
        <v>10</v>
      </c>
      <c r="D642" s="3">
        <v>5088.0</v>
      </c>
      <c r="E642" s="3" t="s">
        <v>656</v>
      </c>
      <c r="F642" s="5">
        <v>46120.67768518518</v>
      </c>
      <c r="G642" s="5">
        <v>46120.621886574074</v>
      </c>
      <c r="H642" s="3" t="s">
        <v>14</v>
      </c>
      <c r="I642" s="3">
        <v>0.0</v>
      </c>
      <c r="J642" s="3" t="s">
        <v>48</v>
      </c>
    </row>
    <row r="643">
      <c r="C643" s="3" t="s">
        <v>17</v>
      </c>
      <c r="D643" s="3">
        <v>5088.0</v>
      </c>
      <c r="E643" s="3" t="s">
        <v>656</v>
      </c>
      <c r="F643" s="5">
        <v>46120.68462962963</v>
      </c>
      <c r="G643" s="5">
        <v>46120.62210648148</v>
      </c>
      <c r="H643" s="3" t="s">
        <v>14</v>
      </c>
      <c r="I643" s="7">
        <v>0.0</v>
      </c>
      <c r="J643" s="3" t="s">
        <v>48</v>
      </c>
    </row>
    <row r="644">
      <c r="C644" s="3" t="s">
        <v>21</v>
      </c>
      <c r="D644" s="3">
        <v>5088.0</v>
      </c>
      <c r="E644" s="3" t="s">
        <v>656</v>
      </c>
      <c r="F644" s="5">
        <v>46120.7887962963</v>
      </c>
      <c r="G644" s="5">
        <v>46120.64271990741</v>
      </c>
      <c r="H644" s="3" t="s">
        <v>14</v>
      </c>
      <c r="I644" s="7">
        <v>0.0</v>
      </c>
      <c r="J644" s="3" t="s">
        <v>48</v>
      </c>
    </row>
    <row r="645">
      <c r="C645" s="3" t="s">
        <v>24</v>
      </c>
      <c r="D645" s="3">
        <v>5088.0</v>
      </c>
      <c r="E645" s="3" t="s">
        <v>656</v>
      </c>
      <c r="F645" s="5">
        <v>46121.788194444445</v>
      </c>
      <c r="G645" s="5">
        <v>46120.73063657407</v>
      </c>
      <c r="H645" s="3" t="s">
        <v>14</v>
      </c>
      <c r="I645" s="7">
        <v>0.0</v>
      </c>
      <c r="J645" s="3" t="s">
        <v>48</v>
      </c>
    </row>
    <row r="646">
      <c r="C646" s="3" t="s">
        <v>26</v>
      </c>
      <c r="D646" s="3">
        <v>5088.0</v>
      </c>
      <c r="E646" s="3" t="s">
        <v>656</v>
      </c>
      <c r="F646" s="5">
        <v>46121.82986111111</v>
      </c>
      <c r="G646" s="5">
        <v>46120.731574074074</v>
      </c>
      <c r="H646" s="3" t="s">
        <v>14</v>
      </c>
      <c r="I646" s="7">
        <v>0.0</v>
      </c>
      <c r="J646" s="3" t="s">
        <v>48</v>
      </c>
    </row>
    <row r="647">
      <c r="C647" s="3" t="s">
        <v>10</v>
      </c>
      <c r="D647" s="3">
        <v>5089.0</v>
      </c>
      <c r="E647" s="3" t="s">
        <v>660</v>
      </c>
      <c r="F647" s="5">
        <v>46120.70164351852</v>
      </c>
      <c r="G647" s="5">
        <v>46120.62189814815</v>
      </c>
      <c r="H647" s="3" t="s">
        <v>14</v>
      </c>
      <c r="I647" s="3">
        <v>0.0</v>
      </c>
      <c r="J647" s="3" t="s">
        <v>15</v>
      </c>
    </row>
    <row r="648">
      <c r="C648" s="3" t="s">
        <v>17</v>
      </c>
      <c r="D648" s="3">
        <v>5089.0</v>
      </c>
      <c r="E648" s="3" t="s">
        <v>660</v>
      </c>
      <c r="F648" s="5">
        <v>46120.70858796296</v>
      </c>
      <c r="G648" s="5">
        <v>46120.622152777774</v>
      </c>
      <c r="H648" s="3" t="s">
        <v>14</v>
      </c>
      <c r="I648" s="7">
        <v>0.0</v>
      </c>
      <c r="J648" s="3" t="s">
        <v>15</v>
      </c>
    </row>
    <row r="649">
      <c r="C649" s="3" t="s">
        <v>21</v>
      </c>
      <c r="D649" s="3">
        <v>5089.0</v>
      </c>
      <c r="E649" s="3" t="s">
        <v>660</v>
      </c>
      <c r="F649" s="5">
        <v>46120.81275462963</v>
      </c>
      <c r="G649" s="5">
        <v>46120.64273148148</v>
      </c>
      <c r="H649" s="3" t="s">
        <v>14</v>
      </c>
      <c r="I649" s="7">
        <v>0.0</v>
      </c>
      <c r="J649" s="3" t="s">
        <v>15</v>
      </c>
    </row>
    <row r="650">
      <c r="C650" s="3" t="s">
        <v>24</v>
      </c>
      <c r="D650" s="3">
        <v>5089.0</v>
      </c>
      <c r="E650" s="3" t="s">
        <v>660</v>
      </c>
      <c r="F650" s="5">
        <v>46121.8125</v>
      </c>
      <c r="G650" s="5">
        <v>46120.73065972222</v>
      </c>
      <c r="H650" s="3" t="s">
        <v>14</v>
      </c>
      <c r="I650" s="7">
        <v>0.0</v>
      </c>
      <c r="J650" s="3" t="s">
        <v>15</v>
      </c>
    </row>
    <row r="651">
      <c r="C651" s="3" t="s">
        <v>26</v>
      </c>
      <c r="D651" s="3">
        <v>5089.0</v>
      </c>
      <c r="E651" s="3" t="s">
        <v>660</v>
      </c>
      <c r="F651" s="5">
        <v>46122.4375</v>
      </c>
      <c r="G651" s="5">
        <v>46120.73159722222</v>
      </c>
      <c r="H651" s="3" t="s">
        <v>14</v>
      </c>
      <c r="I651" s="7">
        <v>0.0</v>
      </c>
      <c r="J651" s="3" t="s">
        <v>15</v>
      </c>
    </row>
    <row r="652">
      <c r="C652" s="3" t="s">
        <v>10</v>
      </c>
      <c r="D652" s="3">
        <v>5090.0</v>
      </c>
      <c r="E652" s="3" t="s">
        <v>667</v>
      </c>
      <c r="F652" s="5">
        <v>46121.467361111114</v>
      </c>
      <c r="G652" s="5">
        <v>46120.73091435185</v>
      </c>
      <c r="H652" s="3" t="s">
        <v>14</v>
      </c>
      <c r="I652" s="3">
        <v>0.0</v>
      </c>
      <c r="J652" s="3" t="s">
        <v>15</v>
      </c>
    </row>
    <row r="653">
      <c r="C653" s="3" t="s">
        <v>17</v>
      </c>
      <c r="D653" s="3">
        <v>5090.0</v>
      </c>
      <c r="E653" s="3" t="s">
        <v>667</v>
      </c>
      <c r="F653" s="5">
        <v>46121.47430555556</v>
      </c>
      <c r="G653" s="5">
        <v>46120.73081018519</v>
      </c>
      <c r="H653" s="3" t="s">
        <v>14</v>
      </c>
      <c r="I653" s="7">
        <v>0.0</v>
      </c>
      <c r="J653" s="3" t="s">
        <v>15</v>
      </c>
    </row>
    <row r="654">
      <c r="C654" s="3" t="s">
        <v>21</v>
      </c>
      <c r="D654" s="3">
        <v>5090.0</v>
      </c>
      <c r="E654" s="3" t="s">
        <v>667</v>
      </c>
      <c r="F654" s="5">
        <v>46121.57847222222</v>
      </c>
      <c r="G654" s="5">
        <v>46120.731354166666</v>
      </c>
      <c r="H654" s="3" t="s">
        <v>14</v>
      </c>
      <c r="I654" s="7">
        <v>0.0</v>
      </c>
      <c r="J654" s="3" t="s">
        <v>15</v>
      </c>
    </row>
    <row r="655">
      <c r="C655" s="3" t="s">
        <v>24</v>
      </c>
      <c r="D655" s="3">
        <v>5090.0</v>
      </c>
      <c r="E655" s="3" t="s">
        <v>667</v>
      </c>
      <c r="F655" s="5">
        <v>46122.57847222222</v>
      </c>
      <c r="G655" s="5">
        <v>46121.419386574074</v>
      </c>
      <c r="H655" s="3" t="s">
        <v>14</v>
      </c>
      <c r="I655" s="7">
        <v>0.0</v>
      </c>
      <c r="J655" s="3" t="s">
        <v>15</v>
      </c>
    </row>
    <row r="656">
      <c r="C656" s="3" t="s">
        <v>26</v>
      </c>
      <c r="D656" s="3">
        <v>5090.0</v>
      </c>
      <c r="E656" s="3" t="s">
        <v>667</v>
      </c>
      <c r="F656" s="5">
        <v>46122.62013888889</v>
      </c>
      <c r="G656" s="5">
        <v>46121.419490740744</v>
      </c>
      <c r="H656" s="3" t="s">
        <v>14</v>
      </c>
      <c r="I656" s="7">
        <v>0.0</v>
      </c>
      <c r="J656" s="3" t="s">
        <v>15</v>
      </c>
    </row>
    <row r="657">
      <c r="C657" s="3" t="s">
        <v>10</v>
      </c>
      <c r="D657" s="3">
        <v>5091.0</v>
      </c>
      <c r="E657" s="3" t="s">
        <v>166</v>
      </c>
      <c r="F657" s="5">
        <v>46121.47638888889</v>
      </c>
      <c r="G657" s="5">
        <v>46120.73103009259</v>
      </c>
      <c r="H657" s="3" t="s">
        <v>14</v>
      </c>
      <c r="I657" s="3">
        <v>0.0</v>
      </c>
      <c r="J657" s="3" t="s">
        <v>61</v>
      </c>
    </row>
    <row r="658">
      <c r="C658" s="3" t="s">
        <v>17</v>
      </c>
      <c r="D658" s="3">
        <v>5091.0</v>
      </c>
      <c r="E658" s="3" t="s">
        <v>166</v>
      </c>
      <c r="F658" s="5">
        <v>46121.48333333333</v>
      </c>
      <c r="G658" s="5">
        <v>46120.731099537035</v>
      </c>
      <c r="H658" s="3" t="s">
        <v>14</v>
      </c>
      <c r="I658" s="7">
        <v>0.0</v>
      </c>
      <c r="J658" s="3" t="s">
        <v>61</v>
      </c>
    </row>
    <row r="659">
      <c r="C659" s="3" t="s">
        <v>21</v>
      </c>
      <c r="D659" s="3">
        <v>5091.0</v>
      </c>
      <c r="E659" s="3" t="s">
        <v>166</v>
      </c>
      <c r="F659" s="5">
        <v>46121.5875</v>
      </c>
      <c r="G659" s="5">
        <v>46120.73137731481</v>
      </c>
      <c r="H659" s="3" t="s">
        <v>14</v>
      </c>
      <c r="I659" s="7">
        <v>0.0</v>
      </c>
      <c r="J659" s="3" t="s">
        <v>61</v>
      </c>
    </row>
    <row r="660">
      <c r="C660" s="3" t="s">
        <v>24</v>
      </c>
      <c r="D660" s="3">
        <v>5091.0</v>
      </c>
      <c r="E660" s="3" t="s">
        <v>166</v>
      </c>
      <c r="F660" s="5">
        <v>46122.5875</v>
      </c>
      <c r="G660" s="5">
        <v>46120.754016203704</v>
      </c>
      <c r="H660" s="3" t="s">
        <v>14</v>
      </c>
      <c r="I660" s="7">
        <v>0.0</v>
      </c>
      <c r="J660" s="3" t="s">
        <v>61</v>
      </c>
    </row>
    <row r="661">
      <c r="C661" s="3" t="s">
        <v>26</v>
      </c>
      <c r="D661" s="3">
        <v>5091.0</v>
      </c>
      <c r="E661" s="3" t="s">
        <v>166</v>
      </c>
      <c r="F661" s="5">
        <v>46122.629166666666</v>
      </c>
      <c r="G661" s="5">
        <v>46120.77266203704</v>
      </c>
      <c r="H661" s="3" t="s">
        <v>14</v>
      </c>
      <c r="I661" s="7">
        <v>0.0</v>
      </c>
      <c r="J661" s="3" t="s">
        <v>61</v>
      </c>
    </row>
    <row r="662">
      <c r="C662" s="3" t="s">
        <v>10</v>
      </c>
      <c r="D662" s="3">
        <v>5092.0</v>
      </c>
      <c r="E662" s="3" t="s">
        <v>166</v>
      </c>
      <c r="F662" s="5">
        <v>46121.47708333333</v>
      </c>
      <c r="G662" s="5">
        <v>46120.731157407405</v>
      </c>
      <c r="H662" s="3" t="s">
        <v>14</v>
      </c>
      <c r="I662" s="3">
        <v>0.0</v>
      </c>
      <c r="J662" s="3" t="s">
        <v>15</v>
      </c>
    </row>
    <row r="663">
      <c r="C663" s="3" t="s">
        <v>17</v>
      </c>
      <c r="D663" s="3">
        <v>5092.0</v>
      </c>
      <c r="E663" s="3" t="s">
        <v>166</v>
      </c>
      <c r="F663" s="5">
        <v>46121.48402777778</v>
      </c>
      <c r="G663" s="5">
        <v>46120.73122685185</v>
      </c>
      <c r="H663" s="3" t="s">
        <v>14</v>
      </c>
      <c r="I663" s="7">
        <v>0.0</v>
      </c>
      <c r="J663" s="3" t="s">
        <v>15</v>
      </c>
    </row>
    <row r="664">
      <c r="C664" s="3" t="s">
        <v>21</v>
      </c>
      <c r="D664" s="3">
        <v>5092.0</v>
      </c>
      <c r="E664" s="3" t="s">
        <v>166</v>
      </c>
      <c r="F664" s="5">
        <v>46121.58819444444</v>
      </c>
      <c r="G664" s="5">
        <v>46120.731400462966</v>
      </c>
      <c r="H664" s="3" t="s">
        <v>14</v>
      </c>
      <c r="I664" s="7">
        <v>0.0</v>
      </c>
      <c r="J664" s="3" t="s">
        <v>15</v>
      </c>
    </row>
    <row r="665">
      <c r="C665" s="3" t="s">
        <v>24</v>
      </c>
      <c r="D665" s="3">
        <v>5092.0</v>
      </c>
      <c r="E665" s="3" t="s">
        <v>166</v>
      </c>
      <c r="F665" s="5">
        <v>46122.58819444444</v>
      </c>
      <c r="G665" s="5">
        <v>46120.772569444445</v>
      </c>
      <c r="H665" s="3" t="s">
        <v>14</v>
      </c>
      <c r="I665" s="7">
        <v>0.0</v>
      </c>
      <c r="J665" s="3" t="s">
        <v>15</v>
      </c>
    </row>
    <row r="666">
      <c r="C666" s="3" t="s">
        <v>26</v>
      </c>
      <c r="D666" s="3">
        <v>5092.0</v>
      </c>
      <c r="E666" s="3" t="s">
        <v>166</v>
      </c>
      <c r="F666" s="5">
        <v>46122.62986111111</v>
      </c>
      <c r="G666" s="5">
        <v>46120.772627314815</v>
      </c>
      <c r="H666" s="3" t="s">
        <v>14</v>
      </c>
      <c r="I666" s="7">
        <v>0.0</v>
      </c>
      <c r="J666" s="3" t="s">
        <v>15</v>
      </c>
    </row>
    <row r="667">
      <c r="C667" s="3" t="s">
        <v>10</v>
      </c>
      <c r="D667" s="3">
        <v>5093.0</v>
      </c>
      <c r="E667" s="3" t="s">
        <v>166</v>
      </c>
      <c r="F667" s="5">
        <v>46121.702685185184</v>
      </c>
      <c r="G667" s="5">
        <v>46121.644375</v>
      </c>
      <c r="H667" s="3" t="s">
        <v>14</v>
      </c>
      <c r="I667" s="3">
        <v>0.0</v>
      </c>
      <c r="J667" s="3" t="s">
        <v>72</v>
      </c>
    </row>
    <row r="668">
      <c r="C668" s="3" t="s">
        <v>17</v>
      </c>
      <c r="D668" s="3">
        <v>5093.0</v>
      </c>
      <c r="E668" s="3" t="s">
        <v>166</v>
      </c>
      <c r="F668" s="5">
        <v>46121.70962962963</v>
      </c>
      <c r="G668" s="5">
        <v>46121.644953703704</v>
      </c>
      <c r="H668" s="3" t="s">
        <v>14</v>
      </c>
      <c r="I668" s="7">
        <v>0.0</v>
      </c>
      <c r="J668" s="3" t="s">
        <v>72</v>
      </c>
    </row>
    <row r="669">
      <c r="C669" s="3" t="s">
        <v>21</v>
      </c>
      <c r="D669" s="3">
        <v>5093.0</v>
      </c>
      <c r="E669" s="3" t="s">
        <v>166</v>
      </c>
      <c r="F669" s="5">
        <v>46121.813796296294</v>
      </c>
      <c r="G669" s="5">
        <v>46121.64502314815</v>
      </c>
      <c r="H669" s="3" t="s">
        <v>14</v>
      </c>
      <c r="I669" s="7">
        <v>0.0</v>
      </c>
      <c r="J669" s="3" t="s">
        <v>72</v>
      </c>
    </row>
    <row r="670">
      <c r="C670" s="3" t="s">
        <v>24</v>
      </c>
      <c r="D670" s="3">
        <v>5093.0</v>
      </c>
      <c r="E670" s="3" t="s">
        <v>166</v>
      </c>
      <c r="F670" s="5">
        <v>46122.81319444445</v>
      </c>
      <c r="G670" s="5">
        <v>46121.750231481485</v>
      </c>
      <c r="H670" s="3" t="s">
        <v>14</v>
      </c>
      <c r="I670" s="7">
        <v>0.0</v>
      </c>
      <c r="J670" s="3" t="s">
        <v>72</v>
      </c>
    </row>
    <row r="671">
      <c r="C671" s="3" t="s">
        <v>26</v>
      </c>
      <c r="D671" s="3">
        <v>5093.0</v>
      </c>
      <c r="E671" s="3" t="s">
        <v>166</v>
      </c>
      <c r="F671" s="5">
        <v>46123.43819444445</v>
      </c>
      <c r="G671" s="5">
        <v>46121.75032407408</v>
      </c>
      <c r="H671" s="3" t="s">
        <v>14</v>
      </c>
      <c r="I671" s="7">
        <v>0.0</v>
      </c>
      <c r="J671" s="3" t="s">
        <v>72</v>
      </c>
    </row>
    <row r="672">
      <c r="C672" s="3" t="s">
        <v>10</v>
      </c>
      <c r="D672" s="3">
        <v>5094.0</v>
      </c>
      <c r="E672" s="3" t="s">
        <v>686</v>
      </c>
      <c r="F672" s="5">
        <v>46121.73726851852</v>
      </c>
      <c r="G672" s="5">
        <v>46121.64440972222</v>
      </c>
      <c r="H672" s="3" t="s">
        <v>14</v>
      </c>
      <c r="I672" s="3">
        <v>0.0</v>
      </c>
      <c r="J672" s="3" t="s">
        <v>48</v>
      </c>
    </row>
    <row r="673">
      <c r="C673" s="3" t="s">
        <v>17</v>
      </c>
      <c r="D673" s="3">
        <v>5094.0</v>
      </c>
      <c r="E673" s="3" t="s">
        <v>686</v>
      </c>
      <c r="F673" s="5">
        <v>46121.74421296296</v>
      </c>
      <c r="G673" s="5">
        <v>46121.64496527778</v>
      </c>
      <c r="H673" s="3" t="s">
        <v>14</v>
      </c>
      <c r="I673" s="7">
        <v>0.0</v>
      </c>
      <c r="J673" s="3" t="s">
        <v>48</v>
      </c>
    </row>
    <row r="674">
      <c r="C674" s="3" t="s">
        <v>21</v>
      </c>
      <c r="D674" s="3">
        <v>5094.0</v>
      </c>
      <c r="E674" s="3" t="s">
        <v>686</v>
      </c>
      <c r="F674" s="5">
        <v>46122.45208333333</v>
      </c>
      <c r="G674" s="5">
        <v>46121.64502314815</v>
      </c>
      <c r="H674" s="3" t="s">
        <v>14</v>
      </c>
      <c r="I674" s="7">
        <v>0.0</v>
      </c>
      <c r="J674" s="3" t="s">
        <v>48</v>
      </c>
    </row>
    <row r="675">
      <c r="C675" s="3" t="s">
        <v>24</v>
      </c>
      <c r="D675" s="3">
        <v>5094.0</v>
      </c>
      <c r="E675" s="3" t="s">
        <v>686</v>
      </c>
      <c r="F675" s="5">
        <v>46123.45208333333</v>
      </c>
      <c r="G675" s="5">
        <v>46122.45930555555</v>
      </c>
      <c r="H675" s="3" t="s">
        <v>14</v>
      </c>
      <c r="I675" s="7">
        <v>0.0</v>
      </c>
      <c r="J675" s="3" t="s">
        <v>48</v>
      </c>
    </row>
    <row r="676">
      <c r="C676" s="3" t="s">
        <v>26</v>
      </c>
      <c r="D676" s="3">
        <v>5094.0</v>
      </c>
      <c r="E676" s="3" t="s">
        <v>686</v>
      </c>
      <c r="F676" s="5">
        <v>46123.49375</v>
      </c>
      <c r="G676" s="5">
        <v>46122.459328703706</v>
      </c>
      <c r="H676" s="3" t="s">
        <v>14</v>
      </c>
      <c r="I676" s="7">
        <v>0.0</v>
      </c>
      <c r="J676" s="3" t="s">
        <v>48</v>
      </c>
    </row>
    <row r="677">
      <c r="C677" s="3" t="s">
        <v>10</v>
      </c>
      <c r="D677" s="3">
        <v>5095.0</v>
      </c>
      <c r="E677" s="3" t="s">
        <v>689</v>
      </c>
      <c r="F677" s="5">
        <v>46121.81162037037</v>
      </c>
      <c r="G677" s="5">
        <v>46121.64512731481</v>
      </c>
      <c r="H677" s="3" t="s">
        <v>14</v>
      </c>
      <c r="I677" s="3">
        <v>0.0</v>
      </c>
      <c r="J677" s="3" t="s">
        <v>72</v>
      </c>
    </row>
    <row r="678">
      <c r="C678" s="3" t="s">
        <v>17</v>
      </c>
      <c r="D678" s="3">
        <v>5095.0</v>
      </c>
      <c r="E678" s="3" t="s">
        <v>689</v>
      </c>
      <c r="F678" s="5">
        <v>46121.818564814814</v>
      </c>
      <c r="G678" s="5">
        <v>46121.64517361111</v>
      </c>
      <c r="H678" s="3" t="s">
        <v>14</v>
      </c>
      <c r="I678" s="7">
        <v>0.0</v>
      </c>
      <c r="J678" s="3" t="s">
        <v>72</v>
      </c>
    </row>
    <row r="679">
      <c r="C679" s="3" t="s">
        <v>21</v>
      </c>
      <c r="D679" s="3">
        <v>5095.0</v>
      </c>
      <c r="E679" s="3" t="s">
        <v>689</v>
      </c>
      <c r="F679" s="5">
        <v>46122.52638888889</v>
      </c>
      <c r="G679" s="5">
        <v>46121.64519675926</v>
      </c>
      <c r="H679" s="3" t="s">
        <v>14</v>
      </c>
      <c r="I679" s="7">
        <v>0.0</v>
      </c>
      <c r="J679" s="3" t="s">
        <v>72</v>
      </c>
    </row>
    <row r="680">
      <c r="C680" s="3" t="s">
        <v>24</v>
      </c>
      <c r="D680" s="3">
        <v>5095.0</v>
      </c>
      <c r="E680" s="3" t="s">
        <v>689</v>
      </c>
      <c r="F680" s="5">
        <v>46123.52638888889</v>
      </c>
      <c r="G680" s="5">
        <v>46121.75025462963</v>
      </c>
      <c r="H680" s="3" t="s">
        <v>14</v>
      </c>
      <c r="I680" s="7">
        <v>0.0</v>
      </c>
      <c r="J680" s="3" t="s">
        <v>72</v>
      </c>
    </row>
    <row r="681">
      <c r="C681" s="3" t="s">
        <v>26</v>
      </c>
      <c r="D681" s="3">
        <v>5095.0</v>
      </c>
      <c r="E681" s="3" t="s">
        <v>689</v>
      </c>
      <c r="F681" s="5">
        <v>46123.56805555556</v>
      </c>
      <c r="G681" s="5">
        <v>46122.799421296295</v>
      </c>
      <c r="H681" s="3" t="s">
        <v>14</v>
      </c>
      <c r="I681" s="7">
        <v>0.0</v>
      </c>
      <c r="J681" s="3" t="s">
        <v>72</v>
      </c>
    </row>
    <row r="682">
      <c r="C682" s="3" t="s">
        <v>10</v>
      </c>
      <c r="D682" s="3">
        <v>5096.0</v>
      </c>
      <c r="E682" s="3" t="s">
        <v>694</v>
      </c>
      <c r="F682" s="5">
        <v>46121.81607638889</v>
      </c>
      <c r="G682" s="5">
        <v>46121.69097222222</v>
      </c>
      <c r="H682" s="3" t="s">
        <v>14</v>
      </c>
      <c r="I682" s="3">
        <v>0.0</v>
      </c>
      <c r="J682" s="3" t="s">
        <v>15</v>
      </c>
    </row>
    <row r="683">
      <c r="C683" s="3" t="s">
        <v>17</v>
      </c>
      <c r="D683" s="3">
        <v>5096.0</v>
      </c>
      <c r="E683" s="3" t="s">
        <v>694</v>
      </c>
      <c r="F683" s="5">
        <v>46121.82302083333</v>
      </c>
      <c r="G683" s="5">
        <v>46121.69119212963</v>
      </c>
      <c r="H683" s="3" t="s">
        <v>14</v>
      </c>
      <c r="I683" s="7">
        <v>0.0</v>
      </c>
      <c r="J683" s="3" t="s">
        <v>15</v>
      </c>
    </row>
    <row r="684">
      <c r="C684" s="3" t="s">
        <v>21</v>
      </c>
      <c r="D684" s="3">
        <v>5096.0</v>
      </c>
      <c r="E684" s="3" t="s">
        <v>694</v>
      </c>
      <c r="F684" s="5">
        <v>46122.53125</v>
      </c>
      <c r="G684" s="5">
        <v>46121.693090277775</v>
      </c>
      <c r="H684" s="3" t="s">
        <v>14</v>
      </c>
      <c r="I684" s="7">
        <v>0.0</v>
      </c>
      <c r="J684" s="3" t="s">
        <v>15</v>
      </c>
    </row>
    <row r="685">
      <c r="C685" s="3" t="s">
        <v>24</v>
      </c>
      <c r="D685" s="3">
        <v>5096.0</v>
      </c>
      <c r="E685" s="3" t="s">
        <v>694</v>
      </c>
      <c r="F685" s="5">
        <v>46123.53125</v>
      </c>
      <c r="G685" s="5">
        <v>46121.760625</v>
      </c>
      <c r="H685" s="3" t="s">
        <v>14</v>
      </c>
      <c r="I685" s="7">
        <v>0.0</v>
      </c>
      <c r="J685" s="3" t="s">
        <v>15</v>
      </c>
    </row>
    <row r="686">
      <c r="C686" s="3" t="s">
        <v>26</v>
      </c>
      <c r="D686" s="3">
        <v>5096.0</v>
      </c>
      <c r="E686" s="3" t="s">
        <v>694</v>
      </c>
      <c r="F686" s="5">
        <v>46123.572916666664</v>
      </c>
      <c r="G686" s="5">
        <v>46121.760729166665</v>
      </c>
      <c r="H686" s="3" t="s">
        <v>14</v>
      </c>
      <c r="I686" s="7">
        <v>0.0</v>
      </c>
      <c r="J686" s="3" t="s">
        <v>15</v>
      </c>
    </row>
    <row r="687">
      <c r="C687" s="3" t="s">
        <v>10</v>
      </c>
      <c r="D687" s="3">
        <v>5097.0</v>
      </c>
      <c r="E687" s="3" t="s">
        <v>699</v>
      </c>
      <c r="F687" s="5">
        <v>46122.74356481482</v>
      </c>
      <c r="G687" s="5">
        <v>46122.60765046296</v>
      </c>
      <c r="H687" s="3" t="s">
        <v>14</v>
      </c>
      <c r="I687" s="3">
        <v>0.0</v>
      </c>
      <c r="J687" s="3" t="s">
        <v>61</v>
      </c>
    </row>
    <row r="688">
      <c r="C688" s="3" t="s">
        <v>17</v>
      </c>
      <c r="D688" s="3">
        <v>5097.0</v>
      </c>
      <c r="E688" s="3" t="s">
        <v>699</v>
      </c>
      <c r="F688" s="5">
        <v>46122.75050925926</v>
      </c>
      <c r="G688" s="5">
        <v>46122.607939814814</v>
      </c>
      <c r="H688" s="3" t="s">
        <v>14</v>
      </c>
      <c r="I688" s="7">
        <v>0.0</v>
      </c>
      <c r="J688" s="3" t="s">
        <v>61</v>
      </c>
    </row>
    <row r="689">
      <c r="C689" s="3" t="s">
        <v>21</v>
      </c>
      <c r="D689" s="3">
        <v>5097.0</v>
      </c>
      <c r="E689" s="3" t="s">
        <v>699</v>
      </c>
      <c r="F689" s="5">
        <v>46123.416666666664</v>
      </c>
      <c r="G689" s="5">
        <v>46122.63407407407</v>
      </c>
      <c r="H689" s="3" t="s">
        <v>14</v>
      </c>
      <c r="I689" s="7">
        <v>0.0</v>
      </c>
      <c r="J689" s="3" t="s">
        <v>61</v>
      </c>
    </row>
    <row r="690">
      <c r="C690" s="3" t="s">
        <v>24</v>
      </c>
      <c r="D690" s="3">
        <v>5097.0</v>
      </c>
      <c r="E690" s="3" t="s">
        <v>699</v>
      </c>
      <c r="F690" s="5">
        <v>46125.416666666664</v>
      </c>
      <c r="G690" s="5">
        <v>46122.634351851855</v>
      </c>
      <c r="H690" s="3" t="s">
        <v>14</v>
      </c>
      <c r="I690" s="7">
        <v>0.0</v>
      </c>
      <c r="J690" s="3" t="s">
        <v>61</v>
      </c>
    </row>
    <row r="691">
      <c r="C691" s="3" t="s">
        <v>26</v>
      </c>
      <c r="D691" s="3">
        <v>5097.0</v>
      </c>
      <c r="E691" s="3" t="s">
        <v>699</v>
      </c>
      <c r="F691" s="5">
        <v>46125.458333333336</v>
      </c>
      <c r="G691" s="5">
        <v>46122.63443287037</v>
      </c>
      <c r="H691" s="3" t="s">
        <v>14</v>
      </c>
      <c r="I691" s="7">
        <v>0.0</v>
      </c>
      <c r="J691" s="3" t="s">
        <v>61</v>
      </c>
    </row>
    <row r="692">
      <c r="C692" s="3" t="s">
        <v>10</v>
      </c>
      <c r="D692" s="3">
        <v>5098.0</v>
      </c>
      <c r="E692" s="3" t="s">
        <v>705</v>
      </c>
      <c r="F692" s="5">
        <v>46126.44375</v>
      </c>
      <c r="G692" s="5">
        <v>46125.718773148146</v>
      </c>
      <c r="H692" s="3" t="s">
        <v>14</v>
      </c>
      <c r="I692" s="3">
        <v>0.0</v>
      </c>
      <c r="J692" s="3" t="s">
        <v>15</v>
      </c>
    </row>
    <row r="693">
      <c r="C693" s="3" t="s">
        <v>17</v>
      </c>
      <c r="D693" s="3">
        <v>5098.0</v>
      </c>
      <c r="E693" s="3" t="s">
        <v>705</v>
      </c>
      <c r="F693" s="5">
        <v>46126.450694444444</v>
      </c>
      <c r="G693" s="5">
        <v>46125.71896990741</v>
      </c>
      <c r="H693" s="3" t="s">
        <v>14</v>
      </c>
      <c r="I693" s="7">
        <v>0.0</v>
      </c>
      <c r="J693" s="3" t="s">
        <v>15</v>
      </c>
    </row>
    <row r="694">
      <c r="C694" s="3" t="s">
        <v>21</v>
      </c>
      <c r="D694" s="3">
        <v>5098.0</v>
      </c>
      <c r="E694" s="3" t="s">
        <v>705</v>
      </c>
      <c r="F694" s="5">
        <v>46126.55486111111</v>
      </c>
      <c r="G694" s="5">
        <v>46125.7190625</v>
      </c>
      <c r="H694" s="3" t="s">
        <v>14</v>
      </c>
      <c r="I694" s="7">
        <v>0.0</v>
      </c>
      <c r="J694" s="3" t="s">
        <v>15</v>
      </c>
    </row>
    <row r="695">
      <c r="C695" s="3" t="s">
        <v>24</v>
      </c>
      <c r="D695" s="3">
        <v>5098.0</v>
      </c>
      <c r="E695" s="3" t="s">
        <v>705</v>
      </c>
      <c r="F695" s="5">
        <v>46127.55486111111</v>
      </c>
      <c r="G695" s="5">
        <v>46125.71915509259</v>
      </c>
      <c r="H695" s="3" t="s">
        <v>14</v>
      </c>
      <c r="I695" s="7">
        <v>0.0</v>
      </c>
      <c r="J695" s="3" t="s">
        <v>15</v>
      </c>
    </row>
    <row r="696">
      <c r="C696" s="3" t="s">
        <v>26</v>
      </c>
      <c r="D696" s="3">
        <v>5098.0</v>
      </c>
      <c r="E696" s="3" t="s">
        <v>705</v>
      </c>
      <c r="F696" s="5">
        <v>46127.59652777778</v>
      </c>
      <c r="G696" s="5">
        <v>46125.73241898148</v>
      </c>
      <c r="H696" s="3" t="s">
        <v>14</v>
      </c>
      <c r="I696" s="7">
        <v>0.0</v>
      </c>
      <c r="J696" s="3" t="s">
        <v>15</v>
      </c>
    </row>
    <row r="697">
      <c r="C697" s="3" t="s">
        <v>10</v>
      </c>
      <c r="D697" s="3">
        <v>5099.0</v>
      </c>
      <c r="E697" s="3" t="s">
        <v>523</v>
      </c>
      <c r="F697" s="5">
        <v>46126.444444444445</v>
      </c>
      <c r="G697" s="5">
        <v>46125.7187962963</v>
      </c>
      <c r="H697" s="3" t="s">
        <v>14</v>
      </c>
      <c r="I697" s="3">
        <v>0.0</v>
      </c>
      <c r="J697" s="3" t="s">
        <v>15</v>
      </c>
    </row>
    <row r="698">
      <c r="C698" s="3" t="s">
        <v>17</v>
      </c>
      <c r="D698" s="3">
        <v>5099.0</v>
      </c>
      <c r="E698" s="3" t="s">
        <v>523</v>
      </c>
      <c r="F698" s="5">
        <v>46126.45138888889</v>
      </c>
      <c r="G698" s="5">
        <v>46125.71900462963</v>
      </c>
      <c r="H698" s="3" t="s">
        <v>14</v>
      </c>
      <c r="I698" s="7">
        <v>0.0</v>
      </c>
      <c r="J698" s="3" t="s">
        <v>15</v>
      </c>
    </row>
    <row r="699">
      <c r="C699" s="3" t="s">
        <v>21</v>
      </c>
      <c r="D699" s="3">
        <v>5099.0</v>
      </c>
      <c r="E699" s="3" t="s">
        <v>523</v>
      </c>
      <c r="F699" s="5">
        <v>46126.555555555555</v>
      </c>
      <c r="G699" s="5">
        <v>46125.71908564815</v>
      </c>
      <c r="H699" s="3" t="s">
        <v>14</v>
      </c>
      <c r="I699" s="7">
        <v>0.0</v>
      </c>
      <c r="J699" s="3" t="s">
        <v>15</v>
      </c>
    </row>
    <row r="700">
      <c r="C700" s="3" t="s">
        <v>24</v>
      </c>
      <c r="D700" s="3">
        <v>5099.0</v>
      </c>
      <c r="E700" s="3" t="s">
        <v>523</v>
      </c>
      <c r="F700" s="5">
        <v>46127.555555555555</v>
      </c>
      <c r="G700" s="5">
        <v>46125.71916666667</v>
      </c>
      <c r="H700" s="3" t="s">
        <v>14</v>
      </c>
      <c r="I700" s="7">
        <v>0.0</v>
      </c>
      <c r="J700" s="3" t="s">
        <v>15</v>
      </c>
    </row>
    <row r="701">
      <c r="C701" s="3" t="s">
        <v>26</v>
      </c>
      <c r="D701" s="3">
        <v>5099.0</v>
      </c>
      <c r="E701" s="3" t="s">
        <v>523</v>
      </c>
      <c r="F701" s="5">
        <v>46127.59722222222</v>
      </c>
      <c r="G701" s="5">
        <v>46125.73243055555</v>
      </c>
      <c r="H701" s="3" t="s">
        <v>14</v>
      </c>
      <c r="I701" s="7">
        <v>0.0</v>
      </c>
      <c r="J701" s="3" t="s">
        <v>15</v>
      </c>
    </row>
    <row r="702">
      <c r="C702" s="3" t="s">
        <v>10</v>
      </c>
      <c r="D702" s="3">
        <v>5100.0</v>
      </c>
      <c r="E702" s="3" t="s">
        <v>713</v>
      </c>
      <c r="F702" s="5">
        <v>46127.43472222222</v>
      </c>
      <c r="G702" s="5">
        <v>46126.780856481484</v>
      </c>
      <c r="H702" s="3" t="s">
        <v>14</v>
      </c>
      <c r="I702" s="3">
        <v>0.0</v>
      </c>
      <c r="J702" s="3" t="s">
        <v>15</v>
      </c>
    </row>
    <row r="703">
      <c r="C703" s="3" t="s">
        <v>17</v>
      </c>
      <c r="D703" s="3">
        <v>5100.0</v>
      </c>
      <c r="E703" s="3" t="s">
        <v>713</v>
      </c>
      <c r="F703" s="5">
        <v>46127.441666666666</v>
      </c>
      <c r="G703" s="5">
        <v>46126.78159722222</v>
      </c>
      <c r="H703" s="3" t="s">
        <v>14</v>
      </c>
      <c r="I703" s="7">
        <v>0.0</v>
      </c>
      <c r="J703" s="3" t="s">
        <v>15</v>
      </c>
    </row>
    <row r="704">
      <c r="C704" s="3" t="s">
        <v>21</v>
      </c>
      <c r="D704" s="3">
        <v>5100.0</v>
      </c>
      <c r="E704" s="3" t="s">
        <v>713</v>
      </c>
      <c r="F704" s="5">
        <v>46127.54583333333</v>
      </c>
      <c r="G704" s="5">
        <v>46126.78162037037</v>
      </c>
      <c r="H704" s="3" t="s">
        <v>14</v>
      </c>
      <c r="I704" s="7">
        <v>0.0</v>
      </c>
      <c r="J704" s="3" t="s">
        <v>15</v>
      </c>
    </row>
    <row r="705">
      <c r="C705" s="3" t="s">
        <v>24</v>
      </c>
      <c r="D705" s="3">
        <v>5100.0</v>
      </c>
      <c r="E705" s="3" t="s">
        <v>713</v>
      </c>
      <c r="F705" s="5">
        <v>46128.54583333333</v>
      </c>
      <c r="G705" s="5">
        <v>46126.78282407407</v>
      </c>
      <c r="H705" s="3" t="s">
        <v>14</v>
      </c>
      <c r="I705" s="7">
        <v>0.0</v>
      </c>
      <c r="J705" s="3" t="s">
        <v>15</v>
      </c>
    </row>
    <row r="706">
      <c r="C706" s="3" t="s">
        <v>26</v>
      </c>
      <c r="D706" s="3">
        <v>5100.0</v>
      </c>
      <c r="E706" s="3" t="s">
        <v>713</v>
      </c>
      <c r="F706" s="5">
        <v>46128.5875</v>
      </c>
      <c r="G706" s="5">
        <v>46127.42806712963</v>
      </c>
      <c r="H706" s="3" t="s">
        <v>14</v>
      </c>
      <c r="I706" s="7">
        <v>0.0</v>
      </c>
      <c r="J706" s="3" t="s">
        <v>15</v>
      </c>
    </row>
    <row r="707">
      <c r="C707" s="3" t="s">
        <v>10</v>
      </c>
      <c r="D707" s="3">
        <v>5101.0</v>
      </c>
      <c r="E707" s="3" t="s">
        <v>718</v>
      </c>
      <c r="F707" s="5">
        <v>46127.72888888889</v>
      </c>
      <c r="G707" s="5">
        <v>46127.61640046296</v>
      </c>
      <c r="H707" s="3" t="s">
        <v>14</v>
      </c>
      <c r="I707" s="3">
        <v>0.0</v>
      </c>
      <c r="J707" s="3" t="s">
        <v>61</v>
      </c>
    </row>
    <row r="708">
      <c r="C708" s="3" t="s">
        <v>17</v>
      </c>
      <c r="D708" s="3">
        <v>5101.0</v>
      </c>
      <c r="E708" s="3" t="s">
        <v>718</v>
      </c>
      <c r="F708" s="5">
        <v>46127.73583333333</v>
      </c>
      <c r="G708" s="5">
        <v>46127.61650462963</v>
      </c>
      <c r="H708" s="3" t="s">
        <v>14</v>
      </c>
      <c r="I708" s="7">
        <v>0.0</v>
      </c>
      <c r="J708" s="3" t="s">
        <v>61</v>
      </c>
    </row>
    <row r="709">
      <c r="C709" s="3" t="s">
        <v>21</v>
      </c>
      <c r="D709" s="3">
        <v>5101.0</v>
      </c>
      <c r="E709" s="3" t="s">
        <v>718</v>
      </c>
      <c r="F709" s="5">
        <v>46128.44375</v>
      </c>
      <c r="G709" s="5">
        <v>46127.61659722222</v>
      </c>
      <c r="H709" s="3" t="s">
        <v>14</v>
      </c>
      <c r="I709" s="7">
        <v>0.0</v>
      </c>
      <c r="J709" s="3" t="s">
        <v>61</v>
      </c>
    </row>
    <row r="710">
      <c r="C710" s="3" t="s">
        <v>24</v>
      </c>
      <c r="D710" s="3">
        <v>5101.0</v>
      </c>
      <c r="E710" s="3" t="s">
        <v>718</v>
      </c>
      <c r="F710" s="5">
        <v>46129.44375</v>
      </c>
      <c r="G710" s="5">
        <v>46128.51648148148</v>
      </c>
      <c r="H710" s="3" t="s">
        <v>14</v>
      </c>
      <c r="I710" s="7">
        <v>0.0</v>
      </c>
      <c r="J710" s="3" t="s">
        <v>61</v>
      </c>
    </row>
    <row r="711">
      <c r="C711" s="3" t="s">
        <v>26</v>
      </c>
      <c r="D711" s="3">
        <v>5101.0</v>
      </c>
      <c r="E711" s="3" t="s">
        <v>718</v>
      </c>
      <c r="F711" s="5">
        <v>46129.48541666667</v>
      </c>
      <c r="G711" s="5">
        <v>46128.5165162037</v>
      </c>
      <c r="H711" s="3" t="s">
        <v>14</v>
      </c>
      <c r="I711" s="7">
        <v>0.0</v>
      </c>
      <c r="J711" s="3" t="s">
        <v>61</v>
      </c>
    </row>
    <row r="712">
      <c r="C712" s="3" t="s">
        <v>10</v>
      </c>
      <c r="D712" s="3">
        <v>5102.0</v>
      </c>
      <c r="E712" s="3" t="s">
        <v>723</v>
      </c>
      <c r="F712" s="5">
        <v>46128.650868055556</v>
      </c>
      <c r="G712" s="5">
        <v>46128.49355324074</v>
      </c>
      <c r="H712" s="3" t="s">
        <v>14</v>
      </c>
      <c r="I712" s="3">
        <v>0.0</v>
      </c>
      <c r="J712" s="3" t="s">
        <v>15</v>
      </c>
    </row>
    <row r="713">
      <c r="C713" s="3" t="s">
        <v>17</v>
      </c>
      <c r="D713" s="3">
        <v>5102.0</v>
      </c>
      <c r="E713" s="3" t="s">
        <v>723</v>
      </c>
      <c r="F713" s="5">
        <v>46128.6578125</v>
      </c>
      <c r="G713" s="5">
        <v>46128.49606481481</v>
      </c>
      <c r="H713" s="3" t="s">
        <v>14</v>
      </c>
      <c r="I713" s="7">
        <v>0.0</v>
      </c>
      <c r="J713" s="3" t="s">
        <v>15</v>
      </c>
    </row>
    <row r="714">
      <c r="C714" s="3" t="s">
        <v>21</v>
      </c>
      <c r="D714" s="3">
        <v>5102.0</v>
      </c>
      <c r="E714" s="3" t="s">
        <v>723</v>
      </c>
      <c r="F714" s="5">
        <v>46128.761979166666</v>
      </c>
      <c r="G714" s="5">
        <v>46128.51636574074</v>
      </c>
      <c r="H714" s="3" t="s">
        <v>14</v>
      </c>
      <c r="I714" s="7">
        <v>0.0</v>
      </c>
      <c r="J714" s="3" t="s">
        <v>15</v>
      </c>
    </row>
    <row r="715">
      <c r="C715" s="3" t="s">
        <v>24</v>
      </c>
      <c r="D715" s="3">
        <v>5102.0</v>
      </c>
      <c r="E715" s="3" t="s">
        <v>723</v>
      </c>
      <c r="F715" s="5">
        <v>46129.76180555556</v>
      </c>
      <c r="G715" s="5">
        <v>46129.438425925924</v>
      </c>
      <c r="H715" s="3" t="s">
        <v>14</v>
      </c>
      <c r="I715" s="7">
        <v>0.0</v>
      </c>
      <c r="J715" s="3" t="s">
        <v>15</v>
      </c>
    </row>
    <row r="716">
      <c r="C716" s="3" t="s">
        <v>26</v>
      </c>
      <c r="D716" s="3">
        <v>5102.0</v>
      </c>
      <c r="E716" s="3" t="s">
        <v>723</v>
      </c>
      <c r="F716" s="5">
        <v>46129.80347222222</v>
      </c>
      <c r="G716" s="5">
        <v>46129.438472222224</v>
      </c>
      <c r="H716" s="3" t="s">
        <v>14</v>
      </c>
      <c r="I716" s="7">
        <v>0.0</v>
      </c>
      <c r="J716" s="3" t="s">
        <v>15</v>
      </c>
    </row>
    <row r="717">
      <c r="C717" s="3" t="s">
        <v>10</v>
      </c>
      <c r="D717" s="3">
        <v>5103.0</v>
      </c>
      <c r="E717" s="3" t="s">
        <v>727</v>
      </c>
      <c r="F717" s="5">
        <v>46128.66913194444</v>
      </c>
      <c r="G717" s="5">
        <v>46128.51625</v>
      </c>
      <c r="H717" s="3" t="s">
        <v>14</v>
      </c>
      <c r="I717" s="3">
        <v>0.0</v>
      </c>
      <c r="J717" s="3" t="s">
        <v>15</v>
      </c>
    </row>
    <row r="718">
      <c r="C718" s="3" t="s">
        <v>17</v>
      </c>
      <c r="D718" s="3">
        <v>5103.0</v>
      </c>
      <c r="E718" s="3" t="s">
        <v>727</v>
      </c>
      <c r="F718" s="5">
        <v>46128.67607638889</v>
      </c>
      <c r="G718" s="5">
        <v>46128.51629629629</v>
      </c>
      <c r="H718" s="3" t="s">
        <v>14</v>
      </c>
      <c r="I718" s="7">
        <v>0.0</v>
      </c>
      <c r="J718" s="3" t="s">
        <v>15</v>
      </c>
    </row>
    <row r="719">
      <c r="C719" s="3" t="s">
        <v>21</v>
      </c>
      <c r="D719" s="3">
        <v>5103.0</v>
      </c>
      <c r="E719" s="3" t="s">
        <v>727</v>
      </c>
      <c r="F719" s="5">
        <v>46128.78024305555</v>
      </c>
      <c r="G719" s="5">
        <v>46128.51634259259</v>
      </c>
      <c r="H719" s="3" t="s">
        <v>14</v>
      </c>
      <c r="I719" s="7">
        <v>0.0</v>
      </c>
      <c r="J719" s="3" t="s">
        <v>15</v>
      </c>
    </row>
    <row r="720">
      <c r="C720" s="3" t="s">
        <v>24</v>
      </c>
      <c r="D720" s="3">
        <v>5103.0</v>
      </c>
      <c r="E720" s="3" t="s">
        <v>727</v>
      </c>
      <c r="F720" s="5">
        <v>46129.779861111114</v>
      </c>
      <c r="G720" s="5">
        <v>46128.600590277776</v>
      </c>
      <c r="H720" s="3" t="s">
        <v>14</v>
      </c>
      <c r="I720" s="7">
        <v>0.0</v>
      </c>
      <c r="J720" s="3" t="s">
        <v>15</v>
      </c>
    </row>
    <row r="721">
      <c r="C721" s="3" t="s">
        <v>26</v>
      </c>
      <c r="D721" s="3">
        <v>5103.0</v>
      </c>
      <c r="E721" s="3" t="s">
        <v>727</v>
      </c>
      <c r="F721" s="5">
        <v>46129.82152777778</v>
      </c>
      <c r="G721" s="5">
        <v>46128.60071759259</v>
      </c>
      <c r="H721" s="3" t="s">
        <v>14</v>
      </c>
      <c r="I721" s="7">
        <v>0.0</v>
      </c>
      <c r="J721" s="3" t="s">
        <v>15</v>
      </c>
    </row>
    <row r="722">
      <c r="C722" s="3" t="s">
        <v>10</v>
      </c>
      <c r="D722" s="3">
        <v>5104.0</v>
      </c>
      <c r="E722" s="3" t="s">
        <v>166</v>
      </c>
      <c r="F722" s="5">
        <v>46128.82233796296</v>
      </c>
      <c r="G722" s="5">
        <v>46128.69164351852</v>
      </c>
      <c r="H722" s="3" t="s">
        <v>14</v>
      </c>
      <c r="I722" s="3">
        <v>0.0</v>
      </c>
      <c r="J722" s="3" t="s">
        <v>15</v>
      </c>
    </row>
    <row r="723">
      <c r="C723" s="3" t="s">
        <v>17</v>
      </c>
      <c r="D723" s="3">
        <v>5104.0</v>
      </c>
      <c r="E723" s="3" t="s">
        <v>166</v>
      </c>
      <c r="F723" s="5">
        <v>46128.82928240741</v>
      </c>
      <c r="G723" s="5">
        <v>46128.691979166666</v>
      </c>
      <c r="H723" s="3" t="s">
        <v>14</v>
      </c>
      <c r="I723" s="7">
        <v>0.0</v>
      </c>
      <c r="J723" s="3" t="s">
        <v>15</v>
      </c>
    </row>
    <row r="724">
      <c r="C724" s="3" t="s">
        <v>21</v>
      </c>
      <c r="D724" s="3">
        <v>5104.0</v>
      </c>
      <c r="E724" s="3" t="s">
        <v>166</v>
      </c>
      <c r="F724" s="5">
        <v>46129.5375</v>
      </c>
      <c r="G724" s="5">
        <v>46129.43884259259</v>
      </c>
      <c r="H724" s="3" t="s">
        <v>14</v>
      </c>
      <c r="I724" s="7">
        <v>0.0</v>
      </c>
      <c r="J724" s="3" t="s">
        <v>15</v>
      </c>
    </row>
    <row r="725">
      <c r="C725" s="3" t="s">
        <v>24</v>
      </c>
      <c r="D725" s="3">
        <v>5104.0</v>
      </c>
      <c r="E725" s="3" t="s">
        <v>166</v>
      </c>
      <c r="F725" s="5">
        <v>46130.5375</v>
      </c>
      <c r="G725" s="5">
        <v>46129.600590277776</v>
      </c>
      <c r="H725" s="3" t="s">
        <v>14</v>
      </c>
      <c r="I725" s="7">
        <v>0.0</v>
      </c>
      <c r="J725" s="3" t="s">
        <v>15</v>
      </c>
    </row>
    <row r="726">
      <c r="C726" s="3" t="s">
        <v>26</v>
      </c>
      <c r="D726" s="3">
        <v>5104.0</v>
      </c>
      <c r="E726" s="3" t="s">
        <v>166</v>
      </c>
      <c r="F726" s="5">
        <v>46130.57916666667</v>
      </c>
      <c r="G726" s="5">
        <v>46129.526400462964</v>
      </c>
      <c r="H726" s="3" t="s">
        <v>14</v>
      </c>
      <c r="I726" s="7">
        <v>0.0</v>
      </c>
      <c r="J726" s="3" t="s">
        <v>15</v>
      </c>
    </row>
    <row r="727">
      <c r="C727" s="3" t="s">
        <v>10</v>
      </c>
      <c r="D727" s="3">
        <v>5105.0</v>
      </c>
      <c r="E727" s="3" t="s">
        <v>694</v>
      </c>
      <c r="F727" s="5">
        <v>46129.63959490741</v>
      </c>
      <c r="G727" s="5">
        <v>46129.51047453703</v>
      </c>
      <c r="H727" s="3" t="s">
        <v>14</v>
      </c>
      <c r="I727" s="3">
        <v>0.0</v>
      </c>
      <c r="J727" s="3" t="s">
        <v>72</v>
      </c>
    </row>
    <row r="728">
      <c r="C728" s="3" t="s">
        <v>17</v>
      </c>
      <c r="D728" s="3">
        <v>5105.0</v>
      </c>
      <c r="E728" s="3" t="s">
        <v>694</v>
      </c>
      <c r="F728" s="5">
        <v>46129.64653935185</v>
      </c>
      <c r="G728" s="5">
        <v>46129.51064814815</v>
      </c>
      <c r="H728" s="3" t="s">
        <v>14</v>
      </c>
      <c r="I728" s="7">
        <v>0.0</v>
      </c>
      <c r="J728" s="3" t="s">
        <v>72</v>
      </c>
    </row>
    <row r="729">
      <c r="C729" s="3" t="s">
        <v>21</v>
      </c>
      <c r="D729" s="3">
        <v>5105.0</v>
      </c>
      <c r="E729" s="3" t="s">
        <v>694</v>
      </c>
      <c r="F729" s="5">
        <v>46129.750706018516</v>
      </c>
      <c r="G729" s="5">
        <v>46129.51068287037</v>
      </c>
      <c r="H729" s="3" t="s">
        <v>14</v>
      </c>
      <c r="I729" s="7">
        <v>0.0</v>
      </c>
      <c r="J729" s="3" t="s">
        <v>72</v>
      </c>
    </row>
    <row r="730">
      <c r="C730" s="3" t="s">
        <v>24</v>
      </c>
      <c r="D730" s="3">
        <v>5105.0</v>
      </c>
      <c r="E730" s="3" t="s">
        <v>694</v>
      </c>
      <c r="F730" s="5">
        <v>46130.75069444445</v>
      </c>
      <c r="G730" s="5">
        <v>46129.678090277775</v>
      </c>
      <c r="H730" s="3" t="s">
        <v>14</v>
      </c>
      <c r="I730" s="7">
        <v>0.0</v>
      </c>
      <c r="J730" s="3" t="s">
        <v>72</v>
      </c>
    </row>
    <row r="731">
      <c r="C731" s="3" t="s">
        <v>26</v>
      </c>
      <c r="D731" s="3">
        <v>5105.0</v>
      </c>
      <c r="E731" s="3" t="s">
        <v>694</v>
      </c>
      <c r="F731" s="5">
        <v>46130.79236111111</v>
      </c>
      <c r="G731" s="5">
        <v>46129.678460648145</v>
      </c>
      <c r="H731" s="3" t="s">
        <v>14</v>
      </c>
      <c r="I731" s="7">
        <v>0.0</v>
      </c>
      <c r="J731" s="3" t="s">
        <v>72</v>
      </c>
    </row>
    <row r="732">
      <c r="C732" s="3" t="s">
        <v>10</v>
      </c>
      <c r="D732" s="3">
        <v>5106.0</v>
      </c>
      <c r="E732" s="3" t="s">
        <v>734</v>
      </c>
      <c r="F732" s="5">
        <v>46129.739224537036</v>
      </c>
      <c r="G732" s="5">
        <v>46129.6062962963</v>
      </c>
      <c r="H732" s="3" t="s">
        <v>14</v>
      </c>
      <c r="I732" s="3">
        <v>0.0</v>
      </c>
      <c r="J732" s="3" t="s">
        <v>72</v>
      </c>
    </row>
    <row r="733">
      <c r="C733" s="3" t="s">
        <v>17</v>
      </c>
      <c r="D733" s="3">
        <v>5106.0</v>
      </c>
      <c r="E733" s="3" t="s">
        <v>734</v>
      </c>
      <c r="F733" s="5">
        <v>46129.74616898148</v>
      </c>
      <c r="G733" s="5">
        <v>46129.606400462966</v>
      </c>
      <c r="H733" s="3" t="s">
        <v>14</v>
      </c>
      <c r="I733" s="7">
        <v>0.0</v>
      </c>
      <c r="J733" s="3" t="s">
        <v>72</v>
      </c>
    </row>
    <row r="734">
      <c r="C734" s="3" t="s">
        <v>21</v>
      </c>
      <c r="D734" s="3">
        <v>5106.0</v>
      </c>
      <c r="E734" s="3" t="s">
        <v>734</v>
      </c>
      <c r="F734" s="5">
        <v>46130.45416666667</v>
      </c>
      <c r="G734" s="5">
        <v>46129.60649305556</v>
      </c>
      <c r="H734" s="3" t="s">
        <v>14</v>
      </c>
      <c r="I734" s="7">
        <v>0.0</v>
      </c>
      <c r="J734" s="3" t="s">
        <v>72</v>
      </c>
    </row>
    <row r="735">
      <c r="C735" s="3" t="s">
        <v>24</v>
      </c>
      <c r="D735" s="3">
        <v>5106.0</v>
      </c>
      <c r="E735" s="3" t="s">
        <v>734</v>
      </c>
      <c r="F735" s="5">
        <v>46132.45416666667</v>
      </c>
      <c r="G735" s="5">
        <v>46132.42704861111</v>
      </c>
      <c r="H735" s="3" t="s">
        <v>14</v>
      </c>
      <c r="I735" s="7">
        <v>0.0</v>
      </c>
      <c r="J735" s="3" t="s">
        <v>72</v>
      </c>
    </row>
    <row r="736">
      <c r="C736" s="3" t="s">
        <v>26</v>
      </c>
      <c r="D736" s="3">
        <v>5106.0</v>
      </c>
      <c r="E736" s="3" t="s">
        <v>734</v>
      </c>
      <c r="F736" s="5">
        <v>46132.495833333334</v>
      </c>
      <c r="G736" s="5">
        <v>46132.48034722222</v>
      </c>
      <c r="H736" s="3" t="s">
        <v>14</v>
      </c>
      <c r="I736" s="7">
        <v>0.0</v>
      </c>
      <c r="J736" s="3" t="s">
        <v>72</v>
      </c>
    </row>
    <row r="737">
      <c r="C737" s="3" t="s">
        <v>10</v>
      </c>
      <c r="D737" s="3">
        <v>5107.0</v>
      </c>
      <c r="E737" s="3" t="s">
        <v>736</v>
      </c>
      <c r="F737" s="5">
        <v>46129.74135416667</v>
      </c>
      <c r="G737" s="5">
        <v>46129.606307870374</v>
      </c>
      <c r="H737" s="3" t="s">
        <v>14</v>
      </c>
      <c r="I737" s="3">
        <v>0.0</v>
      </c>
      <c r="J737" s="3" t="s">
        <v>72</v>
      </c>
    </row>
    <row r="738">
      <c r="C738" s="3" t="s">
        <v>17</v>
      </c>
      <c r="D738" s="3">
        <v>5107.0</v>
      </c>
      <c r="E738" s="3" t="s">
        <v>736</v>
      </c>
      <c r="F738" s="5">
        <v>46129.74829861111</v>
      </c>
      <c r="G738" s="5">
        <v>46129.60637731481</v>
      </c>
      <c r="H738" s="3" t="s">
        <v>14</v>
      </c>
      <c r="I738" s="7">
        <v>0.0</v>
      </c>
      <c r="J738" s="3" t="s">
        <v>72</v>
      </c>
    </row>
    <row r="739">
      <c r="C739" s="3" t="s">
        <v>21</v>
      </c>
      <c r="D739" s="3">
        <v>5107.0</v>
      </c>
      <c r="E739" s="3" t="s">
        <v>736</v>
      </c>
      <c r="F739" s="5">
        <v>46130.45625</v>
      </c>
      <c r="G739" s="5">
        <v>46129.60650462963</v>
      </c>
      <c r="H739" s="3" t="s">
        <v>14</v>
      </c>
      <c r="I739" s="7">
        <v>0.0</v>
      </c>
      <c r="J739" s="3" t="s">
        <v>72</v>
      </c>
    </row>
    <row r="740">
      <c r="C740" s="3" t="s">
        <v>24</v>
      </c>
      <c r="D740" s="3">
        <v>5107.0</v>
      </c>
      <c r="E740" s="3" t="s">
        <v>736</v>
      </c>
      <c r="F740" s="5">
        <v>46132.45625</v>
      </c>
      <c r="G740" s="5">
        <v>46132.427083333336</v>
      </c>
      <c r="H740" s="3" t="s">
        <v>14</v>
      </c>
      <c r="I740" s="7">
        <v>0.0</v>
      </c>
      <c r="J740" s="3" t="s">
        <v>72</v>
      </c>
    </row>
    <row r="741">
      <c r="C741" s="3" t="s">
        <v>26</v>
      </c>
      <c r="D741" s="3">
        <v>5107.0</v>
      </c>
      <c r="E741" s="3" t="s">
        <v>736</v>
      </c>
      <c r="F741" s="5">
        <v>46132.49791666667</v>
      </c>
      <c r="G741" s="5">
        <v>46132.480358796296</v>
      </c>
      <c r="H741" s="3" t="s">
        <v>14</v>
      </c>
      <c r="I741" s="7">
        <v>0.0</v>
      </c>
      <c r="J741" s="3" t="s">
        <v>72</v>
      </c>
    </row>
    <row r="742">
      <c r="C742" s="3" t="s">
        <v>10</v>
      </c>
      <c r="D742" s="3">
        <v>5108.0</v>
      </c>
      <c r="E742" s="3" t="s">
        <v>740</v>
      </c>
      <c r="F742" s="5">
        <v>46132.69259259259</v>
      </c>
      <c r="G742" s="5">
        <v>46132.627962962964</v>
      </c>
      <c r="H742" s="3" t="s">
        <v>14</v>
      </c>
      <c r="I742" s="3">
        <v>0.0</v>
      </c>
      <c r="J742" s="3" t="s">
        <v>48</v>
      </c>
    </row>
    <row r="743">
      <c r="C743" s="3" t="s">
        <v>17</v>
      </c>
      <c r="D743" s="3">
        <v>5108.0</v>
      </c>
      <c r="E743" s="3" t="s">
        <v>740</v>
      </c>
      <c r="F743" s="5">
        <v>46132.699537037035</v>
      </c>
      <c r="G743" s="5">
        <v>46132.6280787037</v>
      </c>
      <c r="H743" s="3" t="s">
        <v>14</v>
      </c>
      <c r="I743" s="7">
        <v>0.0</v>
      </c>
      <c r="J743" s="3" t="s">
        <v>48</v>
      </c>
    </row>
    <row r="744">
      <c r="C744" s="3" t="s">
        <v>21</v>
      </c>
      <c r="D744" s="3">
        <v>5108.0</v>
      </c>
      <c r="E744" s="3" t="s">
        <v>740</v>
      </c>
      <c r="F744" s="5">
        <v>46132.80370370371</v>
      </c>
      <c r="G744" s="5">
        <v>46132.62813657407</v>
      </c>
      <c r="H744" s="3" t="s">
        <v>14</v>
      </c>
      <c r="I744" s="7">
        <v>0.0</v>
      </c>
      <c r="J744" s="3" t="s">
        <v>48</v>
      </c>
    </row>
    <row r="745">
      <c r="C745" s="3" t="s">
        <v>24</v>
      </c>
      <c r="D745" s="3">
        <v>5108.0</v>
      </c>
      <c r="E745" s="3" t="s">
        <v>740</v>
      </c>
      <c r="F745" s="5">
        <v>46133.80347222222</v>
      </c>
      <c r="G745" s="5">
        <v>46132.83259259259</v>
      </c>
      <c r="H745" s="3" t="s">
        <v>14</v>
      </c>
      <c r="I745" s="7">
        <v>0.0</v>
      </c>
      <c r="J745" s="3" t="s">
        <v>48</v>
      </c>
    </row>
    <row r="746">
      <c r="C746" s="3" t="s">
        <v>26</v>
      </c>
      <c r="D746" s="3">
        <v>5108.0</v>
      </c>
      <c r="E746" s="3" t="s">
        <v>740</v>
      </c>
      <c r="F746" s="5">
        <v>46134.42847222222</v>
      </c>
      <c r="G746" s="5">
        <v>46133.4621412037</v>
      </c>
      <c r="H746" s="3" t="s">
        <v>14</v>
      </c>
      <c r="I746" s="7">
        <v>0.0</v>
      </c>
      <c r="J746" s="3" t="s">
        <v>48</v>
      </c>
    </row>
    <row r="747">
      <c r="C747" s="3" t="s">
        <v>10</v>
      </c>
      <c r="D747" s="3">
        <v>5109.0</v>
      </c>
      <c r="E747" s="3" t="s">
        <v>740</v>
      </c>
      <c r="F747" s="5">
        <v>46132.69422453704</v>
      </c>
      <c r="G747" s="5">
        <v>46132.62820601852</v>
      </c>
      <c r="H747" s="3" t="s">
        <v>14</v>
      </c>
      <c r="I747" s="3">
        <v>0.0</v>
      </c>
      <c r="J747" s="3" t="s">
        <v>72</v>
      </c>
    </row>
    <row r="748">
      <c r="C748" s="3" t="s">
        <v>17</v>
      </c>
      <c r="D748" s="3">
        <v>5109.0</v>
      </c>
      <c r="E748" s="3" t="s">
        <v>740</v>
      </c>
      <c r="F748" s="5">
        <v>46132.70116898148</v>
      </c>
      <c r="G748" s="5">
        <v>46132.62826388889</v>
      </c>
      <c r="H748" s="3" t="s">
        <v>14</v>
      </c>
      <c r="I748" s="7">
        <v>0.0</v>
      </c>
      <c r="J748" s="3" t="s">
        <v>72</v>
      </c>
    </row>
    <row r="749">
      <c r="C749" s="3" t="s">
        <v>21</v>
      </c>
      <c r="D749" s="3">
        <v>5109.0</v>
      </c>
      <c r="E749" s="3" t="s">
        <v>740</v>
      </c>
      <c r="F749" s="5">
        <v>46132.80533564815</v>
      </c>
      <c r="G749" s="5">
        <v>46132.62835648148</v>
      </c>
      <c r="H749" s="3" t="s">
        <v>14</v>
      </c>
      <c r="I749" s="7">
        <v>0.0</v>
      </c>
      <c r="J749" s="3" t="s">
        <v>72</v>
      </c>
    </row>
    <row r="750">
      <c r="C750" s="3" t="s">
        <v>24</v>
      </c>
      <c r="D750" s="3">
        <v>5109.0</v>
      </c>
      <c r="E750" s="3" t="s">
        <v>740</v>
      </c>
      <c r="F750" s="5">
        <v>46133.80486111111</v>
      </c>
      <c r="G750" s="5">
        <v>46132.83256944444</v>
      </c>
      <c r="H750" s="3" t="s">
        <v>14</v>
      </c>
      <c r="I750" s="7">
        <v>0.0</v>
      </c>
      <c r="J750" s="3" t="s">
        <v>72</v>
      </c>
    </row>
    <row r="751">
      <c r="C751" s="3" t="s">
        <v>26</v>
      </c>
      <c r="D751" s="3">
        <v>5109.0</v>
      </c>
      <c r="E751" s="3" t="s">
        <v>740</v>
      </c>
      <c r="F751" s="5">
        <v>46134.42986111111</v>
      </c>
      <c r="G751" s="5">
        <v>46133.46221064815</v>
      </c>
      <c r="H751" s="3" t="s">
        <v>14</v>
      </c>
      <c r="I751" s="7">
        <v>0.0</v>
      </c>
      <c r="J751" s="3" t="s">
        <v>72</v>
      </c>
    </row>
    <row r="752">
      <c r="C752" s="3" t="s">
        <v>10</v>
      </c>
      <c r="D752" s="3">
        <v>5110.0</v>
      </c>
      <c r="E752" s="3" t="s">
        <v>747</v>
      </c>
      <c r="F752" s="5">
        <v>46133.47222222222</v>
      </c>
      <c r="G752" s="5">
        <v>46132.72809027778</v>
      </c>
      <c r="H752" s="3" t="s">
        <v>14</v>
      </c>
      <c r="I752" s="3">
        <v>0.0</v>
      </c>
      <c r="J752" s="3" t="s">
        <v>15</v>
      </c>
    </row>
    <row r="753">
      <c r="C753" s="3" t="s">
        <v>17</v>
      </c>
      <c r="D753" s="3">
        <v>5110.0</v>
      </c>
      <c r="E753" s="3" t="s">
        <v>747</v>
      </c>
      <c r="F753" s="5">
        <v>46133.479166666664</v>
      </c>
      <c r="G753" s="5">
        <v>46132.72824074074</v>
      </c>
      <c r="H753" s="3" t="s">
        <v>14</v>
      </c>
      <c r="I753" s="7">
        <v>0.0</v>
      </c>
      <c r="J753" s="3" t="s">
        <v>15</v>
      </c>
    </row>
    <row r="754">
      <c r="C754" s="3" t="s">
        <v>21</v>
      </c>
      <c r="D754" s="3">
        <v>5110.0</v>
      </c>
      <c r="E754" s="3" t="s">
        <v>747</v>
      </c>
      <c r="F754" s="5">
        <v>46133.583333333336</v>
      </c>
      <c r="G754" s="5">
        <v>46132.8325</v>
      </c>
      <c r="H754" s="3" t="s">
        <v>14</v>
      </c>
      <c r="I754" s="7">
        <v>0.0</v>
      </c>
      <c r="J754" s="3" t="s">
        <v>15</v>
      </c>
    </row>
    <row r="755">
      <c r="C755" s="3" t="s">
        <v>24</v>
      </c>
      <c r="D755" s="3">
        <v>5110.0</v>
      </c>
      <c r="E755" s="3" t="s">
        <v>747</v>
      </c>
      <c r="F755" s="5">
        <v>46134.583333333336</v>
      </c>
      <c r="G755" s="5">
        <v>46133.46197916667</v>
      </c>
      <c r="H755" s="3" t="s">
        <v>14</v>
      </c>
      <c r="I755" s="7">
        <v>0.0</v>
      </c>
      <c r="J755" s="3" t="s">
        <v>15</v>
      </c>
    </row>
    <row r="756">
      <c r="C756" s="3" t="s">
        <v>26</v>
      </c>
      <c r="D756" s="3">
        <v>5110.0</v>
      </c>
      <c r="E756" s="3" t="s">
        <v>747</v>
      </c>
      <c r="F756" s="5">
        <v>46134.625</v>
      </c>
      <c r="G756" s="5">
        <v>46133.462372685186</v>
      </c>
      <c r="H756" s="3" t="s">
        <v>14</v>
      </c>
      <c r="I756" s="7">
        <v>0.0</v>
      </c>
      <c r="J756" s="3" t="s">
        <v>15</v>
      </c>
    </row>
    <row r="757">
      <c r="C757" s="3" t="s">
        <v>10</v>
      </c>
      <c r="D757" s="3">
        <v>5111.0</v>
      </c>
      <c r="E757" s="3">
        <v>3386.0</v>
      </c>
      <c r="F757" s="5">
        <v>46133.56458333333</v>
      </c>
      <c r="G757" s="5">
        <v>46132.832407407404</v>
      </c>
      <c r="H757" s="3" t="s">
        <v>14</v>
      </c>
      <c r="I757" s="3">
        <v>0.0</v>
      </c>
      <c r="J757" s="3" t="s">
        <v>61</v>
      </c>
    </row>
    <row r="758">
      <c r="C758" s="3" t="s">
        <v>17</v>
      </c>
      <c r="D758" s="3">
        <v>5111.0</v>
      </c>
      <c r="E758" s="3">
        <v>3386.0</v>
      </c>
      <c r="F758" s="5">
        <v>46133.57152777778</v>
      </c>
      <c r="G758" s="5">
        <v>46132.83244212963</v>
      </c>
      <c r="H758" s="3" t="s">
        <v>14</v>
      </c>
      <c r="I758" s="7">
        <v>0.0</v>
      </c>
      <c r="J758" s="3" t="s">
        <v>61</v>
      </c>
    </row>
    <row r="759">
      <c r="C759" s="3" t="s">
        <v>21</v>
      </c>
      <c r="D759" s="3">
        <v>5111.0</v>
      </c>
      <c r="E759" s="3">
        <v>3386.0</v>
      </c>
      <c r="F759" s="5">
        <v>46133.67569444444</v>
      </c>
      <c r="G759" s="5">
        <v>46132.83247685185</v>
      </c>
      <c r="H759" s="3" t="s">
        <v>14</v>
      </c>
      <c r="I759" s="7">
        <v>0.0</v>
      </c>
      <c r="J759" s="3" t="s">
        <v>61</v>
      </c>
    </row>
    <row r="760">
      <c r="C760" s="3" t="s">
        <v>24</v>
      </c>
      <c r="D760" s="3">
        <v>5111.0</v>
      </c>
      <c r="E760" s="3">
        <v>3386.0</v>
      </c>
      <c r="F760" s="5">
        <v>46134.67569444444</v>
      </c>
      <c r="G760" s="5">
        <v>46133.46225694445</v>
      </c>
      <c r="H760" s="3" t="s">
        <v>14</v>
      </c>
      <c r="I760" s="7">
        <v>0.0</v>
      </c>
      <c r="J760" s="3" t="s">
        <v>61</v>
      </c>
    </row>
    <row r="761">
      <c r="C761" s="3" t="s">
        <v>26</v>
      </c>
      <c r="D761" s="3">
        <v>5111.0</v>
      </c>
      <c r="E761" s="3">
        <v>3386.0</v>
      </c>
      <c r="F761" s="5">
        <v>46134.717361111114</v>
      </c>
      <c r="G761" s="5">
        <v>46134.46952546296</v>
      </c>
      <c r="H761" s="3" t="s">
        <v>14</v>
      </c>
      <c r="I761" s="7">
        <v>0.0</v>
      </c>
      <c r="J761" s="3" t="s">
        <v>61</v>
      </c>
    </row>
    <row r="762">
      <c r="C762" s="3" t="s">
        <v>10</v>
      </c>
      <c r="D762" s="3">
        <v>5112.0</v>
      </c>
      <c r="E762" s="3" t="s">
        <v>754</v>
      </c>
      <c r="F762" s="5">
        <v>46134.478472222225</v>
      </c>
      <c r="G762" s="5">
        <v>46133.77962962963</v>
      </c>
      <c r="H762" s="3" t="s">
        <v>14</v>
      </c>
      <c r="I762" s="3">
        <v>0.0</v>
      </c>
      <c r="J762" s="3" t="s">
        <v>72</v>
      </c>
    </row>
    <row r="763">
      <c r="C763" s="3" t="s">
        <v>17</v>
      </c>
      <c r="D763" s="3">
        <v>5112.0</v>
      </c>
      <c r="E763" s="3" t="s">
        <v>754</v>
      </c>
      <c r="F763" s="5">
        <v>46134.48541666667</v>
      </c>
      <c r="G763" s="5">
        <v>46133.779699074075</v>
      </c>
      <c r="H763" s="3" t="s">
        <v>14</v>
      </c>
      <c r="I763" s="7">
        <v>0.0</v>
      </c>
      <c r="J763" s="3" t="s">
        <v>72</v>
      </c>
    </row>
    <row r="764">
      <c r="C764" s="3" t="s">
        <v>21</v>
      </c>
      <c r="D764" s="3">
        <v>5112.0</v>
      </c>
      <c r="E764" s="3" t="s">
        <v>754</v>
      </c>
      <c r="F764" s="5">
        <v>46134.589583333334</v>
      </c>
      <c r="G764" s="5">
        <v>46133.7797337963</v>
      </c>
      <c r="H764" s="3" t="s">
        <v>14</v>
      </c>
      <c r="I764" s="7">
        <v>0.0</v>
      </c>
      <c r="J764" s="3" t="s">
        <v>72</v>
      </c>
    </row>
    <row r="765">
      <c r="C765" s="3" t="s">
        <v>24</v>
      </c>
      <c r="D765" s="3">
        <v>5112.0</v>
      </c>
      <c r="E765" s="3" t="s">
        <v>754</v>
      </c>
      <c r="F765" s="5">
        <v>46135.589583333334</v>
      </c>
      <c r="G765" s="5">
        <v>46134.629641203705</v>
      </c>
      <c r="H765" s="3" t="s">
        <v>14</v>
      </c>
      <c r="I765" s="7">
        <v>0.0</v>
      </c>
      <c r="J765" s="3" t="s">
        <v>72</v>
      </c>
    </row>
    <row r="766">
      <c r="C766" s="3" t="s">
        <v>26</v>
      </c>
      <c r="D766" s="3">
        <v>5112.0</v>
      </c>
      <c r="E766" s="3" t="s">
        <v>754</v>
      </c>
      <c r="F766" s="5">
        <v>46135.63125</v>
      </c>
      <c r="G766" s="5">
        <v>46135.453877314816</v>
      </c>
      <c r="H766" s="3" t="s">
        <v>14</v>
      </c>
      <c r="I766" s="7">
        <v>0.0</v>
      </c>
      <c r="J766" s="3" t="s">
        <v>72</v>
      </c>
    </row>
    <row r="767">
      <c r="C767" s="3" t="s">
        <v>10</v>
      </c>
      <c r="D767" s="3">
        <v>5113.0</v>
      </c>
      <c r="E767" s="3" t="s">
        <v>109</v>
      </c>
      <c r="F767" s="5">
        <v>46135.61817129629</v>
      </c>
      <c r="G767" s="5">
        <v>46135.544340277775</v>
      </c>
      <c r="H767" s="3" t="s">
        <v>14</v>
      </c>
      <c r="I767" s="3">
        <v>0.0</v>
      </c>
      <c r="J767" s="3" t="s">
        <v>15</v>
      </c>
    </row>
    <row r="768">
      <c r="C768" s="3" t="s">
        <v>17</v>
      </c>
      <c r="D768" s="3">
        <v>5113.0</v>
      </c>
      <c r="E768" s="3" t="s">
        <v>109</v>
      </c>
      <c r="F768" s="5">
        <v>46135.62511574074</v>
      </c>
      <c r="G768" s="5">
        <v>46135.54443287037</v>
      </c>
      <c r="H768" s="3" t="s">
        <v>14</v>
      </c>
      <c r="I768" s="7">
        <v>0.0</v>
      </c>
      <c r="J768" s="3" t="s">
        <v>15</v>
      </c>
    </row>
    <row r="769">
      <c r="C769" s="3" t="s">
        <v>21</v>
      </c>
      <c r="D769" s="3">
        <v>5113.0</v>
      </c>
      <c r="E769" s="3" t="s">
        <v>109</v>
      </c>
      <c r="F769" s="5">
        <v>46135.72928240741</v>
      </c>
      <c r="G769" s="5">
        <v>46135.544490740744</v>
      </c>
      <c r="H769" s="3" t="s">
        <v>14</v>
      </c>
      <c r="I769" s="7">
        <v>0.0</v>
      </c>
      <c r="J769" s="3" t="s">
        <v>15</v>
      </c>
    </row>
    <row r="770">
      <c r="C770" s="3" t="s">
        <v>24</v>
      </c>
      <c r="D770" s="3">
        <v>5113.0</v>
      </c>
      <c r="E770" s="3" t="s">
        <v>109</v>
      </c>
      <c r="F770" s="5">
        <v>46136.729166666664</v>
      </c>
      <c r="G770" s="5">
        <v>46135.597858796296</v>
      </c>
      <c r="H770" s="3" t="s">
        <v>14</v>
      </c>
      <c r="I770" s="7">
        <v>0.0</v>
      </c>
      <c r="J770" s="3" t="s">
        <v>15</v>
      </c>
    </row>
    <row r="771">
      <c r="C771" s="3" t="s">
        <v>26</v>
      </c>
      <c r="D771" s="3">
        <v>5113.0</v>
      </c>
      <c r="E771" s="3" t="s">
        <v>109</v>
      </c>
      <c r="F771" s="5">
        <v>46136.770833333336</v>
      </c>
      <c r="G771" s="5">
        <v>46135.59787037037</v>
      </c>
      <c r="H771" s="3" t="s">
        <v>14</v>
      </c>
      <c r="I771" s="7">
        <v>0.0</v>
      </c>
      <c r="J771" s="3" t="s">
        <v>15</v>
      </c>
    </row>
    <row r="772">
      <c r="C772" s="3" t="s">
        <v>10</v>
      </c>
      <c r="D772" s="3">
        <v>5114.0</v>
      </c>
      <c r="E772" s="3" t="s">
        <v>761</v>
      </c>
      <c r="F772" s="5">
        <v>46135.61875</v>
      </c>
      <c r="G772" s="5">
        <v>46135.553090277775</v>
      </c>
      <c r="H772" s="3" t="s">
        <v>14</v>
      </c>
      <c r="I772" s="3">
        <v>0.0</v>
      </c>
      <c r="J772" s="3" t="s">
        <v>15</v>
      </c>
    </row>
    <row r="773">
      <c r="C773" s="3" t="s">
        <v>17</v>
      </c>
      <c r="D773" s="3">
        <v>5114.0</v>
      </c>
      <c r="E773" s="3" t="s">
        <v>761</v>
      </c>
      <c r="F773" s="5">
        <v>46135.62569444445</v>
      </c>
      <c r="G773" s="5">
        <v>46135.55289351852</v>
      </c>
      <c r="H773" s="3" t="s">
        <v>14</v>
      </c>
      <c r="I773" s="7">
        <v>0.0</v>
      </c>
      <c r="J773" s="3" t="s">
        <v>15</v>
      </c>
    </row>
    <row r="774">
      <c r="C774" s="3" t="s">
        <v>21</v>
      </c>
      <c r="D774" s="3">
        <v>5114.0</v>
      </c>
      <c r="E774" s="3" t="s">
        <v>761</v>
      </c>
      <c r="F774" s="5">
        <v>46135.72986111111</v>
      </c>
      <c r="G774" s="5">
        <v>46135.55299768518</v>
      </c>
      <c r="H774" s="3" t="s">
        <v>14</v>
      </c>
      <c r="I774" s="7">
        <v>0.0</v>
      </c>
      <c r="J774" s="3" t="s">
        <v>15</v>
      </c>
    </row>
    <row r="775">
      <c r="C775" s="3" t="s">
        <v>24</v>
      </c>
      <c r="D775" s="3">
        <v>5114.0</v>
      </c>
      <c r="E775" s="3" t="s">
        <v>761</v>
      </c>
      <c r="F775" s="5">
        <v>46136.72986111111</v>
      </c>
      <c r="G775" s="5">
        <v>46135.78028935185</v>
      </c>
      <c r="H775" s="3" t="s">
        <v>14</v>
      </c>
      <c r="I775" s="7">
        <v>0.0</v>
      </c>
      <c r="J775" s="3" t="s">
        <v>15</v>
      </c>
    </row>
    <row r="776">
      <c r="C776" s="3" t="s">
        <v>26</v>
      </c>
      <c r="D776" s="3">
        <v>5114.0</v>
      </c>
      <c r="E776" s="3" t="s">
        <v>761</v>
      </c>
      <c r="F776" s="5">
        <v>46136.771527777775</v>
      </c>
      <c r="G776" s="5">
        <v>46136.52768518519</v>
      </c>
      <c r="H776" s="3" t="s">
        <v>14</v>
      </c>
      <c r="I776" s="7">
        <v>0.0</v>
      </c>
      <c r="J776" s="3" t="s">
        <v>15</v>
      </c>
    </row>
    <row r="777">
      <c r="C777" s="3" t="s">
        <v>10</v>
      </c>
      <c r="D777" s="3">
        <v>5115.0</v>
      </c>
      <c r="E777" s="3" t="s">
        <v>766</v>
      </c>
      <c r="F777" s="5">
        <v>46135.68555555555</v>
      </c>
      <c r="G777" s="5">
        <v>46135.553125</v>
      </c>
      <c r="H777" s="3" t="s">
        <v>14</v>
      </c>
      <c r="I777" s="3">
        <v>0.0</v>
      </c>
      <c r="J777" s="3" t="s">
        <v>72</v>
      </c>
    </row>
    <row r="778">
      <c r="C778" s="3" t="s">
        <v>17</v>
      </c>
      <c r="D778" s="3">
        <v>5115.0</v>
      </c>
      <c r="E778" s="3" t="s">
        <v>766</v>
      </c>
      <c r="F778" s="5">
        <v>46135.6925</v>
      </c>
      <c r="G778" s="5">
        <v>46135.54443287037</v>
      </c>
      <c r="H778" s="3" t="s">
        <v>14</v>
      </c>
      <c r="I778" s="7">
        <v>0.0</v>
      </c>
      <c r="J778" s="3" t="s">
        <v>72</v>
      </c>
    </row>
    <row r="779">
      <c r="C779" s="3" t="s">
        <v>21</v>
      </c>
      <c r="D779" s="3">
        <v>5115.0</v>
      </c>
      <c r="E779" s="3" t="s">
        <v>766</v>
      </c>
      <c r="F779" s="5">
        <v>46135.79666666667</v>
      </c>
      <c r="G779" s="5">
        <v>46135.54450231481</v>
      </c>
      <c r="H779" s="3" t="s">
        <v>14</v>
      </c>
      <c r="I779" s="7">
        <v>0.0</v>
      </c>
      <c r="J779" s="3" t="s">
        <v>72</v>
      </c>
    </row>
    <row r="780">
      <c r="C780" s="3" t="s">
        <v>24</v>
      </c>
      <c r="D780" s="3">
        <v>5115.0</v>
      </c>
      <c r="E780" s="3" t="s">
        <v>766</v>
      </c>
      <c r="F780" s="5">
        <v>46136.79652777778</v>
      </c>
      <c r="G780" s="5">
        <v>46135.78023148148</v>
      </c>
      <c r="H780" s="3" t="s">
        <v>14</v>
      </c>
      <c r="I780" s="7">
        <v>0.0</v>
      </c>
      <c r="J780" s="3" t="s">
        <v>72</v>
      </c>
    </row>
    <row r="781">
      <c r="C781" s="3" t="s">
        <v>26</v>
      </c>
      <c r="D781" s="3">
        <v>5115.0</v>
      </c>
      <c r="E781" s="3" t="s">
        <v>766</v>
      </c>
      <c r="F781" s="5">
        <v>46137.42152777778</v>
      </c>
      <c r="G781" s="5">
        <v>46135.78041666667</v>
      </c>
      <c r="H781" s="3" t="s">
        <v>14</v>
      </c>
      <c r="I781" s="7">
        <v>0.0</v>
      </c>
      <c r="J781" s="3" t="s">
        <v>72</v>
      </c>
    </row>
    <row r="782">
      <c r="C782" s="3" t="s">
        <v>10</v>
      </c>
      <c r="D782" s="3">
        <v>5116.0</v>
      </c>
      <c r="E782" s="3" t="s">
        <v>772</v>
      </c>
      <c r="F782" s="5">
        <v>46135.68902777778</v>
      </c>
      <c r="G782" s="5">
        <v>46135.55326388889</v>
      </c>
      <c r="H782" s="3" t="s">
        <v>14</v>
      </c>
      <c r="I782" s="3">
        <v>0.0</v>
      </c>
      <c r="J782" s="3" t="s">
        <v>61</v>
      </c>
    </row>
    <row r="783">
      <c r="C783" s="3" t="s">
        <v>17</v>
      </c>
      <c r="D783" s="3">
        <v>5116.0</v>
      </c>
      <c r="E783" s="3" t="s">
        <v>772</v>
      </c>
      <c r="F783" s="5">
        <v>46135.695972222224</v>
      </c>
      <c r="G783" s="5">
        <v>46135.544444444444</v>
      </c>
      <c r="H783" s="3" t="s">
        <v>14</v>
      </c>
      <c r="I783" s="7">
        <v>0.0</v>
      </c>
      <c r="J783" s="3" t="s">
        <v>61</v>
      </c>
    </row>
    <row r="784">
      <c r="C784" s="3" t="s">
        <v>21</v>
      </c>
      <c r="D784" s="3">
        <v>5116.0</v>
      </c>
      <c r="E784" s="3" t="s">
        <v>772</v>
      </c>
      <c r="F784" s="5">
        <v>46135.80013888889</v>
      </c>
      <c r="G784" s="5">
        <v>46135.54450231481</v>
      </c>
      <c r="H784" s="3" t="s">
        <v>14</v>
      </c>
      <c r="I784" s="7">
        <v>0.0</v>
      </c>
      <c r="J784" s="3" t="s">
        <v>61</v>
      </c>
    </row>
    <row r="785">
      <c r="C785" s="3" t="s">
        <v>24</v>
      </c>
      <c r="D785" s="3">
        <v>5116.0</v>
      </c>
      <c r="E785" s="3" t="s">
        <v>772</v>
      </c>
      <c r="F785" s="5">
        <v>46136.8</v>
      </c>
      <c r="G785" s="5">
        <v>46135.78023148148</v>
      </c>
      <c r="H785" s="3" t="s">
        <v>14</v>
      </c>
      <c r="I785" s="7">
        <v>0.0</v>
      </c>
      <c r="J785" s="3" t="s">
        <v>61</v>
      </c>
    </row>
    <row r="786">
      <c r="C786" s="3" t="s">
        <v>26</v>
      </c>
      <c r="D786" s="3">
        <v>5116.0</v>
      </c>
      <c r="E786" s="3" t="s">
        <v>772</v>
      </c>
      <c r="F786" s="5">
        <v>46137.425</v>
      </c>
      <c r="G786" s="5">
        <v>46135.780335648145</v>
      </c>
      <c r="H786" s="3" t="s">
        <v>14</v>
      </c>
      <c r="I786" s="7">
        <v>0.0</v>
      </c>
      <c r="J786" s="3" t="s">
        <v>61</v>
      </c>
    </row>
    <row r="787">
      <c r="C787" s="3" t="s">
        <v>10</v>
      </c>
      <c r="D787" s="3">
        <v>5117.0</v>
      </c>
      <c r="E787" s="3" t="s">
        <v>776</v>
      </c>
      <c r="F787" s="5">
        <v>46135.78082175926</v>
      </c>
      <c r="G787" s="5">
        <v>46135.633263888885</v>
      </c>
      <c r="H787" s="3" t="s">
        <v>14</v>
      </c>
      <c r="I787" s="3">
        <v>0.0</v>
      </c>
      <c r="J787" s="3" t="s">
        <v>48</v>
      </c>
    </row>
    <row r="788">
      <c r="C788" s="3" t="s">
        <v>17</v>
      </c>
      <c r="D788" s="3">
        <v>5117.0</v>
      </c>
      <c r="E788" s="3" t="s">
        <v>776</v>
      </c>
      <c r="F788" s="5">
        <v>46135.787766203706</v>
      </c>
      <c r="G788" s="5">
        <v>46135.63333333333</v>
      </c>
      <c r="H788" s="3" t="s">
        <v>14</v>
      </c>
      <c r="I788" s="7">
        <v>0.0</v>
      </c>
      <c r="J788" s="3" t="s">
        <v>48</v>
      </c>
    </row>
    <row r="789">
      <c r="C789" s="3" t="s">
        <v>21</v>
      </c>
      <c r="D789" s="3">
        <v>5117.0</v>
      </c>
      <c r="E789" s="3" t="s">
        <v>776</v>
      </c>
      <c r="F789" s="5">
        <v>46136.495833333334</v>
      </c>
      <c r="G789" s="5">
        <v>46135.633368055554</v>
      </c>
      <c r="H789" s="3" t="s">
        <v>14</v>
      </c>
      <c r="I789" s="7">
        <v>0.0</v>
      </c>
      <c r="J789" s="3" t="s">
        <v>48</v>
      </c>
    </row>
    <row r="790">
      <c r="C790" s="3" t="s">
        <v>24</v>
      </c>
      <c r="D790" s="3">
        <v>5117.0</v>
      </c>
      <c r="E790" s="3" t="s">
        <v>776</v>
      </c>
      <c r="F790" s="5">
        <v>46137.495833333334</v>
      </c>
      <c r="G790" s="5">
        <v>46135.78025462963</v>
      </c>
      <c r="H790" s="3" t="s">
        <v>14</v>
      </c>
      <c r="I790" s="7">
        <v>0.0</v>
      </c>
      <c r="J790" s="3" t="s">
        <v>48</v>
      </c>
    </row>
    <row r="791">
      <c r="C791" s="3" t="s">
        <v>26</v>
      </c>
      <c r="D791" s="3">
        <v>5117.0</v>
      </c>
      <c r="E791" s="3" t="s">
        <v>776</v>
      </c>
      <c r="F791" s="5">
        <v>46137.5375</v>
      </c>
      <c r="G791" s="5">
        <v>46135.780335648145</v>
      </c>
      <c r="H791" s="3" t="s">
        <v>14</v>
      </c>
      <c r="I791" s="7">
        <v>0.0</v>
      </c>
      <c r="J791" s="3" t="s">
        <v>48</v>
      </c>
    </row>
    <row r="792">
      <c r="C792" s="3" t="s">
        <v>10</v>
      </c>
      <c r="D792" s="3">
        <v>5118.0</v>
      </c>
      <c r="E792" s="3" t="s">
        <v>689</v>
      </c>
      <c r="F792" s="5">
        <v>46135.80855324074</v>
      </c>
      <c r="G792" s="5">
        <v>46135.6559837963</v>
      </c>
      <c r="H792" s="3" t="s">
        <v>14</v>
      </c>
      <c r="I792" s="3">
        <v>0.0</v>
      </c>
      <c r="J792" s="3" t="s">
        <v>72</v>
      </c>
    </row>
    <row r="793">
      <c r="C793" s="3" t="s">
        <v>17</v>
      </c>
      <c r="D793" s="3">
        <v>5118.0</v>
      </c>
      <c r="E793" s="3" t="s">
        <v>689</v>
      </c>
      <c r="F793" s="5">
        <v>46135.81549768519</v>
      </c>
      <c r="G793" s="5">
        <v>46135.65609953704</v>
      </c>
      <c r="H793" s="3" t="s">
        <v>14</v>
      </c>
      <c r="I793" s="7">
        <v>0.0</v>
      </c>
      <c r="J793" s="3" t="s">
        <v>72</v>
      </c>
    </row>
    <row r="794">
      <c r="C794" s="3" t="s">
        <v>21</v>
      </c>
      <c r="D794" s="3">
        <v>5118.0</v>
      </c>
      <c r="E794" s="3" t="s">
        <v>689</v>
      </c>
      <c r="F794" s="5">
        <v>46136.52361111111</v>
      </c>
      <c r="G794" s="5">
        <v>46135.65621527778</v>
      </c>
      <c r="H794" s="3" t="s">
        <v>14</v>
      </c>
      <c r="I794" s="7">
        <v>0.0</v>
      </c>
      <c r="J794" s="3" t="s">
        <v>72</v>
      </c>
    </row>
    <row r="795">
      <c r="C795" s="3" t="s">
        <v>24</v>
      </c>
      <c r="D795" s="3">
        <v>5118.0</v>
      </c>
      <c r="E795" s="3" t="s">
        <v>689</v>
      </c>
      <c r="F795" s="5">
        <v>46137.52361111111</v>
      </c>
      <c r="G795" s="5">
        <v>46135.78013888889</v>
      </c>
      <c r="H795" s="3" t="s">
        <v>14</v>
      </c>
      <c r="I795" s="7">
        <v>0.0</v>
      </c>
      <c r="J795" s="3" t="s">
        <v>72</v>
      </c>
    </row>
    <row r="796">
      <c r="C796" s="3" t="s">
        <v>26</v>
      </c>
      <c r="D796" s="3">
        <v>5118.0</v>
      </c>
      <c r="E796" s="3" t="s">
        <v>689</v>
      </c>
      <c r="F796" s="5">
        <v>46137.56527777778</v>
      </c>
      <c r="G796" s="5">
        <v>46135.78016203704</v>
      </c>
      <c r="H796" s="3" t="s">
        <v>14</v>
      </c>
      <c r="I796" s="7">
        <v>0.0</v>
      </c>
      <c r="J796" s="3" t="s">
        <v>72</v>
      </c>
    </row>
    <row r="797">
      <c r="C797" s="3" t="s">
        <v>10</v>
      </c>
      <c r="D797" s="3">
        <v>5119.0</v>
      </c>
      <c r="E797" s="3" t="s">
        <v>781</v>
      </c>
      <c r="F797" s="5">
        <v>46136.68682870371</v>
      </c>
      <c r="G797" s="5">
        <v>46136.52716435185</v>
      </c>
      <c r="H797" s="3" t="s">
        <v>14</v>
      </c>
      <c r="I797" s="3">
        <v>0.0</v>
      </c>
      <c r="J797" s="3" t="s">
        <v>48</v>
      </c>
    </row>
    <row r="798">
      <c r="C798" s="3" t="s">
        <v>17</v>
      </c>
      <c r="D798" s="3">
        <v>5119.0</v>
      </c>
      <c r="E798" s="3" t="s">
        <v>781</v>
      </c>
      <c r="F798" s="5">
        <v>46136.693773148145</v>
      </c>
      <c r="G798" s="5">
        <v>46136.527349537035</v>
      </c>
      <c r="H798" s="3" t="s">
        <v>14</v>
      </c>
      <c r="I798" s="7">
        <v>0.0</v>
      </c>
      <c r="J798" s="3" t="s">
        <v>48</v>
      </c>
    </row>
    <row r="799">
      <c r="C799" s="3" t="s">
        <v>21</v>
      </c>
      <c r="D799" s="3">
        <v>5119.0</v>
      </c>
      <c r="E799" s="3" t="s">
        <v>781</v>
      </c>
      <c r="F799" s="5">
        <v>46136.797939814816</v>
      </c>
      <c r="G799" s="5">
        <v>46136.52738425926</v>
      </c>
      <c r="H799" s="3" t="s">
        <v>14</v>
      </c>
      <c r="I799" s="7">
        <v>0.0</v>
      </c>
      <c r="J799" s="3" t="s">
        <v>48</v>
      </c>
    </row>
    <row r="800">
      <c r="C800" s="3" t="s">
        <v>24</v>
      </c>
      <c r="D800" s="3">
        <v>5119.0</v>
      </c>
      <c r="E800" s="3" t="s">
        <v>781</v>
      </c>
      <c r="F800" s="5">
        <v>46137.79791666667</v>
      </c>
      <c r="G800" s="5">
        <v>46137.41777777778</v>
      </c>
      <c r="H800" s="3" t="s">
        <v>14</v>
      </c>
      <c r="I800" s="7">
        <v>0.0</v>
      </c>
      <c r="J800" s="3" t="s">
        <v>48</v>
      </c>
    </row>
    <row r="801">
      <c r="C801" s="3" t="s">
        <v>26</v>
      </c>
      <c r="D801" s="3">
        <v>5119.0</v>
      </c>
      <c r="E801" s="3" t="s">
        <v>781</v>
      </c>
      <c r="F801" s="5">
        <v>46139.42291666667</v>
      </c>
      <c r="G801" s="5">
        <v>46137.41780092593</v>
      </c>
      <c r="H801" s="3" t="s">
        <v>14</v>
      </c>
      <c r="I801" s="7">
        <v>0.0</v>
      </c>
      <c r="J801" s="3" t="s">
        <v>48</v>
      </c>
    </row>
    <row r="802">
      <c r="C802" s="3" t="s">
        <v>10</v>
      </c>
      <c r="D802" s="3">
        <v>5120.0</v>
      </c>
      <c r="E802" s="3" t="s">
        <v>460</v>
      </c>
      <c r="F802" s="5">
        <v>46136.688113425924</v>
      </c>
      <c r="G802" s="5">
        <v>46136.526921296296</v>
      </c>
      <c r="H802" s="3" t="s">
        <v>14</v>
      </c>
      <c r="I802" s="3">
        <v>0.0</v>
      </c>
      <c r="J802" s="3" t="s">
        <v>72</v>
      </c>
    </row>
    <row r="803">
      <c r="C803" s="3" t="s">
        <v>17</v>
      </c>
      <c r="D803" s="3">
        <v>5120.0</v>
      </c>
      <c r="E803" s="3" t="s">
        <v>460</v>
      </c>
      <c r="F803" s="5">
        <v>46136.69505787037</v>
      </c>
      <c r="G803" s="5">
        <v>46136.527037037034</v>
      </c>
      <c r="H803" s="3" t="s">
        <v>14</v>
      </c>
      <c r="I803" s="7">
        <v>0.0</v>
      </c>
      <c r="J803" s="3" t="s">
        <v>72</v>
      </c>
    </row>
    <row r="804">
      <c r="C804" s="3" t="s">
        <v>21</v>
      </c>
      <c r="D804" s="3">
        <v>5120.0</v>
      </c>
      <c r="E804" s="3" t="s">
        <v>460</v>
      </c>
      <c r="F804" s="5">
        <v>46136.79922453704</v>
      </c>
      <c r="G804" s="5">
        <v>46136.52706018519</v>
      </c>
      <c r="H804" s="3" t="s">
        <v>14</v>
      </c>
      <c r="I804" s="7">
        <v>0.0</v>
      </c>
      <c r="J804" s="3" t="s">
        <v>72</v>
      </c>
    </row>
    <row r="805">
      <c r="C805" s="3" t="s">
        <v>24</v>
      </c>
      <c r="D805" s="3">
        <v>5120.0</v>
      </c>
      <c r="E805" s="3" t="s">
        <v>460</v>
      </c>
      <c r="F805" s="5">
        <v>46137.79861111111</v>
      </c>
      <c r="G805" s="5">
        <v>46137.40949074074</v>
      </c>
      <c r="H805" s="3" t="s">
        <v>14</v>
      </c>
      <c r="I805" s="7">
        <v>0.0</v>
      </c>
      <c r="J805" s="3" t="s">
        <v>72</v>
      </c>
    </row>
    <row r="806">
      <c r="C806" s="3" t="s">
        <v>26</v>
      </c>
      <c r="D806" s="3">
        <v>5120.0</v>
      </c>
      <c r="E806" s="3" t="s">
        <v>460</v>
      </c>
      <c r="F806" s="5">
        <v>46139.42361111111</v>
      </c>
      <c r="G806" s="5">
        <v>46137.409525462965</v>
      </c>
      <c r="H806" s="3" t="s">
        <v>14</v>
      </c>
      <c r="I806" s="7">
        <v>0.0</v>
      </c>
      <c r="J806" s="3" t="s">
        <v>72</v>
      </c>
    </row>
    <row r="807">
      <c r="C807" s="3" t="s">
        <v>10</v>
      </c>
      <c r="D807" s="3">
        <v>5121.0</v>
      </c>
      <c r="E807" s="3" t="s">
        <v>790</v>
      </c>
      <c r="F807" s="5">
        <v>46136.6903125</v>
      </c>
      <c r="G807" s="5">
        <v>46136.52693287037</v>
      </c>
      <c r="H807" s="3" t="s">
        <v>14</v>
      </c>
      <c r="I807" s="3">
        <v>0.0</v>
      </c>
      <c r="J807" s="3" t="s">
        <v>72</v>
      </c>
    </row>
    <row r="808">
      <c r="C808" s="3" t="s">
        <v>17</v>
      </c>
      <c r="D808" s="3">
        <v>5121.0</v>
      </c>
      <c r="E808" s="3" t="s">
        <v>790</v>
      </c>
      <c r="F808" s="5">
        <v>46136.69725694445</v>
      </c>
      <c r="G808" s="5">
        <v>46136.54546296296</v>
      </c>
      <c r="H808" s="3" t="s">
        <v>14</v>
      </c>
      <c r="I808" s="7">
        <v>0.0</v>
      </c>
      <c r="J808" s="3" t="s">
        <v>72</v>
      </c>
    </row>
    <row r="809">
      <c r="C809" s="3" t="s">
        <v>21</v>
      </c>
      <c r="D809" s="3">
        <v>5121.0</v>
      </c>
      <c r="E809" s="3" t="s">
        <v>790</v>
      </c>
      <c r="F809" s="5">
        <v>46136.80142361111</v>
      </c>
      <c r="G809" s="5">
        <v>46136.54554398148</v>
      </c>
      <c r="H809" s="3" t="s">
        <v>14</v>
      </c>
      <c r="I809" s="7">
        <v>0.0</v>
      </c>
      <c r="J809" s="3" t="s">
        <v>72</v>
      </c>
    </row>
    <row r="810">
      <c r="C810" s="3" t="s">
        <v>24</v>
      </c>
      <c r="D810" s="3">
        <v>5121.0</v>
      </c>
      <c r="E810" s="3" t="s">
        <v>790</v>
      </c>
      <c r="F810" s="5">
        <v>46137.80138888889</v>
      </c>
      <c r="G810" s="5">
        <v>46137.40918981482</v>
      </c>
      <c r="H810" s="3" t="s">
        <v>14</v>
      </c>
      <c r="I810" s="7">
        <v>0.0</v>
      </c>
      <c r="J810" s="3" t="s">
        <v>72</v>
      </c>
    </row>
    <row r="811">
      <c r="C811" s="3" t="s">
        <v>26</v>
      </c>
      <c r="D811" s="3">
        <v>5121.0</v>
      </c>
      <c r="E811" s="3" t="s">
        <v>790</v>
      </c>
      <c r="F811" s="5">
        <v>46139.42638888889</v>
      </c>
      <c r="G811" s="5">
        <v>46137.72048611111</v>
      </c>
      <c r="H811" s="3" t="s">
        <v>14</v>
      </c>
      <c r="I811" s="7">
        <v>0.0</v>
      </c>
      <c r="J811" s="3" t="s">
        <v>72</v>
      </c>
    </row>
    <row r="812">
      <c r="C812" s="3" t="s">
        <v>10</v>
      </c>
      <c r="D812" s="3">
        <v>5122.0</v>
      </c>
      <c r="E812" s="3" t="s">
        <v>792</v>
      </c>
      <c r="F812" s="5">
        <v>46136.706828703704</v>
      </c>
      <c r="G812" s="5">
        <v>46136.545127314814</v>
      </c>
      <c r="H812" s="3" t="s">
        <v>14</v>
      </c>
      <c r="I812" s="3">
        <v>0.0</v>
      </c>
      <c r="J812" s="3" t="s">
        <v>72</v>
      </c>
    </row>
    <row r="813">
      <c r="C813" s="3" t="s">
        <v>17</v>
      </c>
      <c r="D813" s="3">
        <v>5122.0</v>
      </c>
      <c r="E813" s="3" t="s">
        <v>792</v>
      </c>
      <c r="F813" s="5">
        <v>46136.71377314815</v>
      </c>
      <c r="G813" s="5">
        <v>46136.545324074075</v>
      </c>
      <c r="H813" s="3" t="s">
        <v>14</v>
      </c>
      <c r="I813" s="7">
        <v>0.0</v>
      </c>
      <c r="J813" s="3" t="s">
        <v>72</v>
      </c>
    </row>
    <row r="814">
      <c r="C814" s="3" t="s">
        <v>21</v>
      </c>
      <c r="D814" s="3">
        <v>5122.0</v>
      </c>
      <c r="E814" s="3" t="s">
        <v>792</v>
      </c>
      <c r="F814" s="5">
        <v>46136.81793981481</v>
      </c>
      <c r="G814" s="5">
        <v>46136.54555555555</v>
      </c>
      <c r="H814" s="3" t="s">
        <v>14</v>
      </c>
      <c r="I814" s="7">
        <v>0.0</v>
      </c>
      <c r="J814" s="3" t="s">
        <v>72</v>
      </c>
    </row>
    <row r="815">
      <c r="C815" s="3" t="s">
        <v>24</v>
      </c>
      <c r="D815" s="3">
        <v>5122.0</v>
      </c>
      <c r="E815" s="3" t="s">
        <v>792</v>
      </c>
      <c r="F815" s="5">
        <v>46137.81736111111</v>
      </c>
      <c r="G815" s="5">
        <v>46137.409212962964</v>
      </c>
      <c r="H815" s="3" t="s">
        <v>14</v>
      </c>
      <c r="I815" s="7">
        <v>0.0</v>
      </c>
      <c r="J815" s="3" t="s">
        <v>72</v>
      </c>
    </row>
    <row r="816">
      <c r="C816" s="3" t="s">
        <v>26</v>
      </c>
      <c r="D816" s="3">
        <v>5122.0</v>
      </c>
      <c r="E816" s="3" t="s">
        <v>792</v>
      </c>
      <c r="F816" s="5">
        <v>46139.44236111111</v>
      </c>
      <c r="G816" s="5">
        <v>46137.72046296296</v>
      </c>
      <c r="H816" s="3" t="s">
        <v>14</v>
      </c>
      <c r="I816" s="7">
        <v>0.0</v>
      </c>
      <c r="J816" s="3" t="s">
        <v>72</v>
      </c>
    </row>
    <row r="817">
      <c r="C817" s="3" t="s">
        <v>10</v>
      </c>
      <c r="D817" s="3">
        <v>5123.0</v>
      </c>
      <c r="E817" s="3" t="s">
        <v>796</v>
      </c>
      <c r="F817" s="5">
        <v>46139.684016203704</v>
      </c>
      <c r="G817" s="5">
        <v>46139.54267361111</v>
      </c>
      <c r="H817" s="3" t="s">
        <v>14</v>
      </c>
      <c r="I817" s="3">
        <v>0.0</v>
      </c>
      <c r="J817" s="3" t="s">
        <v>61</v>
      </c>
    </row>
    <row r="818">
      <c r="C818" s="3" t="s">
        <v>17</v>
      </c>
      <c r="D818" s="3">
        <v>5123.0</v>
      </c>
      <c r="E818" s="3" t="s">
        <v>796</v>
      </c>
      <c r="F818" s="5">
        <v>46139.69096064815</v>
      </c>
      <c r="G818" s="5">
        <v>46139.542719907404</v>
      </c>
      <c r="H818" s="3" t="s">
        <v>14</v>
      </c>
      <c r="I818" s="7">
        <v>0.0</v>
      </c>
      <c r="J818" s="3" t="s">
        <v>61</v>
      </c>
    </row>
    <row r="819">
      <c r="C819" s="3" t="s">
        <v>21</v>
      </c>
      <c r="D819" s="3">
        <v>5123.0</v>
      </c>
      <c r="E819" s="3" t="s">
        <v>796</v>
      </c>
      <c r="F819" s="5">
        <v>46139.795127314814</v>
      </c>
      <c r="G819" s="5">
        <v>46139.542766203704</v>
      </c>
      <c r="H819" s="3" t="s">
        <v>14</v>
      </c>
      <c r="I819" s="7">
        <v>0.0</v>
      </c>
      <c r="J819" s="3" t="s">
        <v>61</v>
      </c>
    </row>
    <row r="820">
      <c r="C820" s="3" t="s">
        <v>24</v>
      </c>
      <c r="D820" s="3">
        <v>5123.0</v>
      </c>
      <c r="E820" s="3" t="s">
        <v>796</v>
      </c>
      <c r="F820" s="5">
        <v>46140.794444444444</v>
      </c>
      <c r="G820" s="5">
        <v>46140.77613425926</v>
      </c>
      <c r="H820" s="3" t="s">
        <v>14</v>
      </c>
      <c r="I820" s="7">
        <v>0.0</v>
      </c>
      <c r="J820" s="3" t="s">
        <v>61</v>
      </c>
    </row>
    <row r="821">
      <c r="C821" s="3" t="s">
        <v>26</v>
      </c>
      <c r="D821" s="3">
        <v>5123.0</v>
      </c>
      <c r="E821" s="3" t="s">
        <v>796</v>
      </c>
      <c r="F821" s="5">
        <v>46141.46111111111</v>
      </c>
      <c r="G821" s="5">
        <v>46141.43788194445</v>
      </c>
      <c r="H821" s="3" t="s">
        <v>14</v>
      </c>
      <c r="I821" s="7">
        <v>0.0</v>
      </c>
      <c r="J821" s="3" t="s">
        <v>61</v>
      </c>
    </row>
    <row r="822">
      <c r="C822" s="3" t="s">
        <v>10</v>
      </c>
      <c r="D822" s="3">
        <v>5124.0</v>
      </c>
      <c r="E822" s="3" t="s">
        <v>800</v>
      </c>
      <c r="F822" s="5">
        <v>46139.70564814815</v>
      </c>
      <c r="G822" s="5">
        <v>46139.61748842592</v>
      </c>
      <c r="H822" s="3" t="s">
        <v>14</v>
      </c>
      <c r="I822" s="3">
        <v>0.0</v>
      </c>
      <c r="J822" s="3" t="s">
        <v>15</v>
      </c>
    </row>
    <row r="823">
      <c r="C823" s="3" t="s">
        <v>17</v>
      </c>
      <c r="D823" s="3">
        <v>5124.0</v>
      </c>
      <c r="E823" s="3" t="s">
        <v>800</v>
      </c>
      <c r="F823" s="5">
        <v>46139.712592592594</v>
      </c>
      <c r="G823" s="5">
        <v>46139.617581018516</v>
      </c>
      <c r="H823" s="3" t="s">
        <v>14</v>
      </c>
      <c r="I823" s="7">
        <v>0.0</v>
      </c>
      <c r="J823" s="3" t="s">
        <v>15</v>
      </c>
    </row>
    <row r="824">
      <c r="C824" s="3" t="s">
        <v>21</v>
      </c>
      <c r="D824" s="3">
        <v>5124.0</v>
      </c>
      <c r="E824" s="3" t="s">
        <v>800</v>
      </c>
      <c r="F824" s="5">
        <v>46139.81675925926</v>
      </c>
      <c r="G824" s="5">
        <v>46139.61771990741</v>
      </c>
      <c r="H824" s="3" t="s">
        <v>14</v>
      </c>
      <c r="I824" s="7">
        <v>0.0</v>
      </c>
      <c r="J824" s="3" t="s">
        <v>15</v>
      </c>
    </row>
    <row r="825">
      <c r="C825" s="3" t="s">
        <v>24</v>
      </c>
      <c r="D825" s="3">
        <v>5124.0</v>
      </c>
      <c r="E825" s="3" t="s">
        <v>800</v>
      </c>
      <c r="F825" s="5">
        <v>46140.816666666666</v>
      </c>
      <c r="G825" s="5">
        <v>46139.76939814815</v>
      </c>
      <c r="H825" s="3" t="s">
        <v>14</v>
      </c>
      <c r="I825" s="7">
        <v>0.0</v>
      </c>
      <c r="J825" s="3" t="s">
        <v>15</v>
      </c>
    </row>
    <row r="826">
      <c r="C826" s="3" t="s">
        <v>26</v>
      </c>
      <c r="D826" s="3">
        <v>5124.0</v>
      </c>
      <c r="E826" s="3" t="s">
        <v>800</v>
      </c>
      <c r="F826" s="5">
        <v>46141.441666666666</v>
      </c>
      <c r="G826" s="5">
        <v>46139.769421296296</v>
      </c>
      <c r="H826" s="3" t="s">
        <v>14</v>
      </c>
      <c r="I826" s="7">
        <v>0.0</v>
      </c>
      <c r="J826" s="3" t="s">
        <v>15</v>
      </c>
    </row>
    <row r="827">
      <c r="C827" s="3" t="s">
        <v>10</v>
      </c>
      <c r="D827" s="3">
        <v>5125.0</v>
      </c>
      <c r="E827" s="3" t="s">
        <v>803</v>
      </c>
      <c r="F827" s="5">
        <v>46140.49722222222</v>
      </c>
      <c r="G827" s="5">
        <v>46139.768958333334</v>
      </c>
      <c r="H827" s="3" t="s">
        <v>14</v>
      </c>
      <c r="I827" s="3">
        <v>0.0</v>
      </c>
      <c r="J827" s="3" t="s">
        <v>72</v>
      </c>
    </row>
    <row r="828">
      <c r="C828" s="3" t="s">
        <v>17</v>
      </c>
      <c r="D828" s="3">
        <v>5125.0</v>
      </c>
      <c r="E828" s="3" t="s">
        <v>803</v>
      </c>
      <c r="F828" s="5">
        <v>46140.504166666666</v>
      </c>
      <c r="G828" s="5">
        <v>46139.76918981481</v>
      </c>
      <c r="H828" s="3" t="s">
        <v>14</v>
      </c>
      <c r="I828" s="7">
        <v>0.0</v>
      </c>
      <c r="J828" s="3" t="s">
        <v>72</v>
      </c>
    </row>
    <row r="829">
      <c r="C829" s="3" t="s">
        <v>21</v>
      </c>
      <c r="D829" s="3">
        <v>5125.0</v>
      </c>
      <c r="E829" s="3" t="s">
        <v>803</v>
      </c>
      <c r="F829" s="5">
        <v>46140.60833333333</v>
      </c>
      <c r="G829" s="5">
        <v>46139.76929398148</v>
      </c>
      <c r="H829" s="3" t="s">
        <v>14</v>
      </c>
      <c r="I829" s="7">
        <v>0.0</v>
      </c>
      <c r="J829" s="3" t="s">
        <v>72</v>
      </c>
    </row>
    <row r="830">
      <c r="C830" s="3" t="s">
        <v>24</v>
      </c>
      <c r="D830" s="3">
        <v>5125.0</v>
      </c>
      <c r="E830" s="3" t="s">
        <v>803</v>
      </c>
      <c r="F830" s="5">
        <v>46141.60833333333</v>
      </c>
      <c r="G830" s="5">
        <v>46140.43072916667</v>
      </c>
      <c r="H830" s="3" t="s">
        <v>14</v>
      </c>
      <c r="I830" s="7">
        <v>0.0</v>
      </c>
      <c r="J830" s="3" t="s">
        <v>72</v>
      </c>
    </row>
    <row r="831">
      <c r="C831" s="3" t="s">
        <v>26</v>
      </c>
      <c r="D831" s="3">
        <v>5125.0</v>
      </c>
      <c r="E831" s="3" t="s">
        <v>803</v>
      </c>
      <c r="F831" s="5">
        <v>46141.65</v>
      </c>
      <c r="G831" s="5">
        <v>46140.61366898148</v>
      </c>
      <c r="H831" s="3" t="s">
        <v>14</v>
      </c>
      <c r="I831" s="7">
        <v>0.0</v>
      </c>
      <c r="J831" s="3" t="s">
        <v>72</v>
      </c>
    </row>
    <row r="832">
      <c r="C832" s="3" t="s">
        <v>10</v>
      </c>
      <c r="D832" s="3">
        <v>5126.0</v>
      </c>
      <c r="E832" s="3" t="s">
        <v>807</v>
      </c>
      <c r="F832" s="5">
        <v>46140.49791666667</v>
      </c>
      <c r="G832" s="5">
        <v>46139.76898148148</v>
      </c>
      <c r="H832" s="3" t="s">
        <v>14</v>
      </c>
      <c r="I832" s="3">
        <v>0.0</v>
      </c>
      <c r="J832" s="3" t="s">
        <v>72</v>
      </c>
    </row>
    <row r="833">
      <c r="C833" s="3" t="s">
        <v>17</v>
      </c>
      <c r="D833" s="3">
        <v>5126.0</v>
      </c>
      <c r="E833" s="3" t="s">
        <v>807</v>
      </c>
      <c r="F833" s="5">
        <v>46140.50486111111</v>
      </c>
      <c r="G833" s="5">
        <v>46139.769212962965</v>
      </c>
      <c r="H833" s="3" t="s">
        <v>14</v>
      </c>
      <c r="I833" s="7">
        <v>0.0</v>
      </c>
      <c r="J833" s="3" t="s">
        <v>72</v>
      </c>
    </row>
    <row r="834">
      <c r="C834" s="3" t="s">
        <v>21</v>
      </c>
      <c r="D834" s="3">
        <v>5126.0</v>
      </c>
      <c r="E834" s="3" t="s">
        <v>807</v>
      </c>
      <c r="F834" s="5">
        <v>46140.60902777778</v>
      </c>
      <c r="G834" s="5">
        <v>46139.76931712963</v>
      </c>
      <c r="H834" s="3" t="s">
        <v>14</v>
      </c>
      <c r="I834" s="7">
        <v>0.0</v>
      </c>
      <c r="J834" s="3" t="s">
        <v>72</v>
      </c>
    </row>
    <row r="835">
      <c r="C835" s="3" t="s">
        <v>24</v>
      </c>
      <c r="D835" s="3">
        <v>5126.0</v>
      </c>
      <c r="E835" s="3" t="s">
        <v>807</v>
      </c>
      <c r="F835" s="5">
        <v>46141.60902777778</v>
      </c>
      <c r="G835" s="5">
        <v>46140.430752314816</v>
      </c>
      <c r="H835" s="3" t="s">
        <v>14</v>
      </c>
      <c r="I835" s="7">
        <v>0.0</v>
      </c>
      <c r="J835" s="3" t="s">
        <v>72</v>
      </c>
    </row>
    <row r="836">
      <c r="C836" s="3" t="s">
        <v>26</v>
      </c>
      <c r="D836" s="3">
        <v>5126.0</v>
      </c>
      <c r="E836" s="3" t="s">
        <v>807</v>
      </c>
      <c r="F836" s="5">
        <v>46141.65069444444</v>
      </c>
      <c r="G836" s="5">
        <v>46140.61371527778</v>
      </c>
      <c r="H836" s="3" t="s">
        <v>14</v>
      </c>
      <c r="I836" s="7">
        <v>0.0</v>
      </c>
      <c r="J836" s="3" t="s">
        <v>72</v>
      </c>
    </row>
    <row r="837">
      <c r="C837" s="3" t="s">
        <v>10</v>
      </c>
      <c r="D837" s="3">
        <v>5127.0</v>
      </c>
      <c r="E837" s="3" t="s">
        <v>811</v>
      </c>
      <c r="F837" s="5">
        <v>46142.6990625</v>
      </c>
      <c r="G837" s="5">
        <v>46142.53944444445</v>
      </c>
      <c r="H837" s="3" t="s">
        <v>14</v>
      </c>
      <c r="I837" s="3">
        <v>0.0</v>
      </c>
      <c r="J837" s="3" t="s">
        <v>48</v>
      </c>
    </row>
    <row r="838">
      <c r="C838" s="3" t="s">
        <v>17</v>
      </c>
      <c r="D838" s="3">
        <v>5127.0</v>
      </c>
      <c r="E838" s="3" t="s">
        <v>811</v>
      </c>
      <c r="F838" s="5">
        <v>46142.70600694444</v>
      </c>
      <c r="G838" s="5">
        <v>46142.539560185185</v>
      </c>
      <c r="H838" s="3" t="s">
        <v>14</v>
      </c>
      <c r="I838" s="7">
        <v>0.0</v>
      </c>
      <c r="J838" s="3" t="s">
        <v>48</v>
      </c>
    </row>
    <row r="839">
      <c r="C839" s="3" t="s">
        <v>21</v>
      </c>
      <c r="D839" s="3">
        <v>5127.0</v>
      </c>
      <c r="E839" s="3" t="s">
        <v>811</v>
      </c>
      <c r="F839" s="5">
        <v>46142.81017361111</v>
      </c>
      <c r="G839" s="5">
        <v>46142.53962962963</v>
      </c>
      <c r="H839" s="3" t="s">
        <v>14</v>
      </c>
      <c r="I839" s="7">
        <v>0.0</v>
      </c>
      <c r="J839" s="3" t="s">
        <v>48</v>
      </c>
    </row>
    <row r="840">
      <c r="C840" s="3" t="s">
        <v>24</v>
      </c>
      <c r="D840" s="3">
        <v>5127.0</v>
      </c>
      <c r="E840" s="3" t="s">
        <v>811</v>
      </c>
      <c r="F840" s="5">
        <v>46143.80972222222</v>
      </c>
      <c r="G840" s="5">
        <v>46143.446284722224</v>
      </c>
      <c r="H840" s="3" t="s">
        <v>14</v>
      </c>
      <c r="I840" s="7">
        <v>0.0</v>
      </c>
      <c r="J840" s="3" t="s">
        <v>48</v>
      </c>
    </row>
    <row r="841">
      <c r="C841" s="3" t="s">
        <v>26</v>
      </c>
      <c r="D841" s="3">
        <v>5127.0</v>
      </c>
      <c r="E841" s="3" t="s">
        <v>811</v>
      </c>
      <c r="F841" s="5">
        <v>46144.43472222222</v>
      </c>
      <c r="G841" s="5">
        <v>46143.446377314816</v>
      </c>
      <c r="H841" s="3" t="s">
        <v>14</v>
      </c>
      <c r="I841" s="7">
        <v>0.0</v>
      </c>
      <c r="J841" s="3" t="s">
        <v>48</v>
      </c>
    </row>
    <row r="842">
      <c r="C842" s="3" t="s">
        <v>10</v>
      </c>
      <c r="D842" s="3">
        <v>5128.0</v>
      </c>
      <c r="E842" s="3" t="s">
        <v>109</v>
      </c>
      <c r="F842" s="5">
        <v>46143.70893518518</v>
      </c>
      <c r="G842" s="5">
        <v>46143.61503472222</v>
      </c>
      <c r="H842" s="3" t="s">
        <v>14</v>
      </c>
      <c r="I842" s="3">
        <v>0.0</v>
      </c>
      <c r="J842" s="3" t="s">
        <v>15</v>
      </c>
    </row>
    <row r="843">
      <c r="C843" s="3" t="s">
        <v>17</v>
      </c>
      <c r="D843" s="3">
        <v>5128.0</v>
      </c>
      <c r="E843" s="3" t="s">
        <v>109</v>
      </c>
      <c r="F843" s="5">
        <v>46143.71587962963</v>
      </c>
      <c r="G843" s="5">
        <v>46143.61509259259</v>
      </c>
      <c r="H843" s="3" t="s">
        <v>14</v>
      </c>
      <c r="I843" s="7">
        <v>0.0</v>
      </c>
      <c r="J843" s="3" t="s">
        <v>15</v>
      </c>
    </row>
    <row r="844">
      <c r="C844" s="3" t="s">
        <v>21</v>
      </c>
      <c r="D844" s="3">
        <v>5128.0</v>
      </c>
      <c r="E844" s="3" t="s">
        <v>109</v>
      </c>
      <c r="F844" s="5">
        <v>46143.8200462963</v>
      </c>
      <c r="G844" s="5">
        <v>46143.61519675926</v>
      </c>
      <c r="H844" s="3" t="s">
        <v>14</v>
      </c>
      <c r="I844" s="7">
        <v>0.0</v>
      </c>
      <c r="J844" s="3" t="s">
        <v>15</v>
      </c>
    </row>
    <row r="845">
      <c r="C845" s="3" t="s">
        <v>24</v>
      </c>
      <c r="D845" s="3">
        <v>5128.0</v>
      </c>
      <c r="E845" s="3" t="s">
        <v>109</v>
      </c>
      <c r="F845" s="5">
        <v>46144.819444444445</v>
      </c>
      <c r="G845" s="5">
        <v>46143.6153587963</v>
      </c>
      <c r="H845" s="3" t="s">
        <v>14</v>
      </c>
      <c r="I845" s="7">
        <v>0.0</v>
      </c>
      <c r="J845" s="3" t="s">
        <v>15</v>
      </c>
    </row>
    <row r="846">
      <c r="C846" s="3" t="s">
        <v>26</v>
      </c>
      <c r="D846" s="3">
        <v>5128.0</v>
      </c>
      <c r="E846" s="3" t="s">
        <v>109</v>
      </c>
      <c r="F846" s="5">
        <v>46146.444444444445</v>
      </c>
      <c r="G846" s="5">
        <v>46143.63475694445</v>
      </c>
      <c r="H846" s="3" t="s">
        <v>14</v>
      </c>
      <c r="I846" s="7">
        <v>0.0</v>
      </c>
      <c r="J846" s="3" t="s">
        <v>15</v>
      </c>
    </row>
    <row r="847">
      <c r="C847" s="3" t="s">
        <v>10</v>
      </c>
      <c r="D847" s="3">
        <v>5129.0</v>
      </c>
      <c r="E847" s="3" t="s">
        <v>818</v>
      </c>
      <c r="F847" s="5">
        <v>46143.7812962963</v>
      </c>
      <c r="G847" s="5">
        <v>46143.6150462963</v>
      </c>
      <c r="H847" s="3" t="s">
        <v>14</v>
      </c>
      <c r="I847" s="3">
        <v>0.0</v>
      </c>
      <c r="J847" s="3" t="s">
        <v>61</v>
      </c>
    </row>
    <row r="848">
      <c r="C848" s="3" t="s">
        <v>17</v>
      </c>
      <c r="D848" s="3">
        <v>5129.0</v>
      </c>
      <c r="E848" s="3" t="s">
        <v>818</v>
      </c>
      <c r="F848" s="5">
        <v>46143.78824074074</v>
      </c>
      <c r="G848" s="5">
        <v>46143.615115740744</v>
      </c>
      <c r="H848" s="3" t="s">
        <v>14</v>
      </c>
      <c r="I848" s="7">
        <v>0.0</v>
      </c>
      <c r="J848" s="3" t="s">
        <v>61</v>
      </c>
    </row>
    <row r="849">
      <c r="C849" s="3" t="s">
        <v>21</v>
      </c>
      <c r="D849" s="3">
        <v>5129.0</v>
      </c>
      <c r="E849" s="3" t="s">
        <v>818</v>
      </c>
      <c r="F849" s="5">
        <v>46144.49652777778</v>
      </c>
      <c r="G849" s="5">
        <v>46143.61525462963</v>
      </c>
      <c r="H849" s="3" t="s">
        <v>14</v>
      </c>
      <c r="I849" s="7">
        <v>0.0</v>
      </c>
      <c r="J849" s="3" t="s">
        <v>61</v>
      </c>
    </row>
    <row r="850">
      <c r="C850" s="3" t="s">
        <v>24</v>
      </c>
      <c r="D850" s="3">
        <v>5129.0</v>
      </c>
      <c r="E850" s="3" t="s">
        <v>818</v>
      </c>
      <c r="F850" s="5">
        <v>46146.49652777778</v>
      </c>
      <c r="G850" s="5">
        <v>46143.61541666667</v>
      </c>
      <c r="H850" s="3" t="s">
        <v>14</v>
      </c>
      <c r="I850" s="7">
        <v>0.0</v>
      </c>
      <c r="J850" s="3" t="s">
        <v>61</v>
      </c>
    </row>
    <row r="851">
      <c r="C851" s="3" t="s">
        <v>26</v>
      </c>
      <c r="D851" s="3">
        <v>5129.0</v>
      </c>
      <c r="E851" s="3" t="s">
        <v>818</v>
      </c>
      <c r="F851" s="5">
        <v>46146.538194444445</v>
      </c>
      <c r="G851" s="5">
        <v>46143.80259259259</v>
      </c>
      <c r="H851" s="3" t="s">
        <v>14</v>
      </c>
      <c r="I851" s="7">
        <v>0.0</v>
      </c>
      <c r="J851" s="3" t="s">
        <v>61</v>
      </c>
    </row>
    <row r="852">
      <c r="C852" s="3" t="s">
        <v>10</v>
      </c>
      <c r="D852" s="3">
        <v>5130.0</v>
      </c>
      <c r="E852" s="3" t="s">
        <v>761</v>
      </c>
      <c r="F852" s="5">
        <v>46143.81113425926</v>
      </c>
      <c r="G852" s="5">
        <v>46143.666342592594</v>
      </c>
      <c r="H852" s="3" t="s">
        <v>14</v>
      </c>
      <c r="I852" s="3">
        <v>0.0</v>
      </c>
      <c r="J852" s="3" t="s">
        <v>15</v>
      </c>
    </row>
    <row r="853">
      <c r="C853" s="3" t="s">
        <v>17</v>
      </c>
      <c r="D853" s="3">
        <v>5130.0</v>
      </c>
      <c r="E853" s="3" t="s">
        <v>761</v>
      </c>
      <c r="F853" s="5">
        <v>46143.818078703705</v>
      </c>
      <c r="G853" s="5">
        <v>46143.66646990741</v>
      </c>
      <c r="H853" s="3" t="s">
        <v>14</v>
      </c>
      <c r="I853" s="7">
        <v>0.0</v>
      </c>
      <c r="J853" s="3" t="s">
        <v>15</v>
      </c>
    </row>
    <row r="854">
      <c r="C854" s="3" t="s">
        <v>21</v>
      </c>
      <c r="D854" s="3">
        <v>5130.0</v>
      </c>
      <c r="E854" s="3" t="s">
        <v>761</v>
      </c>
      <c r="F854" s="5">
        <v>46144.52638888889</v>
      </c>
      <c r="G854" s="5">
        <v>46143.66653935185</v>
      </c>
      <c r="H854" s="3" t="s">
        <v>14</v>
      </c>
      <c r="I854" s="7">
        <v>0.0</v>
      </c>
      <c r="J854" s="3" t="s">
        <v>15</v>
      </c>
    </row>
    <row r="855">
      <c r="C855" s="3" t="s">
        <v>24</v>
      </c>
      <c r="D855" s="3">
        <v>5130.0</v>
      </c>
      <c r="E855" s="3" t="s">
        <v>761</v>
      </c>
      <c r="F855" s="5">
        <v>46146.52638888889</v>
      </c>
      <c r="G855" s="5">
        <v>46143.80253472222</v>
      </c>
      <c r="H855" s="3" t="s">
        <v>14</v>
      </c>
      <c r="I855" s="7">
        <v>0.0</v>
      </c>
      <c r="J855" s="3" t="s">
        <v>15</v>
      </c>
    </row>
    <row r="856">
      <c r="C856" s="3" t="s">
        <v>26</v>
      </c>
      <c r="D856" s="3">
        <v>5130.0</v>
      </c>
      <c r="E856" s="3" t="s">
        <v>761</v>
      </c>
      <c r="F856" s="5">
        <v>46146.56805555556</v>
      </c>
      <c r="G856" s="5">
        <v>46146.425046296295</v>
      </c>
      <c r="H856" s="3" t="s">
        <v>14</v>
      </c>
      <c r="I856" s="7">
        <v>0.0</v>
      </c>
      <c r="J856" s="3" t="s">
        <v>15</v>
      </c>
    </row>
    <row r="857">
      <c r="C857" s="3" t="s">
        <v>10</v>
      </c>
      <c r="D857" s="3">
        <v>5131.0</v>
      </c>
      <c r="E857" s="3" t="s">
        <v>825</v>
      </c>
      <c r="F857" s="5">
        <v>46144.455555555556</v>
      </c>
      <c r="G857" s="5">
        <v>46143.778402777774</v>
      </c>
      <c r="H857" s="3" t="s">
        <v>14</v>
      </c>
      <c r="I857" s="3">
        <v>0.0</v>
      </c>
      <c r="J857" s="3" t="s">
        <v>48</v>
      </c>
    </row>
    <row r="858">
      <c r="C858" s="3" t="s">
        <v>17</v>
      </c>
      <c r="D858" s="3">
        <v>5131.0</v>
      </c>
      <c r="E858" s="3" t="s">
        <v>825</v>
      </c>
      <c r="F858" s="5">
        <v>46144.4625</v>
      </c>
      <c r="G858" s="5">
        <v>46143.77851851852</v>
      </c>
      <c r="H858" s="3" t="s">
        <v>14</v>
      </c>
      <c r="I858" s="7">
        <v>0.0</v>
      </c>
      <c r="J858" s="3" t="s">
        <v>48</v>
      </c>
    </row>
    <row r="859">
      <c r="C859" s="3" t="s">
        <v>21</v>
      </c>
      <c r="D859" s="3">
        <v>5131.0</v>
      </c>
      <c r="E859" s="3" t="s">
        <v>825</v>
      </c>
      <c r="F859" s="5">
        <v>46144.566666666666</v>
      </c>
      <c r="G859" s="5">
        <v>46143.778715277775</v>
      </c>
      <c r="H859" s="3" t="s">
        <v>14</v>
      </c>
      <c r="I859" s="7">
        <v>0.0</v>
      </c>
      <c r="J859" s="3" t="s">
        <v>48</v>
      </c>
    </row>
    <row r="860">
      <c r="C860" s="3" t="s">
        <v>24</v>
      </c>
      <c r="D860" s="3">
        <v>5131.0</v>
      </c>
      <c r="E860" s="3" t="s">
        <v>825</v>
      </c>
      <c r="F860" s="5">
        <v>46146.566666666666</v>
      </c>
      <c r="G860" s="5">
        <v>46144.61231481482</v>
      </c>
      <c r="H860" s="3" t="s">
        <v>14</v>
      </c>
      <c r="I860" s="7">
        <v>0.0</v>
      </c>
      <c r="J860" s="3" t="s">
        <v>48</v>
      </c>
    </row>
    <row r="861">
      <c r="C861" s="3" t="s">
        <v>26</v>
      </c>
      <c r="D861" s="3">
        <v>5131.0</v>
      </c>
      <c r="E861" s="3" t="s">
        <v>825</v>
      </c>
      <c r="F861" s="5">
        <v>46146.60833333333</v>
      </c>
      <c r="G861" s="5">
        <v>46146.42511574074</v>
      </c>
      <c r="H861" s="3" t="s">
        <v>14</v>
      </c>
      <c r="I861" s="7">
        <v>0.0</v>
      </c>
      <c r="J861" s="3" t="s">
        <v>48</v>
      </c>
    </row>
    <row r="862">
      <c r="C862" s="3" t="s">
        <v>10</v>
      </c>
      <c r="D862" s="3">
        <v>5132.0</v>
      </c>
      <c r="E862" s="3" t="s">
        <v>830</v>
      </c>
      <c r="F862" s="5">
        <v>46144.65640046296</v>
      </c>
      <c r="G862" s="5">
        <v>46144.576516203706</v>
      </c>
      <c r="H862" s="3" t="s">
        <v>14</v>
      </c>
      <c r="I862" s="3">
        <v>0.0</v>
      </c>
      <c r="J862" s="3" t="s">
        <v>15</v>
      </c>
    </row>
    <row r="863">
      <c r="C863" s="3" t="s">
        <v>17</v>
      </c>
      <c r="D863" s="3">
        <v>5132.0</v>
      </c>
      <c r="E863" s="3" t="s">
        <v>830</v>
      </c>
      <c r="F863" s="5">
        <v>46144.66334490741</v>
      </c>
      <c r="G863" s="5">
        <v>46144.576736111114</v>
      </c>
      <c r="H863" s="3" t="s">
        <v>14</v>
      </c>
      <c r="I863" s="7">
        <v>0.0</v>
      </c>
      <c r="J863" s="3" t="s">
        <v>15</v>
      </c>
    </row>
    <row r="864">
      <c r="C864" s="3" t="s">
        <v>21</v>
      </c>
      <c r="D864" s="3">
        <v>5132.0</v>
      </c>
      <c r="E864" s="3" t="s">
        <v>830</v>
      </c>
      <c r="F864" s="5">
        <v>46144.76751157407</v>
      </c>
      <c r="G864" s="5">
        <v>46144.57678240741</v>
      </c>
      <c r="H864" s="3" t="s">
        <v>14</v>
      </c>
      <c r="I864" s="7">
        <v>0.0</v>
      </c>
      <c r="J864" s="3" t="s">
        <v>15</v>
      </c>
    </row>
    <row r="865">
      <c r="C865" s="3" t="s">
        <v>24</v>
      </c>
      <c r="D865" s="3">
        <v>5132.0</v>
      </c>
      <c r="E865" s="3" t="s">
        <v>830</v>
      </c>
      <c r="F865" s="5">
        <v>46146.76736111111</v>
      </c>
      <c r="G865" s="5">
        <v>46144.61238425926</v>
      </c>
      <c r="H865" s="3" t="s">
        <v>14</v>
      </c>
      <c r="I865" s="7">
        <v>0.0</v>
      </c>
      <c r="J865" s="3" t="s">
        <v>15</v>
      </c>
    </row>
    <row r="866">
      <c r="C866" s="3" t="s">
        <v>26</v>
      </c>
      <c r="D866" s="3">
        <v>5132.0</v>
      </c>
      <c r="E866" s="3" t="s">
        <v>830</v>
      </c>
      <c r="F866" s="5">
        <v>46146.80902777778</v>
      </c>
      <c r="G866" s="5">
        <v>46146.46832175926</v>
      </c>
      <c r="H866" s="3" t="s">
        <v>14</v>
      </c>
      <c r="I866" s="7">
        <v>0.0</v>
      </c>
      <c r="J866" s="3" t="s">
        <v>15</v>
      </c>
    </row>
    <row r="867">
      <c r="C867" s="3" t="s">
        <v>10</v>
      </c>
      <c r="D867" s="3">
        <v>5133.0</v>
      </c>
      <c r="E867" s="3" t="s">
        <v>833</v>
      </c>
      <c r="F867" s="5">
        <v>46144.688935185186</v>
      </c>
      <c r="G867" s="5">
        <v>46144.57635416667</v>
      </c>
      <c r="H867" s="3" t="s">
        <v>14</v>
      </c>
      <c r="I867" s="3">
        <v>0.0</v>
      </c>
      <c r="J867" s="3" t="s">
        <v>48</v>
      </c>
    </row>
    <row r="868">
      <c r="C868" s="3" t="s">
        <v>17</v>
      </c>
      <c r="D868" s="3">
        <v>5133.0</v>
      </c>
      <c r="E868" s="3" t="s">
        <v>833</v>
      </c>
      <c r="F868" s="5">
        <v>46144.69587962963</v>
      </c>
      <c r="G868" s="5">
        <v>46144.57659722222</v>
      </c>
      <c r="H868" s="3" t="s">
        <v>14</v>
      </c>
      <c r="I868" s="7">
        <v>0.0</v>
      </c>
      <c r="J868" s="3" t="s">
        <v>48</v>
      </c>
    </row>
    <row r="869">
      <c r="C869" s="3" t="s">
        <v>21</v>
      </c>
      <c r="D869" s="3">
        <v>5133.0</v>
      </c>
      <c r="E869" s="3" t="s">
        <v>833</v>
      </c>
      <c r="F869" s="5">
        <v>46144.800046296295</v>
      </c>
      <c r="G869" s="5">
        <v>46144.57667824074</v>
      </c>
      <c r="H869" s="3" t="s">
        <v>14</v>
      </c>
      <c r="I869" s="7">
        <v>0.0</v>
      </c>
      <c r="J869" s="3" t="s">
        <v>48</v>
      </c>
    </row>
    <row r="870">
      <c r="C870" s="3" t="s">
        <v>24</v>
      </c>
      <c r="D870" s="3">
        <v>5133.0</v>
      </c>
      <c r="E870" s="3" t="s">
        <v>833</v>
      </c>
      <c r="F870" s="5">
        <v>46146.8</v>
      </c>
      <c r="G870" s="5">
        <v>46144.61241898148</v>
      </c>
      <c r="H870" s="3" t="s">
        <v>14</v>
      </c>
      <c r="I870" s="7">
        <v>0.0</v>
      </c>
      <c r="J870" s="3" t="s">
        <v>48</v>
      </c>
    </row>
    <row r="871">
      <c r="C871" s="3" t="s">
        <v>26</v>
      </c>
      <c r="D871" s="3">
        <v>5133.0</v>
      </c>
      <c r="E871" s="3" t="s">
        <v>833</v>
      </c>
      <c r="F871" s="5">
        <v>46147.425</v>
      </c>
      <c r="G871" s="5">
        <v>46144.71013888889</v>
      </c>
      <c r="H871" s="3" t="s">
        <v>14</v>
      </c>
      <c r="I871" s="7">
        <v>0.0</v>
      </c>
      <c r="J871" s="3" t="s">
        <v>48</v>
      </c>
    </row>
    <row r="872">
      <c r="C872" s="3" t="s">
        <v>10</v>
      </c>
      <c r="D872" s="3">
        <v>5134.0</v>
      </c>
      <c r="E872" s="3" t="s">
        <v>838</v>
      </c>
      <c r="F872" s="5">
        <v>46144.73148148148</v>
      </c>
      <c r="G872" s="5">
        <v>46144.57693287037</v>
      </c>
      <c r="H872" s="3" t="s">
        <v>14</v>
      </c>
      <c r="I872" s="3">
        <v>0.0</v>
      </c>
      <c r="J872" s="3" t="s">
        <v>61</v>
      </c>
    </row>
    <row r="873">
      <c r="C873" s="3" t="s">
        <v>17</v>
      </c>
      <c r="D873" s="3">
        <v>5134.0</v>
      </c>
      <c r="E873" s="3" t="s">
        <v>838</v>
      </c>
      <c r="F873" s="5">
        <v>46144.73842592593</v>
      </c>
      <c r="G873" s="5">
        <v>46144.57696759259</v>
      </c>
      <c r="H873" s="3" t="s">
        <v>14</v>
      </c>
      <c r="I873" s="7">
        <v>0.0</v>
      </c>
      <c r="J873" s="3" t="s">
        <v>61</v>
      </c>
    </row>
    <row r="874">
      <c r="C874" s="3" t="s">
        <v>21</v>
      </c>
      <c r="D874" s="3">
        <v>5134.0</v>
      </c>
      <c r="E874" s="3" t="s">
        <v>838</v>
      </c>
      <c r="F874" s="5">
        <v>46146.44652777778</v>
      </c>
      <c r="G874" s="5">
        <v>46144.57707175926</v>
      </c>
      <c r="H874" s="3" t="s">
        <v>14</v>
      </c>
      <c r="I874" s="7">
        <v>0.0</v>
      </c>
      <c r="J874" s="3" t="s">
        <v>61</v>
      </c>
    </row>
    <row r="875">
      <c r="C875" s="3" t="s">
        <v>24</v>
      </c>
      <c r="D875" s="3">
        <v>5134.0</v>
      </c>
      <c r="E875" s="3" t="s">
        <v>838</v>
      </c>
      <c r="F875" s="5">
        <v>46147.44652777778</v>
      </c>
      <c r="G875" s="5">
        <v>46144.6124537037</v>
      </c>
      <c r="H875" s="3" t="s">
        <v>14</v>
      </c>
      <c r="I875" s="7">
        <v>0.0</v>
      </c>
      <c r="J875" s="3" t="s">
        <v>61</v>
      </c>
    </row>
    <row r="876">
      <c r="C876" s="3" t="s">
        <v>26</v>
      </c>
      <c r="D876" s="3">
        <v>5134.0</v>
      </c>
      <c r="E876" s="3" t="s">
        <v>838</v>
      </c>
      <c r="F876" s="5">
        <v>46147.48819444444</v>
      </c>
      <c r="G876" s="5">
        <v>46144.71497685185</v>
      </c>
      <c r="H876" s="3" t="s">
        <v>14</v>
      </c>
      <c r="I876" s="7">
        <v>0.0</v>
      </c>
      <c r="J876" s="3" t="s">
        <v>61</v>
      </c>
    </row>
    <row r="877">
      <c r="C877" s="3" t="s">
        <v>10</v>
      </c>
      <c r="D877" s="3">
        <v>5135.0</v>
      </c>
      <c r="E877" s="3" t="s">
        <v>840</v>
      </c>
      <c r="F877" s="5">
        <v>46146.805185185185</v>
      </c>
      <c r="G877" s="5">
        <v>46146.646678240744</v>
      </c>
      <c r="H877" s="3" t="s">
        <v>14</v>
      </c>
      <c r="I877" s="3">
        <v>0.0</v>
      </c>
      <c r="J877" s="3" t="s">
        <v>15</v>
      </c>
    </row>
    <row r="878">
      <c r="C878" s="3" t="s">
        <v>17</v>
      </c>
      <c r="D878" s="3">
        <v>5135.0</v>
      </c>
      <c r="E878" s="3" t="s">
        <v>840</v>
      </c>
      <c r="F878" s="5">
        <v>46146.81212962963</v>
      </c>
      <c r="G878" s="5">
        <v>46146.64671296296</v>
      </c>
      <c r="H878" s="3" t="s">
        <v>14</v>
      </c>
      <c r="I878" s="7">
        <v>0.0</v>
      </c>
      <c r="J878" s="3" t="s">
        <v>15</v>
      </c>
    </row>
    <row r="879">
      <c r="C879" s="3" t="s">
        <v>21</v>
      </c>
      <c r="D879" s="3">
        <v>5135.0</v>
      </c>
      <c r="E879" s="3" t="s">
        <v>840</v>
      </c>
      <c r="F879" s="5">
        <v>46147.478472222225</v>
      </c>
      <c r="G879" s="5">
        <v>46146.654965277776</v>
      </c>
      <c r="H879" s="3" t="s">
        <v>14</v>
      </c>
      <c r="I879" s="7">
        <v>0.0</v>
      </c>
      <c r="J879" s="3" t="s">
        <v>15</v>
      </c>
    </row>
    <row r="880">
      <c r="C880" s="3" t="s">
        <v>24</v>
      </c>
      <c r="D880" s="3">
        <v>5135.0</v>
      </c>
      <c r="E880" s="3" t="s">
        <v>840</v>
      </c>
      <c r="F880" s="5">
        <v>46148.478472222225</v>
      </c>
      <c r="G880" s="5">
        <v>46146.66444444445</v>
      </c>
      <c r="H880" s="3" t="s">
        <v>14</v>
      </c>
      <c r="I880" s="7">
        <v>0.0</v>
      </c>
      <c r="J880" s="3" t="s">
        <v>15</v>
      </c>
    </row>
    <row r="881">
      <c r="C881" s="3" t="s">
        <v>26</v>
      </c>
      <c r="D881" s="3">
        <v>5135.0</v>
      </c>
      <c r="E881" s="3" t="s">
        <v>840</v>
      </c>
      <c r="F881" s="5">
        <v>46148.52013888889</v>
      </c>
      <c r="G881" s="5">
        <v>46146.66447916667</v>
      </c>
      <c r="H881" s="3" t="s">
        <v>14</v>
      </c>
      <c r="I881" s="7">
        <v>0.0</v>
      </c>
      <c r="J881" s="3" t="s">
        <v>15</v>
      </c>
    </row>
    <row r="882">
      <c r="C882" s="3" t="s">
        <v>10</v>
      </c>
      <c r="D882" s="3">
        <v>5136.0</v>
      </c>
      <c r="E882" s="3" t="s">
        <v>845</v>
      </c>
      <c r="F882" s="5">
        <v>46147.43819444445</v>
      </c>
      <c r="G882" s="5">
        <v>46146.71611111111</v>
      </c>
      <c r="H882" s="3" t="s">
        <v>14</v>
      </c>
      <c r="I882" s="3">
        <v>0.0</v>
      </c>
      <c r="J882" s="3" t="s">
        <v>61</v>
      </c>
    </row>
    <row r="883">
      <c r="C883" s="3" t="s">
        <v>17</v>
      </c>
      <c r="D883" s="3">
        <v>5136.0</v>
      </c>
      <c r="E883" s="3" t="s">
        <v>845</v>
      </c>
      <c r="F883" s="5">
        <v>46147.44513888889</v>
      </c>
      <c r="G883" s="5">
        <v>46146.716157407405</v>
      </c>
      <c r="H883" s="3" t="s">
        <v>14</v>
      </c>
      <c r="I883" s="7">
        <v>0.0</v>
      </c>
      <c r="J883" s="3" t="s">
        <v>61</v>
      </c>
    </row>
    <row r="884">
      <c r="C884" s="3" t="s">
        <v>21</v>
      </c>
      <c r="D884" s="3">
        <v>5136.0</v>
      </c>
      <c r="E884" s="3" t="s">
        <v>845</v>
      </c>
      <c r="F884" s="5">
        <v>46147.549305555556</v>
      </c>
      <c r="G884" s="5">
        <v>46146.71603009259</v>
      </c>
      <c r="H884" s="3" t="s">
        <v>14</v>
      </c>
      <c r="I884" s="7">
        <v>0.0</v>
      </c>
      <c r="J884" s="3" t="s">
        <v>61</v>
      </c>
    </row>
    <row r="885">
      <c r="C885" s="3" t="s">
        <v>24</v>
      </c>
      <c r="D885" s="3">
        <v>5136.0</v>
      </c>
      <c r="E885" s="3" t="s">
        <v>845</v>
      </c>
      <c r="F885" s="5">
        <v>46148.549305555556</v>
      </c>
      <c r="G885" s="5">
        <v>46146.750243055554</v>
      </c>
      <c r="H885" s="3" t="s">
        <v>14</v>
      </c>
      <c r="I885" s="7">
        <v>0.0</v>
      </c>
      <c r="J885" s="3" t="s">
        <v>61</v>
      </c>
    </row>
    <row r="886">
      <c r="C886" s="3" t="s">
        <v>26</v>
      </c>
      <c r="D886" s="3">
        <v>5136.0</v>
      </c>
      <c r="E886" s="3" t="s">
        <v>845</v>
      </c>
      <c r="F886" s="5">
        <v>46148.59097222222</v>
      </c>
      <c r="G886" s="5">
        <v>46146.750451388885</v>
      </c>
      <c r="H886" s="3" t="s">
        <v>14</v>
      </c>
      <c r="I886" s="7">
        <v>0.0</v>
      </c>
      <c r="J886" s="3" t="s">
        <v>61</v>
      </c>
    </row>
    <row r="887">
      <c r="C887" s="3" t="s">
        <v>10</v>
      </c>
      <c r="D887" s="3">
        <v>5137.0</v>
      </c>
      <c r="E887" s="3" t="s">
        <v>800</v>
      </c>
      <c r="F887" s="5">
        <v>46147.46805555555</v>
      </c>
      <c r="G887" s="5">
        <v>46146.75003472222</v>
      </c>
      <c r="H887" s="3" t="s">
        <v>14</v>
      </c>
      <c r="I887" s="3">
        <v>0.0</v>
      </c>
      <c r="J887" s="3" t="s">
        <v>15</v>
      </c>
    </row>
    <row r="888">
      <c r="C888" s="3" t="s">
        <v>17</v>
      </c>
      <c r="D888" s="3">
        <v>5137.0</v>
      </c>
      <c r="E888" s="3" t="s">
        <v>800</v>
      </c>
      <c r="F888" s="5">
        <v>46147.475</v>
      </c>
      <c r="G888" s="5">
        <v>46146.75010416667</v>
      </c>
      <c r="H888" s="3" t="s">
        <v>14</v>
      </c>
      <c r="I888" s="7">
        <v>0.0</v>
      </c>
      <c r="J888" s="3" t="s">
        <v>15</v>
      </c>
    </row>
    <row r="889">
      <c r="C889" s="3" t="s">
        <v>21</v>
      </c>
      <c r="D889" s="3">
        <v>5137.0</v>
      </c>
      <c r="E889" s="3" t="s">
        <v>800</v>
      </c>
      <c r="F889" s="5">
        <v>46147.57916666667</v>
      </c>
      <c r="G889" s="5">
        <v>46146.75016203704</v>
      </c>
      <c r="H889" s="3" t="s">
        <v>14</v>
      </c>
      <c r="I889" s="7">
        <v>0.0</v>
      </c>
      <c r="J889" s="3" t="s">
        <v>15</v>
      </c>
    </row>
    <row r="890">
      <c r="C890" s="3" t="s">
        <v>24</v>
      </c>
      <c r="D890" s="3">
        <v>5137.0</v>
      </c>
      <c r="E890" s="3" t="s">
        <v>800</v>
      </c>
      <c r="F890" s="5">
        <v>46148.57916666667</v>
      </c>
      <c r="G890" s="5">
        <v>46146.75032407408</v>
      </c>
      <c r="H890" s="3" t="s">
        <v>14</v>
      </c>
      <c r="I890" s="7">
        <v>0.0</v>
      </c>
      <c r="J890" s="3" t="s">
        <v>15</v>
      </c>
    </row>
    <row r="891">
      <c r="C891" s="3" t="s">
        <v>26</v>
      </c>
      <c r="D891" s="3">
        <v>5137.0</v>
      </c>
      <c r="E891" s="3" t="s">
        <v>800</v>
      </c>
      <c r="F891" s="5">
        <v>46148.620833333334</v>
      </c>
      <c r="G891" s="5">
        <v>46146.758680555555</v>
      </c>
      <c r="H891" s="3" t="s">
        <v>14</v>
      </c>
      <c r="I891" s="7">
        <v>0.0</v>
      </c>
      <c r="J891" s="3" t="s">
        <v>15</v>
      </c>
    </row>
    <row r="892">
      <c r="C892" s="3" t="s">
        <v>10</v>
      </c>
      <c r="D892" s="3">
        <v>5138.0</v>
      </c>
      <c r="E892" s="3" t="s">
        <v>852</v>
      </c>
      <c r="F892" s="5">
        <v>46147.648668981485</v>
      </c>
      <c r="G892" s="5">
        <v>46147.49459490741</v>
      </c>
      <c r="H892" s="3" t="s">
        <v>14</v>
      </c>
      <c r="I892" s="3">
        <v>0.0</v>
      </c>
      <c r="J892" s="3" t="s">
        <v>61</v>
      </c>
    </row>
    <row r="893">
      <c r="C893" s="3" t="s">
        <v>17</v>
      </c>
      <c r="D893" s="3">
        <v>5138.0</v>
      </c>
      <c r="E893" s="3" t="s">
        <v>852</v>
      </c>
      <c r="F893" s="5">
        <v>46147.65561342592</v>
      </c>
      <c r="G893" s="5">
        <v>46147.49465277778</v>
      </c>
      <c r="H893" s="3" t="s">
        <v>14</v>
      </c>
      <c r="I893" s="7">
        <v>0.0</v>
      </c>
      <c r="J893" s="3" t="s">
        <v>61</v>
      </c>
    </row>
    <row r="894">
      <c r="C894" s="3" t="s">
        <v>21</v>
      </c>
      <c r="D894" s="3">
        <v>5138.0</v>
      </c>
      <c r="E894" s="3" t="s">
        <v>852</v>
      </c>
      <c r="F894" s="5">
        <v>46147.759780092594</v>
      </c>
      <c r="G894" s="5">
        <v>46147.50832175926</v>
      </c>
      <c r="H894" s="3" t="s">
        <v>14</v>
      </c>
      <c r="I894" s="7">
        <v>0.0</v>
      </c>
      <c r="J894" s="3" t="s">
        <v>61</v>
      </c>
    </row>
    <row r="895">
      <c r="C895" s="3" t="s">
        <v>24</v>
      </c>
      <c r="D895" s="3">
        <v>5138.0</v>
      </c>
      <c r="E895" s="3" t="s">
        <v>852</v>
      </c>
      <c r="F895" s="5">
        <v>46148.759722222225</v>
      </c>
      <c r="G895" s="5">
        <v>46147.56033564815</v>
      </c>
      <c r="H895" s="3" t="s">
        <v>14</v>
      </c>
      <c r="I895" s="7">
        <v>0.0</v>
      </c>
      <c r="J895" s="3" t="s">
        <v>61</v>
      </c>
    </row>
    <row r="896">
      <c r="C896" s="3" t="s">
        <v>26</v>
      </c>
      <c r="D896" s="3">
        <v>5138.0</v>
      </c>
      <c r="E896" s="3" t="s">
        <v>852</v>
      </c>
      <c r="F896" s="5">
        <v>46148.80138888889</v>
      </c>
      <c r="G896" s="5">
        <v>46147.56039351852</v>
      </c>
      <c r="H896" s="3" t="s">
        <v>14</v>
      </c>
      <c r="I896" s="7">
        <v>0.0</v>
      </c>
      <c r="J896" s="3" t="s">
        <v>61</v>
      </c>
    </row>
    <row r="897">
      <c r="C897" s="3" t="s">
        <v>10</v>
      </c>
      <c r="D897" s="3">
        <v>5139.0</v>
      </c>
      <c r="E897" s="3" t="s">
        <v>856</v>
      </c>
      <c r="F897" s="5">
        <v>46148.7221875</v>
      </c>
      <c r="G897" s="5">
        <v>46148.63930555555</v>
      </c>
      <c r="H897" s="3" t="s">
        <v>14</v>
      </c>
      <c r="I897" s="3">
        <v>0.0</v>
      </c>
      <c r="J897" s="3" t="s">
        <v>72</v>
      </c>
    </row>
    <row r="898">
      <c r="C898" s="3" t="s">
        <v>17</v>
      </c>
      <c r="D898" s="3">
        <v>5139.0</v>
      </c>
      <c r="E898" s="3" t="s">
        <v>856</v>
      </c>
      <c r="F898" s="5">
        <v>46148.72913194444</v>
      </c>
      <c r="G898" s="5">
        <v>46148.6394212963</v>
      </c>
      <c r="H898" s="3" t="s">
        <v>14</v>
      </c>
      <c r="I898" s="7">
        <v>0.0</v>
      </c>
      <c r="J898" s="3" t="s">
        <v>72</v>
      </c>
    </row>
    <row r="899">
      <c r="C899" s="3" t="s">
        <v>21</v>
      </c>
      <c r="D899" s="3">
        <v>5139.0</v>
      </c>
      <c r="E899" s="3" t="s">
        <v>856</v>
      </c>
      <c r="F899" s="5">
        <v>46148.83329861111</v>
      </c>
      <c r="G899" s="5">
        <v>46148.63947916667</v>
      </c>
      <c r="H899" s="3" t="s">
        <v>14</v>
      </c>
      <c r="I899" s="7">
        <v>0.0</v>
      </c>
      <c r="J899" s="3" t="s">
        <v>72</v>
      </c>
    </row>
    <row r="900">
      <c r="C900" s="3" t="s">
        <v>24</v>
      </c>
      <c r="D900" s="3">
        <v>5139.0</v>
      </c>
      <c r="E900" s="3" t="s">
        <v>856</v>
      </c>
      <c r="F900" s="5">
        <v>46149.83263888889</v>
      </c>
      <c r="G900" s="5">
        <v>46148.768171296295</v>
      </c>
      <c r="H900" s="3" t="s">
        <v>14</v>
      </c>
      <c r="I900" s="7">
        <v>0.0</v>
      </c>
      <c r="J900" s="3" t="s">
        <v>72</v>
      </c>
    </row>
    <row r="901">
      <c r="C901" s="3" t="s">
        <v>26</v>
      </c>
      <c r="D901" s="3">
        <v>5139.0</v>
      </c>
      <c r="E901" s="3" t="s">
        <v>856</v>
      </c>
      <c r="F901" s="5">
        <v>46150.45763888889</v>
      </c>
      <c r="G901" s="5">
        <v>46150.414375</v>
      </c>
      <c r="H901" s="3" t="s">
        <v>14</v>
      </c>
      <c r="I901" s="7">
        <v>0.0</v>
      </c>
      <c r="J901" s="3" t="s">
        <v>72</v>
      </c>
    </row>
    <row r="902">
      <c r="C902" s="3" t="s">
        <v>10</v>
      </c>
      <c r="D902" s="3">
        <v>5140.0</v>
      </c>
      <c r="E902" s="3" t="s">
        <v>859</v>
      </c>
      <c r="F902" s="5">
        <v>46149.450694444444</v>
      </c>
      <c r="G902" s="5">
        <v>46148.72006944445</v>
      </c>
      <c r="H902" s="3" t="s">
        <v>14</v>
      </c>
      <c r="I902" s="3">
        <v>0.0</v>
      </c>
      <c r="J902" s="3" t="s">
        <v>15</v>
      </c>
    </row>
    <row r="903">
      <c r="C903" s="3" t="s">
        <v>17</v>
      </c>
      <c r="D903" s="3">
        <v>5140.0</v>
      </c>
      <c r="E903" s="3" t="s">
        <v>859</v>
      </c>
      <c r="F903" s="5">
        <v>46149.45763888889</v>
      </c>
      <c r="G903" s="5">
        <v>46148.72016203704</v>
      </c>
      <c r="H903" s="3" t="s">
        <v>14</v>
      </c>
      <c r="I903" s="7">
        <v>0.0</v>
      </c>
      <c r="J903" s="3" t="s">
        <v>15</v>
      </c>
    </row>
    <row r="904">
      <c r="C904" s="3" t="s">
        <v>21</v>
      </c>
      <c r="D904" s="3">
        <v>5140.0</v>
      </c>
      <c r="E904" s="3" t="s">
        <v>859</v>
      </c>
      <c r="F904" s="5">
        <v>46149.56180555555</v>
      </c>
      <c r="G904" s="5">
        <v>46148.768125</v>
      </c>
      <c r="H904" s="3" t="s">
        <v>14</v>
      </c>
      <c r="I904" s="7">
        <v>0.0</v>
      </c>
      <c r="J904" s="3" t="s">
        <v>15</v>
      </c>
    </row>
    <row r="905">
      <c r="C905" s="3" t="s">
        <v>24</v>
      </c>
      <c r="D905" s="3">
        <v>5140.0</v>
      </c>
      <c r="E905" s="3" t="s">
        <v>859</v>
      </c>
      <c r="F905" s="5">
        <v>46150.56180555555</v>
      </c>
      <c r="G905" s="5">
        <v>46148.76813657407</v>
      </c>
      <c r="H905" s="3" t="s">
        <v>14</v>
      </c>
      <c r="I905" s="7">
        <v>0.0</v>
      </c>
      <c r="J905" s="3" t="s">
        <v>15</v>
      </c>
    </row>
    <row r="906">
      <c r="C906" s="3" t="s">
        <v>26</v>
      </c>
      <c r="D906" s="3">
        <v>5140.0</v>
      </c>
      <c r="E906" s="3" t="s">
        <v>859</v>
      </c>
      <c r="F906" s="5">
        <v>46150.603472222225</v>
      </c>
      <c r="G906" s="5">
        <v>46148.78011574074</v>
      </c>
      <c r="H906" s="3" t="s">
        <v>14</v>
      </c>
      <c r="I906" s="7">
        <v>0.0</v>
      </c>
      <c r="J906" s="3" t="s">
        <v>15</v>
      </c>
    </row>
    <row r="907">
      <c r="C907" s="3" t="s">
        <v>10</v>
      </c>
      <c r="D907" s="3">
        <v>5141.0</v>
      </c>
      <c r="E907" s="3" t="s">
        <v>864</v>
      </c>
      <c r="F907" s="5">
        <v>46150.42222222222</v>
      </c>
      <c r="G907" s="5">
        <v>46149.94422453704</v>
      </c>
      <c r="H907" s="3" t="s">
        <v>14</v>
      </c>
      <c r="I907" s="3">
        <v>0.0</v>
      </c>
      <c r="J907" s="3" t="s">
        <v>61</v>
      </c>
    </row>
    <row r="908">
      <c r="C908" s="3" t="s">
        <v>17</v>
      </c>
      <c r="D908" s="3">
        <v>5141.0</v>
      </c>
      <c r="E908" s="3" t="s">
        <v>864</v>
      </c>
      <c r="F908" s="5">
        <v>46150.42916666667</v>
      </c>
      <c r="G908" s="5">
        <v>46149.94461805555</v>
      </c>
      <c r="H908" s="3" t="s">
        <v>14</v>
      </c>
      <c r="I908" s="7">
        <v>0.0</v>
      </c>
      <c r="J908" s="3" t="s">
        <v>61</v>
      </c>
    </row>
    <row r="909">
      <c r="C909" s="3" t="s">
        <v>21</v>
      </c>
      <c r="D909" s="3">
        <v>5141.0</v>
      </c>
      <c r="E909" s="3" t="s">
        <v>864</v>
      </c>
      <c r="F909" s="5">
        <v>46150.53333333333</v>
      </c>
      <c r="G909" s="5">
        <v>46150.47943287037</v>
      </c>
      <c r="H909" s="3" t="s">
        <v>14</v>
      </c>
      <c r="I909" s="7">
        <v>0.0</v>
      </c>
      <c r="J909" s="3" t="s">
        <v>61</v>
      </c>
    </row>
    <row r="910">
      <c r="C910" s="3" t="s">
        <v>24</v>
      </c>
      <c r="D910" s="3">
        <v>5141.0</v>
      </c>
      <c r="E910" s="3" t="s">
        <v>864</v>
      </c>
      <c r="F910" s="5">
        <v>46151.53333333333</v>
      </c>
      <c r="G910" s="5">
        <v>46150.479479166665</v>
      </c>
      <c r="H910" s="3" t="s">
        <v>14</v>
      </c>
      <c r="I910" s="7">
        <v>0.0</v>
      </c>
      <c r="J910" s="3" t="s">
        <v>61</v>
      </c>
    </row>
    <row r="911">
      <c r="C911" s="3" t="s">
        <v>26</v>
      </c>
      <c r="D911" s="3">
        <v>5141.0</v>
      </c>
      <c r="E911" s="3" t="s">
        <v>864</v>
      </c>
      <c r="F911" s="5">
        <v>46151.575</v>
      </c>
      <c r="G911" s="5">
        <v>46150.47956018519</v>
      </c>
      <c r="H911" s="3" t="s">
        <v>14</v>
      </c>
      <c r="I911" s="7">
        <v>0.0</v>
      </c>
      <c r="J911" s="3" t="s">
        <v>61</v>
      </c>
    </row>
    <row r="912">
      <c r="C912" s="3" t="s">
        <v>10</v>
      </c>
      <c r="D912" s="3">
        <v>5142.0</v>
      </c>
      <c r="E912" s="3" t="s">
        <v>705</v>
      </c>
      <c r="F912" s="5">
        <v>46150.45277777778</v>
      </c>
      <c r="G912" s="5">
        <v>46149.94425925926</v>
      </c>
      <c r="H912" s="3" t="s">
        <v>14</v>
      </c>
      <c r="I912" s="3">
        <v>0.0</v>
      </c>
      <c r="J912" s="3" t="s">
        <v>15</v>
      </c>
    </row>
    <row r="913">
      <c r="C913" s="3" t="s">
        <v>17</v>
      </c>
      <c r="D913" s="3">
        <v>5142.0</v>
      </c>
      <c r="E913" s="3" t="s">
        <v>705</v>
      </c>
      <c r="F913" s="5">
        <v>46150.45972222222</v>
      </c>
      <c r="G913" s="5">
        <v>46149.94466435185</v>
      </c>
      <c r="H913" s="3" t="s">
        <v>14</v>
      </c>
      <c r="I913" s="7">
        <v>0.0</v>
      </c>
      <c r="J913" s="3" t="s">
        <v>15</v>
      </c>
    </row>
    <row r="914">
      <c r="C914" s="3" t="s">
        <v>21</v>
      </c>
      <c r="D914" s="3">
        <v>5142.0</v>
      </c>
      <c r="E914" s="3" t="s">
        <v>705</v>
      </c>
      <c r="F914" s="5">
        <v>46150.563888888886</v>
      </c>
      <c r="G914" s="5">
        <v>46150.47945601852</v>
      </c>
      <c r="H914" s="3" t="s">
        <v>14</v>
      </c>
      <c r="I914" s="7">
        <v>0.0</v>
      </c>
      <c r="J914" s="3" t="s">
        <v>15</v>
      </c>
    </row>
    <row r="915">
      <c r="C915" s="3" t="s">
        <v>24</v>
      </c>
      <c r="D915" s="3">
        <v>5142.0</v>
      </c>
      <c r="E915" s="3" t="s">
        <v>705</v>
      </c>
      <c r="F915" s="5">
        <v>46151.563888888886</v>
      </c>
      <c r="G915" s="5">
        <v>46150.47950231482</v>
      </c>
      <c r="H915" s="3" t="s">
        <v>14</v>
      </c>
      <c r="I915" s="7">
        <v>0.0</v>
      </c>
      <c r="J915" s="3" t="s">
        <v>15</v>
      </c>
    </row>
    <row r="916">
      <c r="C916" s="3" t="s">
        <v>26</v>
      </c>
      <c r="D916" s="3">
        <v>5142.0</v>
      </c>
      <c r="E916" s="3" t="s">
        <v>705</v>
      </c>
      <c r="F916" s="5">
        <v>46151.60555555556</v>
      </c>
      <c r="G916" s="5">
        <v>46150.479583333334</v>
      </c>
      <c r="H916" s="3" t="s">
        <v>14</v>
      </c>
      <c r="I916" s="7">
        <v>0.0</v>
      </c>
      <c r="J916" s="3" t="s">
        <v>15</v>
      </c>
    </row>
    <row r="917">
      <c r="C917" s="3" t="s">
        <v>10</v>
      </c>
      <c r="D917" s="3">
        <v>5143.0</v>
      </c>
      <c r="E917" s="3" t="s">
        <v>869</v>
      </c>
      <c r="F917" s="5">
        <v>46151.48611111111</v>
      </c>
      <c r="G917" s="5">
        <v>46151.45458333333</v>
      </c>
      <c r="H917" s="3" t="s">
        <v>14</v>
      </c>
      <c r="I917" s="3">
        <v>0.0</v>
      </c>
      <c r="J917" s="3" t="s">
        <v>15</v>
      </c>
    </row>
    <row r="918">
      <c r="C918" s="3" t="s">
        <v>17</v>
      </c>
      <c r="D918" s="3">
        <v>5143.0</v>
      </c>
      <c r="E918" s="3" t="s">
        <v>869</v>
      </c>
      <c r="F918" s="5">
        <v>46151.493055555555</v>
      </c>
      <c r="G918" s="5">
        <v>46151.45465277778</v>
      </c>
      <c r="H918" s="3" t="s">
        <v>14</v>
      </c>
      <c r="I918" s="7">
        <v>0.0</v>
      </c>
      <c r="J918" s="3" t="s">
        <v>15</v>
      </c>
    </row>
    <row r="919">
      <c r="C919" s="3" t="s">
        <v>21</v>
      </c>
      <c r="D919" s="3">
        <v>5143.0</v>
      </c>
      <c r="E919" s="3" t="s">
        <v>869</v>
      </c>
      <c r="F919" s="5">
        <v>46151.59722222222</v>
      </c>
      <c r="G919" s="5">
        <v>46151.4546875</v>
      </c>
      <c r="H919" s="3" t="s">
        <v>14</v>
      </c>
      <c r="I919" s="7">
        <v>0.0</v>
      </c>
      <c r="J919" s="3" t="s">
        <v>15</v>
      </c>
    </row>
    <row r="920">
      <c r="C920" s="3" t="s">
        <v>24</v>
      </c>
      <c r="D920" s="3">
        <v>5143.0</v>
      </c>
      <c r="E920" s="3" t="s">
        <v>869</v>
      </c>
      <c r="F920" s="5">
        <v>46153.59722222222</v>
      </c>
      <c r="G920" s="5">
        <v>46151.52271990741</v>
      </c>
      <c r="H920" s="3" t="s">
        <v>14</v>
      </c>
      <c r="I920" s="7">
        <v>0.0</v>
      </c>
      <c r="J920" s="3" t="s">
        <v>15</v>
      </c>
    </row>
    <row r="921">
      <c r="C921" s="3" t="s">
        <v>26</v>
      </c>
      <c r="D921" s="3">
        <v>5143.0</v>
      </c>
      <c r="E921" s="3" t="s">
        <v>869</v>
      </c>
      <c r="F921" s="5">
        <v>46153.63888888889</v>
      </c>
      <c r="G921" s="5">
        <v>46151.52275462963</v>
      </c>
      <c r="H921" s="3" t="s">
        <v>14</v>
      </c>
      <c r="I921" s="7">
        <v>0.0</v>
      </c>
      <c r="J921" s="3" t="s">
        <v>15</v>
      </c>
    </row>
    <row r="922">
      <c r="C922" s="3" t="s">
        <v>10</v>
      </c>
      <c r="D922" s="3">
        <v>5144.0</v>
      </c>
      <c r="E922" s="3" t="s">
        <v>869</v>
      </c>
      <c r="F922" s="5">
        <v>46151.486805555556</v>
      </c>
      <c r="G922" s="5">
        <v>46151.45458333333</v>
      </c>
      <c r="H922" s="3" t="s">
        <v>14</v>
      </c>
      <c r="I922" s="3">
        <v>0.0</v>
      </c>
      <c r="J922" s="3" t="s">
        <v>15</v>
      </c>
    </row>
    <row r="923">
      <c r="C923" s="3" t="s">
        <v>17</v>
      </c>
      <c r="D923" s="3">
        <v>5144.0</v>
      </c>
      <c r="E923" s="3" t="s">
        <v>869</v>
      </c>
      <c r="F923" s="5">
        <v>46151.49375</v>
      </c>
      <c r="G923" s="5">
        <v>46151.49932870371</v>
      </c>
      <c r="H923" s="3" t="s">
        <v>14</v>
      </c>
      <c r="I923" s="7">
        <v>0.005578703703703704</v>
      </c>
      <c r="J923" s="3" t="s">
        <v>15</v>
      </c>
    </row>
    <row r="924">
      <c r="C924" s="3" t="s">
        <v>21</v>
      </c>
      <c r="D924" s="3">
        <v>5144.0</v>
      </c>
      <c r="E924" s="3" t="s">
        <v>869</v>
      </c>
      <c r="F924" s="5">
        <v>46151.597916666666</v>
      </c>
      <c r="G924" s="5">
        <v>46151.49932870371</v>
      </c>
      <c r="H924" s="3" t="s">
        <v>14</v>
      </c>
      <c r="I924" s="7">
        <v>0.0</v>
      </c>
      <c r="J924" s="3" t="s">
        <v>15</v>
      </c>
    </row>
    <row r="925">
      <c r="C925" s="3" t="s">
        <v>24</v>
      </c>
      <c r="D925" s="3">
        <v>5144.0</v>
      </c>
      <c r="E925" s="3" t="s">
        <v>869</v>
      </c>
      <c r="F925" s="5">
        <v>46153.597916666666</v>
      </c>
      <c r="G925" s="5">
        <v>46151.52271990741</v>
      </c>
      <c r="H925" s="3" t="s">
        <v>14</v>
      </c>
      <c r="I925" s="7">
        <v>0.0</v>
      </c>
      <c r="J925" s="3" t="s">
        <v>15</v>
      </c>
    </row>
    <row r="926">
      <c r="C926" s="3" t="s">
        <v>26</v>
      </c>
      <c r="D926" s="3">
        <v>5144.0</v>
      </c>
      <c r="E926" s="3" t="s">
        <v>869</v>
      </c>
      <c r="F926" s="5">
        <v>46153.63958333333</v>
      </c>
      <c r="G926" s="5">
        <v>46151.522777777776</v>
      </c>
      <c r="H926" s="3" t="s">
        <v>14</v>
      </c>
      <c r="I926" s="7">
        <v>0.0</v>
      </c>
      <c r="J926" s="3" t="s">
        <v>15</v>
      </c>
    </row>
    <row r="927">
      <c r="C927" s="3" t="s">
        <v>10</v>
      </c>
      <c r="D927" s="3">
        <v>5145.0</v>
      </c>
      <c r="E927" s="3" t="s">
        <v>875</v>
      </c>
      <c r="F927" s="5">
        <v>46151.782476851855</v>
      </c>
      <c r="G927" s="5">
        <v>46151.62563657408</v>
      </c>
      <c r="H927" s="3" t="s">
        <v>14</v>
      </c>
      <c r="I927" s="3">
        <v>0.0</v>
      </c>
      <c r="J927" s="3" t="s">
        <v>72</v>
      </c>
    </row>
    <row r="928">
      <c r="C928" s="3" t="s">
        <v>17</v>
      </c>
      <c r="D928" s="3">
        <v>5145.0</v>
      </c>
      <c r="E928" s="3" t="s">
        <v>875</v>
      </c>
      <c r="F928" s="5">
        <v>46151.78942129629</v>
      </c>
      <c r="G928" s="5">
        <v>46151.62569444445</v>
      </c>
      <c r="H928" s="3" t="s">
        <v>14</v>
      </c>
      <c r="I928" s="7">
        <v>0.0</v>
      </c>
      <c r="J928" s="3" t="s">
        <v>72</v>
      </c>
    </row>
    <row r="929">
      <c r="C929" s="3" t="s">
        <v>21</v>
      </c>
      <c r="D929" s="3">
        <v>5145.0</v>
      </c>
      <c r="E929" s="3" t="s">
        <v>875</v>
      </c>
      <c r="F929" s="5">
        <v>46153.49722222222</v>
      </c>
      <c r="G929" s="5">
        <v>46151.62574074074</v>
      </c>
      <c r="H929" s="3" t="s">
        <v>14</v>
      </c>
      <c r="I929" s="7">
        <v>0.0</v>
      </c>
      <c r="J929" s="3" t="s">
        <v>72</v>
      </c>
    </row>
    <row r="930">
      <c r="C930" s="3" t="s">
        <v>24</v>
      </c>
      <c r="D930" s="3">
        <v>5145.0</v>
      </c>
      <c r="E930" s="3" t="s">
        <v>875</v>
      </c>
      <c r="F930" s="5">
        <v>46154.49722222222</v>
      </c>
      <c r="G930" s="5">
        <v>46151.62577546296</v>
      </c>
      <c r="H930" s="3" t="s">
        <v>14</v>
      </c>
      <c r="I930" s="7">
        <v>0.0</v>
      </c>
      <c r="J930" s="3" t="s">
        <v>72</v>
      </c>
    </row>
    <row r="931">
      <c r="C931" s="3" t="s">
        <v>26</v>
      </c>
      <c r="D931" s="3">
        <v>5145.0</v>
      </c>
      <c r="E931" s="3" t="s">
        <v>875</v>
      </c>
      <c r="F931" s="5">
        <v>46154.53888888889</v>
      </c>
      <c r="G931" s="5">
        <v>46153.44393518518</v>
      </c>
      <c r="H931" s="3" t="s">
        <v>14</v>
      </c>
      <c r="I931" s="7">
        <v>0.0</v>
      </c>
      <c r="J931" s="3" t="s">
        <v>72</v>
      </c>
    </row>
    <row r="932">
      <c r="C932" s="3" t="s">
        <v>10</v>
      </c>
      <c r="D932" s="3">
        <v>5146.0</v>
      </c>
      <c r="E932" s="3" t="s">
        <v>875</v>
      </c>
      <c r="F932" s="5">
        <v>46151.783900462964</v>
      </c>
      <c r="G932" s="5">
        <v>46151.62563657408</v>
      </c>
      <c r="H932" s="3" t="s">
        <v>14</v>
      </c>
      <c r="I932" s="3">
        <v>0.0</v>
      </c>
      <c r="J932" s="3" t="s">
        <v>72</v>
      </c>
    </row>
    <row r="933">
      <c r="C933" s="3" t="s">
        <v>17</v>
      </c>
      <c r="D933" s="3">
        <v>5146.0</v>
      </c>
      <c r="E933" s="3" t="s">
        <v>875</v>
      </c>
      <c r="F933" s="5">
        <v>46151.79084490741</v>
      </c>
      <c r="G933" s="5">
        <v>46151.62569444445</v>
      </c>
      <c r="H933" s="3" t="s">
        <v>14</v>
      </c>
      <c r="I933" s="7">
        <v>0.0</v>
      </c>
      <c r="J933" s="3" t="s">
        <v>72</v>
      </c>
    </row>
    <row r="934">
      <c r="C934" s="3" t="s">
        <v>21</v>
      </c>
      <c r="D934" s="3">
        <v>5146.0</v>
      </c>
      <c r="E934" s="3" t="s">
        <v>875</v>
      </c>
      <c r="F934" s="5">
        <v>46153.498611111114</v>
      </c>
      <c r="G934" s="5">
        <v>46151.62574074074</v>
      </c>
      <c r="H934" s="3" t="s">
        <v>14</v>
      </c>
      <c r="I934" s="7">
        <v>0.0</v>
      </c>
      <c r="J934" s="3" t="s">
        <v>72</v>
      </c>
    </row>
    <row r="935">
      <c r="C935" s="3" t="s">
        <v>24</v>
      </c>
      <c r="D935" s="3">
        <v>5146.0</v>
      </c>
      <c r="E935" s="3" t="s">
        <v>875</v>
      </c>
      <c r="F935" s="5">
        <v>46154.498611111114</v>
      </c>
      <c r="G935" s="5">
        <v>46151.62578703704</v>
      </c>
      <c r="H935" s="3" t="s">
        <v>14</v>
      </c>
      <c r="I935" s="7">
        <v>0.0</v>
      </c>
      <c r="J935" s="3" t="s">
        <v>72</v>
      </c>
    </row>
    <row r="936">
      <c r="C936" s="3" t="s">
        <v>26</v>
      </c>
      <c r="D936" s="3">
        <v>5146.0</v>
      </c>
      <c r="E936" s="3" t="s">
        <v>875</v>
      </c>
      <c r="F936" s="5">
        <v>46154.54027777778</v>
      </c>
      <c r="G936" s="5">
        <v>46153.44394675926</v>
      </c>
      <c r="H936" s="3" t="s">
        <v>14</v>
      </c>
      <c r="I936" s="7">
        <v>0.0</v>
      </c>
      <c r="J936" s="3" t="s">
        <v>72</v>
      </c>
    </row>
    <row r="937">
      <c r="C937" s="3" t="s">
        <v>10</v>
      </c>
      <c r="D937" s="3">
        <v>5147.0</v>
      </c>
      <c r="E937" s="3" t="s">
        <v>882</v>
      </c>
      <c r="F937" s="5">
        <v>46153.45694444444</v>
      </c>
      <c r="G937" s="5">
        <v>46153.444016203706</v>
      </c>
      <c r="H937" s="3" t="s">
        <v>14</v>
      </c>
      <c r="I937" s="3">
        <v>0.0</v>
      </c>
      <c r="J937" s="3" t="s">
        <v>15</v>
      </c>
    </row>
    <row r="938">
      <c r="C938" s="3" t="s">
        <v>17</v>
      </c>
      <c r="D938" s="3">
        <v>5147.0</v>
      </c>
      <c r="E938" s="3" t="s">
        <v>882</v>
      </c>
      <c r="F938" s="5">
        <v>46153.46388888889</v>
      </c>
      <c r="G938" s="5">
        <v>46153.4441087963</v>
      </c>
      <c r="H938" s="3" t="s">
        <v>14</v>
      </c>
      <c r="I938" s="7">
        <v>0.0</v>
      </c>
      <c r="J938" s="3" t="s">
        <v>15</v>
      </c>
    </row>
    <row r="939">
      <c r="C939" s="3" t="s">
        <v>21</v>
      </c>
      <c r="D939" s="3">
        <v>5147.0</v>
      </c>
      <c r="E939" s="3" t="s">
        <v>882</v>
      </c>
      <c r="F939" s="5">
        <v>46153.56805555556</v>
      </c>
      <c r="G939" s="5">
        <v>46153.46864583333</v>
      </c>
      <c r="H939" s="3" t="s">
        <v>14</v>
      </c>
      <c r="I939" s="7">
        <v>0.0</v>
      </c>
      <c r="J939" s="3" t="s">
        <v>15</v>
      </c>
    </row>
    <row r="940">
      <c r="C940" s="3" t="s">
        <v>24</v>
      </c>
      <c r="D940" s="3">
        <v>5147.0</v>
      </c>
      <c r="E940" s="3" t="s">
        <v>882</v>
      </c>
      <c r="F940" s="5">
        <v>46154.56805555556</v>
      </c>
      <c r="G940" s="5">
        <v>46153.468726851854</v>
      </c>
      <c r="H940" s="3" t="s">
        <v>14</v>
      </c>
      <c r="I940" s="7">
        <v>0.0</v>
      </c>
      <c r="J940" s="3" t="s">
        <v>15</v>
      </c>
    </row>
    <row r="941">
      <c r="C941" s="3" t="s">
        <v>26</v>
      </c>
      <c r="D941" s="3">
        <v>5147.0</v>
      </c>
      <c r="E941" s="3" t="s">
        <v>882</v>
      </c>
      <c r="F941" s="5">
        <v>46154.60972222222</v>
      </c>
      <c r="G941" s="5">
        <v>46153.46876157408</v>
      </c>
      <c r="H941" s="3" t="s">
        <v>14</v>
      </c>
      <c r="I941" s="7">
        <v>0.0</v>
      </c>
      <c r="J941" s="3" t="s">
        <v>15</v>
      </c>
    </row>
    <row r="942">
      <c r="C942" s="3" t="s">
        <v>10</v>
      </c>
      <c r="D942" s="3">
        <v>5148.0</v>
      </c>
      <c r="E942" s="3" t="s">
        <v>886</v>
      </c>
      <c r="F942" s="5">
        <v>46153.66074074074</v>
      </c>
      <c r="G942" s="5">
        <v>46153.65225694444</v>
      </c>
      <c r="H942" s="3" t="s">
        <v>14</v>
      </c>
      <c r="I942" s="3">
        <v>0.0</v>
      </c>
      <c r="J942" s="3" t="s">
        <v>48</v>
      </c>
    </row>
    <row r="943">
      <c r="C943" s="3" t="s">
        <v>17</v>
      </c>
      <c r="D943" s="3">
        <v>5148.0</v>
      </c>
      <c r="E943" s="3" t="s">
        <v>886</v>
      </c>
      <c r="F943" s="5">
        <v>46153.66768518519</v>
      </c>
      <c r="G943" s="5">
        <v>46153.652280092596</v>
      </c>
      <c r="H943" s="3" t="s">
        <v>14</v>
      </c>
      <c r="I943" s="7">
        <v>0.0</v>
      </c>
      <c r="J943" s="3" t="s">
        <v>48</v>
      </c>
    </row>
    <row r="944">
      <c r="C944" s="3" t="s">
        <v>21</v>
      </c>
      <c r="D944" s="3">
        <v>5148.0</v>
      </c>
      <c r="E944" s="3" t="s">
        <v>886</v>
      </c>
      <c r="F944" s="5">
        <v>46153.77185185185</v>
      </c>
      <c r="G944" s="5">
        <v>46153.69405092593</v>
      </c>
      <c r="H944" s="3" t="s">
        <v>14</v>
      </c>
      <c r="I944" s="7">
        <v>0.0</v>
      </c>
      <c r="J944" s="3" t="s">
        <v>48</v>
      </c>
    </row>
    <row r="945">
      <c r="C945" s="3" t="s">
        <v>24</v>
      </c>
      <c r="D945" s="3">
        <v>5148.0</v>
      </c>
      <c r="E945" s="3" t="s">
        <v>886</v>
      </c>
      <c r="F945" s="5">
        <v>46154.771527777775</v>
      </c>
      <c r="G945" s="5">
        <v>46153.694074074076</v>
      </c>
      <c r="H945" s="3" t="s">
        <v>14</v>
      </c>
      <c r="I945" s="7">
        <v>0.0</v>
      </c>
      <c r="J945" s="3" t="s">
        <v>48</v>
      </c>
    </row>
    <row r="946">
      <c r="C946" s="3" t="s">
        <v>26</v>
      </c>
      <c r="D946" s="3">
        <v>5148.0</v>
      </c>
      <c r="E946" s="3" t="s">
        <v>886</v>
      </c>
      <c r="F946" s="5">
        <v>46154.81319444445</v>
      </c>
      <c r="G946" s="5">
        <v>46154.64097222222</v>
      </c>
      <c r="H946" s="3" t="s">
        <v>14</v>
      </c>
      <c r="I946" s="7">
        <v>0.0</v>
      </c>
      <c r="J946" s="3" t="s">
        <v>48</v>
      </c>
    </row>
    <row r="947">
      <c r="C947" s="3" t="s">
        <v>10</v>
      </c>
      <c r="D947" s="3">
        <v>5149.0</v>
      </c>
      <c r="E947" s="3" t="s">
        <v>538</v>
      </c>
      <c r="F947" s="5">
        <v>46154.81439814815</v>
      </c>
      <c r="G947" s="5">
        <v>46154.667291666665</v>
      </c>
      <c r="H947" s="3" t="s">
        <v>14</v>
      </c>
      <c r="I947" s="3">
        <v>0.0</v>
      </c>
      <c r="J947" s="3" t="s">
        <v>15</v>
      </c>
    </row>
    <row r="948">
      <c r="C948" s="3" t="s">
        <v>17</v>
      </c>
      <c r="D948" s="3">
        <v>5149.0</v>
      </c>
      <c r="E948" s="3" t="s">
        <v>538</v>
      </c>
      <c r="F948" s="5">
        <v>46154.82134259259</v>
      </c>
      <c r="G948" s="5">
        <v>46154.66738425926</v>
      </c>
      <c r="H948" s="3" t="s">
        <v>14</v>
      </c>
      <c r="I948" s="7">
        <v>0.0</v>
      </c>
      <c r="J948" s="3" t="s">
        <v>15</v>
      </c>
    </row>
    <row r="949">
      <c r="C949" s="3" t="s">
        <v>21</v>
      </c>
      <c r="D949" s="3">
        <v>5149.0</v>
      </c>
      <c r="E949" s="3" t="s">
        <v>538</v>
      </c>
      <c r="F949" s="5">
        <v>46155.52916666667</v>
      </c>
      <c r="G949" s="5">
        <v>46154.66743055556</v>
      </c>
      <c r="H949" s="3" t="s">
        <v>14</v>
      </c>
      <c r="I949" s="7">
        <v>0.0</v>
      </c>
      <c r="J949" s="3" t="s">
        <v>15</v>
      </c>
    </row>
    <row r="950">
      <c r="C950" s="3" t="s">
        <v>24</v>
      </c>
      <c r="D950" s="3">
        <v>5149.0</v>
      </c>
      <c r="E950" s="3" t="s">
        <v>538</v>
      </c>
      <c r="F950" s="5">
        <v>46156.52916666667</v>
      </c>
      <c r="G950" s="5">
        <v>46154.67519675926</v>
      </c>
      <c r="H950" s="3" t="s">
        <v>14</v>
      </c>
      <c r="I950" s="7">
        <v>0.0</v>
      </c>
      <c r="J950" s="3" t="s">
        <v>15</v>
      </c>
    </row>
    <row r="951">
      <c r="C951" s="3" t="s">
        <v>26</v>
      </c>
      <c r="D951" s="3">
        <v>5149.0</v>
      </c>
      <c r="E951" s="3" t="s">
        <v>538</v>
      </c>
      <c r="F951" s="5">
        <v>46156.57083333333</v>
      </c>
      <c r="G951" s="5">
        <v>46154.67524305556</v>
      </c>
      <c r="H951" s="3" t="s">
        <v>14</v>
      </c>
      <c r="I951" s="7">
        <v>0.0</v>
      </c>
      <c r="J951" s="3" t="s">
        <v>15</v>
      </c>
    </row>
    <row r="952">
      <c r="C952" s="3" t="s">
        <v>10</v>
      </c>
      <c r="D952" s="3">
        <v>5150.0</v>
      </c>
      <c r="E952" s="3" t="s">
        <v>894</v>
      </c>
      <c r="F952" s="5">
        <v>46154.817407407405</v>
      </c>
      <c r="G952" s="5">
        <v>46154.667291666665</v>
      </c>
      <c r="H952" s="3" t="s">
        <v>14</v>
      </c>
      <c r="I952" s="3">
        <v>0.0</v>
      </c>
      <c r="J952" s="3" t="s">
        <v>15</v>
      </c>
    </row>
    <row r="953">
      <c r="C953" s="3" t="s">
        <v>17</v>
      </c>
      <c r="D953" s="3">
        <v>5150.0</v>
      </c>
      <c r="E953" s="3" t="s">
        <v>894</v>
      </c>
      <c r="F953" s="5">
        <v>46154.82435185185</v>
      </c>
      <c r="G953" s="5">
        <v>46154.66744212963</v>
      </c>
      <c r="H953" s="3" t="s">
        <v>14</v>
      </c>
      <c r="I953" s="7">
        <v>0.0</v>
      </c>
      <c r="J953" s="3" t="s">
        <v>15</v>
      </c>
    </row>
    <row r="954">
      <c r="C954" s="3" t="s">
        <v>21</v>
      </c>
      <c r="D954" s="3">
        <v>5150.0</v>
      </c>
      <c r="E954" s="3" t="s">
        <v>894</v>
      </c>
      <c r="F954" s="5">
        <v>46155.532638888886</v>
      </c>
      <c r="G954" s="5">
        <v>46154.66744212963</v>
      </c>
      <c r="H954" s="3" t="s">
        <v>14</v>
      </c>
      <c r="I954" s="7">
        <v>0.0</v>
      </c>
      <c r="J954" s="3" t="s">
        <v>15</v>
      </c>
    </row>
    <row r="955">
      <c r="C955" s="3" t="s">
        <v>24</v>
      </c>
      <c r="D955" s="3">
        <v>5150.0</v>
      </c>
      <c r="E955" s="3" t="s">
        <v>894</v>
      </c>
      <c r="F955" s="5">
        <v>46156.532638888886</v>
      </c>
      <c r="G955" s="5">
        <v>46155.52170138889</v>
      </c>
      <c r="H955" s="3" t="s">
        <v>14</v>
      </c>
      <c r="I955" s="7">
        <v>0.0</v>
      </c>
      <c r="J955" s="3" t="s">
        <v>15</v>
      </c>
    </row>
    <row r="956">
      <c r="C956" s="3" t="s">
        <v>26</v>
      </c>
      <c r="D956" s="3">
        <v>5150.0</v>
      </c>
      <c r="E956" s="3" t="s">
        <v>894</v>
      </c>
      <c r="F956" s="5">
        <v>46156.57430555556</v>
      </c>
      <c r="G956" s="5">
        <v>46156.49759259259</v>
      </c>
      <c r="H956" s="3" t="s">
        <v>14</v>
      </c>
      <c r="I956" s="7">
        <v>0.0</v>
      </c>
      <c r="J956" s="3" t="s">
        <v>15</v>
      </c>
    </row>
    <row r="957">
      <c r="C957" s="3" t="s">
        <v>10</v>
      </c>
      <c r="D957" s="3">
        <v>5151.0</v>
      </c>
      <c r="E957" s="3" t="s">
        <v>898</v>
      </c>
      <c r="F957" s="5">
        <v>46155.45277777778</v>
      </c>
      <c r="G957" s="5">
        <v>46155.43822916667</v>
      </c>
      <c r="H957" s="3" t="s">
        <v>14</v>
      </c>
      <c r="I957" s="3">
        <v>0.0</v>
      </c>
      <c r="J957" s="3" t="s">
        <v>15</v>
      </c>
    </row>
    <row r="958">
      <c r="C958" s="3" t="s">
        <v>17</v>
      </c>
      <c r="D958" s="3">
        <v>5151.0</v>
      </c>
      <c r="E958" s="3" t="s">
        <v>898</v>
      </c>
      <c r="F958" s="5">
        <v>46155.45972222222</v>
      </c>
      <c r="G958" s="5">
        <v>46155.43832175926</v>
      </c>
      <c r="H958" s="3" t="s">
        <v>14</v>
      </c>
      <c r="I958" s="7">
        <v>0.0</v>
      </c>
      <c r="J958" s="3" t="s">
        <v>15</v>
      </c>
    </row>
    <row r="959">
      <c r="C959" s="3" t="s">
        <v>21</v>
      </c>
      <c r="D959" s="3">
        <v>5151.0</v>
      </c>
      <c r="E959" s="3" t="s">
        <v>898</v>
      </c>
      <c r="F959" s="5">
        <v>46155.563888888886</v>
      </c>
      <c r="G959" s="5">
        <v>46155.52166666667</v>
      </c>
      <c r="H959" s="3" t="s">
        <v>14</v>
      </c>
      <c r="I959" s="7">
        <v>0.0</v>
      </c>
      <c r="J959" s="3" t="s">
        <v>15</v>
      </c>
    </row>
    <row r="960">
      <c r="C960" s="3" t="s">
        <v>24</v>
      </c>
      <c r="D960" s="3">
        <v>5151.0</v>
      </c>
      <c r="E960" s="3" t="s">
        <v>898</v>
      </c>
      <c r="F960" s="5">
        <v>46156.563888888886</v>
      </c>
      <c r="G960" s="5">
        <v>46155.52271990741</v>
      </c>
      <c r="H960" s="3" t="s">
        <v>14</v>
      </c>
      <c r="I960" s="7">
        <v>0.0</v>
      </c>
      <c r="J960" s="3" t="s">
        <v>15</v>
      </c>
    </row>
    <row r="961">
      <c r="C961" s="3" t="s">
        <v>26</v>
      </c>
      <c r="D961" s="3">
        <v>5151.0</v>
      </c>
      <c r="E961" s="3" t="s">
        <v>898</v>
      </c>
      <c r="F961" s="5">
        <v>46156.60555555556</v>
      </c>
      <c r="G961" s="5">
        <v>46155.52287037037</v>
      </c>
      <c r="H961" s="3" t="s">
        <v>14</v>
      </c>
      <c r="I961" s="7">
        <v>0.0</v>
      </c>
      <c r="J961" s="3" t="s">
        <v>15</v>
      </c>
    </row>
    <row r="962">
      <c r="C962" s="3" t="s">
        <v>10</v>
      </c>
      <c r="D962" s="3">
        <v>5152.0</v>
      </c>
      <c r="E962" s="3" t="s">
        <v>905</v>
      </c>
      <c r="F962" s="5">
        <v>46157.42638888889</v>
      </c>
      <c r="G962" s="5">
        <v>46156.68101851852</v>
      </c>
      <c r="H962" s="3" t="s">
        <v>14</v>
      </c>
      <c r="I962" s="3">
        <v>0.0</v>
      </c>
      <c r="J962" s="3" t="s">
        <v>15</v>
      </c>
    </row>
    <row r="963">
      <c r="C963" s="3" t="s">
        <v>17</v>
      </c>
      <c r="D963" s="3">
        <v>5152.0</v>
      </c>
      <c r="E963" s="3" t="s">
        <v>905</v>
      </c>
      <c r="F963" s="5">
        <v>46157.433333333334</v>
      </c>
      <c r="G963" s="5">
        <v>46156.68116898148</v>
      </c>
      <c r="H963" s="3" t="s">
        <v>14</v>
      </c>
      <c r="I963" s="7">
        <v>0.0</v>
      </c>
      <c r="J963" s="3" t="s">
        <v>15</v>
      </c>
    </row>
    <row r="964">
      <c r="C964" s="3" t="s">
        <v>21</v>
      </c>
      <c r="D964" s="3">
        <v>5152.0</v>
      </c>
      <c r="E964" s="3" t="s">
        <v>905</v>
      </c>
      <c r="F964" s="5">
        <v>46157.5375</v>
      </c>
      <c r="G964" s="5">
        <v>46156.68261574074</v>
      </c>
      <c r="H964" s="3" t="s">
        <v>14</v>
      </c>
      <c r="I964" s="7">
        <v>0.0</v>
      </c>
      <c r="J964" s="3" t="s">
        <v>15</v>
      </c>
    </row>
    <row r="965">
      <c r="C965" s="3" t="s">
        <v>24</v>
      </c>
      <c r="D965" s="3">
        <v>5152.0</v>
      </c>
      <c r="E965" s="3" t="s">
        <v>905</v>
      </c>
      <c r="F965" s="5">
        <v>46158.5375</v>
      </c>
      <c r="G965" s="5">
        <v>46156.76127314815</v>
      </c>
      <c r="H965" s="3" t="s">
        <v>14</v>
      </c>
      <c r="I965" s="7">
        <v>0.0</v>
      </c>
      <c r="J965" s="3" t="s">
        <v>15</v>
      </c>
    </row>
    <row r="966">
      <c r="C966" s="3" t="s">
        <v>26</v>
      </c>
      <c r="D966" s="3">
        <v>5152.0</v>
      </c>
      <c r="E966" s="3" t="s">
        <v>905</v>
      </c>
      <c r="F966" s="5">
        <v>46158.57916666667</v>
      </c>
      <c r="G966" s="5">
        <v>46156.76137731481</v>
      </c>
      <c r="H966" s="3" t="s">
        <v>14</v>
      </c>
      <c r="I966" s="7">
        <v>0.0</v>
      </c>
      <c r="J966" s="3" t="s">
        <v>15</v>
      </c>
    </row>
    <row r="967">
      <c r="C967" s="3" t="s">
        <v>10</v>
      </c>
      <c r="D967" s="3">
        <v>5153.0</v>
      </c>
      <c r="E967" s="3" t="s">
        <v>910</v>
      </c>
      <c r="F967" s="5">
        <v>46157.42847222222</v>
      </c>
      <c r="G967" s="5">
        <v>46156.68105324074</v>
      </c>
      <c r="H967" s="3" t="s">
        <v>14</v>
      </c>
      <c r="I967" s="3">
        <v>0.0</v>
      </c>
      <c r="J967" s="3" t="s">
        <v>61</v>
      </c>
    </row>
    <row r="968">
      <c r="C968" s="3" t="s">
        <v>17</v>
      </c>
      <c r="D968" s="3">
        <v>5153.0</v>
      </c>
      <c r="E968" s="3" t="s">
        <v>910</v>
      </c>
      <c r="F968" s="5">
        <v>46157.43541666667</v>
      </c>
      <c r="G968" s="5">
        <v>46156.68116898148</v>
      </c>
      <c r="H968" s="3" t="s">
        <v>14</v>
      </c>
      <c r="I968" s="7">
        <v>0.0</v>
      </c>
      <c r="J968" s="3" t="s">
        <v>61</v>
      </c>
    </row>
    <row r="969">
      <c r="C969" s="3" t="s">
        <v>21</v>
      </c>
      <c r="D969" s="3">
        <v>5153.0</v>
      </c>
      <c r="E969" s="3" t="s">
        <v>910</v>
      </c>
      <c r="F969" s="5">
        <v>46157.53958333333</v>
      </c>
      <c r="G969" s="5">
        <v>46156.6825</v>
      </c>
      <c r="H969" s="3" t="s">
        <v>14</v>
      </c>
      <c r="I969" s="7">
        <v>0.0</v>
      </c>
      <c r="J969" s="3" t="s">
        <v>61</v>
      </c>
    </row>
    <row r="970">
      <c r="C970" s="3" t="s">
        <v>24</v>
      </c>
      <c r="D970" s="3">
        <v>5153.0</v>
      </c>
      <c r="E970" s="3" t="s">
        <v>910</v>
      </c>
      <c r="F970" s="5">
        <v>46158.53958333333</v>
      </c>
      <c r="G970" s="5">
        <v>46156.76127314815</v>
      </c>
      <c r="H970" s="3" t="s">
        <v>14</v>
      </c>
      <c r="I970" s="7">
        <v>0.0</v>
      </c>
      <c r="J970" s="3" t="s">
        <v>61</v>
      </c>
    </row>
    <row r="971">
      <c r="C971" s="3" t="s">
        <v>26</v>
      </c>
      <c r="D971" s="3">
        <v>5153.0</v>
      </c>
      <c r="E971" s="3" t="s">
        <v>910</v>
      </c>
      <c r="F971" s="5">
        <v>46158.58125</v>
      </c>
      <c r="G971" s="5">
        <v>46156.76136574074</v>
      </c>
      <c r="H971" s="3" t="s">
        <v>14</v>
      </c>
      <c r="I971" s="7">
        <v>0.0</v>
      </c>
      <c r="J971" s="3" t="s">
        <v>61</v>
      </c>
    </row>
    <row r="972">
      <c r="C972" s="3" t="s">
        <v>10</v>
      </c>
      <c r="D972" s="3">
        <v>5154.0</v>
      </c>
      <c r="E972" s="3" t="s">
        <v>913</v>
      </c>
      <c r="F972" s="5">
        <v>46157.45138888889</v>
      </c>
      <c r="G972" s="5">
        <v>46156.71737268518</v>
      </c>
      <c r="H972" s="3" t="s">
        <v>14</v>
      </c>
      <c r="I972" s="3">
        <v>0.0</v>
      </c>
      <c r="J972" s="3" t="s">
        <v>61</v>
      </c>
    </row>
    <row r="973">
      <c r="C973" s="3" t="s">
        <v>17</v>
      </c>
      <c r="D973" s="3">
        <v>5154.0</v>
      </c>
      <c r="E973" s="3" t="s">
        <v>913</v>
      </c>
      <c r="F973" s="5">
        <v>46157.458333333336</v>
      </c>
      <c r="G973" s="5">
        <v>46156.7175</v>
      </c>
      <c r="H973" s="3" t="s">
        <v>14</v>
      </c>
      <c r="I973" s="7">
        <v>0.0</v>
      </c>
      <c r="J973" s="3" t="s">
        <v>61</v>
      </c>
    </row>
    <row r="974">
      <c r="C974" s="3" t="s">
        <v>21</v>
      </c>
      <c r="D974" s="3">
        <v>5154.0</v>
      </c>
      <c r="E974" s="3" t="s">
        <v>913</v>
      </c>
      <c r="F974" s="5">
        <v>46157.5625</v>
      </c>
      <c r="G974" s="5">
        <v>46157.46469907407</v>
      </c>
      <c r="H974" s="3" t="s">
        <v>14</v>
      </c>
      <c r="I974" s="7">
        <v>0.0</v>
      </c>
      <c r="J974" s="3" t="s">
        <v>61</v>
      </c>
    </row>
    <row r="975">
      <c r="C975" s="3" t="s">
        <v>24</v>
      </c>
      <c r="D975" s="3">
        <v>5154.0</v>
      </c>
      <c r="E975" s="3" t="s">
        <v>913</v>
      </c>
      <c r="F975" s="5">
        <v>46158.5625</v>
      </c>
      <c r="G975" s="5">
        <v>46157.6772337963</v>
      </c>
      <c r="H975" s="3" t="s">
        <v>14</v>
      </c>
      <c r="I975" s="7">
        <v>0.0</v>
      </c>
      <c r="J975" s="3" t="s">
        <v>61</v>
      </c>
    </row>
    <row r="976">
      <c r="C976" s="3" t="s">
        <v>26</v>
      </c>
      <c r="D976" s="3">
        <v>5154.0</v>
      </c>
      <c r="E976" s="3" t="s">
        <v>913</v>
      </c>
      <c r="F976" s="5">
        <v>46158.604166666664</v>
      </c>
      <c r="G976" s="5">
        <v>46157.677395833336</v>
      </c>
      <c r="H976" s="3" t="s">
        <v>14</v>
      </c>
      <c r="I976" s="7">
        <v>0.0</v>
      </c>
      <c r="J976" s="3" t="s">
        <v>61</v>
      </c>
    </row>
    <row r="977">
      <c r="C977" s="3" t="s">
        <v>10</v>
      </c>
      <c r="D977" s="3">
        <v>5155.0</v>
      </c>
      <c r="E977" s="3" t="s">
        <v>918</v>
      </c>
      <c r="F977" s="5">
        <v>46157.45277777778</v>
      </c>
      <c r="G977" s="5">
        <v>46156.71702546296</v>
      </c>
      <c r="H977" s="3" t="s">
        <v>14</v>
      </c>
      <c r="I977" s="3">
        <v>0.0</v>
      </c>
      <c r="J977" s="3" t="s">
        <v>15</v>
      </c>
    </row>
    <row r="978">
      <c r="C978" s="3" t="s">
        <v>17</v>
      </c>
      <c r="D978" s="3">
        <v>5155.0</v>
      </c>
      <c r="E978" s="3" t="s">
        <v>918</v>
      </c>
      <c r="F978" s="5">
        <v>46157.45972222222</v>
      </c>
      <c r="G978" s="5">
        <v>46156.717152777775</v>
      </c>
      <c r="H978" s="3" t="s">
        <v>14</v>
      </c>
      <c r="I978" s="7">
        <v>0.0</v>
      </c>
      <c r="J978" s="3" t="s">
        <v>15</v>
      </c>
    </row>
    <row r="979">
      <c r="C979" s="3" t="s">
        <v>21</v>
      </c>
      <c r="D979" s="3">
        <v>5155.0</v>
      </c>
      <c r="E979" s="3" t="s">
        <v>918</v>
      </c>
      <c r="F979" s="5">
        <v>46157.563888888886</v>
      </c>
      <c r="G979" s="5">
        <v>46157.46472222222</v>
      </c>
      <c r="H979" s="3" t="s">
        <v>14</v>
      </c>
      <c r="I979" s="7">
        <v>0.0</v>
      </c>
      <c r="J979" s="3" t="s">
        <v>15</v>
      </c>
    </row>
    <row r="980">
      <c r="C980" s="3" t="s">
        <v>24</v>
      </c>
      <c r="D980" s="3">
        <v>5155.0</v>
      </c>
      <c r="E980" s="3" t="s">
        <v>918</v>
      </c>
      <c r="F980" s="5">
        <v>46158.563888888886</v>
      </c>
      <c r="G980" s="5">
        <v>46157.46704861111</v>
      </c>
      <c r="H980" s="3" t="s">
        <v>14</v>
      </c>
      <c r="I980" s="7">
        <v>0.0</v>
      </c>
      <c r="J980" s="3" t="s">
        <v>15</v>
      </c>
    </row>
    <row r="981">
      <c r="C981" s="3" t="s">
        <v>26</v>
      </c>
      <c r="D981" s="3">
        <v>5155.0</v>
      </c>
      <c r="E981" s="3" t="s">
        <v>918</v>
      </c>
      <c r="F981" s="5">
        <v>46158.60555555556</v>
      </c>
      <c r="G981" s="5">
        <v>46157.803090277775</v>
      </c>
      <c r="H981" s="3" t="s">
        <v>14</v>
      </c>
      <c r="I981" s="7">
        <v>0.0</v>
      </c>
      <c r="J981" s="3" t="s">
        <v>15</v>
      </c>
    </row>
    <row r="982">
      <c r="C982" s="3" t="s">
        <v>10</v>
      </c>
      <c r="D982" s="3">
        <v>5156.0</v>
      </c>
      <c r="E982" s="3" t="s">
        <v>920</v>
      </c>
      <c r="F982" s="5">
        <v>46158.67328703704</v>
      </c>
      <c r="G982" s="5">
        <v>46158.51604166667</v>
      </c>
      <c r="H982" s="3" t="s">
        <v>14</v>
      </c>
      <c r="I982" s="3">
        <v>0.0</v>
      </c>
      <c r="J982" s="3" t="s">
        <v>48</v>
      </c>
    </row>
    <row r="983">
      <c r="C983" s="3" t="s">
        <v>17</v>
      </c>
      <c r="D983" s="3">
        <v>5156.0</v>
      </c>
      <c r="E983" s="3" t="s">
        <v>920</v>
      </c>
      <c r="F983" s="5">
        <v>46158.680231481485</v>
      </c>
      <c r="G983" s="5">
        <v>46158.51611111111</v>
      </c>
      <c r="H983" s="3" t="s">
        <v>14</v>
      </c>
      <c r="I983" s="7">
        <v>0.0</v>
      </c>
      <c r="J983" s="3" t="s">
        <v>48</v>
      </c>
    </row>
    <row r="984">
      <c r="C984" s="3" t="s">
        <v>21</v>
      </c>
      <c r="D984" s="3">
        <v>5156.0</v>
      </c>
      <c r="E984" s="3" t="s">
        <v>920</v>
      </c>
      <c r="F984" s="5">
        <v>46158.78439814815</v>
      </c>
      <c r="G984" s="5">
        <v>46158.516435185185</v>
      </c>
      <c r="H984" s="3" t="s">
        <v>14</v>
      </c>
      <c r="I984" s="7">
        <v>0.0</v>
      </c>
      <c r="J984" s="3" t="s">
        <v>48</v>
      </c>
    </row>
    <row r="985">
      <c r="C985" s="3" t="s">
        <v>24</v>
      </c>
      <c r="D985" s="3">
        <v>5156.0</v>
      </c>
      <c r="E985" s="3" t="s">
        <v>920</v>
      </c>
      <c r="F985" s="5">
        <v>46160.78402777778</v>
      </c>
      <c r="G985" s="5">
        <v>46160.45695601852</v>
      </c>
      <c r="H985" s="3" t="s">
        <v>14</v>
      </c>
      <c r="I985" s="7">
        <v>0.0</v>
      </c>
      <c r="J985" s="3" t="s">
        <v>48</v>
      </c>
    </row>
    <row r="986">
      <c r="C986" s="3" t="s">
        <v>26</v>
      </c>
      <c r="D986" s="3">
        <v>5156.0</v>
      </c>
      <c r="E986" s="3" t="s">
        <v>920</v>
      </c>
      <c r="F986" s="5">
        <v>46160.825694444444</v>
      </c>
      <c r="G986" s="5">
        <v>46160.45700231481</v>
      </c>
      <c r="H986" s="3" t="s">
        <v>14</v>
      </c>
      <c r="I986" s="7">
        <v>0.0</v>
      </c>
      <c r="J986" s="3" t="s">
        <v>48</v>
      </c>
    </row>
    <row r="987">
      <c r="C987" s="3" t="s">
        <v>10</v>
      </c>
      <c r="D987" s="3">
        <v>5157.0</v>
      </c>
      <c r="E987" s="3" t="s">
        <v>924</v>
      </c>
      <c r="F987" s="5">
        <v>46158.76576388889</v>
      </c>
      <c r="G987" s="5">
        <v>46158.61087962963</v>
      </c>
      <c r="H987" s="3" t="s">
        <v>14</v>
      </c>
      <c r="I987" s="3">
        <v>0.0</v>
      </c>
      <c r="J987" s="3" t="s">
        <v>72</v>
      </c>
    </row>
    <row r="988">
      <c r="C988" s="3" t="s">
        <v>17</v>
      </c>
      <c r="D988" s="3">
        <v>5157.0</v>
      </c>
      <c r="E988" s="3" t="s">
        <v>924</v>
      </c>
      <c r="F988" s="5">
        <v>46158.77270833333</v>
      </c>
      <c r="G988" s="5">
        <v>46158.61146990741</v>
      </c>
      <c r="H988" s="3" t="s">
        <v>14</v>
      </c>
      <c r="I988" s="7">
        <v>0.0</v>
      </c>
      <c r="J988" s="3" t="s">
        <v>72</v>
      </c>
    </row>
    <row r="989">
      <c r="C989" s="3" t="s">
        <v>21</v>
      </c>
      <c r="D989" s="3">
        <v>5157.0</v>
      </c>
      <c r="E989" s="3" t="s">
        <v>924</v>
      </c>
      <c r="F989" s="5">
        <v>46160.48055555556</v>
      </c>
      <c r="G989" s="5">
        <v>46158.671944444446</v>
      </c>
      <c r="H989" s="3" t="s">
        <v>14</v>
      </c>
      <c r="I989" s="7">
        <v>0.0</v>
      </c>
      <c r="J989" s="3" t="s">
        <v>72</v>
      </c>
    </row>
    <row r="990">
      <c r="C990" s="3" t="s">
        <v>24</v>
      </c>
      <c r="D990" s="3">
        <v>5157.0</v>
      </c>
      <c r="E990" s="3" t="s">
        <v>924</v>
      </c>
      <c r="F990" s="5">
        <v>46161.48055555556</v>
      </c>
      <c r="G990" s="5">
        <v>46160.45287037037</v>
      </c>
      <c r="H990" s="3" t="s">
        <v>14</v>
      </c>
      <c r="I990" s="7">
        <v>0.0</v>
      </c>
      <c r="J990" s="3" t="s">
        <v>72</v>
      </c>
    </row>
    <row r="991">
      <c r="C991" s="3" t="s">
        <v>26</v>
      </c>
      <c r="D991" s="3">
        <v>5157.0</v>
      </c>
      <c r="E991" s="3" t="s">
        <v>924</v>
      </c>
      <c r="F991" s="5">
        <v>46161.52222222222</v>
      </c>
      <c r="G991" s="5">
        <v>46161.4640625</v>
      </c>
      <c r="H991" s="3" t="s">
        <v>14</v>
      </c>
      <c r="I991" s="7">
        <v>0.0</v>
      </c>
      <c r="J991" s="3" t="s">
        <v>72</v>
      </c>
    </row>
    <row r="992">
      <c r="C992" s="3" t="s">
        <v>10</v>
      </c>
      <c r="D992" s="3">
        <v>5158.0</v>
      </c>
      <c r="E992" s="3" t="s">
        <v>96</v>
      </c>
      <c r="F992" s="5">
        <v>46158.768645833334</v>
      </c>
      <c r="G992" s="5">
        <v>46158.61087962963</v>
      </c>
      <c r="H992" s="3" t="s">
        <v>14</v>
      </c>
      <c r="I992" s="3">
        <v>0.0</v>
      </c>
      <c r="J992" s="3" t="s">
        <v>72</v>
      </c>
    </row>
    <row r="993">
      <c r="C993" s="3" t="s">
        <v>17</v>
      </c>
      <c r="D993" s="3">
        <v>5158.0</v>
      </c>
      <c r="E993" s="3" t="s">
        <v>96</v>
      </c>
      <c r="F993" s="5">
        <v>46158.77559027778</v>
      </c>
      <c r="G993" s="5">
        <v>46158.61146990741</v>
      </c>
      <c r="H993" s="3" t="s">
        <v>14</v>
      </c>
      <c r="I993" s="7">
        <v>0.0</v>
      </c>
      <c r="J993" s="3" t="s">
        <v>72</v>
      </c>
    </row>
    <row r="994">
      <c r="C994" s="3" t="s">
        <v>21</v>
      </c>
      <c r="D994" s="3">
        <v>5158.0</v>
      </c>
      <c r="E994" s="3" t="s">
        <v>96</v>
      </c>
      <c r="F994" s="5">
        <v>46160.48333333333</v>
      </c>
      <c r="G994" s="5">
        <v>46158.671944444446</v>
      </c>
      <c r="H994" s="3" t="s">
        <v>14</v>
      </c>
      <c r="I994" s="7">
        <v>0.0</v>
      </c>
      <c r="J994" s="3" t="s">
        <v>72</v>
      </c>
    </row>
    <row r="995">
      <c r="C995" s="3" t="s">
        <v>24</v>
      </c>
      <c r="D995" s="3">
        <v>5158.0</v>
      </c>
      <c r="E995" s="3" t="s">
        <v>96</v>
      </c>
      <c r="F995" s="5">
        <v>46161.48333333333</v>
      </c>
      <c r="G995" s="5">
        <v>46160.452881944446</v>
      </c>
      <c r="H995" s="3" t="s">
        <v>14</v>
      </c>
      <c r="I995" s="7">
        <v>0.0</v>
      </c>
      <c r="J995" s="3" t="s">
        <v>72</v>
      </c>
    </row>
    <row r="996">
      <c r="C996" s="3" t="s">
        <v>26</v>
      </c>
      <c r="D996" s="3">
        <v>5158.0</v>
      </c>
      <c r="E996" s="3" t="s">
        <v>96</v>
      </c>
      <c r="F996" s="5">
        <v>46161.525</v>
      </c>
      <c r="G996" s="5">
        <v>46161.49422453704</v>
      </c>
      <c r="H996" s="3" t="s">
        <v>14</v>
      </c>
      <c r="I996" s="7">
        <v>0.0</v>
      </c>
      <c r="J996" s="3" t="s">
        <v>72</v>
      </c>
    </row>
    <row r="997">
      <c r="C997" s="3" t="s">
        <v>10</v>
      </c>
      <c r="D997" s="3">
        <v>5159.0</v>
      </c>
      <c r="E997" s="3" t="s">
        <v>931</v>
      </c>
      <c r="F997" s="5">
        <v>46158.76965277778</v>
      </c>
      <c r="G997" s="5">
        <v>46158.6108912037</v>
      </c>
      <c r="H997" s="3" t="s">
        <v>14</v>
      </c>
      <c r="I997" s="3">
        <v>0.0</v>
      </c>
      <c r="J997" s="3" t="s">
        <v>72</v>
      </c>
    </row>
    <row r="998">
      <c r="C998" s="3" t="s">
        <v>17</v>
      </c>
      <c r="D998" s="3">
        <v>5159.0</v>
      </c>
      <c r="E998" s="3" t="s">
        <v>931</v>
      </c>
      <c r="F998" s="5">
        <v>46158.77659722222</v>
      </c>
      <c r="G998" s="5">
        <v>46158.61146990741</v>
      </c>
      <c r="H998" s="3" t="s">
        <v>14</v>
      </c>
      <c r="I998" s="7">
        <v>0.0</v>
      </c>
      <c r="J998" s="3" t="s">
        <v>72</v>
      </c>
    </row>
    <row r="999">
      <c r="C999" s="3" t="s">
        <v>21</v>
      </c>
      <c r="D999" s="3">
        <v>5159.0</v>
      </c>
      <c r="E999" s="3" t="s">
        <v>931</v>
      </c>
      <c r="F999" s="5">
        <v>46160.48472222222</v>
      </c>
      <c r="G999" s="5">
        <v>46158.671956018516</v>
      </c>
      <c r="H999" s="3" t="s">
        <v>14</v>
      </c>
      <c r="I999" s="7">
        <v>0.0</v>
      </c>
      <c r="J999" s="3" t="s">
        <v>72</v>
      </c>
    </row>
    <row r="1000">
      <c r="C1000" s="3" t="s">
        <v>24</v>
      </c>
      <c r="D1000" s="3">
        <v>5159.0</v>
      </c>
      <c r="E1000" s="3" t="s">
        <v>931</v>
      </c>
      <c r="F1000" s="5">
        <v>46161.48472222222</v>
      </c>
      <c r="G1000" s="5">
        <v>46160.452835648146</v>
      </c>
      <c r="H1000" s="3" t="s">
        <v>14</v>
      </c>
      <c r="I1000" s="7">
        <v>0.0</v>
      </c>
      <c r="J1000" s="3" t="s">
        <v>72</v>
      </c>
    </row>
    <row r="1001">
      <c r="C1001" s="3" t="s">
        <v>26</v>
      </c>
      <c r="D1001" s="3">
        <v>5159.0</v>
      </c>
      <c r="E1001" s="3" t="s">
        <v>931</v>
      </c>
      <c r="F1001" s="5">
        <v>46161.52638888889</v>
      </c>
      <c r="G1001" s="5">
        <v>46161.46409722222</v>
      </c>
      <c r="H1001" s="3" t="s">
        <v>14</v>
      </c>
      <c r="I1001" s="7">
        <v>0.0</v>
      </c>
      <c r="J1001" s="3" t="s">
        <v>72</v>
      </c>
    </row>
    <row r="1002">
      <c r="C1002" s="3" t="s">
        <v>10</v>
      </c>
      <c r="D1002" s="3">
        <v>5160.0</v>
      </c>
      <c r="E1002" s="3" t="s">
        <v>936</v>
      </c>
      <c r="F1002" s="5">
        <v>46158.77125</v>
      </c>
      <c r="G1002" s="5">
        <v>46158.61090277778</v>
      </c>
      <c r="H1002" s="3" t="s">
        <v>14</v>
      </c>
      <c r="I1002" s="3">
        <v>0.0</v>
      </c>
      <c r="J1002" s="3" t="s">
        <v>72</v>
      </c>
    </row>
    <row r="1003">
      <c r="C1003" s="3" t="s">
        <v>17</v>
      </c>
      <c r="D1003" s="3">
        <v>5160.0</v>
      </c>
      <c r="E1003" s="3" t="s">
        <v>936</v>
      </c>
      <c r="F1003" s="5">
        <v>46158.77819444444</v>
      </c>
      <c r="G1003" s="5">
        <v>46158.61146990741</v>
      </c>
      <c r="H1003" s="3" t="s">
        <v>14</v>
      </c>
      <c r="I1003" s="7">
        <v>0.0</v>
      </c>
      <c r="J1003" s="3" t="s">
        <v>72</v>
      </c>
    </row>
    <row r="1004">
      <c r="C1004" s="3" t="s">
        <v>21</v>
      </c>
      <c r="D1004" s="3">
        <v>5160.0</v>
      </c>
      <c r="E1004" s="3" t="s">
        <v>936</v>
      </c>
      <c r="F1004" s="5">
        <v>46160.48611111111</v>
      </c>
      <c r="G1004" s="5">
        <v>46158.671956018516</v>
      </c>
      <c r="H1004" s="3" t="s">
        <v>14</v>
      </c>
      <c r="I1004" s="7">
        <v>0.0</v>
      </c>
      <c r="J1004" s="3" t="s">
        <v>72</v>
      </c>
    </row>
    <row r="1005">
      <c r="C1005" s="3" t="s">
        <v>24</v>
      </c>
      <c r="D1005" s="3">
        <v>5160.0</v>
      </c>
      <c r="E1005" s="3" t="s">
        <v>936</v>
      </c>
      <c r="F1005" s="5">
        <v>46161.48611111111</v>
      </c>
      <c r="G1005" s="5">
        <v>46160.452939814815</v>
      </c>
      <c r="H1005" s="3" t="s">
        <v>14</v>
      </c>
      <c r="I1005" s="7">
        <v>0.0</v>
      </c>
      <c r="J1005" s="3" t="s">
        <v>72</v>
      </c>
    </row>
    <row r="1006">
      <c r="C1006" s="3" t="s">
        <v>26</v>
      </c>
      <c r="D1006" s="3">
        <v>5160.0</v>
      </c>
      <c r="E1006" s="3" t="s">
        <v>936</v>
      </c>
      <c r="F1006" s="5">
        <v>46161.52777777778</v>
      </c>
      <c r="G1006" s="5">
        <v>46161.4943287037</v>
      </c>
      <c r="H1006" s="3" t="s">
        <v>14</v>
      </c>
      <c r="I1006" s="7">
        <v>0.0</v>
      </c>
      <c r="J1006" s="3" t="s">
        <v>72</v>
      </c>
    </row>
    <row r="1007">
      <c r="C1007" s="3" t="s">
        <v>10</v>
      </c>
      <c r="D1007" s="3">
        <v>5161.0</v>
      </c>
      <c r="E1007" s="3" t="s">
        <v>941</v>
      </c>
      <c r="F1007" s="5">
        <v>46158.772210648145</v>
      </c>
      <c r="G1007" s="5">
        <v>46158.61090277778</v>
      </c>
      <c r="H1007" s="3" t="s">
        <v>14</v>
      </c>
      <c r="I1007" s="3">
        <v>0.0</v>
      </c>
      <c r="J1007" s="3" t="s">
        <v>72</v>
      </c>
    </row>
    <row r="1008">
      <c r="C1008" s="3" t="s">
        <v>17</v>
      </c>
      <c r="D1008" s="3">
        <v>5161.0</v>
      </c>
      <c r="E1008" s="3" t="s">
        <v>941</v>
      </c>
      <c r="F1008" s="5">
        <v>46158.77915509259</v>
      </c>
      <c r="G1008" s="5">
        <v>46158.61148148148</v>
      </c>
      <c r="H1008" s="3" t="s">
        <v>14</v>
      </c>
      <c r="I1008" s="7">
        <v>0.0</v>
      </c>
      <c r="J1008" s="3" t="s">
        <v>72</v>
      </c>
    </row>
    <row r="1009">
      <c r="C1009" s="3" t="s">
        <v>21</v>
      </c>
      <c r="D1009" s="3">
        <v>5161.0</v>
      </c>
      <c r="E1009" s="3" t="s">
        <v>941</v>
      </c>
      <c r="F1009" s="5">
        <v>46160.486805555556</v>
      </c>
      <c r="G1009" s="5">
        <v>46158.67196759259</v>
      </c>
      <c r="H1009" s="3" t="s">
        <v>14</v>
      </c>
      <c r="I1009" s="7">
        <v>0.0</v>
      </c>
      <c r="J1009" s="3" t="s">
        <v>72</v>
      </c>
    </row>
    <row r="1010">
      <c r="C1010" s="3" t="s">
        <v>24</v>
      </c>
      <c r="D1010" s="3">
        <v>5161.0</v>
      </c>
      <c r="E1010" s="3" t="s">
        <v>941</v>
      </c>
      <c r="F1010" s="5">
        <v>46161.486805555556</v>
      </c>
      <c r="G1010" s="5">
        <v>46160.45297453704</v>
      </c>
      <c r="H1010" s="3" t="s">
        <v>14</v>
      </c>
      <c r="I1010" s="7">
        <v>0.0</v>
      </c>
      <c r="J1010" s="3" t="s">
        <v>72</v>
      </c>
    </row>
    <row r="1011">
      <c r="C1011" s="3" t="s">
        <v>26</v>
      </c>
      <c r="D1011" s="3">
        <v>5161.0</v>
      </c>
      <c r="E1011" s="3" t="s">
        <v>941</v>
      </c>
      <c r="F1011" s="5">
        <v>46161.52847222222</v>
      </c>
      <c r="G1011" s="5">
        <v>46161.464108796295</v>
      </c>
      <c r="H1011" s="3" t="s">
        <v>14</v>
      </c>
      <c r="I1011" s="7">
        <v>0.0</v>
      </c>
      <c r="J1011" s="3" t="s">
        <v>72</v>
      </c>
    </row>
    <row r="1012">
      <c r="C1012" s="3" t="s">
        <v>10</v>
      </c>
      <c r="D1012" s="3">
        <v>5162.0</v>
      </c>
      <c r="E1012" s="3" t="s">
        <v>90</v>
      </c>
      <c r="F1012" s="5">
        <v>46160.71619212963</v>
      </c>
      <c r="G1012" s="5">
        <v>46160.622453703705</v>
      </c>
      <c r="H1012" s="3" t="s">
        <v>14</v>
      </c>
      <c r="I1012" s="3">
        <v>0.0</v>
      </c>
      <c r="J1012" s="3" t="s">
        <v>15</v>
      </c>
    </row>
    <row r="1013">
      <c r="C1013" s="3" t="s">
        <v>17</v>
      </c>
      <c r="D1013" s="3">
        <v>5162.0</v>
      </c>
      <c r="E1013" s="3" t="s">
        <v>90</v>
      </c>
      <c r="F1013" s="5">
        <v>46160.72313657407</v>
      </c>
      <c r="G1013" s="5">
        <v>46160.622569444444</v>
      </c>
      <c r="H1013" s="3" t="s">
        <v>14</v>
      </c>
      <c r="I1013" s="7">
        <v>0.0</v>
      </c>
      <c r="J1013" s="3" t="s">
        <v>15</v>
      </c>
    </row>
    <row r="1014">
      <c r="C1014" s="3" t="s">
        <v>21</v>
      </c>
      <c r="D1014" s="3">
        <v>5162.0</v>
      </c>
      <c r="E1014" s="3" t="s">
        <v>90</v>
      </c>
      <c r="F1014" s="5">
        <v>46160.82730324074</v>
      </c>
      <c r="G1014" s="5">
        <v>46160.62263888889</v>
      </c>
      <c r="H1014" s="3" t="s">
        <v>14</v>
      </c>
      <c r="I1014" s="7">
        <v>0.0</v>
      </c>
      <c r="J1014" s="3" t="s">
        <v>15</v>
      </c>
    </row>
    <row r="1015">
      <c r="C1015" s="3" t="s">
        <v>24</v>
      </c>
      <c r="D1015" s="3">
        <v>5162.0</v>
      </c>
      <c r="E1015" s="3" t="s">
        <v>90</v>
      </c>
      <c r="F1015" s="5">
        <v>46161.82708333333</v>
      </c>
      <c r="G1015" s="5">
        <v>46160.62268518518</v>
      </c>
      <c r="H1015" s="3" t="s">
        <v>14</v>
      </c>
      <c r="I1015" s="7">
        <v>0.0</v>
      </c>
      <c r="J1015" s="3" t="s">
        <v>15</v>
      </c>
    </row>
    <row r="1016">
      <c r="C1016" s="3" t="s">
        <v>26</v>
      </c>
      <c r="D1016" s="3">
        <v>5162.0</v>
      </c>
      <c r="E1016" s="3" t="s">
        <v>90</v>
      </c>
      <c r="F1016" s="5">
        <v>46162.45208333333</v>
      </c>
      <c r="G1016" s="5">
        <v>46160.62274305556</v>
      </c>
      <c r="H1016" s="3" t="s">
        <v>14</v>
      </c>
      <c r="I1016" s="7">
        <v>0.0</v>
      </c>
      <c r="J1016" s="3" t="s">
        <v>15</v>
      </c>
    </row>
    <row r="1017">
      <c r="C1017" s="3" t="s">
        <v>10</v>
      </c>
      <c r="D1017" s="3">
        <v>5163.0</v>
      </c>
      <c r="E1017" s="3" t="s">
        <v>948</v>
      </c>
      <c r="F1017" s="5">
        <v>46161.48333333333</v>
      </c>
      <c r="G1017" s="5">
        <v>46160.736122685186</v>
      </c>
      <c r="H1017" s="3" t="s">
        <v>14</v>
      </c>
      <c r="I1017" s="3">
        <v>0.0</v>
      </c>
      <c r="J1017" s="3" t="s">
        <v>15</v>
      </c>
    </row>
    <row r="1018">
      <c r="C1018" s="3" t="s">
        <v>17</v>
      </c>
      <c r="D1018" s="3">
        <v>5163.0</v>
      </c>
      <c r="E1018" s="3" t="s">
        <v>948</v>
      </c>
      <c r="F1018" s="5">
        <v>46161.490277777775</v>
      </c>
      <c r="G1018" s="5">
        <v>46160.736226851855</v>
      </c>
      <c r="H1018" s="3" t="s">
        <v>14</v>
      </c>
      <c r="I1018" s="7">
        <v>0.0</v>
      </c>
      <c r="J1018" s="3" t="s">
        <v>15</v>
      </c>
    </row>
    <row r="1019">
      <c r="C1019" s="3" t="s">
        <v>21</v>
      </c>
      <c r="D1019" s="3">
        <v>5163.0</v>
      </c>
      <c r="E1019" s="3" t="s">
        <v>948</v>
      </c>
      <c r="F1019" s="5">
        <v>46161.59444444445</v>
      </c>
      <c r="G1019" s="5">
        <v>46160.737222222226</v>
      </c>
      <c r="H1019" s="3" t="s">
        <v>14</v>
      </c>
      <c r="I1019" s="7">
        <v>0.0</v>
      </c>
      <c r="J1019" s="3" t="s">
        <v>15</v>
      </c>
    </row>
    <row r="1020">
      <c r="C1020" s="3" t="s">
        <v>24</v>
      </c>
      <c r="D1020" s="3">
        <v>5163.0</v>
      </c>
      <c r="E1020" s="3" t="s">
        <v>948</v>
      </c>
      <c r="F1020" s="5">
        <v>46162.59444444445</v>
      </c>
      <c r="G1020" s="5">
        <v>46160.816412037035</v>
      </c>
      <c r="H1020" s="3" t="s">
        <v>14</v>
      </c>
      <c r="I1020" s="7">
        <v>0.0</v>
      </c>
      <c r="J1020" s="3" t="s">
        <v>15</v>
      </c>
    </row>
    <row r="1021">
      <c r="C1021" s="3" t="s">
        <v>26</v>
      </c>
      <c r="D1021" s="3">
        <v>5163.0</v>
      </c>
      <c r="E1021" s="3" t="s">
        <v>948</v>
      </c>
      <c r="F1021" s="5">
        <v>46162.63611111111</v>
      </c>
      <c r="G1021" s="5">
        <v>46161.49402777778</v>
      </c>
      <c r="H1021" s="3" t="s">
        <v>14</v>
      </c>
      <c r="I1021" s="7">
        <v>0.0</v>
      </c>
      <c r="J1021" s="3" t="s">
        <v>15</v>
      </c>
    </row>
    <row r="1022">
      <c r="C1022" s="3" t="s">
        <v>10</v>
      </c>
      <c r="D1022" s="3">
        <v>5164.0</v>
      </c>
      <c r="E1022" s="3" t="s">
        <v>951</v>
      </c>
      <c r="F1022" s="5">
        <v>46161.48402777778</v>
      </c>
      <c r="G1022" s="5">
        <v>46160.73701388889</v>
      </c>
      <c r="H1022" s="3" t="s">
        <v>14</v>
      </c>
      <c r="I1022" s="3">
        <v>0.0</v>
      </c>
      <c r="J1022" s="3" t="s">
        <v>15</v>
      </c>
    </row>
    <row r="1023">
      <c r="C1023" s="3" t="s">
        <v>17</v>
      </c>
      <c r="D1023" s="3">
        <v>5164.0</v>
      </c>
      <c r="E1023" s="3" t="s">
        <v>951</v>
      </c>
      <c r="F1023" s="5">
        <v>46161.49097222222</v>
      </c>
      <c r="G1023" s="5">
        <v>46160.73709490741</v>
      </c>
      <c r="H1023" s="3" t="s">
        <v>14</v>
      </c>
      <c r="I1023" s="7">
        <v>0.0</v>
      </c>
      <c r="J1023" s="3" t="s">
        <v>15</v>
      </c>
    </row>
    <row r="1024">
      <c r="C1024" s="3" t="s">
        <v>21</v>
      </c>
      <c r="D1024" s="3">
        <v>5164.0</v>
      </c>
      <c r="E1024" s="3" t="s">
        <v>951</v>
      </c>
      <c r="F1024" s="5">
        <v>46161.595138888886</v>
      </c>
      <c r="G1024" s="5">
        <v>46160.73724537037</v>
      </c>
      <c r="H1024" s="3" t="s">
        <v>14</v>
      </c>
      <c r="I1024" s="7">
        <v>0.0</v>
      </c>
      <c r="J1024" s="3" t="s">
        <v>15</v>
      </c>
    </row>
    <row r="1025">
      <c r="C1025" s="3" t="s">
        <v>24</v>
      </c>
      <c r="D1025" s="3">
        <v>5164.0</v>
      </c>
      <c r="E1025" s="3" t="s">
        <v>951</v>
      </c>
      <c r="F1025" s="5">
        <v>46162.595138888886</v>
      </c>
      <c r="G1025" s="5">
        <v>46160.75261574074</v>
      </c>
      <c r="H1025" s="3" t="s">
        <v>14</v>
      </c>
      <c r="I1025" s="7">
        <v>0.0</v>
      </c>
      <c r="J1025" s="3" t="s">
        <v>15</v>
      </c>
    </row>
    <row r="1026">
      <c r="C1026" s="3" t="s">
        <v>26</v>
      </c>
      <c r="D1026" s="3">
        <v>5164.0</v>
      </c>
      <c r="E1026" s="3" t="s">
        <v>951</v>
      </c>
      <c r="F1026" s="5">
        <v>46162.63680555556</v>
      </c>
      <c r="G1026" s="5">
        <v>46160.81655092593</v>
      </c>
      <c r="H1026" s="3" t="s">
        <v>14</v>
      </c>
      <c r="I1026" s="7">
        <v>0.0</v>
      </c>
      <c r="J1026" s="3" t="s">
        <v>15</v>
      </c>
    </row>
    <row r="1027">
      <c r="C1027" s="3" t="s">
        <v>10</v>
      </c>
      <c r="D1027" s="3">
        <v>5165.0</v>
      </c>
      <c r="E1027" s="3" t="s">
        <v>955</v>
      </c>
      <c r="F1027" s="5">
        <v>46161.50069444445</v>
      </c>
      <c r="G1027" s="5">
        <v>46160.752488425926</v>
      </c>
      <c r="H1027" s="3" t="s">
        <v>14</v>
      </c>
      <c r="I1027" s="3">
        <v>0.0</v>
      </c>
      <c r="J1027" s="3" t="s">
        <v>15</v>
      </c>
    </row>
    <row r="1028">
      <c r="C1028" s="3" t="s">
        <v>17</v>
      </c>
      <c r="D1028" s="3">
        <v>5165.0</v>
      </c>
      <c r="E1028" s="3" t="s">
        <v>955</v>
      </c>
      <c r="F1028" s="5">
        <v>46161.50763888889</v>
      </c>
      <c r="G1028" s="5">
        <v>46160.75224537037</v>
      </c>
      <c r="H1028" s="3" t="s">
        <v>14</v>
      </c>
      <c r="I1028" s="7">
        <v>0.0</v>
      </c>
      <c r="J1028" s="3" t="s">
        <v>15</v>
      </c>
    </row>
    <row r="1029">
      <c r="C1029" s="3" t="s">
        <v>21</v>
      </c>
      <c r="D1029" s="3">
        <v>5165.0</v>
      </c>
      <c r="E1029" s="3" t="s">
        <v>955</v>
      </c>
      <c r="F1029" s="5">
        <v>46161.611805555556</v>
      </c>
      <c r="G1029" s="5">
        <v>46160.75221064815</v>
      </c>
      <c r="H1029" s="3" t="s">
        <v>14</v>
      </c>
      <c r="I1029" s="7">
        <v>0.0</v>
      </c>
      <c r="J1029" s="3" t="s">
        <v>15</v>
      </c>
    </row>
    <row r="1030">
      <c r="C1030" s="3" t="s">
        <v>24</v>
      </c>
      <c r="D1030" s="3">
        <v>5165.0</v>
      </c>
      <c r="E1030" s="3" t="s">
        <v>955</v>
      </c>
      <c r="F1030" s="5">
        <v>46162.611805555556</v>
      </c>
      <c r="G1030" s="5">
        <v>46160.81649305556</v>
      </c>
      <c r="H1030" s="3" t="s">
        <v>14</v>
      </c>
      <c r="I1030" s="7">
        <v>0.0</v>
      </c>
      <c r="J1030" s="3" t="s">
        <v>15</v>
      </c>
    </row>
    <row r="1031">
      <c r="C1031" s="3" t="s">
        <v>26</v>
      </c>
      <c r="D1031" s="3">
        <v>5165.0</v>
      </c>
      <c r="E1031" s="3" t="s">
        <v>955</v>
      </c>
      <c r="F1031" s="5">
        <v>46162.65347222222</v>
      </c>
      <c r="G1031" s="5">
        <v>46161.49443287037</v>
      </c>
      <c r="H1031" s="3" t="s">
        <v>14</v>
      </c>
      <c r="I1031" s="7">
        <v>0.0</v>
      </c>
      <c r="J1031" s="3" t="s">
        <v>15</v>
      </c>
    </row>
    <row r="1032">
      <c r="C1032" s="3" t="s">
        <v>10</v>
      </c>
      <c r="D1032" s="3">
        <v>5166.0</v>
      </c>
      <c r="E1032" s="3" t="s">
        <v>913</v>
      </c>
      <c r="F1032" s="5">
        <v>46161.630960648145</v>
      </c>
      <c r="G1032" s="5">
        <v>46161.49453703704</v>
      </c>
      <c r="H1032" s="3" t="s">
        <v>14</v>
      </c>
      <c r="I1032" s="3">
        <v>0.0</v>
      </c>
      <c r="J1032" s="3" t="s">
        <v>48</v>
      </c>
    </row>
    <row r="1033">
      <c r="C1033" s="3" t="s">
        <v>17</v>
      </c>
      <c r="D1033" s="3">
        <v>5166.0</v>
      </c>
      <c r="E1033" s="3" t="s">
        <v>913</v>
      </c>
      <c r="F1033" s="5">
        <v>46161.63790509259</v>
      </c>
      <c r="G1033" s="5">
        <v>46161.494618055556</v>
      </c>
      <c r="H1033" s="3" t="s">
        <v>14</v>
      </c>
      <c r="I1033" s="7">
        <v>0.0</v>
      </c>
      <c r="J1033" s="3" t="s">
        <v>48</v>
      </c>
    </row>
    <row r="1034">
      <c r="C1034" s="3" t="s">
        <v>21</v>
      </c>
      <c r="D1034" s="3">
        <v>5166.0</v>
      </c>
      <c r="E1034" s="3" t="s">
        <v>913</v>
      </c>
      <c r="F1034" s="5">
        <v>46161.74207175926</v>
      </c>
      <c r="G1034" s="5">
        <v>46161.52135416667</v>
      </c>
      <c r="H1034" s="3" t="s">
        <v>14</v>
      </c>
      <c r="I1034" s="7">
        <v>0.0</v>
      </c>
      <c r="J1034" s="3" t="s">
        <v>48</v>
      </c>
    </row>
    <row r="1035">
      <c r="C1035" s="3" t="s">
        <v>24</v>
      </c>
      <c r="D1035" s="3">
        <v>5166.0</v>
      </c>
      <c r="E1035" s="3" t="s">
        <v>913</v>
      </c>
      <c r="F1035" s="5">
        <v>46162.74166666667</v>
      </c>
      <c r="G1035" s="5">
        <v>46162.6534837963</v>
      </c>
      <c r="H1035" s="3" t="s">
        <v>14</v>
      </c>
      <c r="I1035" s="7">
        <v>0.0</v>
      </c>
      <c r="J1035" s="3" t="s">
        <v>48</v>
      </c>
    </row>
    <row r="1036">
      <c r="C1036" s="3" t="s">
        <v>26</v>
      </c>
      <c r="D1036" s="3">
        <v>5166.0</v>
      </c>
      <c r="E1036" s="3" t="s">
        <v>913</v>
      </c>
      <c r="F1036" s="5">
        <v>46162.78333333333</v>
      </c>
      <c r="G1036" s="5">
        <v>46162.65350694444</v>
      </c>
      <c r="H1036" s="3" t="s">
        <v>14</v>
      </c>
      <c r="I1036" s="7">
        <v>0.0</v>
      </c>
      <c r="J1036" s="3" t="s">
        <v>48</v>
      </c>
    </row>
    <row r="1037">
      <c r="C1037" s="3" t="s">
        <v>10</v>
      </c>
      <c r="D1037" s="3">
        <v>5167.0</v>
      </c>
      <c r="E1037" s="3" t="s">
        <v>166</v>
      </c>
      <c r="F1037" s="5">
        <v>46161.685277777775</v>
      </c>
      <c r="G1037" s="5">
        <v>46161.51909722222</v>
      </c>
      <c r="H1037" s="3" t="s">
        <v>14</v>
      </c>
      <c r="I1037" s="3">
        <v>0.0</v>
      </c>
      <c r="J1037" s="3" t="s">
        <v>15</v>
      </c>
    </row>
    <row r="1038">
      <c r="C1038" s="3" t="s">
        <v>17</v>
      </c>
      <c r="D1038" s="3">
        <v>5167.0</v>
      </c>
      <c r="E1038" s="3" t="s">
        <v>166</v>
      </c>
      <c r="F1038" s="5">
        <v>46161.69222222222</v>
      </c>
      <c r="G1038" s="5">
        <v>46161.519155092596</v>
      </c>
      <c r="H1038" s="3" t="s">
        <v>14</v>
      </c>
      <c r="I1038" s="7">
        <v>0.0</v>
      </c>
      <c r="J1038" s="3" t="s">
        <v>15</v>
      </c>
    </row>
    <row r="1039">
      <c r="C1039" s="3" t="s">
        <v>21</v>
      </c>
      <c r="D1039" s="3">
        <v>5167.0</v>
      </c>
      <c r="E1039" s="3" t="s">
        <v>166</v>
      </c>
      <c r="F1039" s="5">
        <v>46161.79638888889</v>
      </c>
      <c r="G1039" s="5">
        <v>46161.51924768519</v>
      </c>
      <c r="H1039" s="3" t="s">
        <v>14</v>
      </c>
      <c r="I1039" s="7">
        <v>0.0</v>
      </c>
      <c r="J1039" s="3" t="s">
        <v>15</v>
      </c>
    </row>
    <row r="1040">
      <c r="C1040" s="3" t="s">
        <v>24</v>
      </c>
      <c r="D1040" s="3">
        <v>5167.0</v>
      </c>
      <c r="E1040" s="3" t="s">
        <v>166</v>
      </c>
      <c r="F1040" s="5">
        <v>46162.79583333333</v>
      </c>
      <c r="G1040" s="5">
        <v>46161.703738425924</v>
      </c>
      <c r="H1040" s="3" t="s">
        <v>14</v>
      </c>
      <c r="I1040" s="7">
        <v>0.0</v>
      </c>
      <c r="J1040" s="3" t="s">
        <v>15</v>
      </c>
    </row>
    <row r="1041">
      <c r="C1041" s="3" t="s">
        <v>26</v>
      </c>
      <c r="D1041" s="3">
        <v>5167.0</v>
      </c>
      <c r="E1041" s="3" t="s">
        <v>166</v>
      </c>
      <c r="F1041" s="5">
        <v>46163.42083333333</v>
      </c>
      <c r="G1041" s="5">
        <v>46161.704664351855</v>
      </c>
      <c r="H1041" s="3" t="s">
        <v>14</v>
      </c>
      <c r="I1041" s="7">
        <v>0.0</v>
      </c>
      <c r="J1041" s="3" t="s">
        <v>15</v>
      </c>
    </row>
    <row r="1042">
      <c r="C1042" s="3" t="s">
        <v>10</v>
      </c>
      <c r="D1042" s="3">
        <v>5168.0</v>
      </c>
      <c r="E1042" s="3" t="s">
        <v>963</v>
      </c>
      <c r="F1042" s="5">
        <v>46161.700787037036</v>
      </c>
      <c r="G1042" s="5">
        <v>46161.61565972222</v>
      </c>
      <c r="H1042" s="3" t="s">
        <v>14</v>
      </c>
      <c r="I1042" s="3">
        <v>0.0</v>
      </c>
      <c r="J1042" s="3" t="s">
        <v>15</v>
      </c>
    </row>
    <row r="1043">
      <c r="C1043" s="3" t="s">
        <v>17</v>
      </c>
      <c r="D1043" s="3">
        <v>5168.0</v>
      </c>
      <c r="E1043" s="3" t="s">
        <v>963</v>
      </c>
      <c r="F1043" s="5">
        <v>46161.70773148148</v>
      </c>
      <c r="G1043" s="5">
        <v>46161.61574074074</v>
      </c>
      <c r="H1043" s="3" t="s">
        <v>14</v>
      </c>
      <c r="I1043" s="7">
        <v>0.0</v>
      </c>
      <c r="J1043" s="3" t="s">
        <v>15</v>
      </c>
    </row>
    <row r="1044">
      <c r="C1044" s="3" t="s">
        <v>21</v>
      </c>
      <c r="D1044" s="3">
        <v>5168.0</v>
      </c>
      <c r="E1044" s="3" t="s">
        <v>963</v>
      </c>
      <c r="F1044" s="5">
        <v>46161.811898148146</v>
      </c>
      <c r="G1044" s="5">
        <v>46161.61581018518</v>
      </c>
      <c r="H1044" s="3" t="s">
        <v>14</v>
      </c>
      <c r="I1044" s="7">
        <v>0.0</v>
      </c>
      <c r="J1044" s="3" t="s">
        <v>15</v>
      </c>
    </row>
    <row r="1045">
      <c r="C1045" s="3" t="s">
        <v>24</v>
      </c>
      <c r="D1045" s="3">
        <v>5168.0</v>
      </c>
      <c r="E1045" s="3" t="s">
        <v>963</v>
      </c>
      <c r="F1045" s="5">
        <v>46162.81180555555</v>
      </c>
      <c r="G1045" s="5">
        <v>46162.65353009259</v>
      </c>
      <c r="H1045" s="3" t="s">
        <v>14</v>
      </c>
      <c r="I1045" s="7">
        <v>0.0</v>
      </c>
      <c r="J1045" s="3" t="s">
        <v>15</v>
      </c>
    </row>
    <row r="1046">
      <c r="C1046" s="3" t="s">
        <v>26</v>
      </c>
      <c r="D1046" s="3">
        <v>5168.0</v>
      </c>
      <c r="E1046" s="3" t="s">
        <v>963</v>
      </c>
      <c r="F1046" s="5">
        <v>46163.43680555555</v>
      </c>
      <c r="G1046" s="5">
        <v>46163.43162037037</v>
      </c>
      <c r="H1046" s="3" t="s">
        <v>14</v>
      </c>
      <c r="I1046" s="7">
        <v>0.0</v>
      </c>
      <c r="J1046" s="3" t="s">
        <v>15</v>
      </c>
    </row>
    <row r="1047">
      <c r="C1047" s="3" t="s">
        <v>10</v>
      </c>
      <c r="D1047" s="3">
        <v>5169.0</v>
      </c>
      <c r="E1047" s="3" t="s">
        <v>761</v>
      </c>
      <c r="F1047" s="5">
        <v>46161.81045138889</v>
      </c>
      <c r="G1047" s="5">
        <v>46161.70340277778</v>
      </c>
      <c r="H1047" s="3" t="s">
        <v>14</v>
      </c>
      <c r="I1047" s="3">
        <v>0.0</v>
      </c>
      <c r="J1047" s="3" t="s">
        <v>15</v>
      </c>
    </row>
    <row r="1048">
      <c r="C1048" s="3" t="s">
        <v>17</v>
      </c>
      <c r="D1048" s="3">
        <v>5169.0</v>
      </c>
      <c r="E1048" s="3" t="s">
        <v>761</v>
      </c>
      <c r="F1048" s="5">
        <v>46161.817395833335</v>
      </c>
      <c r="G1048" s="5">
        <v>46161.70348379629</v>
      </c>
      <c r="H1048" s="3" t="s">
        <v>14</v>
      </c>
      <c r="I1048" s="7">
        <v>0.0</v>
      </c>
      <c r="J1048" s="3" t="s">
        <v>15</v>
      </c>
    </row>
    <row r="1049">
      <c r="C1049" s="3" t="s">
        <v>21</v>
      </c>
      <c r="D1049" s="3">
        <v>5169.0</v>
      </c>
      <c r="E1049" s="3" t="s">
        <v>761</v>
      </c>
      <c r="F1049" s="5">
        <v>46162.52569444444</v>
      </c>
      <c r="G1049" s="5">
        <v>46161.70355324074</v>
      </c>
      <c r="H1049" s="3" t="s">
        <v>14</v>
      </c>
      <c r="I1049" s="7">
        <v>0.0</v>
      </c>
      <c r="J1049" s="3" t="s">
        <v>15</v>
      </c>
    </row>
    <row r="1050">
      <c r="C1050" s="3" t="s">
        <v>24</v>
      </c>
      <c r="D1050" s="3">
        <v>5169.0</v>
      </c>
      <c r="E1050" s="3" t="s">
        <v>761</v>
      </c>
      <c r="F1050" s="5">
        <v>46163.52569444444</v>
      </c>
      <c r="G1050" s="5">
        <v>46161.703784722224</v>
      </c>
      <c r="H1050" s="3" t="s">
        <v>14</v>
      </c>
      <c r="I1050" s="7">
        <v>0.0</v>
      </c>
      <c r="J1050" s="3" t="s">
        <v>15</v>
      </c>
    </row>
    <row r="1051">
      <c r="C1051" s="3" t="s">
        <v>26</v>
      </c>
      <c r="D1051" s="3">
        <v>5169.0</v>
      </c>
      <c r="E1051" s="3" t="s">
        <v>761</v>
      </c>
      <c r="F1051" s="5">
        <v>46163.56736111111</v>
      </c>
      <c r="G1051" s="5">
        <v>46161.7046875</v>
      </c>
      <c r="H1051" s="3" t="s">
        <v>14</v>
      </c>
      <c r="I1051" s="7">
        <v>0.0</v>
      </c>
      <c r="J1051" s="3" t="s">
        <v>15</v>
      </c>
    </row>
    <row r="1052">
      <c r="C1052" s="3" t="s">
        <v>10</v>
      </c>
      <c r="D1052" s="3">
        <v>5170.0</v>
      </c>
      <c r="E1052" s="3" t="s">
        <v>970</v>
      </c>
      <c r="F1052" s="5">
        <v>46162.493055555555</v>
      </c>
      <c r="G1052" s="5">
        <v>46162.478171296294</v>
      </c>
      <c r="H1052" s="3" t="s">
        <v>14</v>
      </c>
      <c r="I1052" s="3">
        <v>0.0</v>
      </c>
      <c r="J1052" s="3" t="s">
        <v>15</v>
      </c>
    </row>
    <row r="1053">
      <c r="C1053" s="3" t="s">
        <v>17</v>
      </c>
      <c r="D1053" s="3">
        <v>5170.0</v>
      </c>
      <c r="E1053" s="3" t="s">
        <v>970</v>
      </c>
      <c r="F1053" s="5">
        <v>46162.5</v>
      </c>
      <c r="G1053" s="5">
        <v>46162.478217592594</v>
      </c>
      <c r="H1053" s="3" t="s">
        <v>14</v>
      </c>
      <c r="I1053" s="7">
        <v>0.0</v>
      </c>
      <c r="J1053" s="3" t="s">
        <v>15</v>
      </c>
    </row>
    <row r="1054">
      <c r="C1054" s="3" t="s">
        <v>21</v>
      </c>
      <c r="D1054" s="3">
        <v>5170.0</v>
      </c>
      <c r="E1054" s="3" t="s">
        <v>970</v>
      </c>
      <c r="F1054" s="5">
        <v>46162.604166666664</v>
      </c>
      <c r="G1054" s="5">
        <v>46162.47828703704</v>
      </c>
      <c r="H1054" s="3" t="s">
        <v>14</v>
      </c>
      <c r="I1054" s="7">
        <v>0.0</v>
      </c>
      <c r="J1054" s="3" t="s">
        <v>15</v>
      </c>
    </row>
    <row r="1055">
      <c r="C1055" s="3" t="s">
        <v>24</v>
      </c>
      <c r="D1055" s="3">
        <v>5170.0</v>
      </c>
      <c r="E1055" s="3" t="s">
        <v>970</v>
      </c>
      <c r="F1055" s="5">
        <v>46163.604166666664</v>
      </c>
      <c r="G1055" s="5">
        <v>46162.66981481481</v>
      </c>
      <c r="H1055" s="3" t="s">
        <v>14</v>
      </c>
      <c r="I1055" s="7">
        <v>0.0</v>
      </c>
      <c r="J1055" s="3" t="s">
        <v>15</v>
      </c>
    </row>
    <row r="1056">
      <c r="C1056" s="3" t="s">
        <v>26</v>
      </c>
      <c r="D1056" s="3">
        <v>5170.0</v>
      </c>
      <c r="E1056" s="3" t="s">
        <v>970</v>
      </c>
      <c r="F1056" s="5">
        <v>46163.645833333336</v>
      </c>
      <c r="G1056" s="5">
        <v>46162.66983796296</v>
      </c>
      <c r="H1056" s="3" t="s">
        <v>14</v>
      </c>
      <c r="I1056" s="7">
        <v>0.0</v>
      </c>
      <c r="J1056" s="3" t="s">
        <v>15</v>
      </c>
    </row>
    <row r="1057">
      <c r="C1057" s="3" t="s">
        <v>10</v>
      </c>
      <c r="D1057" s="3">
        <v>5171.0</v>
      </c>
      <c r="E1057" s="3" t="s">
        <v>727</v>
      </c>
      <c r="F1057" s="5">
        <v>46163.46319444444</v>
      </c>
      <c r="G1057" s="5">
        <v>46163.43177083333</v>
      </c>
      <c r="H1057" s="3" t="s">
        <v>14</v>
      </c>
      <c r="I1057" s="3">
        <v>0.0</v>
      </c>
      <c r="J1057" s="3" t="s">
        <v>72</v>
      </c>
    </row>
    <row r="1058">
      <c r="C1058" s="3" t="s">
        <v>17</v>
      </c>
      <c r="D1058" s="3">
        <v>5171.0</v>
      </c>
      <c r="E1058" s="3" t="s">
        <v>727</v>
      </c>
      <c r="F1058" s="5">
        <v>46163.470138888886</v>
      </c>
      <c r="G1058" s="5">
        <v>46163.43193287037</v>
      </c>
      <c r="H1058" s="3" t="s">
        <v>14</v>
      </c>
      <c r="I1058" s="7">
        <v>0.0</v>
      </c>
      <c r="J1058" s="3" t="s">
        <v>72</v>
      </c>
    </row>
    <row r="1059">
      <c r="C1059" s="3" t="s">
        <v>21</v>
      </c>
      <c r="D1059" s="3">
        <v>5171.0</v>
      </c>
      <c r="E1059" s="3" t="s">
        <v>727</v>
      </c>
      <c r="F1059" s="5">
        <v>46163.57430555556</v>
      </c>
      <c r="G1059" s="5">
        <v>46163.431979166664</v>
      </c>
      <c r="H1059" s="3" t="s">
        <v>14</v>
      </c>
      <c r="I1059" s="7">
        <v>0.0</v>
      </c>
      <c r="J1059" s="3" t="s">
        <v>72</v>
      </c>
    </row>
    <row r="1060">
      <c r="C1060" s="3" t="s">
        <v>24</v>
      </c>
      <c r="D1060" s="3">
        <v>5171.0</v>
      </c>
      <c r="E1060" s="3" t="s">
        <v>727</v>
      </c>
      <c r="F1060" s="5">
        <v>46164.57430555556</v>
      </c>
      <c r="G1060" s="5">
        <v>46163.701840277776</v>
      </c>
      <c r="H1060" s="3" t="s">
        <v>14</v>
      </c>
      <c r="I1060" s="7">
        <v>0.0</v>
      </c>
      <c r="J1060" s="3" t="s">
        <v>72</v>
      </c>
    </row>
    <row r="1061">
      <c r="C1061" s="3" t="s">
        <v>26</v>
      </c>
      <c r="D1061" s="3">
        <v>5171.0</v>
      </c>
      <c r="E1061" s="3" t="s">
        <v>727</v>
      </c>
      <c r="F1061" s="5">
        <v>46164.61597222222</v>
      </c>
      <c r="G1061" s="5">
        <v>46163.701886574076</v>
      </c>
      <c r="H1061" s="3" t="s">
        <v>14</v>
      </c>
      <c r="I1061" s="7">
        <v>0.0</v>
      </c>
      <c r="J1061" s="3" t="s">
        <v>72</v>
      </c>
    </row>
    <row r="1062">
      <c r="C1062" s="3" t="s">
        <v>10</v>
      </c>
      <c r="D1062" s="3">
        <v>5172.0</v>
      </c>
      <c r="E1062" s="3" t="s">
        <v>977</v>
      </c>
      <c r="F1062" s="5">
        <v>46163.62847222222</v>
      </c>
      <c r="G1062" s="5">
        <v>46163.52292824074</v>
      </c>
      <c r="H1062" s="3" t="s">
        <v>14</v>
      </c>
      <c r="I1062" s="3">
        <v>0.0</v>
      </c>
      <c r="J1062" s="3" t="s">
        <v>48</v>
      </c>
    </row>
    <row r="1063">
      <c r="C1063" s="3" t="s">
        <v>17</v>
      </c>
      <c r="D1063" s="3">
        <v>5172.0</v>
      </c>
      <c r="E1063" s="3" t="s">
        <v>977</v>
      </c>
      <c r="F1063" s="5">
        <v>46163.635416666664</v>
      </c>
      <c r="G1063" s="5">
        <v>46163.523148148146</v>
      </c>
      <c r="H1063" s="3" t="s">
        <v>14</v>
      </c>
      <c r="I1063" s="7">
        <v>0.0</v>
      </c>
      <c r="J1063" s="3" t="s">
        <v>48</v>
      </c>
    </row>
    <row r="1064">
      <c r="C1064" s="3" t="s">
        <v>21</v>
      </c>
      <c r="D1064" s="3">
        <v>5172.0</v>
      </c>
      <c r="E1064" s="3" t="s">
        <v>977</v>
      </c>
      <c r="F1064" s="5">
        <v>46163.739583333336</v>
      </c>
      <c r="G1064" s="5">
        <v>46163.52333333333</v>
      </c>
      <c r="H1064" s="3" t="s">
        <v>14</v>
      </c>
      <c r="I1064" s="7">
        <v>0.0</v>
      </c>
      <c r="J1064" s="3" t="s">
        <v>48</v>
      </c>
    </row>
    <row r="1065">
      <c r="C1065" s="3" t="s">
        <v>24</v>
      </c>
      <c r="D1065" s="3">
        <v>5172.0</v>
      </c>
      <c r="E1065" s="3" t="s">
        <v>977</v>
      </c>
      <c r="F1065" s="5">
        <v>46164.739583333336</v>
      </c>
      <c r="G1065" s="5">
        <v>46164.48861111111</v>
      </c>
      <c r="H1065" s="3" t="s">
        <v>14</v>
      </c>
      <c r="I1065" s="7">
        <v>0.0</v>
      </c>
      <c r="J1065" s="3" t="s">
        <v>48</v>
      </c>
    </row>
    <row r="1066">
      <c r="C1066" s="3" t="s">
        <v>26</v>
      </c>
      <c r="D1066" s="3">
        <v>5172.0</v>
      </c>
      <c r="E1066" s="3" t="s">
        <v>977</v>
      </c>
      <c r="F1066" s="5">
        <v>46164.78125</v>
      </c>
      <c r="G1066" s="5">
        <v>46164.488657407404</v>
      </c>
      <c r="H1066" s="3" t="s">
        <v>14</v>
      </c>
      <c r="I1066" s="7">
        <v>0.0</v>
      </c>
      <c r="J1066" s="3" t="s">
        <v>48</v>
      </c>
    </row>
    <row r="1067">
      <c r="C1067" s="3" t="s">
        <v>10</v>
      </c>
      <c r="D1067" s="3">
        <v>5173.0</v>
      </c>
      <c r="E1067" s="3" t="s">
        <v>142</v>
      </c>
      <c r="F1067" s="5">
        <v>46163.693773148145</v>
      </c>
      <c r="G1067" s="5">
        <v>46163.55700231482</v>
      </c>
      <c r="H1067" s="3" t="s">
        <v>14</v>
      </c>
      <c r="I1067" s="3">
        <v>0.0</v>
      </c>
      <c r="J1067" s="3" t="s">
        <v>15</v>
      </c>
    </row>
    <row r="1068">
      <c r="C1068" s="3" t="s">
        <v>17</v>
      </c>
      <c r="D1068" s="3">
        <v>5173.0</v>
      </c>
      <c r="E1068" s="3" t="s">
        <v>142</v>
      </c>
      <c r="F1068" s="5">
        <v>46163.70071759259</v>
      </c>
      <c r="G1068" s="5">
        <v>46163.5571412037</v>
      </c>
      <c r="H1068" s="3" t="s">
        <v>14</v>
      </c>
      <c r="I1068" s="7">
        <v>0.0</v>
      </c>
      <c r="J1068" s="3" t="s">
        <v>15</v>
      </c>
    </row>
    <row r="1069">
      <c r="C1069" s="3" t="s">
        <v>21</v>
      </c>
      <c r="D1069" s="3">
        <v>5173.0</v>
      </c>
      <c r="E1069" s="3" t="s">
        <v>142</v>
      </c>
      <c r="F1069" s="5">
        <v>46163.80488425926</v>
      </c>
      <c r="G1069" s="5">
        <v>46163.557546296295</v>
      </c>
      <c r="H1069" s="3" t="s">
        <v>14</v>
      </c>
      <c r="I1069" s="7">
        <v>0.0</v>
      </c>
      <c r="J1069" s="3" t="s">
        <v>15</v>
      </c>
    </row>
    <row r="1070">
      <c r="C1070" s="3" t="s">
        <v>24</v>
      </c>
      <c r="D1070" s="3">
        <v>5173.0</v>
      </c>
      <c r="E1070" s="3" t="s">
        <v>142</v>
      </c>
      <c r="F1070" s="5">
        <v>46164.80486111111</v>
      </c>
      <c r="G1070" s="5">
        <v>46163.65130787037</v>
      </c>
      <c r="H1070" s="3" t="s">
        <v>14</v>
      </c>
      <c r="I1070" s="7">
        <v>0.0</v>
      </c>
      <c r="J1070" s="3" t="s">
        <v>15</v>
      </c>
    </row>
    <row r="1071">
      <c r="C1071" s="3" t="s">
        <v>26</v>
      </c>
      <c r="D1071" s="3">
        <v>5173.0</v>
      </c>
      <c r="E1071" s="3" t="s">
        <v>142</v>
      </c>
      <c r="F1071" s="5">
        <v>46165.42986111111</v>
      </c>
      <c r="G1071" s="5">
        <v>46163.651400462964</v>
      </c>
      <c r="H1071" s="3" t="s">
        <v>14</v>
      </c>
      <c r="I1071" s="7">
        <v>0.0</v>
      </c>
      <c r="J1071" s="3" t="s">
        <v>15</v>
      </c>
    </row>
    <row r="1072">
      <c r="C1072" s="3" t="s">
        <v>10</v>
      </c>
      <c r="D1072" s="3">
        <v>5174.0</v>
      </c>
      <c r="E1072" s="3" t="s">
        <v>109</v>
      </c>
      <c r="F1072" s="5">
        <v>46163.70753472222</v>
      </c>
      <c r="G1072" s="5">
        <v>46163.55703703704</v>
      </c>
      <c r="H1072" s="3" t="s">
        <v>14</v>
      </c>
      <c r="I1072" s="3">
        <v>0.0</v>
      </c>
      <c r="J1072" s="3" t="s">
        <v>15</v>
      </c>
    </row>
    <row r="1073">
      <c r="C1073" s="3" t="s">
        <v>17</v>
      </c>
      <c r="D1073" s="3">
        <v>5174.0</v>
      </c>
      <c r="E1073" s="3" t="s">
        <v>109</v>
      </c>
      <c r="F1073" s="5">
        <v>46163.714479166665</v>
      </c>
      <c r="G1073" s="5">
        <v>46163.55715277778</v>
      </c>
      <c r="H1073" s="3" t="s">
        <v>14</v>
      </c>
      <c r="I1073" s="7">
        <v>0.0</v>
      </c>
      <c r="J1073" s="3" t="s">
        <v>15</v>
      </c>
    </row>
    <row r="1074">
      <c r="C1074" s="3" t="s">
        <v>21</v>
      </c>
      <c r="D1074" s="3">
        <v>5174.0</v>
      </c>
      <c r="E1074" s="3" t="s">
        <v>109</v>
      </c>
      <c r="F1074" s="5">
        <v>46163.81864583334</v>
      </c>
      <c r="G1074" s="5">
        <v>46163.557534722226</v>
      </c>
      <c r="H1074" s="3" t="s">
        <v>14</v>
      </c>
      <c r="I1074" s="7">
        <v>0.0</v>
      </c>
      <c r="J1074" s="3" t="s">
        <v>15</v>
      </c>
    </row>
    <row r="1075">
      <c r="C1075" s="3" t="s">
        <v>24</v>
      </c>
      <c r="D1075" s="3">
        <v>5174.0</v>
      </c>
      <c r="E1075" s="3" t="s">
        <v>109</v>
      </c>
      <c r="F1075" s="5">
        <v>46164.81805555556</v>
      </c>
      <c r="G1075" s="5">
        <v>46163.65131944444</v>
      </c>
      <c r="H1075" s="3" t="s">
        <v>14</v>
      </c>
      <c r="I1075" s="7">
        <v>0.0</v>
      </c>
      <c r="J1075" s="3" t="s">
        <v>15</v>
      </c>
    </row>
    <row r="1076">
      <c r="C1076" s="3" t="s">
        <v>26</v>
      </c>
      <c r="D1076" s="3">
        <v>5174.0</v>
      </c>
      <c r="E1076" s="3" t="s">
        <v>109</v>
      </c>
      <c r="F1076" s="5">
        <v>46165.44305555556</v>
      </c>
      <c r="G1076" s="5">
        <v>46164.44664351852</v>
      </c>
      <c r="H1076" s="3" t="s">
        <v>14</v>
      </c>
      <c r="I1076" s="7">
        <v>0.0</v>
      </c>
      <c r="J1076" s="3" t="s">
        <v>15</v>
      </c>
    </row>
    <row r="1077">
      <c r="C1077" s="3" t="s">
        <v>10</v>
      </c>
      <c r="D1077" s="3">
        <v>5175.0</v>
      </c>
      <c r="E1077" s="3" t="s">
        <v>52</v>
      </c>
      <c r="F1077" s="5">
        <v>46163.716828703706</v>
      </c>
      <c r="G1077" s="5">
        <v>46163.55721064815</v>
      </c>
      <c r="H1077" s="3" t="s">
        <v>14</v>
      </c>
      <c r="I1077" s="3">
        <v>0.0</v>
      </c>
      <c r="J1077" s="3" t="s">
        <v>48</v>
      </c>
    </row>
    <row r="1078">
      <c r="C1078" s="3" t="s">
        <v>17</v>
      </c>
      <c r="D1078" s="3">
        <v>5175.0</v>
      </c>
      <c r="E1078" s="3" t="s">
        <v>52</v>
      </c>
      <c r="F1078" s="5">
        <v>46163.72377314815</v>
      </c>
      <c r="G1078" s="5">
        <v>46163.557280092595</v>
      </c>
      <c r="H1078" s="3" t="s">
        <v>14</v>
      </c>
      <c r="I1078" s="7">
        <v>0.0</v>
      </c>
      <c r="J1078" s="3" t="s">
        <v>48</v>
      </c>
    </row>
    <row r="1079">
      <c r="C1079" s="3" t="s">
        <v>21</v>
      </c>
      <c r="D1079" s="3">
        <v>5175.0</v>
      </c>
      <c r="E1079" s="3" t="s">
        <v>52</v>
      </c>
      <c r="F1079" s="5">
        <v>46163.827939814815</v>
      </c>
      <c r="G1079" s="5">
        <v>46163.55751157407</v>
      </c>
      <c r="H1079" s="3" t="s">
        <v>14</v>
      </c>
      <c r="I1079" s="7">
        <v>0.0</v>
      </c>
      <c r="J1079" s="3" t="s">
        <v>48</v>
      </c>
    </row>
    <row r="1080">
      <c r="C1080" s="3" t="s">
        <v>24</v>
      </c>
      <c r="D1080" s="3">
        <v>5175.0</v>
      </c>
      <c r="E1080" s="3" t="s">
        <v>52</v>
      </c>
      <c r="F1080" s="5">
        <v>46164.82777777778</v>
      </c>
      <c r="G1080" s="5">
        <v>46164.488703703704</v>
      </c>
      <c r="H1080" s="3" t="s">
        <v>14</v>
      </c>
      <c r="I1080" s="7">
        <v>0.0</v>
      </c>
      <c r="J1080" s="3" t="s">
        <v>48</v>
      </c>
    </row>
    <row r="1081">
      <c r="C1081" s="3" t="s">
        <v>26</v>
      </c>
      <c r="D1081" s="3">
        <v>5175.0</v>
      </c>
      <c r="E1081" s="3" t="s">
        <v>52</v>
      </c>
      <c r="F1081" s="5">
        <v>46165.45277777778</v>
      </c>
      <c r="G1081" s="5">
        <v>46164.48873842593</v>
      </c>
      <c r="H1081" s="3" t="s">
        <v>14</v>
      </c>
      <c r="I1081" s="7">
        <v>0.0</v>
      </c>
      <c r="J1081" s="3" t="s">
        <v>48</v>
      </c>
    </row>
    <row r="1082">
      <c r="C1082" s="3" t="s">
        <v>10</v>
      </c>
      <c r="D1082" s="3">
        <v>5176.0</v>
      </c>
      <c r="E1082" s="3" t="s">
        <v>991</v>
      </c>
      <c r="F1082" s="5">
        <v>46163.71703703704</v>
      </c>
      <c r="G1082" s="5">
        <v>46163.55734953703</v>
      </c>
      <c r="H1082" s="3" t="s">
        <v>14</v>
      </c>
      <c r="I1082" s="3">
        <v>0.0</v>
      </c>
      <c r="J1082" s="3" t="s">
        <v>15</v>
      </c>
    </row>
    <row r="1083">
      <c r="C1083" s="3" t="s">
        <v>17</v>
      </c>
      <c r="D1083" s="3">
        <v>5176.0</v>
      </c>
      <c r="E1083" s="3" t="s">
        <v>991</v>
      </c>
      <c r="F1083" s="5">
        <v>46163.72398148148</v>
      </c>
      <c r="G1083" s="5">
        <v>46163.557442129626</v>
      </c>
      <c r="H1083" s="3" t="s">
        <v>14</v>
      </c>
      <c r="I1083" s="7">
        <v>0.0</v>
      </c>
      <c r="J1083" s="3" t="s">
        <v>15</v>
      </c>
    </row>
    <row r="1084">
      <c r="C1084" s="3" t="s">
        <v>21</v>
      </c>
      <c r="D1084" s="3">
        <v>5176.0</v>
      </c>
      <c r="E1084" s="3" t="s">
        <v>991</v>
      </c>
      <c r="F1084" s="5">
        <v>46163.828148148146</v>
      </c>
      <c r="G1084" s="5">
        <v>46163.557488425926</v>
      </c>
      <c r="H1084" s="3" t="s">
        <v>14</v>
      </c>
      <c r="I1084" s="7">
        <v>0.0</v>
      </c>
      <c r="J1084" s="3" t="s">
        <v>15</v>
      </c>
    </row>
    <row r="1085">
      <c r="C1085" s="3" t="s">
        <v>24</v>
      </c>
      <c r="D1085" s="3">
        <v>5176.0</v>
      </c>
      <c r="E1085" s="3" t="s">
        <v>991</v>
      </c>
      <c r="F1085" s="5">
        <v>46164.82777777778</v>
      </c>
      <c r="G1085" s="5">
        <v>46163.65127314815</v>
      </c>
      <c r="H1085" s="3" t="s">
        <v>14</v>
      </c>
      <c r="I1085" s="7">
        <v>0.0</v>
      </c>
      <c r="J1085" s="3" t="s">
        <v>15</v>
      </c>
    </row>
    <row r="1086">
      <c r="C1086" s="3" t="s">
        <v>26</v>
      </c>
      <c r="D1086" s="3">
        <v>5176.0</v>
      </c>
      <c r="E1086" s="3" t="s">
        <v>991</v>
      </c>
      <c r="F1086" s="5">
        <v>46165.45277777778</v>
      </c>
      <c r="G1086" s="5">
        <v>46163.651412037034</v>
      </c>
      <c r="H1086" s="3" t="s">
        <v>14</v>
      </c>
      <c r="I1086" s="7">
        <v>0.0</v>
      </c>
      <c r="J1086" s="3" t="s">
        <v>15</v>
      </c>
    </row>
    <row r="1087">
      <c r="C1087" s="3" t="s">
        <v>10</v>
      </c>
      <c r="D1087" s="3">
        <v>5177.0</v>
      </c>
      <c r="E1087" s="3" t="s">
        <v>125</v>
      </c>
      <c r="F1087" s="5">
        <v>46164.43402777778</v>
      </c>
      <c r="G1087" s="5">
        <v>46163.70153935185</v>
      </c>
      <c r="H1087" s="3" t="s">
        <v>14</v>
      </c>
      <c r="I1087" s="3">
        <v>0.0</v>
      </c>
      <c r="J1087" s="3" t="s">
        <v>72</v>
      </c>
    </row>
    <row r="1088">
      <c r="C1088" s="3" t="s">
        <v>17</v>
      </c>
      <c r="D1088" s="3">
        <v>5177.0</v>
      </c>
      <c r="E1088" s="3" t="s">
        <v>125</v>
      </c>
      <c r="F1088" s="5">
        <v>46164.44097222222</v>
      </c>
      <c r="G1088" s="5">
        <v>46163.70167824074</v>
      </c>
      <c r="H1088" s="3" t="s">
        <v>14</v>
      </c>
      <c r="I1088" s="7">
        <v>0.0</v>
      </c>
      <c r="J1088" s="3" t="s">
        <v>72</v>
      </c>
    </row>
    <row r="1089">
      <c r="C1089" s="3" t="s">
        <v>21</v>
      </c>
      <c r="D1089" s="3">
        <v>5177.0</v>
      </c>
      <c r="E1089" s="3" t="s">
        <v>125</v>
      </c>
      <c r="F1089" s="5">
        <v>46164.54513888889</v>
      </c>
      <c r="G1089" s="5">
        <v>46163.70171296296</v>
      </c>
      <c r="H1089" s="3" t="s">
        <v>14</v>
      </c>
      <c r="I1089" s="7">
        <v>0.0</v>
      </c>
      <c r="J1089" s="3" t="s">
        <v>72</v>
      </c>
    </row>
    <row r="1090">
      <c r="C1090" s="3" t="s">
        <v>24</v>
      </c>
      <c r="D1090" s="3">
        <v>5177.0</v>
      </c>
      <c r="E1090" s="3" t="s">
        <v>125</v>
      </c>
      <c r="F1090" s="5">
        <v>46165.54513888889</v>
      </c>
      <c r="G1090" s="5">
        <v>46163.79959490741</v>
      </c>
      <c r="H1090" s="3" t="s">
        <v>14</v>
      </c>
      <c r="I1090" s="7">
        <v>0.0</v>
      </c>
      <c r="J1090" s="3" t="s">
        <v>72</v>
      </c>
    </row>
    <row r="1091">
      <c r="C1091" s="3" t="s">
        <v>26</v>
      </c>
      <c r="D1091" s="3">
        <v>5177.0</v>
      </c>
      <c r="E1091" s="3" t="s">
        <v>125</v>
      </c>
      <c r="F1091" s="5">
        <v>46165.586805555555</v>
      </c>
      <c r="G1091" s="5">
        <v>46164.42407407407</v>
      </c>
      <c r="H1091" s="3" t="s">
        <v>14</v>
      </c>
      <c r="I1091" s="7">
        <v>0.0</v>
      </c>
      <c r="J1091" s="3" t="s">
        <v>72</v>
      </c>
    </row>
    <row r="1092">
      <c r="C1092" s="3" t="s">
        <v>10</v>
      </c>
      <c r="D1092" s="3">
        <v>5178.0</v>
      </c>
      <c r="E1092" s="3" t="s">
        <v>996</v>
      </c>
      <c r="F1092" s="5">
        <v>46164.43541666667</v>
      </c>
      <c r="G1092" s="5">
        <v>46163.70155092593</v>
      </c>
      <c r="H1092" s="3" t="s">
        <v>14</v>
      </c>
      <c r="I1092" s="3">
        <v>0.0</v>
      </c>
      <c r="J1092" s="3" t="s">
        <v>72</v>
      </c>
    </row>
    <row r="1093">
      <c r="C1093" s="3" t="s">
        <v>17</v>
      </c>
      <c r="D1093" s="3">
        <v>5178.0</v>
      </c>
      <c r="E1093" s="3" t="s">
        <v>996</v>
      </c>
      <c r="F1093" s="5">
        <v>46164.44236111111</v>
      </c>
      <c r="G1093" s="5">
        <v>46163.701689814814</v>
      </c>
      <c r="H1093" s="3" t="s">
        <v>14</v>
      </c>
      <c r="I1093" s="7">
        <v>0.0</v>
      </c>
      <c r="J1093" s="3" t="s">
        <v>72</v>
      </c>
    </row>
    <row r="1094">
      <c r="C1094" s="3" t="s">
        <v>21</v>
      </c>
      <c r="D1094" s="3">
        <v>5178.0</v>
      </c>
      <c r="E1094" s="3" t="s">
        <v>996</v>
      </c>
      <c r="F1094" s="5">
        <v>46164.54652777778</v>
      </c>
      <c r="G1094" s="5">
        <v>46164.44635416667</v>
      </c>
      <c r="H1094" s="3" t="s">
        <v>14</v>
      </c>
      <c r="I1094" s="7">
        <v>0.0</v>
      </c>
      <c r="J1094" s="3" t="s">
        <v>72</v>
      </c>
    </row>
    <row r="1095">
      <c r="C1095" s="3" t="s">
        <v>24</v>
      </c>
      <c r="D1095" s="3">
        <v>5178.0</v>
      </c>
      <c r="E1095" s="3" t="s">
        <v>996</v>
      </c>
      <c r="F1095" s="5">
        <v>46165.54652777778</v>
      </c>
      <c r="G1095" s="5">
        <v>46163.79956018519</v>
      </c>
      <c r="H1095" s="3" t="s">
        <v>14</v>
      </c>
      <c r="I1095" s="7">
        <v>0.0</v>
      </c>
      <c r="J1095" s="3" t="s">
        <v>72</v>
      </c>
    </row>
    <row r="1096">
      <c r="C1096" s="3" t="s">
        <v>26</v>
      </c>
      <c r="D1096" s="3">
        <v>5178.0</v>
      </c>
      <c r="E1096" s="3" t="s">
        <v>996</v>
      </c>
      <c r="F1096" s="5">
        <v>46165.58819444444</v>
      </c>
      <c r="G1096" s="5">
        <v>46164.42408564815</v>
      </c>
      <c r="H1096" s="3" t="s">
        <v>14</v>
      </c>
      <c r="I1096" s="7">
        <v>0.0</v>
      </c>
      <c r="J1096" s="3" t="s">
        <v>72</v>
      </c>
    </row>
    <row r="1097">
      <c r="C1097" s="3" t="s">
        <v>10</v>
      </c>
      <c r="D1097" s="3">
        <v>5179.0</v>
      </c>
      <c r="E1097" s="3" t="s">
        <v>1000</v>
      </c>
      <c r="F1097" s="5">
        <v>46164.455555555556</v>
      </c>
      <c r="G1097" s="5">
        <v>46163.746770833335</v>
      </c>
      <c r="H1097" s="3" t="s">
        <v>14</v>
      </c>
      <c r="I1097" s="3">
        <v>0.0</v>
      </c>
      <c r="J1097" s="3" t="s">
        <v>15</v>
      </c>
    </row>
    <row r="1098">
      <c r="C1098" s="3" t="s">
        <v>17</v>
      </c>
      <c r="D1098" s="3">
        <v>5179.0</v>
      </c>
      <c r="E1098" s="3" t="s">
        <v>1000</v>
      </c>
      <c r="F1098" s="5">
        <v>46164.4625</v>
      </c>
      <c r="G1098" s="5">
        <v>46163.74684027778</v>
      </c>
      <c r="H1098" s="3" t="s">
        <v>14</v>
      </c>
      <c r="I1098" s="7">
        <v>0.0</v>
      </c>
      <c r="J1098" s="3" t="s">
        <v>15</v>
      </c>
    </row>
    <row r="1099">
      <c r="C1099" s="3" t="s">
        <v>21</v>
      </c>
      <c r="D1099" s="3">
        <v>5179.0</v>
      </c>
      <c r="E1099" s="3" t="s">
        <v>1000</v>
      </c>
      <c r="F1099" s="5">
        <v>46164.566666666666</v>
      </c>
      <c r="G1099" s="5">
        <v>46163.74686342593</v>
      </c>
      <c r="H1099" s="3" t="s">
        <v>14</v>
      </c>
      <c r="I1099" s="7">
        <v>0.0</v>
      </c>
      <c r="J1099" s="3" t="s">
        <v>15</v>
      </c>
    </row>
    <row r="1100">
      <c r="C1100" s="3" t="s">
        <v>24</v>
      </c>
      <c r="D1100" s="3">
        <v>5179.0</v>
      </c>
      <c r="E1100" s="3" t="s">
        <v>1000</v>
      </c>
      <c r="F1100" s="5">
        <v>46165.566666666666</v>
      </c>
      <c r="G1100" s="5">
        <v>46163.80844907407</v>
      </c>
      <c r="H1100" s="3" t="s">
        <v>14</v>
      </c>
      <c r="I1100" s="7">
        <v>0.0</v>
      </c>
      <c r="J1100" s="3" t="s">
        <v>15</v>
      </c>
    </row>
    <row r="1101">
      <c r="C1101" s="3" t="s">
        <v>26</v>
      </c>
      <c r="D1101" s="3">
        <v>5179.0</v>
      </c>
      <c r="E1101" s="3" t="s">
        <v>1000</v>
      </c>
      <c r="F1101" s="5">
        <v>46165.60833333333</v>
      </c>
      <c r="G1101" s="5">
        <v>46163.80847222222</v>
      </c>
      <c r="H1101" s="3" t="s">
        <v>14</v>
      </c>
      <c r="I1101" s="7">
        <v>0.0</v>
      </c>
      <c r="J1101" s="3" t="s">
        <v>15</v>
      </c>
    </row>
    <row r="1102">
      <c r="C1102" s="3" t="s">
        <v>10</v>
      </c>
      <c r="D1102" s="3">
        <v>5180.0</v>
      </c>
      <c r="E1102" s="3" t="s">
        <v>1003</v>
      </c>
      <c r="F1102" s="5">
        <v>46164.506944444445</v>
      </c>
      <c r="G1102" s="5">
        <v>46163.79924768519</v>
      </c>
      <c r="H1102" s="3" t="s">
        <v>14</v>
      </c>
      <c r="I1102" s="3">
        <v>0.0</v>
      </c>
      <c r="J1102" s="3" t="s">
        <v>72</v>
      </c>
    </row>
    <row r="1103">
      <c r="C1103" s="3" t="s">
        <v>17</v>
      </c>
      <c r="D1103" s="3">
        <v>5180.0</v>
      </c>
      <c r="E1103" s="3" t="s">
        <v>1003</v>
      </c>
      <c r="F1103" s="5">
        <v>46164.51388888889</v>
      </c>
      <c r="G1103" s="5">
        <v>46163.799375</v>
      </c>
      <c r="H1103" s="3" t="s">
        <v>14</v>
      </c>
      <c r="I1103" s="7">
        <v>0.0</v>
      </c>
      <c r="J1103" s="3" t="s">
        <v>72</v>
      </c>
    </row>
    <row r="1104">
      <c r="C1104" s="3" t="s">
        <v>21</v>
      </c>
      <c r="D1104" s="3">
        <v>5180.0</v>
      </c>
      <c r="E1104" s="3" t="s">
        <v>1003</v>
      </c>
      <c r="F1104" s="5">
        <v>46164.618055555555</v>
      </c>
      <c r="G1104" s="5">
        <v>46163.79945601852</v>
      </c>
      <c r="H1104" s="3" t="s">
        <v>14</v>
      </c>
      <c r="I1104" s="7">
        <v>0.0</v>
      </c>
      <c r="J1104" s="3" t="s">
        <v>72</v>
      </c>
    </row>
    <row r="1105">
      <c r="C1105" s="3" t="s">
        <v>24</v>
      </c>
      <c r="D1105" s="3">
        <v>5180.0</v>
      </c>
      <c r="E1105" s="3" t="s">
        <v>1003</v>
      </c>
      <c r="F1105" s="5">
        <v>46165.618055555555</v>
      </c>
      <c r="G1105" s="5">
        <v>46163.79949074074</v>
      </c>
      <c r="H1105" s="3" t="s">
        <v>14</v>
      </c>
      <c r="I1105" s="7">
        <v>0.0</v>
      </c>
      <c r="J1105" s="3" t="s">
        <v>72</v>
      </c>
    </row>
    <row r="1106">
      <c r="C1106" s="3" t="s">
        <v>26</v>
      </c>
      <c r="D1106" s="3">
        <v>5180.0</v>
      </c>
      <c r="E1106" s="3" t="s">
        <v>1003</v>
      </c>
      <c r="F1106" s="5">
        <v>46165.65972222222</v>
      </c>
      <c r="G1106" s="5">
        <v>46164.42414351852</v>
      </c>
      <c r="H1106" s="3" t="s">
        <v>14</v>
      </c>
      <c r="I1106" s="7">
        <v>0.0</v>
      </c>
      <c r="J1106" s="3" t="s">
        <v>72</v>
      </c>
    </row>
    <row r="1107">
      <c r="C1107" s="3" t="s">
        <v>10</v>
      </c>
      <c r="D1107" s="3">
        <v>5181.0</v>
      </c>
      <c r="E1107" s="3" t="s">
        <v>1008</v>
      </c>
      <c r="F1107" s="5">
        <v>46164.544444444444</v>
      </c>
      <c r="G1107" s="5">
        <v>46163.80795138889</v>
      </c>
      <c r="H1107" s="3" t="s">
        <v>14</v>
      </c>
      <c r="I1107" s="3">
        <v>0.0</v>
      </c>
      <c r="J1107" s="3" t="s">
        <v>15</v>
      </c>
    </row>
    <row r="1108">
      <c r="C1108" s="3" t="s">
        <v>17</v>
      </c>
      <c r="D1108" s="3">
        <v>5181.0</v>
      </c>
      <c r="E1108" s="3" t="s">
        <v>1008</v>
      </c>
      <c r="F1108" s="5">
        <v>46164.55138888889</v>
      </c>
      <c r="G1108" s="5">
        <v>46163.80800925926</v>
      </c>
      <c r="H1108" s="3" t="s">
        <v>14</v>
      </c>
      <c r="I1108" s="7">
        <v>0.0</v>
      </c>
      <c r="J1108" s="3" t="s">
        <v>15</v>
      </c>
    </row>
    <row r="1109">
      <c r="C1109" s="3" t="s">
        <v>21</v>
      </c>
      <c r="D1109" s="3">
        <v>5181.0</v>
      </c>
      <c r="E1109" s="3" t="s">
        <v>1008</v>
      </c>
      <c r="F1109" s="5">
        <v>46164.65555555555</v>
      </c>
      <c r="G1109" s="5">
        <v>46163.8080787037</v>
      </c>
      <c r="H1109" s="3" t="s">
        <v>14</v>
      </c>
      <c r="I1109" s="7">
        <v>0.0</v>
      </c>
      <c r="J1109" s="3" t="s">
        <v>15</v>
      </c>
    </row>
    <row r="1110">
      <c r="C1110" s="3" t="s">
        <v>24</v>
      </c>
      <c r="D1110" s="3">
        <v>5181.0</v>
      </c>
      <c r="E1110" s="3" t="s">
        <v>1008</v>
      </c>
      <c r="F1110" s="5">
        <v>46165.65555555555</v>
      </c>
      <c r="G1110" s="5">
        <v>46163.808171296296</v>
      </c>
      <c r="H1110" s="3" t="s">
        <v>14</v>
      </c>
      <c r="I1110" s="7">
        <v>0.0</v>
      </c>
      <c r="J1110" s="3" t="s">
        <v>15</v>
      </c>
    </row>
    <row r="1111">
      <c r="C1111" s="3" t="s">
        <v>26</v>
      </c>
      <c r="D1111" s="3">
        <v>5181.0</v>
      </c>
      <c r="E1111" s="3" t="s">
        <v>1008</v>
      </c>
      <c r="F1111" s="5">
        <v>46165.697222222225</v>
      </c>
      <c r="G1111" s="5">
        <v>46163.80849537037</v>
      </c>
      <c r="H1111" s="3" t="s">
        <v>14</v>
      </c>
      <c r="I1111" s="7">
        <v>0.0</v>
      </c>
      <c r="J1111" s="3" t="s">
        <v>15</v>
      </c>
    </row>
    <row r="1112">
      <c r="C1112" s="3" t="s">
        <v>10</v>
      </c>
      <c r="D1112" s="3">
        <v>5182.0</v>
      </c>
      <c r="E1112" s="3" t="s">
        <v>52</v>
      </c>
      <c r="F1112" s="5">
        <v>46164.6665625</v>
      </c>
      <c r="G1112" s="5">
        <v>46164.60375</v>
      </c>
      <c r="H1112" s="3" t="s">
        <v>14</v>
      </c>
      <c r="I1112" s="3">
        <v>0.0</v>
      </c>
      <c r="J1112" s="3" t="s">
        <v>48</v>
      </c>
    </row>
    <row r="1113">
      <c r="C1113" s="3" t="s">
        <v>17</v>
      </c>
      <c r="D1113" s="3">
        <v>5182.0</v>
      </c>
      <c r="E1113" s="3" t="s">
        <v>52</v>
      </c>
      <c r="F1113" s="5">
        <v>46164.67350694445</v>
      </c>
      <c r="G1113" s="5">
        <v>46164.60383101852</v>
      </c>
      <c r="H1113" s="3" t="s">
        <v>14</v>
      </c>
      <c r="I1113" s="7">
        <v>0.0</v>
      </c>
      <c r="J1113" s="3" t="s">
        <v>48</v>
      </c>
    </row>
    <row r="1114">
      <c r="C1114" s="3" t="s">
        <v>21</v>
      </c>
      <c r="D1114" s="3">
        <v>5182.0</v>
      </c>
      <c r="E1114" s="3" t="s">
        <v>52</v>
      </c>
      <c r="F1114" s="5">
        <v>46164.77767361111</v>
      </c>
      <c r="G1114" s="5">
        <v>46164.60392361111</v>
      </c>
      <c r="H1114" s="3" t="s">
        <v>14</v>
      </c>
      <c r="I1114" s="7">
        <v>0.0</v>
      </c>
      <c r="J1114" s="3" t="s">
        <v>48</v>
      </c>
    </row>
    <row r="1115">
      <c r="C1115" s="3" t="s">
        <v>24</v>
      </c>
      <c r="D1115" s="3">
        <v>5182.0</v>
      </c>
      <c r="E1115" s="3" t="s">
        <v>52</v>
      </c>
      <c r="F1115" s="5">
        <v>46167.48541666667</v>
      </c>
      <c r="G1115" s="5">
        <v>46167.44358796296</v>
      </c>
      <c r="H1115" s="3" t="s">
        <v>14</v>
      </c>
      <c r="I1115" s="7">
        <v>0.0</v>
      </c>
      <c r="J1115" s="3" t="s">
        <v>48</v>
      </c>
    </row>
    <row r="1116">
      <c r="C1116" s="3" t="s">
        <v>26</v>
      </c>
      <c r="D1116" s="3">
        <v>5182.0</v>
      </c>
      <c r="E1116" s="3" t="s">
        <v>52</v>
      </c>
      <c r="F1116" s="5">
        <v>46167.527083333334</v>
      </c>
      <c r="G1116" s="5">
        <v>46167.44362268518</v>
      </c>
      <c r="H1116" s="3" t="s">
        <v>14</v>
      </c>
      <c r="I1116" s="7">
        <v>0.0</v>
      </c>
      <c r="J1116" s="3" t="s">
        <v>48</v>
      </c>
    </row>
    <row r="1117">
      <c r="C1117" s="3" t="s">
        <v>10</v>
      </c>
      <c r="D1117" s="3">
        <v>5183.0</v>
      </c>
      <c r="E1117" s="3" t="s">
        <v>1014</v>
      </c>
      <c r="F1117" s="5">
        <v>46164.81773148148</v>
      </c>
      <c r="G1117" s="5">
        <v>46164.75570601852</v>
      </c>
      <c r="H1117" s="3" t="s">
        <v>14</v>
      </c>
      <c r="I1117" s="3">
        <v>0.0</v>
      </c>
      <c r="J1117" s="3" t="s">
        <v>15</v>
      </c>
    </row>
    <row r="1118">
      <c r="C1118" s="3" t="s">
        <v>17</v>
      </c>
      <c r="D1118" s="3">
        <v>5183.0</v>
      </c>
      <c r="E1118" s="3" t="s">
        <v>1014</v>
      </c>
      <c r="F1118" s="5">
        <v>46164.82467592593</v>
      </c>
      <c r="G1118" s="5">
        <v>46164.75579861111</v>
      </c>
      <c r="H1118" s="3" t="s">
        <v>14</v>
      </c>
      <c r="I1118" s="7">
        <v>0.0</v>
      </c>
      <c r="J1118" s="3" t="s">
        <v>15</v>
      </c>
    </row>
    <row r="1119">
      <c r="C1119" s="3" t="s">
        <v>21</v>
      </c>
      <c r="D1119" s="3">
        <v>5183.0</v>
      </c>
      <c r="E1119" s="3" t="s">
        <v>1014</v>
      </c>
      <c r="F1119" s="5">
        <v>46165.532638888886</v>
      </c>
      <c r="G1119" s="5">
        <v>46164.75586805555</v>
      </c>
      <c r="H1119" s="3" t="s">
        <v>14</v>
      </c>
      <c r="I1119" s="7">
        <v>0.0</v>
      </c>
      <c r="J1119" s="3" t="s">
        <v>15</v>
      </c>
    </row>
    <row r="1120">
      <c r="C1120" s="3" t="s">
        <v>24</v>
      </c>
      <c r="D1120" s="3">
        <v>5183.0</v>
      </c>
      <c r="E1120" s="3" t="s">
        <v>1014</v>
      </c>
      <c r="F1120" s="5">
        <v>46167.532638888886</v>
      </c>
      <c r="G1120" s="5">
        <v>46164.75604166667</v>
      </c>
      <c r="H1120" s="3" t="s">
        <v>14</v>
      </c>
      <c r="I1120" s="7">
        <v>0.0</v>
      </c>
      <c r="J1120" s="3" t="s">
        <v>15</v>
      </c>
    </row>
    <row r="1121">
      <c r="C1121" s="3" t="s">
        <v>26</v>
      </c>
      <c r="D1121" s="3">
        <v>5183.0</v>
      </c>
      <c r="E1121" s="3" t="s">
        <v>1014</v>
      </c>
      <c r="F1121" s="5">
        <v>46167.57430555556</v>
      </c>
      <c r="G1121" s="5">
        <v>46164.75611111111</v>
      </c>
      <c r="H1121" s="3" t="s">
        <v>14</v>
      </c>
      <c r="I1121" s="7">
        <v>0.0</v>
      </c>
      <c r="J1121" s="3" t="s">
        <v>15</v>
      </c>
    </row>
    <row r="1122">
      <c r="C1122" s="3" t="s">
        <v>10</v>
      </c>
      <c r="D1122" s="3">
        <v>5184.0</v>
      </c>
      <c r="E1122" s="3" t="s">
        <v>1018</v>
      </c>
      <c r="F1122" s="5">
        <v>46164.830243055556</v>
      </c>
      <c r="G1122" s="5">
        <v>46164.69084490741</v>
      </c>
      <c r="H1122" s="3" t="s">
        <v>14</v>
      </c>
      <c r="I1122" s="3">
        <v>0.0</v>
      </c>
      <c r="J1122" s="3" t="s">
        <v>72</v>
      </c>
    </row>
    <row r="1123">
      <c r="C1123" s="3" t="s">
        <v>17</v>
      </c>
      <c r="D1123" s="3">
        <v>5184.0</v>
      </c>
      <c r="E1123" s="3" t="s">
        <v>1018</v>
      </c>
      <c r="F1123" s="5">
        <v>46165.45486111111</v>
      </c>
      <c r="G1123" s="5">
        <v>46164.691145833334</v>
      </c>
      <c r="H1123" s="3" t="s">
        <v>14</v>
      </c>
      <c r="I1123" s="7">
        <v>0.0</v>
      </c>
      <c r="J1123" s="3" t="s">
        <v>72</v>
      </c>
    </row>
    <row r="1124">
      <c r="C1124" s="3" t="s">
        <v>21</v>
      </c>
      <c r="D1124" s="3">
        <v>5184.0</v>
      </c>
      <c r="E1124" s="3" t="s">
        <v>1018</v>
      </c>
      <c r="F1124" s="5">
        <v>46165.55902777778</v>
      </c>
      <c r="G1124" s="5">
        <v>46164.69130787037</v>
      </c>
      <c r="H1124" s="3" t="s">
        <v>14</v>
      </c>
      <c r="I1124" s="7">
        <v>0.0</v>
      </c>
      <c r="J1124" s="3" t="s">
        <v>72</v>
      </c>
    </row>
    <row r="1125">
      <c r="C1125" s="3" t="s">
        <v>24</v>
      </c>
      <c r="D1125" s="3">
        <v>5184.0</v>
      </c>
      <c r="E1125" s="3" t="s">
        <v>1018</v>
      </c>
      <c r="F1125" s="5">
        <v>46167.55902777778</v>
      </c>
      <c r="G1125" s="5">
        <v>46165.46166666667</v>
      </c>
      <c r="H1125" s="3" t="s">
        <v>14</v>
      </c>
      <c r="I1125" s="7">
        <v>0.0</v>
      </c>
      <c r="J1125" s="3" t="s">
        <v>72</v>
      </c>
    </row>
    <row r="1126">
      <c r="C1126" s="3" t="s">
        <v>26</v>
      </c>
      <c r="D1126" s="3">
        <v>5184.0</v>
      </c>
      <c r="E1126" s="3" t="s">
        <v>1018</v>
      </c>
      <c r="F1126" s="5">
        <v>46167.600694444445</v>
      </c>
      <c r="G1126" s="5">
        <v>46165.46175925926</v>
      </c>
      <c r="H1126" s="3" t="s">
        <v>14</v>
      </c>
      <c r="I1126" s="7">
        <v>0.0</v>
      </c>
      <c r="J1126" s="3" t="s">
        <v>72</v>
      </c>
    </row>
    <row r="1127">
      <c r="C1127" s="3" t="s">
        <v>10</v>
      </c>
      <c r="D1127" s="3">
        <v>5185.0</v>
      </c>
      <c r="E1127" s="3" t="s">
        <v>1021</v>
      </c>
      <c r="F1127" s="5">
        <v>46164.83193287037</v>
      </c>
      <c r="G1127" s="5">
        <v>46164.69085648148</v>
      </c>
      <c r="H1127" s="3" t="s">
        <v>14</v>
      </c>
      <c r="I1127" s="3">
        <v>0.0</v>
      </c>
      <c r="J1127" s="3" t="s">
        <v>72</v>
      </c>
    </row>
    <row r="1128">
      <c r="C1128" s="3" t="s">
        <v>17</v>
      </c>
      <c r="D1128" s="3">
        <v>5185.0</v>
      </c>
      <c r="E1128" s="3" t="s">
        <v>1021</v>
      </c>
      <c r="F1128" s="5">
        <v>46165.45625</v>
      </c>
      <c r="G1128" s="5">
        <v>46164.691145833334</v>
      </c>
      <c r="H1128" s="3" t="s">
        <v>14</v>
      </c>
      <c r="I1128" s="7">
        <v>0.0</v>
      </c>
      <c r="J1128" s="3" t="s">
        <v>72</v>
      </c>
    </row>
    <row r="1129">
      <c r="C1129" s="3" t="s">
        <v>21</v>
      </c>
      <c r="D1129" s="3">
        <v>5185.0</v>
      </c>
      <c r="E1129" s="3" t="s">
        <v>1021</v>
      </c>
      <c r="F1129" s="5">
        <v>46165.56041666667</v>
      </c>
      <c r="G1129" s="5">
        <v>46164.69130787037</v>
      </c>
      <c r="H1129" s="3" t="s">
        <v>14</v>
      </c>
      <c r="I1129" s="7">
        <v>0.0</v>
      </c>
      <c r="J1129" s="3" t="s">
        <v>72</v>
      </c>
    </row>
    <row r="1130">
      <c r="C1130" s="3" t="s">
        <v>24</v>
      </c>
      <c r="D1130" s="3">
        <v>5185.0</v>
      </c>
      <c r="E1130" s="3" t="s">
        <v>1021</v>
      </c>
      <c r="F1130" s="5">
        <v>46167.56041666667</v>
      </c>
      <c r="G1130" s="5">
        <v>46165.461689814816</v>
      </c>
      <c r="H1130" s="3" t="s">
        <v>14</v>
      </c>
      <c r="I1130" s="7">
        <v>0.0</v>
      </c>
      <c r="J1130" s="3" t="s">
        <v>72</v>
      </c>
    </row>
    <row r="1131">
      <c r="C1131" s="3" t="s">
        <v>26</v>
      </c>
      <c r="D1131" s="3">
        <v>5185.0</v>
      </c>
      <c r="E1131" s="3" t="s">
        <v>1021</v>
      </c>
      <c r="F1131" s="5">
        <v>46167.60208333333</v>
      </c>
      <c r="G1131" s="5">
        <v>46165.46175925926</v>
      </c>
      <c r="H1131" s="3" t="s">
        <v>14</v>
      </c>
      <c r="I1131" s="7">
        <v>0.0</v>
      </c>
      <c r="J1131" s="3" t="s">
        <v>72</v>
      </c>
    </row>
    <row r="1132">
      <c r="C1132" s="3" t="s">
        <v>10</v>
      </c>
      <c r="D1132" s="3">
        <v>5186.0</v>
      </c>
      <c r="E1132" s="3" t="s">
        <v>1023</v>
      </c>
      <c r="F1132" s="5">
        <v>46164.8325</v>
      </c>
      <c r="G1132" s="5">
        <v>46164.69086805556</v>
      </c>
      <c r="H1132" s="3" t="s">
        <v>14</v>
      </c>
      <c r="I1132" s="3">
        <v>0.0</v>
      </c>
      <c r="J1132" s="3" t="s">
        <v>72</v>
      </c>
    </row>
    <row r="1133">
      <c r="C1133" s="3" t="s">
        <v>17</v>
      </c>
      <c r="D1133" s="3">
        <v>5186.0</v>
      </c>
      <c r="E1133" s="3" t="s">
        <v>1023</v>
      </c>
      <c r="F1133" s="5">
        <v>46165.45694444444</v>
      </c>
      <c r="G1133" s="5">
        <v>46164.691145833334</v>
      </c>
      <c r="H1133" s="3" t="s">
        <v>14</v>
      </c>
      <c r="I1133" s="7">
        <v>0.0</v>
      </c>
      <c r="J1133" s="3" t="s">
        <v>72</v>
      </c>
    </row>
    <row r="1134">
      <c r="C1134" s="3" t="s">
        <v>21</v>
      </c>
      <c r="D1134" s="3">
        <v>5186.0</v>
      </c>
      <c r="E1134" s="3" t="s">
        <v>1023</v>
      </c>
      <c r="F1134" s="5">
        <v>46165.561111111114</v>
      </c>
      <c r="G1134" s="5">
        <v>46164.69130787037</v>
      </c>
      <c r="H1134" s="3" t="s">
        <v>14</v>
      </c>
      <c r="I1134" s="7">
        <v>0.0</v>
      </c>
      <c r="J1134" s="3" t="s">
        <v>72</v>
      </c>
    </row>
    <row r="1135">
      <c r="C1135" s="3" t="s">
        <v>24</v>
      </c>
      <c r="D1135" s="3">
        <v>5186.0</v>
      </c>
      <c r="E1135" s="3" t="s">
        <v>1023</v>
      </c>
      <c r="F1135" s="5">
        <v>46167.561111111114</v>
      </c>
      <c r="G1135" s="5">
        <v>46165.49508101852</v>
      </c>
      <c r="H1135" s="3" t="s">
        <v>14</v>
      </c>
      <c r="I1135" s="7">
        <v>0.0</v>
      </c>
      <c r="J1135" s="3" t="s">
        <v>72</v>
      </c>
    </row>
    <row r="1136">
      <c r="C1136" s="3" t="s">
        <v>26</v>
      </c>
      <c r="D1136" s="3">
        <v>5186.0</v>
      </c>
      <c r="E1136" s="3" t="s">
        <v>1023</v>
      </c>
      <c r="F1136" s="5">
        <v>46167.60277777778</v>
      </c>
      <c r="G1136" s="5">
        <v>46165.46175925926</v>
      </c>
      <c r="H1136" s="3" t="s">
        <v>14</v>
      </c>
      <c r="I1136" s="7">
        <v>0.0</v>
      </c>
      <c r="J1136" s="3" t="s">
        <v>72</v>
      </c>
    </row>
    <row r="1137">
      <c r="C1137" s="3" t="s">
        <v>10</v>
      </c>
      <c r="D1137" s="3">
        <v>5187.0</v>
      </c>
      <c r="E1137" s="3" t="s">
        <v>1027</v>
      </c>
      <c r="F1137" s="5">
        <v>46165.419444444444</v>
      </c>
      <c r="G1137" s="5">
        <v>46164.69086805556</v>
      </c>
      <c r="H1137" s="3" t="s">
        <v>14</v>
      </c>
      <c r="I1137" s="3">
        <v>0.0</v>
      </c>
      <c r="J1137" s="3" t="s">
        <v>72</v>
      </c>
    </row>
    <row r="1138">
      <c r="C1138" s="3" t="s">
        <v>17</v>
      </c>
      <c r="D1138" s="3">
        <v>5187.0</v>
      </c>
      <c r="E1138" s="3" t="s">
        <v>1027</v>
      </c>
      <c r="F1138" s="5">
        <v>46165.42638888889</v>
      </c>
      <c r="G1138" s="5">
        <v>46164.691145833334</v>
      </c>
      <c r="H1138" s="3" t="s">
        <v>14</v>
      </c>
      <c r="I1138" s="7">
        <v>0.0</v>
      </c>
      <c r="J1138" s="3" t="s">
        <v>72</v>
      </c>
    </row>
    <row r="1139">
      <c r="C1139" s="3" t="s">
        <v>21</v>
      </c>
      <c r="D1139" s="3">
        <v>5187.0</v>
      </c>
      <c r="E1139" s="3" t="s">
        <v>1027</v>
      </c>
      <c r="F1139" s="5">
        <v>46165.53055555555</v>
      </c>
      <c r="G1139" s="5">
        <v>46164.69130787037</v>
      </c>
      <c r="H1139" s="3" t="s">
        <v>14</v>
      </c>
      <c r="I1139" s="7">
        <v>0.0</v>
      </c>
      <c r="J1139" s="3" t="s">
        <v>72</v>
      </c>
    </row>
    <row r="1140">
      <c r="C1140" s="3" t="s">
        <v>24</v>
      </c>
      <c r="D1140" s="3">
        <v>5187.0</v>
      </c>
      <c r="E1140" s="3" t="s">
        <v>1027</v>
      </c>
      <c r="F1140" s="5">
        <v>46167.53055555555</v>
      </c>
      <c r="G1140" s="5">
        <v>46165.49508101852</v>
      </c>
      <c r="H1140" s="3" t="s">
        <v>14</v>
      </c>
      <c r="I1140" s="7">
        <v>0.0</v>
      </c>
      <c r="J1140" s="3" t="s">
        <v>72</v>
      </c>
    </row>
    <row r="1141">
      <c r="C1141" s="3" t="s">
        <v>26</v>
      </c>
      <c r="D1141" s="3">
        <v>5187.0</v>
      </c>
      <c r="E1141" s="3" t="s">
        <v>1027</v>
      </c>
      <c r="F1141" s="5">
        <v>46167.572222222225</v>
      </c>
      <c r="G1141" s="5">
        <v>46165.46177083333</v>
      </c>
      <c r="H1141" s="3" t="s">
        <v>14</v>
      </c>
      <c r="I1141" s="7">
        <v>0.0</v>
      </c>
      <c r="J1141" s="3" t="s">
        <v>72</v>
      </c>
    </row>
    <row r="1142">
      <c r="C1142" s="3" t="s">
        <v>10</v>
      </c>
      <c r="D1142" s="3">
        <v>5188.0</v>
      </c>
      <c r="E1142" s="3" t="s">
        <v>1027</v>
      </c>
      <c r="F1142" s="5">
        <v>46165.42152777778</v>
      </c>
      <c r="G1142" s="5">
        <v>46164.69086805556</v>
      </c>
      <c r="H1142" s="3" t="s">
        <v>14</v>
      </c>
      <c r="I1142" s="3">
        <v>0.0</v>
      </c>
      <c r="J1142" s="3" t="s">
        <v>72</v>
      </c>
    </row>
    <row r="1143">
      <c r="C1143" s="3" t="s">
        <v>17</v>
      </c>
      <c r="D1143" s="3">
        <v>5188.0</v>
      </c>
      <c r="E1143" s="3" t="s">
        <v>1027</v>
      </c>
      <c r="F1143" s="5">
        <v>46165.42847222222</v>
      </c>
      <c r="G1143" s="5">
        <v>46164.691157407404</v>
      </c>
      <c r="H1143" s="3" t="s">
        <v>14</v>
      </c>
      <c r="I1143" s="7">
        <v>0.0</v>
      </c>
      <c r="J1143" s="3" t="s">
        <v>72</v>
      </c>
    </row>
    <row r="1144">
      <c r="C1144" s="3" t="s">
        <v>21</v>
      </c>
      <c r="D1144" s="3">
        <v>5188.0</v>
      </c>
      <c r="E1144" s="3" t="s">
        <v>1027</v>
      </c>
      <c r="F1144" s="5">
        <v>46165.532638888886</v>
      </c>
      <c r="G1144" s="5">
        <v>46164.69130787037</v>
      </c>
      <c r="H1144" s="3" t="s">
        <v>14</v>
      </c>
      <c r="I1144" s="7">
        <v>0.0</v>
      </c>
      <c r="J1144" s="3" t="s">
        <v>72</v>
      </c>
    </row>
    <row r="1145">
      <c r="C1145" s="3" t="s">
        <v>24</v>
      </c>
      <c r="D1145" s="3">
        <v>5188.0</v>
      </c>
      <c r="E1145" s="3" t="s">
        <v>1027</v>
      </c>
      <c r="F1145" s="5">
        <v>46167.532638888886</v>
      </c>
      <c r="G1145" s="5">
        <v>46165.461701388886</v>
      </c>
      <c r="H1145" s="3" t="s">
        <v>14</v>
      </c>
      <c r="I1145" s="7">
        <v>0.0</v>
      </c>
      <c r="J1145" s="3" t="s">
        <v>72</v>
      </c>
    </row>
    <row r="1146">
      <c r="C1146" s="3" t="s">
        <v>26</v>
      </c>
      <c r="D1146" s="3">
        <v>5188.0</v>
      </c>
      <c r="E1146" s="3" t="s">
        <v>1027</v>
      </c>
      <c r="F1146" s="5">
        <v>46167.57430555556</v>
      </c>
      <c r="G1146" s="5">
        <v>46165.46177083333</v>
      </c>
      <c r="H1146" s="3" t="s">
        <v>14</v>
      </c>
      <c r="I1146" s="7">
        <v>0.0</v>
      </c>
      <c r="J1146" s="3" t="s">
        <v>72</v>
      </c>
    </row>
    <row r="1147">
      <c r="C1147" s="3" t="s">
        <v>10</v>
      </c>
      <c r="D1147" s="3">
        <v>5189.0</v>
      </c>
      <c r="E1147" s="3" t="s">
        <v>96</v>
      </c>
      <c r="F1147" s="5">
        <v>46165.42361111111</v>
      </c>
      <c r="G1147" s="5">
        <v>46164.69086805556</v>
      </c>
      <c r="H1147" s="3" t="s">
        <v>14</v>
      </c>
      <c r="I1147" s="3">
        <v>0.0</v>
      </c>
      <c r="J1147" s="3" t="s">
        <v>72</v>
      </c>
    </row>
    <row r="1148">
      <c r="C1148" s="3" t="s">
        <v>17</v>
      </c>
      <c r="D1148" s="3">
        <v>5189.0</v>
      </c>
      <c r="E1148" s="3" t="s">
        <v>96</v>
      </c>
      <c r="F1148" s="5">
        <v>46165.430555555555</v>
      </c>
      <c r="G1148" s="5">
        <v>46164.69119212963</v>
      </c>
      <c r="H1148" s="3" t="s">
        <v>14</v>
      </c>
      <c r="I1148" s="7">
        <v>0.0</v>
      </c>
      <c r="J1148" s="3" t="s">
        <v>72</v>
      </c>
    </row>
    <row r="1149">
      <c r="C1149" s="3" t="s">
        <v>21</v>
      </c>
      <c r="D1149" s="3">
        <v>5189.0</v>
      </c>
      <c r="E1149" s="3" t="s">
        <v>96</v>
      </c>
      <c r="F1149" s="5">
        <v>46165.53472222222</v>
      </c>
      <c r="G1149" s="5">
        <v>46164.69130787037</v>
      </c>
      <c r="H1149" s="3" t="s">
        <v>14</v>
      </c>
      <c r="I1149" s="7">
        <v>0.0</v>
      </c>
      <c r="J1149" s="3" t="s">
        <v>72</v>
      </c>
    </row>
    <row r="1150">
      <c r="C1150" s="3" t="s">
        <v>24</v>
      </c>
      <c r="D1150" s="3">
        <v>5189.0</v>
      </c>
      <c r="E1150" s="3" t="s">
        <v>96</v>
      </c>
      <c r="F1150" s="5">
        <v>46167.53472222222</v>
      </c>
      <c r="G1150" s="5">
        <v>46165.495104166665</v>
      </c>
      <c r="H1150" s="3" t="s">
        <v>14</v>
      </c>
      <c r="I1150" s="7">
        <v>0.0</v>
      </c>
      <c r="J1150" s="3" t="s">
        <v>72</v>
      </c>
    </row>
    <row r="1151">
      <c r="C1151" s="3" t="s">
        <v>26</v>
      </c>
      <c r="D1151" s="3">
        <v>5189.0</v>
      </c>
      <c r="E1151" s="3" t="s">
        <v>96</v>
      </c>
      <c r="F1151" s="5">
        <v>46167.57638888889</v>
      </c>
      <c r="G1151" s="5">
        <v>46165.46177083333</v>
      </c>
      <c r="H1151" s="3" t="s">
        <v>14</v>
      </c>
      <c r="I1151" s="7">
        <v>0.0</v>
      </c>
      <c r="J1151" s="3" t="s">
        <v>72</v>
      </c>
    </row>
    <row r="1152">
      <c r="C1152" s="3" t="s">
        <v>10</v>
      </c>
      <c r="D1152" s="3">
        <v>5190.0</v>
      </c>
      <c r="E1152" s="3" t="s">
        <v>1036</v>
      </c>
      <c r="F1152" s="5">
        <v>46165.430555555555</v>
      </c>
      <c r="G1152" s="5">
        <v>46164.6908912037</v>
      </c>
      <c r="H1152" s="3" t="s">
        <v>14</v>
      </c>
      <c r="I1152" s="3">
        <v>0.0</v>
      </c>
      <c r="J1152" s="3" t="s">
        <v>72</v>
      </c>
    </row>
    <row r="1153">
      <c r="C1153" s="3" t="s">
        <v>17</v>
      </c>
      <c r="D1153" s="3">
        <v>5190.0</v>
      </c>
      <c r="E1153" s="3" t="s">
        <v>1036</v>
      </c>
      <c r="F1153" s="5">
        <v>46165.4375</v>
      </c>
      <c r="G1153" s="5">
        <v>46164.691203703704</v>
      </c>
      <c r="H1153" s="3" t="s">
        <v>14</v>
      </c>
      <c r="I1153" s="7">
        <v>0.0</v>
      </c>
      <c r="J1153" s="3" t="s">
        <v>72</v>
      </c>
    </row>
    <row r="1154">
      <c r="C1154" s="3" t="s">
        <v>21</v>
      </c>
      <c r="D1154" s="3">
        <v>5190.0</v>
      </c>
      <c r="E1154" s="3" t="s">
        <v>1036</v>
      </c>
      <c r="F1154" s="5">
        <v>46165.541666666664</v>
      </c>
      <c r="G1154" s="5">
        <v>46164.69130787037</v>
      </c>
      <c r="H1154" s="3" t="s">
        <v>14</v>
      </c>
      <c r="I1154" s="7">
        <v>0.0</v>
      </c>
      <c r="J1154" s="3" t="s">
        <v>72</v>
      </c>
    </row>
    <row r="1155">
      <c r="C1155" s="3" t="s">
        <v>24</v>
      </c>
      <c r="D1155" s="3">
        <v>5190.0</v>
      </c>
      <c r="E1155" s="3" t="s">
        <v>1036</v>
      </c>
      <c r="F1155" s="5">
        <v>46167.541666666664</v>
      </c>
      <c r="G1155" s="5">
        <v>46165.49511574074</v>
      </c>
      <c r="H1155" s="3" t="s">
        <v>14</v>
      </c>
      <c r="I1155" s="7">
        <v>0.0</v>
      </c>
      <c r="J1155" s="3" t="s">
        <v>72</v>
      </c>
    </row>
    <row r="1156">
      <c r="C1156" s="3" t="s">
        <v>26</v>
      </c>
      <c r="D1156" s="3">
        <v>5190.0</v>
      </c>
      <c r="E1156" s="3" t="s">
        <v>1036</v>
      </c>
      <c r="F1156" s="5">
        <v>46167.583333333336</v>
      </c>
      <c r="G1156" s="5">
        <v>46165.46177083333</v>
      </c>
      <c r="H1156" s="3" t="s">
        <v>14</v>
      </c>
      <c r="I1156" s="7">
        <v>0.0</v>
      </c>
      <c r="J1156" s="3" t="s">
        <v>72</v>
      </c>
    </row>
    <row r="1157">
      <c r="C1157" s="3" t="s">
        <v>10</v>
      </c>
      <c r="D1157" s="3">
        <v>5191.0</v>
      </c>
      <c r="E1157" s="3" t="s">
        <v>1041</v>
      </c>
      <c r="F1157" s="5">
        <v>46165.43194444444</v>
      </c>
      <c r="G1157" s="5">
        <v>46164.6908912037</v>
      </c>
      <c r="H1157" s="3" t="s">
        <v>14</v>
      </c>
      <c r="I1157" s="3">
        <v>0.0</v>
      </c>
      <c r="J1157" s="3" t="s">
        <v>72</v>
      </c>
    </row>
    <row r="1158">
      <c r="C1158" s="3" t="s">
        <v>17</v>
      </c>
      <c r="D1158" s="3">
        <v>5191.0</v>
      </c>
      <c r="E1158" s="3" t="s">
        <v>1041</v>
      </c>
      <c r="F1158" s="5">
        <v>46165.438888888886</v>
      </c>
      <c r="G1158" s="5">
        <v>46164.69118055556</v>
      </c>
      <c r="H1158" s="3" t="s">
        <v>14</v>
      </c>
      <c r="I1158" s="7">
        <v>0.0</v>
      </c>
      <c r="J1158" s="3" t="s">
        <v>72</v>
      </c>
    </row>
    <row r="1159">
      <c r="C1159" s="3" t="s">
        <v>21</v>
      </c>
      <c r="D1159" s="3">
        <v>5191.0</v>
      </c>
      <c r="E1159" s="3" t="s">
        <v>1041</v>
      </c>
      <c r="F1159" s="5">
        <v>46165.54305555556</v>
      </c>
      <c r="G1159" s="5">
        <v>46164.69130787037</v>
      </c>
      <c r="H1159" s="3" t="s">
        <v>14</v>
      </c>
      <c r="I1159" s="7">
        <v>0.0</v>
      </c>
      <c r="J1159" s="3" t="s">
        <v>72</v>
      </c>
    </row>
    <row r="1160">
      <c r="C1160" s="3" t="s">
        <v>24</v>
      </c>
      <c r="D1160" s="3">
        <v>5191.0</v>
      </c>
      <c r="E1160" s="3" t="s">
        <v>1041</v>
      </c>
      <c r="F1160" s="5">
        <v>46167.54305555556</v>
      </c>
      <c r="G1160" s="5">
        <v>46165.49512731482</v>
      </c>
      <c r="H1160" s="3" t="s">
        <v>14</v>
      </c>
      <c r="I1160" s="7">
        <v>0.0</v>
      </c>
      <c r="J1160" s="3" t="s">
        <v>72</v>
      </c>
    </row>
    <row r="1161">
      <c r="C1161" s="3" t="s">
        <v>26</v>
      </c>
      <c r="D1161" s="3">
        <v>5191.0</v>
      </c>
      <c r="E1161" s="3" t="s">
        <v>1041</v>
      </c>
      <c r="F1161" s="5">
        <v>46167.58472222222</v>
      </c>
      <c r="G1161" s="5">
        <v>46165.46177083333</v>
      </c>
      <c r="H1161" s="3" t="s">
        <v>14</v>
      </c>
      <c r="I1161" s="7">
        <v>0.0</v>
      </c>
      <c r="J1161" s="3" t="s">
        <v>72</v>
      </c>
    </row>
    <row r="1162">
      <c r="C1162" s="3" t="s">
        <v>10</v>
      </c>
      <c r="D1162" s="3">
        <v>5192.0</v>
      </c>
      <c r="E1162" s="3" t="s">
        <v>1043</v>
      </c>
      <c r="F1162" s="5">
        <v>46165.433333333334</v>
      </c>
      <c r="G1162" s="5">
        <v>46164.69090277778</v>
      </c>
      <c r="H1162" s="3" t="s">
        <v>14</v>
      </c>
      <c r="I1162" s="3">
        <v>0.0</v>
      </c>
      <c r="J1162" s="3" t="s">
        <v>72</v>
      </c>
    </row>
    <row r="1163">
      <c r="C1163" s="3" t="s">
        <v>17</v>
      </c>
      <c r="D1163" s="3">
        <v>5192.0</v>
      </c>
      <c r="E1163" s="3" t="s">
        <v>1043</v>
      </c>
      <c r="F1163" s="5">
        <v>46165.44027777778</v>
      </c>
      <c r="G1163" s="5">
        <v>46164.69123842593</v>
      </c>
      <c r="H1163" s="3" t="s">
        <v>14</v>
      </c>
      <c r="I1163" s="7">
        <v>0.0</v>
      </c>
      <c r="J1163" s="3" t="s">
        <v>72</v>
      </c>
    </row>
    <row r="1164">
      <c r="C1164" s="3" t="s">
        <v>21</v>
      </c>
      <c r="D1164" s="3">
        <v>5192.0</v>
      </c>
      <c r="E1164" s="3" t="s">
        <v>1043</v>
      </c>
      <c r="F1164" s="5">
        <v>46165.544444444444</v>
      </c>
      <c r="G1164" s="5">
        <v>46164.69133101852</v>
      </c>
      <c r="H1164" s="3" t="s">
        <v>14</v>
      </c>
      <c r="I1164" s="7">
        <v>0.0</v>
      </c>
      <c r="J1164" s="3" t="s">
        <v>72</v>
      </c>
    </row>
    <row r="1165">
      <c r="C1165" s="3" t="s">
        <v>24</v>
      </c>
      <c r="D1165" s="3">
        <v>5192.0</v>
      </c>
      <c r="E1165" s="3" t="s">
        <v>1043</v>
      </c>
      <c r="F1165" s="5">
        <v>46167.544444444444</v>
      </c>
      <c r="G1165" s="5">
        <v>46165.49518518519</v>
      </c>
      <c r="H1165" s="3" t="s">
        <v>14</v>
      </c>
      <c r="I1165" s="7">
        <v>0.0</v>
      </c>
      <c r="J1165" s="3" t="s">
        <v>72</v>
      </c>
    </row>
    <row r="1166">
      <c r="C1166" s="3" t="s">
        <v>26</v>
      </c>
      <c r="D1166" s="3">
        <v>5192.0</v>
      </c>
      <c r="E1166" s="3" t="s">
        <v>1043</v>
      </c>
      <c r="F1166" s="5">
        <v>46167.58611111111</v>
      </c>
      <c r="G1166" s="5">
        <v>46165.46178240741</v>
      </c>
      <c r="H1166" s="3" t="s">
        <v>14</v>
      </c>
      <c r="I1166" s="7">
        <v>0.0</v>
      </c>
      <c r="J1166" s="3" t="s">
        <v>72</v>
      </c>
    </row>
    <row r="1167">
      <c r="C1167" s="3" t="s">
        <v>10</v>
      </c>
      <c r="D1167" s="3">
        <v>5193.0</v>
      </c>
      <c r="E1167" s="3" t="s">
        <v>1047</v>
      </c>
      <c r="F1167" s="5">
        <v>46165.45763888889</v>
      </c>
      <c r="G1167" s="5">
        <v>46164.74266203704</v>
      </c>
      <c r="H1167" s="3" t="s">
        <v>14</v>
      </c>
      <c r="I1167" s="3">
        <v>0.0</v>
      </c>
      <c r="J1167" s="3" t="s">
        <v>15</v>
      </c>
    </row>
    <row r="1168">
      <c r="C1168" s="3" t="s">
        <v>17</v>
      </c>
      <c r="D1168" s="3">
        <v>5193.0</v>
      </c>
      <c r="E1168" s="3" t="s">
        <v>1047</v>
      </c>
      <c r="F1168" s="5">
        <v>46165.464583333334</v>
      </c>
      <c r="G1168" s="5">
        <v>46164.74303240741</v>
      </c>
      <c r="H1168" s="3" t="s">
        <v>14</v>
      </c>
      <c r="I1168" s="7">
        <v>0.0</v>
      </c>
      <c r="J1168" s="3" t="s">
        <v>15</v>
      </c>
    </row>
    <row r="1169">
      <c r="C1169" s="3" t="s">
        <v>21</v>
      </c>
      <c r="D1169" s="3">
        <v>5193.0</v>
      </c>
      <c r="E1169" s="3" t="s">
        <v>1047</v>
      </c>
      <c r="F1169" s="5">
        <v>46165.56875</v>
      </c>
      <c r="G1169" s="5">
        <v>46164.75546296296</v>
      </c>
      <c r="H1169" s="3" t="s">
        <v>14</v>
      </c>
      <c r="I1169" s="7">
        <v>0.0</v>
      </c>
      <c r="J1169" s="3" t="s">
        <v>15</v>
      </c>
    </row>
    <row r="1170">
      <c r="C1170" s="3" t="s">
        <v>24</v>
      </c>
      <c r="D1170" s="3">
        <v>5193.0</v>
      </c>
      <c r="E1170" s="3" t="s">
        <v>1047</v>
      </c>
      <c r="F1170" s="5">
        <v>46167.56875</v>
      </c>
      <c r="G1170" s="5">
        <v>46164.755520833336</v>
      </c>
      <c r="H1170" s="3" t="s">
        <v>14</v>
      </c>
      <c r="I1170" s="7">
        <v>0.0</v>
      </c>
      <c r="J1170" s="3" t="s">
        <v>15</v>
      </c>
    </row>
    <row r="1171">
      <c r="C1171" s="3" t="s">
        <v>26</v>
      </c>
      <c r="D1171" s="3">
        <v>5193.0</v>
      </c>
      <c r="E1171" s="3" t="s">
        <v>1047</v>
      </c>
      <c r="F1171" s="5">
        <v>46167.61041666667</v>
      </c>
      <c r="G1171" s="5">
        <v>46164.75555555556</v>
      </c>
      <c r="H1171" s="3" t="s">
        <v>14</v>
      </c>
      <c r="I1171" s="7">
        <v>0.0</v>
      </c>
      <c r="J1171" s="3" t="s">
        <v>15</v>
      </c>
    </row>
    <row r="1172">
      <c r="C1172" s="3" t="s">
        <v>10</v>
      </c>
      <c r="D1172" s="3">
        <v>5194.0</v>
      </c>
      <c r="E1172" s="3" t="s">
        <v>1050</v>
      </c>
      <c r="F1172" s="5">
        <v>46165.46597222222</v>
      </c>
      <c r="G1172" s="5">
        <v>46164.74267361111</v>
      </c>
      <c r="H1172" s="3" t="s">
        <v>14</v>
      </c>
      <c r="I1172" s="3">
        <v>0.0</v>
      </c>
      <c r="J1172" s="3" t="s">
        <v>72</v>
      </c>
    </row>
    <row r="1173">
      <c r="C1173" s="3" t="s">
        <v>17</v>
      </c>
      <c r="D1173" s="3">
        <v>5194.0</v>
      </c>
      <c r="E1173" s="3" t="s">
        <v>1050</v>
      </c>
      <c r="F1173" s="5">
        <v>46165.472916666666</v>
      </c>
      <c r="G1173" s="5">
        <v>46164.7430787037</v>
      </c>
      <c r="H1173" s="3" t="s">
        <v>14</v>
      </c>
      <c r="I1173" s="7">
        <v>0.0</v>
      </c>
      <c r="J1173" s="3" t="s">
        <v>72</v>
      </c>
    </row>
    <row r="1174">
      <c r="C1174" s="3" t="s">
        <v>21</v>
      </c>
      <c r="D1174" s="3">
        <v>5194.0</v>
      </c>
      <c r="E1174" s="3" t="s">
        <v>1050</v>
      </c>
      <c r="F1174" s="5">
        <v>46165.57708333333</v>
      </c>
      <c r="G1174" s="5">
        <v>46164.756319444445</v>
      </c>
      <c r="H1174" s="3" t="s">
        <v>14</v>
      </c>
      <c r="I1174" s="7">
        <v>0.0</v>
      </c>
      <c r="J1174" s="3" t="s">
        <v>72</v>
      </c>
    </row>
    <row r="1175">
      <c r="C1175" s="3" t="s">
        <v>24</v>
      </c>
      <c r="D1175" s="3">
        <v>5194.0</v>
      </c>
      <c r="E1175" s="3" t="s">
        <v>1050</v>
      </c>
      <c r="F1175" s="5">
        <v>46167.57708333333</v>
      </c>
      <c r="G1175" s="5">
        <v>46165.49521990741</v>
      </c>
      <c r="H1175" s="3" t="s">
        <v>14</v>
      </c>
      <c r="I1175" s="7">
        <v>0.0</v>
      </c>
      <c r="J1175" s="3" t="s">
        <v>72</v>
      </c>
    </row>
    <row r="1176">
      <c r="C1176" s="3" t="s">
        <v>26</v>
      </c>
      <c r="D1176" s="3">
        <v>5194.0</v>
      </c>
      <c r="E1176" s="3" t="s">
        <v>1050</v>
      </c>
      <c r="F1176" s="5">
        <v>46167.61875</v>
      </c>
      <c r="G1176" s="5">
        <v>46167.42967592592</v>
      </c>
      <c r="H1176" s="3" t="s">
        <v>14</v>
      </c>
      <c r="I1176" s="7">
        <v>0.0</v>
      </c>
      <c r="J1176" s="3" t="s">
        <v>72</v>
      </c>
    </row>
    <row r="1177">
      <c r="C1177" s="3" t="s">
        <v>10</v>
      </c>
      <c r="D1177" s="3">
        <v>5195.0</v>
      </c>
      <c r="E1177" s="3" t="s">
        <v>1053</v>
      </c>
      <c r="F1177" s="5">
        <v>46165.47430555556</v>
      </c>
      <c r="G1177" s="5">
        <v>46164.74270833333</v>
      </c>
      <c r="H1177" s="3" t="s">
        <v>14</v>
      </c>
      <c r="I1177" s="3">
        <v>0.0</v>
      </c>
      <c r="J1177" s="3" t="s">
        <v>72</v>
      </c>
    </row>
    <row r="1178">
      <c r="C1178" s="3" t="s">
        <v>17</v>
      </c>
      <c r="D1178" s="3">
        <v>5195.0</v>
      </c>
      <c r="E1178" s="3" t="s">
        <v>1053</v>
      </c>
      <c r="F1178" s="5">
        <v>46165.48125</v>
      </c>
      <c r="G1178" s="5">
        <v>46164.74306712963</v>
      </c>
      <c r="H1178" s="3" t="s">
        <v>14</v>
      </c>
      <c r="I1178" s="7">
        <v>0.0</v>
      </c>
      <c r="J1178" s="3" t="s">
        <v>72</v>
      </c>
    </row>
    <row r="1179">
      <c r="C1179" s="3" t="s">
        <v>21</v>
      </c>
      <c r="D1179" s="3">
        <v>5195.0</v>
      </c>
      <c r="E1179" s="3" t="s">
        <v>1053</v>
      </c>
      <c r="F1179" s="5">
        <v>46165.58541666667</v>
      </c>
      <c r="G1179" s="5">
        <v>46164.75633101852</v>
      </c>
      <c r="H1179" s="3" t="s">
        <v>14</v>
      </c>
      <c r="I1179" s="7">
        <v>0.0</v>
      </c>
      <c r="J1179" s="3" t="s">
        <v>72</v>
      </c>
    </row>
    <row r="1180">
      <c r="C1180" s="3" t="s">
        <v>24</v>
      </c>
      <c r="D1180" s="3">
        <v>5195.0</v>
      </c>
      <c r="E1180" s="3" t="s">
        <v>1053</v>
      </c>
      <c r="F1180" s="5">
        <v>46167.58541666667</v>
      </c>
      <c r="G1180" s="5">
        <v>46165.49528935185</v>
      </c>
      <c r="H1180" s="3" t="s">
        <v>14</v>
      </c>
      <c r="I1180" s="7">
        <v>0.0</v>
      </c>
      <c r="J1180" s="3" t="s">
        <v>72</v>
      </c>
    </row>
    <row r="1181">
      <c r="C1181" s="3" t="s">
        <v>26</v>
      </c>
      <c r="D1181" s="3">
        <v>5195.0</v>
      </c>
      <c r="E1181" s="3" t="s">
        <v>1053</v>
      </c>
      <c r="F1181" s="5">
        <v>46167.62708333333</v>
      </c>
      <c r="G1181" s="5">
        <v>46167.42969907408</v>
      </c>
      <c r="H1181" s="3" t="s">
        <v>14</v>
      </c>
      <c r="I1181" s="7">
        <v>0.0</v>
      </c>
      <c r="J1181" s="3" t="s">
        <v>72</v>
      </c>
    </row>
    <row r="1182">
      <c r="C1182" s="3" t="s">
        <v>10</v>
      </c>
      <c r="D1182" s="3">
        <v>5196.0</v>
      </c>
      <c r="E1182" s="3" t="s">
        <v>1056</v>
      </c>
      <c r="F1182" s="5">
        <v>46165.554236111115</v>
      </c>
      <c r="G1182" s="5">
        <v>46165.462175925924</v>
      </c>
      <c r="H1182" s="3" t="s">
        <v>14</v>
      </c>
      <c r="I1182" s="3">
        <v>0.0</v>
      </c>
      <c r="J1182" s="3" t="s">
        <v>15</v>
      </c>
    </row>
    <row r="1183">
      <c r="C1183" s="3" t="s">
        <v>17</v>
      </c>
      <c r="D1183" s="3">
        <v>5196.0</v>
      </c>
      <c r="E1183" s="3" t="s">
        <v>1056</v>
      </c>
      <c r="F1183" s="5">
        <v>46165.56118055555</v>
      </c>
      <c r="G1183" s="5">
        <v>46165.462233796294</v>
      </c>
      <c r="H1183" s="3" t="s">
        <v>14</v>
      </c>
      <c r="I1183" s="7">
        <v>0.0</v>
      </c>
      <c r="J1183" s="3" t="s">
        <v>15</v>
      </c>
    </row>
    <row r="1184">
      <c r="C1184" s="3" t="s">
        <v>21</v>
      </c>
      <c r="D1184" s="3">
        <v>5196.0</v>
      </c>
      <c r="E1184" s="3" t="s">
        <v>1056</v>
      </c>
      <c r="F1184" s="5">
        <v>46165.665347222224</v>
      </c>
      <c r="G1184" s="5">
        <v>46165.46225694445</v>
      </c>
      <c r="H1184" s="3" t="s">
        <v>14</v>
      </c>
      <c r="I1184" s="7">
        <v>0.0</v>
      </c>
      <c r="J1184" s="3" t="s">
        <v>15</v>
      </c>
    </row>
    <row r="1185">
      <c r="C1185" s="3" t="s">
        <v>24</v>
      </c>
      <c r="D1185" s="3">
        <v>5196.0</v>
      </c>
      <c r="E1185" s="3" t="s">
        <v>1056</v>
      </c>
      <c r="F1185" s="5">
        <v>46167.66527777778</v>
      </c>
      <c r="G1185" s="5">
        <v>46165.46229166666</v>
      </c>
      <c r="H1185" s="3" t="s">
        <v>14</v>
      </c>
      <c r="I1185" s="7">
        <v>0.0</v>
      </c>
      <c r="J1185" s="3" t="s">
        <v>15</v>
      </c>
    </row>
    <row r="1186">
      <c r="C1186" s="3" t="s">
        <v>26</v>
      </c>
      <c r="D1186" s="3">
        <v>5196.0</v>
      </c>
      <c r="E1186" s="3" t="s">
        <v>1056</v>
      </c>
      <c r="F1186" s="5">
        <v>46167.70694444444</v>
      </c>
      <c r="G1186" s="5">
        <v>46165.46233796296</v>
      </c>
      <c r="H1186" s="3" t="s">
        <v>14</v>
      </c>
      <c r="I1186" s="7">
        <v>0.0</v>
      </c>
      <c r="J1186" s="3" t="s">
        <v>15</v>
      </c>
    </row>
    <row r="1187">
      <c r="C1187" s="3" t="s">
        <v>10</v>
      </c>
      <c r="D1187" s="3">
        <v>5197.0</v>
      </c>
      <c r="E1187" s="3" t="s">
        <v>727</v>
      </c>
      <c r="F1187" s="5">
        <v>46167.4712037037</v>
      </c>
      <c r="G1187" s="5">
        <v>46165.67224537037</v>
      </c>
      <c r="H1187" s="3" t="s">
        <v>14</v>
      </c>
      <c r="I1187" s="3">
        <v>0.0</v>
      </c>
      <c r="J1187" s="3" t="s">
        <v>15</v>
      </c>
    </row>
    <row r="1188">
      <c r="C1188" s="3" t="s">
        <v>17</v>
      </c>
      <c r="D1188" s="3">
        <v>5197.0</v>
      </c>
      <c r="E1188" s="3" t="s">
        <v>727</v>
      </c>
      <c r="F1188" s="5">
        <v>46167.47814814815</v>
      </c>
      <c r="G1188" s="5">
        <v>46165.672326388885</v>
      </c>
      <c r="H1188" s="3" t="s">
        <v>14</v>
      </c>
      <c r="I1188" s="7">
        <v>0.0</v>
      </c>
      <c r="J1188" s="3" t="s">
        <v>15</v>
      </c>
    </row>
    <row r="1189">
      <c r="C1189" s="3" t="s">
        <v>21</v>
      </c>
      <c r="D1189" s="3">
        <v>5197.0</v>
      </c>
      <c r="E1189" s="3" t="s">
        <v>727</v>
      </c>
      <c r="F1189" s="5">
        <v>46167.58231481481</v>
      </c>
      <c r="G1189" s="5">
        <v>46165.672418981485</v>
      </c>
      <c r="H1189" s="3" t="s">
        <v>14</v>
      </c>
      <c r="I1189" s="7">
        <v>0.0</v>
      </c>
      <c r="J1189" s="3" t="s">
        <v>15</v>
      </c>
    </row>
    <row r="1190">
      <c r="C1190" s="3" t="s">
        <v>24</v>
      </c>
      <c r="D1190" s="3">
        <v>5197.0</v>
      </c>
      <c r="E1190" s="3" t="s">
        <v>727</v>
      </c>
      <c r="F1190" s="5">
        <v>46168.58194444444</v>
      </c>
      <c r="G1190" s="5">
        <v>46165.68420138889</v>
      </c>
      <c r="H1190" s="3" t="s">
        <v>14</v>
      </c>
      <c r="I1190" s="7">
        <v>0.0</v>
      </c>
      <c r="J1190" s="3" t="s">
        <v>15</v>
      </c>
    </row>
    <row r="1191">
      <c r="C1191" s="3" t="s">
        <v>26</v>
      </c>
      <c r="D1191" s="3">
        <v>5197.0</v>
      </c>
      <c r="E1191" s="3" t="s">
        <v>727</v>
      </c>
      <c r="F1191" s="5">
        <v>46168.623611111114</v>
      </c>
      <c r="G1191" s="5">
        <v>46165.684224537035</v>
      </c>
      <c r="H1191" s="3" t="s">
        <v>14</v>
      </c>
      <c r="I1191" s="7">
        <v>0.0</v>
      </c>
      <c r="J1191" s="3" t="s">
        <v>15</v>
      </c>
    </row>
    <row r="1192">
      <c r="C1192" s="3" t="s">
        <v>10</v>
      </c>
      <c r="D1192" s="3">
        <v>5198.0</v>
      </c>
      <c r="E1192" s="3" t="s">
        <v>1062</v>
      </c>
      <c r="F1192" s="5">
        <v>46167.67369212963</v>
      </c>
      <c r="G1192" s="5">
        <v>46167.55479166667</v>
      </c>
      <c r="H1192" s="3" t="s">
        <v>14</v>
      </c>
      <c r="I1192" s="3">
        <v>0.0</v>
      </c>
      <c r="J1192" s="3" t="s">
        <v>15</v>
      </c>
    </row>
    <row r="1193">
      <c r="C1193" s="3" t="s">
        <v>17</v>
      </c>
      <c r="D1193" s="3">
        <v>5198.0</v>
      </c>
      <c r="E1193" s="3" t="s">
        <v>1062</v>
      </c>
      <c r="F1193" s="5">
        <v>46167.68063657408</v>
      </c>
      <c r="G1193" s="5">
        <v>46167.55486111111</v>
      </c>
      <c r="H1193" s="3" t="s">
        <v>14</v>
      </c>
      <c r="I1193" s="7">
        <v>0.0</v>
      </c>
      <c r="J1193" s="3" t="s">
        <v>15</v>
      </c>
    </row>
    <row r="1194">
      <c r="C1194" s="3" t="s">
        <v>21</v>
      </c>
      <c r="D1194" s="3">
        <v>5198.0</v>
      </c>
      <c r="E1194" s="3" t="s">
        <v>1062</v>
      </c>
      <c r="F1194" s="5">
        <v>46167.78480324074</v>
      </c>
      <c r="G1194" s="5">
        <v>46167.55488425926</v>
      </c>
      <c r="H1194" s="3" t="s">
        <v>14</v>
      </c>
      <c r="I1194" s="7">
        <v>0.0</v>
      </c>
      <c r="J1194" s="3" t="s">
        <v>15</v>
      </c>
    </row>
    <row r="1195">
      <c r="C1195" s="3" t="s">
        <v>24</v>
      </c>
      <c r="D1195" s="3">
        <v>5198.0</v>
      </c>
      <c r="E1195" s="3" t="s">
        <v>1062</v>
      </c>
      <c r="F1195" s="5">
        <v>46168.78472222222</v>
      </c>
      <c r="G1195" s="5">
        <v>46167.5549537037</v>
      </c>
      <c r="H1195" s="3" t="s">
        <v>14</v>
      </c>
      <c r="I1195" s="7">
        <v>0.0</v>
      </c>
      <c r="J1195" s="3" t="s">
        <v>15</v>
      </c>
    </row>
    <row r="1196">
      <c r="C1196" s="3" t="s">
        <v>26</v>
      </c>
      <c r="D1196" s="3">
        <v>5198.0</v>
      </c>
      <c r="E1196" s="3" t="s">
        <v>1062</v>
      </c>
      <c r="F1196" s="5">
        <v>46168.82638888889</v>
      </c>
      <c r="G1196" s="5">
        <v>46168.008888888886</v>
      </c>
      <c r="H1196" s="3" t="s">
        <v>14</v>
      </c>
      <c r="I1196" s="7">
        <v>0.0</v>
      </c>
      <c r="J1196" s="3" t="s">
        <v>15</v>
      </c>
    </row>
    <row r="1197">
      <c r="C1197" s="3" t="s">
        <v>10</v>
      </c>
      <c r="D1197" s="3">
        <v>5199.0</v>
      </c>
      <c r="E1197" s="3" t="s">
        <v>894</v>
      </c>
      <c r="F1197" s="5">
        <v>46168.45486111111</v>
      </c>
      <c r="G1197" s="5">
        <v>46167.72818287037</v>
      </c>
      <c r="H1197" s="3" t="s">
        <v>14</v>
      </c>
      <c r="I1197" s="3">
        <v>0.0</v>
      </c>
      <c r="J1197" s="3" t="s">
        <v>15</v>
      </c>
    </row>
    <row r="1198">
      <c r="C1198" s="3" t="s">
        <v>17</v>
      </c>
      <c r="D1198" s="3">
        <v>5199.0</v>
      </c>
      <c r="E1198" s="3" t="s">
        <v>894</v>
      </c>
      <c r="F1198" s="5">
        <v>46168.461805555555</v>
      </c>
      <c r="G1198" s="5">
        <v>46167.72943287037</v>
      </c>
      <c r="H1198" s="3" t="s">
        <v>14</v>
      </c>
      <c r="I1198" s="7">
        <v>0.0</v>
      </c>
      <c r="J1198" s="3" t="s">
        <v>15</v>
      </c>
    </row>
    <row r="1199">
      <c r="C1199" s="3" t="s">
        <v>21</v>
      </c>
      <c r="D1199" s="3">
        <v>5199.0</v>
      </c>
      <c r="E1199" s="3" t="s">
        <v>894</v>
      </c>
      <c r="F1199" s="5">
        <v>46168.56597222222</v>
      </c>
      <c r="G1199" s="5">
        <v>46168.00877314815</v>
      </c>
      <c r="H1199" s="3" t="s">
        <v>14</v>
      </c>
      <c r="I1199" s="7">
        <v>0.0</v>
      </c>
      <c r="J1199" s="3" t="s">
        <v>15</v>
      </c>
    </row>
    <row r="1200">
      <c r="C1200" s="3" t="s">
        <v>24</v>
      </c>
      <c r="D1200" s="3">
        <v>5199.0</v>
      </c>
      <c r="E1200" s="3" t="s">
        <v>894</v>
      </c>
      <c r="F1200" s="5">
        <v>46169.56597222222</v>
      </c>
      <c r="G1200" s="5">
        <v>46169.510196759256</v>
      </c>
      <c r="H1200" s="3" t="s">
        <v>14</v>
      </c>
      <c r="I1200" s="7">
        <v>0.0</v>
      </c>
      <c r="J1200" s="3" t="s">
        <v>15</v>
      </c>
    </row>
    <row r="1201">
      <c r="C1201" s="3" t="s">
        <v>26</v>
      </c>
      <c r="D1201" s="3">
        <v>5199.0</v>
      </c>
      <c r="E1201" s="3" t="s">
        <v>894</v>
      </c>
      <c r="F1201" s="5">
        <v>46169.60763888889</v>
      </c>
      <c r="G1201" s="5">
        <v>46169.560011574074</v>
      </c>
      <c r="H1201" s="3" t="s">
        <v>14</v>
      </c>
      <c r="I1201" s="7">
        <v>0.0</v>
      </c>
      <c r="J1201" s="3" t="s">
        <v>15</v>
      </c>
    </row>
    <row r="1202">
      <c r="C1202" s="3" t="s">
        <v>10</v>
      </c>
      <c r="D1202" s="3">
        <v>5200.0</v>
      </c>
      <c r="E1202" s="3" t="s">
        <v>1068</v>
      </c>
      <c r="F1202" s="5">
        <v>46168.46388888889</v>
      </c>
      <c r="G1202" s="5">
        <v>46167.72820601852</v>
      </c>
      <c r="H1202" s="3" t="s">
        <v>14</v>
      </c>
      <c r="I1202" s="3">
        <v>0.0</v>
      </c>
      <c r="J1202" s="3" t="s">
        <v>72</v>
      </c>
    </row>
    <row r="1203">
      <c r="C1203" s="3" t="s">
        <v>17</v>
      </c>
      <c r="D1203" s="3">
        <v>5200.0</v>
      </c>
      <c r="E1203" s="3" t="s">
        <v>1068</v>
      </c>
      <c r="F1203" s="5">
        <v>46168.47083333333</v>
      </c>
      <c r="G1203" s="5">
        <v>46167.729375</v>
      </c>
      <c r="H1203" s="3" t="s">
        <v>14</v>
      </c>
      <c r="I1203" s="7">
        <v>0.0</v>
      </c>
      <c r="J1203" s="3" t="s">
        <v>72</v>
      </c>
    </row>
    <row r="1204">
      <c r="C1204" s="3" t="s">
        <v>21</v>
      </c>
      <c r="D1204" s="3">
        <v>5200.0</v>
      </c>
      <c r="E1204" s="3" t="s">
        <v>1068</v>
      </c>
      <c r="F1204" s="5">
        <v>46168.575</v>
      </c>
      <c r="G1204" s="5">
        <v>46167.72945601852</v>
      </c>
      <c r="H1204" s="3" t="s">
        <v>14</v>
      </c>
      <c r="I1204" s="7">
        <v>0.0</v>
      </c>
      <c r="J1204" s="3" t="s">
        <v>72</v>
      </c>
    </row>
    <row r="1205">
      <c r="C1205" s="3" t="s">
        <v>24</v>
      </c>
      <c r="D1205" s="3">
        <v>5200.0</v>
      </c>
      <c r="E1205" s="3" t="s">
        <v>1068</v>
      </c>
      <c r="F1205" s="5">
        <v>46169.575</v>
      </c>
      <c r="G1205" s="5">
        <v>46168.44572916667</v>
      </c>
      <c r="H1205" s="3" t="s">
        <v>14</v>
      </c>
      <c r="I1205" s="7">
        <v>0.0</v>
      </c>
      <c r="J1205" s="3" t="s">
        <v>72</v>
      </c>
    </row>
    <row r="1206">
      <c r="C1206" s="3" t="s">
        <v>26</v>
      </c>
      <c r="D1206" s="3">
        <v>5200.0</v>
      </c>
      <c r="E1206" s="3" t="s">
        <v>1068</v>
      </c>
      <c r="F1206" s="5">
        <v>46169.61666666667</v>
      </c>
      <c r="G1206" s="5">
        <v>46168.4458912037</v>
      </c>
      <c r="H1206" s="3" t="s">
        <v>14</v>
      </c>
      <c r="I1206" s="7">
        <v>0.0</v>
      </c>
      <c r="J1206" s="3" t="s">
        <v>72</v>
      </c>
    </row>
    <row r="1207">
      <c r="C1207" s="3" t="s">
        <v>10</v>
      </c>
      <c r="D1207" s="3">
        <v>5201.0</v>
      </c>
      <c r="E1207" s="3" t="s">
        <v>1070</v>
      </c>
      <c r="F1207" s="5">
        <v>46168.47430555556</v>
      </c>
      <c r="G1207" s="5">
        <v>46167.728171296294</v>
      </c>
      <c r="H1207" s="3" t="s">
        <v>14</v>
      </c>
      <c r="I1207" s="3">
        <v>0.0</v>
      </c>
      <c r="J1207" s="3" t="s">
        <v>72</v>
      </c>
    </row>
    <row r="1208">
      <c r="C1208" s="3" t="s">
        <v>17</v>
      </c>
      <c r="D1208" s="3">
        <v>5201.0</v>
      </c>
      <c r="E1208" s="3" t="s">
        <v>1070</v>
      </c>
      <c r="F1208" s="5">
        <v>46168.48125</v>
      </c>
      <c r="G1208" s="5">
        <v>46167.729375</v>
      </c>
      <c r="H1208" s="3" t="s">
        <v>14</v>
      </c>
      <c r="I1208" s="7">
        <v>0.0</v>
      </c>
      <c r="J1208" s="3" t="s">
        <v>72</v>
      </c>
    </row>
    <row r="1209">
      <c r="C1209" s="3" t="s">
        <v>21</v>
      </c>
      <c r="D1209" s="3">
        <v>5201.0</v>
      </c>
      <c r="E1209" s="3" t="s">
        <v>1070</v>
      </c>
      <c r="F1209" s="5">
        <v>46168.58541666667</v>
      </c>
      <c r="G1209" s="5">
        <v>46167.72945601852</v>
      </c>
      <c r="H1209" s="3" t="s">
        <v>14</v>
      </c>
      <c r="I1209" s="7">
        <v>0.0</v>
      </c>
      <c r="J1209" s="3" t="s">
        <v>72</v>
      </c>
    </row>
    <row r="1210">
      <c r="C1210" s="3" t="s">
        <v>24</v>
      </c>
      <c r="D1210" s="3">
        <v>5201.0</v>
      </c>
      <c r="E1210" s="3" t="s">
        <v>1070</v>
      </c>
      <c r="F1210" s="5">
        <v>46169.58541666667</v>
      </c>
      <c r="G1210" s="5">
        <v>46168.44572916667</v>
      </c>
      <c r="H1210" s="3" t="s">
        <v>14</v>
      </c>
      <c r="I1210" s="7">
        <v>0.0</v>
      </c>
      <c r="J1210" s="3" t="s">
        <v>72</v>
      </c>
    </row>
    <row r="1211">
      <c r="C1211" s="3" t="s">
        <v>26</v>
      </c>
      <c r="D1211" s="3">
        <v>5201.0</v>
      </c>
      <c r="E1211" s="3" t="s">
        <v>1070</v>
      </c>
      <c r="F1211" s="5">
        <v>46169.62708333333</v>
      </c>
      <c r="G1211" s="5">
        <v>46168.44590277778</v>
      </c>
      <c r="H1211" s="3" t="s">
        <v>14</v>
      </c>
      <c r="I1211" s="7">
        <v>0.0</v>
      </c>
      <c r="J1211" s="3" t="s">
        <v>72</v>
      </c>
    </row>
    <row r="1212">
      <c r="C1212" s="3" t="s">
        <v>10</v>
      </c>
      <c r="D1212" s="3">
        <v>5202.0</v>
      </c>
      <c r="E1212" s="3" t="s">
        <v>1070</v>
      </c>
      <c r="F1212" s="5">
        <v>46168.47638888889</v>
      </c>
      <c r="G1212" s="5">
        <v>46167.728171296294</v>
      </c>
      <c r="H1212" s="3" t="s">
        <v>14</v>
      </c>
      <c r="I1212" s="3">
        <v>0.0</v>
      </c>
      <c r="J1212" s="3" t="s">
        <v>72</v>
      </c>
    </row>
    <row r="1213">
      <c r="C1213" s="3" t="s">
        <v>17</v>
      </c>
      <c r="D1213" s="3">
        <v>5202.0</v>
      </c>
      <c r="E1213" s="3" t="s">
        <v>1070</v>
      </c>
      <c r="F1213" s="5">
        <v>46168.48333333333</v>
      </c>
      <c r="G1213" s="5">
        <v>46167.72938657407</v>
      </c>
      <c r="H1213" s="3" t="s">
        <v>14</v>
      </c>
      <c r="I1213" s="7">
        <v>0.0</v>
      </c>
      <c r="J1213" s="3" t="s">
        <v>72</v>
      </c>
    </row>
    <row r="1214">
      <c r="C1214" s="3" t="s">
        <v>21</v>
      </c>
      <c r="D1214" s="3">
        <v>5202.0</v>
      </c>
      <c r="E1214" s="3" t="s">
        <v>1070</v>
      </c>
      <c r="F1214" s="5">
        <v>46168.5875</v>
      </c>
      <c r="G1214" s="5">
        <v>46167.729467592595</v>
      </c>
      <c r="H1214" s="3" t="s">
        <v>14</v>
      </c>
      <c r="I1214" s="7">
        <v>0.0</v>
      </c>
      <c r="J1214" s="3" t="s">
        <v>72</v>
      </c>
    </row>
    <row r="1215">
      <c r="C1215" s="3" t="s">
        <v>24</v>
      </c>
      <c r="D1215" s="3">
        <v>5202.0</v>
      </c>
      <c r="E1215" s="3" t="s">
        <v>1070</v>
      </c>
      <c r="F1215" s="5">
        <v>46169.5875</v>
      </c>
      <c r="G1215" s="5">
        <v>46168.44572916667</v>
      </c>
      <c r="H1215" s="3" t="s">
        <v>14</v>
      </c>
      <c r="I1215" s="7">
        <v>0.0</v>
      </c>
      <c r="J1215" s="3" t="s">
        <v>72</v>
      </c>
    </row>
    <row r="1216">
      <c r="C1216" s="3" t="s">
        <v>26</v>
      </c>
      <c r="D1216" s="3">
        <v>5202.0</v>
      </c>
      <c r="E1216" s="3" t="s">
        <v>1070</v>
      </c>
      <c r="F1216" s="5">
        <v>46169.629166666666</v>
      </c>
      <c r="G1216" s="5">
        <v>46168.44590277778</v>
      </c>
      <c r="H1216" s="3" t="s">
        <v>14</v>
      </c>
      <c r="I1216" s="7">
        <v>0.0</v>
      </c>
      <c r="J1216" s="3" t="s">
        <v>72</v>
      </c>
    </row>
    <row r="1217">
      <c r="C1217" s="3" t="s">
        <v>10</v>
      </c>
      <c r="D1217" s="3">
        <v>5203.0</v>
      </c>
      <c r="E1217" s="3" t="s">
        <v>1076</v>
      </c>
      <c r="F1217" s="5">
        <v>46168.48611111111</v>
      </c>
      <c r="G1217" s="5">
        <v>46167.7409375</v>
      </c>
      <c r="H1217" s="3" t="s">
        <v>14</v>
      </c>
      <c r="I1217" s="3">
        <v>0.0</v>
      </c>
      <c r="J1217" s="3" t="s">
        <v>72</v>
      </c>
    </row>
    <row r="1218">
      <c r="C1218" s="3" t="s">
        <v>17</v>
      </c>
      <c r="D1218" s="3">
        <v>5203.0</v>
      </c>
      <c r="E1218" s="3" t="s">
        <v>1076</v>
      </c>
      <c r="F1218" s="5">
        <v>46168.493055555555</v>
      </c>
      <c r="G1218" s="5">
        <v>46167.7409837963</v>
      </c>
      <c r="H1218" s="3" t="s">
        <v>14</v>
      </c>
      <c r="I1218" s="7">
        <v>0.0</v>
      </c>
      <c r="J1218" s="3" t="s">
        <v>72</v>
      </c>
    </row>
    <row r="1219">
      <c r="C1219" s="3" t="s">
        <v>21</v>
      </c>
      <c r="D1219" s="3">
        <v>5203.0</v>
      </c>
      <c r="E1219" s="3" t="s">
        <v>1076</v>
      </c>
      <c r="F1219" s="5">
        <v>46168.59722222222</v>
      </c>
      <c r="G1219" s="5">
        <v>46167.74103009259</v>
      </c>
      <c r="H1219" s="3" t="s">
        <v>14</v>
      </c>
      <c r="I1219" s="7">
        <v>0.0</v>
      </c>
      <c r="J1219" s="3" t="s">
        <v>72</v>
      </c>
    </row>
    <row r="1220">
      <c r="C1220" s="3" t="s">
        <v>24</v>
      </c>
      <c r="D1220" s="3">
        <v>5203.0</v>
      </c>
      <c r="E1220" s="3" t="s">
        <v>1076</v>
      </c>
      <c r="F1220" s="5">
        <v>46169.59722222222</v>
      </c>
      <c r="G1220" s="5">
        <v>46168.44572916667</v>
      </c>
      <c r="H1220" s="3" t="s">
        <v>14</v>
      </c>
      <c r="I1220" s="7">
        <v>0.0</v>
      </c>
      <c r="J1220" s="3" t="s">
        <v>72</v>
      </c>
    </row>
    <row r="1221">
      <c r="C1221" s="3" t="s">
        <v>26</v>
      </c>
      <c r="D1221" s="3">
        <v>5203.0</v>
      </c>
      <c r="E1221" s="3" t="s">
        <v>1076</v>
      </c>
      <c r="F1221" s="5">
        <v>46169.63888888889</v>
      </c>
      <c r="G1221" s="5">
        <v>46168.445914351854</v>
      </c>
      <c r="H1221" s="3" t="s">
        <v>14</v>
      </c>
      <c r="I1221" s="7">
        <v>0.0</v>
      </c>
      <c r="J1221" s="3" t="s">
        <v>72</v>
      </c>
    </row>
    <row r="1222">
      <c r="C1222" s="3" t="s">
        <v>10</v>
      </c>
      <c r="D1222" s="3">
        <v>5204.0</v>
      </c>
      <c r="E1222" s="3">
        <v>5231.0</v>
      </c>
      <c r="F1222" s="5">
        <v>46168.53055555555</v>
      </c>
      <c r="G1222" s="5">
        <v>46168.44553240741</v>
      </c>
      <c r="H1222" s="3" t="s">
        <v>14</v>
      </c>
      <c r="I1222" s="3">
        <v>0.0</v>
      </c>
      <c r="J1222" s="3" t="s">
        <v>72</v>
      </c>
    </row>
    <row r="1223">
      <c r="C1223" s="3" t="s">
        <v>17</v>
      </c>
      <c r="D1223" s="3">
        <v>5204.0</v>
      </c>
      <c r="E1223" s="3">
        <v>5231.0</v>
      </c>
      <c r="F1223" s="5">
        <v>46168.5375</v>
      </c>
      <c r="G1223" s="5">
        <v>46168.44561342592</v>
      </c>
      <c r="H1223" s="3" t="s">
        <v>14</v>
      </c>
      <c r="I1223" s="7">
        <v>0.0</v>
      </c>
      <c r="J1223" s="3" t="s">
        <v>72</v>
      </c>
    </row>
    <row r="1224">
      <c r="C1224" s="3" t="s">
        <v>21</v>
      </c>
      <c r="D1224" s="3">
        <v>5204.0</v>
      </c>
      <c r="E1224" s="3">
        <v>5231.0</v>
      </c>
      <c r="F1224" s="5">
        <v>46168.64166666667</v>
      </c>
      <c r="G1224" s="5">
        <v>46168.445763888885</v>
      </c>
      <c r="H1224" s="3" t="s">
        <v>14</v>
      </c>
      <c r="I1224" s="7">
        <v>0.0</v>
      </c>
      <c r="J1224" s="3" t="s">
        <v>72</v>
      </c>
    </row>
    <row r="1225">
      <c r="C1225" s="3" t="s">
        <v>24</v>
      </c>
      <c r="D1225" s="3">
        <v>5204.0</v>
      </c>
      <c r="E1225" s="3">
        <v>5231.0</v>
      </c>
      <c r="F1225" s="5">
        <v>46169.64166666667</v>
      </c>
      <c r="G1225" s="5">
        <v>46168.44584490741</v>
      </c>
      <c r="H1225" s="3" t="s">
        <v>14</v>
      </c>
      <c r="I1225" s="7">
        <v>0.0</v>
      </c>
      <c r="J1225" s="3" t="s">
        <v>72</v>
      </c>
    </row>
    <row r="1226">
      <c r="C1226" s="3" t="s">
        <v>26</v>
      </c>
      <c r="D1226" s="3">
        <v>5204.0</v>
      </c>
      <c r="E1226" s="3">
        <v>5231.0</v>
      </c>
      <c r="F1226" s="5">
        <v>46169.683333333334</v>
      </c>
      <c r="G1226" s="5">
        <v>46168.77994212963</v>
      </c>
      <c r="H1226" s="3" t="s">
        <v>14</v>
      </c>
      <c r="I1226" s="7">
        <v>0.0</v>
      </c>
      <c r="J1226" s="3" t="s">
        <v>72</v>
      </c>
    </row>
    <row r="1227">
      <c r="C1227" s="3" t="s">
        <v>10</v>
      </c>
      <c r="D1227" s="3">
        <v>5205.0</v>
      </c>
      <c r="E1227" s="3">
        <v>5190.0</v>
      </c>
      <c r="F1227" s="5">
        <v>46168.53125</v>
      </c>
      <c r="G1227" s="5">
        <v>46168.44553240741</v>
      </c>
      <c r="H1227" s="3" t="s">
        <v>14</v>
      </c>
      <c r="I1227" s="3">
        <v>0.0</v>
      </c>
      <c r="J1227" s="3" t="s">
        <v>72</v>
      </c>
    </row>
    <row r="1228">
      <c r="C1228" s="3" t="s">
        <v>17</v>
      </c>
      <c r="D1228" s="3">
        <v>5205.0</v>
      </c>
      <c r="E1228" s="3">
        <v>5190.0</v>
      </c>
      <c r="F1228" s="5">
        <v>46168.538194444445</v>
      </c>
      <c r="G1228" s="5">
        <v>46168.445625</v>
      </c>
      <c r="H1228" s="3" t="s">
        <v>14</v>
      </c>
      <c r="I1228" s="7">
        <v>0.0</v>
      </c>
      <c r="J1228" s="3" t="s">
        <v>72</v>
      </c>
    </row>
    <row r="1229">
      <c r="C1229" s="3" t="s">
        <v>21</v>
      </c>
      <c r="D1229" s="3">
        <v>5205.0</v>
      </c>
      <c r="E1229" s="3">
        <v>5190.0</v>
      </c>
      <c r="F1229" s="5">
        <v>46168.64236111111</v>
      </c>
      <c r="G1229" s="5">
        <v>46168.445763888885</v>
      </c>
      <c r="H1229" s="3" t="s">
        <v>14</v>
      </c>
      <c r="I1229" s="7">
        <v>0.0</v>
      </c>
      <c r="J1229" s="3" t="s">
        <v>72</v>
      </c>
    </row>
    <row r="1230">
      <c r="C1230" s="3" t="s">
        <v>24</v>
      </c>
      <c r="D1230" s="3">
        <v>5205.0</v>
      </c>
      <c r="E1230" s="3">
        <v>5190.0</v>
      </c>
      <c r="F1230" s="5">
        <v>46169.64236111111</v>
      </c>
      <c r="G1230" s="5">
        <v>46168.44584490741</v>
      </c>
      <c r="H1230" s="3" t="s">
        <v>14</v>
      </c>
      <c r="I1230" s="7">
        <v>0.0</v>
      </c>
      <c r="J1230" s="3" t="s">
        <v>72</v>
      </c>
    </row>
    <row r="1231">
      <c r="C1231" s="3" t="s">
        <v>26</v>
      </c>
      <c r="D1231" s="3">
        <v>5205.0</v>
      </c>
      <c r="E1231" s="3">
        <v>5190.0</v>
      </c>
      <c r="F1231" s="5">
        <v>46169.68402777778</v>
      </c>
      <c r="G1231" s="5">
        <v>46169.44505787037</v>
      </c>
      <c r="H1231" s="3" t="s">
        <v>14</v>
      </c>
      <c r="I1231" s="7">
        <v>0.0</v>
      </c>
      <c r="J1231" s="3" t="s">
        <v>72</v>
      </c>
    </row>
    <row r="1232">
      <c r="C1232" s="3" t="s">
        <v>10</v>
      </c>
      <c r="D1232" s="3">
        <v>5206.0</v>
      </c>
      <c r="E1232" s="3">
        <v>5189.0</v>
      </c>
      <c r="F1232" s="5">
        <v>46168.532638888886</v>
      </c>
      <c r="G1232" s="5">
        <v>46168.445543981485</v>
      </c>
      <c r="H1232" s="3" t="s">
        <v>14</v>
      </c>
      <c r="I1232" s="3">
        <v>0.0</v>
      </c>
      <c r="J1232" s="3" t="s">
        <v>72</v>
      </c>
    </row>
    <row r="1233">
      <c r="C1233" s="3" t="s">
        <v>17</v>
      </c>
      <c r="D1233" s="3">
        <v>5206.0</v>
      </c>
      <c r="E1233" s="3">
        <v>5189.0</v>
      </c>
      <c r="F1233" s="5">
        <v>46168.53958333333</v>
      </c>
      <c r="G1233" s="5">
        <v>46168.445625</v>
      </c>
      <c r="H1233" s="3" t="s">
        <v>14</v>
      </c>
      <c r="I1233" s="7">
        <v>0.0</v>
      </c>
      <c r="J1233" s="3" t="s">
        <v>72</v>
      </c>
    </row>
    <row r="1234">
      <c r="C1234" s="3" t="s">
        <v>21</v>
      </c>
      <c r="D1234" s="3">
        <v>5206.0</v>
      </c>
      <c r="E1234" s="3">
        <v>5189.0</v>
      </c>
      <c r="F1234" s="5">
        <v>46168.64375</v>
      </c>
      <c r="G1234" s="5">
        <v>46168.44577546296</v>
      </c>
      <c r="H1234" s="3" t="s">
        <v>14</v>
      </c>
      <c r="I1234" s="7">
        <v>0.0</v>
      </c>
      <c r="J1234" s="3" t="s">
        <v>72</v>
      </c>
    </row>
    <row r="1235">
      <c r="C1235" s="3" t="s">
        <v>24</v>
      </c>
      <c r="D1235" s="3">
        <v>5206.0</v>
      </c>
      <c r="E1235" s="3">
        <v>5189.0</v>
      </c>
      <c r="F1235" s="5">
        <v>46169.64375</v>
      </c>
      <c r="G1235" s="5">
        <v>46168.44584490741</v>
      </c>
      <c r="H1235" s="3" t="s">
        <v>14</v>
      </c>
      <c r="I1235" s="7">
        <v>0.0</v>
      </c>
      <c r="J1235" s="3" t="s">
        <v>72</v>
      </c>
    </row>
    <row r="1236">
      <c r="C1236" s="3" t="s">
        <v>26</v>
      </c>
      <c r="D1236" s="3">
        <v>5206.0</v>
      </c>
      <c r="E1236" s="3">
        <v>5189.0</v>
      </c>
      <c r="F1236" s="5">
        <v>46169.68541666667</v>
      </c>
      <c r="G1236" s="5">
        <v>46168.779953703706</v>
      </c>
      <c r="H1236" s="3" t="s">
        <v>14</v>
      </c>
      <c r="I1236" s="7">
        <v>0.0</v>
      </c>
      <c r="J1236" s="3" t="s">
        <v>72</v>
      </c>
    </row>
    <row r="1237">
      <c r="C1237" s="3" t="s">
        <v>10</v>
      </c>
      <c r="D1237" s="3">
        <v>5207.0</v>
      </c>
      <c r="E1237" s="3" t="s">
        <v>1088</v>
      </c>
      <c r="F1237" s="5">
        <v>46169.42986111111</v>
      </c>
      <c r="G1237" s="5">
        <v>46168.68581018518</v>
      </c>
      <c r="H1237" s="3" t="s">
        <v>14</v>
      </c>
      <c r="I1237" s="3">
        <v>0.0</v>
      </c>
      <c r="J1237" s="3" t="s">
        <v>72</v>
      </c>
    </row>
    <row r="1238">
      <c r="C1238" s="3" t="s">
        <v>17</v>
      </c>
      <c r="D1238" s="3">
        <v>5207.0</v>
      </c>
      <c r="E1238" s="3" t="s">
        <v>1088</v>
      </c>
      <c r="F1238" s="5">
        <v>46169.43680555555</v>
      </c>
      <c r="G1238" s="5">
        <v>46168.685949074075</v>
      </c>
      <c r="H1238" s="3" t="s">
        <v>14</v>
      </c>
      <c r="I1238" s="7">
        <v>0.0</v>
      </c>
      <c r="J1238" s="3" t="s">
        <v>72</v>
      </c>
    </row>
    <row r="1239">
      <c r="C1239" s="3" t="s">
        <v>21</v>
      </c>
      <c r="D1239" s="3">
        <v>5207.0</v>
      </c>
      <c r="E1239" s="3" t="s">
        <v>1088</v>
      </c>
      <c r="F1239" s="5">
        <v>46169.540972222225</v>
      </c>
      <c r="G1239" s="5">
        <v>46168.68597222222</v>
      </c>
      <c r="H1239" s="3" t="s">
        <v>14</v>
      </c>
      <c r="I1239" s="7">
        <v>0.0</v>
      </c>
      <c r="J1239" s="3" t="s">
        <v>72</v>
      </c>
    </row>
    <row r="1240">
      <c r="C1240" s="3" t="s">
        <v>24</v>
      </c>
      <c r="D1240" s="3">
        <v>5207.0</v>
      </c>
      <c r="E1240" s="3" t="s">
        <v>1088</v>
      </c>
      <c r="F1240" s="5">
        <v>46170.540972222225</v>
      </c>
      <c r="G1240" s="5">
        <v>46168.77991898148</v>
      </c>
      <c r="H1240" s="3" t="s">
        <v>14</v>
      </c>
      <c r="I1240" s="7">
        <v>0.0</v>
      </c>
      <c r="J1240" s="3" t="s">
        <v>72</v>
      </c>
    </row>
    <row r="1241">
      <c r="C1241" s="3" t="s">
        <v>26</v>
      </c>
      <c r="D1241" s="3">
        <v>5207.0</v>
      </c>
      <c r="E1241" s="3" t="s">
        <v>1088</v>
      </c>
      <c r="F1241" s="5">
        <v>46170.58263888889</v>
      </c>
      <c r="G1241" s="5">
        <v>46169.44505787037</v>
      </c>
      <c r="H1241" s="3" t="s">
        <v>14</v>
      </c>
      <c r="I1241" s="7">
        <v>0.0</v>
      </c>
      <c r="J1241" s="3" t="s">
        <v>72</v>
      </c>
    </row>
    <row r="1242">
      <c r="C1242" s="3" t="s">
        <v>10</v>
      </c>
      <c r="D1242" s="3">
        <v>5208.0</v>
      </c>
      <c r="E1242" s="3" t="s">
        <v>1091</v>
      </c>
      <c r="F1242" s="5">
        <v>46169.676782407405</v>
      </c>
      <c r="G1242" s="5">
        <v>46169.537210648145</v>
      </c>
      <c r="H1242" s="3" t="s">
        <v>14</v>
      </c>
      <c r="I1242" s="3">
        <v>0.0</v>
      </c>
      <c r="J1242" s="3" t="s">
        <v>15</v>
      </c>
    </row>
    <row r="1243">
      <c r="C1243" s="3" t="s">
        <v>17</v>
      </c>
      <c r="D1243" s="3">
        <v>5208.0</v>
      </c>
      <c r="E1243" s="3" t="s">
        <v>1091</v>
      </c>
      <c r="F1243" s="5">
        <v>46169.68372685185</v>
      </c>
      <c r="G1243" s="5">
        <v>46169.53729166667</v>
      </c>
      <c r="H1243" s="3" t="s">
        <v>14</v>
      </c>
      <c r="I1243" s="7">
        <v>0.0</v>
      </c>
      <c r="J1243" s="3" t="s">
        <v>15</v>
      </c>
    </row>
    <row r="1244">
      <c r="C1244" s="3" t="s">
        <v>21</v>
      </c>
      <c r="D1244" s="3">
        <v>5208.0</v>
      </c>
      <c r="E1244" s="3" t="s">
        <v>1091</v>
      </c>
      <c r="F1244" s="5">
        <v>46169.78789351852</v>
      </c>
      <c r="G1244" s="5">
        <v>46169.53741898148</v>
      </c>
      <c r="H1244" s="3" t="s">
        <v>14</v>
      </c>
      <c r="I1244" s="7">
        <v>0.0</v>
      </c>
      <c r="J1244" s="3" t="s">
        <v>15</v>
      </c>
    </row>
    <row r="1245">
      <c r="C1245" s="3" t="s">
        <v>24</v>
      </c>
      <c r="D1245" s="3">
        <v>5208.0</v>
      </c>
      <c r="E1245" s="3" t="s">
        <v>1091</v>
      </c>
      <c r="F1245" s="5">
        <v>46170.7875</v>
      </c>
      <c r="G1245" s="5">
        <v>46169.795324074075</v>
      </c>
      <c r="H1245" s="3" t="s">
        <v>14</v>
      </c>
      <c r="I1245" s="7">
        <v>0.0</v>
      </c>
      <c r="J1245" s="3" t="s">
        <v>15</v>
      </c>
    </row>
    <row r="1246">
      <c r="C1246" s="3" t="s">
        <v>26</v>
      </c>
      <c r="D1246" s="3">
        <v>5208.0</v>
      </c>
      <c r="E1246" s="3" t="s">
        <v>1091</v>
      </c>
      <c r="F1246" s="5">
        <v>46170.82916666667</v>
      </c>
      <c r="G1246" s="5">
        <v>46170.67020833334</v>
      </c>
      <c r="H1246" s="3" t="s">
        <v>14</v>
      </c>
      <c r="I1246" s="7">
        <v>0.0</v>
      </c>
      <c r="J1246" s="3" t="s">
        <v>15</v>
      </c>
    </row>
    <row r="1247">
      <c r="C1247" s="3" t="s">
        <v>10</v>
      </c>
      <c r="D1247" s="3">
        <v>5209.0</v>
      </c>
      <c r="E1247" s="3" t="s">
        <v>318</v>
      </c>
      <c r="F1247" s="5">
        <v>46169.81905092593</v>
      </c>
      <c r="G1247" s="5">
        <v>46169.73813657407</v>
      </c>
      <c r="H1247" s="3" t="s">
        <v>14</v>
      </c>
      <c r="I1247" s="3">
        <v>0.0</v>
      </c>
      <c r="J1247" s="3" t="s">
        <v>72</v>
      </c>
    </row>
    <row r="1248">
      <c r="C1248" s="3" t="s">
        <v>17</v>
      </c>
      <c r="D1248" s="3">
        <v>5209.0</v>
      </c>
      <c r="E1248" s="3" t="s">
        <v>318</v>
      </c>
      <c r="F1248" s="5">
        <v>46169.82599537037</v>
      </c>
      <c r="G1248" s="5">
        <v>46169.738275462965</v>
      </c>
      <c r="H1248" s="3" t="s">
        <v>14</v>
      </c>
      <c r="I1248" s="7">
        <v>0.0</v>
      </c>
      <c r="J1248" s="3" t="s">
        <v>72</v>
      </c>
    </row>
    <row r="1249">
      <c r="C1249" s="3" t="s">
        <v>21</v>
      </c>
      <c r="D1249" s="3">
        <v>5209.0</v>
      </c>
      <c r="E1249" s="3" t="s">
        <v>318</v>
      </c>
      <c r="F1249" s="5">
        <v>46170.53402777778</v>
      </c>
      <c r="G1249" s="5">
        <v>46169.760925925926</v>
      </c>
      <c r="H1249" s="3" t="s">
        <v>14</v>
      </c>
      <c r="I1249" s="7">
        <v>0.0</v>
      </c>
      <c r="J1249" s="3" t="s">
        <v>72</v>
      </c>
    </row>
    <row r="1250">
      <c r="C1250" s="3" t="s">
        <v>24</v>
      </c>
      <c r="D1250" s="3">
        <v>5209.0</v>
      </c>
      <c r="E1250" s="3" t="s">
        <v>318</v>
      </c>
      <c r="F1250" s="5">
        <v>46171.53402777778</v>
      </c>
      <c r="G1250" s="5">
        <v>46170.57608796296</v>
      </c>
      <c r="H1250" s="3" t="s">
        <v>14</v>
      </c>
      <c r="I1250" s="7">
        <v>0.0</v>
      </c>
      <c r="J1250" s="3" t="s">
        <v>72</v>
      </c>
    </row>
    <row r="1251">
      <c r="C1251" s="3" t="s">
        <v>26</v>
      </c>
      <c r="D1251" s="3">
        <v>5209.0</v>
      </c>
      <c r="E1251" s="3" t="s">
        <v>318</v>
      </c>
      <c r="F1251" s="5">
        <v>46171.575694444444</v>
      </c>
      <c r="G1251" s="5">
        <v>46170.576157407406</v>
      </c>
      <c r="H1251" s="3" t="s">
        <v>14</v>
      </c>
      <c r="I1251" s="7">
        <v>0.0</v>
      </c>
      <c r="J1251" s="3" t="s">
        <v>72</v>
      </c>
    </row>
    <row r="1252">
      <c r="C1252" s="3" t="s">
        <v>10</v>
      </c>
      <c r="D1252" s="3">
        <v>5210.0</v>
      </c>
      <c r="E1252" s="3" t="s">
        <v>1096</v>
      </c>
      <c r="F1252" s="5">
        <v>46170.479166666664</v>
      </c>
      <c r="G1252" s="5">
        <v>46169.73811342593</v>
      </c>
      <c r="H1252" s="3" t="s">
        <v>14</v>
      </c>
      <c r="I1252" s="3">
        <v>0.0</v>
      </c>
      <c r="J1252" s="3" t="s">
        <v>61</v>
      </c>
    </row>
    <row r="1253">
      <c r="C1253" s="3" t="s">
        <v>17</v>
      </c>
      <c r="D1253" s="3">
        <v>5210.0</v>
      </c>
      <c r="E1253" s="3" t="s">
        <v>1096</v>
      </c>
      <c r="F1253" s="5">
        <v>46170.48611111111</v>
      </c>
      <c r="G1253" s="5">
        <v>46169.73844907407</v>
      </c>
      <c r="H1253" s="3" t="s">
        <v>14</v>
      </c>
      <c r="I1253" s="7">
        <v>0.0</v>
      </c>
      <c r="J1253" s="3" t="s">
        <v>61</v>
      </c>
    </row>
    <row r="1254">
      <c r="C1254" s="3" t="s">
        <v>21</v>
      </c>
      <c r="D1254" s="3">
        <v>5210.0</v>
      </c>
      <c r="E1254" s="3" t="s">
        <v>1096</v>
      </c>
      <c r="F1254" s="5">
        <v>46170.59027777778</v>
      </c>
      <c r="G1254" s="5">
        <v>46169.76094907407</v>
      </c>
      <c r="H1254" s="3" t="s">
        <v>14</v>
      </c>
      <c r="I1254" s="7">
        <v>0.0</v>
      </c>
      <c r="J1254" s="3" t="s">
        <v>61</v>
      </c>
    </row>
    <row r="1255">
      <c r="C1255" s="3" t="s">
        <v>24</v>
      </c>
      <c r="D1255" s="3">
        <v>5210.0</v>
      </c>
      <c r="E1255" s="3" t="s">
        <v>1096</v>
      </c>
      <c r="F1255" s="5">
        <v>46171.59027777778</v>
      </c>
      <c r="G1255" s="5">
        <v>46169.761041666665</v>
      </c>
      <c r="H1255" s="3" t="s">
        <v>14</v>
      </c>
      <c r="I1255" s="7">
        <v>0.0</v>
      </c>
      <c r="J1255" s="3" t="s">
        <v>61</v>
      </c>
    </row>
    <row r="1256">
      <c r="C1256" s="3" t="s">
        <v>26</v>
      </c>
      <c r="D1256" s="3">
        <v>5210.0</v>
      </c>
      <c r="E1256" s="3" t="s">
        <v>1096</v>
      </c>
      <c r="F1256" s="5">
        <v>46171.631944444445</v>
      </c>
      <c r="G1256" s="5">
        <v>46169.76112268519</v>
      </c>
      <c r="H1256" s="3" t="s">
        <v>14</v>
      </c>
      <c r="I1256" s="7">
        <v>0.0</v>
      </c>
      <c r="J1256" s="3" t="s">
        <v>61</v>
      </c>
    </row>
    <row r="1257">
      <c r="C1257" s="3" t="s">
        <v>10</v>
      </c>
      <c r="D1257" s="3">
        <v>5211.0</v>
      </c>
      <c r="E1257" s="3" t="s">
        <v>166</v>
      </c>
      <c r="F1257" s="5">
        <v>46170.48055555556</v>
      </c>
      <c r="G1257" s="5">
        <v>46169.73810185185</v>
      </c>
      <c r="H1257" s="3" t="s">
        <v>14</v>
      </c>
      <c r="I1257" s="3">
        <v>0.0</v>
      </c>
      <c r="J1257" s="3" t="s">
        <v>15</v>
      </c>
    </row>
    <row r="1258">
      <c r="C1258" s="3" t="s">
        <v>17</v>
      </c>
      <c r="D1258" s="3">
        <v>5211.0</v>
      </c>
      <c r="E1258" s="3" t="s">
        <v>166</v>
      </c>
      <c r="F1258" s="5">
        <v>46170.4875</v>
      </c>
      <c r="G1258" s="5">
        <v>46169.738275462965</v>
      </c>
      <c r="H1258" s="3" t="s">
        <v>14</v>
      </c>
      <c r="I1258" s="7">
        <v>0.0</v>
      </c>
      <c r="J1258" s="3" t="s">
        <v>15</v>
      </c>
    </row>
    <row r="1259">
      <c r="C1259" s="3" t="s">
        <v>21</v>
      </c>
      <c r="D1259" s="3">
        <v>5211.0</v>
      </c>
      <c r="E1259" s="3" t="s">
        <v>166</v>
      </c>
      <c r="F1259" s="5">
        <v>46170.59166666667</v>
      </c>
      <c r="G1259" s="5">
        <v>46169.76096064815</v>
      </c>
      <c r="H1259" s="3" t="s">
        <v>14</v>
      </c>
      <c r="I1259" s="7">
        <v>0.0</v>
      </c>
      <c r="J1259" s="3" t="s">
        <v>15</v>
      </c>
    </row>
    <row r="1260">
      <c r="C1260" s="3" t="s">
        <v>24</v>
      </c>
      <c r="D1260" s="3">
        <v>5211.0</v>
      </c>
      <c r="E1260" s="3" t="s">
        <v>166</v>
      </c>
      <c r="F1260" s="5">
        <v>46171.59166666667</v>
      </c>
      <c r="G1260" s="5">
        <v>46169.795219907406</v>
      </c>
      <c r="H1260" s="3" t="s">
        <v>14</v>
      </c>
      <c r="I1260" s="7">
        <v>0.0</v>
      </c>
      <c r="J1260" s="3" t="s">
        <v>15</v>
      </c>
    </row>
    <row r="1261">
      <c r="C1261" s="3" t="s">
        <v>26</v>
      </c>
      <c r="D1261" s="3">
        <v>5211.0</v>
      </c>
      <c r="E1261" s="3" t="s">
        <v>166</v>
      </c>
      <c r="F1261" s="5">
        <v>46171.63333333333</v>
      </c>
      <c r="G1261" s="5">
        <v>46169.79525462963</v>
      </c>
      <c r="H1261" s="3" t="s">
        <v>14</v>
      </c>
      <c r="I1261" s="7">
        <v>0.0</v>
      </c>
      <c r="J1261" s="3" t="s">
        <v>15</v>
      </c>
    </row>
    <row r="1262">
      <c r="C1262" s="3" t="s">
        <v>10</v>
      </c>
      <c r="D1262" s="3">
        <v>5212.0</v>
      </c>
      <c r="E1262" s="3" t="s">
        <v>1102</v>
      </c>
      <c r="F1262" s="5">
        <v>46170.70333333333</v>
      </c>
      <c r="G1262" s="5">
        <v>46170.5887037037</v>
      </c>
      <c r="H1262" s="3" t="s">
        <v>14</v>
      </c>
      <c r="I1262" s="3">
        <v>0.0</v>
      </c>
      <c r="J1262" s="3" t="s">
        <v>15</v>
      </c>
    </row>
    <row r="1263">
      <c r="C1263" s="3" t="s">
        <v>17</v>
      </c>
      <c r="D1263" s="3">
        <v>5212.0</v>
      </c>
      <c r="E1263" s="3" t="s">
        <v>1102</v>
      </c>
      <c r="F1263" s="5">
        <v>46170.710277777776</v>
      </c>
      <c r="G1263" s="5">
        <v>46170.58880787037</v>
      </c>
      <c r="H1263" s="3" t="s">
        <v>14</v>
      </c>
      <c r="I1263" s="7">
        <v>0.0</v>
      </c>
      <c r="J1263" s="3" t="s">
        <v>15</v>
      </c>
    </row>
    <row r="1264">
      <c r="C1264" s="3" t="s">
        <v>21</v>
      </c>
      <c r="D1264" s="3">
        <v>5212.0</v>
      </c>
      <c r="E1264" s="3" t="s">
        <v>1102</v>
      </c>
      <c r="F1264" s="5">
        <v>46170.81444444445</v>
      </c>
      <c r="G1264" s="5">
        <v>46170.588842592595</v>
      </c>
      <c r="H1264" s="3" t="s">
        <v>14</v>
      </c>
      <c r="I1264" s="7">
        <v>0.0</v>
      </c>
      <c r="J1264" s="3" t="s">
        <v>15</v>
      </c>
    </row>
    <row r="1265">
      <c r="C1265" s="3" t="s">
        <v>24</v>
      </c>
      <c r="D1265" s="3">
        <v>5212.0</v>
      </c>
      <c r="E1265" s="3" t="s">
        <v>1102</v>
      </c>
      <c r="F1265" s="5">
        <v>46171.813888888886</v>
      </c>
      <c r="G1265" s="5">
        <v>46170.67010416667</v>
      </c>
      <c r="H1265" s="3" t="s">
        <v>14</v>
      </c>
      <c r="I1265" s="7">
        <v>0.0</v>
      </c>
      <c r="J1265" s="3" t="s">
        <v>15</v>
      </c>
    </row>
    <row r="1266">
      <c r="C1266" s="3" t="s">
        <v>26</v>
      </c>
      <c r="D1266" s="3">
        <v>5212.0</v>
      </c>
      <c r="E1266" s="3" t="s">
        <v>1102</v>
      </c>
      <c r="F1266" s="5">
        <v>46172.438888888886</v>
      </c>
      <c r="G1266" s="5">
        <v>46170.67013888889</v>
      </c>
      <c r="H1266" s="3" t="s">
        <v>14</v>
      </c>
      <c r="I1266" s="7">
        <v>0.0</v>
      </c>
      <c r="J1266" s="3" t="s">
        <v>15</v>
      </c>
    </row>
    <row r="1267">
      <c r="C1267" s="3" t="s">
        <v>10</v>
      </c>
      <c r="D1267" s="3">
        <v>5213.0</v>
      </c>
      <c r="E1267" s="3" t="s">
        <v>1104</v>
      </c>
      <c r="F1267" s="5">
        <v>46170.7869212963</v>
      </c>
      <c r="G1267" s="5">
        <v>46170.66954861111</v>
      </c>
      <c r="H1267" s="3" t="s">
        <v>14</v>
      </c>
      <c r="I1267" s="3">
        <v>0.0</v>
      </c>
      <c r="J1267" s="3" t="s">
        <v>72</v>
      </c>
    </row>
    <row r="1268">
      <c r="C1268" s="3" t="s">
        <v>17</v>
      </c>
      <c r="D1268" s="3">
        <v>5213.0</v>
      </c>
      <c r="E1268" s="3" t="s">
        <v>1104</v>
      </c>
      <c r="F1268" s="5">
        <v>46170.79386574074</v>
      </c>
      <c r="G1268" s="5">
        <v>46170.66991898148</v>
      </c>
      <c r="H1268" s="3" t="s">
        <v>14</v>
      </c>
      <c r="I1268" s="7">
        <v>0.0</v>
      </c>
      <c r="J1268" s="3" t="s">
        <v>72</v>
      </c>
    </row>
    <row r="1269">
      <c r="C1269" s="3" t="s">
        <v>21</v>
      </c>
      <c r="D1269" s="3">
        <v>5213.0</v>
      </c>
      <c r="E1269" s="3" t="s">
        <v>1104</v>
      </c>
      <c r="F1269" s="5">
        <v>46171.46041666667</v>
      </c>
      <c r="G1269" s="5">
        <v>46170.724375</v>
      </c>
      <c r="H1269" s="3" t="s">
        <v>14</v>
      </c>
      <c r="I1269" s="7">
        <v>0.0</v>
      </c>
      <c r="J1269" s="3" t="s">
        <v>72</v>
      </c>
    </row>
    <row r="1270">
      <c r="C1270" s="3" t="s">
        <v>24</v>
      </c>
      <c r="D1270" s="3">
        <v>5213.0</v>
      </c>
      <c r="E1270" s="3" t="s">
        <v>1104</v>
      </c>
      <c r="F1270" s="5">
        <v>46172.46041666667</v>
      </c>
      <c r="G1270" s="5">
        <v>46170.72451388889</v>
      </c>
      <c r="H1270" s="3" t="s">
        <v>14</v>
      </c>
      <c r="I1270" s="7">
        <v>0.0</v>
      </c>
      <c r="J1270" s="3" t="s">
        <v>72</v>
      </c>
    </row>
    <row r="1271">
      <c r="C1271" s="3" t="s">
        <v>26</v>
      </c>
      <c r="D1271" s="3">
        <v>5213.0</v>
      </c>
      <c r="E1271" s="3" t="s">
        <v>1104</v>
      </c>
      <c r="F1271" s="5">
        <v>46172.50208333333</v>
      </c>
      <c r="G1271" s="5">
        <v>46170.67013888889</v>
      </c>
      <c r="H1271" s="3" t="s">
        <v>14</v>
      </c>
      <c r="I1271" s="7">
        <v>0.0</v>
      </c>
      <c r="J1271" s="3" t="s">
        <v>72</v>
      </c>
    </row>
    <row r="1272">
      <c r="C1272" s="3" t="s">
        <v>10</v>
      </c>
      <c r="D1272" s="3">
        <v>5214.0</v>
      </c>
      <c r="E1272" s="3" t="s">
        <v>1107</v>
      </c>
      <c r="F1272" s="5">
        <v>46170.787939814814</v>
      </c>
      <c r="G1272" s="5">
        <v>46170.669594907406</v>
      </c>
      <c r="H1272" s="3" t="s">
        <v>14</v>
      </c>
      <c r="I1272" s="3">
        <v>0.0</v>
      </c>
      <c r="J1272" s="3" t="s">
        <v>72</v>
      </c>
    </row>
    <row r="1273">
      <c r="C1273" s="3" t="s">
        <v>17</v>
      </c>
      <c r="D1273" s="3">
        <v>5214.0</v>
      </c>
      <c r="E1273" s="3" t="s">
        <v>1107</v>
      </c>
      <c r="F1273" s="5">
        <v>46170.79488425926</v>
      </c>
      <c r="G1273" s="5">
        <v>46170.66994212963</v>
      </c>
      <c r="H1273" s="3" t="s">
        <v>14</v>
      </c>
      <c r="I1273" s="7">
        <v>0.0</v>
      </c>
      <c r="J1273" s="3" t="s">
        <v>72</v>
      </c>
    </row>
    <row r="1274">
      <c r="C1274" s="3" t="s">
        <v>21</v>
      </c>
      <c r="D1274" s="3">
        <v>5214.0</v>
      </c>
      <c r="E1274" s="3" t="s">
        <v>1107</v>
      </c>
      <c r="F1274" s="5">
        <v>46171.46111111111</v>
      </c>
      <c r="G1274" s="5">
        <v>46170.724375</v>
      </c>
      <c r="H1274" s="3" t="s">
        <v>14</v>
      </c>
      <c r="I1274" s="7">
        <v>0.0</v>
      </c>
      <c r="J1274" s="3" t="s">
        <v>72</v>
      </c>
    </row>
    <row r="1275">
      <c r="C1275" s="3" t="s">
        <v>24</v>
      </c>
      <c r="D1275" s="3">
        <v>5214.0</v>
      </c>
      <c r="E1275" s="3" t="s">
        <v>1107</v>
      </c>
      <c r="F1275" s="5">
        <v>46172.46111111111</v>
      </c>
      <c r="G1275" s="5">
        <v>46170.72452546296</v>
      </c>
      <c r="H1275" s="3" t="s">
        <v>14</v>
      </c>
      <c r="I1275" s="7">
        <v>0.0</v>
      </c>
      <c r="J1275" s="3" t="s">
        <v>72</v>
      </c>
    </row>
    <row r="1276">
      <c r="C1276" s="3" t="s">
        <v>26</v>
      </c>
      <c r="D1276" s="3">
        <v>5214.0</v>
      </c>
      <c r="E1276" s="3" t="s">
        <v>1107</v>
      </c>
      <c r="F1276" s="5">
        <v>46172.50277777778</v>
      </c>
      <c r="G1276" s="5">
        <v>46172.46915509259</v>
      </c>
      <c r="H1276" s="3" t="s">
        <v>14</v>
      </c>
      <c r="I1276" s="7">
        <v>0.0</v>
      </c>
      <c r="J1276" s="3" t="s">
        <v>72</v>
      </c>
    </row>
    <row r="1277">
      <c r="C1277" s="3" t="s">
        <v>10</v>
      </c>
      <c r="D1277" s="3">
        <v>5215.0</v>
      </c>
      <c r="E1277" s="3" t="s">
        <v>1110</v>
      </c>
      <c r="F1277" s="5">
        <v>46170.78871527778</v>
      </c>
      <c r="G1277" s="5">
        <v>46170.67049768518</v>
      </c>
      <c r="H1277" s="3" t="s">
        <v>14</v>
      </c>
      <c r="I1277" s="3">
        <v>0.0</v>
      </c>
      <c r="J1277" s="3" t="s">
        <v>61</v>
      </c>
    </row>
    <row r="1278">
      <c r="C1278" s="3" t="s">
        <v>17</v>
      </c>
      <c r="D1278" s="3">
        <v>5215.0</v>
      </c>
      <c r="E1278" s="3" t="s">
        <v>1110</v>
      </c>
      <c r="F1278" s="5">
        <v>46170.79565972222</v>
      </c>
      <c r="G1278" s="5">
        <v>46170.669965277775</v>
      </c>
      <c r="H1278" s="3" t="s">
        <v>14</v>
      </c>
      <c r="I1278" s="7">
        <v>0.0</v>
      </c>
      <c r="J1278" s="3" t="s">
        <v>61</v>
      </c>
    </row>
    <row r="1279">
      <c r="C1279" s="3" t="s">
        <v>21</v>
      </c>
      <c r="D1279" s="3">
        <v>5215.0</v>
      </c>
      <c r="E1279" s="3" t="s">
        <v>1110</v>
      </c>
      <c r="F1279" s="5">
        <v>46171.461805555555</v>
      </c>
      <c r="G1279" s="5">
        <v>46170.724375</v>
      </c>
      <c r="H1279" s="3" t="s">
        <v>14</v>
      </c>
      <c r="I1279" s="7">
        <v>0.0</v>
      </c>
      <c r="J1279" s="3" t="s">
        <v>61</v>
      </c>
    </row>
    <row r="1280">
      <c r="C1280" s="3" t="s">
        <v>24</v>
      </c>
      <c r="D1280" s="3">
        <v>5215.0</v>
      </c>
      <c r="E1280" s="3" t="s">
        <v>1110</v>
      </c>
      <c r="F1280" s="5">
        <v>46172.461805555555</v>
      </c>
      <c r="G1280" s="5">
        <v>46171.66247685185</v>
      </c>
      <c r="H1280" s="3" t="s">
        <v>14</v>
      </c>
      <c r="I1280" s="7">
        <v>0.0</v>
      </c>
      <c r="J1280" s="3" t="s">
        <v>61</v>
      </c>
    </row>
    <row r="1281">
      <c r="C1281" s="3" t="s">
        <v>26</v>
      </c>
      <c r="D1281" s="3">
        <v>5215.0</v>
      </c>
      <c r="E1281" s="3" t="s">
        <v>1110</v>
      </c>
      <c r="F1281" s="5">
        <v>46172.50347222222</v>
      </c>
      <c r="G1281" s="5">
        <v>46172.46917824074</v>
      </c>
      <c r="H1281" s="3" t="s">
        <v>14</v>
      </c>
      <c r="I1281" s="7">
        <v>0.0</v>
      </c>
      <c r="J1281" s="3" t="s">
        <v>61</v>
      </c>
    </row>
    <row r="1282">
      <c r="C1282" s="3" t="s">
        <v>10</v>
      </c>
      <c r="D1282" s="3">
        <v>5216.0</v>
      </c>
      <c r="E1282" s="3" t="s">
        <v>1115</v>
      </c>
      <c r="F1282" s="5">
        <v>46170.81943287037</v>
      </c>
      <c r="G1282" s="5">
        <v>46170.66961805556</v>
      </c>
      <c r="H1282" s="3" t="s">
        <v>14</v>
      </c>
      <c r="I1282" s="3">
        <v>0.0</v>
      </c>
      <c r="J1282" s="3" t="s">
        <v>15</v>
      </c>
    </row>
    <row r="1283">
      <c r="C1283" s="3" t="s">
        <v>17</v>
      </c>
      <c r="D1283" s="3">
        <v>5216.0</v>
      </c>
      <c r="E1283" s="3" t="s">
        <v>1115</v>
      </c>
      <c r="F1283" s="5">
        <v>46170.826377314814</v>
      </c>
      <c r="G1283" s="5">
        <v>46170.66998842593</v>
      </c>
      <c r="H1283" s="3" t="s">
        <v>14</v>
      </c>
      <c r="I1283" s="7">
        <v>0.0</v>
      </c>
      <c r="J1283" s="3" t="s">
        <v>15</v>
      </c>
    </row>
    <row r="1284">
      <c r="C1284" s="3" t="s">
        <v>21</v>
      </c>
      <c r="D1284" s="3">
        <v>5216.0</v>
      </c>
      <c r="E1284" s="3" t="s">
        <v>1115</v>
      </c>
      <c r="F1284" s="5">
        <v>46171.53402777778</v>
      </c>
      <c r="G1284" s="5">
        <v>46170.724375</v>
      </c>
      <c r="H1284" s="3" t="s">
        <v>14</v>
      </c>
      <c r="I1284" s="7">
        <v>0.0</v>
      </c>
      <c r="J1284" s="3" t="s">
        <v>15</v>
      </c>
    </row>
    <row r="1285">
      <c r="C1285" s="3" t="s">
        <v>24</v>
      </c>
      <c r="D1285" s="3">
        <v>5216.0</v>
      </c>
      <c r="E1285" s="3" t="s">
        <v>1115</v>
      </c>
      <c r="F1285" s="5">
        <v>46172.53402777778</v>
      </c>
      <c r="G1285" s="5">
        <v>46171.66232638889</v>
      </c>
      <c r="H1285" s="3" t="s">
        <v>14</v>
      </c>
      <c r="I1285" s="7">
        <v>0.0</v>
      </c>
      <c r="J1285" s="3" t="s">
        <v>15</v>
      </c>
    </row>
    <row r="1286">
      <c r="C1286" s="3" t="s">
        <v>26</v>
      </c>
      <c r="D1286" s="3">
        <v>5216.0</v>
      </c>
      <c r="E1286" s="3" t="s">
        <v>1115</v>
      </c>
      <c r="F1286" s="5">
        <v>46172.575694444444</v>
      </c>
      <c r="G1286" s="5">
        <v>46171.66237268518</v>
      </c>
      <c r="H1286" s="3" t="s">
        <v>14</v>
      </c>
      <c r="I1286" s="7">
        <v>0.0</v>
      </c>
      <c r="J1286" s="3" t="s">
        <v>15</v>
      </c>
    </row>
    <row r="1287">
      <c r="C1287" s="3" t="s">
        <v>10</v>
      </c>
      <c r="D1287" s="3">
        <v>5217.0</v>
      </c>
      <c r="E1287" s="3" t="s">
        <v>1118</v>
      </c>
      <c r="F1287" s="5">
        <v>46171.45486111111</v>
      </c>
      <c r="G1287" s="5">
        <v>46170.72412037037</v>
      </c>
      <c r="H1287" s="3" t="s">
        <v>14</v>
      </c>
      <c r="I1287" s="3">
        <v>0.0</v>
      </c>
      <c r="J1287" s="3" t="s">
        <v>72</v>
      </c>
    </row>
    <row r="1288">
      <c r="C1288" s="3" t="s">
        <v>17</v>
      </c>
      <c r="D1288" s="3">
        <v>5217.0</v>
      </c>
      <c r="E1288" s="3" t="s">
        <v>1118</v>
      </c>
      <c r="F1288" s="5">
        <v>46171.461805555555</v>
      </c>
      <c r="G1288" s="5">
        <v>46170.72430555556</v>
      </c>
      <c r="H1288" s="3" t="s">
        <v>14</v>
      </c>
      <c r="I1288" s="7">
        <v>0.0</v>
      </c>
      <c r="J1288" s="3" t="s">
        <v>72</v>
      </c>
    </row>
    <row r="1289">
      <c r="C1289" s="3" t="s">
        <v>21</v>
      </c>
      <c r="D1289" s="3">
        <v>5217.0</v>
      </c>
      <c r="E1289" s="3" t="s">
        <v>1118</v>
      </c>
      <c r="F1289" s="5">
        <v>46171.56597222222</v>
      </c>
      <c r="G1289" s="5">
        <v>46170.724375</v>
      </c>
      <c r="H1289" s="3" t="s">
        <v>14</v>
      </c>
      <c r="I1289" s="7">
        <v>0.0</v>
      </c>
      <c r="J1289" s="3" t="s">
        <v>72</v>
      </c>
    </row>
    <row r="1290">
      <c r="C1290" s="3" t="s">
        <v>24</v>
      </c>
      <c r="D1290" s="3">
        <v>5217.0</v>
      </c>
      <c r="E1290" s="3" t="s">
        <v>1118</v>
      </c>
      <c r="F1290" s="5">
        <v>46172.56597222222</v>
      </c>
      <c r="G1290" s="5">
        <v>46170.72454861111</v>
      </c>
      <c r="H1290" s="3" t="s">
        <v>14</v>
      </c>
      <c r="I1290" s="7">
        <v>0.0</v>
      </c>
      <c r="J1290" s="3" t="s">
        <v>72</v>
      </c>
    </row>
    <row r="1291">
      <c r="C1291" s="3" t="s">
        <v>26</v>
      </c>
      <c r="D1291" s="3">
        <v>5217.0</v>
      </c>
      <c r="E1291" s="3" t="s">
        <v>1118</v>
      </c>
      <c r="F1291" s="5">
        <v>46172.60763888889</v>
      </c>
      <c r="G1291" s="5">
        <v>46172.469189814816</v>
      </c>
      <c r="H1291" s="3" t="s">
        <v>14</v>
      </c>
      <c r="I1291" s="7">
        <v>0.0</v>
      </c>
      <c r="J1291" s="3" t="s">
        <v>72</v>
      </c>
    </row>
    <row r="1292">
      <c r="C1292" s="3" t="s">
        <v>10</v>
      </c>
      <c r="D1292" s="3">
        <v>5218.0</v>
      </c>
      <c r="E1292" s="3" t="s">
        <v>1120</v>
      </c>
      <c r="F1292" s="5">
        <v>46171.45763888889</v>
      </c>
      <c r="G1292" s="5">
        <v>46170.72412037037</v>
      </c>
      <c r="H1292" s="3" t="s">
        <v>14</v>
      </c>
      <c r="I1292" s="3">
        <v>0.0</v>
      </c>
      <c r="J1292" s="3" t="s">
        <v>72</v>
      </c>
    </row>
    <row r="1293">
      <c r="C1293" s="3" t="s">
        <v>17</v>
      </c>
      <c r="D1293" s="3">
        <v>5218.0</v>
      </c>
      <c r="E1293" s="3" t="s">
        <v>1120</v>
      </c>
      <c r="F1293" s="5">
        <v>46171.464583333334</v>
      </c>
      <c r="G1293" s="5">
        <v>46170.72430555556</v>
      </c>
      <c r="H1293" s="3" t="s">
        <v>14</v>
      </c>
      <c r="I1293" s="7">
        <v>0.0</v>
      </c>
      <c r="J1293" s="3" t="s">
        <v>72</v>
      </c>
    </row>
    <row r="1294">
      <c r="C1294" s="3" t="s">
        <v>21</v>
      </c>
      <c r="D1294" s="3">
        <v>5218.0</v>
      </c>
      <c r="E1294" s="3" t="s">
        <v>1120</v>
      </c>
      <c r="F1294" s="5">
        <v>46171.56875</v>
      </c>
      <c r="G1294" s="5">
        <v>46170.724375</v>
      </c>
      <c r="H1294" s="3" t="s">
        <v>14</v>
      </c>
      <c r="I1294" s="7">
        <v>0.0</v>
      </c>
      <c r="J1294" s="3" t="s">
        <v>72</v>
      </c>
    </row>
    <row r="1295">
      <c r="C1295" s="3" t="s">
        <v>24</v>
      </c>
      <c r="D1295" s="3">
        <v>5218.0</v>
      </c>
      <c r="E1295" s="3" t="s">
        <v>1120</v>
      </c>
      <c r="F1295" s="5">
        <v>46172.56875</v>
      </c>
      <c r="G1295" s="5">
        <v>46170.72454861111</v>
      </c>
      <c r="H1295" s="3" t="s">
        <v>14</v>
      </c>
      <c r="I1295" s="7">
        <v>0.0</v>
      </c>
      <c r="J1295" s="3" t="s">
        <v>72</v>
      </c>
    </row>
    <row r="1296">
      <c r="C1296" s="3" t="s">
        <v>26</v>
      </c>
      <c r="D1296" s="3">
        <v>5218.0</v>
      </c>
      <c r="E1296" s="3" t="s">
        <v>1120</v>
      </c>
      <c r="F1296" s="5">
        <v>46172.61041666667</v>
      </c>
      <c r="G1296" s="5">
        <v>46172.46921296296</v>
      </c>
      <c r="H1296" s="3" t="s">
        <v>14</v>
      </c>
      <c r="I1296" s="7">
        <v>0.0</v>
      </c>
      <c r="J1296" s="3" t="s">
        <v>72</v>
      </c>
    </row>
    <row r="1297">
      <c r="C1297" s="3" t="s">
        <v>10</v>
      </c>
      <c r="D1297" s="3">
        <v>5219.0</v>
      </c>
      <c r="E1297" s="3" t="s">
        <v>1124</v>
      </c>
      <c r="F1297" s="5">
        <v>46171.45972222222</v>
      </c>
      <c r="G1297" s="5">
        <v>46170.72414351852</v>
      </c>
      <c r="H1297" s="3" t="s">
        <v>14</v>
      </c>
      <c r="I1297" s="3">
        <v>0.0</v>
      </c>
      <c r="J1297" s="3" t="s">
        <v>72</v>
      </c>
    </row>
    <row r="1298">
      <c r="C1298" s="3" t="s">
        <v>17</v>
      </c>
      <c r="D1298" s="3">
        <v>5219.0</v>
      </c>
      <c r="E1298" s="3" t="s">
        <v>1124</v>
      </c>
      <c r="F1298" s="5">
        <v>46171.46666666667</v>
      </c>
      <c r="G1298" s="5">
        <v>46170.72430555556</v>
      </c>
      <c r="H1298" s="3" t="s">
        <v>14</v>
      </c>
      <c r="I1298" s="7">
        <v>0.0</v>
      </c>
      <c r="J1298" s="3" t="s">
        <v>72</v>
      </c>
    </row>
    <row r="1299">
      <c r="C1299" s="3" t="s">
        <v>21</v>
      </c>
      <c r="D1299" s="3">
        <v>5219.0</v>
      </c>
      <c r="E1299" s="3" t="s">
        <v>1124</v>
      </c>
      <c r="F1299" s="5">
        <v>46171.57083333333</v>
      </c>
      <c r="G1299" s="5">
        <v>46170.724386574075</v>
      </c>
      <c r="H1299" s="3" t="s">
        <v>14</v>
      </c>
      <c r="I1299" s="7">
        <v>0.0</v>
      </c>
      <c r="J1299" s="3" t="s">
        <v>72</v>
      </c>
    </row>
    <row r="1300">
      <c r="C1300" s="3" t="s">
        <v>24</v>
      </c>
      <c r="D1300" s="3">
        <v>5219.0</v>
      </c>
      <c r="E1300" s="3" t="s">
        <v>1124</v>
      </c>
      <c r="F1300" s="5">
        <v>46172.57083333333</v>
      </c>
      <c r="G1300" s="5">
        <v>46170.72456018518</v>
      </c>
      <c r="H1300" s="3" t="s">
        <v>14</v>
      </c>
      <c r="I1300" s="7">
        <v>0.0</v>
      </c>
      <c r="J1300" s="3" t="s">
        <v>72</v>
      </c>
    </row>
    <row r="1301">
      <c r="C1301" s="3" t="s">
        <v>26</v>
      </c>
      <c r="D1301" s="3">
        <v>5219.0</v>
      </c>
      <c r="E1301" s="3" t="s">
        <v>1124</v>
      </c>
      <c r="F1301" s="5">
        <v>46172.6125</v>
      </c>
      <c r="G1301" s="5">
        <v>46172.46921296296</v>
      </c>
      <c r="H1301" s="3" t="s">
        <v>14</v>
      </c>
      <c r="I1301" s="7">
        <v>0.0</v>
      </c>
      <c r="J1301" s="3" t="s">
        <v>72</v>
      </c>
    </row>
    <row r="1302">
      <c r="C1302" s="3" t="s">
        <v>10</v>
      </c>
      <c r="D1302" s="3">
        <v>5220.0</v>
      </c>
      <c r="E1302" s="3" t="s">
        <v>1128</v>
      </c>
      <c r="F1302" s="5">
        <v>46171.53888888889</v>
      </c>
      <c r="G1302" s="5">
        <v>46171.458449074074</v>
      </c>
      <c r="H1302" s="3" t="s">
        <v>14</v>
      </c>
      <c r="I1302" s="3">
        <v>0.0</v>
      </c>
      <c r="J1302" s="3" t="s">
        <v>61</v>
      </c>
    </row>
    <row r="1303">
      <c r="C1303" s="3" t="s">
        <v>17</v>
      </c>
      <c r="D1303" s="3">
        <v>5220.0</v>
      </c>
      <c r="E1303" s="3" t="s">
        <v>1128</v>
      </c>
      <c r="F1303" s="5">
        <v>46171.54583333333</v>
      </c>
      <c r="G1303" s="5">
        <v>46171.45849537037</v>
      </c>
      <c r="H1303" s="3" t="s">
        <v>14</v>
      </c>
      <c r="I1303" s="7">
        <v>0.0</v>
      </c>
      <c r="J1303" s="3" t="s">
        <v>61</v>
      </c>
    </row>
    <row r="1304">
      <c r="C1304" s="3" t="s">
        <v>21</v>
      </c>
      <c r="D1304" s="3">
        <v>5220.0</v>
      </c>
      <c r="E1304" s="3" t="s">
        <v>1128</v>
      </c>
      <c r="F1304" s="5">
        <v>46171.65</v>
      </c>
      <c r="G1304" s="5">
        <v>46171.45851851852</v>
      </c>
      <c r="H1304" s="3" t="s">
        <v>14</v>
      </c>
      <c r="I1304" s="7">
        <v>0.0</v>
      </c>
      <c r="J1304" s="3" t="s">
        <v>61</v>
      </c>
    </row>
    <row r="1305">
      <c r="C1305" s="3" t="s">
        <v>24</v>
      </c>
      <c r="D1305" s="3">
        <v>5220.0</v>
      </c>
      <c r="E1305" s="3" t="s">
        <v>1128</v>
      </c>
      <c r="F1305" s="5">
        <v>46172.65</v>
      </c>
      <c r="G1305" s="5">
        <v>46172.46927083333</v>
      </c>
      <c r="H1305" s="3" t="s">
        <v>14</v>
      </c>
      <c r="I1305" s="7">
        <v>0.0</v>
      </c>
      <c r="J1305" s="3" t="s">
        <v>61</v>
      </c>
    </row>
    <row r="1306">
      <c r="C1306" s="3" t="s">
        <v>26</v>
      </c>
      <c r="D1306" s="3">
        <v>5220.0</v>
      </c>
      <c r="E1306" s="3" t="s">
        <v>1128</v>
      </c>
      <c r="F1306" s="5">
        <v>46172.691666666666</v>
      </c>
      <c r="G1306" s="5">
        <v>46172.469305555554</v>
      </c>
      <c r="H1306" s="3" t="s">
        <v>14</v>
      </c>
      <c r="I1306" s="7">
        <v>0.0</v>
      </c>
      <c r="J1306" s="3" t="s">
        <v>61</v>
      </c>
    </row>
    <row r="1307">
      <c r="C1307" s="3" t="s">
        <v>10</v>
      </c>
      <c r="D1307" s="3">
        <v>5221.0</v>
      </c>
      <c r="E1307" s="3" t="s">
        <v>790</v>
      </c>
      <c r="F1307" s="5">
        <v>46171.633414351854</v>
      </c>
      <c r="G1307" s="5">
        <v>46171.47692129629</v>
      </c>
      <c r="H1307" s="3" t="s">
        <v>14</v>
      </c>
      <c r="I1307" s="3">
        <v>0.0</v>
      </c>
      <c r="J1307" s="3" t="s">
        <v>72</v>
      </c>
    </row>
    <row r="1308">
      <c r="C1308" s="3" t="s">
        <v>17</v>
      </c>
      <c r="D1308" s="3">
        <v>5221.0</v>
      </c>
      <c r="E1308" s="3" t="s">
        <v>790</v>
      </c>
      <c r="F1308" s="5">
        <v>46171.6403587963</v>
      </c>
      <c r="G1308" s="5">
        <v>46171.477013888885</v>
      </c>
      <c r="H1308" s="3" t="s">
        <v>14</v>
      </c>
      <c r="I1308" s="7">
        <v>0.0</v>
      </c>
      <c r="J1308" s="3" t="s">
        <v>72</v>
      </c>
    </row>
    <row r="1309">
      <c r="C1309" s="3" t="s">
        <v>21</v>
      </c>
      <c r="D1309" s="3">
        <v>5221.0</v>
      </c>
      <c r="E1309" s="3" t="s">
        <v>790</v>
      </c>
      <c r="F1309" s="5">
        <v>46171.744525462964</v>
      </c>
      <c r="G1309" s="5">
        <v>46171.47708333333</v>
      </c>
      <c r="H1309" s="3" t="s">
        <v>14</v>
      </c>
      <c r="I1309" s="7">
        <v>0.0</v>
      </c>
      <c r="J1309" s="3" t="s">
        <v>72</v>
      </c>
    </row>
    <row r="1310">
      <c r="C1310" s="3" t="s">
        <v>24</v>
      </c>
      <c r="D1310" s="3">
        <v>5221.0</v>
      </c>
      <c r="E1310" s="3" t="s">
        <v>790</v>
      </c>
      <c r="F1310" s="5">
        <v>46172.74444444444</v>
      </c>
      <c r="G1310" s="5">
        <v>46172.4693287037</v>
      </c>
      <c r="H1310" s="3" t="s">
        <v>14</v>
      </c>
      <c r="I1310" s="7">
        <v>0.0</v>
      </c>
      <c r="J1310" s="3" t="s">
        <v>72</v>
      </c>
    </row>
    <row r="1311">
      <c r="C1311" s="3" t="s">
        <v>26</v>
      </c>
      <c r="D1311" s="3">
        <v>5221.0</v>
      </c>
      <c r="E1311" s="3" t="s">
        <v>790</v>
      </c>
      <c r="F1311" s="5">
        <v>46172.78611111111</v>
      </c>
      <c r="G1311" s="5">
        <v>46172.469502314816</v>
      </c>
      <c r="H1311" s="3" t="s">
        <v>14</v>
      </c>
      <c r="I1311" s="7">
        <v>0.0</v>
      </c>
      <c r="J1311" s="3" t="s">
        <v>72</v>
      </c>
    </row>
    <row r="1312">
      <c r="C1312" s="3" t="s">
        <v>10</v>
      </c>
      <c r="D1312" s="3">
        <v>5222.0</v>
      </c>
      <c r="E1312" s="3" t="s">
        <v>1136</v>
      </c>
      <c r="F1312" s="5">
        <v>46171.6603125</v>
      </c>
      <c r="G1312" s="5">
        <v>46171.52664351852</v>
      </c>
      <c r="H1312" s="3" t="s">
        <v>14</v>
      </c>
      <c r="I1312" s="3">
        <v>0.0</v>
      </c>
      <c r="J1312" s="3" t="s">
        <v>72</v>
      </c>
    </row>
    <row r="1313">
      <c r="C1313" s="3" t="s">
        <v>17</v>
      </c>
      <c r="D1313" s="3">
        <v>5222.0</v>
      </c>
      <c r="E1313" s="3" t="s">
        <v>1136</v>
      </c>
      <c r="F1313" s="5">
        <v>46171.66725694444</v>
      </c>
      <c r="G1313" s="5">
        <v>46171.526724537034</v>
      </c>
      <c r="H1313" s="3" t="s">
        <v>14</v>
      </c>
      <c r="I1313" s="7">
        <v>0.0</v>
      </c>
      <c r="J1313" s="3" t="s">
        <v>72</v>
      </c>
    </row>
    <row r="1314">
      <c r="C1314" s="3" t="s">
        <v>21</v>
      </c>
      <c r="D1314" s="3">
        <v>5222.0</v>
      </c>
      <c r="E1314" s="3" t="s">
        <v>1136</v>
      </c>
      <c r="F1314" s="5">
        <v>46171.77142361111</v>
      </c>
      <c r="G1314" s="5">
        <v>46171.52675925926</v>
      </c>
      <c r="H1314" s="3" t="s">
        <v>14</v>
      </c>
      <c r="I1314" s="7">
        <v>0.0</v>
      </c>
      <c r="J1314" s="3" t="s">
        <v>72</v>
      </c>
    </row>
    <row r="1315">
      <c r="C1315" s="3" t="s">
        <v>24</v>
      </c>
      <c r="D1315" s="3">
        <v>5222.0</v>
      </c>
      <c r="E1315" s="3" t="s">
        <v>1136</v>
      </c>
      <c r="F1315" s="5">
        <v>46172.770833333336</v>
      </c>
      <c r="G1315" s="5">
        <v>46172.48049768519</v>
      </c>
      <c r="H1315" s="3" t="s">
        <v>14</v>
      </c>
      <c r="I1315" s="7">
        <v>0.0</v>
      </c>
      <c r="J1315" s="3" t="s">
        <v>72</v>
      </c>
    </row>
    <row r="1316">
      <c r="C1316" s="3" t="s">
        <v>26</v>
      </c>
      <c r="D1316" s="3">
        <v>5222.0</v>
      </c>
      <c r="E1316" s="3" t="s">
        <v>1136</v>
      </c>
      <c r="F1316" s="5">
        <v>46172.8125</v>
      </c>
      <c r="G1316" s="5">
        <v>46172.469502314816</v>
      </c>
      <c r="H1316" s="3" t="s">
        <v>14</v>
      </c>
      <c r="I1316" s="7">
        <v>0.0</v>
      </c>
      <c r="J1316" s="3" t="s">
        <v>72</v>
      </c>
    </row>
    <row r="1317">
      <c r="C1317" s="3" t="s">
        <v>10</v>
      </c>
      <c r="D1317" s="3">
        <v>5223.0</v>
      </c>
      <c r="E1317" s="3" t="s">
        <v>1138</v>
      </c>
      <c r="F1317" s="5">
        <v>46171.810844907406</v>
      </c>
      <c r="G1317" s="5">
        <v>46171.66206018518</v>
      </c>
      <c r="H1317" s="3" t="s">
        <v>14</v>
      </c>
      <c r="I1317" s="3">
        <v>0.0</v>
      </c>
      <c r="J1317" s="3" t="s">
        <v>15</v>
      </c>
    </row>
    <row r="1318">
      <c r="C1318" s="3" t="s">
        <v>17</v>
      </c>
      <c r="D1318" s="3">
        <v>5223.0</v>
      </c>
      <c r="E1318" s="3" t="s">
        <v>1138</v>
      </c>
      <c r="F1318" s="5">
        <v>46171.81778935185</v>
      </c>
      <c r="G1318" s="5">
        <v>46171.662152777775</v>
      </c>
      <c r="H1318" s="3" t="s">
        <v>14</v>
      </c>
      <c r="I1318" s="7">
        <v>0.0</v>
      </c>
      <c r="J1318" s="3" t="s">
        <v>15</v>
      </c>
    </row>
    <row r="1319">
      <c r="C1319" s="3" t="s">
        <v>21</v>
      </c>
      <c r="D1319" s="3">
        <v>5223.0</v>
      </c>
      <c r="E1319" s="3" t="s">
        <v>1138</v>
      </c>
      <c r="F1319" s="5">
        <v>46172.52569444444</v>
      </c>
      <c r="G1319" s="5">
        <v>46171.6621875</v>
      </c>
      <c r="H1319" s="3" t="s">
        <v>14</v>
      </c>
      <c r="I1319" s="7">
        <v>0.0</v>
      </c>
      <c r="J1319" s="3" t="s">
        <v>15</v>
      </c>
    </row>
    <row r="1320">
      <c r="C1320" s="3" t="s">
        <v>24</v>
      </c>
      <c r="D1320" s="3">
        <v>5223.0</v>
      </c>
      <c r="E1320" s="3" t="s">
        <v>1138</v>
      </c>
      <c r="F1320" s="5">
        <v>46174.52569444444</v>
      </c>
      <c r="G1320" s="5">
        <v>46171.737129629626</v>
      </c>
      <c r="H1320" s="3" t="s">
        <v>14</v>
      </c>
      <c r="I1320" s="7">
        <v>0.0</v>
      </c>
      <c r="J1320" s="3" t="s">
        <v>15</v>
      </c>
    </row>
    <row r="1321">
      <c r="C1321" s="3" t="s">
        <v>26</v>
      </c>
      <c r="D1321" s="3">
        <v>5223.0</v>
      </c>
      <c r="E1321" s="3" t="s">
        <v>1138</v>
      </c>
      <c r="F1321" s="5">
        <v>46174.56736111111</v>
      </c>
      <c r="G1321" s="5">
        <v>46171.73716435185</v>
      </c>
      <c r="H1321" s="3" t="s">
        <v>14</v>
      </c>
      <c r="I1321" s="7">
        <v>0.0</v>
      </c>
      <c r="J1321" s="3" t="s">
        <v>15</v>
      </c>
    </row>
    <row r="1322">
      <c r="C1322" s="3" t="s">
        <v>10</v>
      </c>
      <c r="D1322" s="3">
        <v>5224.0</v>
      </c>
      <c r="E1322" s="3" t="s">
        <v>1143</v>
      </c>
      <c r="F1322" s="5">
        <v>46172.43472222222</v>
      </c>
      <c r="G1322" s="5">
        <v>46171.736909722225</v>
      </c>
      <c r="H1322" s="3" t="s">
        <v>14</v>
      </c>
      <c r="I1322" s="3">
        <v>0.0</v>
      </c>
      <c r="J1322" s="3" t="s">
        <v>72</v>
      </c>
    </row>
    <row r="1323">
      <c r="C1323" s="3" t="s">
        <v>17</v>
      </c>
      <c r="D1323" s="3">
        <v>5224.0</v>
      </c>
      <c r="E1323" s="3" t="s">
        <v>1143</v>
      </c>
      <c r="F1323" s="5">
        <v>46172.441666666666</v>
      </c>
      <c r="G1323" s="5">
        <v>46171.73699074074</v>
      </c>
      <c r="H1323" s="3" t="s">
        <v>14</v>
      </c>
      <c r="I1323" s="7">
        <v>0.0</v>
      </c>
      <c r="J1323" s="3" t="s">
        <v>72</v>
      </c>
    </row>
    <row r="1324">
      <c r="C1324" s="3" t="s">
        <v>21</v>
      </c>
      <c r="D1324" s="3">
        <v>5224.0</v>
      </c>
      <c r="E1324" s="3" t="s">
        <v>1143</v>
      </c>
      <c r="F1324" s="5">
        <v>46172.54583333333</v>
      </c>
      <c r="G1324" s="5">
        <v>46171.73704861111</v>
      </c>
      <c r="H1324" s="3" t="s">
        <v>14</v>
      </c>
      <c r="I1324" s="7">
        <v>0.0</v>
      </c>
      <c r="J1324" s="3" t="s">
        <v>72</v>
      </c>
    </row>
    <row r="1325">
      <c r="C1325" s="3" t="s">
        <v>24</v>
      </c>
      <c r="D1325" s="3">
        <v>5224.0</v>
      </c>
      <c r="E1325" s="3" t="s">
        <v>1143</v>
      </c>
      <c r="F1325" s="5">
        <v>46174.54583333333</v>
      </c>
      <c r="G1325" s="5">
        <v>46174.534212962964</v>
      </c>
      <c r="H1325" s="3" t="s">
        <v>14</v>
      </c>
      <c r="I1325" s="7">
        <v>0.0</v>
      </c>
      <c r="J1325" s="3" t="s">
        <v>72</v>
      </c>
    </row>
    <row r="1326">
      <c r="C1326" s="3" t="s">
        <v>26</v>
      </c>
      <c r="D1326" s="3">
        <v>5224.0</v>
      </c>
      <c r="E1326" s="3" t="s">
        <v>1143</v>
      </c>
      <c r="F1326" s="5">
        <v>46174.5875</v>
      </c>
      <c r="G1326" s="5">
        <v>46174.534467592595</v>
      </c>
      <c r="H1326" s="3" t="s">
        <v>14</v>
      </c>
      <c r="I1326" s="7">
        <v>0.0</v>
      </c>
      <c r="J1326" s="3" t="s">
        <v>72</v>
      </c>
    </row>
    <row r="1327">
      <c r="C1327" s="3" t="s">
        <v>10</v>
      </c>
      <c r="D1327" s="3">
        <v>5225.0</v>
      </c>
      <c r="E1327" s="3" t="s">
        <v>1147</v>
      </c>
      <c r="F1327" s="5">
        <v>46174.65394675926</v>
      </c>
      <c r="G1327" s="5">
        <v>46174.62059027778</v>
      </c>
      <c r="H1327" s="3" t="s">
        <v>14</v>
      </c>
      <c r="I1327" s="3">
        <v>0.0</v>
      </c>
      <c r="J1327" s="3" t="s">
        <v>48</v>
      </c>
    </row>
    <row r="1328">
      <c r="C1328" s="3" t="s">
        <v>17</v>
      </c>
      <c r="D1328" s="3">
        <v>5225.0</v>
      </c>
      <c r="E1328" s="3" t="s">
        <v>1147</v>
      </c>
      <c r="F1328" s="5">
        <v>46174.660891203705</v>
      </c>
      <c r="G1328" s="5">
        <v>46174.74622685185</v>
      </c>
      <c r="H1328" s="3" t="s">
        <v>14</v>
      </c>
      <c r="I1328" s="7">
        <v>0.08533564814814815</v>
      </c>
      <c r="J1328" s="3" t="s">
        <v>48</v>
      </c>
    </row>
    <row r="1329">
      <c r="C1329" s="3" t="s">
        <v>21</v>
      </c>
      <c r="D1329" s="3">
        <v>5225.0</v>
      </c>
      <c r="E1329" s="3" t="s">
        <v>1147</v>
      </c>
      <c r="F1329" s="5">
        <v>46174.76505787037</v>
      </c>
      <c r="G1329" s="5">
        <v>46174.746354166666</v>
      </c>
      <c r="H1329" s="3" t="s">
        <v>14</v>
      </c>
      <c r="I1329" s="7">
        <v>0.0</v>
      </c>
      <c r="J1329" s="3" t="s">
        <v>48</v>
      </c>
    </row>
    <row r="1330">
      <c r="C1330" s="3" t="s">
        <v>24</v>
      </c>
      <c r="D1330" s="3">
        <v>5225.0</v>
      </c>
      <c r="E1330" s="3" t="s">
        <v>1147</v>
      </c>
      <c r="F1330" s="5">
        <v>46175.76458333333</v>
      </c>
      <c r="G1330" s="5">
        <v>46175.47078703704</v>
      </c>
      <c r="H1330" s="3" t="s">
        <v>14</v>
      </c>
      <c r="I1330" s="7">
        <v>0.0</v>
      </c>
      <c r="J1330" s="3" t="s">
        <v>48</v>
      </c>
    </row>
    <row r="1331">
      <c r="C1331" s="3" t="s">
        <v>26</v>
      </c>
      <c r="D1331" s="3">
        <v>5225.0</v>
      </c>
      <c r="E1331" s="3" t="s">
        <v>1147</v>
      </c>
      <c r="F1331" s="5">
        <v>46175.80625</v>
      </c>
      <c r="G1331" s="5">
        <v>46175.470821759256</v>
      </c>
      <c r="H1331" s="3" t="s">
        <v>14</v>
      </c>
      <c r="I1331" s="7">
        <v>0.0</v>
      </c>
      <c r="J1331" s="3" t="s">
        <v>48</v>
      </c>
    </row>
    <row r="1332">
      <c r="C1332" s="3" t="s">
        <v>10</v>
      </c>
      <c r="D1332" s="3">
        <v>5226.0</v>
      </c>
      <c r="E1332" s="3" t="s">
        <v>136</v>
      </c>
      <c r="F1332" s="5">
        <v>46174.677407407406</v>
      </c>
      <c r="G1332" s="5">
        <v>46174.62059027778</v>
      </c>
      <c r="H1332" s="3" t="s">
        <v>14</v>
      </c>
      <c r="I1332" s="3">
        <v>0.0</v>
      </c>
      <c r="J1332" s="3" t="s">
        <v>48</v>
      </c>
    </row>
    <row r="1333">
      <c r="C1333" s="3" t="s">
        <v>17</v>
      </c>
      <c r="D1333" s="3">
        <v>5226.0</v>
      </c>
      <c r="E1333" s="3" t="s">
        <v>136</v>
      </c>
      <c r="F1333" s="5">
        <v>46174.68435185185</v>
      </c>
      <c r="G1333" s="5">
        <v>46174.74625</v>
      </c>
      <c r="H1333" s="3" t="s">
        <v>14</v>
      </c>
      <c r="I1333" s="7">
        <v>0.06189814814814815</v>
      </c>
      <c r="J1333" s="3" t="s">
        <v>48</v>
      </c>
    </row>
    <row r="1334">
      <c r="C1334" s="3" t="s">
        <v>21</v>
      </c>
      <c r="D1334" s="3">
        <v>5226.0</v>
      </c>
      <c r="E1334" s="3" t="s">
        <v>136</v>
      </c>
      <c r="F1334" s="5">
        <v>46174.788518518515</v>
      </c>
      <c r="G1334" s="5">
        <v>46174.74637731481</v>
      </c>
      <c r="H1334" s="3" t="s">
        <v>14</v>
      </c>
      <c r="I1334" s="7">
        <v>0.0</v>
      </c>
      <c r="J1334" s="3" t="s">
        <v>48</v>
      </c>
    </row>
    <row r="1335">
      <c r="C1335" s="3" t="s">
        <v>24</v>
      </c>
      <c r="D1335" s="3">
        <v>5226.0</v>
      </c>
      <c r="E1335" s="3" t="s">
        <v>136</v>
      </c>
      <c r="F1335" s="5">
        <v>46175.788194444445</v>
      </c>
      <c r="G1335" s="5">
        <v>46175.66738425926</v>
      </c>
      <c r="H1335" s="3" t="s">
        <v>14</v>
      </c>
      <c r="I1335" s="7">
        <v>0.0</v>
      </c>
      <c r="J1335" s="3" t="s">
        <v>48</v>
      </c>
    </row>
    <row r="1336">
      <c r="C1336" s="3" t="s">
        <v>26</v>
      </c>
      <c r="D1336" s="3">
        <v>5226.0</v>
      </c>
      <c r="E1336" s="3" t="s">
        <v>136</v>
      </c>
      <c r="F1336" s="5">
        <v>46175.82986111111</v>
      </c>
      <c r="G1336" s="5">
        <v>46175.66741898148</v>
      </c>
      <c r="H1336" s="3" t="s">
        <v>14</v>
      </c>
      <c r="I1336" s="7">
        <v>0.0</v>
      </c>
      <c r="J1336" s="3" t="s">
        <v>48</v>
      </c>
    </row>
    <row r="1337">
      <c r="C1337" s="3" t="s">
        <v>10</v>
      </c>
      <c r="D1337" s="3">
        <v>5227.0</v>
      </c>
      <c r="E1337" s="3" t="s">
        <v>1152</v>
      </c>
      <c r="F1337" s="5">
        <v>46175.82341435185</v>
      </c>
      <c r="G1337" s="5">
        <v>46175.667025462964</v>
      </c>
      <c r="H1337" s="3" t="s">
        <v>14</v>
      </c>
      <c r="I1337" s="3">
        <v>0.0</v>
      </c>
      <c r="J1337" s="3" t="s">
        <v>72</v>
      </c>
    </row>
    <row r="1338">
      <c r="C1338" s="3" t="s">
        <v>17</v>
      </c>
      <c r="D1338" s="3">
        <v>5227.0</v>
      </c>
      <c r="E1338" s="3" t="s">
        <v>1152</v>
      </c>
      <c r="F1338" s="5">
        <v>46175.830358796295</v>
      </c>
      <c r="G1338" s="5">
        <v>46175.66715277778</v>
      </c>
      <c r="H1338" s="3" t="s">
        <v>14</v>
      </c>
      <c r="I1338" s="7">
        <v>0.0</v>
      </c>
      <c r="J1338" s="3" t="s">
        <v>72</v>
      </c>
    </row>
    <row r="1339">
      <c r="C1339" s="3" t="s">
        <v>21</v>
      </c>
      <c r="D1339" s="3">
        <v>5227.0</v>
      </c>
      <c r="E1339" s="3" t="s">
        <v>1152</v>
      </c>
      <c r="F1339" s="5">
        <v>46176.538194444445</v>
      </c>
      <c r="G1339" s="5">
        <v>46175.667233796295</v>
      </c>
      <c r="H1339" s="3" t="s">
        <v>14</v>
      </c>
      <c r="I1339" s="7">
        <v>0.0</v>
      </c>
      <c r="J1339" s="3" t="s">
        <v>72</v>
      </c>
    </row>
    <row r="1340">
      <c r="C1340" s="3" t="s">
        <v>24</v>
      </c>
      <c r="D1340" s="3">
        <v>5227.0</v>
      </c>
      <c r="E1340" s="3" t="s">
        <v>1152</v>
      </c>
      <c r="F1340" s="5">
        <v>46177.538194444445</v>
      </c>
      <c r="G1340" s="5">
        <v>46175.66726851852</v>
      </c>
      <c r="H1340" s="3" t="s">
        <v>14</v>
      </c>
      <c r="I1340" s="7">
        <v>0.0</v>
      </c>
      <c r="J1340" s="3" t="s">
        <v>72</v>
      </c>
    </row>
    <row r="1341">
      <c r="C1341" s="3" t="s">
        <v>26</v>
      </c>
      <c r="D1341" s="3">
        <v>5227.0</v>
      </c>
      <c r="E1341" s="3" t="s">
        <v>1152</v>
      </c>
      <c r="F1341" s="5">
        <v>46177.57986111111</v>
      </c>
      <c r="G1341" s="5">
        <v>46175.67697916667</v>
      </c>
      <c r="H1341" s="3" t="s">
        <v>14</v>
      </c>
      <c r="I1341" s="7">
        <v>0.0</v>
      </c>
      <c r="J1341" s="3" t="s">
        <v>72</v>
      </c>
    </row>
    <row r="1342">
      <c r="C1342" s="3" t="s">
        <v>10</v>
      </c>
      <c r="D1342" s="3">
        <v>5228.0</v>
      </c>
      <c r="E1342" s="3" t="s">
        <v>1156</v>
      </c>
      <c r="F1342" s="5">
        <v>46176.42013888889</v>
      </c>
      <c r="G1342" s="5">
        <v>46175.676724537036</v>
      </c>
      <c r="H1342" s="3" t="s">
        <v>14</v>
      </c>
      <c r="I1342" s="3">
        <v>0.0</v>
      </c>
      <c r="J1342" s="3" t="s">
        <v>72</v>
      </c>
    </row>
    <row r="1343">
      <c r="C1343" s="3" t="s">
        <v>17</v>
      </c>
      <c r="D1343" s="3">
        <v>5228.0</v>
      </c>
      <c r="E1343" s="3" t="s">
        <v>1156</v>
      </c>
      <c r="F1343" s="5">
        <v>46176.427083333336</v>
      </c>
      <c r="G1343" s="5">
        <v>46175.676875</v>
      </c>
      <c r="H1343" s="3" t="s">
        <v>14</v>
      </c>
      <c r="I1343" s="7">
        <v>0.0</v>
      </c>
      <c r="J1343" s="3" t="s">
        <v>72</v>
      </c>
    </row>
    <row r="1344">
      <c r="C1344" s="3" t="s">
        <v>21</v>
      </c>
      <c r="D1344" s="3">
        <v>5228.0</v>
      </c>
      <c r="E1344" s="3" t="s">
        <v>1156</v>
      </c>
      <c r="F1344" s="5">
        <v>46176.53125</v>
      </c>
      <c r="G1344" s="5">
        <v>46175.67690972222</v>
      </c>
      <c r="H1344" s="3" t="s">
        <v>14</v>
      </c>
      <c r="I1344" s="7">
        <v>0.0</v>
      </c>
      <c r="J1344" s="3" t="s">
        <v>72</v>
      </c>
    </row>
    <row r="1345">
      <c r="C1345" s="3" t="s">
        <v>24</v>
      </c>
      <c r="D1345" s="3">
        <v>5228.0</v>
      </c>
      <c r="E1345" s="3" t="s">
        <v>1156</v>
      </c>
      <c r="F1345" s="5">
        <v>46177.53125</v>
      </c>
      <c r="G1345" s="5">
        <v>46176.54623842592</v>
      </c>
      <c r="H1345" s="3" t="s">
        <v>14</v>
      </c>
      <c r="I1345" s="7">
        <v>0.0</v>
      </c>
      <c r="J1345" s="3" t="s">
        <v>72</v>
      </c>
    </row>
    <row r="1346">
      <c r="C1346" s="3" t="s">
        <v>26</v>
      </c>
      <c r="D1346" s="3">
        <v>5228.0</v>
      </c>
      <c r="E1346" s="3" t="s">
        <v>1156</v>
      </c>
      <c r="F1346" s="5">
        <v>46177.572916666664</v>
      </c>
      <c r="G1346" s="5">
        <v>46176.546261574076</v>
      </c>
      <c r="H1346" s="3" t="s">
        <v>14</v>
      </c>
      <c r="I1346" s="7">
        <v>0.0</v>
      </c>
      <c r="J1346" s="3" t="s">
        <v>72</v>
      </c>
    </row>
    <row r="1347">
      <c r="C1347" s="3" t="s">
        <v>10</v>
      </c>
      <c r="D1347" s="3">
        <v>5229.0</v>
      </c>
      <c r="E1347" s="3" t="s">
        <v>1158</v>
      </c>
      <c r="F1347" s="5">
        <v>46176.42291666667</v>
      </c>
      <c r="G1347" s="5">
        <v>46175.676724537036</v>
      </c>
      <c r="H1347" s="3" t="s">
        <v>14</v>
      </c>
      <c r="I1347" s="3">
        <v>0.0</v>
      </c>
      <c r="J1347" s="3" t="s">
        <v>48</v>
      </c>
    </row>
    <row r="1348">
      <c r="C1348" s="3" t="s">
        <v>17</v>
      </c>
      <c r="D1348" s="3">
        <v>5229.0</v>
      </c>
      <c r="E1348" s="3" t="s">
        <v>1158</v>
      </c>
      <c r="F1348" s="5">
        <v>46176.42986111111</v>
      </c>
      <c r="G1348" s="5">
        <v>46175.676886574074</v>
      </c>
      <c r="H1348" s="3" t="s">
        <v>14</v>
      </c>
      <c r="I1348" s="7">
        <v>0.0</v>
      </c>
      <c r="J1348" s="3" t="s">
        <v>48</v>
      </c>
    </row>
    <row r="1349">
      <c r="C1349" s="3" t="s">
        <v>21</v>
      </c>
      <c r="D1349" s="3">
        <v>5229.0</v>
      </c>
      <c r="E1349" s="3" t="s">
        <v>1158</v>
      </c>
      <c r="F1349" s="5">
        <v>46176.53402777778</v>
      </c>
      <c r="G1349" s="5">
        <v>46175.6769212963</v>
      </c>
      <c r="H1349" s="3" t="s">
        <v>14</v>
      </c>
      <c r="I1349" s="7">
        <v>0.0</v>
      </c>
      <c r="J1349" s="3" t="s">
        <v>48</v>
      </c>
    </row>
    <row r="1350">
      <c r="C1350" s="3" t="s">
        <v>24</v>
      </c>
      <c r="D1350" s="3">
        <v>5229.0</v>
      </c>
      <c r="E1350" s="3" t="s">
        <v>1158</v>
      </c>
      <c r="F1350" s="5">
        <v>46177.53402777778</v>
      </c>
      <c r="G1350" s="5">
        <v>46177.47145833333</v>
      </c>
      <c r="H1350" s="3" t="s">
        <v>14</v>
      </c>
      <c r="I1350" s="7">
        <v>0.0</v>
      </c>
      <c r="J1350" s="3" t="s">
        <v>48</v>
      </c>
    </row>
    <row r="1351">
      <c r="C1351" s="3" t="s">
        <v>26</v>
      </c>
      <c r="D1351" s="3">
        <v>5229.0</v>
      </c>
      <c r="E1351" s="3" t="s">
        <v>1158</v>
      </c>
      <c r="F1351" s="5">
        <v>46177.575694444444</v>
      </c>
      <c r="G1351" s="5">
        <v>46177.471504629626</v>
      </c>
      <c r="H1351" s="3" t="s">
        <v>14</v>
      </c>
      <c r="I1351" s="7">
        <v>0.0</v>
      </c>
      <c r="J1351" s="3" t="s">
        <v>48</v>
      </c>
    </row>
    <row r="1352">
      <c r="C1352" s="3" t="s">
        <v>10</v>
      </c>
      <c r="D1352" s="3">
        <v>5230.0</v>
      </c>
      <c r="E1352" s="3" t="s">
        <v>166</v>
      </c>
      <c r="F1352" s="5">
        <v>46176.66273148148</v>
      </c>
      <c r="G1352" s="5">
        <v>46176.508043981485</v>
      </c>
      <c r="H1352" s="3" t="s">
        <v>14</v>
      </c>
      <c r="I1352" s="3">
        <v>0.0</v>
      </c>
      <c r="J1352" s="3" t="s">
        <v>61</v>
      </c>
    </row>
    <row r="1353">
      <c r="C1353" s="3" t="s">
        <v>17</v>
      </c>
      <c r="D1353" s="3">
        <v>5230.0</v>
      </c>
      <c r="E1353" s="3" t="s">
        <v>166</v>
      </c>
      <c r="F1353" s="5">
        <v>46176.66967592593</v>
      </c>
      <c r="G1353" s="5">
        <v>46176.50809027778</v>
      </c>
      <c r="H1353" s="3" t="s">
        <v>14</v>
      </c>
      <c r="I1353" s="7">
        <v>0.0</v>
      </c>
      <c r="J1353" s="3" t="s">
        <v>61</v>
      </c>
    </row>
    <row r="1354">
      <c r="C1354" s="3" t="s">
        <v>21</v>
      </c>
      <c r="D1354" s="3">
        <v>5230.0</v>
      </c>
      <c r="E1354" s="3" t="s">
        <v>166</v>
      </c>
      <c r="F1354" s="5">
        <v>46176.77384259259</v>
      </c>
      <c r="G1354" s="5">
        <v>46176.50817129629</v>
      </c>
      <c r="H1354" s="3" t="s">
        <v>14</v>
      </c>
      <c r="I1354" s="7">
        <v>0.0</v>
      </c>
      <c r="J1354" s="3" t="s">
        <v>61</v>
      </c>
    </row>
    <row r="1355">
      <c r="C1355" s="3" t="s">
        <v>24</v>
      </c>
      <c r="D1355" s="3">
        <v>5230.0</v>
      </c>
      <c r="E1355" s="3" t="s">
        <v>166</v>
      </c>
      <c r="F1355" s="5">
        <v>46177.77361111111</v>
      </c>
      <c r="G1355" s="5">
        <v>46177.68686342592</v>
      </c>
      <c r="H1355" s="3" t="s">
        <v>14</v>
      </c>
      <c r="I1355" s="7">
        <v>0.0</v>
      </c>
      <c r="J1355" s="3" t="s">
        <v>61</v>
      </c>
    </row>
    <row r="1356">
      <c r="C1356" s="3" t="s">
        <v>26</v>
      </c>
      <c r="D1356" s="3">
        <v>5230.0</v>
      </c>
      <c r="E1356" s="3" t="s">
        <v>166</v>
      </c>
      <c r="F1356" s="5">
        <v>46177.81527777778</v>
      </c>
      <c r="G1356" s="5">
        <v>46177.686898148146</v>
      </c>
      <c r="H1356" s="3" t="s">
        <v>14</v>
      </c>
      <c r="I1356" s="7">
        <v>0.0</v>
      </c>
      <c r="J1356" s="3" t="s">
        <v>61</v>
      </c>
    </row>
    <row r="1357">
      <c r="C1357" s="3" t="s">
        <v>10</v>
      </c>
      <c r="D1357" s="3">
        <v>5231.0</v>
      </c>
      <c r="E1357" s="3" t="s">
        <v>125</v>
      </c>
      <c r="F1357" s="5">
        <v>46177.44375</v>
      </c>
      <c r="G1357" s="5">
        <v>46176.746296296296</v>
      </c>
      <c r="H1357" s="3" t="s">
        <v>14</v>
      </c>
      <c r="I1357" s="3">
        <v>0.0</v>
      </c>
      <c r="J1357" s="3" t="s">
        <v>15</v>
      </c>
    </row>
    <row r="1358">
      <c r="C1358" s="3" t="s">
        <v>17</v>
      </c>
      <c r="D1358" s="3">
        <v>5231.0</v>
      </c>
      <c r="E1358" s="3" t="s">
        <v>125</v>
      </c>
      <c r="F1358" s="5">
        <v>46177.450694444444</v>
      </c>
      <c r="G1358" s="5">
        <v>46176.74659722222</v>
      </c>
      <c r="H1358" s="3" t="s">
        <v>14</v>
      </c>
      <c r="I1358" s="7">
        <v>0.0</v>
      </c>
      <c r="J1358" s="3" t="s">
        <v>15</v>
      </c>
    </row>
    <row r="1359">
      <c r="C1359" s="3" t="s">
        <v>21</v>
      </c>
      <c r="D1359" s="3">
        <v>5231.0</v>
      </c>
      <c r="E1359" s="3" t="s">
        <v>125</v>
      </c>
      <c r="F1359" s="5">
        <v>46177.55486111111</v>
      </c>
      <c r="G1359" s="5">
        <v>46176.74667824074</v>
      </c>
      <c r="H1359" s="3" t="s">
        <v>14</v>
      </c>
      <c r="I1359" s="7">
        <v>0.0</v>
      </c>
      <c r="J1359" s="3" t="s">
        <v>15</v>
      </c>
    </row>
    <row r="1360">
      <c r="C1360" s="3" t="s">
        <v>24</v>
      </c>
      <c r="D1360" s="3">
        <v>5231.0</v>
      </c>
      <c r="E1360" s="3" t="s">
        <v>125</v>
      </c>
      <c r="F1360" s="5">
        <v>46178.55486111111</v>
      </c>
      <c r="G1360" s="5">
        <v>46176.79582175926</v>
      </c>
      <c r="H1360" s="3" t="s">
        <v>14</v>
      </c>
      <c r="I1360" s="7">
        <v>0.0</v>
      </c>
      <c r="J1360" s="3" t="s">
        <v>15</v>
      </c>
    </row>
    <row r="1361">
      <c r="C1361" s="3" t="s">
        <v>26</v>
      </c>
      <c r="D1361" s="3">
        <v>5231.0</v>
      </c>
      <c r="E1361" s="3" t="s">
        <v>125</v>
      </c>
      <c r="F1361" s="5">
        <v>46178.59652777778</v>
      </c>
      <c r="G1361" s="5">
        <v>46176.796006944445</v>
      </c>
      <c r="H1361" s="3" t="s">
        <v>14</v>
      </c>
      <c r="I1361" s="7">
        <v>0.0</v>
      </c>
      <c r="J1361" s="3" t="s">
        <v>15</v>
      </c>
    </row>
    <row r="1362">
      <c r="C1362" s="3" t="s">
        <v>10</v>
      </c>
      <c r="D1362" s="3">
        <v>5232.0</v>
      </c>
      <c r="E1362" s="3" t="s">
        <v>660</v>
      </c>
      <c r="F1362" s="5">
        <v>46177.44652777778</v>
      </c>
      <c r="G1362" s="5">
        <v>46176.74636574074</v>
      </c>
      <c r="H1362" s="3" t="s">
        <v>14</v>
      </c>
      <c r="I1362" s="3">
        <v>0.0</v>
      </c>
      <c r="J1362" s="3" t="s">
        <v>15</v>
      </c>
    </row>
    <row r="1363">
      <c r="C1363" s="3" t="s">
        <v>17</v>
      </c>
      <c r="D1363" s="3">
        <v>5232.0</v>
      </c>
      <c r="E1363" s="3" t="s">
        <v>660</v>
      </c>
      <c r="F1363" s="5">
        <v>46177.45347222222</v>
      </c>
      <c r="G1363" s="5">
        <v>46176.7466087963</v>
      </c>
      <c r="H1363" s="3" t="s">
        <v>14</v>
      </c>
      <c r="I1363" s="7">
        <v>0.0</v>
      </c>
      <c r="J1363" s="3" t="s">
        <v>15</v>
      </c>
    </row>
    <row r="1364">
      <c r="C1364" s="3" t="s">
        <v>21</v>
      </c>
      <c r="D1364" s="3">
        <v>5232.0</v>
      </c>
      <c r="E1364" s="3" t="s">
        <v>660</v>
      </c>
      <c r="F1364" s="5">
        <v>46177.55763888889</v>
      </c>
      <c r="G1364" s="5">
        <v>46176.74668981481</v>
      </c>
      <c r="H1364" s="3" t="s">
        <v>14</v>
      </c>
      <c r="I1364" s="7">
        <v>0.0</v>
      </c>
      <c r="J1364" s="3" t="s">
        <v>15</v>
      </c>
    </row>
    <row r="1365">
      <c r="C1365" s="3" t="s">
        <v>24</v>
      </c>
      <c r="D1365" s="3">
        <v>5232.0</v>
      </c>
      <c r="E1365" s="3" t="s">
        <v>660</v>
      </c>
      <c r="F1365" s="5">
        <v>46178.55763888889</v>
      </c>
      <c r="G1365" s="5">
        <v>46176.79591435185</v>
      </c>
      <c r="H1365" s="3" t="s">
        <v>14</v>
      </c>
      <c r="I1365" s="7">
        <v>0.0</v>
      </c>
      <c r="J1365" s="3" t="s">
        <v>15</v>
      </c>
    </row>
    <row r="1366">
      <c r="C1366" s="3" t="s">
        <v>26</v>
      </c>
      <c r="D1366" s="3">
        <v>5232.0</v>
      </c>
      <c r="E1366" s="3" t="s">
        <v>660</v>
      </c>
      <c r="F1366" s="5">
        <v>46178.59930555556</v>
      </c>
      <c r="G1366" s="5">
        <v>46176.79603009259</v>
      </c>
      <c r="H1366" s="3" t="s">
        <v>14</v>
      </c>
      <c r="I1366" s="7">
        <v>0.0</v>
      </c>
      <c r="J1366" s="3" t="s">
        <v>15</v>
      </c>
    </row>
    <row r="1367">
      <c r="C1367" s="3" t="s">
        <v>10</v>
      </c>
      <c r="D1367" s="3">
        <v>5233.0</v>
      </c>
      <c r="E1367" s="3" t="s">
        <v>705</v>
      </c>
      <c r="F1367" s="5">
        <v>46177.45416666667</v>
      </c>
      <c r="G1367" s="5">
        <v>46176.746469907404</v>
      </c>
      <c r="H1367" s="3" t="s">
        <v>14</v>
      </c>
      <c r="I1367" s="3">
        <v>0.0</v>
      </c>
      <c r="J1367" s="3" t="s">
        <v>48</v>
      </c>
    </row>
    <row r="1368">
      <c r="C1368" s="3" t="s">
        <v>17</v>
      </c>
      <c r="D1368" s="3">
        <v>5233.0</v>
      </c>
      <c r="E1368" s="3" t="s">
        <v>705</v>
      </c>
      <c r="F1368" s="5">
        <v>46177.46111111111</v>
      </c>
      <c r="G1368" s="5">
        <v>46176.74663194444</v>
      </c>
      <c r="H1368" s="3" t="s">
        <v>14</v>
      </c>
      <c r="I1368" s="7">
        <v>0.0</v>
      </c>
      <c r="J1368" s="3" t="s">
        <v>48</v>
      </c>
    </row>
    <row r="1369">
      <c r="C1369" s="3" t="s">
        <v>21</v>
      </c>
      <c r="D1369" s="3">
        <v>5233.0</v>
      </c>
      <c r="E1369" s="3" t="s">
        <v>705</v>
      </c>
      <c r="F1369" s="5">
        <v>46177.56527777778</v>
      </c>
      <c r="G1369" s="5">
        <v>46176.746712962966</v>
      </c>
      <c r="H1369" s="3" t="s">
        <v>14</v>
      </c>
      <c r="I1369" s="7">
        <v>0.0</v>
      </c>
      <c r="J1369" s="3" t="s">
        <v>48</v>
      </c>
    </row>
    <row r="1370">
      <c r="C1370" s="3" t="s">
        <v>24</v>
      </c>
      <c r="D1370" s="3">
        <v>5233.0</v>
      </c>
      <c r="E1370" s="3" t="s">
        <v>705</v>
      </c>
      <c r="F1370" s="5">
        <v>46178.56527777778</v>
      </c>
      <c r="G1370" s="5">
        <v>46177.471666666665</v>
      </c>
      <c r="H1370" s="3" t="s">
        <v>14</v>
      </c>
      <c r="I1370" s="7">
        <v>0.0</v>
      </c>
      <c r="J1370" s="3" t="s">
        <v>48</v>
      </c>
    </row>
    <row r="1371">
      <c r="C1371" s="3" t="s">
        <v>26</v>
      </c>
      <c r="D1371" s="3">
        <v>5233.0</v>
      </c>
      <c r="E1371" s="3" t="s">
        <v>705</v>
      </c>
      <c r="F1371" s="5">
        <v>46178.606944444444</v>
      </c>
      <c r="G1371" s="5">
        <v>46177.47168981482</v>
      </c>
      <c r="H1371" s="3" t="s">
        <v>14</v>
      </c>
      <c r="I1371" s="7">
        <v>0.0</v>
      </c>
      <c r="J1371" s="3" t="s">
        <v>48</v>
      </c>
    </row>
    <row r="1372">
      <c r="C1372" s="3" t="s">
        <v>10</v>
      </c>
      <c r="D1372" s="3">
        <v>5234.0</v>
      </c>
      <c r="E1372" s="3" t="s">
        <v>1175</v>
      </c>
      <c r="F1372" s="5">
        <v>46177.81364583333</v>
      </c>
      <c r="G1372" s="5">
        <v>46177.68716435185</v>
      </c>
      <c r="H1372" s="3" t="s">
        <v>14</v>
      </c>
      <c r="I1372" s="3">
        <v>0.0</v>
      </c>
      <c r="J1372" s="3" t="s">
        <v>61</v>
      </c>
    </row>
    <row r="1373">
      <c r="C1373" s="3" t="s">
        <v>17</v>
      </c>
      <c r="D1373" s="3">
        <v>5234.0</v>
      </c>
      <c r="E1373" s="3" t="s">
        <v>1175</v>
      </c>
      <c r="F1373" s="5">
        <v>46177.82059027778</v>
      </c>
      <c r="G1373" s="5">
        <v>46177.687256944446</v>
      </c>
      <c r="H1373" s="3" t="s">
        <v>14</v>
      </c>
      <c r="I1373" s="7">
        <v>0.0</v>
      </c>
      <c r="J1373" s="3" t="s">
        <v>61</v>
      </c>
    </row>
    <row r="1374">
      <c r="C1374" s="3" t="s">
        <v>21</v>
      </c>
      <c r="D1374" s="3">
        <v>5234.0</v>
      </c>
      <c r="E1374" s="3" t="s">
        <v>1175</v>
      </c>
      <c r="F1374" s="5">
        <v>46178.52847222222</v>
      </c>
      <c r="G1374" s="5">
        <v>46177.72063657407</v>
      </c>
      <c r="H1374" s="3" t="s">
        <v>14</v>
      </c>
      <c r="I1374" s="7">
        <v>0.0</v>
      </c>
      <c r="J1374" s="3" t="s">
        <v>61</v>
      </c>
    </row>
    <row r="1375">
      <c r="C1375" s="3" t="s">
        <v>24</v>
      </c>
      <c r="D1375" s="3">
        <v>5234.0</v>
      </c>
      <c r="E1375" s="3" t="s">
        <v>1175</v>
      </c>
      <c r="F1375" s="5">
        <v>46179.52847222222</v>
      </c>
      <c r="G1375" s="5">
        <v>46178.556759259256</v>
      </c>
      <c r="H1375" s="3" t="s">
        <v>14</v>
      </c>
      <c r="I1375" s="7">
        <v>0.0</v>
      </c>
      <c r="J1375" s="3" t="s">
        <v>61</v>
      </c>
    </row>
    <row r="1376">
      <c r="C1376" s="3" t="s">
        <v>26</v>
      </c>
      <c r="D1376" s="3">
        <v>5234.0</v>
      </c>
      <c r="E1376" s="3" t="s">
        <v>1175</v>
      </c>
      <c r="F1376" s="5">
        <v>46179.57013888889</v>
      </c>
      <c r="G1376" s="5">
        <v>46178.55677083333</v>
      </c>
      <c r="H1376" s="3" t="s">
        <v>14</v>
      </c>
      <c r="I1376" s="7">
        <v>0.0</v>
      </c>
      <c r="J1376" s="3" t="s">
        <v>61</v>
      </c>
    </row>
    <row r="1377">
      <c r="C1377" s="3" t="s">
        <v>10</v>
      </c>
      <c r="D1377" s="3">
        <v>5235.0</v>
      </c>
      <c r="E1377" s="3" t="s">
        <v>727</v>
      </c>
      <c r="F1377" s="5">
        <v>46178.641064814816</v>
      </c>
      <c r="G1377" s="5">
        <v>46178.507210648146</v>
      </c>
      <c r="H1377" s="3" t="s">
        <v>14</v>
      </c>
      <c r="I1377" s="3">
        <v>0.0</v>
      </c>
      <c r="J1377" s="3" t="s">
        <v>15</v>
      </c>
    </row>
    <row r="1378">
      <c r="C1378" s="3" t="s">
        <v>17</v>
      </c>
      <c r="D1378" s="3">
        <v>5235.0</v>
      </c>
      <c r="E1378" s="3" t="s">
        <v>727</v>
      </c>
      <c r="F1378" s="5">
        <v>46178.64800925926</v>
      </c>
      <c r="G1378" s="5">
        <v>46178.507256944446</v>
      </c>
      <c r="H1378" s="3" t="s">
        <v>14</v>
      </c>
      <c r="I1378" s="7">
        <v>0.0</v>
      </c>
      <c r="J1378" s="3" t="s">
        <v>15</v>
      </c>
    </row>
    <row r="1379">
      <c r="C1379" s="3" t="s">
        <v>21</v>
      </c>
      <c r="D1379" s="3">
        <v>5235.0</v>
      </c>
      <c r="E1379" s="3" t="s">
        <v>727</v>
      </c>
      <c r="F1379" s="5">
        <v>46178.752175925925</v>
      </c>
      <c r="G1379" s="5">
        <v>46178.60946759259</v>
      </c>
      <c r="H1379" s="3" t="s">
        <v>14</v>
      </c>
      <c r="I1379" s="7">
        <v>0.0</v>
      </c>
      <c r="J1379" s="3" t="s">
        <v>15</v>
      </c>
    </row>
    <row r="1380">
      <c r="C1380" s="3" t="s">
        <v>24</v>
      </c>
      <c r="D1380" s="3">
        <v>5235.0</v>
      </c>
      <c r="E1380" s="3" t="s">
        <v>727</v>
      </c>
      <c r="F1380" s="5">
        <v>46179.75208333333</v>
      </c>
      <c r="G1380" s="5">
        <v>46179.45394675926</v>
      </c>
      <c r="H1380" s="3" t="s">
        <v>14</v>
      </c>
      <c r="I1380" s="7">
        <v>0.0</v>
      </c>
      <c r="J1380" s="3" t="s">
        <v>15</v>
      </c>
    </row>
    <row r="1381">
      <c r="C1381" s="3" t="s">
        <v>26</v>
      </c>
      <c r="D1381" s="3">
        <v>5235.0</v>
      </c>
      <c r="E1381" s="3" t="s">
        <v>727</v>
      </c>
      <c r="F1381" s="5">
        <v>46179.79375</v>
      </c>
      <c r="G1381" s="5">
        <v>46179.673113425924</v>
      </c>
      <c r="H1381" s="3" t="s">
        <v>14</v>
      </c>
      <c r="I1381" s="7">
        <v>0.0</v>
      </c>
      <c r="J1381" s="3" t="s">
        <v>15</v>
      </c>
    </row>
    <row r="1382">
      <c r="C1382" s="3" t="s">
        <v>10</v>
      </c>
      <c r="D1382" s="3">
        <v>5236.0</v>
      </c>
      <c r="E1382" s="3" t="s">
        <v>1185</v>
      </c>
      <c r="F1382" s="5">
        <v>46179.424305555556</v>
      </c>
      <c r="G1382" s="5">
        <v>46178.72100694444</v>
      </c>
      <c r="H1382" s="3" t="s">
        <v>14</v>
      </c>
      <c r="I1382" s="3">
        <v>0.0</v>
      </c>
      <c r="J1382" s="3" t="s">
        <v>61</v>
      </c>
    </row>
    <row r="1383">
      <c r="C1383" s="3" t="s">
        <v>17</v>
      </c>
      <c r="D1383" s="3">
        <v>5236.0</v>
      </c>
      <c r="E1383" s="3" t="s">
        <v>1185</v>
      </c>
      <c r="F1383" s="5">
        <v>46179.43125</v>
      </c>
      <c r="G1383" s="5">
        <v>46178.72111111111</v>
      </c>
      <c r="H1383" s="3" t="s">
        <v>14</v>
      </c>
      <c r="I1383" s="7">
        <v>0.0</v>
      </c>
      <c r="J1383" s="3" t="s">
        <v>61</v>
      </c>
    </row>
    <row r="1384">
      <c r="C1384" s="3" t="s">
        <v>21</v>
      </c>
      <c r="D1384" s="3">
        <v>5236.0</v>
      </c>
      <c r="E1384" s="3" t="s">
        <v>1185</v>
      </c>
      <c r="F1384" s="5">
        <v>46179.535416666666</v>
      </c>
      <c r="G1384" s="5">
        <v>46178.721550925926</v>
      </c>
      <c r="H1384" s="3" t="s">
        <v>14</v>
      </c>
      <c r="I1384" s="7">
        <v>0.0</v>
      </c>
      <c r="J1384" s="3" t="s">
        <v>61</v>
      </c>
    </row>
    <row r="1385">
      <c r="C1385" s="3" t="s">
        <v>24</v>
      </c>
      <c r="D1385" s="3">
        <v>5236.0</v>
      </c>
      <c r="E1385" s="3" t="s">
        <v>1185</v>
      </c>
      <c r="F1385" s="5">
        <v>46181.535416666666</v>
      </c>
      <c r="G1385" s="5">
        <v>46179.4540162037</v>
      </c>
      <c r="H1385" s="3" t="s">
        <v>14</v>
      </c>
      <c r="I1385" s="7">
        <v>0.0</v>
      </c>
      <c r="J1385" s="3" t="s">
        <v>61</v>
      </c>
    </row>
    <row r="1386">
      <c r="C1386" s="3" t="s">
        <v>26</v>
      </c>
      <c r="D1386" s="3">
        <v>5236.0</v>
      </c>
      <c r="E1386" s="3" t="s">
        <v>1185</v>
      </c>
      <c r="F1386" s="5">
        <v>46181.57708333333</v>
      </c>
      <c r="G1386" s="5">
        <v>46181.45615740741</v>
      </c>
      <c r="H1386" s="3" t="s">
        <v>14</v>
      </c>
      <c r="I1386" s="7">
        <v>0.0</v>
      </c>
      <c r="J1386" s="3" t="s">
        <v>61</v>
      </c>
    </row>
    <row r="1387">
      <c r="C1387" s="3" t="s">
        <v>10</v>
      </c>
      <c r="D1387" s="3">
        <v>5237.0</v>
      </c>
      <c r="E1387" s="3" t="s">
        <v>1120</v>
      </c>
      <c r="F1387" s="5">
        <v>46179.427777777775</v>
      </c>
      <c r="G1387" s="5">
        <v>46178.721030092594</v>
      </c>
      <c r="H1387" s="3" t="s">
        <v>14</v>
      </c>
      <c r="I1387" s="3">
        <v>0.0</v>
      </c>
      <c r="J1387" s="3" t="s">
        <v>72</v>
      </c>
    </row>
    <row r="1388">
      <c r="C1388" s="3" t="s">
        <v>17</v>
      </c>
      <c r="D1388" s="3">
        <v>5237.0</v>
      </c>
      <c r="E1388" s="3" t="s">
        <v>1120</v>
      </c>
      <c r="F1388" s="5">
        <v>46179.43472222222</v>
      </c>
      <c r="G1388" s="5">
        <v>46178.72112268519</v>
      </c>
      <c r="H1388" s="3" t="s">
        <v>14</v>
      </c>
      <c r="I1388" s="7">
        <v>0.0</v>
      </c>
      <c r="J1388" s="3" t="s">
        <v>72</v>
      </c>
    </row>
    <row r="1389">
      <c r="C1389" s="3" t="s">
        <v>21</v>
      </c>
      <c r="D1389" s="3">
        <v>5237.0</v>
      </c>
      <c r="E1389" s="3" t="s">
        <v>1120</v>
      </c>
      <c r="F1389" s="5">
        <v>46179.53888888889</v>
      </c>
      <c r="G1389" s="5">
        <v>46178.72157407407</v>
      </c>
      <c r="H1389" s="3" t="s">
        <v>14</v>
      </c>
      <c r="I1389" s="7">
        <v>0.0</v>
      </c>
      <c r="J1389" s="3" t="s">
        <v>72</v>
      </c>
    </row>
    <row r="1390">
      <c r="C1390" s="3" t="s">
        <v>24</v>
      </c>
      <c r="D1390" s="3">
        <v>5237.0</v>
      </c>
      <c r="E1390" s="3" t="s">
        <v>1120</v>
      </c>
      <c r="F1390" s="5">
        <v>46181.53888888889</v>
      </c>
      <c r="G1390" s="5">
        <v>46179.6880787037</v>
      </c>
      <c r="H1390" s="3" t="s">
        <v>14</v>
      </c>
      <c r="I1390" s="7">
        <v>0.0</v>
      </c>
      <c r="J1390" s="3" t="s">
        <v>72</v>
      </c>
    </row>
    <row r="1391">
      <c r="C1391" s="3" t="s">
        <v>26</v>
      </c>
      <c r="D1391" s="3">
        <v>5237.0</v>
      </c>
      <c r="E1391" s="3" t="s">
        <v>1120</v>
      </c>
      <c r="F1391" s="5">
        <v>46181.580555555556</v>
      </c>
      <c r="G1391" s="5">
        <v>46181.45611111111</v>
      </c>
      <c r="H1391" s="3" t="s">
        <v>14</v>
      </c>
      <c r="I1391" s="7">
        <v>0.0</v>
      </c>
      <c r="J1391" s="3" t="s">
        <v>72</v>
      </c>
    </row>
    <row r="1392">
      <c r="C1392" s="3" t="s">
        <v>10</v>
      </c>
      <c r="D1392" s="3">
        <v>5238.0</v>
      </c>
      <c r="E1392" s="3" t="s">
        <v>166</v>
      </c>
      <c r="F1392" s="5">
        <v>46181.42638888889</v>
      </c>
      <c r="G1392" s="5">
        <v>46179.68797453704</v>
      </c>
      <c r="H1392" s="3" t="s">
        <v>14</v>
      </c>
      <c r="I1392" s="3">
        <v>0.0</v>
      </c>
      <c r="J1392" s="3" t="s">
        <v>72</v>
      </c>
    </row>
    <row r="1393">
      <c r="C1393" s="3" t="s">
        <v>17</v>
      </c>
      <c r="D1393" s="3">
        <v>5238.0</v>
      </c>
      <c r="E1393" s="3" t="s">
        <v>166</v>
      </c>
      <c r="F1393" s="5">
        <v>46181.433333333334</v>
      </c>
      <c r="G1393" s="5">
        <v>46179.68802083333</v>
      </c>
      <c r="H1393" s="3" t="s">
        <v>14</v>
      </c>
      <c r="I1393" s="7">
        <v>0.0</v>
      </c>
      <c r="J1393" s="3" t="s">
        <v>72</v>
      </c>
    </row>
    <row r="1394">
      <c r="C1394" s="3" t="s">
        <v>21</v>
      </c>
      <c r="D1394" s="3">
        <v>5238.0</v>
      </c>
      <c r="E1394" s="3" t="s">
        <v>166</v>
      </c>
      <c r="F1394" s="5">
        <v>46181.5375</v>
      </c>
      <c r="G1394" s="5">
        <v>46179.688043981485</v>
      </c>
      <c r="H1394" s="3" t="s">
        <v>14</v>
      </c>
      <c r="I1394" s="7">
        <v>0.0</v>
      </c>
      <c r="J1394" s="3" t="s">
        <v>72</v>
      </c>
    </row>
    <row r="1395">
      <c r="C1395" s="3" t="s">
        <v>24</v>
      </c>
      <c r="D1395" s="3">
        <v>5238.0</v>
      </c>
      <c r="E1395" s="3" t="s">
        <v>166</v>
      </c>
      <c r="F1395" s="5">
        <v>46182.5375</v>
      </c>
      <c r="G1395" s="5">
        <v>46179.6880787037</v>
      </c>
      <c r="H1395" s="3" t="s">
        <v>14</v>
      </c>
      <c r="I1395" s="7">
        <v>0.0</v>
      </c>
      <c r="J1395" s="3" t="s">
        <v>72</v>
      </c>
    </row>
    <row r="1396">
      <c r="C1396" s="3" t="s">
        <v>26</v>
      </c>
      <c r="D1396" s="3">
        <v>5238.0</v>
      </c>
      <c r="E1396" s="3" t="s">
        <v>166</v>
      </c>
      <c r="F1396" s="5">
        <v>46182.57916666667</v>
      </c>
      <c r="G1396" s="5">
        <v>46181.456145833334</v>
      </c>
      <c r="H1396" s="3" t="s">
        <v>14</v>
      </c>
      <c r="I1396" s="7">
        <v>0.0</v>
      </c>
      <c r="J1396" s="3" t="s">
        <v>72</v>
      </c>
    </row>
    <row r="1397">
      <c r="C1397" s="3" t="s">
        <v>10</v>
      </c>
      <c r="D1397" s="3">
        <v>5239.0</v>
      </c>
      <c r="E1397" s="3" t="s">
        <v>882</v>
      </c>
      <c r="F1397" s="5">
        <v>46182.42013888889</v>
      </c>
      <c r="G1397" s="5">
        <v>46181.679710648146</v>
      </c>
      <c r="H1397" s="3" t="s">
        <v>14</v>
      </c>
      <c r="I1397" s="3">
        <v>0.0</v>
      </c>
      <c r="J1397" s="3" t="s">
        <v>15</v>
      </c>
    </row>
    <row r="1398">
      <c r="C1398" s="3" t="s">
        <v>17</v>
      </c>
      <c r="D1398" s="3">
        <v>5239.0</v>
      </c>
      <c r="E1398" s="3" t="s">
        <v>882</v>
      </c>
      <c r="F1398" s="5">
        <v>46182.46875</v>
      </c>
      <c r="G1398" s="5">
        <v>46182.4525462963</v>
      </c>
      <c r="H1398" s="3" t="s">
        <v>14</v>
      </c>
      <c r="I1398" s="7">
        <v>0.0</v>
      </c>
      <c r="J1398" s="3" t="s">
        <v>15</v>
      </c>
    </row>
    <row r="1399">
      <c r="C1399" s="3" t="s">
        <v>21</v>
      </c>
      <c r="D1399" s="3">
        <v>5239.0</v>
      </c>
      <c r="E1399" s="3" t="s">
        <v>882</v>
      </c>
      <c r="F1399" s="5">
        <v>46182.614583333336</v>
      </c>
      <c r="G1399" s="5">
        <v>46182.452581018515</v>
      </c>
      <c r="H1399" s="3" t="s">
        <v>14</v>
      </c>
      <c r="I1399" s="7">
        <v>0.0</v>
      </c>
      <c r="J1399" s="3" t="s">
        <v>15</v>
      </c>
    </row>
    <row r="1400">
      <c r="C1400" s="3" t="s">
        <v>24</v>
      </c>
      <c r="D1400" s="3">
        <v>5239.0</v>
      </c>
      <c r="E1400" s="3" t="s">
        <v>882</v>
      </c>
      <c r="F1400" s="5">
        <v>46183.614583333336</v>
      </c>
      <c r="G1400" s="5">
        <v>46182.45270833333</v>
      </c>
      <c r="H1400" s="3" t="s">
        <v>14</v>
      </c>
      <c r="I1400" s="7">
        <v>0.0</v>
      </c>
      <c r="J1400" s="3" t="s">
        <v>15</v>
      </c>
    </row>
    <row r="1401">
      <c r="C1401" s="3" t="s">
        <v>26</v>
      </c>
      <c r="D1401" s="3">
        <v>5239.0</v>
      </c>
      <c r="E1401" s="3" t="s">
        <v>882</v>
      </c>
      <c r="F1401" s="5">
        <v>46183.65625</v>
      </c>
      <c r="G1401" s="5">
        <v>46182.72127314815</v>
      </c>
      <c r="H1401" s="3" t="s">
        <v>14</v>
      </c>
      <c r="I1401" s="7">
        <v>0.0</v>
      </c>
      <c r="J1401" s="3" t="s">
        <v>15</v>
      </c>
    </row>
    <row r="1402">
      <c r="C1402" s="3" t="s">
        <v>10</v>
      </c>
      <c r="D1402" s="3">
        <v>5240.0</v>
      </c>
      <c r="E1402" s="3" t="s">
        <v>74</v>
      </c>
      <c r="F1402" s="5">
        <v>46182.489583333336</v>
      </c>
      <c r="G1402" s="5">
        <v>46182.45239583333</v>
      </c>
      <c r="H1402" s="3" t="s">
        <v>14</v>
      </c>
      <c r="I1402" s="3">
        <v>0.0</v>
      </c>
      <c r="J1402" s="3" t="s">
        <v>15</v>
      </c>
    </row>
    <row r="1403">
      <c r="C1403" s="3" t="s">
        <v>17</v>
      </c>
      <c r="D1403" s="3">
        <v>5240.0</v>
      </c>
      <c r="E1403" s="3" t="s">
        <v>74</v>
      </c>
      <c r="F1403" s="5">
        <v>46182.49652777778</v>
      </c>
      <c r="G1403" s="5">
        <v>46182.45255787037</v>
      </c>
      <c r="H1403" s="3" t="s">
        <v>14</v>
      </c>
      <c r="I1403" s="7">
        <v>0.0</v>
      </c>
      <c r="J1403" s="3" t="s">
        <v>15</v>
      </c>
    </row>
    <row r="1404">
      <c r="C1404" s="3" t="s">
        <v>21</v>
      </c>
      <c r="D1404" s="3">
        <v>5240.0</v>
      </c>
      <c r="E1404" s="3" t="s">
        <v>74</v>
      </c>
      <c r="F1404" s="5">
        <v>46182.600694444445</v>
      </c>
      <c r="G1404" s="5">
        <v>46182.45259259259</v>
      </c>
      <c r="H1404" s="3" t="s">
        <v>14</v>
      </c>
      <c r="I1404" s="7">
        <v>0.0</v>
      </c>
      <c r="J1404" s="3" t="s">
        <v>15</v>
      </c>
    </row>
    <row r="1405">
      <c r="C1405" s="3" t="s">
        <v>24</v>
      </c>
      <c r="D1405" s="3">
        <v>5240.0</v>
      </c>
      <c r="E1405" s="3" t="s">
        <v>74</v>
      </c>
      <c r="F1405" s="5">
        <v>46183.600694444445</v>
      </c>
      <c r="G1405" s="5">
        <v>46182.45271990741</v>
      </c>
      <c r="H1405" s="3" t="s">
        <v>14</v>
      </c>
      <c r="I1405" s="7">
        <v>0.0</v>
      </c>
      <c r="J1405" s="3" t="s">
        <v>15</v>
      </c>
    </row>
    <row r="1406">
      <c r="C1406" s="3" t="s">
        <v>26</v>
      </c>
      <c r="D1406" s="3">
        <v>5240.0</v>
      </c>
      <c r="E1406" s="3" t="s">
        <v>74</v>
      </c>
      <c r="F1406" s="5">
        <v>46183.64236111111</v>
      </c>
      <c r="G1406" s="5">
        <v>46182.468460648146</v>
      </c>
      <c r="H1406" s="3" t="s">
        <v>14</v>
      </c>
      <c r="I1406" s="7">
        <v>0.0</v>
      </c>
      <c r="J1406" s="3" t="s">
        <v>15</v>
      </c>
    </row>
    <row r="1407">
      <c r="C1407" s="3" t="s">
        <v>10</v>
      </c>
      <c r="D1407" s="3">
        <v>5241.0</v>
      </c>
      <c r="E1407" s="3" t="s">
        <v>1199</v>
      </c>
      <c r="F1407" s="5">
        <v>46182.79560185185</v>
      </c>
      <c r="G1407" s="5">
        <v>46182.71803240741</v>
      </c>
      <c r="H1407" s="3" t="s">
        <v>14</v>
      </c>
      <c r="I1407" s="3">
        <v>0.0</v>
      </c>
      <c r="J1407" s="3" t="s">
        <v>61</v>
      </c>
    </row>
    <row r="1408">
      <c r="C1408" s="3" t="s">
        <v>17</v>
      </c>
      <c r="D1408" s="3">
        <v>5241.0</v>
      </c>
      <c r="E1408" s="3" t="s">
        <v>1199</v>
      </c>
      <c r="F1408" s="5">
        <v>46182.8025462963</v>
      </c>
      <c r="G1408" s="5">
        <v>46182.71818287037</v>
      </c>
      <c r="H1408" s="3" t="s">
        <v>14</v>
      </c>
      <c r="I1408" s="7">
        <v>0.0</v>
      </c>
      <c r="J1408" s="3" t="s">
        <v>61</v>
      </c>
    </row>
    <row r="1409">
      <c r="C1409" s="3" t="s">
        <v>21</v>
      </c>
      <c r="D1409" s="3">
        <v>5241.0</v>
      </c>
      <c r="E1409" s="3" t="s">
        <v>1199</v>
      </c>
      <c r="F1409" s="5">
        <v>46183.46875</v>
      </c>
      <c r="G1409" s="5">
        <v>46182.718252314815</v>
      </c>
      <c r="H1409" s="3" t="s">
        <v>14</v>
      </c>
      <c r="I1409" s="7">
        <v>0.0</v>
      </c>
      <c r="J1409" s="3" t="s">
        <v>61</v>
      </c>
    </row>
    <row r="1410">
      <c r="C1410" s="3" t="s">
        <v>24</v>
      </c>
      <c r="D1410" s="3">
        <v>5241.0</v>
      </c>
      <c r="E1410" s="3" t="s">
        <v>1199</v>
      </c>
      <c r="F1410" s="5">
        <v>46184.46875</v>
      </c>
      <c r="G1410" s="5">
        <v>46183.800520833334</v>
      </c>
      <c r="H1410" s="3" t="s">
        <v>14</v>
      </c>
      <c r="I1410" s="7">
        <v>0.0</v>
      </c>
      <c r="J1410" s="3" t="s">
        <v>61</v>
      </c>
    </row>
    <row r="1411">
      <c r="C1411" s="3" t="s">
        <v>26</v>
      </c>
      <c r="D1411" s="3">
        <v>5241.0</v>
      </c>
      <c r="E1411" s="3" t="s">
        <v>1199</v>
      </c>
      <c r="F1411" s="5">
        <v>46184.510416666664</v>
      </c>
      <c r="G1411" s="5">
        <v>46184.46471064815</v>
      </c>
      <c r="H1411" s="3" t="s">
        <v>14</v>
      </c>
      <c r="I1411" s="7">
        <v>0.0</v>
      </c>
      <c r="J1411" s="3" t="s">
        <v>61</v>
      </c>
    </row>
    <row r="1412">
      <c r="C1412" s="3" t="s">
        <v>10</v>
      </c>
      <c r="D1412" s="3">
        <v>5242.0</v>
      </c>
      <c r="E1412" s="3" t="s">
        <v>1205</v>
      </c>
      <c r="F1412" s="5">
        <v>46183.42152777778</v>
      </c>
      <c r="G1412" s="5">
        <v>46182.71811342592</v>
      </c>
      <c r="H1412" s="3" t="s">
        <v>14</v>
      </c>
      <c r="I1412" s="3">
        <v>0.0</v>
      </c>
      <c r="J1412" s="3" t="s">
        <v>61</v>
      </c>
    </row>
    <row r="1413">
      <c r="C1413" s="3" t="s">
        <v>17</v>
      </c>
      <c r="D1413" s="3">
        <v>5242.0</v>
      </c>
      <c r="E1413" s="3" t="s">
        <v>1205</v>
      </c>
      <c r="F1413" s="5">
        <v>46183.42847222222</v>
      </c>
      <c r="G1413" s="5">
        <v>46182.718206018515</v>
      </c>
      <c r="H1413" s="3" t="s">
        <v>14</v>
      </c>
      <c r="I1413" s="7">
        <v>0.0</v>
      </c>
      <c r="J1413" s="3" t="s">
        <v>61</v>
      </c>
    </row>
    <row r="1414">
      <c r="C1414" s="3" t="s">
        <v>21</v>
      </c>
      <c r="D1414" s="3">
        <v>5242.0</v>
      </c>
      <c r="E1414" s="3" t="s">
        <v>1205</v>
      </c>
      <c r="F1414" s="5">
        <v>46183.532638888886</v>
      </c>
      <c r="G1414" s="5">
        <v>46182.71827546296</v>
      </c>
      <c r="H1414" s="3" t="s">
        <v>14</v>
      </c>
      <c r="I1414" s="7">
        <v>0.0</v>
      </c>
      <c r="J1414" s="3" t="s">
        <v>61</v>
      </c>
    </row>
    <row r="1415">
      <c r="C1415" s="3" t="s">
        <v>24</v>
      </c>
      <c r="D1415" s="3">
        <v>5242.0</v>
      </c>
      <c r="E1415" s="3" t="s">
        <v>1205</v>
      </c>
      <c r="F1415" s="5">
        <v>46184.532638888886</v>
      </c>
      <c r="G1415" s="5">
        <v>46182.74150462963</v>
      </c>
      <c r="H1415" s="3" t="s">
        <v>14</v>
      </c>
      <c r="I1415" s="7">
        <v>0.0</v>
      </c>
      <c r="J1415" s="3" t="s">
        <v>61</v>
      </c>
    </row>
    <row r="1416">
      <c r="C1416" s="3" t="s">
        <v>26</v>
      </c>
      <c r="D1416" s="3">
        <v>5242.0</v>
      </c>
      <c r="E1416" s="3" t="s">
        <v>1205</v>
      </c>
      <c r="F1416" s="5">
        <v>46184.57430555556</v>
      </c>
      <c r="G1416" s="5">
        <v>46182.74149305555</v>
      </c>
      <c r="H1416" s="3" t="s">
        <v>14</v>
      </c>
      <c r="I1416" s="7">
        <v>0.0</v>
      </c>
      <c r="J1416" s="3" t="s">
        <v>61</v>
      </c>
    </row>
    <row r="1417">
      <c r="C1417" s="3" t="s">
        <v>10</v>
      </c>
      <c r="D1417" s="3">
        <v>5243.0</v>
      </c>
      <c r="E1417" s="3" t="s">
        <v>1210</v>
      </c>
      <c r="F1417" s="5">
        <v>46183.61766203704</v>
      </c>
      <c r="G1417" s="5">
        <v>46183.46534722222</v>
      </c>
      <c r="H1417" s="3" t="s">
        <v>14</v>
      </c>
      <c r="I1417" s="3">
        <v>0.0</v>
      </c>
      <c r="J1417" s="3" t="s">
        <v>61</v>
      </c>
    </row>
    <row r="1418">
      <c r="C1418" s="3" t="s">
        <v>17</v>
      </c>
      <c r="D1418" s="3">
        <v>5243.0</v>
      </c>
      <c r="E1418" s="3" t="s">
        <v>1210</v>
      </c>
      <c r="F1418" s="5">
        <v>46183.624606481484</v>
      </c>
      <c r="G1418" s="5">
        <v>46183.46538194444</v>
      </c>
      <c r="H1418" s="3" t="s">
        <v>14</v>
      </c>
      <c r="I1418" s="7">
        <v>0.0</v>
      </c>
      <c r="J1418" s="3" t="s">
        <v>61</v>
      </c>
    </row>
    <row r="1419">
      <c r="C1419" s="3" t="s">
        <v>21</v>
      </c>
      <c r="D1419" s="3">
        <v>5243.0</v>
      </c>
      <c r="E1419" s="3" t="s">
        <v>1210</v>
      </c>
      <c r="F1419" s="5">
        <v>46183.72877314815</v>
      </c>
      <c r="G1419" s="5">
        <v>46183.46542824074</v>
      </c>
      <c r="H1419" s="3" t="s">
        <v>14</v>
      </c>
      <c r="I1419" s="7">
        <v>0.0</v>
      </c>
      <c r="J1419" s="3" t="s">
        <v>61</v>
      </c>
    </row>
    <row r="1420">
      <c r="C1420" s="3" t="s">
        <v>24</v>
      </c>
      <c r="D1420" s="3">
        <v>5243.0</v>
      </c>
      <c r="E1420" s="3" t="s">
        <v>1210</v>
      </c>
      <c r="F1420" s="5">
        <v>46184.728472222225</v>
      </c>
      <c r="G1420" s="5">
        <v>46183.46549768518</v>
      </c>
      <c r="H1420" s="3" t="s">
        <v>14</v>
      </c>
      <c r="I1420" s="7">
        <v>0.0</v>
      </c>
      <c r="J1420" s="3" t="s">
        <v>61</v>
      </c>
    </row>
    <row r="1421">
      <c r="C1421" s="3" t="s">
        <v>26</v>
      </c>
      <c r="D1421" s="3">
        <v>5243.0</v>
      </c>
      <c r="E1421" s="3" t="s">
        <v>1210</v>
      </c>
      <c r="F1421" s="5">
        <v>46184.77013888889</v>
      </c>
      <c r="G1421" s="5">
        <v>46183.465532407405</v>
      </c>
      <c r="H1421" s="3" t="s">
        <v>14</v>
      </c>
      <c r="I1421" s="7">
        <v>0.0</v>
      </c>
      <c r="J1421" s="3" t="s">
        <v>61</v>
      </c>
    </row>
    <row r="1422">
      <c r="C1422" s="3" t="s">
        <v>10</v>
      </c>
      <c r="D1422" s="3">
        <v>5244.0</v>
      </c>
      <c r="E1422" s="3" t="s">
        <v>1215</v>
      </c>
      <c r="F1422" s="5">
        <v>46183.67327546296</v>
      </c>
      <c r="G1422" s="5">
        <v>46183.56471064815</v>
      </c>
      <c r="H1422" s="3" t="s">
        <v>14</v>
      </c>
      <c r="I1422" s="3">
        <v>0.0</v>
      </c>
      <c r="J1422" s="3" t="s">
        <v>15</v>
      </c>
    </row>
    <row r="1423">
      <c r="C1423" s="3" t="s">
        <v>17</v>
      </c>
      <c r="D1423" s="3">
        <v>5244.0</v>
      </c>
      <c r="E1423" s="3" t="s">
        <v>1215</v>
      </c>
      <c r="F1423" s="5">
        <v>46183.68021990741</v>
      </c>
      <c r="G1423" s="5">
        <v>46183.56496527778</v>
      </c>
      <c r="H1423" s="3" t="s">
        <v>14</v>
      </c>
      <c r="I1423" s="7">
        <v>0.0</v>
      </c>
      <c r="J1423" s="3" t="s">
        <v>15</v>
      </c>
    </row>
    <row r="1424">
      <c r="C1424" s="3" t="s">
        <v>21</v>
      </c>
      <c r="D1424" s="3">
        <v>5244.0</v>
      </c>
      <c r="E1424" s="3" t="s">
        <v>1215</v>
      </c>
      <c r="F1424" s="5">
        <v>46183.78438657407</v>
      </c>
      <c r="G1424" s="5">
        <v>46184.50612268518</v>
      </c>
      <c r="H1424" s="3" t="s">
        <v>14</v>
      </c>
      <c r="I1424" s="7">
        <v>0.7217361111111111</v>
      </c>
      <c r="J1424" s="3" t="s">
        <v>15</v>
      </c>
    </row>
    <row r="1425">
      <c r="C1425" s="3" t="s">
        <v>24</v>
      </c>
      <c r="D1425" s="3">
        <v>5244.0</v>
      </c>
      <c r="E1425" s="3" t="s">
        <v>1215</v>
      </c>
      <c r="F1425" s="5">
        <v>46184.78402777778</v>
      </c>
      <c r="G1425" s="5">
        <v>46184.506157407406</v>
      </c>
      <c r="H1425" s="3" t="s">
        <v>14</v>
      </c>
      <c r="I1425" s="7">
        <v>0.0</v>
      </c>
      <c r="J1425" s="3" t="s">
        <v>15</v>
      </c>
    </row>
    <row r="1426">
      <c r="C1426" s="3" t="s">
        <v>26</v>
      </c>
      <c r="D1426" s="3">
        <v>5244.0</v>
      </c>
      <c r="E1426" s="3" t="s">
        <v>1215</v>
      </c>
      <c r="F1426" s="5">
        <v>46184.825694444444</v>
      </c>
      <c r="G1426" s="5">
        <v>46184.50628472222</v>
      </c>
      <c r="H1426" s="3" t="s">
        <v>14</v>
      </c>
      <c r="I1426" s="7">
        <v>0.0</v>
      </c>
      <c r="J1426" s="3" t="s">
        <v>15</v>
      </c>
    </row>
    <row r="1427">
      <c r="C1427" s="3" t="s">
        <v>10</v>
      </c>
      <c r="D1427" s="3">
        <v>5245.0</v>
      </c>
      <c r="E1427" s="3" t="s">
        <v>1220</v>
      </c>
      <c r="F1427" s="5">
        <v>46183.6743287037</v>
      </c>
      <c r="G1427" s="5">
        <v>46183.564722222225</v>
      </c>
      <c r="H1427" s="3" t="s">
        <v>14</v>
      </c>
      <c r="I1427" s="3">
        <v>0.0</v>
      </c>
      <c r="J1427" s="3" t="s">
        <v>15</v>
      </c>
    </row>
    <row r="1428">
      <c r="C1428" s="3" t="s">
        <v>17</v>
      </c>
      <c r="D1428" s="3">
        <v>5245.0</v>
      </c>
      <c r="E1428" s="3" t="s">
        <v>1220</v>
      </c>
      <c r="F1428" s="5">
        <v>46183.68127314815</v>
      </c>
      <c r="G1428" s="5">
        <v>46183.564988425926</v>
      </c>
      <c r="H1428" s="3" t="s">
        <v>14</v>
      </c>
      <c r="I1428" s="7">
        <v>0.0</v>
      </c>
      <c r="J1428" s="3" t="s">
        <v>15</v>
      </c>
    </row>
    <row r="1429">
      <c r="C1429" s="3" t="s">
        <v>21</v>
      </c>
      <c r="D1429" s="3">
        <v>5245.0</v>
      </c>
      <c r="E1429" s="3" t="s">
        <v>1220</v>
      </c>
      <c r="F1429" s="5">
        <v>46183.78543981481</v>
      </c>
      <c r="G1429" s="5">
        <v>46183.761099537034</v>
      </c>
      <c r="H1429" s="3" t="s">
        <v>14</v>
      </c>
      <c r="I1429" s="7">
        <v>0.0</v>
      </c>
      <c r="J1429" s="3" t="s">
        <v>15</v>
      </c>
    </row>
    <row r="1430">
      <c r="C1430" s="3" t="s">
        <v>24</v>
      </c>
      <c r="D1430" s="3">
        <v>5245.0</v>
      </c>
      <c r="E1430" s="3" t="s">
        <v>1220</v>
      </c>
      <c r="F1430" s="5">
        <v>46184.785416666666</v>
      </c>
      <c r="G1430" s="5">
        <v>46183.76112268519</v>
      </c>
      <c r="H1430" s="3" t="s">
        <v>14</v>
      </c>
      <c r="I1430" s="7">
        <v>0.0</v>
      </c>
      <c r="J1430" s="3" t="s">
        <v>15</v>
      </c>
    </row>
    <row r="1431">
      <c r="C1431" s="3" t="s">
        <v>26</v>
      </c>
      <c r="D1431" s="3">
        <v>5245.0</v>
      </c>
      <c r="E1431" s="3" t="s">
        <v>1220</v>
      </c>
      <c r="F1431" s="5">
        <v>46184.82708333333</v>
      </c>
      <c r="G1431" s="5">
        <v>46183.76115740741</v>
      </c>
      <c r="H1431" s="3" t="s">
        <v>14</v>
      </c>
      <c r="I1431" s="7">
        <v>0.0</v>
      </c>
      <c r="J1431" s="3" t="s">
        <v>15</v>
      </c>
    </row>
    <row r="1432">
      <c r="C1432" s="3" t="s">
        <v>10</v>
      </c>
      <c r="D1432" s="3">
        <v>5246.0</v>
      </c>
      <c r="E1432" s="3" t="s">
        <v>694</v>
      </c>
      <c r="F1432" s="5">
        <v>46183.68628472222</v>
      </c>
      <c r="G1432" s="5">
        <v>46183.56475694444</v>
      </c>
      <c r="H1432" s="3" t="s">
        <v>14</v>
      </c>
      <c r="I1432" s="3">
        <v>0.0</v>
      </c>
      <c r="J1432" s="3" t="s">
        <v>15</v>
      </c>
    </row>
    <row r="1433">
      <c r="C1433" s="3" t="s">
        <v>17</v>
      </c>
      <c r="D1433" s="3">
        <v>5246.0</v>
      </c>
      <c r="E1433" s="3" t="s">
        <v>694</v>
      </c>
      <c r="F1433" s="5">
        <v>46183.69322916667</v>
      </c>
      <c r="G1433" s="5">
        <v>46183.56501157407</v>
      </c>
      <c r="H1433" s="3" t="s">
        <v>14</v>
      </c>
      <c r="I1433" s="7">
        <v>0.0</v>
      </c>
      <c r="J1433" s="3" t="s">
        <v>15</v>
      </c>
    </row>
    <row r="1434">
      <c r="C1434" s="3" t="s">
        <v>21</v>
      </c>
      <c r="D1434" s="3">
        <v>5246.0</v>
      </c>
      <c r="E1434" s="3" t="s">
        <v>694</v>
      </c>
      <c r="F1434" s="5">
        <v>46183.79739583333</v>
      </c>
      <c r="G1434" s="5">
        <v>46183.797847222224</v>
      </c>
      <c r="H1434" s="3" t="s">
        <v>14</v>
      </c>
      <c r="I1434" s="7">
        <v>4.5138888888888887E-4</v>
      </c>
      <c r="J1434" s="3" t="s">
        <v>15</v>
      </c>
    </row>
    <row r="1435">
      <c r="C1435" s="3" t="s">
        <v>24</v>
      </c>
      <c r="D1435" s="3">
        <v>5246.0</v>
      </c>
      <c r="E1435" s="3" t="s">
        <v>694</v>
      </c>
      <c r="F1435" s="5">
        <v>46184.79722222222</v>
      </c>
      <c r="G1435" s="5">
        <v>46183.79787037037</v>
      </c>
      <c r="H1435" s="3" t="s">
        <v>14</v>
      </c>
      <c r="I1435" s="7">
        <v>0.0</v>
      </c>
      <c r="J1435" s="3" t="s">
        <v>15</v>
      </c>
    </row>
    <row r="1436">
      <c r="C1436" s="3" t="s">
        <v>26</v>
      </c>
      <c r="D1436" s="3">
        <v>5246.0</v>
      </c>
      <c r="E1436" s="3" t="s">
        <v>694</v>
      </c>
      <c r="F1436" s="5">
        <v>46185.42222222222</v>
      </c>
      <c r="G1436" s="5">
        <v>46183.79790509259</v>
      </c>
      <c r="H1436" s="3" t="s">
        <v>14</v>
      </c>
      <c r="I1436" s="7">
        <v>0.0</v>
      </c>
      <c r="J1436" s="3" t="s">
        <v>15</v>
      </c>
    </row>
    <row r="1437">
      <c r="C1437" s="3" t="s">
        <v>10</v>
      </c>
      <c r="D1437" s="3">
        <v>5247.0</v>
      </c>
      <c r="E1437" s="3" t="s">
        <v>318</v>
      </c>
      <c r="F1437" s="5">
        <v>46183.73354166667</v>
      </c>
      <c r="G1437" s="5">
        <v>46183.76053240741</v>
      </c>
      <c r="H1437" s="3" t="s">
        <v>14</v>
      </c>
      <c r="I1437" s="3">
        <v>0.03</v>
      </c>
      <c r="J1437" s="3" t="s">
        <v>15</v>
      </c>
    </row>
    <row r="1438">
      <c r="C1438" s="3" t="s">
        <v>17</v>
      </c>
      <c r="D1438" s="3">
        <v>5247.0</v>
      </c>
      <c r="E1438" s="3" t="s">
        <v>318</v>
      </c>
      <c r="F1438" s="5">
        <v>46183.74048611111</v>
      </c>
      <c r="G1438" s="5">
        <v>46183.760671296295</v>
      </c>
      <c r="H1438" s="3" t="s">
        <v>14</v>
      </c>
      <c r="I1438" s="7">
        <v>0.02017361111111111</v>
      </c>
      <c r="J1438" s="3" t="s">
        <v>15</v>
      </c>
    </row>
    <row r="1439">
      <c r="C1439" s="3" t="s">
        <v>21</v>
      </c>
      <c r="D1439" s="3">
        <v>5247.0</v>
      </c>
      <c r="E1439" s="3" t="s">
        <v>318</v>
      </c>
      <c r="F1439" s="5">
        <v>46184.44861111111</v>
      </c>
      <c r="G1439" s="5">
        <v>46183.797951388886</v>
      </c>
      <c r="H1439" s="3" t="s">
        <v>14</v>
      </c>
      <c r="I1439" s="7">
        <v>0.0</v>
      </c>
      <c r="J1439" s="3" t="s">
        <v>15</v>
      </c>
    </row>
    <row r="1440">
      <c r="C1440" s="3" t="s">
        <v>24</v>
      </c>
      <c r="D1440" s="3">
        <v>5247.0</v>
      </c>
      <c r="E1440" s="3" t="s">
        <v>318</v>
      </c>
      <c r="F1440" s="5">
        <v>46185.44861111111</v>
      </c>
      <c r="G1440" s="5">
        <v>46183.79800925926</v>
      </c>
      <c r="H1440" s="3" t="s">
        <v>14</v>
      </c>
      <c r="I1440" s="7">
        <v>0.0</v>
      </c>
      <c r="J1440" s="3" t="s">
        <v>15</v>
      </c>
    </row>
    <row r="1441">
      <c r="C1441" s="3" t="s">
        <v>26</v>
      </c>
      <c r="D1441" s="3">
        <v>5247.0</v>
      </c>
      <c r="E1441" s="3" t="s">
        <v>318</v>
      </c>
      <c r="F1441" s="5">
        <v>46185.490277777775</v>
      </c>
      <c r="G1441" s="5">
        <v>46185.487650462965</v>
      </c>
      <c r="H1441" s="3" t="s">
        <v>14</v>
      </c>
      <c r="I1441" s="7">
        <v>0.0</v>
      </c>
      <c r="J1441" s="3" t="s">
        <v>15</v>
      </c>
    </row>
    <row r="1442">
      <c r="C1442" s="3" t="s">
        <v>10</v>
      </c>
      <c r="D1442" s="3">
        <v>5248.0</v>
      </c>
      <c r="E1442" s="3" t="s">
        <v>125</v>
      </c>
      <c r="F1442" s="5">
        <v>46183.770324074074</v>
      </c>
      <c r="G1442" s="5">
        <v>46183.760567129626</v>
      </c>
      <c r="H1442" s="3" t="s">
        <v>14</v>
      </c>
      <c r="I1442" s="3">
        <v>0.0</v>
      </c>
      <c r="J1442" s="3" t="s">
        <v>72</v>
      </c>
    </row>
    <row r="1443">
      <c r="C1443" s="3" t="s">
        <v>17</v>
      </c>
      <c r="D1443" s="3">
        <v>5248.0</v>
      </c>
      <c r="E1443" s="3" t="s">
        <v>125</v>
      </c>
      <c r="F1443" s="5">
        <v>46183.77726851852</v>
      </c>
      <c r="G1443" s="5">
        <v>46183.76068287037</v>
      </c>
      <c r="H1443" s="3" t="s">
        <v>14</v>
      </c>
      <c r="I1443" s="7">
        <v>0.0</v>
      </c>
      <c r="J1443" s="3" t="s">
        <v>72</v>
      </c>
    </row>
    <row r="1444">
      <c r="C1444" s="3" t="s">
        <v>21</v>
      </c>
      <c r="D1444" s="3">
        <v>5248.0</v>
      </c>
      <c r="E1444" s="3" t="s">
        <v>125</v>
      </c>
      <c r="F1444" s="5">
        <v>46184.48541666667</v>
      </c>
      <c r="G1444" s="5">
        <v>46183.79797453704</v>
      </c>
      <c r="H1444" s="3" t="s">
        <v>14</v>
      </c>
      <c r="I1444" s="7">
        <v>0.0</v>
      </c>
      <c r="J1444" s="3" t="s">
        <v>72</v>
      </c>
    </row>
    <row r="1445">
      <c r="C1445" s="3" t="s">
        <v>24</v>
      </c>
      <c r="D1445" s="3">
        <v>5248.0</v>
      </c>
      <c r="E1445" s="3" t="s">
        <v>125</v>
      </c>
      <c r="F1445" s="5">
        <v>46185.48541666667</v>
      </c>
      <c r="G1445" s="5">
        <v>46183.79802083333</v>
      </c>
      <c r="H1445" s="3" t="s">
        <v>14</v>
      </c>
      <c r="I1445" s="7">
        <v>0.0</v>
      </c>
      <c r="J1445" s="3" t="s">
        <v>72</v>
      </c>
    </row>
    <row r="1446">
      <c r="C1446" s="3" t="s">
        <v>26</v>
      </c>
      <c r="D1446" s="3">
        <v>5248.0</v>
      </c>
      <c r="E1446" s="3" t="s">
        <v>125</v>
      </c>
      <c r="F1446" s="5">
        <v>46185.527083333334</v>
      </c>
      <c r="G1446" s="5">
        <v>46185.48758101852</v>
      </c>
      <c r="H1446" s="3" t="s">
        <v>14</v>
      </c>
      <c r="I1446" s="7">
        <v>0.0</v>
      </c>
      <c r="J1446" s="3" t="s">
        <v>72</v>
      </c>
    </row>
    <row r="1447">
      <c r="C1447" s="3" t="s">
        <v>10</v>
      </c>
      <c r="D1447" s="3">
        <v>5249.0</v>
      </c>
      <c r="E1447" s="3" t="s">
        <v>1237</v>
      </c>
      <c r="F1447" s="5">
        <v>46185.79201388889</v>
      </c>
      <c r="G1447" s="5">
        <v>46185.722233796296</v>
      </c>
      <c r="H1447" s="3" t="s">
        <v>14</v>
      </c>
      <c r="I1447" s="3">
        <v>0.0</v>
      </c>
      <c r="J1447" s="3" t="s">
        <v>15</v>
      </c>
    </row>
    <row r="1448">
      <c r="C1448" s="3" t="s">
        <v>17</v>
      </c>
      <c r="D1448" s="3">
        <v>5249.0</v>
      </c>
      <c r="E1448" s="3" t="s">
        <v>1237</v>
      </c>
      <c r="F1448" s="5">
        <v>46185.79895833333</v>
      </c>
      <c r="G1448" s="5">
        <v>46185.722349537034</v>
      </c>
      <c r="H1448" s="3" t="s">
        <v>14</v>
      </c>
      <c r="I1448" s="7">
        <v>0.0</v>
      </c>
      <c r="J1448" s="3" t="s">
        <v>15</v>
      </c>
    </row>
    <row r="1449">
      <c r="C1449" s="3" t="s">
        <v>21</v>
      </c>
      <c r="D1449" s="3">
        <v>5249.0</v>
      </c>
      <c r="E1449" s="3" t="s">
        <v>1237</v>
      </c>
      <c r="F1449" s="5">
        <v>46186.46527777778</v>
      </c>
      <c r="G1449" s="5">
        <v>46185.722395833334</v>
      </c>
      <c r="H1449" s="3" t="s">
        <v>14</v>
      </c>
      <c r="I1449" s="7">
        <v>0.0</v>
      </c>
      <c r="J1449" s="3" t="s">
        <v>15</v>
      </c>
    </row>
    <row r="1450">
      <c r="C1450" s="3" t="s">
        <v>24</v>
      </c>
      <c r="D1450" s="3">
        <v>5249.0</v>
      </c>
      <c r="E1450" s="3" t="s">
        <v>1237</v>
      </c>
      <c r="F1450" s="5">
        <v>46188.46527777778</v>
      </c>
      <c r="G1450" s="5">
        <v>46187.7840162037</v>
      </c>
      <c r="H1450" s="3" t="s">
        <v>14</v>
      </c>
      <c r="I1450" s="7">
        <v>0.0</v>
      </c>
      <c r="J1450" s="3" t="s">
        <v>15</v>
      </c>
    </row>
    <row r="1451">
      <c r="C1451" s="3" t="s">
        <v>26</v>
      </c>
      <c r="D1451" s="3">
        <v>5249.0</v>
      </c>
      <c r="E1451" s="3" t="s">
        <v>1237</v>
      </c>
      <c r="F1451" s="5">
        <v>46188.506944444445</v>
      </c>
      <c r="G1451" s="5">
        <v>46188.34738425926</v>
      </c>
      <c r="H1451" s="3" t="s">
        <v>14</v>
      </c>
      <c r="I1451" s="7">
        <v>0.0</v>
      </c>
      <c r="J1451" s="3" t="s">
        <v>15</v>
      </c>
    </row>
    <row r="1452">
      <c r="C1452" s="3" t="s">
        <v>10</v>
      </c>
      <c r="D1452" s="3">
        <v>5250.0</v>
      </c>
      <c r="E1452" s="3" t="s">
        <v>1240</v>
      </c>
      <c r="F1452" s="5">
        <v>46185.79280092593</v>
      </c>
      <c r="G1452" s="5">
        <v>46185.75891203704</v>
      </c>
      <c r="H1452" s="3" t="s">
        <v>14</v>
      </c>
      <c r="I1452" s="3">
        <v>0.0</v>
      </c>
      <c r="J1452" s="3" t="s">
        <v>15</v>
      </c>
    </row>
    <row r="1453">
      <c r="C1453" s="3" t="s">
        <v>17</v>
      </c>
      <c r="D1453" s="3">
        <v>5250.0</v>
      </c>
      <c r="E1453" s="3" t="s">
        <v>1240</v>
      </c>
      <c r="F1453" s="5">
        <v>46185.79974537037</v>
      </c>
      <c r="G1453" s="5">
        <v>46185.759409722225</v>
      </c>
      <c r="H1453" s="3" t="s">
        <v>14</v>
      </c>
      <c r="I1453" s="7">
        <v>0.0</v>
      </c>
      <c r="J1453" s="3" t="s">
        <v>15</v>
      </c>
    </row>
    <row r="1454">
      <c r="C1454" s="3" t="s">
        <v>21</v>
      </c>
      <c r="D1454" s="3">
        <v>5250.0</v>
      </c>
      <c r="E1454" s="3" t="s">
        <v>1240</v>
      </c>
      <c r="F1454" s="5">
        <v>46186.46597222222</v>
      </c>
      <c r="G1454" s="5">
        <v>46185.842673611114</v>
      </c>
      <c r="H1454" s="3" t="s">
        <v>14</v>
      </c>
      <c r="I1454" s="7">
        <v>0.0</v>
      </c>
      <c r="J1454" s="3" t="s">
        <v>15</v>
      </c>
    </row>
    <row r="1455">
      <c r="C1455" s="3" t="s">
        <v>24</v>
      </c>
      <c r="D1455" s="3">
        <v>5250.0</v>
      </c>
      <c r="E1455" s="3" t="s">
        <v>1240</v>
      </c>
      <c r="F1455" s="5">
        <v>46188.46597222222</v>
      </c>
      <c r="G1455" s="5">
        <v>46187.78402777778</v>
      </c>
      <c r="H1455" s="3" t="s">
        <v>14</v>
      </c>
      <c r="I1455" s="7">
        <v>0.0</v>
      </c>
      <c r="J1455" s="3" t="s">
        <v>15</v>
      </c>
    </row>
    <row r="1456">
      <c r="C1456" s="3" t="s">
        <v>26</v>
      </c>
      <c r="D1456" s="3">
        <v>5250.0</v>
      </c>
      <c r="E1456" s="3" t="s">
        <v>1240</v>
      </c>
      <c r="F1456" s="5">
        <v>46188.50763888889</v>
      </c>
      <c r="G1456" s="5">
        <v>46188.50712962963</v>
      </c>
      <c r="H1456" s="3" t="s">
        <v>14</v>
      </c>
      <c r="I1456" s="7">
        <v>0.0</v>
      </c>
      <c r="J1456" s="3" t="s">
        <v>15</v>
      </c>
    </row>
    <row r="1457">
      <c r="C1457" s="3" t="s">
        <v>10</v>
      </c>
      <c r="D1457" s="3">
        <v>5251.0</v>
      </c>
      <c r="E1457" s="3" t="s">
        <v>1245</v>
      </c>
      <c r="F1457" s="5">
        <v>46186.455555555556</v>
      </c>
      <c r="G1457" s="5">
        <v>46185.72224537037</v>
      </c>
      <c r="H1457" s="3" t="s">
        <v>14</v>
      </c>
      <c r="I1457" s="3">
        <v>0.0</v>
      </c>
      <c r="J1457" s="3" t="s">
        <v>15</v>
      </c>
    </row>
    <row r="1458">
      <c r="C1458" s="3" t="s">
        <v>17</v>
      </c>
      <c r="D1458" s="3">
        <v>5251.0</v>
      </c>
      <c r="E1458" s="3" t="s">
        <v>1245</v>
      </c>
      <c r="F1458" s="5">
        <v>46186.4625</v>
      </c>
      <c r="G1458" s="5">
        <v>46185.72237268519</v>
      </c>
      <c r="H1458" s="3" t="s">
        <v>14</v>
      </c>
      <c r="I1458" s="7">
        <v>0.0</v>
      </c>
      <c r="J1458" s="3" t="s">
        <v>15</v>
      </c>
    </row>
    <row r="1459">
      <c r="C1459" s="3" t="s">
        <v>21</v>
      </c>
      <c r="D1459" s="3">
        <v>5251.0</v>
      </c>
      <c r="E1459" s="3" t="s">
        <v>1245</v>
      </c>
      <c r="F1459" s="5">
        <v>46186.566666666666</v>
      </c>
      <c r="G1459" s="5">
        <v>46185.722407407404</v>
      </c>
      <c r="H1459" s="3" t="s">
        <v>14</v>
      </c>
      <c r="I1459" s="7">
        <v>0.0</v>
      </c>
      <c r="J1459" s="3" t="s">
        <v>15</v>
      </c>
    </row>
    <row r="1460">
      <c r="C1460" s="3" t="s">
        <v>24</v>
      </c>
      <c r="D1460" s="3">
        <v>5251.0</v>
      </c>
      <c r="E1460" s="3" t="s">
        <v>1245</v>
      </c>
      <c r="F1460" s="5">
        <v>46188.566666666666</v>
      </c>
      <c r="G1460" s="5">
        <v>46188.51474537037</v>
      </c>
      <c r="H1460" s="3" t="s">
        <v>14</v>
      </c>
      <c r="I1460" s="7">
        <v>0.0</v>
      </c>
      <c r="J1460" s="3" t="s">
        <v>15</v>
      </c>
    </row>
    <row r="1461">
      <c r="C1461" s="3" t="s">
        <v>26</v>
      </c>
      <c r="D1461" s="3">
        <v>5251.0</v>
      </c>
      <c r="E1461" s="3" t="s">
        <v>1245</v>
      </c>
      <c r="F1461" s="5">
        <v>46188.60833333333</v>
      </c>
      <c r="G1461" s="5">
        <v>46188.59431712963</v>
      </c>
      <c r="H1461" s="3" t="s">
        <v>14</v>
      </c>
      <c r="I1461" s="7">
        <v>0.0</v>
      </c>
      <c r="J1461" s="3" t="s">
        <v>15</v>
      </c>
    </row>
    <row r="1462">
      <c r="C1462" s="3" t="s">
        <v>10</v>
      </c>
      <c r="D1462" s="3">
        <v>5252.0</v>
      </c>
      <c r="E1462" s="3" t="s">
        <v>1252</v>
      </c>
      <c r="F1462" s="5">
        <v>46186.66893518518</v>
      </c>
      <c r="G1462" s="5">
        <v>46186.51332175926</v>
      </c>
      <c r="H1462" s="3" t="s">
        <v>14</v>
      </c>
      <c r="I1462" s="3">
        <v>0.0</v>
      </c>
      <c r="J1462" s="3" t="s">
        <v>72</v>
      </c>
    </row>
    <row r="1463">
      <c r="C1463" s="3" t="s">
        <v>17</v>
      </c>
      <c r="D1463" s="3">
        <v>5252.0</v>
      </c>
      <c r="E1463" s="3" t="s">
        <v>1252</v>
      </c>
      <c r="F1463" s="5">
        <v>46186.67587962963</v>
      </c>
      <c r="G1463" s="5">
        <v>46186.513402777775</v>
      </c>
      <c r="H1463" s="3" t="s">
        <v>14</v>
      </c>
      <c r="I1463" s="7">
        <v>0.0</v>
      </c>
      <c r="J1463" s="3" t="s">
        <v>72</v>
      </c>
    </row>
    <row r="1464">
      <c r="C1464" s="3" t="s">
        <v>21</v>
      </c>
      <c r="D1464" s="3">
        <v>5252.0</v>
      </c>
      <c r="E1464" s="3" t="s">
        <v>1252</v>
      </c>
      <c r="F1464" s="5">
        <v>46186.7800462963</v>
      </c>
      <c r="G1464" s="5">
        <v>46186.51342592593</v>
      </c>
      <c r="H1464" s="3" t="s">
        <v>14</v>
      </c>
      <c r="I1464" s="7">
        <v>0.0</v>
      </c>
      <c r="J1464" s="3" t="s">
        <v>72</v>
      </c>
    </row>
    <row r="1465">
      <c r="C1465" s="3" t="s">
        <v>24</v>
      </c>
      <c r="D1465" s="3">
        <v>5252.0</v>
      </c>
      <c r="E1465" s="3" t="s">
        <v>1252</v>
      </c>
      <c r="F1465" s="5">
        <v>46188.779861111114</v>
      </c>
      <c r="G1465" s="5">
        <v>46188.51488425926</v>
      </c>
      <c r="H1465" s="3" t="s">
        <v>14</v>
      </c>
      <c r="I1465" s="7">
        <v>0.0</v>
      </c>
      <c r="J1465" s="3" t="s">
        <v>72</v>
      </c>
    </row>
    <row r="1466">
      <c r="C1466" s="3" t="s">
        <v>26</v>
      </c>
      <c r="D1466" s="3">
        <v>5252.0</v>
      </c>
      <c r="E1466" s="3" t="s">
        <v>1252</v>
      </c>
      <c r="F1466" s="5">
        <v>46188.82152777778</v>
      </c>
      <c r="G1466" s="5">
        <v>46188.514965277776</v>
      </c>
      <c r="H1466" s="3" t="s">
        <v>14</v>
      </c>
      <c r="I1466" s="7">
        <v>0.0</v>
      </c>
      <c r="J1466" s="3" t="s">
        <v>72</v>
      </c>
    </row>
    <row r="1467">
      <c r="C1467" s="3" t="s">
        <v>10</v>
      </c>
      <c r="D1467" s="3">
        <v>5253.0</v>
      </c>
      <c r="E1467" s="3" t="s">
        <v>727</v>
      </c>
      <c r="F1467" s="5">
        <v>46186.724270833336</v>
      </c>
      <c r="G1467" s="5">
        <v>46186.55878472222</v>
      </c>
      <c r="H1467" s="3" t="s">
        <v>14</v>
      </c>
      <c r="I1467" s="3">
        <v>0.0</v>
      </c>
      <c r="J1467" s="3" t="s">
        <v>48</v>
      </c>
    </row>
    <row r="1468">
      <c r="C1468" s="3" t="s">
        <v>17</v>
      </c>
      <c r="D1468" s="3">
        <v>5253.0</v>
      </c>
      <c r="E1468" s="3" t="s">
        <v>727</v>
      </c>
      <c r="F1468" s="5">
        <v>46186.73121527778</v>
      </c>
      <c r="G1468" s="5">
        <v>46186.60827546296</v>
      </c>
      <c r="H1468" s="3" t="s">
        <v>14</v>
      </c>
      <c r="I1468" s="7">
        <v>0.0</v>
      </c>
      <c r="J1468" s="3" t="s">
        <v>48</v>
      </c>
    </row>
    <row r="1469">
      <c r="C1469" s="3" t="s">
        <v>21</v>
      </c>
      <c r="D1469" s="3">
        <v>5253.0</v>
      </c>
      <c r="E1469" s="3" t="s">
        <v>727</v>
      </c>
      <c r="F1469" s="5">
        <v>46188.438888888886</v>
      </c>
      <c r="G1469" s="5">
        <v>46187.504895833335</v>
      </c>
      <c r="H1469" s="3" t="s">
        <v>14</v>
      </c>
      <c r="I1469" s="7">
        <v>0.0</v>
      </c>
      <c r="J1469" s="3" t="s">
        <v>48</v>
      </c>
    </row>
    <row r="1470">
      <c r="C1470" s="3" t="s">
        <v>24</v>
      </c>
      <c r="D1470" s="3">
        <v>5253.0</v>
      </c>
      <c r="E1470" s="3" t="s">
        <v>727</v>
      </c>
      <c r="F1470" s="5">
        <v>46189.438888888886</v>
      </c>
      <c r="G1470" s="5">
        <v>46188.515011574076</v>
      </c>
      <c r="H1470" s="3" t="s">
        <v>14</v>
      </c>
      <c r="I1470" s="7">
        <v>0.0</v>
      </c>
      <c r="J1470" s="3" t="s">
        <v>48</v>
      </c>
    </row>
    <row r="1471">
      <c r="C1471" s="3" t="s">
        <v>26</v>
      </c>
      <c r="D1471" s="3">
        <v>5253.0</v>
      </c>
      <c r="E1471" s="3" t="s">
        <v>727</v>
      </c>
      <c r="F1471" s="5">
        <v>46189.48055555556</v>
      </c>
      <c r="G1471" s="5">
        <v>46189.43304398148</v>
      </c>
      <c r="H1471" s="3" t="s">
        <v>14</v>
      </c>
      <c r="I1471" s="7">
        <v>0.0</v>
      </c>
      <c r="J1471" s="3" t="s">
        <v>48</v>
      </c>
    </row>
    <row r="1472">
      <c r="C1472" s="3" t="s">
        <v>10</v>
      </c>
      <c r="D1472" s="3">
        <v>5254.0</v>
      </c>
      <c r="E1472" s="3" t="s">
        <v>727</v>
      </c>
      <c r="F1472" s="5">
        <v>46186.72758101852</v>
      </c>
      <c r="G1472" s="5">
        <v>46186.60767361111</v>
      </c>
      <c r="H1472" s="3" t="s">
        <v>14</v>
      </c>
      <c r="I1472" s="3">
        <v>0.0</v>
      </c>
      <c r="J1472" s="3" t="s">
        <v>48</v>
      </c>
    </row>
    <row r="1473">
      <c r="C1473" s="3" t="s">
        <v>17</v>
      </c>
      <c r="D1473" s="3">
        <v>5254.0</v>
      </c>
      <c r="E1473" s="3" t="s">
        <v>727</v>
      </c>
      <c r="F1473" s="5">
        <v>46186.73452546296</v>
      </c>
      <c r="G1473" s="5">
        <v>46186.608298611114</v>
      </c>
      <c r="H1473" s="3" t="s">
        <v>14</v>
      </c>
      <c r="I1473" s="7">
        <v>0.0</v>
      </c>
      <c r="J1473" s="3" t="s">
        <v>48</v>
      </c>
    </row>
    <row r="1474">
      <c r="C1474" s="3" t="s">
        <v>21</v>
      </c>
      <c r="D1474" s="3">
        <v>5254.0</v>
      </c>
      <c r="E1474" s="3" t="s">
        <v>727</v>
      </c>
      <c r="F1474" s="5">
        <v>46188.44236111111</v>
      </c>
      <c r="G1474" s="5">
        <v>46187.50540509259</v>
      </c>
      <c r="H1474" s="3" t="s">
        <v>14</v>
      </c>
      <c r="I1474" s="7">
        <v>0.0</v>
      </c>
      <c r="J1474" s="3" t="s">
        <v>48</v>
      </c>
    </row>
    <row r="1475">
      <c r="C1475" s="3" t="s">
        <v>24</v>
      </c>
      <c r="D1475" s="3">
        <v>5254.0</v>
      </c>
      <c r="E1475" s="3" t="s">
        <v>727</v>
      </c>
      <c r="F1475" s="5">
        <v>46189.44236111111</v>
      </c>
      <c r="G1475" s="5">
        <v>46188.51503472222</v>
      </c>
      <c r="H1475" s="3" t="s">
        <v>14</v>
      </c>
      <c r="I1475" s="7">
        <v>0.0</v>
      </c>
      <c r="J1475" s="3" t="s">
        <v>48</v>
      </c>
    </row>
    <row r="1476">
      <c r="C1476" s="3" t="s">
        <v>26</v>
      </c>
      <c r="D1476" s="3">
        <v>5254.0</v>
      </c>
      <c r="E1476" s="3" t="s">
        <v>727</v>
      </c>
      <c r="F1476" s="5">
        <v>46189.48402777778</v>
      </c>
      <c r="G1476" s="5">
        <v>46189.43306712963</v>
      </c>
      <c r="H1476" s="3" t="s">
        <v>14</v>
      </c>
      <c r="I1476" s="7">
        <v>0.0</v>
      </c>
      <c r="J1476" s="3" t="s">
        <v>48</v>
      </c>
    </row>
    <row r="1477">
      <c r="C1477" s="3" t="s">
        <v>10</v>
      </c>
      <c r="D1477" s="3">
        <v>5255.0</v>
      </c>
      <c r="E1477" s="3" t="s">
        <v>727</v>
      </c>
      <c r="F1477" s="5">
        <v>46186.72988425926</v>
      </c>
      <c r="G1477" s="5">
        <v>46186.60770833334</v>
      </c>
      <c r="H1477" s="3" t="s">
        <v>14</v>
      </c>
      <c r="I1477" s="3">
        <v>0.0</v>
      </c>
      <c r="J1477" s="3" t="s">
        <v>72</v>
      </c>
    </row>
    <row r="1478">
      <c r="C1478" s="3" t="s">
        <v>17</v>
      </c>
      <c r="D1478" s="3">
        <v>5255.0</v>
      </c>
      <c r="E1478" s="3" t="s">
        <v>727</v>
      </c>
      <c r="F1478" s="5">
        <v>46186.7368287037</v>
      </c>
      <c r="G1478" s="5">
        <v>46186.608310185184</v>
      </c>
      <c r="H1478" s="3" t="s">
        <v>14</v>
      </c>
      <c r="I1478" s="7">
        <v>0.0</v>
      </c>
      <c r="J1478" s="3" t="s">
        <v>72</v>
      </c>
    </row>
    <row r="1479">
      <c r="C1479" s="3" t="s">
        <v>21</v>
      </c>
      <c r="D1479" s="3">
        <v>5255.0</v>
      </c>
      <c r="E1479" s="3" t="s">
        <v>727</v>
      </c>
      <c r="F1479" s="5">
        <v>46188.44513888889</v>
      </c>
      <c r="G1479" s="5">
        <v>46187.505266203705</v>
      </c>
      <c r="H1479" s="3" t="s">
        <v>14</v>
      </c>
      <c r="I1479" s="7">
        <v>0.0</v>
      </c>
      <c r="J1479" s="3" t="s">
        <v>72</v>
      </c>
    </row>
    <row r="1480">
      <c r="C1480" s="3" t="s">
        <v>24</v>
      </c>
      <c r="D1480" s="3">
        <v>5255.0</v>
      </c>
      <c r="E1480" s="3" t="s">
        <v>727</v>
      </c>
      <c r="F1480" s="5">
        <v>46189.44513888889</v>
      </c>
      <c r="G1480" s="5">
        <v>46188.517013888886</v>
      </c>
      <c r="H1480" s="3" t="s">
        <v>14</v>
      </c>
      <c r="I1480" s="7">
        <v>0.0</v>
      </c>
      <c r="J1480" s="3" t="s">
        <v>72</v>
      </c>
    </row>
    <row r="1481">
      <c r="C1481" s="3" t="s">
        <v>26</v>
      </c>
      <c r="D1481" s="3">
        <v>5255.0</v>
      </c>
      <c r="E1481" s="3" t="s">
        <v>727</v>
      </c>
      <c r="F1481" s="5">
        <v>46189.486805555556</v>
      </c>
      <c r="G1481" s="5">
        <v>46189.4330787037</v>
      </c>
      <c r="H1481" s="3" t="s">
        <v>14</v>
      </c>
      <c r="I1481" s="7">
        <v>0.0</v>
      </c>
      <c r="J1481" s="3" t="s">
        <v>72</v>
      </c>
    </row>
    <row r="1482">
      <c r="C1482" s="3" t="s">
        <v>10</v>
      </c>
      <c r="D1482" s="3">
        <v>5256.0</v>
      </c>
      <c r="E1482" s="3" t="s">
        <v>727</v>
      </c>
      <c r="F1482" s="5">
        <v>46186.73302083334</v>
      </c>
      <c r="G1482" s="5">
        <v>46186.60773148148</v>
      </c>
      <c r="H1482" s="3" t="s">
        <v>14</v>
      </c>
      <c r="I1482" s="3">
        <v>0.0</v>
      </c>
      <c r="J1482" s="3" t="s">
        <v>72</v>
      </c>
    </row>
    <row r="1483">
      <c r="C1483" s="3" t="s">
        <v>17</v>
      </c>
      <c r="D1483" s="3">
        <v>5256.0</v>
      </c>
      <c r="E1483" s="3" t="s">
        <v>727</v>
      </c>
      <c r="F1483" s="5">
        <v>46186.739965277775</v>
      </c>
      <c r="G1483" s="5">
        <v>46186.60833333333</v>
      </c>
      <c r="H1483" s="3" t="s">
        <v>14</v>
      </c>
      <c r="I1483" s="7">
        <v>0.0</v>
      </c>
      <c r="J1483" s="3" t="s">
        <v>72</v>
      </c>
    </row>
    <row r="1484">
      <c r="C1484" s="3" t="s">
        <v>21</v>
      </c>
      <c r="D1484" s="3">
        <v>5256.0</v>
      </c>
      <c r="E1484" s="3" t="s">
        <v>727</v>
      </c>
      <c r="F1484" s="5">
        <v>46188.447916666664</v>
      </c>
      <c r="G1484" s="5">
        <v>46187.50528935185</v>
      </c>
      <c r="H1484" s="3" t="s">
        <v>14</v>
      </c>
      <c r="I1484" s="7">
        <v>0.0</v>
      </c>
      <c r="J1484" s="3" t="s">
        <v>72</v>
      </c>
    </row>
    <row r="1485">
      <c r="C1485" s="3" t="s">
        <v>24</v>
      </c>
      <c r="D1485" s="3">
        <v>5256.0</v>
      </c>
      <c r="E1485" s="3" t="s">
        <v>727</v>
      </c>
      <c r="F1485" s="5">
        <v>46189.447916666664</v>
      </c>
      <c r="G1485" s="5">
        <v>46188.51703703704</v>
      </c>
      <c r="H1485" s="3" t="s">
        <v>14</v>
      </c>
      <c r="I1485" s="7">
        <v>0.0</v>
      </c>
      <c r="J1485" s="3" t="s">
        <v>72</v>
      </c>
    </row>
    <row r="1486">
      <c r="C1486" s="3" t="s">
        <v>26</v>
      </c>
      <c r="D1486" s="3">
        <v>5256.0</v>
      </c>
      <c r="E1486" s="3" t="s">
        <v>727</v>
      </c>
      <c r="F1486" s="5">
        <v>46189.489583333336</v>
      </c>
      <c r="G1486" s="5">
        <v>46189.43311342593</v>
      </c>
      <c r="H1486" s="3" t="s">
        <v>14</v>
      </c>
      <c r="I1486" s="7">
        <v>0.0</v>
      </c>
      <c r="J1486" s="3" t="s">
        <v>72</v>
      </c>
    </row>
    <row r="1487">
      <c r="C1487" s="3" t="s">
        <v>10</v>
      </c>
      <c r="D1487" s="3">
        <v>5257.0</v>
      </c>
      <c r="E1487" s="3" t="s">
        <v>727</v>
      </c>
      <c r="F1487" s="5">
        <v>46186.73701388889</v>
      </c>
      <c r="G1487" s="5">
        <v>46186.60775462963</v>
      </c>
      <c r="H1487" s="3" t="s">
        <v>14</v>
      </c>
      <c r="I1487" s="3">
        <v>0.0</v>
      </c>
      <c r="J1487" s="3" t="s">
        <v>48</v>
      </c>
    </row>
    <row r="1488">
      <c r="C1488" s="3" t="s">
        <v>17</v>
      </c>
      <c r="D1488" s="3">
        <v>5257.0</v>
      </c>
      <c r="E1488" s="3" t="s">
        <v>727</v>
      </c>
      <c r="F1488" s="5">
        <v>46186.74395833333</v>
      </c>
      <c r="G1488" s="5">
        <v>46186.60835648148</v>
      </c>
      <c r="H1488" s="3" t="s">
        <v>14</v>
      </c>
      <c r="I1488" s="7">
        <v>0.0</v>
      </c>
      <c r="J1488" s="3" t="s">
        <v>48</v>
      </c>
    </row>
    <row r="1489">
      <c r="C1489" s="3" t="s">
        <v>21</v>
      </c>
      <c r="D1489" s="3">
        <v>5257.0</v>
      </c>
      <c r="E1489" s="3" t="s">
        <v>727</v>
      </c>
      <c r="F1489" s="5">
        <v>46188.45208333333</v>
      </c>
      <c r="G1489" s="5">
        <v>46187.5053125</v>
      </c>
      <c r="H1489" s="3" t="s">
        <v>14</v>
      </c>
      <c r="I1489" s="7">
        <v>0.0</v>
      </c>
      <c r="J1489" s="3" t="s">
        <v>48</v>
      </c>
    </row>
    <row r="1490">
      <c r="C1490" s="3" t="s">
        <v>24</v>
      </c>
      <c r="D1490" s="3">
        <v>5257.0</v>
      </c>
      <c r="E1490" s="3" t="s">
        <v>727</v>
      </c>
      <c r="F1490" s="5">
        <v>46189.45208333333</v>
      </c>
      <c r="G1490" s="5">
        <v>46188.517175925925</v>
      </c>
      <c r="H1490" s="3" t="s">
        <v>14</v>
      </c>
      <c r="I1490" s="7">
        <v>0.0</v>
      </c>
      <c r="J1490" s="3" t="s">
        <v>48</v>
      </c>
    </row>
    <row r="1491">
      <c r="C1491" s="3" t="s">
        <v>26</v>
      </c>
      <c r="D1491" s="3">
        <v>5257.0</v>
      </c>
      <c r="E1491" s="3" t="s">
        <v>727</v>
      </c>
      <c r="F1491" s="5">
        <v>46189.49375</v>
      </c>
      <c r="G1491" s="5">
        <v>46189.433125</v>
      </c>
      <c r="H1491" s="3" t="s">
        <v>14</v>
      </c>
      <c r="I1491" s="7">
        <v>0.0</v>
      </c>
      <c r="J1491" s="3" t="s">
        <v>48</v>
      </c>
    </row>
    <row r="1492">
      <c r="C1492" s="3" t="s">
        <v>10</v>
      </c>
      <c r="D1492" s="3">
        <v>5258.0</v>
      </c>
      <c r="E1492" s="3" t="s">
        <v>727</v>
      </c>
      <c r="F1492" s="5">
        <v>46186.74030092593</v>
      </c>
      <c r="G1492" s="5">
        <v>46186.607777777775</v>
      </c>
      <c r="H1492" s="3" t="s">
        <v>14</v>
      </c>
      <c r="I1492" s="3">
        <v>0.0</v>
      </c>
      <c r="J1492" s="3" t="s">
        <v>15</v>
      </c>
    </row>
    <row r="1493">
      <c r="C1493" s="3" t="s">
        <v>17</v>
      </c>
      <c r="D1493" s="3">
        <v>5258.0</v>
      </c>
      <c r="E1493" s="3" t="s">
        <v>727</v>
      </c>
      <c r="F1493" s="5">
        <v>46186.747245370374</v>
      </c>
      <c r="G1493" s="5">
        <v>46186.60839120371</v>
      </c>
      <c r="H1493" s="3" t="s">
        <v>14</v>
      </c>
      <c r="I1493" s="7">
        <v>0.0</v>
      </c>
      <c r="J1493" s="3" t="s">
        <v>15</v>
      </c>
    </row>
    <row r="1494">
      <c r="C1494" s="3" t="s">
        <v>21</v>
      </c>
      <c r="D1494" s="3">
        <v>5258.0</v>
      </c>
      <c r="E1494" s="3" t="s">
        <v>727</v>
      </c>
      <c r="F1494" s="5">
        <v>46188.455555555556</v>
      </c>
      <c r="G1494" s="5">
        <v>46187.50533564815</v>
      </c>
      <c r="H1494" s="3" t="s">
        <v>14</v>
      </c>
      <c r="I1494" s="7">
        <v>0.0</v>
      </c>
      <c r="J1494" s="3" t="s">
        <v>15</v>
      </c>
    </row>
    <row r="1495">
      <c r="C1495" s="3" t="s">
        <v>24</v>
      </c>
      <c r="D1495" s="3">
        <v>5258.0</v>
      </c>
      <c r="E1495" s="3" t="s">
        <v>727</v>
      </c>
      <c r="F1495" s="5">
        <v>46189.455555555556</v>
      </c>
      <c r="G1495" s="5">
        <v>46188.517060185186</v>
      </c>
      <c r="H1495" s="3" t="s">
        <v>14</v>
      </c>
      <c r="I1495" s="7">
        <v>0.0</v>
      </c>
      <c r="J1495" s="3" t="s">
        <v>15</v>
      </c>
    </row>
    <row r="1496">
      <c r="C1496" s="3" t="s">
        <v>26</v>
      </c>
      <c r="D1496" s="3">
        <v>5258.0</v>
      </c>
      <c r="E1496" s="3" t="s">
        <v>727</v>
      </c>
      <c r="F1496" s="5">
        <v>46189.49722222222</v>
      </c>
      <c r="G1496" s="5">
        <v>46189.43314814815</v>
      </c>
      <c r="H1496" s="3" t="s">
        <v>14</v>
      </c>
      <c r="I1496" s="7">
        <v>0.0</v>
      </c>
      <c r="J1496" s="3" t="s">
        <v>15</v>
      </c>
    </row>
    <row r="1497">
      <c r="C1497" s="3" t="s">
        <v>10</v>
      </c>
      <c r="D1497" s="3">
        <v>5259.0</v>
      </c>
      <c r="E1497" s="3" t="s">
        <v>1279</v>
      </c>
      <c r="F1497" s="5">
        <v>46186.74329861111</v>
      </c>
      <c r="G1497" s="5">
        <v>46186.60780092593</v>
      </c>
      <c r="H1497" s="3" t="s">
        <v>14</v>
      </c>
      <c r="I1497" s="3">
        <v>0.0</v>
      </c>
      <c r="J1497" s="3" t="s">
        <v>15</v>
      </c>
    </row>
    <row r="1498">
      <c r="C1498" s="3" t="s">
        <v>17</v>
      </c>
      <c r="D1498" s="3">
        <v>5259.0</v>
      </c>
      <c r="E1498" s="3" t="s">
        <v>1279</v>
      </c>
      <c r="F1498" s="5">
        <v>46186.750243055554</v>
      </c>
      <c r="G1498" s="5">
        <v>46186.60841435185</v>
      </c>
      <c r="H1498" s="3" t="s">
        <v>14</v>
      </c>
      <c r="I1498" s="7">
        <v>0.0</v>
      </c>
      <c r="J1498" s="3" t="s">
        <v>15</v>
      </c>
    </row>
    <row r="1499">
      <c r="C1499" s="3" t="s">
        <v>21</v>
      </c>
      <c r="D1499" s="3">
        <v>5259.0</v>
      </c>
      <c r="E1499" s="3" t="s">
        <v>1279</v>
      </c>
      <c r="F1499" s="5">
        <v>46188.416666666664</v>
      </c>
      <c r="G1499" s="5">
        <v>46187.50537037037</v>
      </c>
      <c r="H1499" s="3" t="s">
        <v>14</v>
      </c>
      <c r="I1499" s="7">
        <v>0.0</v>
      </c>
      <c r="J1499" s="3" t="s">
        <v>15</v>
      </c>
    </row>
    <row r="1500">
      <c r="C1500" s="3" t="s">
        <v>24</v>
      </c>
      <c r="D1500" s="3">
        <v>5259.0</v>
      </c>
      <c r="E1500" s="3" t="s">
        <v>1279</v>
      </c>
      <c r="F1500" s="5">
        <v>46189.416666666664</v>
      </c>
      <c r="G1500" s="5">
        <v>46188.51708333333</v>
      </c>
      <c r="H1500" s="3" t="s">
        <v>14</v>
      </c>
      <c r="I1500" s="7">
        <v>0.0</v>
      </c>
      <c r="J1500" s="3" t="s">
        <v>15</v>
      </c>
    </row>
    <row r="1501">
      <c r="C1501" s="3" t="s">
        <v>26</v>
      </c>
      <c r="D1501" s="3">
        <v>5259.0</v>
      </c>
      <c r="E1501" s="3" t="s">
        <v>1279</v>
      </c>
      <c r="F1501" s="5">
        <v>46189.458333333336</v>
      </c>
      <c r="G1501" s="5">
        <v>46189.433171296296</v>
      </c>
      <c r="H1501" s="3" t="s">
        <v>14</v>
      </c>
      <c r="I1501" s="7">
        <v>0.0</v>
      </c>
      <c r="J1501" s="3" t="s">
        <v>15</v>
      </c>
    </row>
    <row r="1502">
      <c r="C1502" s="3" t="s">
        <v>10</v>
      </c>
      <c r="D1502" s="3">
        <v>5260.0</v>
      </c>
      <c r="E1502" s="3" t="s">
        <v>1283</v>
      </c>
      <c r="F1502" s="5">
        <v>46188.55962962963</v>
      </c>
      <c r="G1502" s="5">
        <v>46188.46219907407</v>
      </c>
      <c r="H1502" s="3" t="s">
        <v>14</v>
      </c>
      <c r="I1502" s="3">
        <v>0.0</v>
      </c>
      <c r="J1502" s="3" t="s">
        <v>15</v>
      </c>
    </row>
    <row r="1503">
      <c r="C1503" s="3" t="s">
        <v>17</v>
      </c>
      <c r="D1503" s="3">
        <v>5260.0</v>
      </c>
      <c r="E1503" s="3" t="s">
        <v>1283</v>
      </c>
      <c r="F1503" s="5">
        <v>46188.56657407407</v>
      </c>
      <c r="G1503" s="5">
        <v>46188.46239583333</v>
      </c>
      <c r="H1503" s="3" t="s">
        <v>14</v>
      </c>
      <c r="I1503" s="7">
        <v>0.0</v>
      </c>
      <c r="J1503" s="3" t="s">
        <v>15</v>
      </c>
    </row>
    <row r="1504">
      <c r="C1504" s="3" t="s">
        <v>21</v>
      </c>
      <c r="D1504" s="3">
        <v>5260.0</v>
      </c>
      <c r="E1504" s="3" t="s">
        <v>1283</v>
      </c>
      <c r="F1504" s="5">
        <v>46188.67074074074</v>
      </c>
      <c r="G1504" s="5">
        <v>46188.46252314815</v>
      </c>
      <c r="H1504" s="3" t="s">
        <v>14</v>
      </c>
      <c r="I1504" s="7">
        <v>0.0</v>
      </c>
      <c r="J1504" s="3" t="s">
        <v>15</v>
      </c>
    </row>
    <row r="1505">
      <c r="C1505" s="3" t="s">
        <v>24</v>
      </c>
      <c r="D1505" s="3">
        <v>5260.0</v>
      </c>
      <c r="E1505" s="3" t="s">
        <v>1283</v>
      </c>
      <c r="F1505" s="5">
        <v>46189.67013888889</v>
      </c>
      <c r="G1505" s="5">
        <v>46188.5168287037</v>
      </c>
      <c r="H1505" s="3" t="s">
        <v>14</v>
      </c>
      <c r="I1505" s="7">
        <v>0.0</v>
      </c>
      <c r="J1505" s="3" t="s">
        <v>15</v>
      </c>
    </row>
    <row r="1506">
      <c r="C1506" s="3" t="s">
        <v>26</v>
      </c>
      <c r="D1506" s="3">
        <v>5260.0</v>
      </c>
      <c r="E1506" s="3" t="s">
        <v>1283</v>
      </c>
      <c r="F1506" s="5">
        <v>46189.711805555555</v>
      </c>
      <c r="G1506" s="5">
        <v>46188.51688657407</v>
      </c>
      <c r="H1506" s="3" t="s">
        <v>14</v>
      </c>
      <c r="I1506" s="7">
        <v>0.0</v>
      </c>
      <c r="J1506" s="3" t="s">
        <v>15</v>
      </c>
    </row>
    <row r="1507">
      <c r="C1507" s="3" t="s">
        <v>10</v>
      </c>
      <c r="D1507" s="3">
        <v>5261.0</v>
      </c>
      <c r="E1507" s="3" t="s">
        <v>1287</v>
      </c>
      <c r="F1507" s="5">
        <v>46188.62541666667</v>
      </c>
      <c r="G1507" s="5">
        <v>46188.462222222224</v>
      </c>
      <c r="H1507" s="3" t="s">
        <v>14</v>
      </c>
      <c r="I1507" s="3">
        <v>0.0</v>
      </c>
      <c r="J1507" s="3" t="s">
        <v>15</v>
      </c>
    </row>
    <row r="1508">
      <c r="C1508" s="3" t="s">
        <v>17</v>
      </c>
      <c r="D1508" s="3">
        <v>5261.0</v>
      </c>
      <c r="E1508" s="3" t="s">
        <v>1287</v>
      </c>
      <c r="F1508" s="5">
        <v>46188.632361111115</v>
      </c>
      <c r="G1508" s="5">
        <v>46188.46239583333</v>
      </c>
      <c r="H1508" s="3" t="s">
        <v>14</v>
      </c>
      <c r="I1508" s="7">
        <v>0.0</v>
      </c>
      <c r="J1508" s="3" t="s">
        <v>15</v>
      </c>
    </row>
    <row r="1509">
      <c r="C1509" s="3" t="s">
        <v>21</v>
      </c>
      <c r="D1509" s="3">
        <v>5261.0</v>
      </c>
      <c r="E1509" s="3" t="s">
        <v>1287</v>
      </c>
      <c r="F1509" s="5">
        <v>46188.73652777778</v>
      </c>
      <c r="G1509" s="5">
        <v>46188.46252314815</v>
      </c>
      <c r="H1509" s="3" t="s">
        <v>14</v>
      </c>
      <c r="I1509" s="7">
        <v>0.0</v>
      </c>
      <c r="J1509" s="3" t="s">
        <v>15</v>
      </c>
    </row>
    <row r="1510">
      <c r="C1510" s="3" t="s">
        <v>24</v>
      </c>
      <c r="D1510" s="3">
        <v>5261.0</v>
      </c>
      <c r="E1510" s="3" t="s">
        <v>1287</v>
      </c>
      <c r="F1510" s="5">
        <v>46189.73611111111</v>
      </c>
      <c r="G1510" s="5">
        <v>46188.51684027778</v>
      </c>
      <c r="H1510" s="3" t="s">
        <v>14</v>
      </c>
      <c r="I1510" s="7">
        <v>0.0</v>
      </c>
      <c r="J1510" s="3" t="s">
        <v>15</v>
      </c>
    </row>
    <row r="1511">
      <c r="C1511" s="3" t="s">
        <v>26</v>
      </c>
      <c r="D1511" s="3">
        <v>5261.0</v>
      </c>
      <c r="E1511" s="3" t="s">
        <v>1287</v>
      </c>
      <c r="F1511" s="5">
        <v>46189.77777777778</v>
      </c>
      <c r="G1511" s="5">
        <v>46188.516921296294</v>
      </c>
      <c r="H1511" s="3" t="s">
        <v>14</v>
      </c>
      <c r="I1511" s="7">
        <v>0.0</v>
      </c>
      <c r="J1511" s="3" t="s">
        <v>15</v>
      </c>
    </row>
    <row r="1512">
      <c r="C1512" s="3" t="s">
        <v>10</v>
      </c>
      <c r="D1512" s="3">
        <v>5262.0</v>
      </c>
      <c r="E1512" s="3" t="s">
        <v>1290</v>
      </c>
      <c r="F1512" s="5">
        <v>46189.623020833336</v>
      </c>
      <c r="G1512" s="5">
        <v>46189.48472222222</v>
      </c>
      <c r="H1512" s="3" t="s">
        <v>14</v>
      </c>
      <c r="I1512" s="3">
        <v>0.0</v>
      </c>
      <c r="J1512" s="3" t="s">
        <v>48</v>
      </c>
    </row>
    <row r="1513">
      <c r="C1513" s="3" t="s">
        <v>17</v>
      </c>
      <c r="D1513" s="3">
        <v>5262.0</v>
      </c>
      <c r="E1513" s="3" t="s">
        <v>1290</v>
      </c>
      <c r="F1513" s="5">
        <v>46189.629965277774</v>
      </c>
      <c r="G1513" s="5">
        <v>46189.48855324074</v>
      </c>
      <c r="H1513" s="3" t="s">
        <v>14</v>
      </c>
      <c r="I1513" s="7">
        <v>0.0</v>
      </c>
      <c r="J1513" s="3" t="s">
        <v>48</v>
      </c>
    </row>
    <row r="1514">
      <c r="C1514" s="3" t="s">
        <v>21</v>
      </c>
      <c r="D1514" s="3">
        <v>5262.0</v>
      </c>
      <c r="E1514" s="3" t="s">
        <v>1290</v>
      </c>
      <c r="F1514" s="5">
        <v>46189.734131944446</v>
      </c>
      <c r="G1514" s="5">
        <v>46189.52596064815</v>
      </c>
      <c r="H1514" s="3" t="s">
        <v>14</v>
      </c>
      <c r="I1514" s="7">
        <v>0.0</v>
      </c>
      <c r="J1514" s="3" t="s">
        <v>48</v>
      </c>
    </row>
    <row r="1515">
      <c r="C1515" s="3" t="s">
        <v>24</v>
      </c>
      <c r="D1515" s="3">
        <v>5262.0</v>
      </c>
      <c r="E1515" s="3" t="s">
        <v>1290</v>
      </c>
      <c r="F1515" s="5">
        <v>46190.73402777778</v>
      </c>
      <c r="G1515" s="5">
        <v>46190.54079861111</v>
      </c>
      <c r="H1515" s="3" t="s">
        <v>14</v>
      </c>
      <c r="I1515" s="7">
        <v>0.0</v>
      </c>
      <c r="J1515" s="3" t="s">
        <v>48</v>
      </c>
    </row>
    <row r="1516">
      <c r="C1516" s="3" t="s">
        <v>26</v>
      </c>
      <c r="D1516" s="3">
        <v>5262.0</v>
      </c>
      <c r="E1516" s="3" t="s">
        <v>1290</v>
      </c>
      <c r="F1516" s="5">
        <v>46190.77569444444</v>
      </c>
      <c r="G1516" s="5">
        <v>46190.5408912037</v>
      </c>
      <c r="H1516" s="3" t="s">
        <v>14</v>
      </c>
      <c r="I1516" s="7">
        <v>0.0</v>
      </c>
      <c r="J1516" s="3" t="s">
        <v>48</v>
      </c>
    </row>
    <row r="1517">
      <c r="C1517" s="3" t="s">
        <v>10</v>
      </c>
      <c r="D1517" s="3">
        <v>5263.0</v>
      </c>
      <c r="E1517" s="3" t="s">
        <v>1295</v>
      </c>
      <c r="F1517" s="5">
        <v>46189.62380787037</v>
      </c>
      <c r="G1517" s="5">
        <v>46189.48474537037</v>
      </c>
      <c r="H1517" s="3" t="s">
        <v>14</v>
      </c>
      <c r="I1517" s="3">
        <v>0.0</v>
      </c>
      <c r="J1517" s="3" t="s">
        <v>48</v>
      </c>
    </row>
    <row r="1518">
      <c r="C1518" s="3" t="s">
        <v>17</v>
      </c>
      <c r="D1518" s="3">
        <v>5263.0</v>
      </c>
      <c r="E1518" s="3" t="s">
        <v>1295</v>
      </c>
      <c r="F1518" s="5">
        <v>46189.63075231481</v>
      </c>
      <c r="G1518" s="5">
        <v>46189.48856481481</v>
      </c>
      <c r="H1518" s="3" t="s">
        <v>14</v>
      </c>
      <c r="I1518" s="7">
        <v>0.0</v>
      </c>
      <c r="J1518" s="3" t="s">
        <v>48</v>
      </c>
    </row>
    <row r="1519">
      <c r="C1519" s="3" t="s">
        <v>21</v>
      </c>
      <c r="D1519" s="3">
        <v>5263.0</v>
      </c>
      <c r="E1519" s="3" t="s">
        <v>1295</v>
      </c>
      <c r="F1519" s="5">
        <v>46189.734918981485</v>
      </c>
      <c r="G1519" s="5">
        <v>46189.525983796295</v>
      </c>
      <c r="H1519" s="3" t="s">
        <v>14</v>
      </c>
      <c r="I1519" s="7">
        <v>0.0</v>
      </c>
      <c r="J1519" s="3" t="s">
        <v>48</v>
      </c>
    </row>
    <row r="1520">
      <c r="C1520" s="3" t="s">
        <v>24</v>
      </c>
      <c r="D1520" s="3">
        <v>5263.0</v>
      </c>
      <c r="E1520" s="3" t="s">
        <v>1295</v>
      </c>
      <c r="F1520" s="5">
        <v>46190.73472222222</v>
      </c>
      <c r="G1520" s="5">
        <v>46190.54083333333</v>
      </c>
      <c r="H1520" s="3" t="s">
        <v>14</v>
      </c>
      <c r="I1520" s="7">
        <v>0.0</v>
      </c>
      <c r="J1520" s="3" t="s">
        <v>48</v>
      </c>
    </row>
    <row r="1521">
      <c r="C1521" s="3" t="s">
        <v>26</v>
      </c>
      <c r="D1521" s="3">
        <v>5263.0</v>
      </c>
      <c r="E1521" s="3" t="s">
        <v>1295</v>
      </c>
      <c r="F1521" s="5">
        <v>46190.77638888889</v>
      </c>
      <c r="G1521" s="5">
        <v>46190.540914351855</v>
      </c>
      <c r="H1521" s="3" t="s">
        <v>14</v>
      </c>
      <c r="I1521" s="7">
        <v>0.0</v>
      </c>
      <c r="J1521" s="3" t="s">
        <v>48</v>
      </c>
    </row>
    <row r="1522">
      <c r="C1522" s="3" t="s">
        <v>10</v>
      </c>
      <c r="D1522" s="3">
        <v>5264.0</v>
      </c>
      <c r="E1522" s="3" t="s">
        <v>52</v>
      </c>
      <c r="F1522" s="5">
        <v>46189.62571759259</v>
      </c>
      <c r="G1522" s="5">
        <v>46189.48483796296</v>
      </c>
      <c r="H1522" s="3" t="s">
        <v>14</v>
      </c>
      <c r="I1522" s="3">
        <v>0.0</v>
      </c>
      <c r="J1522" s="3" t="s">
        <v>72</v>
      </c>
    </row>
    <row r="1523">
      <c r="C1523" s="3" t="s">
        <v>17</v>
      </c>
      <c r="D1523" s="3">
        <v>5264.0</v>
      </c>
      <c r="E1523" s="3" t="s">
        <v>52</v>
      </c>
      <c r="F1523" s="5">
        <v>46189.63266203704</v>
      </c>
      <c r="G1523" s="5">
        <v>46189.488587962966</v>
      </c>
      <c r="H1523" s="3" t="s">
        <v>14</v>
      </c>
      <c r="I1523" s="7">
        <v>0.0</v>
      </c>
      <c r="J1523" s="3" t="s">
        <v>72</v>
      </c>
    </row>
    <row r="1524">
      <c r="C1524" s="3" t="s">
        <v>21</v>
      </c>
      <c r="D1524" s="3">
        <v>5264.0</v>
      </c>
      <c r="E1524" s="3" t="s">
        <v>52</v>
      </c>
      <c r="F1524" s="5">
        <v>46189.7368287037</v>
      </c>
      <c r="G1524" s="5">
        <v>46189.52599537037</v>
      </c>
      <c r="H1524" s="3" t="s">
        <v>14</v>
      </c>
      <c r="I1524" s="7">
        <v>0.0</v>
      </c>
      <c r="J1524" s="3" t="s">
        <v>72</v>
      </c>
    </row>
    <row r="1525">
      <c r="C1525" s="3" t="s">
        <v>24</v>
      </c>
      <c r="D1525" s="3">
        <v>5264.0</v>
      </c>
      <c r="E1525" s="3" t="s">
        <v>52</v>
      </c>
      <c r="F1525" s="5">
        <v>46190.736805555556</v>
      </c>
      <c r="G1525" s="5">
        <v>46189.819444444445</v>
      </c>
      <c r="H1525" s="3" t="s">
        <v>14</v>
      </c>
      <c r="I1525" s="7">
        <v>0.0</v>
      </c>
      <c r="J1525" s="3" t="s">
        <v>72</v>
      </c>
    </row>
    <row r="1526">
      <c r="C1526" s="3" t="s">
        <v>26</v>
      </c>
      <c r="D1526" s="3">
        <v>5264.0</v>
      </c>
      <c r="E1526" s="3" t="s">
        <v>52</v>
      </c>
      <c r="F1526" s="5">
        <v>46190.77847222222</v>
      </c>
      <c r="G1526" s="5">
        <v>46190.54094907407</v>
      </c>
      <c r="H1526" s="3" t="s">
        <v>14</v>
      </c>
      <c r="I1526" s="7">
        <v>0.0</v>
      </c>
      <c r="J1526" s="3" t="s">
        <v>72</v>
      </c>
    </row>
    <row r="1527">
      <c r="C1527" s="3" t="s">
        <v>10</v>
      </c>
      <c r="D1527" s="3">
        <v>5265.0</v>
      </c>
      <c r="E1527" s="3" t="s">
        <v>1303</v>
      </c>
      <c r="F1527" s="5">
        <v>46189.627974537034</v>
      </c>
      <c r="G1527" s="5">
        <v>46189.48846064815</v>
      </c>
      <c r="H1527" s="3" t="s">
        <v>14</v>
      </c>
      <c r="I1527" s="3">
        <v>0.0</v>
      </c>
      <c r="J1527" s="3" t="s">
        <v>72</v>
      </c>
    </row>
    <row r="1528">
      <c r="C1528" s="3" t="s">
        <v>17</v>
      </c>
      <c r="D1528" s="3">
        <v>5265.0</v>
      </c>
      <c r="E1528" s="3" t="s">
        <v>1303</v>
      </c>
      <c r="F1528" s="5">
        <v>46189.63491898148</v>
      </c>
      <c r="G1528" s="5">
        <v>46189.48861111111</v>
      </c>
      <c r="H1528" s="3" t="s">
        <v>14</v>
      </c>
      <c r="I1528" s="7">
        <v>0.0</v>
      </c>
      <c r="J1528" s="3" t="s">
        <v>72</v>
      </c>
    </row>
    <row r="1529">
      <c r="C1529" s="3" t="s">
        <v>21</v>
      </c>
      <c r="D1529" s="3">
        <v>5265.0</v>
      </c>
      <c r="E1529" s="3" t="s">
        <v>1303</v>
      </c>
      <c r="F1529" s="5">
        <v>46189.73908564815</v>
      </c>
      <c r="G1529" s="5">
        <v>46189.52600694444</v>
      </c>
      <c r="H1529" s="3" t="s">
        <v>14</v>
      </c>
      <c r="I1529" s="7">
        <v>0.0</v>
      </c>
      <c r="J1529" s="3" t="s">
        <v>72</v>
      </c>
    </row>
    <row r="1530">
      <c r="C1530" s="3" t="s">
        <v>24</v>
      </c>
      <c r="D1530" s="3">
        <v>5265.0</v>
      </c>
      <c r="E1530" s="3" t="s">
        <v>1303</v>
      </c>
      <c r="F1530" s="5">
        <v>46190.73888888889</v>
      </c>
      <c r="G1530" s="5">
        <v>46189.81945601852</v>
      </c>
      <c r="H1530" s="3" t="s">
        <v>14</v>
      </c>
      <c r="I1530" s="7">
        <v>0.0</v>
      </c>
      <c r="J1530" s="3" t="s">
        <v>72</v>
      </c>
    </row>
    <row r="1531">
      <c r="C1531" s="3" t="s">
        <v>26</v>
      </c>
      <c r="D1531" s="3">
        <v>5265.0</v>
      </c>
      <c r="E1531" s="3" t="s">
        <v>1303</v>
      </c>
      <c r="F1531" s="5">
        <v>46190.78055555555</v>
      </c>
      <c r="G1531" s="5">
        <v>46190.540972222225</v>
      </c>
      <c r="H1531" s="3" t="s">
        <v>14</v>
      </c>
      <c r="I1531" s="7">
        <v>0.0</v>
      </c>
      <c r="J1531" s="3" t="s">
        <v>72</v>
      </c>
    </row>
    <row r="1532">
      <c r="C1532" s="3" t="s">
        <v>10</v>
      </c>
      <c r="D1532" s="3">
        <v>5266.0</v>
      </c>
      <c r="E1532" s="3" t="s">
        <v>1308</v>
      </c>
      <c r="F1532" s="5">
        <v>46189.76797453704</v>
      </c>
      <c r="G1532" s="5">
        <v>46189.625555555554</v>
      </c>
      <c r="H1532" s="3" t="s">
        <v>14</v>
      </c>
      <c r="I1532" s="3">
        <v>0.0</v>
      </c>
      <c r="J1532" s="3" t="s">
        <v>72</v>
      </c>
    </row>
    <row r="1533">
      <c r="C1533" s="3" t="s">
        <v>17</v>
      </c>
      <c r="D1533" s="3">
        <v>5266.0</v>
      </c>
      <c r="E1533" s="3" t="s">
        <v>1308</v>
      </c>
      <c r="F1533" s="5">
        <v>46189.77491898148</v>
      </c>
      <c r="G1533" s="5">
        <v>46189.625601851854</v>
      </c>
      <c r="H1533" s="3" t="s">
        <v>14</v>
      </c>
      <c r="I1533" s="7">
        <v>0.0</v>
      </c>
      <c r="J1533" s="3" t="s">
        <v>72</v>
      </c>
    </row>
    <row r="1534">
      <c r="C1534" s="3" t="s">
        <v>21</v>
      </c>
      <c r="D1534" s="3">
        <v>5266.0</v>
      </c>
      <c r="E1534" s="3" t="s">
        <v>1308</v>
      </c>
      <c r="F1534" s="5">
        <v>46190.48263888889</v>
      </c>
      <c r="G1534" s="5">
        <v>46189.63118055555</v>
      </c>
      <c r="H1534" s="3" t="s">
        <v>14</v>
      </c>
      <c r="I1534" s="7">
        <v>0.0</v>
      </c>
      <c r="J1534" s="3" t="s">
        <v>72</v>
      </c>
    </row>
    <row r="1535">
      <c r="C1535" s="3" t="s">
        <v>24</v>
      </c>
      <c r="D1535" s="3">
        <v>5266.0</v>
      </c>
      <c r="E1535" s="3" t="s">
        <v>1308</v>
      </c>
      <c r="F1535" s="5">
        <v>46191.48263888889</v>
      </c>
      <c r="G1535" s="5">
        <v>46189.631215277775</v>
      </c>
      <c r="H1535" s="3" t="s">
        <v>14</v>
      </c>
      <c r="I1535" s="7">
        <v>0.0</v>
      </c>
      <c r="J1535" s="3" t="s">
        <v>72</v>
      </c>
    </row>
    <row r="1536">
      <c r="C1536" s="3" t="s">
        <v>26</v>
      </c>
      <c r="D1536" s="3">
        <v>5266.0</v>
      </c>
      <c r="E1536" s="3" t="s">
        <v>1308</v>
      </c>
      <c r="F1536" s="5">
        <v>46191.524305555555</v>
      </c>
      <c r="G1536" s="5">
        <v>46189.63123842593</v>
      </c>
      <c r="H1536" s="3" t="s">
        <v>14</v>
      </c>
      <c r="I1536" s="7">
        <v>0.0</v>
      </c>
      <c r="J1536" s="3" t="s">
        <v>72</v>
      </c>
    </row>
    <row r="1537">
      <c r="C1537" s="3" t="s">
        <v>10</v>
      </c>
      <c r="D1537" s="3">
        <v>5267.0</v>
      </c>
      <c r="E1537" s="3" t="s">
        <v>800</v>
      </c>
      <c r="F1537" s="5">
        <v>46190.44305555556</v>
      </c>
      <c r="G1537" s="5">
        <v>46189.81912037037</v>
      </c>
      <c r="H1537" s="3" t="s">
        <v>14</v>
      </c>
      <c r="I1537" s="3">
        <v>0.0</v>
      </c>
      <c r="J1537" s="3" t="s">
        <v>15</v>
      </c>
    </row>
    <row r="1538">
      <c r="C1538" s="3" t="s">
        <v>17</v>
      </c>
      <c r="D1538" s="3">
        <v>5267.0</v>
      </c>
      <c r="E1538" s="3" t="s">
        <v>800</v>
      </c>
      <c r="F1538" s="5">
        <v>46190.45</v>
      </c>
      <c r="G1538" s="5">
        <v>46189.81916666667</v>
      </c>
      <c r="H1538" s="3" t="s">
        <v>14</v>
      </c>
      <c r="I1538" s="7">
        <v>0.0</v>
      </c>
      <c r="J1538" s="3" t="s">
        <v>15</v>
      </c>
    </row>
    <row r="1539">
      <c r="C1539" s="3" t="s">
        <v>21</v>
      </c>
      <c r="D1539" s="3">
        <v>5267.0</v>
      </c>
      <c r="E1539" s="3" t="s">
        <v>800</v>
      </c>
      <c r="F1539" s="5">
        <v>46190.55416666667</v>
      </c>
      <c r="G1539" s="5">
        <v>46189.81922453704</v>
      </c>
      <c r="H1539" s="3" t="s">
        <v>14</v>
      </c>
      <c r="I1539" s="7">
        <v>0.0</v>
      </c>
      <c r="J1539" s="3" t="s">
        <v>15</v>
      </c>
    </row>
    <row r="1540">
      <c r="C1540" s="3" t="s">
        <v>24</v>
      </c>
      <c r="D1540" s="3">
        <v>5267.0</v>
      </c>
      <c r="E1540" s="3" t="s">
        <v>800</v>
      </c>
      <c r="F1540" s="5">
        <v>46191.55416666667</v>
      </c>
      <c r="G1540" s="5">
        <v>46189.819247685184</v>
      </c>
      <c r="H1540" s="3" t="s">
        <v>14</v>
      </c>
      <c r="I1540" s="7">
        <v>0.0</v>
      </c>
      <c r="J1540" s="3" t="s">
        <v>15</v>
      </c>
    </row>
    <row r="1541">
      <c r="C1541" s="3" t="s">
        <v>26</v>
      </c>
      <c r="D1541" s="3">
        <v>5267.0</v>
      </c>
      <c r="E1541" s="3" t="s">
        <v>800</v>
      </c>
      <c r="F1541" s="5">
        <v>46191.59583333333</v>
      </c>
      <c r="G1541" s="5">
        <v>46190.54515046296</v>
      </c>
      <c r="H1541" s="3" t="s">
        <v>14</v>
      </c>
      <c r="I1541" s="7">
        <v>0.0</v>
      </c>
      <c r="J1541" s="3" t="s">
        <v>15</v>
      </c>
    </row>
    <row r="1542">
      <c r="C1542" s="3" t="s">
        <v>10</v>
      </c>
      <c r="D1542" s="3">
        <v>5268.0</v>
      </c>
      <c r="E1542" s="3" t="s">
        <v>1287</v>
      </c>
      <c r="F1542" s="5">
        <v>46190.6493287037</v>
      </c>
      <c r="G1542" s="5">
        <v>46190.51094907407</v>
      </c>
      <c r="H1542" s="3" t="s">
        <v>14</v>
      </c>
      <c r="I1542" s="3">
        <v>0.0</v>
      </c>
      <c r="J1542" s="3" t="s">
        <v>15</v>
      </c>
    </row>
    <row r="1543">
      <c r="C1543" s="3" t="s">
        <v>17</v>
      </c>
      <c r="D1543" s="3">
        <v>5268.0</v>
      </c>
      <c r="E1543" s="3" t="s">
        <v>1287</v>
      </c>
      <c r="F1543" s="5">
        <v>46190.656273148146</v>
      </c>
      <c r="G1543" s="5">
        <v>46190.511087962965</v>
      </c>
      <c r="H1543" s="3" t="s">
        <v>14</v>
      </c>
      <c r="I1543" s="7">
        <v>0.0</v>
      </c>
      <c r="J1543" s="3" t="s">
        <v>15</v>
      </c>
    </row>
    <row r="1544">
      <c r="C1544" s="3" t="s">
        <v>21</v>
      </c>
      <c r="D1544" s="3">
        <v>5268.0</v>
      </c>
      <c r="E1544" s="3" t="s">
        <v>1287</v>
      </c>
      <c r="F1544" s="5">
        <v>46190.76043981482</v>
      </c>
      <c r="G1544" s="5">
        <v>46190.511087962965</v>
      </c>
      <c r="H1544" s="3" t="s">
        <v>14</v>
      </c>
      <c r="I1544" s="7">
        <v>0.0</v>
      </c>
      <c r="J1544" s="3" t="s">
        <v>15</v>
      </c>
    </row>
    <row r="1545">
      <c r="C1545" s="3" t="s">
        <v>24</v>
      </c>
      <c r="D1545" s="3">
        <v>5268.0</v>
      </c>
      <c r="E1545" s="3" t="s">
        <v>1287</v>
      </c>
      <c r="F1545" s="5">
        <v>46191.760416666664</v>
      </c>
      <c r="G1545" s="5">
        <v>46190.7112037037</v>
      </c>
      <c r="H1545" s="3" t="s">
        <v>14</v>
      </c>
      <c r="I1545" s="7">
        <v>0.0</v>
      </c>
      <c r="J1545" s="3" t="s">
        <v>15</v>
      </c>
    </row>
    <row r="1546">
      <c r="C1546" s="3" t="s">
        <v>26</v>
      </c>
      <c r="D1546" s="3">
        <v>5268.0</v>
      </c>
      <c r="E1546" s="3" t="s">
        <v>1287</v>
      </c>
      <c r="F1546" s="5">
        <v>46191.802083333336</v>
      </c>
      <c r="G1546" s="5">
        <v>46191.52180555555</v>
      </c>
      <c r="H1546" s="3" t="s">
        <v>14</v>
      </c>
      <c r="I1546" s="7">
        <v>0.0</v>
      </c>
      <c r="J1546" s="3" t="s">
        <v>15</v>
      </c>
    </row>
    <row r="1547">
      <c r="C1547" s="3" t="s">
        <v>10</v>
      </c>
      <c r="D1547" s="3">
        <v>5269.0</v>
      </c>
      <c r="E1547" s="117">
        <v>3.0013382E7</v>
      </c>
      <c r="F1547" s="5">
        <v>46190.78487268519</v>
      </c>
      <c r="G1547" s="5">
        <v>46190.72489583334</v>
      </c>
      <c r="H1547" s="3" t="s">
        <v>14</v>
      </c>
      <c r="I1547" s="3">
        <v>0.0</v>
      </c>
      <c r="J1547" s="3" t="s">
        <v>15</v>
      </c>
    </row>
    <row r="1548">
      <c r="C1548" s="3" t="s">
        <v>17</v>
      </c>
      <c r="D1548" s="3">
        <v>5269.0</v>
      </c>
      <c r="E1548" s="117">
        <v>3.0013382E7</v>
      </c>
      <c r="F1548" s="5">
        <v>46190.791817129626</v>
      </c>
      <c r="G1548" s="5">
        <v>46190.72508101852</v>
      </c>
      <c r="H1548" s="3" t="s">
        <v>14</v>
      </c>
      <c r="I1548" s="7">
        <v>0.0</v>
      </c>
      <c r="J1548" s="3" t="s">
        <v>15</v>
      </c>
    </row>
    <row r="1549">
      <c r="C1549" s="3" t="s">
        <v>21</v>
      </c>
      <c r="D1549" s="3">
        <v>5269.0</v>
      </c>
      <c r="E1549" s="117">
        <v>3.0013382E7</v>
      </c>
      <c r="F1549" s="5">
        <v>46191.458333333336</v>
      </c>
      <c r="G1549" s="5">
        <v>46191.43800925926</v>
      </c>
      <c r="H1549" s="3" t="s">
        <v>14</v>
      </c>
      <c r="I1549" s="7">
        <v>0.0</v>
      </c>
      <c r="J1549" s="3" t="s">
        <v>15</v>
      </c>
    </row>
    <row r="1550">
      <c r="C1550" s="3" t="s">
        <v>24</v>
      </c>
      <c r="D1550" s="3">
        <v>5269.0</v>
      </c>
      <c r="E1550" s="117">
        <v>3.0013382E7</v>
      </c>
      <c r="F1550" s="5">
        <v>46192.458333333336</v>
      </c>
      <c r="G1550" s="5">
        <v>46191.52162037037</v>
      </c>
      <c r="H1550" s="3" t="s">
        <v>14</v>
      </c>
      <c r="I1550" s="7">
        <v>0.0</v>
      </c>
      <c r="J1550" s="3" t="s">
        <v>15</v>
      </c>
    </row>
    <row r="1551">
      <c r="C1551" s="3" t="s">
        <v>26</v>
      </c>
      <c r="D1551" s="3">
        <v>5269.0</v>
      </c>
      <c r="E1551" s="117">
        <v>3.0013382E7</v>
      </c>
      <c r="F1551" s="5">
        <v>46192.5</v>
      </c>
      <c r="G1551" s="5">
        <v>46191.52174768518</v>
      </c>
      <c r="H1551" s="3" t="s">
        <v>14</v>
      </c>
      <c r="I1551" s="7">
        <v>0.0</v>
      </c>
      <c r="J1551" s="3" t="s">
        <v>15</v>
      </c>
    </row>
    <row r="1552">
      <c r="C1552" s="3" t="s">
        <v>10</v>
      </c>
      <c r="D1552" s="3">
        <v>5270.0</v>
      </c>
      <c r="E1552" s="3" t="s">
        <v>1321</v>
      </c>
      <c r="F1552" s="5">
        <v>46190.819606481484</v>
      </c>
      <c r="G1552" s="5">
        <v>46190.72491898148</v>
      </c>
      <c r="H1552" s="3" t="s">
        <v>14</v>
      </c>
      <c r="I1552" s="3">
        <v>0.0</v>
      </c>
      <c r="J1552" s="3" t="s">
        <v>15</v>
      </c>
    </row>
    <row r="1553">
      <c r="C1553" s="3" t="s">
        <v>17</v>
      </c>
      <c r="D1553" s="3">
        <v>5270.0</v>
      </c>
      <c r="E1553" s="3" t="s">
        <v>1321</v>
      </c>
      <c r="F1553" s="5">
        <v>46190.82655092593</v>
      </c>
      <c r="G1553" s="5">
        <v>46190.72510416667</v>
      </c>
      <c r="H1553" s="3" t="s">
        <v>14</v>
      </c>
      <c r="I1553" s="7">
        <v>0.0</v>
      </c>
      <c r="J1553" s="3" t="s">
        <v>15</v>
      </c>
    </row>
    <row r="1554">
      <c r="C1554" s="3" t="s">
        <v>21</v>
      </c>
      <c r="D1554" s="3">
        <v>5270.0</v>
      </c>
      <c r="E1554" s="3" t="s">
        <v>1321</v>
      </c>
      <c r="F1554" s="5">
        <v>46191.53472222222</v>
      </c>
      <c r="G1554" s="5">
        <v>46191.52134259259</v>
      </c>
      <c r="H1554" s="3" t="s">
        <v>14</v>
      </c>
      <c r="I1554" s="7">
        <v>0.0</v>
      </c>
      <c r="J1554" s="3" t="s">
        <v>15</v>
      </c>
    </row>
    <row r="1555">
      <c r="C1555" s="3" t="s">
        <v>24</v>
      </c>
      <c r="D1555" s="3">
        <v>5270.0</v>
      </c>
      <c r="E1555" s="3" t="s">
        <v>1321</v>
      </c>
      <c r="F1555" s="5">
        <v>46192.53472222222</v>
      </c>
      <c r="G1555" s="5">
        <v>46191.709641203706</v>
      </c>
      <c r="H1555" s="3" t="s">
        <v>14</v>
      </c>
      <c r="I1555" s="7">
        <v>0.0</v>
      </c>
      <c r="J1555" s="3" t="s">
        <v>15</v>
      </c>
    </row>
    <row r="1556">
      <c r="C1556" s="3" t="s">
        <v>26</v>
      </c>
      <c r="D1556" s="3">
        <v>5270.0</v>
      </c>
      <c r="E1556" s="3" t="s">
        <v>1321</v>
      </c>
      <c r="F1556" s="5">
        <v>46192.57638888889</v>
      </c>
      <c r="G1556" s="5">
        <v>46191.709710648145</v>
      </c>
      <c r="H1556" s="3" t="s">
        <v>14</v>
      </c>
      <c r="I1556" s="7">
        <v>0.0</v>
      </c>
      <c r="J1556" s="3" t="s">
        <v>15</v>
      </c>
    </row>
    <row r="1557">
      <c r="C1557" s="3" t="s">
        <v>10</v>
      </c>
      <c r="D1557" s="3">
        <v>5271.0</v>
      </c>
      <c r="E1557" s="3" t="s">
        <v>1325</v>
      </c>
      <c r="F1557" s="5">
        <v>46191.67890046296</v>
      </c>
      <c r="G1557" s="5">
        <v>46191.513194444444</v>
      </c>
      <c r="H1557" s="3" t="s">
        <v>14</v>
      </c>
      <c r="I1557" s="3">
        <v>0.0</v>
      </c>
      <c r="J1557" s="3" t="s">
        <v>72</v>
      </c>
    </row>
    <row r="1558">
      <c r="C1558" s="3" t="s">
        <v>17</v>
      </c>
      <c r="D1558" s="3">
        <v>5271.0</v>
      </c>
      <c r="E1558" s="3" t="s">
        <v>1325</v>
      </c>
      <c r="F1558" s="5">
        <v>46191.685844907406</v>
      </c>
      <c r="G1558" s="5">
        <v>46191.51322916667</v>
      </c>
      <c r="H1558" s="3" t="s">
        <v>14</v>
      </c>
      <c r="I1558" s="7">
        <v>0.0</v>
      </c>
      <c r="J1558" s="3" t="s">
        <v>72</v>
      </c>
    </row>
    <row r="1559">
      <c r="C1559" s="3" t="s">
        <v>21</v>
      </c>
      <c r="D1559" s="3">
        <v>5271.0</v>
      </c>
      <c r="E1559" s="3" t="s">
        <v>1325</v>
      </c>
      <c r="F1559" s="5">
        <v>46191.79001157408</v>
      </c>
      <c r="G1559" s="5">
        <v>46191.51325231481</v>
      </c>
      <c r="H1559" s="3" t="s">
        <v>14</v>
      </c>
      <c r="I1559" s="7">
        <v>0.0</v>
      </c>
      <c r="J1559" s="3" t="s">
        <v>72</v>
      </c>
    </row>
    <row r="1560">
      <c r="C1560" s="3" t="s">
        <v>24</v>
      </c>
      <c r="D1560" s="3">
        <v>5271.0</v>
      </c>
      <c r="E1560" s="3" t="s">
        <v>1325</v>
      </c>
      <c r="F1560" s="5">
        <v>46192.78958333333</v>
      </c>
      <c r="G1560" s="5">
        <v>46191.51327546296</v>
      </c>
      <c r="H1560" s="3" t="s">
        <v>14</v>
      </c>
      <c r="I1560" s="7">
        <v>0.0</v>
      </c>
      <c r="J1560" s="3" t="s">
        <v>72</v>
      </c>
    </row>
    <row r="1561">
      <c r="C1561" s="3" t="s">
        <v>26</v>
      </c>
      <c r="D1561" s="3">
        <v>5271.0</v>
      </c>
      <c r="E1561" s="3" t="s">
        <v>1325</v>
      </c>
      <c r="F1561" s="5">
        <v>46192.83125</v>
      </c>
      <c r="G1561" s="5">
        <v>46192.640011574076</v>
      </c>
      <c r="H1561" s="3" t="s">
        <v>14</v>
      </c>
      <c r="I1561" s="7">
        <v>0.0</v>
      </c>
      <c r="J1561" s="3" t="s">
        <v>72</v>
      </c>
    </row>
    <row r="1562">
      <c r="C1562" s="3" t="s">
        <v>10</v>
      </c>
      <c r="D1562" s="3">
        <v>5272.0</v>
      </c>
      <c r="E1562" s="3" t="s">
        <v>1330</v>
      </c>
      <c r="F1562" s="5">
        <v>46191.68488425926</v>
      </c>
      <c r="G1562" s="5">
        <v>46191.521006944444</v>
      </c>
      <c r="H1562" s="3" t="s">
        <v>14</v>
      </c>
      <c r="I1562" s="3">
        <v>0.0</v>
      </c>
      <c r="J1562" s="3" t="s">
        <v>15</v>
      </c>
    </row>
    <row r="1563">
      <c r="C1563" s="3" t="s">
        <v>17</v>
      </c>
      <c r="D1563" s="3">
        <v>5272.0</v>
      </c>
      <c r="E1563" s="3" t="s">
        <v>1330</v>
      </c>
      <c r="F1563" s="5">
        <v>46191.691828703704</v>
      </c>
      <c r="G1563" s="5">
        <v>46191.52112268518</v>
      </c>
      <c r="H1563" s="3" t="s">
        <v>14</v>
      </c>
      <c r="I1563" s="7">
        <v>0.0</v>
      </c>
      <c r="J1563" s="3" t="s">
        <v>15</v>
      </c>
    </row>
    <row r="1564">
      <c r="C1564" s="3" t="s">
        <v>21</v>
      </c>
      <c r="D1564" s="3">
        <v>5272.0</v>
      </c>
      <c r="E1564" s="3" t="s">
        <v>1330</v>
      </c>
      <c r="F1564" s="5">
        <v>46191.79599537037</v>
      </c>
      <c r="G1564" s="5">
        <v>46191.521365740744</v>
      </c>
      <c r="H1564" s="3" t="s">
        <v>14</v>
      </c>
      <c r="I1564" s="7">
        <v>0.0</v>
      </c>
      <c r="J1564" s="3" t="s">
        <v>15</v>
      </c>
    </row>
    <row r="1565">
      <c r="C1565" s="3" t="s">
        <v>24</v>
      </c>
      <c r="D1565" s="3">
        <v>5272.0</v>
      </c>
      <c r="E1565" s="3" t="s">
        <v>1330</v>
      </c>
      <c r="F1565" s="5">
        <v>46192.79583333333</v>
      </c>
      <c r="G1565" s="5">
        <v>46191.53270833333</v>
      </c>
      <c r="H1565" s="3" t="s">
        <v>14</v>
      </c>
      <c r="I1565" s="7">
        <v>0.0</v>
      </c>
      <c r="J1565" s="3" t="s">
        <v>15</v>
      </c>
    </row>
    <row r="1566">
      <c r="C1566" s="3" t="s">
        <v>26</v>
      </c>
      <c r="D1566" s="3">
        <v>5272.0</v>
      </c>
      <c r="E1566" s="3" t="s">
        <v>1330</v>
      </c>
      <c r="F1566" s="5">
        <v>46193.42083333333</v>
      </c>
      <c r="G1566" s="5">
        <v>46191.53275462963</v>
      </c>
      <c r="H1566" s="3" t="s">
        <v>14</v>
      </c>
      <c r="I1566" s="7">
        <v>0.0</v>
      </c>
      <c r="J1566" s="3" t="s">
        <v>15</v>
      </c>
    </row>
    <row r="1567">
      <c r="C1567" s="3" t="s">
        <v>10</v>
      </c>
      <c r="D1567" s="3">
        <v>5273.0</v>
      </c>
      <c r="E1567" s="3" t="s">
        <v>1334</v>
      </c>
      <c r="F1567" s="5">
        <v>46192.64722222222</v>
      </c>
      <c r="G1567" s="5">
        <v>46192.49039351852</v>
      </c>
      <c r="H1567" s="3" t="s">
        <v>14</v>
      </c>
      <c r="I1567" s="3">
        <v>0.0</v>
      </c>
      <c r="J1567" s="3" t="s">
        <v>72</v>
      </c>
    </row>
    <row r="1568">
      <c r="C1568" s="3" t="s">
        <v>17</v>
      </c>
      <c r="D1568" s="3">
        <v>5273.0</v>
      </c>
      <c r="E1568" s="3" t="s">
        <v>1334</v>
      </c>
      <c r="F1568" s="5">
        <v>46192.65416666667</v>
      </c>
      <c r="G1568" s="5">
        <v>46192.49048611111</v>
      </c>
      <c r="H1568" s="3" t="s">
        <v>14</v>
      </c>
      <c r="I1568" s="7">
        <v>0.0</v>
      </c>
      <c r="J1568" s="3" t="s">
        <v>72</v>
      </c>
    </row>
    <row r="1569">
      <c r="C1569" s="3" t="s">
        <v>21</v>
      </c>
      <c r="D1569" s="3">
        <v>5273.0</v>
      </c>
      <c r="E1569" s="3" t="s">
        <v>1334</v>
      </c>
      <c r="F1569" s="5">
        <v>46192.75833333333</v>
      </c>
      <c r="G1569" s="5">
        <v>46192.51565972222</v>
      </c>
      <c r="H1569" s="3" t="s">
        <v>14</v>
      </c>
      <c r="I1569" s="7">
        <v>0.0</v>
      </c>
      <c r="J1569" s="3" t="s">
        <v>72</v>
      </c>
    </row>
    <row r="1570">
      <c r="C1570" s="3" t="s">
        <v>24</v>
      </c>
      <c r="D1570" s="3">
        <v>5273.0</v>
      </c>
      <c r="E1570" s="3" t="s">
        <v>1334</v>
      </c>
      <c r="F1570" s="5">
        <v>46193.75833333333</v>
      </c>
      <c r="G1570" s="5">
        <v>46192.51572916667</v>
      </c>
      <c r="H1570" s="3" t="s">
        <v>14</v>
      </c>
      <c r="I1570" s="7">
        <v>0.0</v>
      </c>
      <c r="J1570" s="3" t="s">
        <v>72</v>
      </c>
    </row>
    <row r="1571">
      <c r="C1571" s="3" t="s">
        <v>26</v>
      </c>
      <c r="D1571" s="3">
        <v>5273.0</v>
      </c>
      <c r="E1571" s="3" t="s">
        <v>1334</v>
      </c>
      <c r="F1571" s="5">
        <v>46195.46666666667</v>
      </c>
      <c r="G1571" s="5">
        <v>46193.65237268519</v>
      </c>
      <c r="H1571" s="3" t="s">
        <v>14</v>
      </c>
      <c r="I1571" s="7">
        <v>0.0</v>
      </c>
      <c r="J1571" s="3" t="s">
        <v>72</v>
      </c>
    </row>
    <row r="1572">
      <c r="C1572" s="3" t="s">
        <v>10</v>
      </c>
      <c r="D1572" s="3">
        <v>5274.0</v>
      </c>
      <c r="E1572" s="3" t="s">
        <v>1339</v>
      </c>
      <c r="F1572" s="5">
        <v>46192.778715277775</v>
      </c>
      <c r="G1572" s="5">
        <v>46192.614699074074</v>
      </c>
      <c r="H1572" s="3" t="s">
        <v>14</v>
      </c>
      <c r="I1572" s="3">
        <v>0.0</v>
      </c>
      <c r="J1572" s="3" t="s">
        <v>15</v>
      </c>
    </row>
    <row r="1573">
      <c r="C1573" s="3" t="s">
        <v>17</v>
      </c>
      <c r="D1573" s="3">
        <v>5274.0</v>
      </c>
      <c r="E1573" s="3" t="s">
        <v>1339</v>
      </c>
      <c r="F1573" s="5">
        <v>46192.78565972222</v>
      </c>
      <c r="G1573" s="5">
        <v>46192.614803240744</v>
      </c>
      <c r="H1573" s="3" t="s">
        <v>14</v>
      </c>
      <c r="I1573" s="7">
        <v>0.0</v>
      </c>
      <c r="J1573" s="3" t="s">
        <v>15</v>
      </c>
    </row>
    <row r="1574">
      <c r="C1574" s="3" t="s">
        <v>21</v>
      </c>
      <c r="D1574" s="3">
        <v>5274.0</v>
      </c>
      <c r="E1574" s="3" t="s">
        <v>1339</v>
      </c>
      <c r="F1574" s="5">
        <v>46193.49375</v>
      </c>
      <c r="G1574" s="5">
        <v>46192.614895833336</v>
      </c>
      <c r="H1574" s="3" t="s">
        <v>14</v>
      </c>
      <c r="I1574" s="7">
        <v>0.0</v>
      </c>
      <c r="J1574" s="3" t="s">
        <v>15</v>
      </c>
    </row>
    <row r="1575">
      <c r="C1575" s="3" t="s">
        <v>24</v>
      </c>
      <c r="D1575" s="3">
        <v>5274.0</v>
      </c>
      <c r="E1575" s="3" t="s">
        <v>1339</v>
      </c>
      <c r="F1575" s="5">
        <v>46195.49375</v>
      </c>
      <c r="G1575" s="5">
        <v>46192.6674537037</v>
      </c>
      <c r="H1575" s="3" t="s">
        <v>14</v>
      </c>
      <c r="I1575" s="7">
        <v>0.0</v>
      </c>
      <c r="J1575" s="3" t="s">
        <v>15</v>
      </c>
    </row>
    <row r="1576">
      <c r="C1576" s="3" t="s">
        <v>26</v>
      </c>
      <c r="D1576" s="3">
        <v>5274.0</v>
      </c>
      <c r="E1576" s="3" t="s">
        <v>1339</v>
      </c>
      <c r="F1576" s="5">
        <v>46195.535416666666</v>
      </c>
      <c r="G1576" s="5">
        <v>46192.66748842593</v>
      </c>
      <c r="H1576" s="3" t="s">
        <v>14</v>
      </c>
      <c r="I1576" s="7">
        <v>0.0</v>
      </c>
      <c r="J1576" s="3" t="s">
        <v>15</v>
      </c>
    </row>
    <row r="1577">
      <c r="C1577" s="3" t="s">
        <v>10</v>
      </c>
      <c r="D1577" s="3">
        <v>5275.0</v>
      </c>
      <c r="E1577" s="3" t="s">
        <v>1343</v>
      </c>
      <c r="F1577" s="5">
        <v>46193.44930555556</v>
      </c>
      <c r="G1577" s="5">
        <v>46192.75038194445</v>
      </c>
      <c r="H1577" s="3" t="s">
        <v>14</v>
      </c>
      <c r="I1577" s="3">
        <v>0.0</v>
      </c>
      <c r="J1577" s="3" t="s">
        <v>15</v>
      </c>
    </row>
    <row r="1578">
      <c r="C1578" s="3" t="s">
        <v>17</v>
      </c>
      <c r="D1578" s="3">
        <v>5275.0</v>
      </c>
      <c r="E1578" s="3" t="s">
        <v>1343</v>
      </c>
      <c r="F1578" s="5">
        <v>46193.45625</v>
      </c>
      <c r="G1578" s="5">
        <v>46192.75053240741</v>
      </c>
      <c r="H1578" s="3" t="s">
        <v>14</v>
      </c>
      <c r="I1578" s="7">
        <v>0.0</v>
      </c>
      <c r="J1578" s="3" t="s">
        <v>15</v>
      </c>
    </row>
    <row r="1579">
      <c r="C1579" s="3" t="s">
        <v>21</v>
      </c>
      <c r="D1579" s="3">
        <v>5275.0</v>
      </c>
      <c r="E1579" s="3" t="s">
        <v>1343</v>
      </c>
      <c r="F1579" s="5">
        <v>46193.56041666667</v>
      </c>
      <c r="G1579" s="5">
        <v>46192.750625</v>
      </c>
      <c r="H1579" s="3" t="s">
        <v>14</v>
      </c>
      <c r="I1579" s="7">
        <v>0.0</v>
      </c>
      <c r="J1579" s="3" t="s">
        <v>15</v>
      </c>
    </row>
    <row r="1580">
      <c r="C1580" s="3" t="s">
        <v>24</v>
      </c>
      <c r="D1580" s="3">
        <v>5275.0</v>
      </c>
      <c r="E1580" s="3" t="s">
        <v>1343</v>
      </c>
      <c r="F1580" s="5">
        <v>46195.56041666667</v>
      </c>
      <c r="G1580" s="5">
        <v>46192.79033564815</v>
      </c>
      <c r="H1580" s="3" t="s">
        <v>14</v>
      </c>
      <c r="I1580" s="7">
        <v>0.0</v>
      </c>
      <c r="J1580" s="3" t="s">
        <v>15</v>
      </c>
    </row>
    <row r="1581">
      <c r="C1581" s="3" t="s">
        <v>26</v>
      </c>
      <c r="D1581" s="3">
        <v>5275.0</v>
      </c>
      <c r="E1581" s="3" t="s">
        <v>1343</v>
      </c>
      <c r="F1581" s="5">
        <v>46195.60208333333</v>
      </c>
      <c r="G1581" s="5">
        <v>46192.79039351852</v>
      </c>
      <c r="H1581" s="3" t="s">
        <v>14</v>
      </c>
      <c r="I1581" s="7">
        <v>0.0</v>
      </c>
      <c r="J1581" s="3" t="s">
        <v>15</v>
      </c>
    </row>
    <row r="1582">
      <c r="C1582" s="3" t="s">
        <v>10</v>
      </c>
      <c r="D1582" s="3">
        <v>5276.0</v>
      </c>
      <c r="E1582" s="3" t="s">
        <v>1347</v>
      </c>
      <c r="F1582" s="5">
        <v>46193.475694444445</v>
      </c>
      <c r="G1582" s="5">
        <v>46192.75040509259</v>
      </c>
      <c r="H1582" s="3" t="s">
        <v>14</v>
      </c>
      <c r="I1582" s="3">
        <v>0.0</v>
      </c>
      <c r="J1582" s="3" t="s">
        <v>15</v>
      </c>
    </row>
    <row r="1583">
      <c r="C1583" s="3" t="s">
        <v>17</v>
      </c>
      <c r="D1583" s="3">
        <v>5276.0</v>
      </c>
      <c r="E1583" s="3" t="s">
        <v>1347</v>
      </c>
      <c r="F1583" s="5">
        <v>46193.48263888889</v>
      </c>
      <c r="G1583" s="5">
        <v>46192.750555555554</v>
      </c>
      <c r="H1583" s="3" t="s">
        <v>14</v>
      </c>
      <c r="I1583" s="7">
        <v>0.0</v>
      </c>
      <c r="J1583" s="3" t="s">
        <v>15</v>
      </c>
    </row>
    <row r="1584">
      <c r="C1584" s="3" t="s">
        <v>21</v>
      </c>
      <c r="D1584" s="3">
        <v>5276.0</v>
      </c>
      <c r="E1584" s="3" t="s">
        <v>1347</v>
      </c>
      <c r="F1584" s="5">
        <v>46193.586805555555</v>
      </c>
      <c r="G1584" s="5">
        <v>46192.75064814815</v>
      </c>
      <c r="H1584" s="3" t="s">
        <v>14</v>
      </c>
      <c r="I1584" s="7">
        <v>0.0</v>
      </c>
      <c r="J1584" s="3" t="s">
        <v>15</v>
      </c>
    </row>
    <row r="1585">
      <c r="C1585" s="3" t="s">
        <v>24</v>
      </c>
      <c r="D1585" s="3">
        <v>5276.0</v>
      </c>
      <c r="E1585" s="3" t="s">
        <v>1347</v>
      </c>
      <c r="F1585" s="5">
        <v>46195.586805555555</v>
      </c>
      <c r="G1585" s="5">
        <v>46192.790347222224</v>
      </c>
      <c r="H1585" s="3" t="s">
        <v>14</v>
      </c>
      <c r="I1585" s="7">
        <v>0.0</v>
      </c>
      <c r="J1585" s="3" t="s">
        <v>15</v>
      </c>
    </row>
    <row r="1586">
      <c r="C1586" s="3" t="s">
        <v>26</v>
      </c>
      <c r="D1586" s="3">
        <v>5276.0</v>
      </c>
      <c r="E1586" s="3" t="s">
        <v>1347</v>
      </c>
      <c r="F1586" s="5">
        <v>46195.62847222222</v>
      </c>
      <c r="G1586" s="5">
        <v>46192.79041666666</v>
      </c>
      <c r="H1586" s="3" t="s">
        <v>14</v>
      </c>
      <c r="I1586" s="7">
        <v>0.0</v>
      </c>
      <c r="J1586" s="3" t="s">
        <v>15</v>
      </c>
    </row>
    <row r="1587">
      <c r="C1587" s="3" t="s">
        <v>10</v>
      </c>
      <c r="D1587" s="3">
        <v>5277.0</v>
      </c>
      <c r="E1587" s="3" t="s">
        <v>1352</v>
      </c>
      <c r="F1587" s="5">
        <v>46193.71199074074</v>
      </c>
      <c r="G1587" s="5">
        <v>46193.55734953703</v>
      </c>
      <c r="H1587" s="3" t="s">
        <v>14</v>
      </c>
      <c r="I1587" s="3">
        <v>0.0</v>
      </c>
      <c r="J1587" s="3" t="s">
        <v>72</v>
      </c>
    </row>
    <row r="1588">
      <c r="C1588" s="3" t="s">
        <v>17</v>
      </c>
      <c r="D1588" s="3">
        <v>5277.0</v>
      </c>
      <c r="E1588" s="3" t="s">
        <v>1352</v>
      </c>
      <c r="F1588" s="5">
        <v>46193.718935185185</v>
      </c>
      <c r="G1588" s="5">
        <v>46193.557488425926</v>
      </c>
      <c r="H1588" s="3" t="s">
        <v>14</v>
      </c>
      <c r="I1588" s="7">
        <v>0.0</v>
      </c>
      <c r="J1588" s="3" t="s">
        <v>72</v>
      </c>
    </row>
    <row r="1589">
      <c r="C1589" s="3" t="s">
        <v>21</v>
      </c>
      <c r="D1589" s="3">
        <v>5277.0</v>
      </c>
      <c r="E1589" s="3" t="s">
        <v>1352</v>
      </c>
      <c r="F1589" s="5">
        <v>46193.82310185185</v>
      </c>
      <c r="G1589" s="5">
        <v>46193.557546296295</v>
      </c>
      <c r="H1589" s="3" t="s">
        <v>14</v>
      </c>
      <c r="I1589" s="7">
        <v>0.0</v>
      </c>
      <c r="J1589" s="3" t="s">
        <v>72</v>
      </c>
    </row>
    <row r="1590">
      <c r="C1590" s="3" t="s">
        <v>24</v>
      </c>
      <c r="D1590" s="3">
        <v>5277.0</v>
      </c>
      <c r="E1590" s="3" t="s">
        <v>1352</v>
      </c>
      <c r="F1590" s="5">
        <v>46195.822916666664</v>
      </c>
      <c r="G1590" s="5">
        <v>46193.652650462966</v>
      </c>
      <c r="H1590" s="3" t="s">
        <v>14</v>
      </c>
      <c r="I1590" s="7">
        <v>0.0</v>
      </c>
      <c r="J1590" s="3" t="s">
        <v>72</v>
      </c>
    </row>
    <row r="1591">
      <c r="C1591" s="3" t="s">
        <v>26</v>
      </c>
      <c r="D1591" s="3">
        <v>5277.0</v>
      </c>
      <c r="E1591" s="3" t="s">
        <v>1352</v>
      </c>
      <c r="F1591" s="5">
        <v>46196.447916666664</v>
      </c>
      <c r="G1591" s="5">
        <v>46195.48149305556</v>
      </c>
      <c r="H1591" s="3" t="s">
        <v>14</v>
      </c>
      <c r="I1591" s="7">
        <v>0.0</v>
      </c>
      <c r="J1591" s="3" t="s">
        <v>72</v>
      </c>
    </row>
    <row r="1592">
      <c r="C1592" s="3" t="s">
        <v>10</v>
      </c>
      <c r="D1592" s="3">
        <v>5278.0</v>
      </c>
      <c r="E1592" s="3" t="s">
        <v>1358</v>
      </c>
      <c r="F1592" s="5">
        <v>46193.727488425924</v>
      </c>
      <c r="G1592" s="5">
        <v>46193.6525</v>
      </c>
      <c r="H1592" s="3" t="s">
        <v>14</v>
      </c>
      <c r="I1592" s="3">
        <v>0.0</v>
      </c>
      <c r="J1592" s="3" t="s">
        <v>72</v>
      </c>
    </row>
    <row r="1593">
      <c r="C1593" s="3" t="s">
        <v>17</v>
      </c>
      <c r="D1593" s="3">
        <v>5278.0</v>
      </c>
      <c r="E1593" s="3" t="s">
        <v>1358</v>
      </c>
      <c r="F1593" s="5">
        <v>46193.73443287037</v>
      </c>
      <c r="G1593" s="5">
        <v>46193.65255787037</v>
      </c>
      <c r="H1593" s="3" t="s">
        <v>14</v>
      </c>
      <c r="I1593" s="7">
        <v>0.0</v>
      </c>
      <c r="J1593" s="3" t="s">
        <v>72</v>
      </c>
    </row>
    <row r="1594">
      <c r="C1594" s="3" t="s">
        <v>21</v>
      </c>
      <c r="D1594" s="3">
        <v>5278.0</v>
      </c>
      <c r="E1594" s="3" t="s">
        <v>1358</v>
      </c>
      <c r="F1594" s="5">
        <v>46195.44236111111</v>
      </c>
      <c r="G1594" s="5">
        <v>46193.652604166666</v>
      </c>
      <c r="H1594" s="3" t="s">
        <v>14</v>
      </c>
      <c r="I1594" s="7">
        <v>0.0</v>
      </c>
      <c r="J1594" s="3" t="s">
        <v>72</v>
      </c>
    </row>
    <row r="1595">
      <c r="C1595" s="3" t="s">
        <v>24</v>
      </c>
      <c r="D1595" s="3">
        <v>5278.0</v>
      </c>
      <c r="E1595" s="3" t="s">
        <v>1358</v>
      </c>
      <c r="F1595" s="5">
        <v>46196.44236111111</v>
      </c>
      <c r="G1595" s="5">
        <v>46193.652650462966</v>
      </c>
      <c r="H1595" s="3" t="s">
        <v>14</v>
      </c>
      <c r="I1595" s="7">
        <v>0.0</v>
      </c>
      <c r="J1595" s="3" t="s">
        <v>72</v>
      </c>
    </row>
    <row r="1596">
      <c r="C1596" s="3" t="s">
        <v>26</v>
      </c>
      <c r="D1596" s="3">
        <v>5278.0</v>
      </c>
      <c r="E1596" s="3" t="s">
        <v>1358</v>
      </c>
      <c r="F1596" s="5">
        <v>46196.48402777778</v>
      </c>
      <c r="G1596" s="5">
        <v>46195.48153935185</v>
      </c>
      <c r="H1596" s="3" t="s">
        <v>14</v>
      </c>
      <c r="I1596" s="7">
        <v>0.0</v>
      </c>
      <c r="J1596" s="3" t="s">
        <v>72</v>
      </c>
    </row>
    <row r="1597">
      <c r="C1597" s="3" t="s">
        <v>10</v>
      </c>
      <c r="D1597" s="3">
        <v>5279.0</v>
      </c>
      <c r="E1597" s="3" t="s">
        <v>142</v>
      </c>
      <c r="F1597" s="5">
        <v>46193.82745370371</v>
      </c>
      <c r="G1597" s="5">
        <v>46193.69803240741</v>
      </c>
      <c r="H1597" s="3" t="s">
        <v>14</v>
      </c>
      <c r="I1597" s="3">
        <v>0.0</v>
      </c>
      <c r="J1597" s="3" t="s">
        <v>15</v>
      </c>
    </row>
    <row r="1598">
      <c r="C1598" s="3" t="s">
        <v>17</v>
      </c>
      <c r="D1598" s="3">
        <v>5279.0</v>
      </c>
      <c r="E1598" s="3" t="s">
        <v>142</v>
      </c>
      <c r="F1598" s="5">
        <v>46195.45208333333</v>
      </c>
      <c r="G1598" s="5">
        <v>46193.6983912037</v>
      </c>
      <c r="H1598" s="3" t="s">
        <v>14</v>
      </c>
      <c r="I1598" s="7">
        <v>0.0</v>
      </c>
      <c r="J1598" s="3" t="s">
        <v>15</v>
      </c>
    </row>
    <row r="1599">
      <c r="C1599" s="3" t="s">
        <v>21</v>
      </c>
      <c r="D1599" s="3">
        <v>5279.0</v>
      </c>
      <c r="E1599" s="3" t="s">
        <v>142</v>
      </c>
      <c r="F1599" s="5">
        <v>46195.55625</v>
      </c>
      <c r="G1599" s="5">
        <v>46193.698599537034</v>
      </c>
      <c r="H1599" s="3" t="s">
        <v>14</v>
      </c>
      <c r="I1599" s="7">
        <v>0.0</v>
      </c>
      <c r="J1599" s="3" t="s">
        <v>15</v>
      </c>
    </row>
    <row r="1600">
      <c r="C1600" s="3" t="s">
        <v>24</v>
      </c>
      <c r="D1600" s="3">
        <v>5279.0</v>
      </c>
      <c r="E1600" s="3" t="s">
        <v>142</v>
      </c>
      <c r="F1600" s="5">
        <v>46196.55625</v>
      </c>
      <c r="G1600" s="5">
        <v>46195.50152777778</v>
      </c>
      <c r="H1600" s="3" t="s">
        <v>14</v>
      </c>
      <c r="I1600" s="7">
        <v>0.0</v>
      </c>
      <c r="J1600" s="3" t="s">
        <v>15</v>
      </c>
    </row>
    <row r="1601">
      <c r="C1601" s="3" t="s">
        <v>26</v>
      </c>
      <c r="D1601" s="3">
        <v>5279.0</v>
      </c>
      <c r="E1601" s="3" t="s">
        <v>142</v>
      </c>
      <c r="F1601" s="5">
        <v>46196.597916666666</v>
      </c>
      <c r="G1601" s="5">
        <v>46195.50163194445</v>
      </c>
      <c r="H1601" s="3" t="s">
        <v>14</v>
      </c>
      <c r="I1601" s="7">
        <v>0.0</v>
      </c>
      <c r="J1601" s="3" t="s">
        <v>15</v>
      </c>
    </row>
    <row r="1602">
      <c r="C1602" s="3" t="s">
        <v>10</v>
      </c>
      <c r="D1602" s="3">
        <v>5280.0</v>
      </c>
      <c r="E1602" s="3" t="s">
        <v>142</v>
      </c>
      <c r="F1602" s="5">
        <v>46193.82826388889</v>
      </c>
      <c r="G1602" s="5">
        <v>46193.69805555556</v>
      </c>
      <c r="H1602" s="3" t="s">
        <v>14</v>
      </c>
      <c r="I1602" s="3">
        <v>0.0</v>
      </c>
      <c r="J1602" s="3" t="s">
        <v>15</v>
      </c>
    </row>
    <row r="1603">
      <c r="C1603" s="3" t="s">
        <v>17</v>
      </c>
      <c r="D1603" s="3">
        <v>5280.0</v>
      </c>
      <c r="E1603" s="3" t="s">
        <v>142</v>
      </c>
      <c r="F1603" s="5">
        <v>46195.45277777778</v>
      </c>
      <c r="G1603" s="5">
        <v>46193.69846064815</v>
      </c>
      <c r="H1603" s="3" t="s">
        <v>14</v>
      </c>
      <c r="I1603" s="7">
        <v>0.0</v>
      </c>
      <c r="J1603" s="3" t="s">
        <v>15</v>
      </c>
    </row>
    <row r="1604">
      <c r="C1604" s="3" t="s">
        <v>21</v>
      </c>
      <c r="D1604" s="3">
        <v>5280.0</v>
      </c>
      <c r="E1604" s="3" t="s">
        <v>142</v>
      </c>
      <c r="F1604" s="5">
        <v>46195.55694444444</v>
      </c>
      <c r="G1604" s="5">
        <v>46193.69862268519</v>
      </c>
      <c r="H1604" s="3" t="s">
        <v>14</v>
      </c>
      <c r="I1604" s="7">
        <v>0.0</v>
      </c>
      <c r="J1604" s="3" t="s">
        <v>15</v>
      </c>
    </row>
    <row r="1605">
      <c r="C1605" s="3" t="s">
        <v>24</v>
      </c>
      <c r="D1605" s="3">
        <v>5280.0</v>
      </c>
      <c r="E1605" s="3" t="s">
        <v>142</v>
      </c>
      <c r="F1605" s="5">
        <v>46196.55694444444</v>
      </c>
      <c r="G1605" s="5">
        <v>46195.501539351855</v>
      </c>
      <c r="H1605" s="3" t="s">
        <v>14</v>
      </c>
      <c r="I1605" s="7">
        <v>0.0</v>
      </c>
      <c r="J1605" s="3" t="s">
        <v>15</v>
      </c>
    </row>
    <row r="1606">
      <c r="C1606" s="3" t="s">
        <v>26</v>
      </c>
      <c r="D1606" s="3">
        <v>5280.0</v>
      </c>
      <c r="E1606" s="3" t="s">
        <v>142</v>
      </c>
      <c r="F1606" s="5">
        <v>46196.59861111111</v>
      </c>
      <c r="G1606" s="5">
        <v>46195.50166666666</v>
      </c>
      <c r="H1606" s="3" t="s">
        <v>14</v>
      </c>
      <c r="I1606" s="7">
        <v>0.0</v>
      </c>
      <c r="J1606" s="3" t="s">
        <v>15</v>
      </c>
    </row>
    <row r="1607">
      <c r="C1607" s="3" t="s">
        <v>10</v>
      </c>
      <c r="D1607" s="3">
        <v>5281.0</v>
      </c>
      <c r="E1607" s="3" t="s">
        <v>142</v>
      </c>
      <c r="F1607" s="5">
        <v>46193.82913194445</v>
      </c>
      <c r="G1607" s="5">
        <v>46193.698067129626</v>
      </c>
      <c r="H1607" s="3" t="s">
        <v>14</v>
      </c>
      <c r="I1607" s="3">
        <v>0.0</v>
      </c>
      <c r="J1607" s="3" t="s">
        <v>15</v>
      </c>
    </row>
    <row r="1608">
      <c r="C1608" s="3" t="s">
        <v>17</v>
      </c>
      <c r="D1608" s="3">
        <v>5281.0</v>
      </c>
      <c r="E1608" s="3" t="s">
        <v>142</v>
      </c>
      <c r="F1608" s="5">
        <v>46195.45347222222</v>
      </c>
      <c r="G1608" s="5">
        <v>46193.69850694444</v>
      </c>
      <c r="H1608" s="3" t="s">
        <v>14</v>
      </c>
      <c r="I1608" s="7">
        <v>0.0</v>
      </c>
      <c r="J1608" s="3" t="s">
        <v>15</v>
      </c>
    </row>
    <row r="1609">
      <c r="C1609" s="3" t="s">
        <v>21</v>
      </c>
      <c r="D1609" s="3">
        <v>5281.0</v>
      </c>
      <c r="E1609" s="3" t="s">
        <v>142</v>
      </c>
      <c r="F1609" s="5">
        <v>46195.55763888889</v>
      </c>
      <c r="G1609" s="5">
        <v>46193.69865740741</v>
      </c>
      <c r="H1609" s="3" t="s">
        <v>14</v>
      </c>
      <c r="I1609" s="7">
        <v>0.0</v>
      </c>
      <c r="J1609" s="3" t="s">
        <v>15</v>
      </c>
    </row>
    <row r="1610">
      <c r="C1610" s="3" t="s">
        <v>24</v>
      </c>
      <c r="D1610" s="3">
        <v>5281.0</v>
      </c>
      <c r="E1610" s="3" t="s">
        <v>142</v>
      </c>
      <c r="F1610" s="5">
        <v>46196.55763888889</v>
      </c>
      <c r="G1610" s="5">
        <v>46195.50157407407</v>
      </c>
      <c r="H1610" s="3" t="s">
        <v>14</v>
      </c>
      <c r="I1610" s="7">
        <v>0.0</v>
      </c>
      <c r="J1610" s="3" t="s">
        <v>15</v>
      </c>
    </row>
    <row r="1611">
      <c r="C1611" s="3" t="s">
        <v>26</v>
      </c>
      <c r="D1611" s="3">
        <v>5281.0</v>
      </c>
      <c r="E1611" s="3" t="s">
        <v>142</v>
      </c>
      <c r="F1611" s="5">
        <v>46196.59930555556</v>
      </c>
      <c r="G1611" s="5">
        <v>46195.50170138889</v>
      </c>
      <c r="H1611" s="3" t="s">
        <v>14</v>
      </c>
      <c r="I1611" s="7">
        <v>0.0</v>
      </c>
      <c r="J1611" s="3" t="s">
        <v>15</v>
      </c>
    </row>
    <row r="1612">
      <c r="C1612" s="3" t="s">
        <v>10</v>
      </c>
      <c r="D1612" s="3">
        <v>5282.0</v>
      </c>
      <c r="E1612" s="3" t="s">
        <v>1373</v>
      </c>
      <c r="F1612" s="5">
        <v>46195.691087962965</v>
      </c>
      <c r="G1612" s="5">
        <v>46195.61792824074</v>
      </c>
      <c r="H1612" s="3" t="s">
        <v>14</v>
      </c>
      <c r="I1612" s="3">
        <v>0.0</v>
      </c>
      <c r="J1612" s="3" t="s">
        <v>72</v>
      </c>
    </row>
    <row r="1613">
      <c r="C1613" s="3" t="s">
        <v>17</v>
      </c>
      <c r="D1613" s="3">
        <v>5282.0</v>
      </c>
      <c r="E1613" s="3" t="s">
        <v>1373</v>
      </c>
      <c r="F1613" s="5">
        <v>46195.69803240741</v>
      </c>
      <c r="G1613" s="5">
        <v>46195.618055555555</v>
      </c>
      <c r="H1613" s="3" t="s">
        <v>14</v>
      </c>
      <c r="I1613" s="7">
        <v>0.0</v>
      </c>
      <c r="J1613" s="3" t="s">
        <v>72</v>
      </c>
    </row>
    <row r="1614">
      <c r="C1614" s="3" t="s">
        <v>21</v>
      </c>
      <c r="D1614" s="3">
        <v>5282.0</v>
      </c>
      <c r="E1614" s="3" t="s">
        <v>1373</v>
      </c>
      <c r="F1614" s="5">
        <v>46195.802199074074</v>
      </c>
      <c r="G1614" s="5">
        <v>46195.618125</v>
      </c>
      <c r="H1614" s="3" t="s">
        <v>14</v>
      </c>
      <c r="I1614" s="7">
        <v>0.0</v>
      </c>
      <c r="J1614" s="3" t="s">
        <v>72</v>
      </c>
    </row>
    <row r="1615">
      <c r="C1615" s="3" t="s">
        <v>24</v>
      </c>
      <c r="D1615" s="3">
        <v>5282.0</v>
      </c>
      <c r="E1615" s="3" t="s">
        <v>1373</v>
      </c>
      <c r="F1615" s="5">
        <v>46196.802083333336</v>
      </c>
      <c r="G1615" s="5">
        <v>46196.559965277775</v>
      </c>
      <c r="H1615" s="3" t="s">
        <v>14</v>
      </c>
      <c r="I1615" s="7">
        <v>0.0</v>
      </c>
      <c r="J1615" s="3" t="s">
        <v>72</v>
      </c>
    </row>
    <row r="1616">
      <c r="C1616" s="3" t="s">
        <v>26</v>
      </c>
      <c r="D1616" s="3">
        <v>5282.0</v>
      </c>
      <c r="E1616" s="3" t="s">
        <v>1373</v>
      </c>
      <c r="F1616" s="5">
        <v>46197.427083333336</v>
      </c>
      <c r="G1616" s="5">
        <v>46196.77820601852</v>
      </c>
      <c r="H1616" s="3" t="s">
        <v>14</v>
      </c>
      <c r="I1616" s="7">
        <v>0.0</v>
      </c>
      <c r="J1616" s="3" t="s">
        <v>72</v>
      </c>
    </row>
    <row r="1617">
      <c r="C1617" s="3" t="s">
        <v>10</v>
      </c>
      <c r="D1617" s="3">
        <v>5283.0</v>
      </c>
      <c r="E1617" s="3" t="s">
        <v>1377</v>
      </c>
      <c r="F1617" s="5">
        <v>46195.69201388889</v>
      </c>
      <c r="G1617" s="5">
        <v>46195.61792824074</v>
      </c>
      <c r="H1617" s="3" t="s">
        <v>14</v>
      </c>
      <c r="I1617" s="3">
        <v>0.0</v>
      </c>
      <c r="J1617" s="3" t="s">
        <v>72</v>
      </c>
    </row>
    <row r="1618">
      <c r="C1618" s="3" t="s">
        <v>17</v>
      </c>
      <c r="D1618" s="3">
        <v>5283.0</v>
      </c>
      <c r="E1618" s="3" t="s">
        <v>1377</v>
      </c>
      <c r="F1618" s="5">
        <v>46195.698958333334</v>
      </c>
      <c r="G1618" s="5">
        <v>46195.61806712963</v>
      </c>
      <c r="H1618" s="3" t="s">
        <v>14</v>
      </c>
      <c r="I1618" s="7">
        <v>0.0</v>
      </c>
      <c r="J1618" s="3" t="s">
        <v>72</v>
      </c>
    </row>
    <row r="1619">
      <c r="C1619" s="3" t="s">
        <v>21</v>
      </c>
      <c r="D1619" s="3">
        <v>5283.0</v>
      </c>
      <c r="E1619" s="3" t="s">
        <v>1377</v>
      </c>
      <c r="F1619" s="5">
        <v>46195.803125</v>
      </c>
      <c r="G1619" s="5">
        <v>46195.61814814815</v>
      </c>
      <c r="H1619" s="3" t="s">
        <v>14</v>
      </c>
      <c r="I1619" s="7">
        <v>0.0</v>
      </c>
      <c r="J1619" s="3" t="s">
        <v>72</v>
      </c>
    </row>
    <row r="1620">
      <c r="C1620" s="3" t="s">
        <v>24</v>
      </c>
      <c r="D1620" s="3">
        <v>5283.0</v>
      </c>
      <c r="E1620" s="3" t="s">
        <v>1377</v>
      </c>
      <c r="F1620" s="5">
        <v>46196.802777777775</v>
      </c>
      <c r="G1620" s="5">
        <v>46196.55997685185</v>
      </c>
      <c r="H1620" s="3" t="s">
        <v>14</v>
      </c>
      <c r="I1620" s="7">
        <v>0.0</v>
      </c>
      <c r="J1620" s="3" t="s">
        <v>72</v>
      </c>
    </row>
    <row r="1621">
      <c r="C1621" s="3" t="s">
        <v>26</v>
      </c>
      <c r="D1621" s="3">
        <v>5283.0</v>
      </c>
      <c r="E1621" s="3" t="s">
        <v>1377</v>
      </c>
      <c r="F1621" s="5">
        <v>46197.427777777775</v>
      </c>
      <c r="G1621" s="5">
        <v>46196.77820601852</v>
      </c>
      <c r="H1621" s="3" t="s">
        <v>14</v>
      </c>
      <c r="I1621" s="7">
        <v>0.0</v>
      </c>
      <c r="J1621" s="3" t="s">
        <v>72</v>
      </c>
    </row>
    <row r="1622">
      <c r="C1622" s="3" t="s">
        <v>10</v>
      </c>
      <c r="D1622" s="3">
        <v>5284.0</v>
      </c>
      <c r="E1622" s="3" t="s">
        <v>1381</v>
      </c>
      <c r="F1622" s="5">
        <v>46195.817824074074</v>
      </c>
      <c r="G1622" s="5">
        <v>46195.71824074074</v>
      </c>
      <c r="H1622" s="3" t="s">
        <v>14</v>
      </c>
      <c r="I1622" s="3">
        <v>0.0</v>
      </c>
      <c r="J1622" s="3" t="s">
        <v>72</v>
      </c>
    </row>
    <row r="1623">
      <c r="C1623" s="3" t="s">
        <v>17</v>
      </c>
      <c r="D1623" s="3">
        <v>5284.0</v>
      </c>
      <c r="E1623" s="3" t="s">
        <v>1381</v>
      </c>
      <c r="F1623" s="5">
        <v>46195.82476851852</v>
      </c>
      <c r="G1623" s="5">
        <v>46195.7184375</v>
      </c>
      <c r="H1623" s="3" t="s">
        <v>14</v>
      </c>
      <c r="I1623" s="7">
        <v>0.0</v>
      </c>
      <c r="J1623" s="3" t="s">
        <v>72</v>
      </c>
    </row>
    <row r="1624">
      <c r="C1624" s="3" t="s">
        <v>21</v>
      </c>
      <c r="D1624" s="3">
        <v>5284.0</v>
      </c>
      <c r="E1624" s="3" t="s">
        <v>1381</v>
      </c>
      <c r="F1624" s="5">
        <v>46196.532638888886</v>
      </c>
      <c r="G1624" s="5">
        <v>46195.79791666667</v>
      </c>
      <c r="H1624" s="3" t="s">
        <v>14</v>
      </c>
      <c r="I1624" s="7">
        <v>0.0</v>
      </c>
      <c r="J1624" s="3" t="s">
        <v>72</v>
      </c>
    </row>
    <row r="1625">
      <c r="C1625" s="3" t="s">
        <v>24</v>
      </c>
      <c r="D1625" s="3">
        <v>5284.0</v>
      </c>
      <c r="E1625" s="3" t="s">
        <v>1381</v>
      </c>
      <c r="F1625" s="5">
        <v>46197.532638888886</v>
      </c>
      <c r="G1625" s="5">
        <v>46196.77825231481</v>
      </c>
      <c r="H1625" s="3" t="s">
        <v>14</v>
      </c>
      <c r="I1625" s="7">
        <v>0.0</v>
      </c>
      <c r="J1625" s="3" t="s">
        <v>72</v>
      </c>
    </row>
    <row r="1626">
      <c r="C1626" s="3" t="s">
        <v>26</v>
      </c>
      <c r="D1626" s="3">
        <v>5284.0</v>
      </c>
      <c r="E1626" s="3" t="s">
        <v>1381</v>
      </c>
      <c r="F1626" s="5">
        <v>46197.57430555556</v>
      </c>
      <c r="G1626" s="5">
        <v>46196.77829861111</v>
      </c>
      <c r="H1626" s="3" t="s">
        <v>14</v>
      </c>
      <c r="I1626" s="7">
        <v>0.0</v>
      </c>
      <c r="J1626" s="3" t="s">
        <v>72</v>
      </c>
    </row>
    <row r="1627">
      <c r="C1627" s="3" t="s">
        <v>10</v>
      </c>
      <c r="D1627" s="3">
        <v>5285.0</v>
      </c>
      <c r="E1627" s="3" t="s">
        <v>136</v>
      </c>
      <c r="F1627" s="5">
        <v>46196.42291666667</v>
      </c>
      <c r="G1627" s="5">
        <v>46195.718252314815</v>
      </c>
      <c r="H1627" s="3" t="s">
        <v>14</v>
      </c>
      <c r="I1627" s="3">
        <v>0.0</v>
      </c>
      <c r="J1627" s="3" t="s">
        <v>15</v>
      </c>
    </row>
    <row r="1628">
      <c r="C1628" s="3" t="s">
        <v>17</v>
      </c>
      <c r="D1628" s="3">
        <v>5285.0</v>
      </c>
      <c r="E1628" s="3" t="s">
        <v>136</v>
      </c>
      <c r="F1628" s="5">
        <v>46196.42986111111</v>
      </c>
      <c r="G1628" s="5">
        <v>46195.71849537037</v>
      </c>
      <c r="H1628" s="3" t="s">
        <v>14</v>
      </c>
      <c r="I1628" s="7">
        <v>0.0</v>
      </c>
      <c r="J1628" s="3" t="s">
        <v>15</v>
      </c>
    </row>
    <row r="1629">
      <c r="C1629" s="3" t="s">
        <v>21</v>
      </c>
      <c r="D1629" s="3">
        <v>5285.0</v>
      </c>
      <c r="E1629" s="3" t="s">
        <v>136</v>
      </c>
      <c r="F1629" s="5">
        <v>46196.53402777778</v>
      </c>
      <c r="G1629" s="5">
        <v>46195.79787037037</v>
      </c>
      <c r="H1629" s="3" t="s">
        <v>14</v>
      </c>
      <c r="I1629" s="7">
        <v>0.0</v>
      </c>
      <c r="J1629" s="3" t="s">
        <v>15</v>
      </c>
    </row>
    <row r="1630">
      <c r="C1630" s="3" t="s">
        <v>24</v>
      </c>
      <c r="D1630" s="3">
        <v>5285.0</v>
      </c>
      <c r="E1630" s="3" t="s">
        <v>136</v>
      </c>
      <c r="F1630" s="5">
        <v>46197.53402777778</v>
      </c>
      <c r="G1630" s="5">
        <v>46197.490324074075</v>
      </c>
      <c r="H1630" s="3" t="s">
        <v>14</v>
      </c>
      <c r="I1630" s="7">
        <v>0.0</v>
      </c>
      <c r="J1630" s="3" t="s">
        <v>15</v>
      </c>
    </row>
    <row r="1631">
      <c r="C1631" s="3" t="s">
        <v>26</v>
      </c>
      <c r="D1631" s="3">
        <v>5285.0</v>
      </c>
      <c r="E1631" s="3" t="s">
        <v>136</v>
      </c>
      <c r="F1631" s="5">
        <v>46197.575694444444</v>
      </c>
      <c r="G1631" s="5">
        <v>46197.490381944444</v>
      </c>
      <c r="H1631" s="3" t="s">
        <v>14</v>
      </c>
      <c r="I1631" s="7">
        <v>0.0</v>
      </c>
      <c r="J1631" s="3" t="s">
        <v>15</v>
      </c>
    </row>
    <row r="1632">
      <c r="C1632" s="3" t="s">
        <v>10</v>
      </c>
      <c r="D1632" s="3">
        <v>5286.0</v>
      </c>
      <c r="E1632" s="3">
        <v>2781.0</v>
      </c>
      <c r="F1632" s="5">
        <v>46196.755902777775</v>
      </c>
      <c r="G1632" s="5">
        <v>46196.77795138889</v>
      </c>
      <c r="H1632" s="3" t="s">
        <v>14</v>
      </c>
      <c r="I1632" s="3">
        <v>0.02</v>
      </c>
      <c r="J1632" s="3" t="s">
        <v>72</v>
      </c>
    </row>
    <row r="1633">
      <c r="C1633" s="3" t="s">
        <v>17</v>
      </c>
      <c r="D1633" s="3">
        <v>5286.0</v>
      </c>
      <c r="E1633" s="3">
        <v>2781.0</v>
      </c>
      <c r="F1633" s="5">
        <v>46196.76284722222</v>
      </c>
      <c r="G1633" s="5">
        <v>46196.77800925926</v>
      </c>
      <c r="H1633" s="3" t="s">
        <v>14</v>
      </c>
      <c r="I1633" s="7">
        <v>0.015162037037037036</v>
      </c>
      <c r="J1633" s="3" t="s">
        <v>72</v>
      </c>
    </row>
    <row r="1634">
      <c r="C1634" s="3" t="s">
        <v>21</v>
      </c>
      <c r="D1634" s="3">
        <v>5286.0</v>
      </c>
      <c r="E1634" s="3">
        <v>2781.0</v>
      </c>
      <c r="F1634" s="5">
        <v>46197.42916666667</v>
      </c>
      <c r="G1634" s="5">
        <v>46196.77804398148</v>
      </c>
      <c r="H1634" s="3" t="s">
        <v>14</v>
      </c>
      <c r="I1634" s="7">
        <v>0.0</v>
      </c>
      <c r="J1634" s="3" t="s">
        <v>72</v>
      </c>
    </row>
    <row r="1635">
      <c r="C1635" s="3" t="s">
        <v>24</v>
      </c>
      <c r="D1635" s="3">
        <v>5286.0</v>
      </c>
      <c r="E1635" s="3">
        <v>2781.0</v>
      </c>
      <c r="F1635" s="5">
        <v>46198.42916666667</v>
      </c>
      <c r="G1635" s="5">
        <v>46198.406851851854</v>
      </c>
      <c r="H1635" s="3" t="s">
        <v>14</v>
      </c>
      <c r="I1635" s="7">
        <v>0.0</v>
      </c>
      <c r="J1635" s="3" t="s">
        <v>72</v>
      </c>
    </row>
    <row r="1636">
      <c r="C1636" s="3" t="s">
        <v>26</v>
      </c>
      <c r="D1636" s="3">
        <v>5286.0</v>
      </c>
      <c r="E1636" s="3">
        <v>2781.0</v>
      </c>
      <c r="F1636" s="5">
        <v>46198.47083333333</v>
      </c>
      <c r="G1636" s="5">
        <v>46198.40689814815</v>
      </c>
      <c r="H1636" s="3" t="s">
        <v>14</v>
      </c>
      <c r="I1636" s="7">
        <v>0.0</v>
      </c>
      <c r="J1636" s="3" t="s">
        <v>72</v>
      </c>
    </row>
    <row r="1637">
      <c r="C1637" s="3" t="s">
        <v>10</v>
      </c>
      <c r="D1637" s="3">
        <v>5287.0</v>
      </c>
      <c r="E1637" s="3" t="s">
        <v>74</v>
      </c>
      <c r="F1637" s="5">
        <v>46197.65346064815</v>
      </c>
      <c r="G1637" s="5">
        <v>46197.49010416667</v>
      </c>
      <c r="H1637" s="3" t="s">
        <v>14</v>
      </c>
      <c r="I1637" s="3">
        <v>0.0</v>
      </c>
      <c r="J1637" s="3" t="s">
        <v>48</v>
      </c>
    </row>
    <row r="1638">
      <c r="C1638" s="3" t="s">
        <v>17</v>
      </c>
      <c r="D1638" s="3">
        <v>5287.0</v>
      </c>
      <c r="E1638" s="3" t="s">
        <v>74</v>
      </c>
      <c r="F1638" s="5">
        <v>46197.660405092596</v>
      </c>
      <c r="G1638" s="5">
        <v>46197.49024305555</v>
      </c>
      <c r="H1638" s="3" t="s">
        <v>14</v>
      </c>
      <c r="I1638" s="7">
        <v>0.0</v>
      </c>
      <c r="J1638" s="3" t="s">
        <v>48</v>
      </c>
    </row>
    <row r="1639">
      <c r="C1639" s="3" t="s">
        <v>21</v>
      </c>
      <c r="D1639" s="3">
        <v>5287.0</v>
      </c>
      <c r="E1639" s="3" t="s">
        <v>74</v>
      </c>
      <c r="F1639" s="5">
        <v>46197.76457175926</v>
      </c>
      <c r="G1639" s="5">
        <v>46197.56165509259</v>
      </c>
      <c r="H1639" s="3" t="s">
        <v>14</v>
      </c>
      <c r="I1639" s="7">
        <v>0.0</v>
      </c>
      <c r="J1639" s="3" t="s">
        <v>48</v>
      </c>
    </row>
    <row r="1640">
      <c r="C1640" s="3" t="s">
        <v>24</v>
      </c>
      <c r="D1640" s="3">
        <v>5287.0</v>
      </c>
      <c r="E1640" s="3" t="s">
        <v>74</v>
      </c>
      <c r="F1640" s="5">
        <v>46198.76388888889</v>
      </c>
      <c r="G1640" s="5">
        <v>46198.47335648148</v>
      </c>
      <c r="H1640" s="3" t="s">
        <v>14</v>
      </c>
      <c r="I1640" s="7">
        <v>0.0</v>
      </c>
      <c r="J1640" s="3" t="s">
        <v>48</v>
      </c>
    </row>
    <row r="1641">
      <c r="C1641" s="3" t="s">
        <v>26</v>
      </c>
      <c r="D1641" s="3">
        <v>5287.0</v>
      </c>
      <c r="E1641" s="3" t="s">
        <v>74</v>
      </c>
      <c r="F1641" s="5">
        <v>46198.805555555555</v>
      </c>
      <c r="G1641" s="5">
        <v>46198.473391203705</v>
      </c>
      <c r="H1641" s="3" t="s">
        <v>14</v>
      </c>
      <c r="I1641" s="7">
        <v>0.0</v>
      </c>
      <c r="J1641" s="3" t="s">
        <v>48</v>
      </c>
    </row>
    <row r="1642">
      <c r="C1642" s="3" t="s">
        <v>10</v>
      </c>
      <c r="D1642" s="3">
        <v>5288.0</v>
      </c>
      <c r="E1642" s="3" t="s">
        <v>1397</v>
      </c>
      <c r="F1642" s="5">
        <v>46197.683344907404</v>
      </c>
      <c r="G1642" s="5">
        <v>46197.51777777778</v>
      </c>
      <c r="H1642" s="3" t="s">
        <v>14</v>
      </c>
      <c r="I1642" s="3">
        <v>0.0</v>
      </c>
      <c r="J1642" s="3" t="s">
        <v>15</v>
      </c>
    </row>
    <row r="1643">
      <c r="C1643" s="3" t="s">
        <v>17</v>
      </c>
      <c r="D1643" s="3">
        <v>5288.0</v>
      </c>
      <c r="E1643" s="3" t="s">
        <v>1397</v>
      </c>
      <c r="F1643" s="5">
        <v>46197.69028935185</v>
      </c>
      <c r="G1643" s="5">
        <v>46197.518055555556</v>
      </c>
      <c r="H1643" s="3" t="s">
        <v>14</v>
      </c>
      <c r="I1643" s="7">
        <v>0.0</v>
      </c>
      <c r="J1643" s="3" t="s">
        <v>15</v>
      </c>
    </row>
    <row r="1644">
      <c r="C1644" s="3" t="s">
        <v>21</v>
      </c>
      <c r="D1644" s="3">
        <v>5288.0</v>
      </c>
      <c r="E1644" s="3" t="s">
        <v>1397</v>
      </c>
      <c r="F1644" s="5">
        <v>46197.79445601852</v>
      </c>
      <c r="G1644" s="5">
        <v>46197.51810185185</v>
      </c>
      <c r="H1644" s="3" t="s">
        <v>14</v>
      </c>
      <c r="I1644" s="7">
        <v>0.0</v>
      </c>
      <c r="J1644" s="3" t="s">
        <v>15</v>
      </c>
    </row>
    <row r="1645">
      <c r="C1645" s="3" t="s">
        <v>24</v>
      </c>
      <c r="D1645" s="3">
        <v>5288.0</v>
      </c>
      <c r="E1645" s="3" t="s">
        <v>1397</v>
      </c>
      <c r="F1645" s="5">
        <v>46198.794444444444</v>
      </c>
      <c r="G1645" s="5">
        <v>46197.628657407404</v>
      </c>
      <c r="H1645" s="3" t="s">
        <v>14</v>
      </c>
      <c r="I1645" s="7">
        <v>0.0</v>
      </c>
      <c r="J1645" s="3" t="s">
        <v>15</v>
      </c>
    </row>
    <row r="1646">
      <c r="C1646" s="3" t="s">
        <v>26</v>
      </c>
      <c r="D1646" s="3">
        <v>5288.0</v>
      </c>
      <c r="E1646" s="3" t="s">
        <v>1397</v>
      </c>
      <c r="F1646" s="5">
        <v>46199.419444444444</v>
      </c>
      <c r="G1646" s="5">
        <v>46197.62868055556</v>
      </c>
      <c r="H1646" s="3" t="s">
        <v>14</v>
      </c>
      <c r="I1646" s="7">
        <v>0.0</v>
      </c>
      <c r="J1646" s="3" t="s">
        <v>15</v>
      </c>
    </row>
    <row r="1647">
      <c r="C1647" s="3" t="s">
        <v>10</v>
      </c>
      <c r="D1647" s="3">
        <v>5289.0</v>
      </c>
      <c r="E1647" s="3" t="s">
        <v>1403</v>
      </c>
      <c r="F1647" s="5">
        <v>46197.692337962966</v>
      </c>
      <c r="G1647" s="5">
        <v>46197.54556712963</v>
      </c>
      <c r="H1647" s="3" t="s">
        <v>14</v>
      </c>
      <c r="I1647" s="3">
        <v>0.0</v>
      </c>
      <c r="J1647" s="3" t="s">
        <v>15</v>
      </c>
    </row>
    <row r="1648">
      <c r="C1648" s="3" t="s">
        <v>17</v>
      </c>
      <c r="D1648" s="3">
        <v>5289.0</v>
      </c>
      <c r="E1648" s="3" t="s">
        <v>1403</v>
      </c>
      <c r="F1648" s="5">
        <v>46197.699282407404</v>
      </c>
      <c r="G1648" s="5">
        <v>46197.54572916667</v>
      </c>
      <c r="H1648" s="3" t="s">
        <v>14</v>
      </c>
      <c r="I1648" s="7">
        <v>0.0</v>
      </c>
      <c r="J1648" s="3" t="s">
        <v>15</v>
      </c>
    </row>
    <row r="1649">
      <c r="C1649" s="3" t="s">
        <v>21</v>
      </c>
      <c r="D1649" s="3">
        <v>5289.0</v>
      </c>
      <c r="E1649" s="3" t="s">
        <v>1403</v>
      </c>
      <c r="F1649" s="5">
        <v>46197.803449074076</v>
      </c>
      <c r="G1649" s="5">
        <v>46197.54582175926</v>
      </c>
      <c r="H1649" s="3" t="s">
        <v>14</v>
      </c>
      <c r="I1649" s="7">
        <v>0.0</v>
      </c>
      <c r="J1649" s="3" t="s">
        <v>15</v>
      </c>
    </row>
    <row r="1650">
      <c r="C1650" s="3" t="s">
        <v>24</v>
      </c>
      <c r="D1650" s="3">
        <v>5289.0</v>
      </c>
      <c r="E1650" s="3" t="s">
        <v>1403</v>
      </c>
      <c r="F1650" s="5">
        <v>46198.802777777775</v>
      </c>
      <c r="G1650" s="5">
        <v>46197.58767361111</v>
      </c>
      <c r="H1650" s="3" t="s">
        <v>14</v>
      </c>
      <c r="I1650" s="7">
        <v>0.0</v>
      </c>
      <c r="J1650" s="3" t="s">
        <v>15</v>
      </c>
    </row>
    <row r="1651">
      <c r="C1651" s="3" t="s">
        <v>26</v>
      </c>
      <c r="D1651" s="3">
        <v>5289.0</v>
      </c>
      <c r="E1651" s="3" t="s">
        <v>1403</v>
      </c>
      <c r="F1651" s="5">
        <v>46199.427777777775</v>
      </c>
      <c r="G1651" s="5">
        <v>46197.587789351855</v>
      </c>
      <c r="H1651" s="3" t="s">
        <v>14</v>
      </c>
      <c r="I1651" s="7">
        <v>0.0</v>
      </c>
      <c r="J1651" s="3" t="s">
        <v>15</v>
      </c>
    </row>
    <row r="1652">
      <c r="C1652" s="3" t="s">
        <v>10</v>
      </c>
      <c r="D1652" s="3">
        <v>5290.0</v>
      </c>
      <c r="E1652" s="3" t="s">
        <v>1406</v>
      </c>
      <c r="F1652" s="5">
        <v>46197.706608796296</v>
      </c>
      <c r="G1652" s="5">
        <v>46197.54561342593</v>
      </c>
      <c r="H1652" s="3" t="s">
        <v>14</v>
      </c>
      <c r="I1652" s="3">
        <v>0.0</v>
      </c>
      <c r="J1652" s="3" t="s">
        <v>15</v>
      </c>
    </row>
    <row r="1653">
      <c r="C1653" s="3" t="s">
        <v>17</v>
      </c>
      <c r="D1653" s="3">
        <v>5290.0</v>
      </c>
      <c r="E1653" s="3" t="s">
        <v>1406</v>
      </c>
      <c r="F1653" s="5">
        <v>46197.71355324074</v>
      </c>
      <c r="G1653" s="5">
        <v>46197.54574074074</v>
      </c>
      <c r="H1653" s="3" t="s">
        <v>14</v>
      </c>
      <c r="I1653" s="7">
        <v>0.0</v>
      </c>
      <c r="J1653" s="3" t="s">
        <v>15</v>
      </c>
    </row>
    <row r="1654">
      <c r="C1654" s="3" t="s">
        <v>21</v>
      </c>
      <c r="D1654" s="3">
        <v>5290.0</v>
      </c>
      <c r="E1654" s="3" t="s">
        <v>1406</v>
      </c>
      <c r="F1654" s="5">
        <v>46197.817719907405</v>
      </c>
      <c r="G1654" s="5">
        <v>46197.54584490741</v>
      </c>
      <c r="H1654" s="3" t="s">
        <v>14</v>
      </c>
      <c r="I1654" s="7">
        <v>0.0</v>
      </c>
      <c r="J1654" s="3" t="s">
        <v>15</v>
      </c>
    </row>
    <row r="1655">
      <c r="C1655" s="3" t="s">
        <v>24</v>
      </c>
      <c r="D1655" s="3">
        <v>5290.0</v>
      </c>
      <c r="E1655" s="3" t="s">
        <v>1406</v>
      </c>
      <c r="F1655" s="5">
        <v>46198.81736111111</v>
      </c>
      <c r="G1655" s="5">
        <v>46197.803402777776</v>
      </c>
      <c r="H1655" s="3" t="s">
        <v>14</v>
      </c>
      <c r="I1655" s="7">
        <v>0.0</v>
      </c>
      <c r="J1655" s="3" t="s">
        <v>15</v>
      </c>
    </row>
    <row r="1656">
      <c r="C1656" s="3" t="s">
        <v>26</v>
      </c>
      <c r="D1656" s="3">
        <v>5290.0</v>
      </c>
      <c r="E1656" s="3" t="s">
        <v>1406</v>
      </c>
      <c r="F1656" s="5">
        <v>46199.44236111111</v>
      </c>
      <c r="G1656" s="5">
        <v>46197.8034375</v>
      </c>
      <c r="H1656" s="3" t="s">
        <v>14</v>
      </c>
      <c r="I1656" s="7">
        <v>0.0</v>
      </c>
      <c r="J1656" s="3" t="s">
        <v>15</v>
      </c>
    </row>
    <row r="1657">
      <c r="C1657" s="3" t="s">
        <v>10</v>
      </c>
      <c r="D1657" s="3">
        <v>5291.0</v>
      </c>
      <c r="E1657" s="3" t="s">
        <v>1410</v>
      </c>
      <c r="F1657" s="5">
        <v>46197.71871527778</v>
      </c>
      <c r="G1657" s="5">
        <v>46197.561261574076</v>
      </c>
      <c r="H1657" s="3" t="s">
        <v>14</v>
      </c>
      <c r="I1657" s="3">
        <v>0.0</v>
      </c>
      <c r="J1657" s="3" t="s">
        <v>48</v>
      </c>
    </row>
    <row r="1658">
      <c r="C1658" s="3" t="s">
        <v>17</v>
      </c>
      <c r="D1658" s="3">
        <v>5291.0</v>
      </c>
      <c r="E1658" s="3" t="s">
        <v>1410</v>
      </c>
      <c r="F1658" s="5">
        <v>46197.72565972222</v>
      </c>
      <c r="G1658" s="5">
        <v>46197.56148148148</v>
      </c>
      <c r="H1658" s="3" t="s">
        <v>14</v>
      </c>
      <c r="I1658" s="7">
        <v>0.0</v>
      </c>
      <c r="J1658" s="3" t="s">
        <v>48</v>
      </c>
    </row>
    <row r="1659">
      <c r="C1659" s="3" t="s">
        <v>21</v>
      </c>
      <c r="D1659" s="3">
        <v>5291.0</v>
      </c>
      <c r="E1659" s="3" t="s">
        <v>1410</v>
      </c>
      <c r="F1659" s="5">
        <v>46197.82982638889</v>
      </c>
      <c r="G1659" s="5">
        <v>46197.56159722222</v>
      </c>
      <c r="H1659" s="3" t="s">
        <v>14</v>
      </c>
      <c r="I1659" s="7">
        <v>0.0</v>
      </c>
      <c r="J1659" s="3" t="s">
        <v>48</v>
      </c>
    </row>
    <row r="1660">
      <c r="C1660" s="3" t="s">
        <v>24</v>
      </c>
      <c r="D1660" s="3">
        <v>5291.0</v>
      </c>
      <c r="E1660" s="3" t="s">
        <v>1410</v>
      </c>
      <c r="F1660" s="5">
        <v>46198.82916666667</v>
      </c>
      <c r="G1660" s="5">
        <v>46198.49865740741</v>
      </c>
      <c r="H1660" s="3" t="s">
        <v>14</v>
      </c>
      <c r="I1660" s="7">
        <v>0.0</v>
      </c>
      <c r="J1660" s="3" t="s">
        <v>48</v>
      </c>
    </row>
    <row r="1661">
      <c r="C1661" s="3" t="s">
        <v>26</v>
      </c>
      <c r="D1661" s="3">
        <v>5291.0</v>
      </c>
      <c r="E1661" s="3" t="s">
        <v>1410</v>
      </c>
      <c r="F1661" s="5">
        <v>46199.45416666667</v>
      </c>
      <c r="G1661" s="5">
        <v>46199.45408564815</v>
      </c>
      <c r="H1661" s="3" t="s">
        <v>14</v>
      </c>
      <c r="I1661" s="7">
        <v>0.0</v>
      </c>
      <c r="J1661" s="3" t="s">
        <v>48</v>
      </c>
    </row>
    <row r="1662">
      <c r="C1662" s="3" t="s">
        <v>10</v>
      </c>
      <c r="D1662" s="3">
        <v>5292.0</v>
      </c>
      <c r="E1662" s="3" t="s">
        <v>1413</v>
      </c>
      <c r="F1662" s="5">
        <v>46197.72607638889</v>
      </c>
      <c r="G1662" s="5">
        <v>46197.56128472222</v>
      </c>
      <c r="H1662" s="3" t="s">
        <v>14</v>
      </c>
      <c r="I1662" s="3">
        <v>0.0</v>
      </c>
      <c r="J1662" s="3" t="s">
        <v>48</v>
      </c>
    </row>
    <row r="1663">
      <c r="C1663" s="3" t="s">
        <v>17</v>
      </c>
      <c r="D1663" s="3">
        <v>5292.0</v>
      </c>
      <c r="E1663" s="3" t="s">
        <v>1413</v>
      </c>
      <c r="F1663" s="5">
        <v>46197.73302083334</v>
      </c>
      <c r="G1663" s="5">
        <v>46197.56149305555</v>
      </c>
      <c r="H1663" s="3" t="s">
        <v>14</v>
      </c>
      <c r="I1663" s="7">
        <v>0.0</v>
      </c>
      <c r="J1663" s="3" t="s">
        <v>48</v>
      </c>
    </row>
    <row r="1664">
      <c r="C1664" s="3" t="s">
        <v>21</v>
      </c>
      <c r="D1664" s="3">
        <v>5292.0</v>
      </c>
      <c r="E1664" s="3" t="s">
        <v>1413</v>
      </c>
      <c r="F1664" s="5">
        <v>46198.44097222222</v>
      </c>
      <c r="G1664" s="5">
        <v>46197.56162037037</v>
      </c>
      <c r="H1664" s="3" t="s">
        <v>14</v>
      </c>
      <c r="I1664" s="7">
        <v>0.0</v>
      </c>
      <c r="J1664" s="3" t="s">
        <v>48</v>
      </c>
    </row>
    <row r="1665">
      <c r="C1665" s="3" t="s">
        <v>24</v>
      </c>
      <c r="D1665" s="3">
        <v>5292.0</v>
      </c>
      <c r="E1665" s="3" t="s">
        <v>1413</v>
      </c>
      <c r="F1665" s="5">
        <v>46199.44097222222</v>
      </c>
      <c r="G1665" s="5">
        <v>46199.45384259259</v>
      </c>
      <c r="H1665" s="3" t="s">
        <v>14</v>
      </c>
      <c r="I1665" s="7">
        <v>0.01287037037037037</v>
      </c>
      <c r="J1665" s="3" t="s">
        <v>48</v>
      </c>
    </row>
    <row r="1666">
      <c r="C1666" s="3" t="s">
        <v>26</v>
      </c>
      <c r="D1666" s="3">
        <v>5292.0</v>
      </c>
      <c r="E1666" s="3" t="s">
        <v>1413</v>
      </c>
      <c r="F1666" s="5">
        <v>46199.48263888889</v>
      </c>
      <c r="G1666" s="5">
        <v>46199.453935185185</v>
      </c>
      <c r="H1666" s="3" t="s">
        <v>14</v>
      </c>
      <c r="I1666" s="7">
        <v>0.0</v>
      </c>
      <c r="J1666" s="3" t="s">
        <v>48</v>
      </c>
    </row>
    <row r="1667">
      <c r="C1667" s="3" t="s">
        <v>10</v>
      </c>
      <c r="D1667" s="3">
        <v>5293.0</v>
      </c>
      <c r="E1667" s="3" t="s">
        <v>1417</v>
      </c>
      <c r="F1667" s="5">
        <v>46198.444444444445</v>
      </c>
      <c r="G1667" s="5">
        <v>46197.80331018518</v>
      </c>
      <c r="H1667" s="3" t="s">
        <v>14</v>
      </c>
      <c r="I1667" s="3">
        <v>0.0</v>
      </c>
      <c r="J1667" s="3" t="s">
        <v>48</v>
      </c>
    </row>
    <row r="1668">
      <c r="C1668" s="3" t="s">
        <v>17</v>
      </c>
      <c r="D1668" s="3">
        <v>5293.0</v>
      </c>
      <c r="E1668" s="3" t="s">
        <v>1417</v>
      </c>
      <c r="F1668" s="5">
        <v>46198.45138888889</v>
      </c>
      <c r="G1668" s="5">
        <v>46197.803506944445</v>
      </c>
      <c r="H1668" s="3" t="s">
        <v>14</v>
      </c>
      <c r="I1668" s="7">
        <v>0.0</v>
      </c>
      <c r="J1668" s="3" t="s">
        <v>48</v>
      </c>
    </row>
    <row r="1669">
      <c r="C1669" s="3" t="s">
        <v>21</v>
      </c>
      <c r="D1669" s="3">
        <v>5293.0</v>
      </c>
      <c r="E1669" s="3" t="s">
        <v>1417</v>
      </c>
      <c r="F1669" s="5">
        <v>46198.555555555555</v>
      </c>
      <c r="G1669" s="5">
        <v>46198.472962962966</v>
      </c>
      <c r="H1669" s="3" t="s">
        <v>14</v>
      </c>
      <c r="I1669" s="7">
        <v>0.0</v>
      </c>
      <c r="J1669" s="3" t="s">
        <v>48</v>
      </c>
    </row>
    <row r="1670">
      <c r="C1670" s="3" t="s">
        <v>24</v>
      </c>
      <c r="D1670" s="3">
        <v>5293.0</v>
      </c>
      <c r="E1670" s="3" t="s">
        <v>1417</v>
      </c>
      <c r="F1670" s="5">
        <v>46199.555555555555</v>
      </c>
      <c r="G1670" s="5">
        <v>46199.45427083333</v>
      </c>
      <c r="H1670" s="3" t="s">
        <v>14</v>
      </c>
      <c r="I1670" s="7">
        <v>0.0</v>
      </c>
      <c r="J1670" s="3" t="s">
        <v>48</v>
      </c>
    </row>
    <row r="1671">
      <c r="C1671" s="3" t="s">
        <v>26</v>
      </c>
      <c r="D1671" s="3">
        <v>5293.0</v>
      </c>
      <c r="E1671" s="3" t="s">
        <v>1417</v>
      </c>
      <c r="F1671" s="5">
        <v>46199.59722222222</v>
      </c>
      <c r="G1671" s="5">
        <v>46199.45429398148</v>
      </c>
      <c r="H1671" s="3" t="s">
        <v>14</v>
      </c>
      <c r="I1671" s="7">
        <v>0.0</v>
      </c>
      <c r="J1671" s="3" t="s">
        <v>48</v>
      </c>
    </row>
    <row r="1672">
      <c r="C1672" s="3" t="s">
        <v>10</v>
      </c>
      <c r="D1672" s="3">
        <v>5294.0</v>
      </c>
      <c r="E1672" s="3" t="s">
        <v>1423</v>
      </c>
      <c r="F1672" s="5">
        <v>46198.642534722225</v>
      </c>
      <c r="G1672" s="5">
        <v>46198.47623842592</v>
      </c>
      <c r="H1672" s="3" t="s">
        <v>14</v>
      </c>
      <c r="I1672" s="3">
        <v>0.0</v>
      </c>
      <c r="J1672" s="3" t="s">
        <v>15</v>
      </c>
    </row>
    <row r="1673">
      <c r="C1673" s="3" t="s">
        <v>17</v>
      </c>
      <c r="D1673" s="3">
        <v>5294.0</v>
      </c>
      <c r="E1673" s="3" t="s">
        <v>1423</v>
      </c>
      <c r="F1673" s="5">
        <v>46198.64947916667</v>
      </c>
      <c r="G1673" s="5">
        <v>46198.47630787037</v>
      </c>
      <c r="H1673" s="3" t="s">
        <v>14</v>
      </c>
      <c r="I1673" s="7">
        <v>0.0</v>
      </c>
      <c r="J1673" s="3" t="s">
        <v>15</v>
      </c>
    </row>
    <row r="1674">
      <c r="C1674" s="3" t="s">
        <v>21</v>
      </c>
      <c r="D1674" s="3">
        <v>5294.0</v>
      </c>
      <c r="E1674" s="3" t="s">
        <v>1423</v>
      </c>
      <c r="F1674" s="5">
        <v>46198.753645833334</v>
      </c>
      <c r="G1674" s="5">
        <v>46198.476331018515</v>
      </c>
      <c r="H1674" s="3" t="s">
        <v>14</v>
      </c>
      <c r="I1674" s="7">
        <v>0.0</v>
      </c>
      <c r="J1674" s="3" t="s">
        <v>15</v>
      </c>
    </row>
    <row r="1675">
      <c r="C1675" s="3" t="s">
        <v>24</v>
      </c>
      <c r="D1675" s="3">
        <v>5294.0</v>
      </c>
      <c r="E1675" s="3" t="s">
        <v>1423</v>
      </c>
      <c r="F1675" s="5">
        <v>46199.75347222222</v>
      </c>
      <c r="G1675" s="5">
        <v>46198.70391203704</v>
      </c>
      <c r="H1675" s="3" t="s">
        <v>14</v>
      </c>
      <c r="I1675" s="7">
        <v>0.0</v>
      </c>
      <c r="J1675" s="3" t="s">
        <v>15</v>
      </c>
    </row>
    <row r="1676">
      <c r="C1676" s="3" t="s">
        <v>26</v>
      </c>
      <c r="D1676" s="3">
        <v>5294.0</v>
      </c>
      <c r="E1676" s="3" t="s">
        <v>1423</v>
      </c>
      <c r="F1676" s="5">
        <v>46199.79513888889</v>
      </c>
      <c r="G1676" s="5">
        <v>46198.70396990741</v>
      </c>
      <c r="H1676" s="3" t="s">
        <v>14</v>
      </c>
      <c r="I1676" s="7">
        <v>0.0</v>
      </c>
      <c r="J1676" s="3" t="s">
        <v>15</v>
      </c>
    </row>
    <row r="1677">
      <c r="C1677" s="3" t="s">
        <v>10</v>
      </c>
      <c r="D1677" s="3">
        <v>5295.0</v>
      </c>
      <c r="E1677" s="3" t="s">
        <v>1425</v>
      </c>
      <c r="F1677" s="5">
        <v>46198.669340277775</v>
      </c>
      <c r="G1677" s="5">
        <v>46198.60596064815</v>
      </c>
      <c r="H1677" s="3" t="s">
        <v>14</v>
      </c>
      <c r="I1677" s="3">
        <v>0.0</v>
      </c>
      <c r="J1677" s="3" t="s">
        <v>48</v>
      </c>
    </row>
    <row r="1678">
      <c r="C1678" s="3" t="s">
        <v>17</v>
      </c>
      <c r="D1678" s="3">
        <v>5295.0</v>
      </c>
      <c r="E1678" s="3" t="s">
        <v>1425</v>
      </c>
      <c r="F1678" s="5">
        <v>46198.67628472222</v>
      </c>
      <c r="G1678" s="5">
        <v>46198.60606481481</v>
      </c>
      <c r="H1678" s="3" t="s">
        <v>14</v>
      </c>
      <c r="I1678" s="7">
        <v>0.0</v>
      </c>
      <c r="J1678" s="3" t="s">
        <v>48</v>
      </c>
    </row>
    <row r="1679">
      <c r="C1679" s="3" t="s">
        <v>21</v>
      </c>
      <c r="D1679" s="3">
        <v>5295.0</v>
      </c>
      <c r="E1679" s="3" t="s">
        <v>1425</v>
      </c>
      <c r="F1679" s="5">
        <v>46198.78045138889</v>
      </c>
      <c r="G1679" s="5">
        <v>46198.606099537035</v>
      </c>
      <c r="H1679" s="3" t="s">
        <v>14</v>
      </c>
      <c r="I1679" s="7">
        <v>0.0</v>
      </c>
      <c r="J1679" s="3" t="s">
        <v>48</v>
      </c>
    </row>
    <row r="1680">
      <c r="C1680" s="3" t="s">
        <v>24</v>
      </c>
      <c r="D1680" s="3">
        <v>5295.0</v>
      </c>
      <c r="E1680" s="3" t="s">
        <v>1425</v>
      </c>
      <c r="F1680" s="5">
        <v>46199.779861111114</v>
      </c>
      <c r="G1680" s="5">
        <v>46199.617581018516</v>
      </c>
      <c r="H1680" s="3" t="s">
        <v>14</v>
      </c>
      <c r="I1680" s="7">
        <v>0.0</v>
      </c>
      <c r="J1680" s="3" t="s">
        <v>48</v>
      </c>
    </row>
    <row r="1681">
      <c r="C1681" s="3" t="s">
        <v>26</v>
      </c>
      <c r="D1681" s="3">
        <v>5295.0</v>
      </c>
      <c r="E1681" s="3" t="s">
        <v>1425</v>
      </c>
      <c r="F1681" s="5">
        <v>46199.82152777778</v>
      </c>
      <c r="G1681" s="5">
        <v>46199.61761574074</v>
      </c>
      <c r="H1681" s="3" t="s">
        <v>14</v>
      </c>
      <c r="I1681" s="7">
        <v>0.0</v>
      </c>
      <c r="J1681" s="3" t="s">
        <v>48</v>
      </c>
    </row>
    <row r="1682">
      <c r="C1682" s="3" t="s">
        <v>10</v>
      </c>
      <c r="D1682" s="3">
        <v>5296.0</v>
      </c>
      <c r="E1682" s="3" t="s">
        <v>1430</v>
      </c>
      <c r="F1682" s="5">
        <v>46198.682233796295</v>
      </c>
      <c r="G1682" s="5">
        <v>46198.60596064815</v>
      </c>
      <c r="H1682" s="3" t="s">
        <v>14</v>
      </c>
      <c r="I1682" s="3">
        <v>0.0</v>
      </c>
      <c r="J1682" s="3" t="s">
        <v>72</v>
      </c>
    </row>
    <row r="1683">
      <c r="C1683" s="3" t="s">
        <v>17</v>
      </c>
      <c r="D1683" s="3">
        <v>5296.0</v>
      </c>
      <c r="E1683" s="3" t="s">
        <v>1430</v>
      </c>
      <c r="F1683" s="5">
        <v>46198.68917824074</v>
      </c>
      <c r="G1683" s="5">
        <v>46198.60606481481</v>
      </c>
      <c r="H1683" s="3" t="s">
        <v>14</v>
      </c>
      <c r="I1683" s="7">
        <v>0.0</v>
      </c>
      <c r="J1683" s="3" t="s">
        <v>72</v>
      </c>
    </row>
    <row r="1684">
      <c r="C1684" s="3" t="s">
        <v>21</v>
      </c>
      <c r="D1684" s="3">
        <v>5296.0</v>
      </c>
      <c r="E1684" s="3" t="s">
        <v>1430</v>
      </c>
      <c r="F1684" s="5">
        <v>46198.793344907404</v>
      </c>
      <c r="G1684" s="5">
        <v>46198.606099537035</v>
      </c>
      <c r="H1684" s="3" t="s">
        <v>14</v>
      </c>
      <c r="I1684" s="7">
        <v>0.0</v>
      </c>
      <c r="J1684" s="3" t="s">
        <v>72</v>
      </c>
    </row>
    <row r="1685">
      <c r="C1685" s="3" t="s">
        <v>24</v>
      </c>
      <c r="D1685" s="3">
        <v>5296.0</v>
      </c>
      <c r="E1685" s="3" t="s">
        <v>1430</v>
      </c>
      <c r="F1685" s="5">
        <v>46199.79305555556</v>
      </c>
      <c r="G1685" s="5">
        <v>46199.46784722222</v>
      </c>
      <c r="H1685" s="3" t="s">
        <v>14</v>
      </c>
      <c r="I1685" s="7">
        <v>0.0</v>
      </c>
      <c r="J1685" s="3" t="s">
        <v>72</v>
      </c>
    </row>
    <row r="1686">
      <c r="C1686" s="3" t="s">
        <v>26</v>
      </c>
      <c r="D1686" s="3">
        <v>5296.0</v>
      </c>
      <c r="E1686" s="3" t="s">
        <v>1430</v>
      </c>
      <c r="F1686" s="5">
        <v>46200.41805555556</v>
      </c>
      <c r="G1686" s="5">
        <v>46199.467881944445</v>
      </c>
      <c r="H1686" s="3" t="s">
        <v>14</v>
      </c>
      <c r="I1686" s="7">
        <v>0.0</v>
      </c>
      <c r="J1686" s="3" t="s">
        <v>72</v>
      </c>
    </row>
    <row r="1687">
      <c r="C1687" s="3" t="s">
        <v>10</v>
      </c>
      <c r="D1687" s="3">
        <v>5297.0</v>
      </c>
      <c r="E1687" s="3" t="s">
        <v>1434</v>
      </c>
      <c r="F1687" s="5">
        <v>46199.50833333333</v>
      </c>
      <c r="G1687" s="5">
        <v>46198.76228009259</v>
      </c>
      <c r="H1687" s="3" t="s">
        <v>14</v>
      </c>
      <c r="I1687" s="3">
        <v>0.0</v>
      </c>
      <c r="J1687" s="3" t="s">
        <v>72</v>
      </c>
    </row>
    <row r="1688">
      <c r="C1688" s="3" t="s">
        <v>17</v>
      </c>
      <c r="D1688" s="3">
        <v>5297.0</v>
      </c>
      <c r="E1688" s="3" t="s">
        <v>1434</v>
      </c>
      <c r="F1688" s="5">
        <v>46199.51527777778</v>
      </c>
      <c r="G1688" s="5">
        <v>46198.76231481481</v>
      </c>
      <c r="H1688" s="3" t="s">
        <v>14</v>
      </c>
      <c r="I1688" s="7">
        <v>0.0</v>
      </c>
      <c r="J1688" s="3" t="s">
        <v>72</v>
      </c>
    </row>
    <row r="1689">
      <c r="C1689" s="3" t="s">
        <v>21</v>
      </c>
      <c r="D1689" s="3">
        <v>5297.0</v>
      </c>
      <c r="E1689" s="3" t="s">
        <v>1434</v>
      </c>
      <c r="F1689" s="5">
        <v>46199.61944444444</v>
      </c>
      <c r="G1689" s="5">
        <v>46198.76236111111</v>
      </c>
      <c r="H1689" s="3" t="s">
        <v>14</v>
      </c>
      <c r="I1689" s="7">
        <v>0.0</v>
      </c>
      <c r="J1689" s="3" t="s">
        <v>72</v>
      </c>
    </row>
    <row r="1690">
      <c r="C1690" s="3" t="s">
        <v>24</v>
      </c>
      <c r="D1690" s="3">
        <v>5297.0</v>
      </c>
      <c r="E1690" s="3" t="s">
        <v>1434</v>
      </c>
      <c r="F1690" s="5">
        <v>46200.61944444444</v>
      </c>
      <c r="G1690" s="5">
        <v>46199.4678587963</v>
      </c>
      <c r="H1690" s="3" t="s">
        <v>14</v>
      </c>
      <c r="I1690" s="7">
        <v>0.0</v>
      </c>
      <c r="J1690" s="3" t="s">
        <v>72</v>
      </c>
    </row>
    <row r="1691">
      <c r="C1691" s="3" t="s">
        <v>26</v>
      </c>
      <c r="D1691" s="3">
        <v>5297.0</v>
      </c>
      <c r="E1691" s="3" t="s">
        <v>1434</v>
      </c>
      <c r="F1691" s="5">
        <v>46200.66111111111</v>
      </c>
      <c r="G1691" s="5">
        <v>46199.467881944445</v>
      </c>
      <c r="H1691" s="3" t="s">
        <v>14</v>
      </c>
      <c r="I1691" s="7">
        <v>0.0</v>
      </c>
      <c r="J1691" s="3" t="s">
        <v>72</v>
      </c>
    </row>
    <row r="1692">
      <c r="C1692" s="3" t="s">
        <v>10</v>
      </c>
      <c r="D1692" s="3">
        <v>5298.0</v>
      </c>
      <c r="E1692" s="3" t="s">
        <v>1437</v>
      </c>
      <c r="F1692" s="5">
        <v>46199.55</v>
      </c>
      <c r="G1692" s="5">
        <v>46198.80231481481</v>
      </c>
      <c r="H1692" s="3" t="s">
        <v>14</v>
      </c>
      <c r="I1692" s="3">
        <v>0.0</v>
      </c>
      <c r="J1692" s="3" t="s">
        <v>61</v>
      </c>
    </row>
    <row r="1693">
      <c r="C1693" s="3" t="s">
        <v>17</v>
      </c>
      <c r="D1693" s="3">
        <v>5298.0</v>
      </c>
      <c r="E1693" s="3" t="s">
        <v>1437</v>
      </c>
      <c r="F1693" s="5">
        <v>46199.55694444444</v>
      </c>
      <c r="G1693" s="5">
        <v>46198.80243055556</v>
      </c>
      <c r="H1693" s="3" t="s">
        <v>14</v>
      </c>
      <c r="I1693" s="7">
        <v>0.0</v>
      </c>
      <c r="J1693" s="3" t="s">
        <v>61</v>
      </c>
    </row>
    <row r="1694">
      <c r="C1694" s="3" t="s">
        <v>21</v>
      </c>
      <c r="D1694" s="3">
        <v>5298.0</v>
      </c>
      <c r="E1694" s="3" t="s">
        <v>1437</v>
      </c>
      <c r="F1694" s="5">
        <v>46199.66111111111</v>
      </c>
      <c r="G1694" s="5">
        <v>46198.80358796296</v>
      </c>
      <c r="H1694" s="3" t="s">
        <v>14</v>
      </c>
      <c r="I1694" s="7">
        <v>0.0</v>
      </c>
      <c r="J1694" s="3" t="s">
        <v>61</v>
      </c>
    </row>
    <row r="1695">
      <c r="C1695" s="3" t="s">
        <v>24</v>
      </c>
      <c r="D1695" s="3">
        <v>5298.0</v>
      </c>
      <c r="E1695" s="3" t="s">
        <v>1437</v>
      </c>
      <c r="F1695" s="5">
        <v>46200.66111111111</v>
      </c>
      <c r="G1695" s="5">
        <v>46198.80370370371</v>
      </c>
      <c r="H1695" s="3" t="s">
        <v>14</v>
      </c>
      <c r="I1695" s="7">
        <v>0.0</v>
      </c>
      <c r="J1695" s="3" t="s">
        <v>61</v>
      </c>
    </row>
    <row r="1696">
      <c r="C1696" s="3" t="s">
        <v>26</v>
      </c>
      <c r="D1696" s="3">
        <v>5298.0</v>
      </c>
      <c r="E1696" s="3" t="s">
        <v>1437</v>
      </c>
      <c r="F1696" s="5">
        <v>46200.70277777778</v>
      </c>
      <c r="G1696" s="5">
        <v>46200.44587962963</v>
      </c>
      <c r="H1696" s="3" t="s">
        <v>14</v>
      </c>
      <c r="I1696" s="7">
        <v>0.0</v>
      </c>
      <c r="J1696" s="3" t="s">
        <v>61</v>
      </c>
    </row>
    <row r="1697">
      <c r="C1697" s="3" t="s">
        <v>10</v>
      </c>
      <c r="D1697" s="3">
        <v>5299.0</v>
      </c>
      <c r="E1697" s="3" t="s">
        <v>1441</v>
      </c>
      <c r="F1697" s="5">
        <v>46199.55138888889</v>
      </c>
      <c r="G1697" s="5">
        <v>46198.802349537036</v>
      </c>
      <c r="H1697" s="3" t="s">
        <v>14</v>
      </c>
      <c r="I1697" s="3">
        <v>0.0</v>
      </c>
      <c r="J1697" s="3" t="s">
        <v>61</v>
      </c>
    </row>
    <row r="1698">
      <c r="C1698" s="3" t="s">
        <v>17</v>
      </c>
      <c r="D1698" s="3">
        <v>5299.0</v>
      </c>
      <c r="E1698" s="3" t="s">
        <v>1441</v>
      </c>
      <c r="F1698" s="5">
        <v>46199.558333333334</v>
      </c>
      <c r="G1698" s="5">
        <v>46198.802395833336</v>
      </c>
      <c r="H1698" s="3" t="s">
        <v>14</v>
      </c>
      <c r="I1698" s="7">
        <v>0.0</v>
      </c>
      <c r="J1698" s="3" t="s">
        <v>61</v>
      </c>
    </row>
    <row r="1699">
      <c r="C1699" s="3" t="s">
        <v>21</v>
      </c>
      <c r="D1699" s="3">
        <v>5299.0</v>
      </c>
      <c r="E1699" s="3" t="s">
        <v>1441</v>
      </c>
      <c r="F1699" s="5">
        <v>46199.6625</v>
      </c>
      <c r="G1699" s="5">
        <v>46198.803622685184</v>
      </c>
      <c r="H1699" s="3" t="s">
        <v>14</v>
      </c>
      <c r="I1699" s="7">
        <v>0.0</v>
      </c>
      <c r="J1699" s="3" t="s">
        <v>61</v>
      </c>
    </row>
    <row r="1700">
      <c r="C1700" s="3" t="s">
        <v>24</v>
      </c>
      <c r="D1700" s="3">
        <v>5299.0</v>
      </c>
      <c r="E1700" s="3" t="s">
        <v>1441</v>
      </c>
      <c r="F1700" s="5">
        <v>46200.6625</v>
      </c>
      <c r="G1700" s="5">
        <v>46198.80372685185</v>
      </c>
      <c r="H1700" s="3" t="s">
        <v>14</v>
      </c>
      <c r="I1700" s="7">
        <v>0.0</v>
      </c>
      <c r="J1700" s="3" t="s">
        <v>61</v>
      </c>
    </row>
    <row r="1701">
      <c r="C1701" s="3" t="s">
        <v>26</v>
      </c>
      <c r="D1701" s="3">
        <v>5299.0</v>
      </c>
      <c r="E1701" s="3" t="s">
        <v>1441</v>
      </c>
      <c r="F1701" s="5">
        <v>46200.70416666667</v>
      </c>
      <c r="G1701" s="5">
        <v>46200.445914351854</v>
      </c>
      <c r="H1701" s="3" t="s">
        <v>14</v>
      </c>
      <c r="I1701" s="7">
        <v>0.0</v>
      </c>
      <c r="J1701" s="3" t="s">
        <v>61</v>
      </c>
    </row>
    <row r="1702">
      <c r="C1702" s="3" t="s">
        <v>10</v>
      </c>
      <c r="D1702" s="3">
        <v>5300.0</v>
      </c>
      <c r="E1702" s="3" t="s">
        <v>1444</v>
      </c>
      <c r="F1702" s="5">
        <v>46199.552777777775</v>
      </c>
      <c r="G1702" s="5">
        <v>46198.80347222222</v>
      </c>
      <c r="H1702" s="3" t="s">
        <v>14</v>
      </c>
      <c r="I1702" s="3">
        <v>0.0</v>
      </c>
      <c r="J1702" s="3" t="s">
        <v>61</v>
      </c>
    </row>
    <row r="1703">
      <c r="C1703" s="3" t="s">
        <v>17</v>
      </c>
      <c r="D1703" s="3">
        <v>5300.0</v>
      </c>
      <c r="E1703" s="3" t="s">
        <v>1444</v>
      </c>
      <c r="F1703" s="5">
        <v>46199.55972222222</v>
      </c>
      <c r="G1703" s="5">
        <v>46198.80353009259</v>
      </c>
      <c r="H1703" s="3" t="s">
        <v>14</v>
      </c>
      <c r="I1703" s="7">
        <v>0.0</v>
      </c>
      <c r="J1703" s="3" t="s">
        <v>61</v>
      </c>
    </row>
    <row r="1704">
      <c r="C1704" s="3" t="s">
        <v>21</v>
      </c>
      <c r="D1704" s="3">
        <v>5300.0</v>
      </c>
      <c r="E1704" s="3" t="s">
        <v>1444</v>
      </c>
      <c r="F1704" s="5">
        <v>46199.66388888889</v>
      </c>
      <c r="G1704" s="5">
        <v>46198.80364583333</v>
      </c>
      <c r="H1704" s="3" t="s">
        <v>14</v>
      </c>
      <c r="I1704" s="7">
        <v>0.0</v>
      </c>
      <c r="J1704" s="3" t="s">
        <v>61</v>
      </c>
    </row>
    <row r="1705">
      <c r="C1705" s="3" t="s">
        <v>24</v>
      </c>
      <c r="D1705" s="3">
        <v>5300.0</v>
      </c>
      <c r="E1705" s="3" t="s">
        <v>1444</v>
      </c>
      <c r="F1705" s="5">
        <v>46200.66388888889</v>
      </c>
      <c r="G1705" s="5">
        <v>46198.803773148145</v>
      </c>
      <c r="H1705" s="3" t="s">
        <v>14</v>
      </c>
      <c r="I1705" s="7">
        <v>0.0</v>
      </c>
      <c r="J1705" s="3" t="s">
        <v>61</v>
      </c>
    </row>
    <row r="1706">
      <c r="C1706" s="3" t="s">
        <v>26</v>
      </c>
      <c r="D1706" s="3">
        <v>5300.0</v>
      </c>
      <c r="E1706" s="3" t="s">
        <v>1444</v>
      </c>
      <c r="F1706" s="5">
        <v>46200.705555555556</v>
      </c>
      <c r="G1706" s="5">
        <v>46200.445925925924</v>
      </c>
      <c r="H1706" s="3" t="s">
        <v>14</v>
      </c>
      <c r="I1706" s="7">
        <v>0.0</v>
      </c>
      <c r="J1706" s="3" t="s">
        <v>61</v>
      </c>
    </row>
    <row r="1707">
      <c r="C1707" s="3" t="s">
        <v>10</v>
      </c>
      <c r="D1707" s="3">
        <v>5301.0</v>
      </c>
      <c r="E1707" s="3" t="s">
        <v>1449</v>
      </c>
      <c r="F1707" s="5">
        <v>46199.55902777778</v>
      </c>
      <c r="G1707" s="5">
        <v>46199.38167824074</v>
      </c>
      <c r="H1707" s="3" t="s">
        <v>14</v>
      </c>
      <c r="I1707" s="3">
        <v>0.0</v>
      </c>
      <c r="J1707" s="3" t="s">
        <v>61</v>
      </c>
    </row>
    <row r="1708">
      <c r="C1708" s="3" t="s">
        <v>17</v>
      </c>
      <c r="D1708" s="3">
        <v>5301.0</v>
      </c>
      <c r="E1708" s="3" t="s">
        <v>1449</v>
      </c>
      <c r="F1708" s="5">
        <v>46199.56597222222</v>
      </c>
      <c r="G1708" s="5">
        <v>46199.38193287037</v>
      </c>
      <c r="H1708" s="3" t="s">
        <v>14</v>
      </c>
      <c r="I1708" s="7">
        <v>0.0</v>
      </c>
      <c r="J1708" s="3" t="s">
        <v>61</v>
      </c>
    </row>
    <row r="1709">
      <c r="C1709" s="3" t="s">
        <v>21</v>
      </c>
      <c r="D1709" s="3">
        <v>5301.0</v>
      </c>
      <c r="E1709" s="3" t="s">
        <v>1449</v>
      </c>
      <c r="F1709" s="5">
        <v>46199.67013888889</v>
      </c>
      <c r="G1709" s="5">
        <v>46199.38207175926</v>
      </c>
      <c r="H1709" s="3" t="s">
        <v>14</v>
      </c>
      <c r="I1709" s="7">
        <v>0.0</v>
      </c>
      <c r="J1709" s="3" t="s">
        <v>61</v>
      </c>
    </row>
    <row r="1710">
      <c r="C1710" s="3" t="s">
        <v>24</v>
      </c>
      <c r="D1710" s="3">
        <v>5301.0</v>
      </c>
      <c r="E1710" s="3" t="s">
        <v>1449</v>
      </c>
      <c r="F1710" s="5">
        <v>46200.67013888889</v>
      </c>
      <c r="G1710" s="5">
        <v>46199.38222222222</v>
      </c>
      <c r="H1710" s="3" t="s">
        <v>14</v>
      </c>
      <c r="I1710" s="7">
        <v>0.0</v>
      </c>
      <c r="J1710" s="3" t="s">
        <v>61</v>
      </c>
    </row>
    <row r="1711">
      <c r="C1711" s="3" t="s">
        <v>26</v>
      </c>
      <c r="D1711" s="3">
        <v>5301.0</v>
      </c>
      <c r="E1711" s="3" t="s">
        <v>1449</v>
      </c>
      <c r="F1711" s="5">
        <v>46200.711805555555</v>
      </c>
      <c r="G1711" s="5">
        <v>46200.44598379629</v>
      </c>
      <c r="H1711" s="3" t="s">
        <v>14</v>
      </c>
      <c r="I1711" s="7">
        <v>0.0</v>
      </c>
      <c r="J1711" s="3" t="s">
        <v>61</v>
      </c>
    </row>
    <row r="1712">
      <c r="C1712" s="3" t="s">
        <v>10</v>
      </c>
      <c r="D1712" s="3">
        <v>5302.0</v>
      </c>
      <c r="E1712" s="3" t="s">
        <v>1452</v>
      </c>
      <c r="F1712" s="5">
        <v>46199.55972222222</v>
      </c>
      <c r="G1712" s="5">
        <v>46199.38171296296</v>
      </c>
      <c r="H1712" s="3" t="s">
        <v>14</v>
      </c>
      <c r="I1712" s="3">
        <v>0.0</v>
      </c>
      <c r="J1712" s="3" t="s">
        <v>61</v>
      </c>
    </row>
    <row r="1713">
      <c r="C1713" s="3" t="s">
        <v>17</v>
      </c>
      <c r="D1713" s="3">
        <v>5302.0</v>
      </c>
      <c r="E1713" s="3" t="s">
        <v>1452</v>
      </c>
      <c r="F1713" s="5">
        <v>46199.566666666666</v>
      </c>
      <c r="G1713" s="5">
        <v>46199.38196759259</v>
      </c>
      <c r="H1713" s="3" t="s">
        <v>14</v>
      </c>
      <c r="I1713" s="7">
        <v>0.0</v>
      </c>
      <c r="J1713" s="3" t="s">
        <v>61</v>
      </c>
    </row>
    <row r="1714">
      <c r="C1714" s="3" t="s">
        <v>21</v>
      </c>
      <c r="D1714" s="3">
        <v>5302.0</v>
      </c>
      <c r="E1714" s="3" t="s">
        <v>1452</v>
      </c>
      <c r="F1714" s="5">
        <v>46199.67083333333</v>
      </c>
      <c r="G1714" s="5">
        <v>46199.382106481484</v>
      </c>
      <c r="H1714" s="3" t="s">
        <v>14</v>
      </c>
      <c r="I1714" s="7">
        <v>0.0</v>
      </c>
      <c r="J1714" s="3" t="s">
        <v>61</v>
      </c>
    </row>
    <row r="1715">
      <c r="C1715" s="3" t="s">
        <v>24</v>
      </c>
      <c r="D1715" s="3">
        <v>5302.0</v>
      </c>
      <c r="E1715" s="3" t="s">
        <v>1452</v>
      </c>
      <c r="F1715" s="5">
        <v>46200.67083333333</v>
      </c>
      <c r="G1715" s="5">
        <v>46199.382268518515</v>
      </c>
      <c r="H1715" s="3" t="s">
        <v>14</v>
      </c>
      <c r="I1715" s="7">
        <v>0.0</v>
      </c>
      <c r="J1715" s="3" t="s">
        <v>61</v>
      </c>
    </row>
    <row r="1716">
      <c r="C1716" s="3" t="s">
        <v>26</v>
      </c>
      <c r="D1716" s="3">
        <v>5302.0</v>
      </c>
      <c r="E1716" s="3" t="s">
        <v>1452</v>
      </c>
      <c r="F1716" s="5">
        <v>46200.7125</v>
      </c>
      <c r="G1716" s="5">
        <v>46200.44600694445</v>
      </c>
      <c r="H1716" s="3" t="s">
        <v>14</v>
      </c>
      <c r="I1716" s="7">
        <v>0.0</v>
      </c>
      <c r="J1716" s="3" t="s">
        <v>61</v>
      </c>
    </row>
    <row r="1717">
      <c r="C1717" s="3" t="s">
        <v>10</v>
      </c>
      <c r="D1717" s="3">
        <v>5303.0</v>
      </c>
      <c r="E1717" s="3" t="s">
        <v>1456</v>
      </c>
      <c r="F1717" s="5">
        <v>46199.56041666667</v>
      </c>
      <c r="G1717" s="5">
        <v>46199.38177083333</v>
      </c>
      <c r="H1717" s="3" t="s">
        <v>14</v>
      </c>
      <c r="I1717" s="3">
        <v>0.0</v>
      </c>
      <c r="J1717" s="3" t="s">
        <v>61</v>
      </c>
    </row>
    <row r="1718">
      <c r="C1718" s="3" t="s">
        <v>17</v>
      </c>
      <c r="D1718" s="3">
        <v>5303.0</v>
      </c>
      <c r="E1718" s="3" t="s">
        <v>1456</v>
      </c>
      <c r="F1718" s="5">
        <v>46199.56736111111</v>
      </c>
      <c r="G1718" s="5">
        <v>46199.382002314815</v>
      </c>
      <c r="H1718" s="3" t="s">
        <v>14</v>
      </c>
      <c r="I1718" s="7">
        <v>0.0</v>
      </c>
      <c r="J1718" s="3" t="s">
        <v>61</v>
      </c>
    </row>
    <row r="1719">
      <c r="C1719" s="3" t="s">
        <v>21</v>
      </c>
      <c r="D1719" s="3">
        <v>5303.0</v>
      </c>
      <c r="E1719" s="3" t="s">
        <v>1456</v>
      </c>
      <c r="F1719" s="5">
        <v>46199.67152777778</v>
      </c>
      <c r="G1719" s="5">
        <v>46199.38214120371</v>
      </c>
      <c r="H1719" s="3" t="s">
        <v>14</v>
      </c>
      <c r="I1719" s="7">
        <v>0.0</v>
      </c>
      <c r="J1719" s="3" t="s">
        <v>61</v>
      </c>
    </row>
    <row r="1720">
      <c r="C1720" s="3" t="s">
        <v>24</v>
      </c>
      <c r="D1720" s="3">
        <v>5303.0</v>
      </c>
      <c r="E1720" s="3" t="s">
        <v>1456</v>
      </c>
      <c r="F1720" s="5">
        <v>46200.67152777778</v>
      </c>
      <c r="G1720" s="5">
        <v>46199.38230324074</v>
      </c>
      <c r="H1720" s="3" t="s">
        <v>14</v>
      </c>
      <c r="I1720" s="7">
        <v>0.0</v>
      </c>
      <c r="J1720" s="3" t="s">
        <v>61</v>
      </c>
    </row>
    <row r="1721">
      <c r="C1721" s="3" t="s">
        <v>26</v>
      </c>
      <c r="D1721" s="3">
        <v>5303.0</v>
      </c>
      <c r="E1721" s="3" t="s">
        <v>1456</v>
      </c>
      <c r="F1721" s="5">
        <v>46200.71319444444</v>
      </c>
      <c r="G1721" s="5">
        <v>46200.44778935185</v>
      </c>
      <c r="H1721" s="3" t="s">
        <v>14</v>
      </c>
      <c r="I1721" s="7">
        <v>0.0</v>
      </c>
      <c r="J1721" s="3" t="s">
        <v>61</v>
      </c>
    </row>
    <row r="1722">
      <c r="C1722" s="3" t="s">
        <v>10</v>
      </c>
      <c r="D1722" s="3">
        <v>5304.0</v>
      </c>
      <c r="E1722" s="3" t="s">
        <v>1456</v>
      </c>
      <c r="F1722" s="5">
        <v>46199.56180555555</v>
      </c>
      <c r="G1722" s="5">
        <v>46199.3825462963</v>
      </c>
      <c r="H1722" s="3" t="s">
        <v>14</v>
      </c>
      <c r="I1722" s="3">
        <v>0.0</v>
      </c>
      <c r="J1722" s="3" t="s">
        <v>61</v>
      </c>
    </row>
    <row r="1723">
      <c r="C1723" s="3" t="s">
        <v>17</v>
      </c>
      <c r="D1723" s="3">
        <v>5304.0</v>
      </c>
      <c r="E1723" s="3" t="s">
        <v>1456</v>
      </c>
      <c r="F1723" s="5">
        <v>46199.56875</v>
      </c>
      <c r="G1723" s="5">
        <v>46199.3827662037</v>
      </c>
      <c r="H1723" s="3" t="s">
        <v>14</v>
      </c>
      <c r="I1723" s="7">
        <v>0.0</v>
      </c>
      <c r="J1723" s="3" t="s">
        <v>61</v>
      </c>
    </row>
    <row r="1724">
      <c r="C1724" s="3" t="s">
        <v>21</v>
      </c>
      <c r="D1724" s="3">
        <v>5304.0</v>
      </c>
      <c r="E1724" s="3" t="s">
        <v>1456</v>
      </c>
      <c r="F1724" s="5">
        <v>46199.67291666667</v>
      </c>
      <c r="G1724" s="5">
        <v>46199.38290509259</v>
      </c>
      <c r="H1724" s="3" t="s">
        <v>14</v>
      </c>
      <c r="I1724" s="7">
        <v>0.0</v>
      </c>
      <c r="J1724" s="3" t="s">
        <v>61</v>
      </c>
    </row>
    <row r="1725">
      <c r="C1725" s="3" t="s">
        <v>24</v>
      </c>
      <c r="D1725" s="3">
        <v>5304.0</v>
      </c>
      <c r="E1725" s="3" t="s">
        <v>1456</v>
      </c>
      <c r="F1725" s="5">
        <v>46200.67291666667</v>
      </c>
      <c r="G1725" s="5">
        <v>46199.38297453704</v>
      </c>
      <c r="H1725" s="3" t="s">
        <v>14</v>
      </c>
      <c r="I1725" s="7">
        <v>0.0</v>
      </c>
      <c r="J1725" s="3" t="s">
        <v>61</v>
      </c>
    </row>
    <row r="1726">
      <c r="C1726" s="3" t="s">
        <v>26</v>
      </c>
      <c r="D1726" s="3">
        <v>5304.0</v>
      </c>
      <c r="E1726" s="3" t="s">
        <v>1456</v>
      </c>
      <c r="F1726" s="5">
        <v>46200.714583333334</v>
      </c>
      <c r="G1726" s="5">
        <v>46200.4478125</v>
      </c>
      <c r="H1726" s="3" t="s">
        <v>14</v>
      </c>
      <c r="I1726" s="7">
        <v>0.0</v>
      </c>
      <c r="J1726" s="3" t="s">
        <v>61</v>
      </c>
    </row>
    <row r="1727">
      <c r="C1727" s="3" t="s">
        <v>10</v>
      </c>
      <c r="D1727" s="3">
        <v>5305.0</v>
      </c>
      <c r="E1727" s="3" t="s">
        <v>1462</v>
      </c>
      <c r="F1727" s="5">
        <v>46199.56319444445</v>
      </c>
      <c r="G1727" s="5">
        <v>46199.382581018515</v>
      </c>
      <c r="H1727" s="3" t="s">
        <v>14</v>
      </c>
      <c r="I1727" s="3">
        <v>0.0</v>
      </c>
      <c r="J1727" s="3" t="s">
        <v>61</v>
      </c>
    </row>
    <row r="1728">
      <c r="C1728" s="3" t="s">
        <v>17</v>
      </c>
      <c r="D1728" s="3">
        <v>5305.0</v>
      </c>
      <c r="E1728" s="3" t="s">
        <v>1462</v>
      </c>
      <c r="F1728" s="5">
        <v>46199.57013888889</v>
      </c>
      <c r="G1728" s="5">
        <v>46199.38280092592</v>
      </c>
      <c r="H1728" s="3" t="s">
        <v>14</v>
      </c>
      <c r="I1728" s="7">
        <v>0.0</v>
      </c>
      <c r="J1728" s="3" t="s">
        <v>61</v>
      </c>
    </row>
    <row r="1729">
      <c r="C1729" s="3" t="s">
        <v>21</v>
      </c>
      <c r="D1729" s="3">
        <v>5305.0</v>
      </c>
      <c r="E1729" s="3" t="s">
        <v>1462</v>
      </c>
      <c r="F1729" s="5">
        <v>46199.674305555556</v>
      </c>
      <c r="G1729" s="5">
        <v>46199.38287037037</v>
      </c>
      <c r="H1729" s="3" t="s">
        <v>14</v>
      </c>
      <c r="I1729" s="7">
        <v>0.0</v>
      </c>
      <c r="J1729" s="3" t="s">
        <v>61</v>
      </c>
    </row>
    <row r="1730">
      <c r="C1730" s="3" t="s">
        <v>24</v>
      </c>
      <c r="D1730" s="3">
        <v>5305.0</v>
      </c>
      <c r="E1730" s="3" t="s">
        <v>1462</v>
      </c>
      <c r="F1730" s="5">
        <v>46200.674305555556</v>
      </c>
      <c r="G1730" s="5">
        <v>46199.38300925926</v>
      </c>
      <c r="H1730" s="3" t="s">
        <v>14</v>
      </c>
      <c r="I1730" s="7">
        <v>0.0</v>
      </c>
      <c r="J1730" s="3" t="s">
        <v>61</v>
      </c>
    </row>
    <row r="1731">
      <c r="C1731" s="3" t="s">
        <v>26</v>
      </c>
      <c r="D1731" s="3">
        <v>5305.0</v>
      </c>
      <c r="E1731" s="3" t="s">
        <v>1462</v>
      </c>
      <c r="F1731" s="5">
        <v>46200.71597222222</v>
      </c>
      <c r="G1731" s="5">
        <v>46200.44787037037</v>
      </c>
      <c r="H1731" s="3" t="s">
        <v>14</v>
      </c>
      <c r="I1731" s="7">
        <v>0.0</v>
      </c>
      <c r="J1731" s="3" t="s">
        <v>61</v>
      </c>
    </row>
    <row r="1732">
      <c r="C1732" s="3" t="s">
        <v>10</v>
      </c>
      <c r="D1732" s="3">
        <v>5306.0</v>
      </c>
      <c r="E1732" s="3" t="s">
        <v>1467</v>
      </c>
      <c r="F1732" s="5">
        <v>46199.61424768518</v>
      </c>
      <c r="G1732" s="5">
        <v>46199.46730324074</v>
      </c>
      <c r="H1732" s="3" t="s">
        <v>14</v>
      </c>
      <c r="I1732" s="3">
        <v>0.0</v>
      </c>
      <c r="J1732" s="3" t="s">
        <v>72</v>
      </c>
    </row>
    <row r="1733">
      <c r="C1733" s="3" t="s">
        <v>17</v>
      </c>
      <c r="D1733" s="3">
        <v>5306.0</v>
      </c>
      <c r="E1733" s="3" t="s">
        <v>1467</v>
      </c>
      <c r="F1733" s="5">
        <v>46199.62119212963</v>
      </c>
      <c r="G1733" s="5">
        <v>46199.46737268518</v>
      </c>
      <c r="H1733" s="3" t="s">
        <v>14</v>
      </c>
      <c r="I1733" s="7">
        <v>0.0</v>
      </c>
      <c r="J1733" s="3" t="s">
        <v>72</v>
      </c>
    </row>
    <row r="1734">
      <c r="C1734" s="3" t="s">
        <v>21</v>
      </c>
      <c r="D1734" s="3">
        <v>5306.0</v>
      </c>
      <c r="E1734" s="3" t="s">
        <v>1467</v>
      </c>
      <c r="F1734" s="5">
        <v>46199.7253587963</v>
      </c>
      <c r="G1734" s="5">
        <v>46199.46739583334</v>
      </c>
      <c r="H1734" s="3" t="s">
        <v>14</v>
      </c>
      <c r="I1734" s="7">
        <v>0.0</v>
      </c>
      <c r="J1734" s="3" t="s">
        <v>72</v>
      </c>
    </row>
    <row r="1735">
      <c r="C1735" s="3" t="s">
        <v>24</v>
      </c>
      <c r="D1735" s="3">
        <v>5306.0</v>
      </c>
      <c r="E1735" s="3" t="s">
        <v>1467</v>
      </c>
      <c r="F1735" s="5">
        <v>46200.725</v>
      </c>
      <c r="G1735" s="5">
        <v>46200.56253472222</v>
      </c>
      <c r="H1735" s="3" t="s">
        <v>14</v>
      </c>
      <c r="I1735" s="7">
        <v>0.0</v>
      </c>
      <c r="J1735" s="3" t="s">
        <v>72</v>
      </c>
    </row>
    <row r="1736">
      <c r="C1736" s="3" t="s">
        <v>26</v>
      </c>
      <c r="D1736" s="3">
        <v>5306.0</v>
      </c>
      <c r="E1736" s="3" t="s">
        <v>1467</v>
      </c>
      <c r="F1736" s="5">
        <v>46200.76666666667</v>
      </c>
      <c r="G1736" s="5">
        <v>46200.56259259259</v>
      </c>
      <c r="H1736" s="3" t="s">
        <v>14</v>
      </c>
      <c r="I1736" s="7">
        <v>0.0</v>
      </c>
      <c r="J1736" s="3" t="s">
        <v>72</v>
      </c>
    </row>
    <row r="1737">
      <c r="C1737" s="3" t="s">
        <v>10</v>
      </c>
      <c r="D1737" s="3">
        <v>5307.0</v>
      </c>
      <c r="E1737" s="3" t="s">
        <v>1471</v>
      </c>
      <c r="F1737" s="5">
        <v>46200.48611111111</v>
      </c>
      <c r="G1737" s="5">
        <v>46199.76846064815</v>
      </c>
      <c r="H1737" s="3" t="s">
        <v>14</v>
      </c>
      <c r="I1737" s="3">
        <v>0.0</v>
      </c>
      <c r="J1737" s="3" t="s">
        <v>48</v>
      </c>
    </row>
    <row r="1738">
      <c r="C1738" s="3" t="s">
        <v>17</v>
      </c>
      <c r="D1738" s="3">
        <v>5307.0</v>
      </c>
      <c r="E1738" s="3" t="s">
        <v>1471</v>
      </c>
      <c r="F1738" s="5">
        <v>46200.493055555555</v>
      </c>
      <c r="G1738" s="5">
        <v>46199.768645833334</v>
      </c>
      <c r="H1738" s="3" t="s">
        <v>14</v>
      </c>
      <c r="I1738" s="7">
        <v>0.0</v>
      </c>
      <c r="J1738" s="3" t="s">
        <v>48</v>
      </c>
    </row>
    <row r="1739">
      <c r="C1739" s="3" t="s">
        <v>21</v>
      </c>
      <c r="D1739" s="3">
        <v>5307.0</v>
      </c>
      <c r="E1739" s="3" t="s">
        <v>1471</v>
      </c>
      <c r="F1739" s="5">
        <v>46200.59722222222</v>
      </c>
      <c r="G1739" s="5">
        <v>46200.5519212963</v>
      </c>
      <c r="H1739" s="3" t="s">
        <v>14</v>
      </c>
      <c r="I1739" s="7">
        <v>0.0</v>
      </c>
      <c r="J1739" s="3" t="s">
        <v>48</v>
      </c>
    </row>
    <row r="1740">
      <c r="C1740" s="3" t="s">
        <v>24</v>
      </c>
      <c r="D1740" s="3">
        <v>5307.0</v>
      </c>
      <c r="E1740" s="3" t="s">
        <v>1471</v>
      </c>
      <c r="F1740" s="5">
        <v>46202.59722222222</v>
      </c>
      <c r="G1740" s="5">
        <v>46200.683599537035</v>
      </c>
      <c r="H1740" s="3" t="s">
        <v>14</v>
      </c>
      <c r="I1740" s="7">
        <v>0.0</v>
      </c>
      <c r="J1740" s="3" t="s">
        <v>48</v>
      </c>
    </row>
    <row r="1741">
      <c r="C1741" s="3" t="s">
        <v>26</v>
      </c>
      <c r="D1741" s="3">
        <v>5307.0</v>
      </c>
      <c r="E1741" s="3" t="s">
        <v>1471</v>
      </c>
      <c r="F1741" s="5">
        <v>46202.63888888889</v>
      </c>
      <c r="G1741" s="5">
        <v>46202.45741898148</v>
      </c>
      <c r="H1741" s="3" t="s">
        <v>14</v>
      </c>
      <c r="I1741" s="7">
        <v>0.0</v>
      </c>
      <c r="J1741" s="3" t="s">
        <v>48</v>
      </c>
    </row>
    <row r="1742">
      <c r="C1742" s="3" t="s">
        <v>10</v>
      </c>
      <c r="D1742" s="3">
        <v>5308.0</v>
      </c>
      <c r="E1742" s="3" t="s">
        <v>136</v>
      </c>
      <c r="F1742" s="5">
        <v>46200.50486111111</v>
      </c>
      <c r="G1742" s="5">
        <v>46199.768483796295</v>
      </c>
      <c r="H1742" s="3" t="s">
        <v>14</v>
      </c>
      <c r="I1742" s="3">
        <v>0.0</v>
      </c>
      <c r="J1742" s="3" t="s">
        <v>15</v>
      </c>
    </row>
    <row r="1743">
      <c r="C1743" s="3" t="s">
        <v>17</v>
      </c>
      <c r="D1743" s="3">
        <v>5308.0</v>
      </c>
      <c r="E1743" s="3" t="s">
        <v>136</v>
      </c>
      <c r="F1743" s="5">
        <v>46200.51180555556</v>
      </c>
      <c r="G1743" s="5">
        <v>46199.76866898148</v>
      </c>
      <c r="H1743" s="3" t="s">
        <v>14</v>
      </c>
      <c r="I1743" s="7">
        <v>0.0</v>
      </c>
      <c r="J1743" s="3" t="s">
        <v>15</v>
      </c>
    </row>
    <row r="1744">
      <c r="C1744" s="3" t="s">
        <v>21</v>
      </c>
      <c r="D1744" s="3">
        <v>5308.0</v>
      </c>
      <c r="E1744" s="3" t="s">
        <v>136</v>
      </c>
      <c r="F1744" s="5">
        <v>46200.61597222222</v>
      </c>
      <c r="G1744" s="5">
        <v>46200.55194444444</v>
      </c>
      <c r="H1744" s="3" t="s">
        <v>14</v>
      </c>
      <c r="I1744" s="7">
        <v>0.0</v>
      </c>
      <c r="J1744" s="3" t="s">
        <v>15</v>
      </c>
    </row>
    <row r="1745">
      <c r="C1745" s="3" t="s">
        <v>24</v>
      </c>
      <c r="D1745" s="3">
        <v>5308.0</v>
      </c>
      <c r="E1745" s="3" t="s">
        <v>136</v>
      </c>
      <c r="F1745" s="5">
        <v>46202.61597222222</v>
      </c>
      <c r="G1745" s="5">
        <v>46200.68363425926</v>
      </c>
      <c r="H1745" s="3" t="s">
        <v>14</v>
      </c>
      <c r="I1745" s="7">
        <v>0.0</v>
      </c>
      <c r="J1745" s="3" t="s">
        <v>15</v>
      </c>
    </row>
    <row r="1746">
      <c r="C1746" s="3" t="s">
        <v>26</v>
      </c>
      <c r="D1746" s="3">
        <v>5308.0</v>
      </c>
      <c r="E1746" s="3" t="s">
        <v>136</v>
      </c>
      <c r="F1746" s="5">
        <v>46202.657638888886</v>
      </c>
      <c r="G1746" s="5">
        <v>46202.457453703704</v>
      </c>
      <c r="H1746" s="3" t="s">
        <v>14</v>
      </c>
      <c r="I1746" s="7">
        <v>0.0</v>
      </c>
      <c r="J1746" s="3" t="s">
        <v>15</v>
      </c>
    </row>
    <row r="1747">
      <c r="C1747" s="3" t="s">
        <v>10</v>
      </c>
      <c r="D1747" s="3">
        <v>5309.0</v>
      </c>
      <c r="E1747" s="3" t="s">
        <v>136</v>
      </c>
      <c r="F1747" s="5">
        <v>46200.63141203704</v>
      </c>
      <c r="G1747" s="5">
        <v>46200.49774305556</v>
      </c>
      <c r="H1747" s="3" t="s">
        <v>14</v>
      </c>
      <c r="I1747" s="3">
        <v>0.0</v>
      </c>
      <c r="J1747" s="3" t="s">
        <v>15</v>
      </c>
    </row>
    <row r="1748">
      <c r="C1748" s="3" t="s">
        <v>17</v>
      </c>
      <c r="D1748" s="3">
        <v>5309.0</v>
      </c>
      <c r="E1748" s="3" t="s">
        <v>136</v>
      </c>
      <c r="F1748" s="5">
        <v>46200.63835648148</v>
      </c>
      <c r="G1748" s="5">
        <v>46200.49790509259</v>
      </c>
      <c r="H1748" s="3" t="s">
        <v>14</v>
      </c>
      <c r="I1748" s="7">
        <v>0.0</v>
      </c>
      <c r="J1748" s="3" t="s">
        <v>15</v>
      </c>
    </row>
    <row r="1749">
      <c r="C1749" s="3" t="s">
        <v>21</v>
      </c>
      <c r="D1749" s="3">
        <v>5309.0</v>
      </c>
      <c r="E1749" s="3" t="s">
        <v>136</v>
      </c>
      <c r="F1749" s="5">
        <v>46200.74252314815</v>
      </c>
      <c r="G1749" s="5">
        <v>46200.55195601852</v>
      </c>
      <c r="H1749" s="3" t="s">
        <v>14</v>
      </c>
      <c r="I1749" s="7">
        <v>0.0</v>
      </c>
      <c r="J1749" s="3" t="s">
        <v>15</v>
      </c>
    </row>
    <row r="1750">
      <c r="C1750" s="3" t="s">
        <v>24</v>
      </c>
      <c r="D1750" s="3">
        <v>5309.0</v>
      </c>
      <c r="E1750" s="3" t="s">
        <v>136</v>
      </c>
      <c r="F1750" s="5">
        <v>46202.74236111111</v>
      </c>
      <c r="G1750" s="5">
        <v>46200.683645833335</v>
      </c>
      <c r="H1750" s="3" t="s">
        <v>14</v>
      </c>
      <c r="I1750" s="7">
        <v>0.0</v>
      </c>
      <c r="J1750" s="3" t="s">
        <v>15</v>
      </c>
    </row>
    <row r="1751">
      <c r="C1751" s="3" t="s">
        <v>26</v>
      </c>
      <c r="D1751" s="3">
        <v>5309.0</v>
      </c>
      <c r="E1751" s="3" t="s">
        <v>136</v>
      </c>
      <c r="F1751" s="5">
        <v>46202.78402777778</v>
      </c>
      <c r="G1751" s="5">
        <v>46202.45747685185</v>
      </c>
      <c r="H1751" s="3" t="s">
        <v>14</v>
      </c>
      <c r="I1751" s="7">
        <v>0.0</v>
      </c>
      <c r="J1751" s="3" t="s">
        <v>15</v>
      </c>
    </row>
    <row r="1752">
      <c r="C1752" s="3" t="s">
        <v>10</v>
      </c>
      <c r="D1752" s="3">
        <v>5310.0</v>
      </c>
      <c r="E1752" s="3" t="s">
        <v>1480</v>
      </c>
      <c r="F1752" s="5">
        <v>46200.64733796296</v>
      </c>
      <c r="G1752" s="5">
        <v>46200.49784722222</v>
      </c>
      <c r="H1752" s="3" t="s">
        <v>14</v>
      </c>
      <c r="I1752" s="3">
        <v>0.0</v>
      </c>
      <c r="J1752" s="3" t="s">
        <v>48</v>
      </c>
    </row>
    <row r="1753">
      <c r="C1753" s="3" t="s">
        <v>17</v>
      </c>
      <c r="D1753" s="3">
        <v>5310.0</v>
      </c>
      <c r="E1753" s="3" t="s">
        <v>1480</v>
      </c>
      <c r="F1753" s="5">
        <v>46200.654282407406</v>
      </c>
      <c r="G1753" s="5">
        <v>46200.497928240744</v>
      </c>
      <c r="H1753" s="3" t="s">
        <v>14</v>
      </c>
      <c r="I1753" s="7">
        <v>0.0</v>
      </c>
      <c r="J1753" s="3" t="s">
        <v>48</v>
      </c>
    </row>
    <row r="1754">
      <c r="C1754" s="3" t="s">
        <v>21</v>
      </c>
      <c r="D1754" s="3">
        <v>5310.0</v>
      </c>
      <c r="E1754" s="3" t="s">
        <v>1480</v>
      </c>
      <c r="F1754" s="5">
        <v>46200.75844907408</v>
      </c>
      <c r="G1754" s="5">
        <v>46200.551875</v>
      </c>
      <c r="H1754" s="3" t="s">
        <v>14</v>
      </c>
      <c r="I1754" s="7">
        <v>0.0</v>
      </c>
      <c r="J1754" s="3" t="s">
        <v>48</v>
      </c>
    </row>
    <row r="1755">
      <c r="C1755" s="3" t="s">
        <v>24</v>
      </c>
      <c r="D1755" s="3">
        <v>5310.0</v>
      </c>
      <c r="E1755" s="3" t="s">
        <v>1480</v>
      </c>
      <c r="F1755" s="5">
        <v>46202.75833333333</v>
      </c>
      <c r="G1755" s="5">
        <v>46200.68368055556</v>
      </c>
      <c r="H1755" s="3" t="s">
        <v>14</v>
      </c>
      <c r="I1755" s="7">
        <v>0.0</v>
      </c>
      <c r="J1755" s="3" t="s">
        <v>48</v>
      </c>
    </row>
    <row r="1756">
      <c r="C1756" s="3" t="s">
        <v>26</v>
      </c>
      <c r="D1756" s="3">
        <v>5310.0</v>
      </c>
      <c r="E1756" s="3" t="s">
        <v>1480</v>
      </c>
      <c r="F1756" s="5">
        <v>46202.8</v>
      </c>
      <c r="G1756" s="5">
        <v>46202.4575</v>
      </c>
      <c r="H1756" s="3" t="s">
        <v>14</v>
      </c>
      <c r="I1756" s="7">
        <v>0.0</v>
      </c>
      <c r="J1756" s="3" t="s">
        <v>48</v>
      </c>
    </row>
    <row r="1757">
      <c r="C1757" s="3" t="s">
        <v>10</v>
      </c>
      <c r="D1757" s="3">
        <v>5311.0</v>
      </c>
      <c r="E1757" s="3" t="s">
        <v>1484</v>
      </c>
      <c r="F1757" s="5">
        <v>46202.50833333333</v>
      </c>
      <c r="G1757" s="5">
        <v>46202.45767361111</v>
      </c>
      <c r="H1757" s="3" t="s">
        <v>14</v>
      </c>
      <c r="I1757" s="3">
        <v>0.0</v>
      </c>
      <c r="J1757" s="3" t="s">
        <v>72</v>
      </c>
    </row>
    <row r="1758">
      <c r="C1758" s="3" t="s">
        <v>17</v>
      </c>
      <c r="D1758" s="3">
        <v>5311.0</v>
      </c>
      <c r="E1758" s="3" t="s">
        <v>1484</v>
      </c>
      <c r="F1758" s="5">
        <v>46202.51527777778</v>
      </c>
      <c r="G1758" s="5">
        <v>46202.457708333335</v>
      </c>
      <c r="H1758" s="3" t="s">
        <v>14</v>
      </c>
      <c r="I1758" s="7">
        <v>0.0</v>
      </c>
      <c r="J1758" s="3" t="s">
        <v>72</v>
      </c>
    </row>
    <row r="1759">
      <c r="C1759" s="3" t="s">
        <v>21</v>
      </c>
      <c r="D1759" s="3">
        <v>5311.0</v>
      </c>
      <c r="E1759" s="3" t="s">
        <v>1484</v>
      </c>
      <c r="F1759" s="5">
        <v>46202.61944444444</v>
      </c>
      <c r="G1759" s="5">
        <v>46202.45774305556</v>
      </c>
      <c r="H1759" s="3" t="s">
        <v>14</v>
      </c>
      <c r="I1759" s="7">
        <v>0.0</v>
      </c>
      <c r="J1759" s="3" t="s">
        <v>72</v>
      </c>
    </row>
    <row r="1760">
      <c r="C1760" s="3" t="s">
        <v>24</v>
      </c>
      <c r="D1760" s="3">
        <v>5311.0</v>
      </c>
      <c r="E1760" s="3" t="s">
        <v>1484</v>
      </c>
      <c r="F1760" s="5">
        <v>46203.61944444444</v>
      </c>
      <c r="G1760" s="5">
        <v>46202.6590162037</v>
      </c>
      <c r="H1760" s="3" t="s">
        <v>14</v>
      </c>
      <c r="I1760" s="7">
        <v>0.0</v>
      </c>
      <c r="J1760" s="3" t="s">
        <v>72</v>
      </c>
    </row>
    <row r="1761">
      <c r="C1761" s="3" t="s">
        <v>26</v>
      </c>
      <c r="D1761" s="3">
        <v>5311.0</v>
      </c>
      <c r="E1761" s="3" t="s">
        <v>1484</v>
      </c>
      <c r="F1761" s="5">
        <v>46203.66111111111</v>
      </c>
      <c r="G1761" s="5">
        <v>46202.659097222226</v>
      </c>
      <c r="H1761" s="3" t="s">
        <v>14</v>
      </c>
      <c r="I1761" s="7">
        <v>0.0</v>
      </c>
      <c r="J1761" s="3" t="s">
        <v>72</v>
      </c>
    </row>
    <row r="1762">
      <c r="C1762" s="3" t="s">
        <v>10</v>
      </c>
      <c r="D1762" s="3">
        <v>5312.0</v>
      </c>
      <c r="E1762" s="3" t="s">
        <v>1486</v>
      </c>
      <c r="F1762" s="5">
        <v>46202.65425925926</v>
      </c>
      <c r="G1762" s="5">
        <v>46202.51188657407</v>
      </c>
      <c r="H1762" s="3" t="s">
        <v>14</v>
      </c>
      <c r="I1762" s="3">
        <v>0.0</v>
      </c>
      <c r="J1762" s="3" t="s">
        <v>15</v>
      </c>
    </row>
    <row r="1763">
      <c r="C1763" s="3" t="s">
        <v>17</v>
      </c>
      <c r="D1763" s="3">
        <v>5312.0</v>
      </c>
      <c r="E1763" s="3" t="s">
        <v>1486</v>
      </c>
      <c r="F1763" s="5">
        <v>46202.661203703705</v>
      </c>
      <c r="G1763" s="5">
        <v>46202.512025462966</v>
      </c>
      <c r="H1763" s="3" t="s">
        <v>14</v>
      </c>
      <c r="I1763" s="7">
        <v>0.0</v>
      </c>
      <c r="J1763" s="3" t="s">
        <v>15</v>
      </c>
    </row>
    <row r="1764">
      <c r="C1764" s="3" t="s">
        <v>21</v>
      </c>
      <c r="D1764" s="3">
        <v>5312.0</v>
      </c>
      <c r="E1764" s="3" t="s">
        <v>1486</v>
      </c>
      <c r="F1764" s="5">
        <v>46202.76537037037</v>
      </c>
      <c r="G1764" s="5">
        <v>46202.512083333335</v>
      </c>
      <c r="H1764" s="3" t="s">
        <v>14</v>
      </c>
      <c r="I1764" s="7">
        <v>0.0</v>
      </c>
      <c r="J1764" s="3" t="s">
        <v>15</v>
      </c>
    </row>
    <row r="1765">
      <c r="C1765" s="3" t="s">
        <v>24</v>
      </c>
      <c r="D1765" s="3">
        <v>5312.0</v>
      </c>
      <c r="E1765" s="3" t="s">
        <v>1486</v>
      </c>
      <c r="F1765" s="5">
        <v>46203.76527777778</v>
      </c>
      <c r="G1765" s="5">
        <v>46202.6590162037</v>
      </c>
      <c r="H1765" s="3" t="s">
        <v>14</v>
      </c>
      <c r="I1765" s="7">
        <v>0.0</v>
      </c>
      <c r="J1765" s="3" t="s">
        <v>15</v>
      </c>
    </row>
    <row r="1766">
      <c r="C1766" s="3" t="s">
        <v>26</v>
      </c>
      <c r="D1766" s="3">
        <v>5312.0</v>
      </c>
      <c r="E1766" s="3" t="s">
        <v>1486</v>
      </c>
      <c r="F1766" s="5">
        <v>46203.80694444444</v>
      </c>
      <c r="G1766" s="5">
        <v>46202.65912037037</v>
      </c>
      <c r="H1766" s="3" t="s">
        <v>14</v>
      </c>
      <c r="I1766" s="7">
        <v>0.0</v>
      </c>
      <c r="J1766" s="3" t="s">
        <v>15</v>
      </c>
    </row>
    <row r="1767">
      <c r="C1767" s="3" t="s">
        <v>10</v>
      </c>
      <c r="D1767" s="3">
        <v>5313.0</v>
      </c>
      <c r="E1767" s="3" t="s">
        <v>1490</v>
      </c>
      <c r="F1767" s="5">
        <v>46202.83032407407</v>
      </c>
      <c r="G1767" s="5">
        <v>46202.6874537037</v>
      </c>
      <c r="H1767" s="3" t="s">
        <v>14</v>
      </c>
      <c r="I1767" s="3">
        <v>0.0</v>
      </c>
      <c r="J1767" s="3" t="s">
        <v>15</v>
      </c>
    </row>
    <row r="1768">
      <c r="C1768" s="3" t="s">
        <v>17</v>
      </c>
      <c r="D1768" s="3">
        <v>5313.0</v>
      </c>
      <c r="E1768" s="3" t="s">
        <v>1490</v>
      </c>
      <c r="F1768" s="5">
        <v>46203.45486111111</v>
      </c>
      <c r="G1768" s="5">
        <v>46202.68753472222</v>
      </c>
      <c r="H1768" s="3" t="s">
        <v>14</v>
      </c>
      <c r="I1768" s="7">
        <v>0.0</v>
      </c>
      <c r="J1768" s="3" t="s">
        <v>15</v>
      </c>
    </row>
    <row r="1769">
      <c r="C1769" s="3" t="s">
        <v>21</v>
      </c>
      <c r="D1769" s="3">
        <v>5313.0</v>
      </c>
      <c r="E1769" s="3" t="s">
        <v>1490</v>
      </c>
      <c r="F1769" s="5">
        <v>46203.55902777778</v>
      </c>
      <c r="G1769" s="5">
        <v>46202.68954861111</v>
      </c>
      <c r="H1769" s="3" t="s">
        <v>14</v>
      </c>
      <c r="I1769" s="7">
        <v>0.0</v>
      </c>
      <c r="J1769" s="3" t="s">
        <v>15</v>
      </c>
    </row>
    <row r="1770">
      <c r="C1770" s="3" t="s">
        <v>24</v>
      </c>
      <c r="D1770" s="3">
        <v>5313.0</v>
      </c>
      <c r="E1770" s="3" t="s">
        <v>1490</v>
      </c>
      <c r="F1770" s="5">
        <v>46204.55902777778</v>
      </c>
      <c r="G1770" s="5">
        <v>46202.68962962963</v>
      </c>
      <c r="H1770" s="3" t="s">
        <v>14</v>
      </c>
      <c r="I1770" s="7">
        <v>0.0</v>
      </c>
      <c r="J1770" s="3" t="s">
        <v>15</v>
      </c>
    </row>
    <row r="1771">
      <c r="C1771" s="3" t="s">
        <v>26</v>
      </c>
      <c r="D1771" s="3">
        <v>5313.0</v>
      </c>
      <c r="E1771" s="3" t="s">
        <v>1490</v>
      </c>
      <c r="F1771" s="5">
        <v>46204.600694444445</v>
      </c>
      <c r="G1771" s="5">
        <v>46202.689733796295</v>
      </c>
      <c r="H1771" s="3" t="s">
        <v>14</v>
      </c>
      <c r="I1771" s="7">
        <v>0.0</v>
      </c>
      <c r="J1771" s="3" t="s">
        <v>15</v>
      </c>
    </row>
    <row r="1772">
      <c r="C1772" s="3" t="s">
        <v>10</v>
      </c>
      <c r="D1772" s="3">
        <v>5314.0</v>
      </c>
      <c r="E1772" s="3" t="s">
        <v>1493</v>
      </c>
      <c r="F1772" s="5">
        <v>46203.65584490741</v>
      </c>
      <c r="G1772" s="5">
        <v>46203.549849537034</v>
      </c>
      <c r="H1772" s="3" t="s">
        <v>14</v>
      </c>
      <c r="I1772" s="3">
        <v>0.0</v>
      </c>
      <c r="J1772" s="3" t="s">
        <v>15</v>
      </c>
    </row>
    <row r="1773">
      <c r="C1773" s="3" t="s">
        <v>17</v>
      </c>
      <c r="D1773" s="3">
        <v>5314.0</v>
      </c>
      <c r="E1773" s="3" t="s">
        <v>1493</v>
      </c>
      <c r="F1773" s="5">
        <v>46203.66278935185</v>
      </c>
      <c r="G1773" s="5">
        <v>46203.54993055556</v>
      </c>
      <c r="H1773" s="3" t="s">
        <v>14</v>
      </c>
      <c r="I1773" s="7">
        <v>0.0</v>
      </c>
      <c r="J1773" s="3" t="s">
        <v>15</v>
      </c>
    </row>
    <row r="1774">
      <c r="C1774" s="3" t="s">
        <v>21</v>
      </c>
      <c r="D1774" s="3">
        <v>5314.0</v>
      </c>
      <c r="E1774" s="3" t="s">
        <v>1493</v>
      </c>
      <c r="F1774" s="5">
        <v>46203.76695601852</v>
      </c>
      <c r="G1774" s="5">
        <v>46203.67503472222</v>
      </c>
      <c r="H1774" s="3" t="s">
        <v>14</v>
      </c>
      <c r="I1774" s="7">
        <v>0.0</v>
      </c>
      <c r="J1774" s="3" t="s">
        <v>15</v>
      </c>
    </row>
    <row r="1775">
      <c r="C1775" s="3" t="s">
        <v>24</v>
      </c>
      <c r="D1775" s="3">
        <v>5314.0</v>
      </c>
      <c r="E1775" s="3" t="s">
        <v>1493</v>
      </c>
      <c r="F1775" s="5">
        <v>46204.76666666667</v>
      </c>
      <c r="G1775" s="5">
        <v>46204.44819444444</v>
      </c>
      <c r="H1775" s="3" t="s">
        <v>14</v>
      </c>
      <c r="I1775" s="7">
        <v>0.0</v>
      </c>
      <c r="J1775" s="3" t="s">
        <v>15</v>
      </c>
    </row>
    <row r="1776">
      <c r="C1776" s="3" t="s">
        <v>26</v>
      </c>
      <c r="D1776" s="3">
        <v>5314.0</v>
      </c>
      <c r="E1776" s="3" t="s">
        <v>1493</v>
      </c>
      <c r="F1776" s="5">
        <v>46204.808333333334</v>
      </c>
      <c r="G1776" s="5">
        <v>46204.47642361111</v>
      </c>
      <c r="H1776" s="3" t="s">
        <v>14</v>
      </c>
      <c r="I1776" s="7">
        <v>0.0</v>
      </c>
      <c r="J1776" s="3" t="s">
        <v>15</v>
      </c>
    </row>
    <row r="1777">
      <c r="C1777" s="3" t="s">
        <v>10</v>
      </c>
      <c r="D1777" s="3">
        <v>5315.0</v>
      </c>
      <c r="E1777" s="3" t="s">
        <v>1496</v>
      </c>
      <c r="F1777" s="5">
        <v>46203.673784722225</v>
      </c>
      <c r="G1777" s="5">
        <v>46203.54987268519</v>
      </c>
      <c r="H1777" s="3" t="s">
        <v>14</v>
      </c>
      <c r="I1777" s="3">
        <v>0.0</v>
      </c>
      <c r="J1777" s="3" t="s">
        <v>48</v>
      </c>
    </row>
    <row r="1778">
      <c r="C1778" s="3" t="s">
        <v>17</v>
      </c>
      <c r="D1778" s="3">
        <v>5315.0</v>
      </c>
      <c r="E1778" s="3" t="s">
        <v>1496</v>
      </c>
      <c r="F1778" s="5">
        <v>46203.68072916667</v>
      </c>
      <c r="G1778" s="5">
        <v>46203.549942129626</v>
      </c>
      <c r="H1778" s="3" t="s">
        <v>14</v>
      </c>
      <c r="I1778" s="7">
        <v>0.0</v>
      </c>
      <c r="J1778" s="3" t="s">
        <v>48</v>
      </c>
    </row>
    <row r="1779">
      <c r="C1779" s="3" t="s">
        <v>21</v>
      </c>
      <c r="D1779" s="3">
        <v>5315.0</v>
      </c>
      <c r="E1779" s="3" t="s">
        <v>1496</v>
      </c>
      <c r="F1779" s="5">
        <v>46203.784895833334</v>
      </c>
      <c r="G1779" s="5">
        <v>46203.67322916666</v>
      </c>
      <c r="H1779" s="3" t="s">
        <v>14</v>
      </c>
      <c r="I1779" s="7">
        <v>0.0</v>
      </c>
      <c r="J1779" s="3" t="s">
        <v>48</v>
      </c>
    </row>
    <row r="1780">
      <c r="C1780" s="3" t="s">
        <v>24</v>
      </c>
      <c r="D1780" s="3">
        <v>5315.0</v>
      </c>
      <c r="E1780" s="3" t="s">
        <v>1496</v>
      </c>
      <c r="F1780" s="5">
        <v>46204.78472222222</v>
      </c>
      <c r="G1780" s="5">
        <v>46204.44826388889</v>
      </c>
      <c r="H1780" s="3" t="s">
        <v>14</v>
      </c>
      <c r="I1780" s="7">
        <v>0.0</v>
      </c>
      <c r="J1780" s="3" t="s">
        <v>48</v>
      </c>
    </row>
    <row r="1781">
      <c r="C1781" s="3" t="s">
        <v>26</v>
      </c>
      <c r="D1781" s="3">
        <v>5315.0</v>
      </c>
      <c r="E1781" s="3" t="s">
        <v>1496</v>
      </c>
      <c r="F1781" s="5">
        <v>46204.82638888889</v>
      </c>
      <c r="G1781" s="5">
        <v>46204.45453703704</v>
      </c>
      <c r="H1781" s="3" t="s">
        <v>14</v>
      </c>
      <c r="I1781" s="7">
        <v>0.0</v>
      </c>
      <c r="J1781" s="3" t="s">
        <v>48</v>
      </c>
    </row>
    <row r="1782">
      <c r="C1782" s="3" t="s">
        <v>10</v>
      </c>
      <c r="D1782" s="3">
        <v>5316.0</v>
      </c>
      <c r="E1782" s="3" t="s">
        <v>1501</v>
      </c>
      <c r="F1782" s="5">
        <v>46203.77165509259</v>
      </c>
      <c r="G1782" s="5">
        <v>46203.67329861111</v>
      </c>
      <c r="H1782" s="3" t="s">
        <v>14</v>
      </c>
      <c r="I1782" s="3">
        <v>0.0</v>
      </c>
      <c r="J1782" s="3" t="s">
        <v>15</v>
      </c>
    </row>
    <row r="1783">
      <c r="C1783" s="3" t="s">
        <v>17</v>
      </c>
      <c r="D1783" s="3">
        <v>5316.0</v>
      </c>
      <c r="E1783" s="3" t="s">
        <v>1501</v>
      </c>
      <c r="F1783" s="5">
        <v>46203.778599537036</v>
      </c>
      <c r="G1783" s="5">
        <v>46203.67491898148</v>
      </c>
      <c r="H1783" s="3" t="s">
        <v>14</v>
      </c>
      <c r="I1783" s="7">
        <v>0.0</v>
      </c>
      <c r="J1783" s="3" t="s">
        <v>15</v>
      </c>
    </row>
    <row r="1784">
      <c r="C1784" s="3" t="s">
        <v>21</v>
      </c>
      <c r="D1784" s="3">
        <v>5316.0</v>
      </c>
      <c r="E1784" s="3" t="s">
        <v>1501</v>
      </c>
      <c r="F1784" s="5">
        <v>46204.486805555556</v>
      </c>
      <c r="G1784" s="5">
        <v>46203.67506944444</v>
      </c>
      <c r="H1784" s="3" t="s">
        <v>14</v>
      </c>
      <c r="I1784" s="7">
        <v>0.0</v>
      </c>
      <c r="J1784" s="3" t="s">
        <v>15</v>
      </c>
    </row>
    <row r="1785">
      <c r="C1785" s="3" t="s">
        <v>24</v>
      </c>
      <c r="D1785" s="3">
        <v>5316.0</v>
      </c>
      <c r="E1785" s="3" t="s">
        <v>1501</v>
      </c>
      <c r="F1785" s="5">
        <v>46205.486805555556</v>
      </c>
      <c r="G1785" s="5">
        <v>46204.640127314815</v>
      </c>
      <c r="H1785" s="3" t="s">
        <v>14</v>
      </c>
      <c r="I1785" s="7">
        <v>0.0</v>
      </c>
      <c r="J1785" s="3" t="s">
        <v>15</v>
      </c>
    </row>
    <row r="1786">
      <c r="C1786" s="3" t="s">
        <v>26</v>
      </c>
      <c r="D1786" s="3">
        <v>5316.0</v>
      </c>
      <c r="E1786" s="3" t="s">
        <v>1501</v>
      </c>
      <c r="F1786" s="5">
        <v>46205.52847222222</v>
      </c>
      <c r="G1786" s="5">
        <v>46204.640173611115</v>
      </c>
      <c r="H1786" s="3" t="s">
        <v>14</v>
      </c>
      <c r="I1786" s="7">
        <v>0.0</v>
      </c>
      <c r="J1786" s="3" t="s">
        <v>15</v>
      </c>
    </row>
    <row r="1787">
      <c r="C1787" s="3" t="s">
        <v>10</v>
      </c>
      <c r="D1787" s="3">
        <v>5317.0</v>
      </c>
      <c r="E1787" s="3" t="s">
        <v>1504</v>
      </c>
      <c r="F1787" s="5">
        <v>46203.81306712963</v>
      </c>
      <c r="G1787" s="5">
        <v>46203.67480324074</v>
      </c>
      <c r="H1787" s="3" t="s">
        <v>14</v>
      </c>
      <c r="I1787" s="3">
        <v>0.0</v>
      </c>
      <c r="J1787" s="3" t="s">
        <v>15</v>
      </c>
    </row>
    <row r="1788">
      <c r="C1788" s="3" t="s">
        <v>17</v>
      </c>
      <c r="D1788" s="3">
        <v>5317.0</v>
      </c>
      <c r="E1788" s="3" t="s">
        <v>1504</v>
      </c>
      <c r="F1788" s="5">
        <v>46203.82001157408</v>
      </c>
      <c r="G1788" s="5">
        <v>46203.67512731482</v>
      </c>
      <c r="H1788" s="3" t="s">
        <v>14</v>
      </c>
      <c r="I1788" s="7">
        <v>0.0</v>
      </c>
      <c r="J1788" s="3" t="s">
        <v>15</v>
      </c>
    </row>
    <row r="1789">
      <c r="C1789" s="3" t="s">
        <v>21</v>
      </c>
      <c r="D1789" s="3">
        <v>5317.0</v>
      </c>
      <c r="E1789" s="3" t="s">
        <v>1504</v>
      </c>
      <c r="F1789" s="5">
        <v>46204.52777777778</v>
      </c>
      <c r="G1789" s="5">
        <v>46203.675208333334</v>
      </c>
      <c r="H1789" s="3" t="s">
        <v>14</v>
      </c>
      <c r="I1789" s="7">
        <v>0.0</v>
      </c>
      <c r="J1789" s="3" t="s">
        <v>15</v>
      </c>
    </row>
    <row r="1790">
      <c r="C1790" s="3" t="s">
        <v>24</v>
      </c>
      <c r="D1790" s="3">
        <v>5317.0</v>
      </c>
      <c r="E1790" s="3" t="s">
        <v>1504</v>
      </c>
      <c r="F1790" s="5">
        <v>46205.52777777778</v>
      </c>
      <c r="G1790" s="5">
        <v>46204.64021990741</v>
      </c>
      <c r="H1790" s="3" t="s">
        <v>14</v>
      </c>
      <c r="I1790" s="7">
        <v>0.0</v>
      </c>
      <c r="J1790" s="3" t="s">
        <v>15</v>
      </c>
    </row>
    <row r="1791">
      <c r="C1791" s="3" t="s">
        <v>26</v>
      </c>
      <c r="D1791" s="3">
        <v>5317.0</v>
      </c>
      <c r="E1791" s="3" t="s">
        <v>1504</v>
      </c>
      <c r="F1791" s="5">
        <v>46205.569444444445</v>
      </c>
      <c r="G1791" s="5">
        <v>46204.64024305555</v>
      </c>
      <c r="H1791" s="3" t="s">
        <v>14</v>
      </c>
      <c r="I1791" s="7">
        <v>0.0</v>
      </c>
      <c r="J1791" s="3" t="s">
        <v>15</v>
      </c>
    </row>
    <row r="1792">
      <c r="C1792" s="3" t="s">
        <v>10</v>
      </c>
      <c r="D1792" s="3">
        <v>5318.0</v>
      </c>
      <c r="E1792" s="3" t="s">
        <v>1506</v>
      </c>
      <c r="F1792" s="5">
        <v>46204.43402777778</v>
      </c>
      <c r="G1792" s="5">
        <v>46203.72070601852</v>
      </c>
      <c r="H1792" s="3" t="s">
        <v>14</v>
      </c>
      <c r="I1792" s="3">
        <v>0.0</v>
      </c>
      <c r="J1792" s="3" t="s">
        <v>48</v>
      </c>
    </row>
    <row r="1793">
      <c r="C1793" s="3" t="s">
        <v>17</v>
      </c>
      <c r="D1793" s="3">
        <v>5318.0</v>
      </c>
      <c r="E1793" s="3" t="s">
        <v>1506</v>
      </c>
      <c r="F1793" s="5">
        <v>46204.44097222222</v>
      </c>
      <c r="G1793" s="5">
        <v>46203.67512731482</v>
      </c>
      <c r="H1793" s="3" t="s">
        <v>14</v>
      </c>
      <c r="I1793" s="7">
        <v>0.0</v>
      </c>
      <c r="J1793" s="3" t="s">
        <v>48</v>
      </c>
    </row>
    <row r="1794">
      <c r="C1794" s="3" t="s">
        <v>21</v>
      </c>
      <c r="D1794" s="3">
        <v>5318.0</v>
      </c>
      <c r="E1794" s="3" t="s">
        <v>1506</v>
      </c>
      <c r="F1794" s="5">
        <v>46204.54513888889</v>
      </c>
      <c r="G1794" s="5">
        <v>46203.78325231482</v>
      </c>
      <c r="H1794" s="3" t="s">
        <v>14</v>
      </c>
      <c r="I1794" s="7">
        <v>0.0</v>
      </c>
      <c r="J1794" s="3" t="s">
        <v>48</v>
      </c>
    </row>
    <row r="1795">
      <c r="C1795" s="3" t="s">
        <v>24</v>
      </c>
      <c r="D1795" s="3">
        <v>5318.0</v>
      </c>
      <c r="E1795" s="3" t="s">
        <v>1506</v>
      </c>
      <c r="F1795" s="5">
        <v>46205.54513888889</v>
      </c>
      <c r="G1795" s="5">
        <v>46203.78329861111</v>
      </c>
      <c r="H1795" s="3" t="s">
        <v>14</v>
      </c>
      <c r="I1795" s="7">
        <v>0.0</v>
      </c>
      <c r="J1795" s="3" t="s">
        <v>48</v>
      </c>
    </row>
    <row r="1796">
      <c r="C1796" s="3" t="s">
        <v>26</v>
      </c>
      <c r="D1796" s="3">
        <v>5318.0</v>
      </c>
      <c r="E1796" s="3" t="s">
        <v>1506</v>
      </c>
      <c r="F1796" s="5">
        <v>46205.586805555555</v>
      </c>
      <c r="G1796" s="5">
        <v>46203.78333333333</v>
      </c>
      <c r="H1796" s="3" t="s">
        <v>14</v>
      </c>
      <c r="I1796" s="7">
        <v>0.0</v>
      </c>
      <c r="J1796" s="3" t="s">
        <v>48</v>
      </c>
    </row>
    <row r="1797">
      <c r="C1797" s="3" t="s">
        <v>10</v>
      </c>
      <c r="D1797" s="3">
        <v>5319.0</v>
      </c>
      <c r="E1797" s="3">
        <v>2577.0</v>
      </c>
      <c r="F1797" s="5">
        <v>46204.60277777778</v>
      </c>
      <c r="G1797" s="5">
        <v>46204.43939814815</v>
      </c>
      <c r="H1797" s="3" t="s">
        <v>14</v>
      </c>
      <c r="I1797" s="3">
        <v>0.0</v>
      </c>
      <c r="J1797" s="3" t="s">
        <v>72</v>
      </c>
    </row>
    <row r="1798">
      <c r="C1798" s="3" t="s">
        <v>17</v>
      </c>
      <c r="D1798" s="3">
        <v>5319.0</v>
      </c>
      <c r="E1798" s="3">
        <v>2577.0</v>
      </c>
      <c r="F1798" s="5">
        <v>46204.60972222222</v>
      </c>
      <c r="G1798" s="5">
        <v>46204.43944444445</v>
      </c>
      <c r="H1798" s="3" t="s">
        <v>14</v>
      </c>
      <c r="I1798" s="7">
        <v>0.0</v>
      </c>
      <c r="J1798" s="3" t="s">
        <v>72</v>
      </c>
    </row>
    <row r="1799">
      <c r="C1799" s="3" t="s">
        <v>21</v>
      </c>
      <c r="D1799" s="3">
        <v>5319.0</v>
      </c>
      <c r="E1799" s="3">
        <v>2577.0</v>
      </c>
      <c r="F1799" s="5">
        <v>46204.71388888889</v>
      </c>
      <c r="G1799" s="5">
        <v>46204.439467592594</v>
      </c>
      <c r="H1799" s="3" t="s">
        <v>14</v>
      </c>
      <c r="I1799" s="7">
        <v>0.0</v>
      </c>
      <c r="J1799" s="3" t="s">
        <v>72</v>
      </c>
    </row>
    <row r="1800">
      <c r="C1800" s="3" t="s">
        <v>24</v>
      </c>
      <c r="D1800" s="3">
        <v>5319.0</v>
      </c>
      <c r="E1800" s="3">
        <v>2577.0</v>
      </c>
      <c r="F1800" s="5">
        <v>46205.71388888889</v>
      </c>
      <c r="G1800" s="5">
        <v>46204.689884259256</v>
      </c>
      <c r="H1800" s="3" t="s">
        <v>14</v>
      </c>
      <c r="I1800" s="7">
        <v>0.0</v>
      </c>
      <c r="J1800" s="3" t="s">
        <v>72</v>
      </c>
    </row>
    <row r="1801">
      <c r="C1801" s="3" t="s">
        <v>26</v>
      </c>
      <c r="D1801" s="3">
        <v>5319.0</v>
      </c>
      <c r="E1801" s="3">
        <v>2577.0</v>
      </c>
      <c r="F1801" s="5">
        <v>46205.75555555556</v>
      </c>
      <c r="G1801" s="5">
        <v>46204.68990740741</v>
      </c>
      <c r="H1801" s="3" t="s">
        <v>14</v>
      </c>
      <c r="I1801" s="7">
        <v>0.0</v>
      </c>
      <c r="J1801" s="3" t="s">
        <v>72</v>
      </c>
    </row>
    <row r="1802">
      <c r="C1802" s="3" t="s">
        <v>10</v>
      </c>
      <c r="D1802" s="3">
        <v>5320.0</v>
      </c>
      <c r="E1802" s="3" t="s">
        <v>1514</v>
      </c>
      <c r="F1802" s="5">
        <v>46204.79896990741</v>
      </c>
      <c r="G1802" s="5">
        <v>46204.64061342592</v>
      </c>
      <c r="H1802" s="3" t="s">
        <v>14</v>
      </c>
      <c r="I1802" s="3">
        <v>0.0</v>
      </c>
      <c r="J1802" s="3" t="s">
        <v>61</v>
      </c>
    </row>
    <row r="1803">
      <c r="C1803" s="3" t="s">
        <v>17</v>
      </c>
      <c r="D1803" s="3">
        <v>5320.0</v>
      </c>
      <c r="E1803" s="3" t="s">
        <v>1514</v>
      </c>
      <c r="F1803" s="5">
        <v>46204.805914351855</v>
      </c>
      <c r="G1803" s="5">
        <v>46204.641226851854</v>
      </c>
      <c r="H1803" s="3" t="s">
        <v>14</v>
      </c>
      <c r="I1803" s="7">
        <v>0.0</v>
      </c>
      <c r="J1803" s="3" t="s">
        <v>61</v>
      </c>
    </row>
    <row r="1804">
      <c r="C1804" s="3" t="s">
        <v>21</v>
      </c>
      <c r="D1804" s="3">
        <v>5320.0</v>
      </c>
      <c r="E1804" s="3" t="s">
        <v>1514</v>
      </c>
      <c r="F1804" s="5">
        <v>46205.47222222222</v>
      </c>
      <c r="G1804" s="5">
        <v>46204.64135416667</v>
      </c>
      <c r="H1804" s="3" t="s">
        <v>14</v>
      </c>
      <c r="I1804" s="7">
        <v>0.0</v>
      </c>
      <c r="J1804" s="3" t="s">
        <v>61</v>
      </c>
    </row>
    <row r="1805">
      <c r="C1805" s="3" t="s">
        <v>24</v>
      </c>
      <c r="D1805" s="3">
        <v>5320.0</v>
      </c>
      <c r="E1805" s="3" t="s">
        <v>1514</v>
      </c>
      <c r="F1805" s="5">
        <v>46206.47222222222</v>
      </c>
      <c r="G1805" s="5">
        <v>46205.741527777776</v>
      </c>
      <c r="H1805" s="3" t="s">
        <v>14</v>
      </c>
      <c r="I1805" s="7">
        <v>0.0</v>
      </c>
      <c r="J1805" s="3" t="s">
        <v>61</v>
      </c>
    </row>
    <row r="1806">
      <c r="C1806" s="3" t="s">
        <v>26</v>
      </c>
      <c r="D1806" s="3">
        <v>5320.0</v>
      </c>
      <c r="E1806" s="3" t="s">
        <v>1514</v>
      </c>
      <c r="F1806" s="5">
        <v>46206.51388888889</v>
      </c>
      <c r="G1806" s="5">
        <v>46206.481574074074</v>
      </c>
      <c r="H1806" s="3" t="s">
        <v>14</v>
      </c>
      <c r="I1806" s="7">
        <v>0.0</v>
      </c>
      <c r="J1806" s="3" t="s">
        <v>61</v>
      </c>
    </row>
    <row r="1807">
      <c r="C1807" s="3" t="s">
        <v>10</v>
      </c>
      <c r="D1807" s="3">
        <v>5321.0</v>
      </c>
      <c r="E1807" s="3" t="s">
        <v>1514</v>
      </c>
      <c r="F1807" s="5">
        <v>46204.80028935185</v>
      </c>
      <c r="G1807" s="5">
        <v>46204.64082175926</v>
      </c>
      <c r="H1807" s="3" t="s">
        <v>14</v>
      </c>
      <c r="I1807" s="3">
        <v>0.0</v>
      </c>
      <c r="J1807" s="3" t="s">
        <v>61</v>
      </c>
    </row>
    <row r="1808">
      <c r="C1808" s="3" t="s">
        <v>17</v>
      </c>
      <c r="D1808" s="3">
        <v>5321.0</v>
      </c>
      <c r="E1808" s="3" t="s">
        <v>1514</v>
      </c>
      <c r="F1808" s="5">
        <v>46204.807233796295</v>
      </c>
      <c r="G1808" s="5">
        <v>46204.64127314815</v>
      </c>
      <c r="H1808" s="3" t="s">
        <v>14</v>
      </c>
      <c r="I1808" s="7">
        <v>0.0</v>
      </c>
      <c r="J1808" s="3" t="s">
        <v>61</v>
      </c>
    </row>
    <row r="1809">
      <c r="C1809" s="3" t="s">
        <v>21</v>
      </c>
      <c r="D1809" s="3">
        <v>5321.0</v>
      </c>
      <c r="E1809" s="3" t="s">
        <v>1514</v>
      </c>
      <c r="F1809" s="5">
        <v>46205.47361111111</v>
      </c>
      <c r="G1809" s="5">
        <v>46204.641377314816</v>
      </c>
      <c r="H1809" s="3" t="s">
        <v>14</v>
      </c>
      <c r="I1809" s="7">
        <v>0.0</v>
      </c>
      <c r="J1809" s="3" t="s">
        <v>61</v>
      </c>
    </row>
    <row r="1810">
      <c r="C1810" s="3" t="s">
        <v>24</v>
      </c>
      <c r="D1810" s="3">
        <v>5321.0</v>
      </c>
      <c r="E1810" s="3" t="s">
        <v>1514</v>
      </c>
      <c r="F1810" s="5">
        <v>46206.47361111111</v>
      </c>
      <c r="G1810" s="5">
        <v>46205.741527777776</v>
      </c>
      <c r="H1810" s="3" t="s">
        <v>14</v>
      </c>
      <c r="I1810" s="7">
        <v>0.0</v>
      </c>
      <c r="J1810" s="3" t="s">
        <v>61</v>
      </c>
    </row>
    <row r="1811">
      <c r="C1811" s="3" t="s">
        <v>26</v>
      </c>
      <c r="D1811" s="3">
        <v>5321.0</v>
      </c>
      <c r="E1811" s="3" t="s">
        <v>1514</v>
      </c>
      <c r="F1811" s="5">
        <v>46206.51527777778</v>
      </c>
      <c r="G1811" s="5">
        <v>46206.481574074074</v>
      </c>
      <c r="H1811" s="3" t="s">
        <v>14</v>
      </c>
      <c r="I1811" s="7">
        <v>0.0</v>
      </c>
      <c r="J1811" s="3" t="s">
        <v>61</v>
      </c>
    </row>
    <row r="1812">
      <c r="C1812" s="3" t="s">
        <v>10</v>
      </c>
      <c r="D1812" s="3">
        <v>5322.0</v>
      </c>
      <c r="E1812" s="3" t="s">
        <v>1514</v>
      </c>
      <c r="F1812" s="5">
        <v>46204.80133101852</v>
      </c>
      <c r="G1812" s="5">
        <v>46204.640914351854</v>
      </c>
      <c r="H1812" s="3" t="s">
        <v>14</v>
      </c>
      <c r="I1812" s="3">
        <v>0.0</v>
      </c>
      <c r="J1812" s="3" t="s">
        <v>61</v>
      </c>
    </row>
    <row r="1813">
      <c r="C1813" s="3" t="s">
        <v>17</v>
      </c>
      <c r="D1813" s="3">
        <v>5322.0</v>
      </c>
      <c r="E1813" s="3" t="s">
        <v>1514</v>
      </c>
      <c r="F1813" s="5">
        <v>46204.808275462965</v>
      </c>
      <c r="G1813" s="5">
        <v>46204.64125</v>
      </c>
      <c r="H1813" s="3" t="s">
        <v>14</v>
      </c>
      <c r="I1813" s="7">
        <v>0.0</v>
      </c>
      <c r="J1813" s="3" t="s">
        <v>61</v>
      </c>
    </row>
    <row r="1814">
      <c r="C1814" s="3" t="s">
        <v>21</v>
      </c>
      <c r="D1814" s="3">
        <v>5322.0</v>
      </c>
      <c r="E1814" s="3" t="s">
        <v>1514</v>
      </c>
      <c r="F1814" s="5">
        <v>46205.47430555556</v>
      </c>
      <c r="G1814" s="5">
        <v>46204.641388888886</v>
      </c>
      <c r="H1814" s="3" t="s">
        <v>14</v>
      </c>
      <c r="I1814" s="7">
        <v>0.0</v>
      </c>
      <c r="J1814" s="3" t="s">
        <v>61</v>
      </c>
    </row>
    <row r="1815">
      <c r="C1815" s="3" t="s">
        <v>24</v>
      </c>
      <c r="D1815" s="3">
        <v>5322.0</v>
      </c>
      <c r="E1815" s="3" t="s">
        <v>1514</v>
      </c>
      <c r="F1815" s="5">
        <v>46206.47430555556</v>
      </c>
      <c r="G1815" s="5">
        <v>46204.75824074074</v>
      </c>
      <c r="H1815" s="3" t="s">
        <v>14</v>
      </c>
      <c r="I1815" s="7">
        <v>0.0</v>
      </c>
      <c r="J1815" s="3" t="s">
        <v>61</v>
      </c>
    </row>
    <row r="1816">
      <c r="C1816" s="3" t="s">
        <v>26</v>
      </c>
      <c r="D1816" s="3">
        <v>5322.0</v>
      </c>
      <c r="E1816" s="3" t="s">
        <v>1514</v>
      </c>
      <c r="F1816" s="5">
        <v>46206.51597222222</v>
      </c>
      <c r="G1816" s="5">
        <v>46206.481574074074</v>
      </c>
      <c r="H1816" s="3" t="s">
        <v>14</v>
      </c>
      <c r="I1816" s="7">
        <v>0.0</v>
      </c>
      <c r="J1816" s="3" t="s">
        <v>61</v>
      </c>
    </row>
    <row r="1817">
      <c r="C1817" s="3" t="s">
        <v>10</v>
      </c>
      <c r="D1817" s="3">
        <v>5323.0</v>
      </c>
      <c r="E1817" s="3" t="s">
        <v>1524</v>
      </c>
      <c r="F1817" s="5">
        <v>46204.804293981484</v>
      </c>
      <c r="G1817" s="5">
        <v>46204.64111111111</v>
      </c>
      <c r="H1817" s="3" t="s">
        <v>14</v>
      </c>
      <c r="I1817" s="3">
        <v>0.0</v>
      </c>
      <c r="J1817" s="3" t="s">
        <v>15</v>
      </c>
    </row>
    <row r="1818">
      <c r="C1818" s="3" t="s">
        <v>17</v>
      </c>
      <c r="D1818" s="3">
        <v>5323.0</v>
      </c>
      <c r="E1818" s="3" t="s">
        <v>1524</v>
      </c>
      <c r="F1818" s="5">
        <v>46204.81123842593</v>
      </c>
      <c r="G1818" s="5">
        <v>46204.64127314815</v>
      </c>
      <c r="H1818" s="3" t="s">
        <v>14</v>
      </c>
      <c r="I1818" s="7">
        <v>0.0</v>
      </c>
      <c r="J1818" s="3" t="s">
        <v>15</v>
      </c>
    </row>
    <row r="1819">
      <c r="C1819" s="3" t="s">
        <v>21</v>
      </c>
      <c r="D1819" s="3">
        <v>5323.0</v>
      </c>
      <c r="E1819" s="3" t="s">
        <v>1524</v>
      </c>
      <c r="F1819" s="5">
        <v>46205.47777777778</v>
      </c>
      <c r="G1819" s="5">
        <v>46204.64141203704</v>
      </c>
      <c r="H1819" s="3" t="s">
        <v>14</v>
      </c>
      <c r="I1819" s="7">
        <v>0.0</v>
      </c>
      <c r="J1819" s="3" t="s">
        <v>15</v>
      </c>
    </row>
    <row r="1820">
      <c r="C1820" s="3" t="s">
        <v>24</v>
      </c>
      <c r="D1820" s="3">
        <v>5323.0</v>
      </c>
      <c r="E1820" s="3" t="s">
        <v>1524</v>
      </c>
      <c r="F1820" s="5">
        <v>46206.47777777778</v>
      </c>
      <c r="G1820" s="5">
        <v>46204.71822916667</v>
      </c>
      <c r="H1820" s="3" t="s">
        <v>14</v>
      </c>
      <c r="I1820" s="7">
        <v>0.0</v>
      </c>
      <c r="J1820" s="3" t="s">
        <v>15</v>
      </c>
    </row>
    <row r="1821">
      <c r="C1821" s="3" t="s">
        <v>26</v>
      </c>
      <c r="D1821" s="3">
        <v>5323.0</v>
      </c>
      <c r="E1821" s="3" t="s">
        <v>1524</v>
      </c>
      <c r="F1821" s="5">
        <v>46206.51944444444</v>
      </c>
      <c r="G1821" s="5">
        <v>46204.71828703704</v>
      </c>
      <c r="H1821" s="3" t="s">
        <v>14</v>
      </c>
      <c r="I1821" s="7">
        <v>0.0</v>
      </c>
      <c r="J1821" s="3" t="s">
        <v>15</v>
      </c>
    </row>
    <row r="1822">
      <c r="C1822" s="3" t="s">
        <v>10</v>
      </c>
      <c r="D1822" s="3">
        <v>5324.0</v>
      </c>
      <c r="E1822" s="3" t="s">
        <v>1526</v>
      </c>
      <c r="F1822" s="5">
        <v>46205.42361111111</v>
      </c>
      <c r="G1822" s="5">
        <v>46204.685520833336</v>
      </c>
      <c r="H1822" s="3" t="s">
        <v>14</v>
      </c>
      <c r="I1822" s="3">
        <v>0.0</v>
      </c>
      <c r="J1822" s="3" t="s">
        <v>48</v>
      </c>
    </row>
    <row r="1823">
      <c r="C1823" s="3" t="s">
        <v>17</v>
      </c>
      <c r="D1823" s="3">
        <v>5324.0</v>
      </c>
      <c r="E1823" s="3" t="s">
        <v>1526</v>
      </c>
      <c r="F1823" s="5">
        <v>46205.430555555555</v>
      </c>
      <c r="G1823" s="5">
        <v>46204.68541666667</v>
      </c>
      <c r="H1823" s="3" t="s">
        <v>14</v>
      </c>
      <c r="I1823" s="7">
        <v>0.0</v>
      </c>
      <c r="J1823" s="3" t="s">
        <v>48</v>
      </c>
    </row>
    <row r="1824">
      <c r="C1824" s="3" t="s">
        <v>21</v>
      </c>
      <c r="D1824" s="3">
        <v>5324.0</v>
      </c>
      <c r="E1824" s="3" t="s">
        <v>1526</v>
      </c>
      <c r="F1824" s="5">
        <v>46205.53472222222</v>
      </c>
      <c r="G1824" s="5">
        <v>46204.71769675926</v>
      </c>
      <c r="H1824" s="3" t="s">
        <v>14</v>
      </c>
      <c r="I1824" s="7">
        <v>0.0</v>
      </c>
      <c r="J1824" s="3" t="s">
        <v>48</v>
      </c>
    </row>
    <row r="1825">
      <c r="C1825" s="3" t="s">
        <v>24</v>
      </c>
      <c r="D1825" s="3">
        <v>5324.0</v>
      </c>
      <c r="E1825" s="3" t="s">
        <v>1526</v>
      </c>
      <c r="F1825" s="5">
        <v>46206.53472222222</v>
      </c>
      <c r="G1825" s="5">
        <v>46206.48133101852</v>
      </c>
      <c r="H1825" s="3" t="s">
        <v>14</v>
      </c>
      <c r="I1825" s="7">
        <v>0.0</v>
      </c>
      <c r="J1825" s="3" t="s">
        <v>48</v>
      </c>
    </row>
    <row r="1826">
      <c r="C1826" s="3" t="s">
        <v>26</v>
      </c>
      <c r="D1826" s="3">
        <v>5324.0</v>
      </c>
      <c r="E1826" s="3" t="s">
        <v>1526</v>
      </c>
      <c r="F1826" s="5">
        <v>46206.57638888889</v>
      </c>
      <c r="G1826" s="5">
        <v>46206.48149305556</v>
      </c>
      <c r="H1826" s="3" t="s">
        <v>14</v>
      </c>
      <c r="I1826" s="7">
        <v>0.0</v>
      </c>
      <c r="J1826" s="3" t="s">
        <v>48</v>
      </c>
    </row>
    <row r="1827">
      <c r="C1827" s="3" t="s">
        <v>10</v>
      </c>
      <c r="D1827" s="3">
        <v>5325.0</v>
      </c>
      <c r="E1827" s="3" t="s">
        <v>1529</v>
      </c>
      <c r="F1827" s="5">
        <v>46206.501388888886</v>
      </c>
      <c r="G1827" s="5">
        <v>46205.75880787037</v>
      </c>
      <c r="H1827" s="3" t="s">
        <v>14</v>
      </c>
      <c r="I1827" s="3">
        <v>0.0</v>
      </c>
      <c r="J1827" s="3" t="s">
        <v>15</v>
      </c>
    </row>
    <row r="1828">
      <c r="C1828" s="3" t="s">
        <v>17</v>
      </c>
      <c r="D1828" s="3">
        <v>5325.0</v>
      </c>
      <c r="E1828" s="3" t="s">
        <v>1529</v>
      </c>
      <c r="F1828" s="5">
        <v>46206.50833333333</v>
      </c>
      <c r="G1828" s="5">
        <v>46206.46954861111</v>
      </c>
      <c r="H1828" s="3" t="s">
        <v>14</v>
      </c>
      <c r="I1828" s="7">
        <v>0.0</v>
      </c>
      <c r="J1828" s="3" t="s">
        <v>15</v>
      </c>
    </row>
    <row r="1829">
      <c r="C1829" s="3" t="s">
        <v>21</v>
      </c>
      <c r="D1829" s="3">
        <v>5325.0</v>
      </c>
      <c r="E1829" s="3" t="s">
        <v>1529</v>
      </c>
      <c r="F1829" s="5">
        <v>46206.6125</v>
      </c>
      <c r="G1829" s="5">
        <v>46206.4812962963</v>
      </c>
      <c r="H1829" s="3" t="s">
        <v>14</v>
      </c>
      <c r="I1829" s="7">
        <v>0.0</v>
      </c>
      <c r="J1829" s="3" t="s">
        <v>15</v>
      </c>
    </row>
    <row r="1830">
      <c r="C1830" s="3" t="s">
        <v>24</v>
      </c>
      <c r="D1830" s="3">
        <v>5325.0</v>
      </c>
      <c r="E1830" s="3" t="s">
        <v>1529</v>
      </c>
      <c r="F1830" s="5">
        <v>46207.6125</v>
      </c>
      <c r="G1830" s="5">
        <v>46206.54541666667</v>
      </c>
      <c r="H1830" s="3" t="s">
        <v>14</v>
      </c>
      <c r="I1830" s="7">
        <v>0.0</v>
      </c>
      <c r="J1830" s="3" t="s">
        <v>15</v>
      </c>
    </row>
    <row r="1831">
      <c r="C1831" s="3" t="s">
        <v>26</v>
      </c>
      <c r="D1831" s="3">
        <v>5325.0</v>
      </c>
      <c r="E1831" s="3" t="s">
        <v>1529</v>
      </c>
      <c r="F1831" s="5">
        <v>46207.65416666667</v>
      </c>
      <c r="G1831" s="5">
        <v>46206.68733796296</v>
      </c>
      <c r="H1831" s="3" t="s">
        <v>14</v>
      </c>
      <c r="I1831" s="7">
        <v>0.0</v>
      </c>
      <c r="J1831" s="3" t="s">
        <v>15</v>
      </c>
    </row>
    <row r="1832">
      <c r="C1832" s="3" t="s">
        <v>10</v>
      </c>
      <c r="D1832" s="3">
        <v>5326.0</v>
      </c>
      <c r="E1832" s="3" t="s">
        <v>1532</v>
      </c>
      <c r="F1832" s="5">
        <v>46206.635983796295</v>
      </c>
      <c r="G1832" s="5">
        <v>46206.4696412037</v>
      </c>
      <c r="H1832" s="3" t="s">
        <v>14</v>
      </c>
      <c r="I1832" s="3">
        <v>0.0</v>
      </c>
      <c r="J1832" s="3" t="s">
        <v>15</v>
      </c>
    </row>
    <row r="1833">
      <c r="C1833" s="3" t="s">
        <v>17</v>
      </c>
      <c r="D1833" s="3">
        <v>5326.0</v>
      </c>
      <c r="E1833" s="3" t="s">
        <v>1532</v>
      </c>
      <c r="F1833" s="5">
        <v>46206.64292824074</v>
      </c>
      <c r="G1833" s="5">
        <v>46206.46973379629</v>
      </c>
      <c r="H1833" s="3" t="s">
        <v>14</v>
      </c>
      <c r="I1833" s="7">
        <v>0.0</v>
      </c>
      <c r="J1833" s="3" t="s">
        <v>15</v>
      </c>
    </row>
    <row r="1834">
      <c r="C1834" s="3" t="s">
        <v>21</v>
      </c>
      <c r="D1834" s="3">
        <v>5326.0</v>
      </c>
      <c r="E1834" s="3" t="s">
        <v>1532</v>
      </c>
      <c r="F1834" s="5">
        <v>46206.747094907405</v>
      </c>
      <c r="G1834" s="5">
        <v>46206.46989583333</v>
      </c>
      <c r="H1834" s="3" t="s">
        <v>14</v>
      </c>
      <c r="I1834" s="7">
        <v>0.0</v>
      </c>
      <c r="J1834" s="3" t="s">
        <v>15</v>
      </c>
    </row>
    <row r="1835">
      <c r="C1835" s="3" t="s">
        <v>24</v>
      </c>
      <c r="D1835" s="3">
        <v>5326.0</v>
      </c>
      <c r="E1835" s="3" t="s">
        <v>1532</v>
      </c>
      <c r="F1835" s="5">
        <v>46207.74652777778</v>
      </c>
      <c r="G1835" s="5">
        <v>46206.552256944444</v>
      </c>
      <c r="H1835" s="3" t="s">
        <v>14</v>
      </c>
      <c r="I1835" s="7">
        <v>0.0</v>
      </c>
      <c r="J1835" s="3" t="s">
        <v>15</v>
      </c>
    </row>
    <row r="1836">
      <c r="C1836" s="3" t="s">
        <v>26</v>
      </c>
      <c r="D1836" s="3">
        <v>5326.0</v>
      </c>
      <c r="E1836" s="3" t="s">
        <v>1532</v>
      </c>
      <c r="F1836" s="5">
        <v>46207.788194444445</v>
      </c>
      <c r="G1836" s="5">
        <v>46206.68748842592</v>
      </c>
      <c r="H1836" s="3" t="s">
        <v>14</v>
      </c>
      <c r="I1836" s="7">
        <v>0.0</v>
      </c>
      <c r="J1836" s="3" t="s">
        <v>15</v>
      </c>
    </row>
    <row r="1837">
      <c r="C1837" s="3" t="s">
        <v>10</v>
      </c>
      <c r="D1837" s="3">
        <v>5327.0</v>
      </c>
      <c r="E1837" s="3" t="s">
        <v>1535</v>
      </c>
      <c r="F1837" s="5">
        <v>46206.637604166666</v>
      </c>
      <c r="G1837" s="5">
        <v>46206.48092592593</v>
      </c>
      <c r="H1837" s="3" t="s">
        <v>14</v>
      </c>
      <c r="I1837" s="3">
        <v>0.0</v>
      </c>
      <c r="J1837" s="3" t="s">
        <v>61</v>
      </c>
    </row>
    <row r="1838">
      <c r="C1838" s="3" t="s">
        <v>17</v>
      </c>
      <c r="D1838" s="3">
        <v>5327.0</v>
      </c>
      <c r="E1838" s="3" t="s">
        <v>1535</v>
      </c>
      <c r="F1838" s="5">
        <v>46206.64454861111</v>
      </c>
      <c r="G1838" s="5">
        <v>46206.481087962966</v>
      </c>
      <c r="H1838" s="3" t="s">
        <v>14</v>
      </c>
      <c r="I1838" s="7">
        <v>0.0</v>
      </c>
      <c r="J1838" s="3" t="s">
        <v>61</v>
      </c>
    </row>
    <row r="1839">
      <c r="C1839" s="3" t="s">
        <v>21</v>
      </c>
      <c r="D1839" s="3">
        <v>5327.0</v>
      </c>
      <c r="E1839" s="3" t="s">
        <v>1535</v>
      </c>
      <c r="F1839" s="5">
        <v>46206.748715277776</v>
      </c>
      <c r="G1839" s="5">
        <v>46206.48111111111</v>
      </c>
      <c r="H1839" s="3" t="s">
        <v>14</v>
      </c>
      <c r="I1839" s="7">
        <v>0.0</v>
      </c>
      <c r="J1839" s="3" t="s">
        <v>61</v>
      </c>
    </row>
    <row r="1840">
      <c r="C1840" s="3" t="s">
        <v>24</v>
      </c>
      <c r="D1840" s="3">
        <v>5327.0</v>
      </c>
      <c r="E1840" s="3" t="s">
        <v>1535</v>
      </c>
      <c r="F1840" s="5">
        <v>46207.748611111114</v>
      </c>
      <c r="G1840" s="5">
        <v>46206.69403935185</v>
      </c>
      <c r="H1840" s="3" t="s">
        <v>14</v>
      </c>
      <c r="I1840" s="7">
        <v>0.0</v>
      </c>
      <c r="J1840" s="3" t="s">
        <v>61</v>
      </c>
    </row>
    <row r="1841">
      <c r="C1841" s="3" t="s">
        <v>26</v>
      </c>
      <c r="D1841" s="3">
        <v>5327.0</v>
      </c>
      <c r="E1841" s="3" t="s">
        <v>1535</v>
      </c>
      <c r="F1841" s="5">
        <v>46207.79027777778</v>
      </c>
      <c r="G1841" s="5">
        <v>46206.694085648145</v>
      </c>
      <c r="H1841" s="3" t="s">
        <v>14</v>
      </c>
      <c r="I1841" s="7">
        <v>0.0</v>
      </c>
      <c r="J1841" s="3" t="s">
        <v>61</v>
      </c>
    </row>
    <row r="1842">
      <c r="C1842" s="3" t="s">
        <v>10</v>
      </c>
      <c r="D1842" s="3">
        <v>5328.0</v>
      </c>
      <c r="E1842" s="3" t="s">
        <v>1542</v>
      </c>
      <c r="F1842" s="5">
        <v>46206.658125</v>
      </c>
      <c r="G1842" s="5">
        <v>46206.49673611111</v>
      </c>
      <c r="H1842" s="3" t="s">
        <v>14</v>
      </c>
      <c r="I1842" s="3">
        <v>0.0</v>
      </c>
      <c r="J1842" s="3" t="s">
        <v>15</v>
      </c>
    </row>
    <row r="1843">
      <c r="C1843" s="3" t="s">
        <v>17</v>
      </c>
      <c r="D1843" s="3">
        <v>5328.0</v>
      </c>
      <c r="E1843" s="3" t="s">
        <v>1542</v>
      </c>
      <c r="F1843" s="5">
        <v>46206.66506944445</v>
      </c>
      <c r="G1843" s="5">
        <v>46206.49681712963</v>
      </c>
      <c r="H1843" s="3" t="s">
        <v>14</v>
      </c>
      <c r="I1843" s="7">
        <v>0.0</v>
      </c>
      <c r="J1843" s="3" t="s">
        <v>15</v>
      </c>
    </row>
    <row r="1844">
      <c r="C1844" s="3" t="s">
        <v>21</v>
      </c>
      <c r="D1844" s="3">
        <v>5328.0</v>
      </c>
      <c r="E1844" s="3" t="s">
        <v>1542</v>
      </c>
      <c r="F1844" s="5">
        <v>46206.76923611111</v>
      </c>
      <c r="G1844" s="5">
        <v>46206.49685185185</v>
      </c>
      <c r="H1844" s="3" t="s">
        <v>14</v>
      </c>
      <c r="I1844" s="7">
        <v>0.0</v>
      </c>
      <c r="J1844" s="3" t="s">
        <v>15</v>
      </c>
    </row>
    <row r="1845">
      <c r="C1845" s="3" t="s">
        <v>24</v>
      </c>
      <c r="D1845" s="3">
        <v>5328.0</v>
      </c>
      <c r="E1845" s="3" t="s">
        <v>1542</v>
      </c>
      <c r="F1845" s="5">
        <v>46207.76875</v>
      </c>
      <c r="G1845" s="5">
        <v>46207.552719907406</v>
      </c>
      <c r="H1845" s="3" t="s">
        <v>14</v>
      </c>
      <c r="I1845" s="7">
        <v>0.0</v>
      </c>
      <c r="J1845" s="3" t="s">
        <v>15</v>
      </c>
    </row>
    <row r="1846">
      <c r="C1846" s="3" t="s">
        <v>26</v>
      </c>
      <c r="D1846" s="3">
        <v>5328.0</v>
      </c>
      <c r="E1846" s="3" t="s">
        <v>1542</v>
      </c>
      <c r="F1846" s="5">
        <v>46207.81041666667</v>
      </c>
      <c r="G1846" s="5">
        <v>46207.55275462963</v>
      </c>
      <c r="H1846" s="3" t="s">
        <v>14</v>
      </c>
      <c r="I1846" s="7">
        <v>0.0</v>
      </c>
      <c r="J1846" s="3" t="s">
        <v>15</v>
      </c>
    </row>
    <row r="1847">
      <c r="C1847" s="3" t="s">
        <v>10</v>
      </c>
      <c r="D1847" s="3">
        <v>5329.0</v>
      </c>
      <c r="E1847" s="3" t="s">
        <v>882</v>
      </c>
      <c r="F1847" s="5">
        <v>46206.7175</v>
      </c>
      <c r="G1847" s="5">
        <v>46206.55207175926</v>
      </c>
      <c r="H1847" s="3" t="s">
        <v>14</v>
      </c>
      <c r="I1847" s="3">
        <v>0.0</v>
      </c>
      <c r="J1847" s="3" t="s">
        <v>15</v>
      </c>
    </row>
    <row r="1848">
      <c r="C1848" s="3" t="s">
        <v>17</v>
      </c>
      <c r="D1848" s="3">
        <v>5329.0</v>
      </c>
      <c r="E1848" s="3" t="s">
        <v>882</v>
      </c>
      <c r="F1848" s="5">
        <v>46206.724444444444</v>
      </c>
      <c r="G1848" s="5">
        <v>46206.552152777775</v>
      </c>
      <c r="H1848" s="3" t="s">
        <v>14</v>
      </c>
      <c r="I1848" s="7">
        <v>0.0</v>
      </c>
      <c r="J1848" s="3" t="s">
        <v>15</v>
      </c>
    </row>
    <row r="1849">
      <c r="C1849" s="3" t="s">
        <v>21</v>
      </c>
      <c r="D1849" s="3">
        <v>5329.0</v>
      </c>
      <c r="E1849" s="3" t="s">
        <v>882</v>
      </c>
      <c r="F1849" s="5">
        <v>46206.82861111111</v>
      </c>
      <c r="G1849" s="5">
        <v>46206.55217592593</v>
      </c>
      <c r="H1849" s="3" t="s">
        <v>14</v>
      </c>
      <c r="I1849" s="7">
        <v>0.0</v>
      </c>
      <c r="J1849" s="3" t="s">
        <v>15</v>
      </c>
    </row>
    <row r="1850">
      <c r="C1850" s="3" t="s">
        <v>24</v>
      </c>
      <c r="D1850" s="3">
        <v>5329.0</v>
      </c>
      <c r="E1850" s="3" t="s">
        <v>882</v>
      </c>
      <c r="F1850" s="5">
        <v>46207.82847222222</v>
      </c>
      <c r="G1850" s="5">
        <v>46206.66195601852</v>
      </c>
      <c r="H1850" s="3" t="s">
        <v>14</v>
      </c>
      <c r="I1850" s="7">
        <v>0.0</v>
      </c>
      <c r="J1850" s="3" t="s">
        <v>15</v>
      </c>
    </row>
    <row r="1851">
      <c r="C1851" s="3" t="s">
        <v>26</v>
      </c>
      <c r="D1851" s="3">
        <v>5329.0</v>
      </c>
      <c r="E1851" s="3" t="s">
        <v>882</v>
      </c>
      <c r="F1851" s="5">
        <v>46209.45347222222</v>
      </c>
      <c r="G1851" s="5">
        <v>46206.6815625</v>
      </c>
      <c r="H1851" s="3" t="s">
        <v>14</v>
      </c>
      <c r="I1851" s="7">
        <v>0.0</v>
      </c>
      <c r="J1851" s="3" t="s">
        <v>15</v>
      </c>
    </row>
    <row r="1852">
      <c r="C1852" s="3" t="s">
        <v>10</v>
      </c>
      <c r="D1852" s="3">
        <v>5330.0</v>
      </c>
      <c r="E1852" s="3" t="s">
        <v>1551</v>
      </c>
      <c r="F1852" s="5">
        <v>46207.45</v>
      </c>
      <c r="G1852" s="5">
        <v>46206.749189814815</v>
      </c>
      <c r="H1852" s="3" t="s">
        <v>14</v>
      </c>
      <c r="I1852" s="3">
        <v>0.0</v>
      </c>
      <c r="J1852" s="3" t="s">
        <v>72</v>
      </c>
    </row>
    <row r="1853">
      <c r="C1853" s="3" t="s">
        <v>17</v>
      </c>
      <c r="D1853" s="3">
        <v>5330.0</v>
      </c>
      <c r="E1853" s="3" t="s">
        <v>1551</v>
      </c>
      <c r="F1853" s="5">
        <v>46207.45694444444</v>
      </c>
      <c r="G1853" s="5">
        <v>46206.804027777776</v>
      </c>
      <c r="H1853" s="3" t="s">
        <v>14</v>
      </c>
      <c r="I1853" s="7">
        <v>0.0</v>
      </c>
      <c r="J1853" s="3" t="s">
        <v>72</v>
      </c>
    </row>
    <row r="1854">
      <c r="C1854" s="3" t="s">
        <v>21</v>
      </c>
      <c r="D1854" s="3">
        <v>5330.0</v>
      </c>
      <c r="E1854" s="3" t="s">
        <v>1551</v>
      </c>
      <c r="F1854" s="5">
        <v>46207.561111111114</v>
      </c>
      <c r="G1854" s="5">
        <v>46206.804247685184</v>
      </c>
      <c r="H1854" s="3" t="s">
        <v>14</v>
      </c>
      <c r="I1854" s="7">
        <v>0.0</v>
      </c>
      <c r="J1854" s="3" t="s">
        <v>72</v>
      </c>
    </row>
    <row r="1855">
      <c r="C1855" s="3" t="s">
        <v>24</v>
      </c>
      <c r="D1855" s="3">
        <v>5330.0</v>
      </c>
      <c r="E1855" s="3" t="s">
        <v>1551</v>
      </c>
      <c r="F1855" s="5">
        <v>46209.561111111114</v>
      </c>
      <c r="G1855" s="5">
        <v>46206.74928240741</v>
      </c>
      <c r="H1855" s="3" t="s">
        <v>14</v>
      </c>
      <c r="I1855" s="7">
        <v>0.0</v>
      </c>
      <c r="J1855" s="3" t="s">
        <v>72</v>
      </c>
    </row>
    <row r="1856">
      <c r="C1856" s="3" t="s">
        <v>26</v>
      </c>
      <c r="D1856" s="3">
        <v>5330.0</v>
      </c>
      <c r="E1856" s="3" t="s">
        <v>1551</v>
      </c>
      <c r="F1856" s="5">
        <v>46209.60277777778</v>
      </c>
      <c r="G1856" s="5">
        <v>46206.74930555555</v>
      </c>
      <c r="H1856" s="3" t="s">
        <v>14</v>
      </c>
      <c r="I1856" s="7">
        <v>0.0</v>
      </c>
      <c r="J1856" s="3" t="s">
        <v>72</v>
      </c>
    </row>
    <row r="1857">
      <c r="C1857" s="3" t="s">
        <v>10</v>
      </c>
      <c r="D1857" s="3">
        <v>5331.0</v>
      </c>
      <c r="E1857" s="3" t="s">
        <v>1554</v>
      </c>
      <c r="F1857" s="5">
        <v>46207.50555555556</v>
      </c>
      <c r="G1857" s="5">
        <v>46206.80368055555</v>
      </c>
      <c r="H1857" s="3" t="s">
        <v>14</v>
      </c>
      <c r="I1857" s="3">
        <v>0.0</v>
      </c>
      <c r="J1857" s="3" t="s">
        <v>72</v>
      </c>
    </row>
    <row r="1858">
      <c r="C1858" s="3" t="s">
        <v>17</v>
      </c>
      <c r="D1858" s="3">
        <v>5331.0</v>
      </c>
      <c r="E1858" s="3" t="s">
        <v>1554</v>
      </c>
      <c r="F1858" s="5">
        <v>46207.5125</v>
      </c>
      <c r="G1858" s="5">
        <v>46206.80390046296</v>
      </c>
      <c r="H1858" s="3" t="s">
        <v>14</v>
      </c>
      <c r="I1858" s="7">
        <v>0.0</v>
      </c>
      <c r="J1858" s="3" t="s">
        <v>72</v>
      </c>
    </row>
    <row r="1859">
      <c r="C1859" s="3" t="s">
        <v>21</v>
      </c>
      <c r="D1859" s="3">
        <v>5331.0</v>
      </c>
      <c r="E1859" s="3" t="s">
        <v>1554</v>
      </c>
      <c r="F1859" s="5">
        <v>46207.61666666667</v>
      </c>
      <c r="G1859" s="5">
        <v>46207.40392361111</v>
      </c>
      <c r="H1859" s="3" t="s">
        <v>14</v>
      </c>
      <c r="I1859" s="7">
        <v>0.0</v>
      </c>
      <c r="J1859" s="3" t="s">
        <v>72</v>
      </c>
    </row>
    <row r="1860">
      <c r="C1860" s="3" t="s">
        <v>24</v>
      </c>
      <c r="D1860" s="3">
        <v>5331.0</v>
      </c>
      <c r="E1860" s="3" t="s">
        <v>1554</v>
      </c>
      <c r="F1860" s="5">
        <v>46209.61666666667</v>
      </c>
      <c r="G1860" s="5">
        <v>46207.40403935185</v>
      </c>
      <c r="H1860" s="3" t="s">
        <v>14</v>
      </c>
      <c r="I1860" s="7">
        <v>0.0</v>
      </c>
      <c r="J1860" s="3" t="s">
        <v>72</v>
      </c>
    </row>
    <row r="1861">
      <c r="C1861" s="3" t="s">
        <v>26</v>
      </c>
      <c r="D1861" s="3">
        <v>5331.0</v>
      </c>
      <c r="E1861" s="3" t="s">
        <v>1554</v>
      </c>
      <c r="F1861" s="5">
        <v>46209.65833333333</v>
      </c>
      <c r="G1861" s="5">
        <v>46207.40405092593</v>
      </c>
      <c r="H1861" s="3" t="s">
        <v>14</v>
      </c>
      <c r="I1861" s="7">
        <v>0.0</v>
      </c>
      <c r="J1861" s="3" t="s">
        <v>72</v>
      </c>
    </row>
    <row r="1862">
      <c r="C1862" s="3" t="s">
        <v>10</v>
      </c>
      <c r="D1862" s="3">
        <v>5332.0</v>
      </c>
      <c r="E1862" s="3" t="s">
        <v>1558</v>
      </c>
      <c r="F1862" s="5">
        <v>46213.48678240741</v>
      </c>
      <c r="G1862" s="5">
        <v>46209.42967592592</v>
      </c>
      <c r="H1862" s="3" t="s">
        <v>14</v>
      </c>
      <c r="I1862" s="3">
        <v>0.0</v>
      </c>
      <c r="J1862" s="3" t="s">
        <v>72</v>
      </c>
    </row>
    <row r="1863">
      <c r="C1863" s="3" t="s">
        <v>17</v>
      </c>
      <c r="D1863" s="3">
        <v>5332.0</v>
      </c>
      <c r="E1863" s="3" t="s">
        <v>1558</v>
      </c>
      <c r="F1863" s="5">
        <v>46213.493726851855</v>
      </c>
      <c r="G1863" s="5">
        <v>46209.42983796296</v>
      </c>
      <c r="H1863" s="3" t="s">
        <v>14</v>
      </c>
      <c r="I1863" s="7">
        <v>0.0</v>
      </c>
      <c r="J1863" s="3" t="s">
        <v>72</v>
      </c>
    </row>
    <row r="1864">
      <c r="C1864" s="3" t="s">
        <v>21</v>
      </c>
      <c r="D1864" s="3">
        <v>5332.0</v>
      </c>
      <c r="E1864" s="3" t="s">
        <v>1558</v>
      </c>
      <c r="F1864" s="5">
        <v>46213.59789351852</v>
      </c>
      <c r="G1864" s="5">
        <v>46209.48372685185</v>
      </c>
      <c r="H1864" s="3" t="s">
        <v>14</v>
      </c>
      <c r="I1864" s="7">
        <v>0.0</v>
      </c>
      <c r="J1864" s="3" t="s">
        <v>72</v>
      </c>
    </row>
    <row r="1865">
      <c r="C1865" s="3" t="s">
        <v>24</v>
      </c>
      <c r="D1865" s="3">
        <v>5332.0</v>
      </c>
      <c r="E1865" s="3" t="s">
        <v>1558</v>
      </c>
      <c r="F1865" s="5">
        <v>46214.59722222222</v>
      </c>
      <c r="G1865" s="5">
        <v>46209.49657407407</v>
      </c>
      <c r="H1865" s="3" t="s">
        <v>14</v>
      </c>
      <c r="I1865" s="7">
        <v>0.0</v>
      </c>
      <c r="J1865" s="3" t="s">
        <v>72</v>
      </c>
    </row>
    <row r="1866">
      <c r="C1866" s="3" t="s">
        <v>26</v>
      </c>
      <c r="D1866" s="3">
        <v>5332.0</v>
      </c>
      <c r="E1866" s="3" t="s">
        <v>1558</v>
      </c>
      <c r="F1866" s="5">
        <v>46214.63888888889</v>
      </c>
      <c r="G1866" s="5">
        <v>46209.7290162037</v>
      </c>
      <c r="H1866" s="3" t="s">
        <v>14</v>
      </c>
      <c r="I1866" s="7">
        <v>0.0</v>
      </c>
      <c r="J1866" s="3" t="s">
        <v>72</v>
      </c>
    </row>
    <row r="1867">
      <c r="C1867" s="3" t="s">
        <v>10</v>
      </c>
      <c r="D1867" s="3">
        <v>5333.0</v>
      </c>
      <c r="E1867" s="3" t="s">
        <v>1564</v>
      </c>
      <c r="F1867" s="5">
        <v>46209.52361111111</v>
      </c>
      <c r="G1867" s="5">
        <v>46209.429710648146</v>
      </c>
      <c r="H1867" s="3" t="s">
        <v>14</v>
      </c>
      <c r="I1867" s="3">
        <v>0.0</v>
      </c>
      <c r="J1867" s="3" t="s">
        <v>72</v>
      </c>
    </row>
    <row r="1868">
      <c r="C1868" s="3" t="s">
        <v>17</v>
      </c>
      <c r="D1868" s="3">
        <v>5333.0</v>
      </c>
      <c r="E1868" s="3" t="s">
        <v>1564</v>
      </c>
      <c r="F1868" s="5">
        <v>46209.53055555555</v>
      </c>
      <c r="G1868" s="5">
        <v>46209.42986111111</v>
      </c>
      <c r="H1868" s="3" t="s">
        <v>14</v>
      </c>
      <c r="I1868" s="7">
        <v>0.0</v>
      </c>
      <c r="J1868" s="3" t="s">
        <v>72</v>
      </c>
    </row>
    <row r="1869">
      <c r="C1869" s="3" t="s">
        <v>21</v>
      </c>
      <c r="D1869" s="3">
        <v>5333.0</v>
      </c>
      <c r="E1869" s="3" t="s">
        <v>1564</v>
      </c>
      <c r="F1869" s="5">
        <v>46209.634722222225</v>
      </c>
      <c r="G1869" s="5">
        <v>46209.48375</v>
      </c>
      <c r="H1869" s="3" t="s">
        <v>14</v>
      </c>
      <c r="I1869" s="7">
        <v>0.0</v>
      </c>
      <c r="J1869" s="3" t="s">
        <v>72</v>
      </c>
    </row>
    <row r="1870">
      <c r="C1870" s="3" t="s">
        <v>24</v>
      </c>
      <c r="D1870" s="3">
        <v>5333.0</v>
      </c>
      <c r="E1870" s="3" t="s">
        <v>1564</v>
      </c>
      <c r="F1870" s="5">
        <v>46210.634722222225</v>
      </c>
      <c r="G1870" s="5">
        <v>46209.496666666666</v>
      </c>
      <c r="H1870" s="3" t="s">
        <v>14</v>
      </c>
      <c r="I1870" s="7">
        <v>0.0</v>
      </c>
      <c r="J1870" s="3" t="s">
        <v>72</v>
      </c>
    </row>
    <row r="1871">
      <c r="C1871" s="3" t="s">
        <v>26</v>
      </c>
      <c r="D1871" s="3">
        <v>5333.0</v>
      </c>
      <c r="E1871" s="3" t="s">
        <v>1564</v>
      </c>
      <c r="F1871" s="5">
        <v>46210.67638888889</v>
      </c>
      <c r="G1871" s="5">
        <v>46209.72903935185</v>
      </c>
      <c r="H1871" s="3" t="s">
        <v>14</v>
      </c>
      <c r="I1871" s="7">
        <v>0.0</v>
      </c>
      <c r="J1871" s="3" t="s">
        <v>72</v>
      </c>
    </row>
    <row r="1872">
      <c r="C1872" s="3" t="s">
        <v>10</v>
      </c>
      <c r="D1872" s="3">
        <v>5334.0</v>
      </c>
      <c r="E1872" s="3" t="s">
        <v>754</v>
      </c>
      <c r="F1872" s="5">
        <v>46209.61184027778</v>
      </c>
      <c r="G1872" s="5">
        <v>46209.48327546296</v>
      </c>
      <c r="H1872" s="3" t="s">
        <v>14</v>
      </c>
      <c r="I1872" s="3">
        <v>0.0</v>
      </c>
      <c r="J1872" s="3" t="s">
        <v>15</v>
      </c>
    </row>
    <row r="1873">
      <c r="C1873" s="3" t="s">
        <v>17</v>
      </c>
      <c r="D1873" s="3">
        <v>5334.0</v>
      </c>
      <c r="E1873" s="3" t="s">
        <v>754</v>
      </c>
      <c r="F1873" s="5">
        <v>46209.618784722225</v>
      </c>
      <c r="G1873" s="5">
        <v>46209.48349537037</v>
      </c>
      <c r="H1873" s="3" t="s">
        <v>14</v>
      </c>
      <c r="I1873" s="7">
        <v>0.0</v>
      </c>
      <c r="J1873" s="3" t="s">
        <v>15</v>
      </c>
    </row>
    <row r="1874">
      <c r="C1874" s="3" t="s">
        <v>21</v>
      </c>
      <c r="D1874" s="3">
        <v>5334.0</v>
      </c>
      <c r="E1874" s="3" t="s">
        <v>754</v>
      </c>
      <c r="F1874" s="5">
        <v>46209.72295138889</v>
      </c>
      <c r="G1874" s="5">
        <v>46209.48354166667</v>
      </c>
      <c r="H1874" s="3" t="s">
        <v>14</v>
      </c>
      <c r="I1874" s="7">
        <v>0.0</v>
      </c>
      <c r="J1874" s="3" t="s">
        <v>15</v>
      </c>
    </row>
    <row r="1875">
      <c r="C1875" s="3" t="s">
        <v>24</v>
      </c>
      <c r="D1875" s="3">
        <v>5334.0</v>
      </c>
      <c r="E1875" s="3" t="s">
        <v>754</v>
      </c>
      <c r="F1875" s="5">
        <v>46210.722916666666</v>
      </c>
      <c r="G1875" s="5">
        <v>46209.49684027778</v>
      </c>
      <c r="H1875" s="3" t="s">
        <v>14</v>
      </c>
      <c r="I1875" s="7">
        <v>0.0</v>
      </c>
      <c r="J1875" s="3" t="s">
        <v>15</v>
      </c>
    </row>
    <row r="1876">
      <c r="C1876" s="3" t="s">
        <v>26</v>
      </c>
      <c r="D1876" s="3">
        <v>5334.0</v>
      </c>
      <c r="E1876" s="3" t="s">
        <v>754</v>
      </c>
      <c r="F1876" s="5">
        <v>46210.76458333333</v>
      </c>
      <c r="G1876" s="5">
        <v>46209.63538194444</v>
      </c>
      <c r="H1876" s="3" t="s">
        <v>14</v>
      </c>
      <c r="I1876" s="7">
        <v>0.0</v>
      </c>
      <c r="J1876" s="3" t="s">
        <v>15</v>
      </c>
    </row>
    <row r="1877">
      <c r="C1877" s="3" t="s">
        <v>10</v>
      </c>
      <c r="D1877" s="3">
        <v>5335.0</v>
      </c>
      <c r="E1877" s="3" t="s">
        <v>1504</v>
      </c>
      <c r="F1877" s="5">
        <v>46209.65280092593</v>
      </c>
      <c r="G1877" s="5">
        <v>46209.497094907405</v>
      </c>
      <c r="H1877" s="3" t="s">
        <v>14</v>
      </c>
      <c r="I1877" s="3">
        <v>0.0</v>
      </c>
      <c r="J1877" s="3" t="s">
        <v>15</v>
      </c>
    </row>
    <row r="1878">
      <c r="C1878" s="3" t="s">
        <v>17</v>
      </c>
      <c r="D1878" s="3">
        <v>5335.0</v>
      </c>
      <c r="E1878" s="3" t="s">
        <v>1504</v>
      </c>
      <c r="F1878" s="5">
        <v>46209.65974537037</v>
      </c>
      <c r="G1878" s="5">
        <v>46209.4971875</v>
      </c>
      <c r="H1878" s="3" t="s">
        <v>14</v>
      </c>
      <c r="I1878" s="7">
        <v>0.0</v>
      </c>
      <c r="J1878" s="3" t="s">
        <v>15</v>
      </c>
    </row>
    <row r="1879">
      <c r="C1879" s="3" t="s">
        <v>21</v>
      </c>
      <c r="D1879" s="3">
        <v>5335.0</v>
      </c>
      <c r="E1879" s="3" t="s">
        <v>1504</v>
      </c>
      <c r="F1879" s="5">
        <v>46209.76391203704</v>
      </c>
      <c r="G1879" s="5">
        <v>46209.588009259256</v>
      </c>
      <c r="H1879" s="3" t="s">
        <v>14</v>
      </c>
      <c r="I1879" s="7">
        <v>0.0</v>
      </c>
      <c r="J1879" s="3" t="s">
        <v>15</v>
      </c>
    </row>
    <row r="1880">
      <c r="C1880" s="3" t="s">
        <v>24</v>
      </c>
      <c r="D1880" s="3">
        <v>5335.0</v>
      </c>
      <c r="E1880" s="3" t="s">
        <v>1504</v>
      </c>
      <c r="F1880" s="5">
        <v>46210.76388888889</v>
      </c>
      <c r="G1880" s="5">
        <v>46209.58814814815</v>
      </c>
      <c r="H1880" s="3" t="s">
        <v>14</v>
      </c>
      <c r="I1880" s="7">
        <v>0.0</v>
      </c>
      <c r="J1880" s="3" t="s">
        <v>15</v>
      </c>
    </row>
    <row r="1881">
      <c r="C1881" s="3" t="s">
        <v>26</v>
      </c>
      <c r="D1881" s="3">
        <v>5335.0</v>
      </c>
      <c r="E1881" s="3" t="s">
        <v>1504</v>
      </c>
      <c r="F1881" s="5">
        <v>46210.805555555555</v>
      </c>
      <c r="G1881" s="5">
        <v>46209.63542824074</v>
      </c>
      <c r="H1881" s="3" t="s">
        <v>14</v>
      </c>
      <c r="I1881" s="7">
        <v>0.0</v>
      </c>
      <c r="J1881" s="3" t="s">
        <v>15</v>
      </c>
    </row>
    <row r="1882">
      <c r="C1882" s="3" t="s">
        <v>10</v>
      </c>
      <c r="D1882" s="3">
        <v>5336.0</v>
      </c>
      <c r="E1882" s="3" t="s">
        <v>1574</v>
      </c>
      <c r="F1882" s="5">
        <v>46209.6931712963</v>
      </c>
      <c r="G1882" s="5">
        <v>46209.58788194445</v>
      </c>
      <c r="H1882" s="3" t="s">
        <v>14</v>
      </c>
      <c r="I1882" s="3">
        <v>0.0</v>
      </c>
      <c r="J1882" s="3" t="s">
        <v>72</v>
      </c>
    </row>
    <row r="1883">
      <c r="C1883" s="3" t="s">
        <v>17</v>
      </c>
      <c r="D1883" s="3">
        <v>5336.0</v>
      </c>
      <c r="E1883" s="3" t="s">
        <v>1574</v>
      </c>
      <c r="F1883" s="5">
        <v>46209.70011574074</v>
      </c>
      <c r="G1883" s="5">
        <v>46209.58796296296</v>
      </c>
      <c r="H1883" s="3" t="s">
        <v>14</v>
      </c>
      <c r="I1883" s="7">
        <v>0.0</v>
      </c>
      <c r="J1883" s="3" t="s">
        <v>72</v>
      </c>
    </row>
    <row r="1884">
      <c r="C1884" s="3" t="s">
        <v>21</v>
      </c>
      <c r="D1884" s="3">
        <v>5336.0</v>
      </c>
      <c r="E1884" s="3" t="s">
        <v>1574</v>
      </c>
      <c r="F1884" s="5">
        <v>46209.80428240741</v>
      </c>
      <c r="G1884" s="5">
        <v>46209.588009259256</v>
      </c>
      <c r="H1884" s="3" t="s">
        <v>14</v>
      </c>
      <c r="I1884" s="7">
        <v>0.0</v>
      </c>
      <c r="J1884" s="3" t="s">
        <v>72</v>
      </c>
    </row>
    <row r="1885">
      <c r="C1885" s="3" t="s">
        <v>24</v>
      </c>
      <c r="D1885" s="3">
        <v>5336.0</v>
      </c>
      <c r="E1885" s="3" t="s">
        <v>1574</v>
      </c>
      <c r="F1885" s="5">
        <v>46210.80416666667</v>
      </c>
      <c r="G1885" s="5">
        <v>46209.5880787037</v>
      </c>
      <c r="H1885" s="3" t="s">
        <v>14</v>
      </c>
      <c r="I1885" s="7">
        <v>0.0</v>
      </c>
      <c r="J1885" s="3" t="s">
        <v>72</v>
      </c>
    </row>
    <row r="1886">
      <c r="C1886" s="3" t="s">
        <v>26</v>
      </c>
      <c r="D1886" s="3">
        <v>5336.0</v>
      </c>
      <c r="E1886" s="3" t="s">
        <v>1574</v>
      </c>
      <c r="F1886" s="5">
        <v>46211.42916666667</v>
      </c>
      <c r="G1886" s="5">
        <v>46210.50347222222</v>
      </c>
      <c r="H1886" s="3" t="s">
        <v>14</v>
      </c>
      <c r="I1886" s="7">
        <v>0.0</v>
      </c>
      <c r="J1886" s="3" t="s">
        <v>72</v>
      </c>
    </row>
    <row r="1887">
      <c r="C1887" s="3" t="s">
        <v>10</v>
      </c>
      <c r="D1887" s="3">
        <v>5337.0</v>
      </c>
      <c r="E1887" s="3" t="s">
        <v>1577</v>
      </c>
      <c r="F1887" s="5">
        <v>46209.752858796295</v>
      </c>
      <c r="G1887" s="5">
        <v>46209.58788194445</v>
      </c>
      <c r="H1887" s="3" t="s">
        <v>14</v>
      </c>
      <c r="I1887" s="3">
        <v>0.0</v>
      </c>
      <c r="J1887" s="3" t="s">
        <v>15</v>
      </c>
    </row>
    <row r="1888">
      <c r="C1888" s="3" t="s">
        <v>17</v>
      </c>
      <c r="D1888" s="3">
        <v>5337.0</v>
      </c>
      <c r="E1888" s="3" t="s">
        <v>1577</v>
      </c>
      <c r="F1888" s="5">
        <v>46209.75980324074</v>
      </c>
      <c r="G1888" s="5">
        <v>46209.58828703704</v>
      </c>
      <c r="H1888" s="3" t="s">
        <v>14</v>
      </c>
      <c r="I1888" s="7">
        <v>0.0</v>
      </c>
      <c r="J1888" s="3" t="s">
        <v>15</v>
      </c>
    </row>
    <row r="1889">
      <c r="C1889" s="3" t="s">
        <v>21</v>
      </c>
      <c r="D1889" s="3">
        <v>5337.0</v>
      </c>
      <c r="E1889" s="3" t="s">
        <v>1577</v>
      </c>
      <c r="F1889" s="5">
        <v>46210.42638888889</v>
      </c>
      <c r="G1889" s="5">
        <v>46209.58802083333</v>
      </c>
      <c r="H1889" s="3" t="s">
        <v>14</v>
      </c>
      <c r="I1889" s="7">
        <v>0.0</v>
      </c>
      <c r="J1889" s="3" t="s">
        <v>15</v>
      </c>
    </row>
    <row r="1890">
      <c r="C1890" s="3" t="s">
        <v>24</v>
      </c>
      <c r="D1890" s="3">
        <v>5337.0</v>
      </c>
      <c r="E1890" s="3" t="s">
        <v>1577</v>
      </c>
      <c r="F1890" s="5">
        <v>46211.42638888889</v>
      </c>
      <c r="G1890" s="5">
        <v>46209.728854166664</v>
      </c>
      <c r="H1890" s="3" t="s">
        <v>14</v>
      </c>
      <c r="I1890" s="7">
        <v>0.0</v>
      </c>
      <c r="J1890" s="3" t="s">
        <v>15</v>
      </c>
    </row>
    <row r="1891">
      <c r="C1891" s="3" t="s">
        <v>26</v>
      </c>
      <c r="D1891" s="3">
        <v>5337.0</v>
      </c>
      <c r="E1891" s="3" t="s">
        <v>1577</v>
      </c>
      <c r="F1891" s="5">
        <v>46211.46805555555</v>
      </c>
      <c r="G1891" s="5">
        <v>46209.72888888889</v>
      </c>
      <c r="H1891" s="3" t="s">
        <v>14</v>
      </c>
      <c r="I1891" s="7">
        <v>0.0</v>
      </c>
      <c r="J1891" s="3" t="s">
        <v>15</v>
      </c>
    </row>
    <row r="1892">
      <c r="C1892" s="3" t="s">
        <v>10</v>
      </c>
      <c r="D1892" s="3">
        <v>5338.0</v>
      </c>
      <c r="E1892" s="3" t="s">
        <v>1583</v>
      </c>
      <c r="F1892" s="5">
        <v>46210.45806712963</v>
      </c>
      <c r="G1892" s="5">
        <v>46209.72741898148</v>
      </c>
      <c r="H1892" s="3" t="s">
        <v>14</v>
      </c>
      <c r="I1892" s="3">
        <v>0.0</v>
      </c>
      <c r="J1892" s="3" t="s">
        <v>48</v>
      </c>
    </row>
    <row r="1893">
      <c r="C1893" s="3" t="s">
        <v>17</v>
      </c>
      <c r="D1893" s="3">
        <v>5338.0</v>
      </c>
      <c r="E1893" s="3" t="s">
        <v>1583</v>
      </c>
      <c r="F1893" s="5">
        <v>46210.46501157407</v>
      </c>
      <c r="G1893" s="5">
        <v>46209.72751157408</v>
      </c>
      <c r="H1893" s="3" t="s">
        <v>14</v>
      </c>
      <c r="I1893" s="7">
        <v>0.0</v>
      </c>
      <c r="J1893" s="3" t="s">
        <v>48</v>
      </c>
    </row>
    <row r="1894">
      <c r="C1894" s="3" t="s">
        <v>21</v>
      </c>
      <c r="D1894" s="3">
        <v>5338.0</v>
      </c>
      <c r="E1894" s="3" t="s">
        <v>1583</v>
      </c>
      <c r="F1894" s="5">
        <v>46210.56917824074</v>
      </c>
      <c r="G1894" s="5">
        <v>46210.493483796294</v>
      </c>
      <c r="H1894" s="3" t="s">
        <v>14</v>
      </c>
      <c r="I1894" s="7">
        <v>0.0</v>
      </c>
      <c r="J1894" s="3" t="s">
        <v>48</v>
      </c>
    </row>
    <row r="1895">
      <c r="C1895" s="3" t="s">
        <v>24</v>
      </c>
      <c r="D1895" s="3">
        <v>5338.0</v>
      </c>
      <c r="E1895" s="3" t="s">
        <v>1583</v>
      </c>
      <c r="F1895" s="5">
        <v>46211.56875</v>
      </c>
      <c r="G1895" s="5">
        <v>46211.44664351852</v>
      </c>
      <c r="H1895" s="3" t="s">
        <v>14</v>
      </c>
      <c r="I1895" s="7">
        <v>0.0</v>
      </c>
      <c r="J1895" s="3" t="s">
        <v>48</v>
      </c>
    </row>
    <row r="1896">
      <c r="C1896" s="3" t="s">
        <v>26</v>
      </c>
      <c r="D1896" s="3">
        <v>5338.0</v>
      </c>
      <c r="E1896" s="3" t="s">
        <v>1583</v>
      </c>
      <c r="F1896" s="5">
        <v>46211.61041666667</v>
      </c>
      <c r="G1896" s="5">
        <v>46211.44665509259</v>
      </c>
      <c r="H1896" s="3" t="s">
        <v>14</v>
      </c>
      <c r="I1896" s="7">
        <v>0.0</v>
      </c>
      <c r="J1896" s="3" t="s">
        <v>48</v>
      </c>
    </row>
    <row r="1897">
      <c r="C1897" s="3" t="s">
        <v>10</v>
      </c>
      <c r="D1897" s="3">
        <v>5339.0</v>
      </c>
      <c r="E1897" s="3" t="s">
        <v>1590</v>
      </c>
      <c r="F1897" s="5">
        <v>46210.450694444444</v>
      </c>
      <c r="G1897" s="5">
        <v>46209.72861111111</v>
      </c>
      <c r="H1897" s="3" t="s">
        <v>14</v>
      </c>
      <c r="I1897" s="3">
        <v>0.0</v>
      </c>
      <c r="J1897" s="3" t="s">
        <v>15</v>
      </c>
    </row>
    <row r="1898">
      <c r="C1898" s="3" t="s">
        <v>17</v>
      </c>
      <c r="D1898" s="3">
        <v>5339.0</v>
      </c>
      <c r="E1898" s="3" t="s">
        <v>1590</v>
      </c>
      <c r="F1898" s="5">
        <v>46210.45763888889</v>
      </c>
      <c r="G1898" s="5">
        <v>46209.727534722224</v>
      </c>
      <c r="H1898" s="3" t="s">
        <v>14</v>
      </c>
      <c r="I1898" s="7">
        <v>0.0</v>
      </c>
      <c r="J1898" s="3" t="s">
        <v>15</v>
      </c>
    </row>
    <row r="1899">
      <c r="C1899" s="3" t="s">
        <v>21</v>
      </c>
      <c r="D1899" s="3">
        <v>5339.0</v>
      </c>
      <c r="E1899" s="3" t="s">
        <v>1590</v>
      </c>
      <c r="F1899" s="5">
        <v>46210.56180555555</v>
      </c>
      <c r="G1899" s="5">
        <v>46209.72877314815</v>
      </c>
      <c r="H1899" s="3" t="s">
        <v>14</v>
      </c>
      <c r="I1899" s="7">
        <v>0.0</v>
      </c>
      <c r="J1899" s="3" t="s">
        <v>15</v>
      </c>
    </row>
    <row r="1900">
      <c r="C1900" s="3" t="s">
        <v>24</v>
      </c>
      <c r="D1900" s="3">
        <v>5339.0</v>
      </c>
      <c r="E1900" s="3" t="s">
        <v>1590</v>
      </c>
      <c r="F1900" s="5">
        <v>46211.56180555555</v>
      </c>
      <c r="G1900" s="5">
        <v>46209.72880787037</v>
      </c>
      <c r="H1900" s="3" t="s">
        <v>14</v>
      </c>
      <c r="I1900" s="7">
        <v>0.0</v>
      </c>
      <c r="J1900" s="3" t="s">
        <v>15</v>
      </c>
    </row>
    <row r="1901">
      <c r="C1901" s="3" t="s">
        <v>26</v>
      </c>
      <c r="D1901" s="3">
        <v>5339.0</v>
      </c>
      <c r="E1901" s="3" t="s">
        <v>1590</v>
      </c>
      <c r="F1901" s="5">
        <v>46211.603472222225</v>
      </c>
      <c r="G1901" s="5">
        <v>46209.72892361111</v>
      </c>
      <c r="H1901" s="3" t="s">
        <v>14</v>
      </c>
      <c r="I1901" s="7">
        <v>0.0</v>
      </c>
      <c r="J1901" s="3" t="s">
        <v>15</v>
      </c>
    </row>
    <row r="1902">
      <c r="C1902" s="3" t="s">
        <v>10</v>
      </c>
      <c r="D1902" s="3">
        <v>5340.0</v>
      </c>
      <c r="E1902" s="3" t="s">
        <v>1594</v>
      </c>
      <c r="F1902" s="5">
        <v>46210.695601851854</v>
      </c>
      <c r="G1902" s="5">
        <v>46210.61863425926</v>
      </c>
      <c r="H1902" s="3" t="s">
        <v>14</v>
      </c>
      <c r="I1902" s="3">
        <v>0.0</v>
      </c>
      <c r="J1902" s="3" t="s">
        <v>15</v>
      </c>
    </row>
    <row r="1903">
      <c r="C1903" s="3" t="s">
        <v>17</v>
      </c>
      <c r="D1903" s="3">
        <v>5340.0</v>
      </c>
      <c r="E1903" s="3" t="s">
        <v>1594</v>
      </c>
      <c r="F1903" s="5">
        <v>46210.7025462963</v>
      </c>
      <c r="G1903" s="5">
        <v>46210.61875</v>
      </c>
      <c r="H1903" s="3" t="s">
        <v>14</v>
      </c>
      <c r="I1903" s="7">
        <v>0.0</v>
      </c>
      <c r="J1903" s="3" t="s">
        <v>15</v>
      </c>
    </row>
    <row r="1904">
      <c r="C1904" s="3" t="s">
        <v>21</v>
      </c>
      <c r="D1904" s="3">
        <v>5340.0</v>
      </c>
      <c r="E1904" s="3" t="s">
        <v>1594</v>
      </c>
      <c r="F1904" s="5">
        <v>46210.80671296296</v>
      </c>
      <c r="G1904" s="5">
        <v>46210.61877314815</v>
      </c>
      <c r="H1904" s="3" t="s">
        <v>14</v>
      </c>
      <c r="I1904" s="7">
        <v>0.0</v>
      </c>
      <c r="J1904" s="3" t="s">
        <v>15</v>
      </c>
    </row>
    <row r="1905">
      <c r="C1905" s="3" t="s">
        <v>24</v>
      </c>
      <c r="D1905" s="3">
        <v>5340.0</v>
      </c>
      <c r="E1905" s="3" t="s">
        <v>1594</v>
      </c>
      <c r="F1905" s="5">
        <v>46211.80625</v>
      </c>
      <c r="G1905" s="5">
        <v>46211.4477662037</v>
      </c>
      <c r="H1905" s="3" t="s">
        <v>14</v>
      </c>
      <c r="I1905" s="7">
        <v>0.0</v>
      </c>
      <c r="J1905" s="3" t="s">
        <v>15</v>
      </c>
    </row>
    <row r="1906">
      <c r="C1906" s="3" t="s">
        <v>26</v>
      </c>
      <c r="D1906" s="3">
        <v>5340.0</v>
      </c>
      <c r="E1906" s="3" t="s">
        <v>1594</v>
      </c>
      <c r="F1906" s="5">
        <v>46212.43125</v>
      </c>
      <c r="G1906" s="5">
        <v>46211.462488425925</v>
      </c>
      <c r="H1906" s="3" t="s">
        <v>14</v>
      </c>
      <c r="I1906" s="7">
        <v>0.0</v>
      </c>
      <c r="J1906" s="3" t="s">
        <v>15</v>
      </c>
    </row>
    <row r="1907">
      <c r="C1907" s="3" t="s">
        <v>10</v>
      </c>
      <c r="D1907" s="3">
        <v>5341.0</v>
      </c>
      <c r="E1907" s="3" t="s">
        <v>284</v>
      </c>
      <c r="F1907" s="5">
        <v>46211.64894675926</v>
      </c>
      <c r="G1907" s="5">
        <v>46211.526875</v>
      </c>
      <c r="H1907" s="3" t="s">
        <v>14</v>
      </c>
      <c r="I1907" s="3">
        <v>0.0</v>
      </c>
      <c r="J1907" s="3" t="s">
        <v>48</v>
      </c>
    </row>
    <row r="1908">
      <c r="C1908" s="3" t="s">
        <v>17</v>
      </c>
      <c r="D1908" s="3">
        <v>5341.0</v>
      </c>
      <c r="E1908" s="3" t="s">
        <v>284</v>
      </c>
      <c r="F1908" s="5">
        <v>46211.65589120371</v>
      </c>
      <c r="G1908" s="5">
        <v>46211.527233796296</v>
      </c>
      <c r="H1908" s="3" t="s">
        <v>14</v>
      </c>
      <c r="I1908" s="7">
        <v>0.0</v>
      </c>
      <c r="J1908" s="3" t="s">
        <v>48</v>
      </c>
    </row>
    <row r="1909">
      <c r="C1909" s="3" t="s">
        <v>21</v>
      </c>
      <c r="D1909" s="3">
        <v>5341.0</v>
      </c>
      <c r="E1909" s="3" t="s">
        <v>284</v>
      </c>
      <c r="F1909" s="5">
        <v>46211.76005787037</v>
      </c>
      <c r="G1909" s="5">
        <v>46211.7559375</v>
      </c>
      <c r="H1909" s="3" t="s">
        <v>14</v>
      </c>
      <c r="I1909" s="7">
        <v>0.0</v>
      </c>
      <c r="J1909" s="3" t="s">
        <v>48</v>
      </c>
    </row>
    <row r="1910">
      <c r="C1910" s="3" t="s">
        <v>24</v>
      </c>
      <c r="D1910" s="3">
        <v>5341.0</v>
      </c>
      <c r="E1910" s="3" t="s">
        <v>284</v>
      </c>
      <c r="F1910" s="5">
        <v>46212.759722222225</v>
      </c>
      <c r="G1910" s="5">
        <v>46211.78412037037</v>
      </c>
      <c r="H1910" s="3" t="s">
        <v>14</v>
      </c>
      <c r="I1910" s="7">
        <v>0.0</v>
      </c>
      <c r="J1910" s="3" t="s">
        <v>48</v>
      </c>
    </row>
    <row r="1911">
      <c r="C1911" s="3" t="s">
        <v>26</v>
      </c>
      <c r="D1911" s="3">
        <v>5341.0</v>
      </c>
      <c r="E1911" s="3" t="s">
        <v>284</v>
      </c>
      <c r="F1911" s="5">
        <v>46212.80138888889</v>
      </c>
      <c r="G1911" s="5">
        <v>46213.44923611111</v>
      </c>
      <c r="H1911" s="3" t="s">
        <v>14</v>
      </c>
      <c r="I1911" s="7">
        <v>0.6478472222222222</v>
      </c>
      <c r="J1911" s="3" t="s">
        <v>48</v>
      </c>
    </row>
    <row r="1912">
      <c r="C1912" s="3" t="s">
        <v>10</v>
      </c>
      <c r="D1912" s="3">
        <v>5342.0</v>
      </c>
      <c r="E1912" s="3" t="s">
        <v>1600</v>
      </c>
      <c r="F1912" s="5">
        <v>46211.72261574074</v>
      </c>
      <c r="G1912" s="5">
        <v>46211.64643518518</v>
      </c>
      <c r="H1912" s="3" t="s">
        <v>14</v>
      </c>
      <c r="I1912" s="3">
        <v>0.0</v>
      </c>
      <c r="J1912" s="3" t="s">
        <v>15</v>
      </c>
    </row>
    <row r="1913">
      <c r="C1913" s="3" t="s">
        <v>17</v>
      </c>
      <c r="D1913" s="3">
        <v>5342.0</v>
      </c>
      <c r="E1913" s="3" t="s">
        <v>1600</v>
      </c>
      <c r="F1913" s="5">
        <v>46211.72956018519</v>
      </c>
      <c r="G1913" s="5">
        <v>46211.64664351852</v>
      </c>
      <c r="H1913" s="3" t="s">
        <v>14</v>
      </c>
      <c r="I1913" s="7">
        <v>0.0</v>
      </c>
      <c r="J1913" s="3" t="s">
        <v>15</v>
      </c>
    </row>
    <row r="1914">
      <c r="C1914" s="3" t="s">
        <v>21</v>
      </c>
      <c r="D1914" s="3">
        <v>5342.0</v>
      </c>
      <c r="E1914" s="3" t="s">
        <v>1600</v>
      </c>
      <c r="F1914" s="5">
        <v>46212.4375</v>
      </c>
      <c r="G1914" s="5">
        <v>46211.783530092594</v>
      </c>
      <c r="H1914" s="3" t="s">
        <v>14</v>
      </c>
      <c r="I1914" s="7">
        <v>0.0</v>
      </c>
      <c r="J1914" s="3" t="s">
        <v>15</v>
      </c>
    </row>
    <row r="1915">
      <c r="C1915" s="3" t="s">
        <v>24</v>
      </c>
      <c r="D1915" s="3">
        <v>5342.0</v>
      </c>
      <c r="E1915" s="3" t="s">
        <v>1600</v>
      </c>
      <c r="F1915" s="5">
        <v>46213.4375</v>
      </c>
      <c r="G1915" s="5">
        <v>46211.78414351852</v>
      </c>
      <c r="H1915" s="3" t="s">
        <v>14</v>
      </c>
      <c r="I1915" s="7">
        <v>0.0</v>
      </c>
      <c r="J1915" s="3" t="s">
        <v>15</v>
      </c>
    </row>
    <row r="1916">
      <c r="C1916" s="3" t="s">
        <v>26</v>
      </c>
      <c r="D1916" s="3">
        <v>5342.0</v>
      </c>
      <c r="E1916" s="3" t="s">
        <v>1600</v>
      </c>
      <c r="F1916" s="5">
        <v>46213.479166666664</v>
      </c>
      <c r="G1916" s="5"/>
      <c r="H1916" s="3"/>
      <c r="I1916" s="7">
        <v>0.0</v>
      </c>
      <c r="J1916" s="3" t="s">
        <v>15</v>
      </c>
    </row>
    <row r="1917">
      <c r="C1917" s="3" t="s">
        <v>10</v>
      </c>
      <c r="D1917" s="3">
        <v>5343.0</v>
      </c>
      <c r="E1917" s="3" t="s">
        <v>1604</v>
      </c>
      <c r="F1917" s="5">
        <v>46211.76186342593</v>
      </c>
      <c r="G1917" s="5">
        <v>46211.646458333336</v>
      </c>
      <c r="H1917" s="3" t="s">
        <v>14</v>
      </c>
      <c r="I1917" s="3">
        <v>0.0</v>
      </c>
      <c r="J1917" s="3" t="s">
        <v>15</v>
      </c>
    </row>
    <row r="1918">
      <c r="C1918" s="3" t="s">
        <v>17</v>
      </c>
      <c r="D1918" s="3">
        <v>5343.0</v>
      </c>
      <c r="E1918" s="3" t="s">
        <v>1604</v>
      </c>
      <c r="F1918" s="5">
        <v>46211.76880787037</v>
      </c>
      <c r="G1918" s="5">
        <v>46211.646631944444</v>
      </c>
      <c r="H1918" s="3" t="s">
        <v>14</v>
      </c>
      <c r="I1918" s="7">
        <v>0.0</v>
      </c>
      <c r="J1918" s="3" t="s">
        <v>15</v>
      </c>
    </row>
    <row r="1919">
      <c r="C1919" s="3" t="s">
        <v>21</v>
      </c>
      <c r="D1919" s="3">
        <v>5343.0</v>
      </c>
      <c r="E1919" s="3" t="s">
        <v>1604</v>
      </c>
      <c r="F1919" s="5">
        <v>46212.43541666667</v>
      </c>
      <c r="G1919" s="5">
        <v>46211.78355324074</v>
      </c>
      <c r="H1919" s="3" t="s">
        <v>14</v>
      </c>
      <c r="I1919" s="7">
        <v>0.0</v>
      </c>
      <c r="J1919" s="3" t="s">
        <v>15</v>
      </c>
    </row>
    <row r="1920">
      <c r="C1920" s="3" t="s">
        <v>24</v>
      </c>
      <c r="D1920" s="3">
        <v>5343.0</v>
      </c>
      <c r="E1920" s="3" t="s">
        <v>1604</v>
      </c>
      <c r="F1920" s="5">
        <v>46213.43541666667</v>
      </c>
      <c r="G1920" s="5">
        <v>46211.78359953704</v>
      </c>
      <c r="H1920" s="3" t="s">
        <v>14</v>
      </c>
      <c r="I1920" s="7">
        <v>0.0</v>
      </c>
      <c r="J1920" s="3" t="s">
        <v>15</v>
      </c>
    </row>
    <row r="1921">
      <c r="C1921" s="3" t="s">
        <v>26</v>
      </c>
      <c r="D1921" s="3">
        <v>5343.0</v>
      </c>
      <c r="E1921" s="3" t="s">
        <v>1604</v>
      </c>
      <c r="F1921" s="5">
        <v>46213.47708333333</v>
      </c>
      <c r="G1921" s="5">
        <v>46212.74445601852</v>
      </c>
      <c r="H1921" s="3" t="s">
        <v>14</v>
      </c>
      <c r="I1921" s="7">
        <v>0.0</v>
      </c>
      <c r="J1921" s="3" t="s">
        <v>15</v>
      </c>
    </row>
    <row r="1922">
      <c r="C1922" s="3" t="s">
        <v>10</v>
      </c>
      <c r="D1922" s="3">
        <v>5344.0</v>
      </c>
      <c r="E1922" s="3" t="s">
        <v>1609</v>
      </c>
      <c r="F1922" s="5">
        <v>46212.475694444445</v>
      </c>
      <c r="G1922" s="5">
        <v>46211.72733796296</v>
      </c>
      <c r="H1922" s="3" t="s">
        <v>14</v>
      </c>
      <c r="I1922" s="3">
        <v>0.0</v>
      </c>
      <c r="J1922" s="3" t="s">
        <v>61</v>
      </c>
    </row>
    <row r="1923">
      <c r="C1923" s="3" t="s">
        <v>17</v>
      </c>
      <c r="D1923" s="3">
        <v>5344.0</v>
      </c>
      <c r="E1923" s="3" t="s">
        <v>1609</v>
      </c>
      <c r="F1923" s="5">
        <v>46212.48263888889</v>
      </c>
      <c r="G1923" s="5">
        <v>46211.72741898148</v>
      </c>
      <c r="H1923" s="3" t="s">
        <v>14</v>
      </c>
      <c r="I1923" s="7">
        <v>0.0</v>
      </c>
      <c r="J1923" s="3" t="s">
        <v>61</v>
      </c>
    </row>
    <row r="1924">
      <c r="C1924" s="3" t="s">
        <v>21</v>
      </c>
      <c r="D1924" s="3">
        <v>5344.0</v>
      </c>
      <c r="E1924" s="3" t="s">
        <v>1609</v>
      </c>
      <c r="F1924" s="5">
        <v>46212.586805555555</v>
      </c>
      <c r="G1924" s="5">
        <v>46211.72746527778</v>
      </c>
      <c r="H1924" s="3" t="s">
        <v>14</v>
      </c>
      <c r="I1924" s="7">
        <v>0.0</v>
      </c>
      <c r="J1924" s="3" t="s">
        <v>61</v>
      </c>
    </row>
    <row r="1925">
      <c r="C1925" s="3" t="s">
        <v>24</v>
      </c>
      <c r="D1925" s="3">
        <v>5344.0</v>
      </c>
      <c r="E1925" s="3" t="s">
        <v>1609</v>
      </c>
      <c r="F1925" s="5">
        <v>46213.586805555555</v>
      </c>
      <c r="G1925" s="5">
        <v>46213.52396990741</v>
      </c>
      <c r="H1925" s="3" t="s">
        <v>14</v>
      </c>
      <c r="I1925" s="7">
        <v>0.0</v>
      </c>
      <c r="J1925" s="3" t="s">
        <v>61</v>
      </c>
    </row>
    <row r="1926">
      <c r="C1926" s="3" t="s">
        <v>26</v>
      </c>
      <c r="D1926" s="3">
        <v>5344.0</v>
      </c>
      <c r="E1926" s="3" t="s">
        <v>1609</v>
      </c>
      <c r="F1926" s="5">
        <v>46213.62847222222</v>
      </c>
      <c r="G1926" s="5">
        <v>46213.56623842593</v>
      </c>
      <c r="H1926" s="3" t="s">
        <v>14</v>
      </c>
      <c r="I1926" s="7">
        <v>0.0</v>
      </c>
      <c r="J1926" s="3" t="s">
        <v>61</v>
      </c>
    </row>
    <row r="1927">
      <c r="C1927" s="3" t="s">
        <v>10</v>
      </c>
      <c r="D1927" s="3">
        <v>5345.0</v>
      </c>
      <c r="E1927" s="3" t="s">
        <v>1612</v>
      </c>
      <c r="F1927" s="5">
        <v>46212.48472222222</v>
      </c>
      <c r="G1927" s="5">
        <v>46211.738900462966</v>
      </c>
      <c r="H1927" s="3" t="s">
        <v>14</v>
      </c>
      <c r="I1927" s="3">
        <v>0.0</v>
      </c>
      <c r="J1927" s="3" t="s">
        <v>61</v>
      </c>
    </row>
    <row r="1928">
      <c r="C1928" s="3" t="s">
        <v>17</v>
      </c>
      <c r="D1928" s="3">
        <v>5345.0</v>
      </c>
      <c r="E1928" s="3" t="s">
        <v>1612</v>
      </c>
      <c r="F1928" s="5">
        <v>46212.49166666667</v>
      </c>
      <c r="G1928" s="5">
        <v>46211.7390625</v>
      </c>
      <c r="H1928" s="3" t="s">
        <v>14</v>
      </c>
      <c r="I1928" s="7">
        <v>0.0</v>
      </c>
      <c r="J1928" s="3" t="s">
        <v>61</v>
      </c>
    </row>
    <row r="1929">
      <c r="C1929" s="3" t="s">
        <v>21</v>
      </c>
      <c r="D1929" s="3">
        <v>5345.0</v>
      </c>
      <c r="E1929" s="3" t="s">
        <v>1612</v>
      </c>
      <c r="F1929" s="5">
        <v>46212.59583333333</v>
      </c>
      <c r="G1929" s="5">
        <v>46211.739224537036</v>
      </c>
      <c r="H1929" s="3" t="s">
        <v>14</v>
      </c>
      <c r="I1929" s="7">
        <v>0.0</v>
      </c>
      <c r="J1929" s="3" t="s">
        <v>61</v>
      </c>
    </row>
    <row r="1930">
      <c r="C1930" s="3" t="s">
        <v>24</v>
      </c>
      <c r="D1930" s="3">
        <v>5345.0</v>
      </c>
      <c r="E1930" s="3" t="s">
        <v>1612</v>
      </c>
      <c r="F1930" s="5">
        <v>46213.59583333333</v>
      </c>
      <c r="G1930" s="5">
        <v>46213.523993055554</v>
      </c>
      <c r="H1930" s="3" t="s">
        <v>14</v>
      </c>
      <c r="I1930" s="7">
        <v>0.0</v>
      </c>
      <c r="J1930" s="3" t="s">
        <v>61</v>
      </c>
    </row>
    <row r="1931">
      <c r="C1931" s="3" t="s">
        <v>26</v>
      </c>
      <c r="D1931" s="3">
        <v>5345.0</v>
      </c>
      <c r="E1931" s="3" t="s">
        <v>1612</v>
      </c>
      <c r="F1931" s="5">
        <v>46213.6375</v>
      </c>
      <c r="G1931" s="5">
        <v>46213.56626157407</v>
      </c>
      <c r="H1931" s="3" t="s">
        <v>14</v>
      </c>
      <c r="I1931" s="7">
        <v>0.0</v>
      </c>
      <c r="J1931" s="3" t="s">
        <v>61</v>
      </c>
    </row>
    <row r="1932">
      <c r="C1932" s="3" t="s">
        <v>10</v>
      </c>
      <c r="D1932" s="3">
        <v>5346.0</v>
      </c>
      <c r="E1932" s="3" t="s">
        <v>1616</v>
      </c>
      <c r="F1932" s="5">
        <v>46212.486805555556</v>
      </c>
      <c r="G1932" s="5">
        <v>46211.73894675926</v>
      </c>
      <c r="H1932" s="3" t="s">
        <v>14</v>
      </c>
      <c r="I1932" s="3">
        <v>0.0</v>
      </c>
      <c r="J1932" s="3" t="s">
        <v>61</v>
      </c>
    </row>
    <row r="1933">
      <c r="C1933" s="3" t="s">
        <v>17</v>
      </c>
      <c r="D1933" s="3">
        <v>5346.0</v>
      </c>
      <c r="E1933" s="3" t="s">
        <v>1616</v>
      </c>
      <c r="F1933" s="5">
        <v>46212.49375</v>
      </c>
      <c r="G1933" s="5">
        <v>46211.73908564815</v>
      </c>
      <c r="H1933" s="3" t="s">
        <v>14</v>
      </c>
      <c r="I1933" s="7">
        <v>0.0</v>
      </c>
      <c r="J1933" s="3" t="s">
        <v>61</v>
      </c>
    </row>
    <row r="1934">
      <c r="C1934" s="3" t="s">
        <v>21</v>
      </c>
      <c r="D1934" s="3">
        <v>5346.0</v>
      </c>
      <c r="E1934" s="3" t="s">
        <v>1616</v>
      </c>
      <c r="F1934" s="5">
        <v>46212.597916666666</v>
      </c>
      <c r="G1934" s="5">
        <v>46211.73920138889</v>
      </c>
      <c r="H1934" s="3" t="s">
        <v>14</v>
      </c>
      <c r="I1934" s="7">
        <v>0.0</v>
      </c>
      <c r="J1934" s="3" t="s">
        <v>61</v>
      </c>
    </row>
    <row r="1935">
      <c r="C1935" s="3" t="s">
        <v>24</v>
      </c>
      <c r="D1935" s="3">
        <v>5346.0</v>
      </c>
      <c r="E1935" s="3" t="s">
        <v>1616</v>
      </c>
      <c r="F1935" s="5">
        <v>46213.597916666666</v>
      </c>
      <c r="G1935" s="5">
        <v>46213.52402777778</v>
      </c>
      <c r="H1935" s="3" t="s">
        <v>14</v>
      </c>
      <c r="I1935" s="7">
        <v>0.0</v>
      </c>
      <c r="J1935" s="3" t="s">
        <v>61</v>
      </c>
    </row>
    <row r="1936">
      <c r="C1936" s="3" t="s">
        <v>26</v>
      </c>
      <c r="D1936" s="3">
        <v>5346.0</v>
      </c>
      <c r="E1936" s="3" t="s">
        <v>1616</v>
      </c>
      <c r="F1936" s="5">
        <v>46213.63958333333</v>
      </c>
      <c r="G1936" s="5">
        <v>46213.56627314815</v>
      </c>
      <c r="H1936" s="3" t="s">
        <v>14</v>
      </c>
      <c r="I1936" s="7">
        <v>0.0</v>
      </c>
      <c r="J1936" s="3" t="s">
        <v>61</v>
      </c>
    </row>
    <row r="1937">
      <c r="C1937" s="3" t="s">
        <v>10</v>
      </c>
      <c r="D1937" s="3">
        <v>5347.0</v>
      </c>
      <c r="E1937" s="3" t="s">
        <v>1444</v>
      </c>
      <c r="F1937" s="5">
        <v>46212.48819444444</v>
      </c>
      <c r="G1937" s="5">
        <v>46211.739016203705</v>
      </c>
      <c r="H1937" s="3" t="s">
        <v>14</v>
      </c>
      <c r="I1937" s="3">
        <v>0.0</v>
      </c>
      <c r="J1937" s="3" t="s">
        <v>61</v>
      </c>
    </row>
    <row r="1938">
      <c r="C1938" s="3" t="s">
        <v>17</v>
      </c>
      <c r="D1938" s="3">
        <v>5347.0</v>
      </c>
      <c r="E1938" s="3" t="s">
        <v>1444</v>
      </c>
      <c r="F1938" s="5">
        <v>46212.49513888889</v>
      </c>
      <c r="G1938" s="5">
        <v>46211.7391087963</v>
      </c>
      <c r="H1938" s="3" t="s">
        <v>14</v>
      </c>
      <c r="I1938" s="7">
        <v>0.0</v>
      </c>
      <c r="J1938" s="3" t="s">
        <v>61</v>
      </c>
    </row>
    <row r="1939">
      <c r="C1939" s="3" t="s">
        <v>21</v>
      </c>
      <c r="D1939" s="3">
        <v>5347.0</v>
      </c>
      <c r="E1939" s="3" t="s">
        <v>1444</v>
      </c>
      <c r="F1939" s="5">
        <v>46212.59930555556</v>
      </c>
      <c r="G1939" s="5">
        <v>46211.73918981481</v>
      </c>
      <c r="H1939" s="3" t="s">
        <v>14</v>
      </c>
      <c r="I1939" s="7">
        <v>0.0</v>
      </c>
      <c r="J1939" s="3" t="s">
        <v>61</v>
      </c>
    </row>
    <row r="1940">
      <c r="C1940" s="3" t="s">
        <v>24</v>
      </c>
      <c r="D1940" s="3">
        <v>5347.0</v>
      </c>
      <c r="E1940" s="3" t="s">
        <v>1444</v>
      </c>
      <c r="F1940" s="5">
        <v>46213.59930555556</v>
      </c>
      <c r="G1940" s="5">
        <v>46213.524976851855</v>
      </c>
      <c r="H1940" s="3" t="s">
        <v>14</v>
      </c>
      <c r="I1940" s="7">
        <v>0.0</v>
      </c>
      <c r="J1940" s="3" t="s">
        <v>61</v>
      </c>
    </row>
    <row r="1941">
      <c r="C1941" s="3" t="s">
        <v>26</v>
      </c>
      <c r="D1941" s="3">
        <v>5347.0</v>
      </c>
      <c r="E1941" s="3" t="s">
        <v>1444</v>
      </c>
      <c r="F1941" s="5">
        <v>46213.64097222222</v>
      </c>
      <c r="G1941" s="5">
        <v>46213.567025462966</v>
      </c>
      <c r="H1941" s="3" t="s">
        <v>14</v>
      </c>
      <c r="I1941" s="7">
        <v>0.0</v>
      </c>
      <c r="J1941" s="3" t="s">
        <v>61</v>
      </c>
    </row>
    <row r="1942">
      <c r="C1942" s="3" t="s">
        <v>10</v>
      </c>
      <c r="D1942" s="3">
        <v>5348.0</v>
      </c>
      <c r="E1942" s="3" t="s">
        <v>1622</v>
      </c>
      <c r="F1942" s="5">
        <v>46212.59788194444</v>
      </c>
      <c r="G1942" s="5">
        <v>46212.449421296296</v>
      </c>
      <c r="H1942" s="3" t="s">
        <v>14</v>
      </c>
      <c r="I1942" s="3">
        <v>0.0</v>
      </c>
      <c r="J1942" s="3" t="s">
        <v>15</v>
      </c>
    </row>
    <row r="1943">
      <c r="C1943" s="3" t="s">
        <v>17</v>
      </c>
      <c r="D1943" s="3">
        <v>5348.0</v>
      </c>
      <c r="E1943" s="3" t="s">
        <v>1622</v>
      </c>
      <c r="F1943" s="5">
        <v>46212.60482638889</v>
      </c>
      <c r="G1943" s="5">
        <v>46212.44961805556</v>
      </c>
      <c r="H1943" s="3" t="s">
        <v>14</v>
      </c>
      <c r="I1943" s="7">
        <v>0.0</v>
      </c>
      <c r="J1943" s="3" t="s">
        <v>15</v>
      </c>
    </row>
    <row r="1944">
      <c r="C1944" s="3" t="s">
        <v>21</v>
      </c>
      <c r="D1944" s="3">
        <v>5348.0</v>
      </c>
      <c r="E1944" s="3" t="s">
        <v>1622</v>
      </c>
      <c r="F1944" s="5">
        <v>46212.70899305555</v>
      </c>
      <c r="G1944" s="5">
        <v>46212.4497337963</v>
      </c>
      <c r="H1944" s="3" t="s">
        <v>14</v>
      </c>
      <c r="I1944" s="7">
        <v>0.0</v>
      </c>
      <c r="J1944" s="3" t="s">
        <v>15</v>
      </c>
    </row>
    <row r="1945">
      <c r="C1945" s="3" t="s">
        <v>24</v>
      </c>
      <c r="D1945" s="3">
        <v>5348.0</v>
      </c>
      <c r="E1945" s="3" t="s">
        <v>1622</v>
      </c>
      <c r="F1945" s="5">
        <v>46213.708333333336</v>
      </c>
      <c r="G1945" s="5">
        <v>46212.78586805556</v>
      </c>
      <c r="H1945" s="3" t="s">
        <v>14</v>
      </c>
      <c r="I1945" s="7">
        <v>0.0</v>
      </c>
      <c r="J1945" s="3" t="s">
        <v>15</v>
      </c>
    </row>
    <row r="1946">
      <c r="C1946" s="3" t="s">
        <v>26</v>
      </c>
      <c r="D1946" s="3">
        <v>5348.0</v>
      </c>
      <c r="E1946" s="3" t="s">
        <v>1622</v>
      </c>
      <c r="F1946" s="5">
        <v>46213.75</v>
      </c>
      <c r="G1946" s="5">
        <v>46212.78592592593</v>
      </c>
      <c r="H1946" s="3" t="s">
        <v>14</v>
      </c>
      <c r="I1946" s="7">
        <v>0.0</v>
      </c>
      <c r="J1946" s="3" t="s">
        <v>15</v>
      </c>
    </row>
    <row r="1947">
      <c r="C1947" s="3" t="s">
        <v>10</v>
      </c>
      <c r="D1947" s="3">
        <v>5349.0</v>
      </c>
      <c r="E1947" s="3" t="s">
        <v>1626</v>
      </c>
      <c r="F1947" s="5">
        <v>46212.60082175926</v>
      </c>
      <c r="G1947" s="5">
        <v>46212.44944444444</v>
      </c>
      <c r="H1947" s="3" t="s">
        <v>14</v>
      </c>
      <c r="I1947" s="3">
        <v>0.0</v>
      </c>
      <c r="J1947" s="3" t="s">
        <v>72</v>
      </c>
    </row>
    <row r="1948">
      <c r="C1948" s="3" t="s">
        <v>17</v>
      </c>
      <c r="D1948" s="3">
        <v>5349.0</v>
      </c>
      <c r="E1948" s="3" t="s">
        <v>1626</v>
      </c>
      <c r="F1948" s="5">
        <v>46212.607766203706</v>
      </c>
      <c r="G1948" s="5">
        <v>46212.44962962963</v>
      </c>
      <c r="H1948" s="3" t="s">
        <v>14</v>
      </c>
      <c r="I1948" s="7">
        <v>0.0</v>
      </c>
      <c r="J1948" s="3" t="s">
        <v>72</v>
      </c>
    </row>
    <row r="1949">
      <c r="C1949" s="3" t="s">
        <v>21</v>
      </c>
      <c r="D1949" s="3">
        <v>5349.0</v>
      </c>
      <c r="E1949" s="3" t="s">
        <v>1626</v>
      </c>
      <c r="F1949" s="5">
        <v>46212.71193287037</v>
      </c>
      <c r="G1949" s="5">
        <v>46212.44974537037</v>
      </c>
      <c r="H1949" s="3" t="s">
        <v>14</v>
      </c>
      <c r="I1949" s="7">
        <v>0.0</v>
      </c>
      <c r="J1949" s="3" t="s">
        <v>72</v>
      </c>
    </row>
    <row r="1950">
      <c r="C1950" s="3" t="s">
        <v>24</v>
      </c>
      <c r="D1950" s="3">
        <v>5349.0</v>
      </c>
      <c r="E1950" s="3" t="s">
        <v>1626</v>
      </c>
      <c r="F1950" s="5">
        <v>46213.711805555555</v>
      </c>
      <c r="G1950" s="5">
        <v>46212.57450231481</v>
      </c>
      <c r="H1950" s="3" t="s">
        <v>14</v>
      </c>
      <c r="I1950" s="7">
        <v>0.0</v>
      </c>
      <c r="J1950" s="3" t="s">
        <v>72</v>
      </c>
    </row>
    <row r="1951">
      <c r="C1951" s="3" t="s">
        <v>26</v>
      </c>
      <c r="D1951" s="3">
        <v>5349.0</v>
      </c>
      <c r="E1951" s="3" t="s">
        <v>1626</v>
      </c>
      <c r="F1951" s="5">
        <v>46213.75347222222</v>
      </c>
      <c r="G1951" s="5">
        <v>46212.57454861111</v>
      </c>
      <c r="H1951" s="3" t="s">
        <v>14</v>
      </c>
      <c r="I1951" s="7">
        <v>0.0</v>
      </c>
      <c r="J1951" s="3" t="s">
        <v>72</v>
      </c>
    </row>
    <row r="1952">
      <c r="C1952" s="3" t="s">
        <v>10</v>
      </c>
      <c r="D1952" s="3">
        <v>5350.0</v>
      </c>
      <c r="E1952" s="3" t="s">
        <v>1630</v>
      </c>
      <c r="F1952" s="5">
        <v>46212.61168981482</v>
      </c>
      <c r="G1952" s="5">
        <v>46212.449467592596</v>
      </c>
      <c r="H1952" s="3" t="s">
        <v>14</v>
      </c>
      <c r="I1952" s="3">
        <v>0.0</v>
      </c>
      <c r="J1952" s="3" t="s">
        <v>15</v>
      </c>
    </row>
    <row r="1953">
      <c r="C1953" s="3" t="s">
        <v>17</v>
      </c>
      <c r="D1953" s="3">
        <v>5350.0</v>
      </c>
      <c r="E1953" s="3" t="s">
        <v>1630</v>
      </c>
      <c r="F1953" s="5">
        <v>46212.61863425926</v>
      </c>
      <c r="G1953" s="5">
        <v>46212.44965277778</v>
      </c>
      <c r="H1953" s="3" t="s">
        <v>14</v>
      </c>
      <c r="I1953" s="7">
        <v>0.0</v>
      </c>
      <c r="J1953" s="3" t="s">
        <v>15</v>
      </c>
    </row>
    <row r="1954">
      <c r="C1954" s="3" t="s">
        <v>21</v>
      </c>
      <c r="D1954" s="3">
        <v>5350.0</v>
      </c>
      <c r="E1954" s="3" t="s">
        <v>1630</v>
      </c>
      <c r="F1954" s="5">
        <v>46212.72280092593</v>
      </c>
      <c r="G1954" s="5">
        <v>46212.44976851852</v>
      </c>
      <c r="H1954" s="3" t="s">
        <v>14</v>
      </c>
      <c r="I1954" s="7">
        <v>0.0</v>
      </c>
      <c r="J1954" s="3" t="s">
        <v>15</v>
      </c>
    </row>
    <row r="1955">
      <c r="C1955" s="3" t="s">
        <v>24</v>
      </c>
      <c r="D1955" s="3">
        <v>5350.0</v>
      </c>
      <c r="E1955" s="3" t="s">
        <v>1630</v>
      </c>
      <c r="F1955" s="5">
        <v>46213.72222222222</v>
      </c>
      <c r="G1955" s="5">
        <v>46212.78571759259</v>
      </c>
      <c r="H1955" s="3" t="s">
        <v>14</v>
      </c>
      <c r="I1955" s="7">
        <v>0.0</v>
      </c>
      <c r="J1955" s="3" t="s">
        <v>15</v>
      </c>
    </row>
    <row r="1956">
      <c r="C1956" s="3" t="s">
        <v>26</v>
      </c>
      <c r="D1956" s="3">
        <v>5350.0</v>
      </c>
      <c r="E1956" s="3" t="s">
        <v>1630</v>
      </c>
      <c r="F1956" s="5">
        <v>46213.76388888889</v>
      </c>
      <c r="G1956" s="5">
        <v>46212.785787037035</v>
      </c>
      <c r="H1956" s="3" t="s">
        <v>14</v>
      </c>
      <c r="I1956" s="7">
        <v>0.0</v>
      </c>
      <c r="J1956" s="3" t="s">
        <v>15</v>
      </c>
    </row>
    <row r="1957">
      <c r="C1957" s="3" t="s">
        <v>10</v>
      </c>
      <c r="D1957" s="3">
        <v>5351.0</v>
      </c>
      <c r="E1957" s="3" t="s">
        <v>1634</v>
      </c>
      <c r="F1957" s="5">
        <v>46213.70730324074</v>
      </c>
      <c r="G1957" s="5">
        <v>46213.622245370374</v>
      </c>
      <c r="H1957" s="3" t="s">
        <v>14</v>
      </c>
      <c r="I1957" s="3">
        <v>0.0</v>
      </c>
      <c r="J1957" s="3" t="s">
        <v>15</v>
      </c>
    </row>
    <row r="1958">
      <c r="C1958" s="3" t="s">
        <v>17</v>
      </c>
      <c r="D1958" s="3">
        <v>5351.0</v>
      </c>
      <c r="E1958" s="3" t="s">
        <v>1634</v>
      </c>
      <c r="F1958" s="5">
        <v>46213.71424768519</v>
      </c>
      <c r="G1958" s="5">
        <v>46213.62241898148</v>
      </c>
      <c r="H1958" s="3" t="s">
        <v>14</v>
      </c>
      <c r="I1958" s="7">
        <v>0.0</v>
      </c>
      <c r="J1958" s="3" t="s">
        <v>15</v>
      </c>
    </row>
    <row r="1959">
      <c r="C1959" s="3" t="s">
        <v>21</v>
      </c>
      <c r="D1959" s="3">
        <v>5351.0</v>
      </c>
      <c r="E1959" s="3" t="s">
        <v>1634</v>
      </c>
      <c r="F1959" s="5">
        <v>46213.81841435185</v>
      </c>
      <c r="G1959" s="5">
        <v>46213.64324074074</v>
      </c>
      <c r="H1959" s="3" t="s">
        <v>14</v>
      </c>
      <c r="I1959" s="7">
        <v>0.0</v>
      </c>
      <c r="J1959" s="3" t="s">
        <v>15</v>
      </c>
    </row>
    <row r="1960">
      <c r="C1960" s="3" t="s">
        <v>24</v>
      </c>
      <c r="D1960" s="3">
        <v>5351.0</v>
      </c>
      <c r="E1960" s="3" t="s">
        <v>1634</v>
      </c>
      <c r="F1960" s="5">
        <v>46214.81805555556</v>
      </c>
      <c r="G1960" s="5">
        <v>46213.643275462964</v>
      </c>
      <c r="H1960" s="3" t="s">
        <v>14</v>
      </c>
      <c r="I1960" s="7">
        <v>0.0</v>
      </c>
      <c r="J1960" s="3" t="s">
        <v>15</v>
      </c>
    </row>
    <row r="1961">
      <c r="C1961" s="3" t="s">
        <v>26</v>
      </c>
      <c r="D1961" s="3">
        <v>5351.0</v>
      </c>
      <c r="E1961" s="3" t="s">
        <v>1634</v>
      </c>
      <c r="F1961" s="5">
        <v>46216.44305555556</v>
      </c>
      <c r="G1961" s="5">
        <v>46213.64329861111</v>
      </c>
      <c r="H1961" s="3" t="s">
        <v>14</v>
      </c>
      <c r="I1961" s="7">
        <v>0.0</v>
      </c>
      <c r="J1961" s="3" t="s">
        <v>15</v>
      </c>
    </row>
    <row r="1962">
      <c r="C1962" s="3" t="s">
        <v>10</v>
      </c>
      <c r="D1962" s="3">
        <v>5352.0</v>
      </c>
      <c r="E1962" s="3" t="s">
        <v>410</v>
      </c>
      <c r="F1962" s="5">
        <v>46213.738969907405</v>
      </c>
      <c r="G1962" s="5">
        <v>46213.62228009259</v>
      </c>
      <c r="H1962" s="3" t="s">
        <v>14</v>
      </c>
      <c r="I1962" s="3">
        <v>0.0</v>
      </c>
      <c r="J1962" s="3" t="s">
        <v>72</v>
      </c>
    </row>
    <row r="1963">
      <c r="C1963" s="3" t="s">
        <v>17</v>
      </c>
      <c r="D1963" s="3">
        <v>5352.0</v>
      </c>
      <c r="E1963" s="3" t="s">
        <v>410</v>
      </c>
      <c r="F1963" s="5">
        <v>46213.74591435185</v>
      </c>
      <c r="G1963" s="5">
        <v>46213.62244212963</v>
      </c>
      <c r="H1963" s="3" t="s">
        <v>14</v>
      </c>
      <c r="I1963" s="7">
        <v>0.0</v>
      </c>
      <c r="J1963" s="3" t="s">
        <v>72</v>
      </c>
    </row>
    <row r="1964">
      <c r="C1964" s="3" t="s">
        <v>21</v>
      </c>
      <c r="D1964" s="3">
        <v>5352.0</v>
      </c>
      <c r="E1964" s="3" t="s">
        <v>410</v>
      </c>
      <c r="F1964" s="5">
        <v>46214.45416666667</v>
      </c>
      <c r="G1964" s="5">
        <v>46213.64873842592</v>
      </c>
      <c r="H1964" s="3" t="s">
        <v>14</v>
      </c>
      <c r="I1964" s="7">
        <v>0.0</v>
      </c>
      <c r="J1964" s="3" t="s">
        <v>72</v>
      </c>
    </row>
    <row r="1965">
      <c r="C1965" s="3" t="s">
        <v>24</v>
      </c>
      <c r="D1965" s="3">
        <v>5352.0</v>
      </c>
      <c r="E1965" s="3" t="s">
        <v>410</v>
      </c>
      <c r="F1965" s="5">
        <v>46216.45416666667</v>
      </c>
      <c r="G1965" s="5">
        <v>46214.45853009259</v>
      </c>
      <c r="H1965" s="3" t="s">
        <v>14</v>
      </c>
      <c r="I1965" s="7">
        <v>0.0</v>
      </c>
      <c r="J1965" s="3" t="s">
        <v>72</v>
      </c>
    </row>
    <row r="1966">
      <c r="C1966" s="3" t="s">
        <v>26</v>
      </c>
      <c r="D1966" s="3">
        <v>5352.0</v>
      </c>
      <c r="E1966" s="3" t="s">
        <v>410</v>
      </c>
      <c r="F1966" s="5">
        <v>46216.495833333334</v>
      </c>
      <c r="G1966" s="5">
        <v>46214.45829861111</v>
      </c>
      <c r="H1966" s="3" t="s">
        <v>14</v>
      </c>
      <c r="I1966" s="7">
        <v>0.0</v>
      </c>
      <c r="J1966" s="3" t="s">
        <v>72</v>
      </c>
    </row>
    <row r="1967">
      <c r="C1967" s="3" t="s">
        <v>10</v>
      </c>
      <c r="D1967" s="3">
        <v>5353.0</v>
      </c>
      <c r="E1967" s="3" t="s">
        <v>407</v>
      </c>
      <c r="F1967" s="5">
        <v>46213.81122685185</v>
      </c>
      <c r="G1967" s="5">
        <v>46213.648518518516</v>
      </c>
      <c r="H1967" s="3" t="s">
        <v>14</v>
      </c>
      <c r="I1967" s="3">
        <v>0.0</v>
      </c>
      <c r="J1967" s="3" t="s">
        <v>72</v>
      </c>
    </row>
    <row r="1968">
      <c r="C1968" s="3" t="s">
        <v>17</v>
      </c>
      <c r="D1968" s="3">
        <v>5353.0</v>
      </c>
      <c r="E1968" s="3" t="s">
        <v>407</v>
      </c>
      <c r="F1968" s="5">
        <v>46213.8181712963</v>
      </c>
      <c r="G1968" s="5">
        <v>46213.64859953704</v>
      </c>
      <c r="H1968" s="3" t="s">
        <v>14</v>
      </c>
      <c r="I1968" s="7">
        <v>0.0</v>
      </c>
      <c r="J1968" s="3" t="s">
        <v>72</v>
      </c>
    </row>
    <row r="1969">
      <c r="C1969" s="3" t="s">
        <v>21</v>
      </c>
      <c r="D1969" s="3">
        <v>5353.0</v>
      </c>
      <c r="E1969" s="3" t="s">
        <v>407</v>
      </c>
      <c r="F1969" s="5">
        <v>46214.52638888889</v>
      </c>
      <c r="G1969" s="5">
        <v>46213.64876157408</v>
      </c>
      <c r="H1969" s="3" t="s">
        <v>14</v>
      </c>
      <c r="I1969" s="7">
        <v>0.0</v>
      </c>
      <c r="J1969" s="3" t="s">
        <v>72</v>
      </c>
    </row>
    <row r="1970">
      <c r="C1970" s="3" t="s">
        <v>24</v>
      </c>
      <c r="D1970" s="3">
        <v>5353.0</v>
      </c>
      <c r="E1970" s="3" t="s">
        <v>407</v>
      </c>
      <c r="F1970" s="5">
        <v>46216.52638888889</v>
      </c>
      <c r="G1970" s="5">
        <v>46214.45827546297</v>
      </c>
      <c r="H1970" s="3" t="s">
        <v>14</v>
      </c>
      <c r="I1970" s="7">
        <v>0.0</v>
      </c>
      <c r="J1970" s="3" t="s">
        <v>72</v>
      </c>
    </row>
    <row r="1971">
      <c r="C1971" s="3" t="s">
        <v>26</v>
      </c>
      <c r="D1971" s="3">
        <v>5353.0</v>
      </c>
      <c r="E1971" s="3" t="s">
        <v>407</v>
      </c>
      <c r="F1971" s="5">
        <v>46216.56805555556</v>
      </c>
      <c r="G1971" s="5">
        <v>46214.458333333336</v>
      </c>
      <c r="H1971" s="3" t="s">
        <v>14</v>
      </c>
      <c r="I1971" s="7">
        <v>0.0</v>
      </c>
      <c r="J1971" s="3" t="s">
        <v>72</v>
      </c>
    </row>
    <row r="1972">
      <c r="C1972" s="3" t="s">
        <v>10</v>
      </c>
      <c r="D1972" s="3">
        <v>5354.0</v>
      </c>
      <c r="E1972" s="3" t="s">
        <v>1643</v>
      </c>
      <c r="F1972" s="5">
        <v>46214.66002314815</v>
      </c>
      <c r="G1972" s="5">
        <v>46214.49842592593</v>
      </c>
      <c r="H1972" s="3" t="s">
        <v>14</v>
      </c>
      <c r="I1972" s="3">
        <v>0.0</v>
      </c>
      <c r="J1972" s="3" t="s">
        <v>15</v>
      </c>
    </row>
    <row r="1973">
      <c r="C1973" s="3" t="s">
        <v>17</v>
      </c>
      <c r="D1973" s="3">
        <v>5354.0</v>
      </c>
      <c r="E1973" s="3" t="s">
        <v>1643</v>
      </c>
      <c r="F1973" s="5">
        <v>46214.666967592595</v>
      </c>
      <c r="G1973" s="5">
        <v>46214.49859953704</v>
      </c>
      <c r="H1973" s="3" t="s">
        <v>14</v>
      </c>
      <c r="I1973" s="7">
        <v>0.0</v>
      </c>
      <c r="J1973" s="3" t="s">
        <v>15</v>
      </c>
    </row>
    <row r="1974">
      <c r="C1974" s="3" t="s">
        <v>21</v>
      </c>
      <c r="D1974" s="3">
        <v>5354.0</v>
      </c>
      <c r="E1974" s="3" t="s">
        <v>1643</v>
      </c>
      <c r="F1974" s="5">
        <v>46214.77113425926</v>
      </c>
      <c r="G1974" s="5">
        <v>46214.49863425926</v>
      </c>
      <c r="H1974" s="3" t="s">
        <v>14</v>
      </c>
      <c r="I1974" s="7">
        <v>0.0</v>
      </c>
      <c r="J1974" s="3" t="s">
        <v>15</v>
      </c>
    </row>
    <row r="1975">
      <c r="C1975" s="3" t="s">
        <v>24</v>
      </c>
      <c r="D1975" s="3">
        <v>5354.0</v>
      </c>
      <c r="E1975" s="3" t="s">
        <v>1643</v>
      </c>
      <c r="F1975" s="5">
        <v>46216.770833333336</v>
      </c>
      <c r="G1975" s="5">
        <v>46214.72311342593</v>
      </c>
      <c r="H1975" s="3" t="s">
        <v>14</v>
      </c>
      <c r="I1975" s="7">
        <v>0.0</v>
      </c>
      <c r="J1975" s="3" t="s">
        <v>15</v>
      </c>
    </row>
    <row r="1976">
      <c r="C1976" s="3" t="s">
        <v>26</v>
      </c>
      <c r="D1976" s="3">
        <v>5354.0</v>
      </c>
      <c r="E1976" s="3" t="s">
        <v>1643</v>
      </c>
      <c r="F1976" s="5">
        <v>46216.8125</v>
      </c>
      <c r="G1976" s="5">
        <v>46214.72318287037</v>
      </c>
      <c r="H1976" s="3" t="s">
        <v>14</v>
      </c>
      <c r="I1976" s="7">
        <v>0.0</v>
      </c>
      <c r="J1976" s="3" t="s">
        <v>15</v>
      </c>
    </row>
    <row r="1977">
      <c r="C1977" s="3" t="s">
        <v>10</v>
      </c>
      <c r="D1977" s="3">
        <v>5355.0</v>
      </c>
      <c r="E1977" s="3" t="s">
        <v>1647</v>
      </c>
      <c r="F1977" s="5">
        <v>46214.67842592593</v>
      </c>
      <c r="G1977" s="5">
        <v>46214.722708333335</v>
      </c>
      <c r="H1977" s="3" t="s">
        <v>14</v>
      </c>
      <c r="I1977" s="3">
        <v>0.04</v>
      </c>
      <c r="J1977" s="3" t="s">
        <v>15</v>
      </c>
    </row>
    <row r="1978">
      <c r="C1978" s="3" t="s">
        <v>17</v>
      </c>
      <c r="D1978" s="3">
        <v>5355.0</v>
      </c>
      <c r="E1978" s="3" t="s">
        <v>1647</v>
      </c>
      <c r="F1978" s="5">
        <v>46214.68537037037</v>
      </c>
      <c r="G1978" s="5">
        <v>46214.722974537035</v>
      </c>
      <c r="H1978" s="3" t="s">
        <v>14</v>
      </c>
      <c r="I1978" s="7">
        <v>0.03760416666666667</v>
      </c>
      <c r="J1978" s="3" t="s">
        <v>15</v>
      </c>
    </row>
    <row r="1979">
      <c r="C1979" s="3" t="s">
        <v>21</v>
      </c>
      <c r="D1979" s="3">
        <v>5355.0</v>
      </c>
      <c r="E1979" s="3" t="s">
        <v>1647</v>
      </c>
      <c r="F1979" s="5">
        <v>46214.78953703704</v>
      </c>
      <c r="G1979" s="5">
        <v>46214.723032407404</v>
      </c>
      <c r="H1979" s="3" t="s">
        <v>14</v>
      </c>
      <c r="I1979" s="7">
        <v>0.0</v>
      </c>
      <c r="J1979" s="3" t="s">
        <v>15</v>
      </c>
    </row>
    <row r="1980">
      <c r="C1980" s="3" t="s">
        <v>24</v>
      </c>
      <c r="D1980" s="3">
        <v>5355.0</v>
      </c>
      <c r="E1980" s="3" t="s">
        <v>1647</v>
      </c>
      <c r="F1980" s="5">
        <v>46216.78888888889</v>
      </c>
      <c r="G1980" s="5">
        <v>46214.72313657407</v>
      </c>
      <c r="H1980" s="3" t="s">
        <v>14</v>
      </c>
      <c r="I1980" s="7">
        <v>0.0</v>
      </c>
      <c r="J1980" s="3" t="s">
        <v>15</v>
      </c>
    </row>
    <row r="1981">
      <c r="C1981" s="3" t="s">
        <v>26</v>
      </c>
      <c r="D1981" s="3">
        <v>5355.0</v>
      </c>
      <c r="E1981" s="3" t="s">
        <v>1647</v>
      </c>
      <c r="F1981" s="5">
        <v>46216.830555555556</v>
      </c>
      <c r="G1981" s="5">
        <v>46216.501759259256</v>
      </c>
      <c r="H1981" s="3" t="s">
        <v>14</v>
      </c>
      <c r="I1981" s="7">
        <v>0.0</v>
      </c>
      <c r="J1981" s="3" t="s">
        <v>15</v>
      </c>
    </row>
    <row r="1982">
      <c r="C1982" s="3" t="s">
        <v>10</v>
      </c>
      <c r="D1982" s="3">
        <v>5356.0</v>
      </c>
      <c r="E1982" s="3" t="s">
        <v>727</v>
      </c>
      <c r="F1982" s="5">
        <v>46216.424305555556</v>
      </c>
      <c r="G1982" s="5">
        <v>46214.72273148148</v>
      </c>
      <c r="H1982" s="3" t="s">
        <v>14</v>
      </c>
      <c r="I1982" s="3">
        <v>0.0</v>
      </c>
      <c r="J1982" s="3" t="s">
        <v>15</v>
      </c>
    </row>
    <row r="1983">
      <c r="C1983" s="3" t="s">
        <v>17</v>
      </c>
      <c r="D1983" s="3">
        <v>5356.0</v>
      </c>
      <c r="E1983" s="3" t="s">
        <v>727</v>
      </c>
      <c r="F1983" s="5">
        <v>46216.43125</v>
      </c>
      <c r="G1983" s="5">
        <v>46214.72299768519</v>
      </c>
      <c r="H1983" s="3" t="s">
        <v>14</v>
      </c>
      <c r="I1983" s="7">
        <v>0.0</v>
      </c>
      <c r="J1983" s="3" t="s">
        <v>15</v>
      </c>
    </row>
    <row r="1984">
      <c r="C1984" s="3" t="s">
        <v>21</v>
      </c>
      <c r="D1984" s="3">
        <v>5356.0</v>
      </c>
      <c r="E1984" s="3" t="s">
        <v>727</v>
      </c>
      <c r="F1984" s="5">
        <v>46216.535416666666</v>
      </c>
      <c r="G1984" s="5">
        <v>46214.72305555556</v>
      </c>
      <c r="H1984" s="3" t="s">
        <v>14</v>
      </c>
      <c r="I1984" s="7">
        <v>0.0</v>
      </c>
      <c r="J1984" s="3" t="s">
        <v>15</v>
      </c>
    </row>
    <row r="1985">
      <c r="C1985" s="3" t="s">
        <v>24</v>
      </c>
      <c r="D1985" s="3">
        <v>5356.0</v>
      </c>
      <c r="E1985" s="3" t="s">
        <v>727</v>
      </c>
      <c r="F1985" s="5">
        <v>46217.535416666666</v>
      </c>
      <c r="G1985" s="5">
        <v>46214.72331018518</v>
      </c>
      <c r="H1985" s="3" t="s">
        <v>14</v>
      </c>
      <c r="I1985" s="7">
        <v>0.0</v>
      </c>
      <c r="J1985" s="3" t="s">
        <v>15</v>
      </c>
    </row>
    <row r="1986">
      <c r="C1986" s="3" t="s">
        <v>26</v>
      </c>
      <c r="D1986" s="3">
        <v>5356.0</v>
      </c>
      <c r="E1986" s="3" t="s">
        <v>727</v>
      </c>
      <c r="F1986" s="5">
        <v>46217.57708333333</v>
      </c>
      <c r="G1986" s="5">
        <v>46216.50178240741</v>
      </c>
      <c r="H1986" s="3" t="s">
        <v>14</v>
      </c>
      <c r="I1986" s="7">
        <v>0.0</v>
      </c>
      <c r="J1986" s="3" t="s">
        <v>15</v>
      </c>
    </row>
    <row r="1987">
      <c r="C1987" s="3" t="s">
        <v>10</v>
      </c>
      <c r="D1987" s="3">
        <v>5357.0</v>
      </c>
      <c r="E1987" s="3" t="s">
        <v>166</v>
      </c>
      <c r="F1987" s="5">
        <v>46216.65122685185</v>
      </c>
      <c r="G1987" s="5">
        <v>46216.50162037037</v>
      </c>
      <c r="H1987" s="3" t="s">
        <v>14</v>
      </c>
      <c r="I1987" s="3">
        <v>0.0</v>
      </c>
      <c r="J1987" s="3" t="s">
        <v>15</v>
      </c>
    </row>
    <row r="1988">
      <c r="C1988" s="3" t="s">
        <v>17</v>
      </c>
      <c r="D1988" s="3">
        <v>5357.0</v>
      </c>
      <c r="E1988" s="3" t="s">
        <v>166</v>
      </c>
      <c r="F1988" s="5">
        <v>46216.658171296294</v>
      </c>
      <c r="G1988" s="5">
        <v>46216.50171296296</v>
      </c>
      <c r="H1988" s="3" t="s">
        <v>14</v>
      </c>
      <c r="I1988" s="7">
        <v>0.0</v>
      </c>
      <c r="J1988" s="3" t="s">
        <v>15</v>
      </c>
    </row>
    <row r="1989">
      <c r="C1989" s="3" t="s">
        <v>21</v>
      </c>
      <c r="D1989" s="3">
        <v>5357.0</v>
      </c>
      <c r="E1989" s="3" t="s">
        <v>166</v>
      </c>
      <c r="F1989" s="5">
        <v>46216.762337962966</v>
      </c>
      <c r="G1989" s="5">
        <v>46216.55252314815</v>
      </c>
      <c r="H1989" s="3" t="s">
        <v>14</v>
      </c>
      <c r="I1989" s="7">
        <v>0.0</v>
      </c>
      <c r="J1989" s="3" t="s">
        <v>15</v>
      </c>
    </row>
    <row r="1990">
      <c r="C1990" s="3" t="s">
        <v>24</v>
      </c>
      <c r="D1990" s="3">
        <v>5357.0</v>
      </c>
      <c r="E1990" s="3" t="s">
        <v>166</v>
      </c>
      <c r="F1990" s="5">
        <v>46217.76180555556</v>
      </c>
      <c r="G1990" s="5">
        <v>46216.552824074075</v>
      </c>
      <c r="H1990" s="3" t="s">
        <v>14</v>
      </c>
      <c r="I1990" s="7">
        <v>0.0</v>
      </c>
      <c r="J1990" s="3" t="s">
        <v>15</v>
      </c>
    </row>
    <row r="1991">
      <c r="C1991" s="3" t="s">
        <v>26</v>
      </c>
      <c r="D1991" s="3">
        <v>5357.0</v>
      </c>
      <c r="E1991" s="3" t="s">
        <v>166</v>
      </c>
      <c r="F1991" s="5">
        <v>46217.80347222222</v>
      </c>
      <c r="G1991" s="5">
        <v>46216.55284722222</v>
      </c>
      <c r="H1991" s="3" t="s">
        <v>14</v>
      </c>
      <c r="I1991" s="7">
        <v>0.0</v>
      </c>
      <c r="J1991" s="3" t="s">
        <v>15</v>
      </c>
    </row>
    <row r="1992">
      <c r="C1992" s="3" t="s">
        <v>10</v>
      </c>
      <c r="D1992" s="3">
        <v>5358.0</v>
      </c>
      <c r="E1992" s="3" t="s">
        <v>1656</v>
      </c>
      <c r="F1992" s="5">
        <v>46216.70638888889</v>
      </c>
      <c r="G1992" s="5">
        <v>46216.55226851852</v>
      </c>
      <c r="H1992" s="3" t="s">
        <v>14</v>
      </c>
      <c r="I1992" s="3">
        <v>0.0</v>
      </c>
      <c r="J1992" s="3" t="s">
        <v>48</v>
      </c>
    </row>
    <row r="1993">
      <c r="C1993" s="3" t="s">
        <v>17</v>
      </c>
      <c r="D1993" s="3">
        <v>5358.0</v>
      </c>
      <c r="E1993" s="3" t="s">
        <v>1656</v>
      </c>
      <c r="F1993" s="5">
        <v>46216.71333333333</v>
      </c>
      <c r="G1993" s="5">
        <v>46216.552349537036</v>
      </c>
      <c r="H1993" s="3" t="s">
        <v>14</v>
      </c>
      <c r="I1993" s="7">
        <v>0.0</v>
      </c>
      <c r="J1993" s="3" t="s">
        <v>48</v>
      </c>
    </row>
    <row r="1994">
      <c r="C1994" s="3" t="s">
        <v>21</v>
      </c>
      <c r="D1994" s="3">
        <v>5358.0</v>
      </c>
      <c r="E1994" s="3" t="s">
        <v>1656</v>
      </c>
      <c r="F1994" s="5">
        <v>46216.8175</v>
      </c>
      <c r="G1994" s="5">
        <v>46216.55253472222</v>
      </c>
      <c r="H1994" s="3" t="s">
        <v>14</v>
      </c>
      <c r="I1994" s="7">
        <v>0.0</v>
      </c>
      <c r="J1994" s="3" t="s">
        <v>48</v>
      </c>
    </row>
    <row r="1995">
      <c r="C1995" s="3" t="s">
        <v>24</v>
      </c>
      <c r="D1995" s="3">
        <v>5358.0</v>
      </c>
      <c r="E1995" s="3" t="s">
        <v>1656</v>
      </c>
      <c r="F1995" s="5">
        <v>46217.81736111111</v>
      </c>
      <c r="G1995" s="5">
        <v>46216.67229166667</v>
      </c>
      <c r="H1995" s="3" t="s">
        <v>14</v>
      </c>
      <c r="I1995" s="7">
        <v>0.0</v>
      </c>
      <c r="J1995" s="3" t="s">
        <v>48</v>
      </c>
    </row>
    <row r="1996">
      <c r="C1996" s="3" t="s">
        <v>26</v>
      </c>
      <c r="D1996" s="3">
        <v>5358.0</v>
      </c>
      <c r="E1996" s="3" t="s">
        <v>1656</v>
      </c>
      <c r="F1996" s="5">
        <v>46218.44236111111</v>
      </c>
      <c r="G1996" s="5">
        <v>46217.817766203705</v>
      </c>
      <c r="H1996" s="3" t="s">
        <v>14</v>
      </c>
      <c r="I1996" s="7">
        <v>0.0</v>
      </c>
      <c r="J1996" s="3" t="s">
        <v>48</v>
      </c>
    </row>
    <row r="1997">
      <c r="C1997" s="3" t="s">
        <v>10</v>
      </c>
      <c r="D1997" s="3">
        <v>5359.0</v>
      </c>
      <c r="E1997" s="3" t="s">
        <v>1660</v>
      </c>
      <c r="F1997" s="5">
        <v>46216.74234953704</v>
      </c>
      <c r="G1997" s="5">
        <v>46216.64601851852</v>
      </c>
      <c r="H1997" s="3" t="s">
        <v>14</v>
      </c>
      <c r="I1997" s="3">
        <v>0.0</v>
      </c>
      <c r="J1997" s="3" t="s">
        <v>15</v>
      </c>
    </row>
    <row r="1998">
      <c r="C1998" s="3" t="s">
        <v>17</v>
      </c>
      <c r="D1998" s="3">
        <v>5359.0</v>
      </c>
      <c r="E1998" s="3" t="s">
        <v>1660</v>
      </c>
      <c r="F1998" s="5">
        <v>46216.749293981484</v>
      </c>
      <c r="G1998" s="5">
        <v>46216.646053240744</v>
      </c>
      <c r="H1998" s="3" t="s">
        <v>14</v>
      </c>
      <c r="I1998" s="7">
        <v>0.0</v>
      </c>
      <c r="J1998" s="3" t="s">
        <v>15</v>
      </c>
    </row>
    <row r="1999">
      <c r="C1999" s="3" t="s">
        <v>21</v>
      </c>
      <c r="D1999" s="3">
        <v>5359.0</v>
      </c>
      <c r="E1999" s="3" t="s">
        <v>1660</v>
      </c>
      <c r="F1999" s="5">
        <v>46217.45694444444</v>
      </c>
      <c r="G1999" s="5">
        <v>46216.646157407406</v>
      </c>
      <c r="H1999" s="3" t="s">
        <v>14</v>
      </c>
      <c r="I1999" s="7">
        <v>0.0</v>
      </c>
      <c r="J1999" s="3" t="s">
        <v>15</v>
      </c>
    </row>
    <row r="2000">
      <c r="C2000" s="3" t="s">
        <v>24</v>
      </c>
      <c r="D2000" s="3">
        <v>5359.0</v>
      </c>
      <c r="E2000" s="3" t="s">
        <v>1660</v>
      </c>
      <c r="F2000" s="5">
        <v>46218.45694444444</v>
      </c>
      <c r="G2000" s="5">
        <v>46216.67234953704</v>
      </c>
      <c r="H2000" s="3" t="s">
        <v>14</v>
      </c>
      <c r="I2000" s="7">
        <v>0.0</v>
      </c>
      <c r="J2000" s="3" t="s">
        <v>15</v>
      </c>
    </row>
    <row r="2001">
      <c r="C2001" s="3" t="s">
        <v>26</v>
      </c>
      <c r="D2001" s="3">
        <v>5359.0</v>
      </c>
      <c r="E2001" s="3" t="s">
        <v>1660</v>
      </c>
      <c r="F2001" s="5">
        <v>46218.498611111114</v>
      </c>
      <c r="G2001" s="5">
        <v>46218.482152777775</v>
      </c>
      <c r="H2001" s="3" t="s">
        <v>14</v>
      </c>
      <c r="I2001" s="7">
        <v>0.0</v>
      </c>
      <c r="J2001" s="3" t="s">
        <v>15</v>
      </c>
    </row>
    <row r="2002">
      <c r="C2002" s="3" t="s">
        <v>10</v>
      </c>
      <c r="D2002" s="3">
        <v>5360.0</v>
      </c>
      <c r="E2002" s="3" t="s">
        <v>74</v>
      </c>
      <c r="F2002" s="5">
        <v>46217.45486111111</v>
      </c>
      <c r="G2002" s="5">
        <v>46216.75188657407</v>
      </c>
      <c r="H2002" s="3" t="s">
        <v>14</v>
      </c>
      <c r="I2002" s="3">
        <v>0.0</v>
      </c>
      <c r="J2002" s="3" t="s">
        <v>48</v>
      </c>
    </row>
    <row r="2003">
      <c r="C2003" s="3" t="s">
        <v>17</v>
      </c>
      <c r="D2003" s="3">
        <v>5360.0</v>
      </c>
      <c r="E2003" s="3" t="s">
        <v>74</v>
      </c>
      <c r="F2003" s="5">
        <v>46217.461805555555</v>
      </c>
      <c r="G2003" s="5">
        <v>46216.751979166664</v>
      </c>
      <c r="H2003" s="3" t="s">
        <v>14</v>
      </c>
      <c r="I2003" s="7">
        <v>0.0</v>
      </c>
      <c r="J2003" s="3" t="s">
        <v>48</v>
      </c>
    </row>
    <row r="2004">
      <c r="C2004" s="3" t="s">
        <v>21</v>
      </c>
      <c r="D2004" s="3">
        <v>5360.0</v>
      </c>
      <c r="E2004" s="3" t="s">
        <v>74</v>
      </c>
      <c r="F2004" s="5">
        <v>46217.56597222222</v>
      </c>
      <c r="G2004" s="5">
        <v>46216.77884259259</v>
      </c>
      <c r="H2004" s="3" t="s">
        <v>14</v>
      </c>
      <c r="I2004" s="7">
        <v>0.0</v>
      </c>
      <c r="J2004" s="3" t="s">
        <v>48</v>
      </c>
    </row>
    <row r="2005">
      <c r="C2005" s="3" t="s">
        <v>24</v>
      </c>
      <c r="D2005" s="3">
        <v>5360.0</v>
      </c>
      <c r="E2005" s="3" t="s">
        <v>74</v>
      </c>
      <c r="F2005" s="5">
        <v>46218.56597222222</v>
      </c>
      <c r="G2005" s="5">
        <v>46217.45427083333</v>
      </c>
      <c r="H2005" s="3" t="s">
        <v>14</v>
      </c>
      <c r="I2005" s="7">
        <v>0.0</v>
      </c>
      <c r="J2005" s="3" t="s">
        <v>48</v>
      </c>
    </row>
    <row r="2006">
      <c r="C2006" s="3" t="s">
        <v>26</v>
      </c>
      <c r="D2006" s="3">
        <v>5360.0</v>
      </c>
      <c r="E2006" s="3" t="s">
        <v>74</v>
      </c>
      <c r="F2006" s="5">
        <v>46218.60763888889</v>
      </c>
      <c r="G2006" s="5">
        <v>46218.4821875</v>
      </c>
      <c r="H2006" s="3" t="s">
        <v>14</v>
      </c>
      <c r="I2006" s="7">
        <v>0.0</v>
      </c>
      <c r="J2006" s="3" t="s">
        <v>48</v>
      </c>
    </row>
    <row r="2007">
      <c r="C2007" s="3" t="s">
        <v>10</v>
      </c>
      <c r="D2007" s="3">
        <v>5361.0</v>
      </c>
      <c r="E2007" s="3" t="s">
        <v>1666</v>
      </c>
      <c r="F2007" s="5">
        <v>46217.68263888889</v>
      </c>
      <c r="G2007" s="5">
        <v>46217.45329861111</v>
      </c>
      <c r="H2007" s="3" t="s">
        <v>14</v>
      </c>
      <c r="I2007" s="3">
        <v>0.0</v>
      </c>
      <c r="J2007" s="3" t="s">
        <v>72</v>
      </c>
    </row>
    <row r="2008">
      <c r="C2008" s="3" t="s">
        <v>17</v>
      </c>
      <c r="D2008" s="3">
        <v>5361.0</v>
      </c>
      <c r="E2008" s="3" t="s">
        <v>1666</v>
      </c>
      <c r="F2008" s="5">
        <v>46217.68958333333</v>
      </c>
      <c r="G2008" s="5">
        <v>46217.453877314816</v>
      </c>
      <c r="H2008" s="3" t="s">
        <v>14</v>
      </c>
      <c r="I2008" s="7">
        <v>0.0</v>
      </c>
      <c r="J2008" s="3" t="s">
        <v>72</v>
      </c>
    </row>
    <row r="2009">
      <c r="C2009" s="3" t="s">
        <v>21</v>
      </c>
      <c r="D2009" s="3">
        <v>5361.0</v>
      </c>
      <c r="E2009" s="3" t="s">
        <v>1666</v>
      </c>
      <c r="F2009" s="5">
        <v>46217.79375</v>
      </c>
      <c r="G2009" s="5">
        <v>46217.45400462963</v>
      </c>
      <c r="H2009" s="3" t="s">
        <v>14</v>
      </c>
      <c r="I2009" s="7">
        <v>0.0</v>
      </c>
      <c r="J2009" s="3" t="s">
        <v>72</v>
      </c>
    </row>
    <row r="2010">
      <c r="C2010" s="3" t="s">
        <v>24</v>
      </c>
      <c r="D2010" s="3">
        <v>5361.0</v>
      </c>
      <c r="E2010" s="3" t="s">
        <v>1666</v>
      </c>
      <c r="F2010" s="5">
        <v>46218.79375</v>
      </c>
      <c r="G2010" s="5">
        <v>46217.45429398148</v>
      </c>
      <c r="H2010" s="3" t="s">
        <v>14</v>
      </c>
      <c r="I2010" s="7">
        <v>0.0</v>
      </c>
      <c r="J2010" s="3" t="s">
        <v>72</v>
      </c>
    </row>
    <row r="2011">
      <c r="C2011" s="3" t="s">
        <v>26</v>
      </c>
      <c r="D2011" s="3">
        <v>5361.0</v>
      </c>
      <c r="E2011" s="3" t="s">
        <v>1666</v>
      </c>
      <c r="F2011" s="5">
        <v>46220.41875</v>
      </c>
      <c r="G2011" s="5">
        <v>46218.47929398148</v>
      </c>
      <c r="H2011" s="3" t="s">
        <v>14</v>
      </c>
      <c r="I2011" s="7">
        <v>0.0</v>
      </c>
      <c r="J2011" s="3" t="s">
        <v>72</v>
      </c>
    </row>
    <row r="2012">
      <c r="C2012" s="3" t="s">
        <v>10</v>
      </c>
      <c r="D2012" s="3">
        <v>5362.0</v>
      </c>
      <c r="E2012" s="3">
        <v>3443.0</v>
      </c>
      <c r="F2012" s="5">
        <v>46217.68819444445</v>
      </c>
      <c r="G2012" s="5">
        <v>46217.453310185185</v>
      </c>
      <c r="H2012" s="3" t="s">
        <v>14</v>
      </c>
      <c r="I2012" s="3">
        <v>0.0</v>
      </c>
      <c r="J2012" s="3" t="s">
        <v>72</v>
      </c>
    </row>
    <row r="2013">
      <c r="C2013" s="3" t="s">
        <v>17</v>
      </c>
      <c r="D2013" s="3">
        <v>5362.0</v>
      </c>
      <c r="E2013" s="3">
        <v>3443.0</v>
      </c>
      <c r="F2013" s="5">
        <v>46217.69513888889</v>
      </c>
      <c r="G2013" s="5">
        <v>46217.453877314816</v>
      </c>
      <c r="H2013" s="3" t="s">
        <v>14</v>
      </c>
      <c r="I2013" s="7">
        <v>0.0</v>
      </c>
      <c r="J2013" s="3" t="s">
        <v>72</v>
      </c>
    </row>
    <row r="2014">
      <c r="C2014" s="3" t="s">
        <v>21</v>
      </c>
      <c r="D2014" s="3">
        <v>5362.0</v>
      </c>
      <c r="E2014" s="3">
        <v>3443.0</v>
      </c>
      <c r="F2014" s="5">
        <v>46217.799305555556</v>
      </c>
      <c r="G2014" s="5">
        <v>46217.4540162037</v>
      </c>
      <c r="H2014" s="3" t="s">
        <v>14</v>
      </c>
      <c r="I2014" s="7">
        <v>0.0</v>
      </c>
      <c r="J2014" s="3" t="s">
        <v>72</v>
      </c>
    </row>
    <row r="2015">
      <c r="C2015" s="3" t="s">
        <v>24</v>
      </c>
      <c r="D2015" s="3">
        <v>5362.0</v>
      </c>
      <c r="E2015" s="3">
        <v>3443.0</v>
      </c>
      <c r="F2015" s="5">
        <v>46218.799305555556</v>
      </c>
      <c r="G2015" s="5">
        <v>46217.454305555555</v>
      </c>
      <c r="H2015" s="3" t="s">
        <v>14</v>
      </c>
      <c r="I2015" s="7">
        <v>0.0</v>
      </c>
      <c r="J2015" s="3" t="s">
        <v>72</v>
      </c>
    </row>
    <row r="2016">
      <c r="C2016" s="3" t="s">
        <v>26</v>
      </c>
      <c r="D2016" s="3">
        <v>5362.0</v>
      </c>
      <c r="E2016" s="3">
        <v>3443.0</v>
      </c>
      <c r="F2016" s="5">
        <v>46220.424305555556</v>
      </c>
      <c r="G2016" s="5">
        <v>46218.47928240741</v>
      </c>
      <c r="H2016" s="3" t="s">
        <v>14</v>
      </c>
      <c r="I2016" s="7">
        <v>0.0</v>
      </c>
      <c r="J2016" s="3" t="s">
        <v>72</v>
      </c>
    </row>
    <row r="2017">
      <c r="C2017" s="3" t="s">
        <v>10</v>
      </c>
      <c r="D2017" s="3">
        <v>5363.0</v>
      </c>
      <c r="E2017" s="3">
        <v>3386.0</v>
      </c>
      <c r="F2017" s="5">
        <v>46217.69027777778</v>
      </c>
      <c r="G2017" s="5">
        <v>46217.45326388889</v>
      </c>
      <c r="H2017" s="3" t="s">
        <v>14</v>
      </c>
      <c r="I2017" s="3">
        <v>0.0</v>
      </c>
      <c r="J2017" s="3" t="s">
        <v>72</v>
      </c>
    </row>
    <row r="2018">
      <c r="C2018" s="3" t="s">
        <v>17</v>
      </c>
      <c r="D2018" s="3">
        <v>5363.0</v>
      </c>
      <c r="E2018" s="3">
        <v>3386.0</v>
      </c>
      <c r="F2018" s="5">
        <v>46217.697222222225</v>
      </c>
      <c r="G2018" s="5">
        <v>46217.453877314816</v>
      </c>
      <c r="H2018" s="3" t="s">
        <v>14</v>
      </c>
      <c r="I2018" s="7">
        <v>0.0</v>
      </c>
      <c r="J2018" s="3" t="s">
        <v>72</v>
      </c>
    </row>
    <row r="2019">
      <c r="C2019" s="3" t="s">
        <v>21</v>
      </c>
      <c r="D2019" s="3">
        <v>5363.0</v>
      </c>
      <c r="E2019" s="3">
        <v>3386.0</v>
      </c>
      <c r="F2019" s="5">
        <v>46217.80138888889</v>
      </c>
      <c r="G2019" s="5">
        <v>46217.45402777778</v>
      </c>
      <c r="H2019" s="3" t="s">
        <v>14</v>
      </c>
      <c r="I2019" s="7">
        <v>0.0</v>
      </c>
      <c r="J2019" s="3" t="s">
        <v>72</v>
      </c>
    </row>
    <row r="2020">
      <c r="C2020" s="3" t="s">
        <v>24</v>
      </c>
      <c r="D2020" s="3">
        <v>5363.0</v>
      </c>
      <c r="E2020" s="3">
        <v>3386.0</v>
      </c>
      <c r="F2020" s="5">
        <v>46218.80138888889</v>
      </c>
      <c r="G2020" s="5">
        <v>46217.45431712963</v>
      </c>
      <c r="H2020" s="3" t="s">
        <v>14</v>
      </c>
      <c r="I2020" s="7">
        <v>0.0</v>
      </c>
      <c r="J2020" s="3" t="s">
        <v>72</v>
      </c>
    </row>
    <row r="2021">
      <c r="C2021" s="3" t="s">
        <v>26</v>
      </c>
      <c r="D2021" s="3">
        <v>5363.0</v>
      </c>
      <c r="E2021" s="3">
        <v>3386.0</v>
      </c>
      <c r="F2021" s="5">
        <v>46220.42638888889</v>
      </c>
      <c r="G2021" s="5">
        <v>46218.479317129626</v>
      </c>
      <c r="H2021" s="3" t="s">
        <v>14</v>
      </c>
      <c r="I2021" s="7">
        <v>0.0</v>
      </c>
      <c r="J2021" s="3" t="s">
        <v>72</v>
      </c>
    </row>
    <row r="2022">
      <c r="C2022" s="3" t="s">
        <v>10</v>
      </c>
      <c r="D2022" s="3">
        <v>5364.0</v>
      </c>
      <c r="E2022" s="3">
        <v>3285.0</v>
      </c>
      <c r="F2022" s="5">
        <v>46217.69305555556</v>
      </c>
      <c r="G2022" s="5">
        <v>46217.4534375</v>
      </c>
      <c r="H2022" s="3" t="s">
        <v>14</v>
      </c>
      <c r="I2022" s="3">
        <v>0.0</v>
      </c>
      <c r="J2022" s="3" t="s">
        <v>72</v>
      </c>
    </row>
    <row r="2023">
      <c r="C2023" s="3" t="s">
        <v>17</v>
      </c>
      <c r="D2023" s="3">
        <v>5364.0</v>
      </c>
      <c r="E2023" s="3">
        <v>3285.0</v>
      </c>
      <c r="F2023" s="5">
        <v>46217.7</v>
      </c>
      <c r="G2023" s="5">
        <v>46217.453888888886</v>
      </c>
      <c r="H2023" s="3" t="s">
        <v>14</v>
      </c>
      <c r="I2023" s="7">
        <v>0.0</v>
      </c>
      <c r="J2023" s="3" t="s">
        <v>72</v>
      </c>
    </row>
    <row r="2024">
      <c r="C2024" s="3" t="s">
        <v>21</v>
      </c>
      <c r="D2024" s="3">
        <v>5364.0</v>
      </c>
      <c r="E2024" s="3">
        <v>3285.0</v>
      </c>
      <c r="F2024" s="5">
        <v>46217.80416666667</v>
      </c>
      <c r="G2024" s="5">
        <v>46217.61782407408</v>
      </c>
      <c r="H2024" s="3" t="s">
        <v>14</v>
      </c>
      <c r="I2024" s="7">
        <v>0.0</v>
      </c>
      <c r="J2024" s="3" t="s">
        <v>72</v>
      </c>
    </row>
    <row r="2025">
      <c r="C2025" s="3" t="s">
        <v>24</v>
      </c>
      <c r="D2025" s="3">
        <v>5364.0</v>
      </c>
      <c r="E2025" s="3">
        <v>3285.0</v>
      </c>
      <c r="F2025" s="5">
        <v>46218.80416666667</v>
      </c>
      <c r="G2025" s="5">
        <v>46217.45431712963</v>
      </c>
      <c r="H2025" s="3" t="s">
        <v>14</v>
      </c>
      <c r="I2025" s="7">
        <v>0.0</v>
      </c>
      <c r="J2025" s="3" t="s">
        <v>72</v>
      </c>
    </row>
    <row r="2026">
      <c r="C2026" s="3" t="s">
        <v>26</v>
      </c>
      <c r="D2026" s="3">
        <v>5364.0</v>
      </c>
      <c r="E2026" s="3">
        <v>3285.0</v>
      </c>
      <c r="F2026" s="5">
        <v>46220.42916666667</v>
      </c>
      <c r="G2026" s="5">
        <v>46218.47930555556</v>
      </c>
      <c r="H2026" s="3" t="s">
        <v>14</v>
      </c>
      <c r="I2026" s="7">
        <v>0.0</v>
      </c>
      <c r="J2026" s="3" t="s">
        <v>72</v>
      </c>
    </row>
    <row r="2027">
      <c r="C2027" s="3" t="s">
        <v>10</v>
      </c>
      <c r="D2027" s="3">
        <v>5365.0</v>
      </c>
      <c r="E2027" s="3">
        <v>3285.0</v>
      </c>
      <c r="F2027" s="5">
        <v>46217.694444444445</v>
      </c>
      <c r="G2027" s="5">
        <v>46217.45344907408</v>
      </c>
      <c r="H2027" s="3" t="s">
        <v>14</v>
      </c>
      <c r="I2027" s="3">
        <v>0.0</v>
      </c>
      <c r="J2027" s="3" t="s">
        <v>72</v>
      </c>
    </row>
    <row r="2028">
      <c r="C2028" s="3" t="s">
        <v>17</v>
      </c>
      <c r="D2028" s="3">
        <v>5365.0</v>
      </c>
      <c r="E2028" s="3">
        <v>3285.0</v>
      </c>
      <c r="F2028" s="5">
        <v>46217.70138888889</v>
      </c>
      <c r="G2028" s="5">
        <v>46217.45390046296</v>
      </c>
      <c r="H2028" s="3" t="s">
        <v>14</v>
      </c>
      <c r="I2028" s="7">
        <v>0.0</v>
      </c>
      <c r="J2028" s="3" t="s">
        <v>72</v>
      </c>
    </row>
    <row r="2029">
      <c r="C2029" s="3" t="s">
        <v>21</v>
      </c>
      <c r="D2029" s="3">
        <v>5365.0</v>
      </c>
      <c r="E2029" s="3">
        <v>3285.0</v>
      </c>
      <c r="F2029" s="5">
        <v>46217.805555555555</v>
      </c>
      <c r="G2029" s="5">
        <v>46217.454039351855</v>
      </c>
      <c r="H2029" s="3" t="s">
        <v>14</v>
      </c>
      <c r="I2029" s="7">
        <v>0.0</v>
      </c>
      <c r="J2029" s="3" t="s">
        <v>72</v>
      </c>
    </row>
    <row r="2030">
      <c r="C2030" s="3" t="s">
        <v>24</v>
      </c>
      <c r="D2030" s="3">
        <v>5365.0</v>
      </c>
      <c r="E2030" s="3">
        <v>3285.0</v>
      </c>
      <c r="F2030" s="5">
        <v>46218.805555555555</v>
      </c>
      <c r="G2030" s="5">
        <v>46217.61765046296</v>
      </c>
      <c r="H2030" s="3" t="s">
        <v>14</v>
      </c>
      <c r="I2030" s="7">
        <v>0.0</v>
      </c>
      <c r="J2030" s="3" t="s">
        <v>72</v>
      </c>
    </row>
    <row r="2031">
      <c r="C2031" s="3" t="s">
        <v>26</v>
      </c>
      <c r="D2031" s="3">
        <v>5365.0</v>
      </c>
      <c r="E2031" s="3">
        <v>3285.0</v>
      </c>
      <c r="F2031" s="5">
        <v>46220.430555555555</v>
      </c>
      <c r="G2031" s="5">
        <v>46218.4793287037</v>
      </c>
      <c r="H2031" s="3" t="s">
        <v>14</v>
      </c>
      <c r="I2031" s="7">
        <v>0.0</v>
      </c>
      <c r="J2031" s="3" t="s">
        <v>72</v>
      </c>
    </row>
    <row r="2032">
      <c r="C2032" s="3" t="s">
        <v>10</v>
      </c>
      <c r="D2032" s="3">
        <v>5366.0</v>
      </c>
      <c r="E2032" s="3">
        <v>2577.0</v>
      </c>
      <c r="F2032" s="5">
        <v>46217.69583333333</v>
      </c>
      <c r="G2032" s="5">
        <v>46217.45347222222</v>
      </c>
      <c r="H2032" s="3" t="s">
        <v>14</v>
      </c>
      <c r="I2032" s="3">
        <v>0.0</v>
      </c>
      <c r="J2032" s="3" t="s">
        <v>72</v>
      </c>
    </row>
    <row r="2033">
      <c r="C2033" s="3" t="s">
        <v>17</v>
      </c>
      <c r="D2033" s="3">
        <v>5366.0</v>
      </c>
      <c r="E2033" s="3">
        <v>2577.0</v>
      </c>
      <c r="F2033" s="5">
        <v>46217.70277777778</v>
      </c>
      <c r="G2033" s="5">
        <v>46217.45390046296</v>
      </c>
      <c r="H2033" s="3" t="s">
        <v>14</v>
      </c>
      <c r="I2033" s="7">
        <v>0.0</v>
      </c>
      <c r="J2033" s="3" t="s">
        <v>72</v>
      </c>
    </row>
    <row r="2034">
      <c r="C2034" s="3" t="s">
        <v>21</v>
      </c>
      <c r="D2034" s="3">
        <v>5366.0</v>
      </c>
      <c r="E2034" s="3">
        <v>2577.0</v>
      </c>
      <c r="F2034" s="5">
        <v>46217.80694444444</v>
      </c>
      <c r="G2034" s="5">
        <v>46217.454039351855</v>
      </c>
      <c r="H2034" s="3" t="s">
        <v>14</v>
      </c>
      <c r="I2034" s="7">
        <v>0.0</v>
      </c>
      <c r="J2034" s="3" t="s">
        <v>72</v>
      </c>
    </row>
    <row r="2035">
      <c r="C2035" s="3" t="s">
        <v>24</v>
      </c>
      <c r="D2035" s="3">
        <v>5366.0</v>
      </c>
      <c r="E2035" s="3">
        <v>2577.0</v>
      </c>
      <c r="F2035" s="5">
        <v>46218.80694444444</v>
      </c>
      <c r="G2035" s="5">
        <v>46217.45434027778</v>
      </c>
      <c r="H2035" s="3" t="s">
        <v>14</v>
      </c>
      <c r="I2035" s="7">
        <v>0.0</v>
      </c>
      <c r="J2035" s="3" t="s">
        <v>72</v>
      </c>
    </row>
    <row r="2036">
      <c r="C2036" s="3" t="s">
        <v>26</v>
      </c>
      <c r="D2036" s="3">
        <v>5366.0</v>
      </c>
      <c r="E2036" s="3">
        <v>2577.0</v>
      </c>
      <c r="F2036" s="5">
        <v>46220.43194444444</v>
      </c>
      <c r="G2036" s="5">
        <v>46218.47934027778</v>
      </c>
      <c r="H2036" s="3" t="s">
        <v>14</v>
      </c>
      <c r="I2036" s="7">
        <v>0.0</v>
      </c>
      <c r="J2036" s="3" t="s">
        <v>72</v>
      </c>
    </row>
    <row r="2037">
      <c r="C2037" s="3" t="s">
        <v>10</v>
      </c>
      <c r="D2037" s="3">
        <v>5367.0</v>
      </c>
      <c r="E2037" s="3">
        <v>2781.0</v>
      </c>
      <c r="F2037" s="5">
        <v>46217.69861111111</v>
      </c>
      <c r="G2037" s="5">
        <v>46217.45348379629</v>
      </c>
      <c r="H2037" s="3" t="s">
        <v>14</v>
      </c>
      <c r="I2037" s="3">
        <v>0.0</v>
      </c>
      <c r="J2037" s="3" t="s">
        <v>72</v>
      </c>
    </row>
    <row r="2038">
      <c r="C2038" s="3" t="s">
        <v>17</v>
      </c>
      <c r="D2038" s="3">
        <v>5367.0</v>
      </c>
      <c r="E2038" s="3">
        <v>2781.0</v>
      </c>
      <c r="F2038" s="5">
        <v>46217.705555555556</v>
      </c>
      <c r="G2038" s="5">
        <v>46217.45391203704</v>
      </c>
      <c r="H2038" s="3" t="s">
        <v>14</v>
      </c>
      <c r="I2038" s="7">
        <v>0.0</v>
      </c>
      <c r="J2038" s="3" t="s">
        <v>72</v>
      </c>
    </row>
    <row r="2039">
      <c r="C2039" s="3" t="s">
        <v>21</v>
      </c>
      <c r="D2039" s="3">
        <v>5367.0</v>
      </c>
      <c r="E2039" s="3">
        <v>2781.0</v>
      </c>
      <c r="F2039" s="5">
        <v>46217.80972222222</v>
      </c>
      <c r="G2039" s="5">
        <v>46217.617256944446</v>
      </c>
      <c r="H2039" s="3" t="s">
        <v>14</v>
      </c>
      <c r="I2039" s="7">
        <v>0.0</v>
      </c>
      <c r="J2039" s="3" t="s">
        <v>72</v>
      </c>
    </row>
    <row r="2040">
      <c r="C2040" s="3" t="s">
        <v>24</v>
      </c>
      <c r="D2040" s="3">
        <v>5367.0</v>
      </c>
      <c r="E2040" s="3">
        <v>2781.0</v>
      </c>
      <c r="F2040" s="5">
        <v>46218.80972222222</v>
      </c>
      <c r="G2040" s="5">
        <v>46217.61770833333</v>
      </c>
      <c r="H2040" s="3" t="s">
        <v>14</v>
      </c>
      <c r="I2040" s="7">
        <v>0.0</v>
      </c>
      <c r="J2040" s="3" t="s">
        <v>72</v>
      </c>
    </row>
    <row r="2041">
      <c r="C2041" s="3" t="s">
        <v>26</v>
      </c>
      <c r="D2041" s="3">
        <v>5367.0</v>
      </c>
      <c r="E2041" s="3">
        <v>2781.0</v>
      </c>
      <c r="F2041" s="5">
        <v>46220.43472222222</v>
      </c>
      <c r="G2041" s="5">
        <v>46218.479375</v>
      </c>
      <c r="H2041" s="3" t="s">
        <v>14</v>
      </c>
      <c r="I2041" s="7">
        <v>0.0</v>
      </c>
      <c r="J2041" s="3" t="s">
        <v>72</v>
      </c>
    </row>
    <row r="2042">
      <c r="C2042" s="3" t="s">
        <v>10</v>
      </c>
      <c r="D2042" s="3">
        <v>5368.0</v>
      </c>
      <c r="E2042" s="3">
        <v>3361.0</v>
      </c>
      <c r="F2042" s="5">
        <v>46217.7</v>
      </c>
      <c r="G2042" s="5">
        <v>46217.45350694445</v>
      </c>
      <c r="H2042" s="3" t="s">
        <v>14</v>
      </c>
      <c r="I2042" s="3">
        <v>0.0</v>
      </c>
      <c r="J2042" s="3" t="s">
        <v>72</v>
      </c>
    </row>
    <row r="2043">
      <c r="C2043" s="3" t="s">
        <v>17</v>
      </c>
      <c r="D2043" s="3">
        <v>5368.0</v>
      </c>
      <c r="E2043" s="3">
        <v>3361.0</v>
      </c>
      <c r="F2043" s="5">
        <v>46217.70694444444</v>
      </c>
      <c r="G2043" s="5">
        <v>46217.45391203704</v>
      </c>
      <c r="H2043" s="3" t="s">
        <v>14</v>
      </c>
      <c r="I2043" s="7">
        <v>0.0</v>
      </c>
      <c r="J2043" s="3" t="s">
        <v>72</v>
      </c>
    </row>
    <row r="2044">
      <c r="C2044" s="3" t="s">
        <v>21</v>
      </c>
      <c r="D2044" s="3">
        <v>5368.0</v>
      </c>
      <c r="E2044" s="3">
        <v>3361.0</v>
      </c>
      <c r="F2044" s="5">
        <v>46217.811111111114</v>
      </c>
      <c r="G2044" s="5">
        <v>46217.454050925924</v>
      </c>
      <c r="H2044" s="3" t="s">
        <v>14</v>
      </c>
      <c r="I2044" s="7">
        <v>0.0</v>
      </c>
      <c r="J2044" s="3" t="s">
        <v>72</v>
      </c>
    </row>
    <row r="2045">
      <c r="C2045" s="3" t="s">
        <v>24</v>
      </c>
      <c r="D2045" s="3">
        <v>5368.0</v>
      </c>
      <c r="E2045" s="3">
        <v>3361.0</v>
      </c>
      <c r="F2045" s="5">
        <v>46218.811111111114</v>
      </c>
      <c r="G2045" s="5">
        <v>46217.45434027778</v>
      </c>
      <c r="H2045" s="3" t="s">
        <v>14</v>
      </c>
      <c r="I2045" s="7">
        <v>0.0</v>
      </c>
      <c r="J2045" s="3" t="s">
        <v>72</v>
      </c>
    </row>
    <row r="2046">
      <c r="C2046" s="3" t="s">
        <v>26</v>
      </c>
      <c r="D2046" s="3">
        <v>5368.0</v>
      </c>
      <c r="E2046" s="3">
        <v>3361.0</v>
      </c>
      <c r="F2046" s="5">
        <v>46220.436111111114</v>
      </c>
      <c r="G2046" s="5">
        <v>46218.479363425926</v>
      </c>
      <c r="H2046" s="3" t="s">
        <v>14</v>
      </c>
      <c r="I2046" s="7">
        <v>0.0</v>
      </c>
      <c r="J2046" s="3" t="s">
        <v>72</v>
      </c>
    </row>
    <row r="2047">
      <c r="C2047" s="3" t="s">
        <v>10</v>
      </c>
      <c r="D2047" s="3">
        <v>5369.0</v>
      </c>
      <c r="E2047" s="117">
        <v>3.3083375E7</v>
      </c>
      <c r="F2047" s="5">
        <v>46217.70208333333</v>
      </c>
      <c r="G2047" s="5">
        <v>46217.45353009259</v>
      </c>
      <c r="H2047" s="3" t="s">
        <v>14</v>
      </c>
      <c r="I2047" s="3">
        <v>0.0</v>
      </c>
      <c r="J2047" s="3" t="s">
        <v>72</v>
      </c>
    </row>
    <row r="2048">
      <c r="C2048" s="3" t="s">
        <v>17</v>
      </c>
      <c r="D2048" s="3">
        <v>5369.0</v>
      </c>
      <c r="E2048" s="117">
        <v>3.3083375E7</v>
      </c>
      <c r="F2048" s="5">
        <v>46217.709027777775</v>
      </c>
      <c r="G2048" s="5">
        <v>46217.45392361111</v>
      </c>
      <c r="H2048" s="3" t="s">
        <v>14</v>
      </c>
      <c r="I2048" s="7">
        <v>0.0</v>
      </c>
      <c r="J2048" s="3" t="s">
        <v>72</v>
      </c>
    </row>
    <row r="2049">
      <c r="C2049" s="3" t="s">
        <v>21</v>
      </c>
      <c r="D2049" s="3">
        <v>5369.0</v>
      </c>
      <c r="E2049" s="117">
        <v>3.3083375E7</v>
      </c>
      <c r="F2049" s="5">
        <v>46217.81319444445</v>
      </c>
      <c r="G2049" s="5">
        <v>46217.4540625</v>
      </c>
      <c r="H2049" s="3" t="s">
        <v>14</v>
      </c>
      <c r="I2049" s="7">
        <v>0.0</v>
      </c>
      <c r="J2049" s="3" t="s">
        <v>72</v>
      </c>
    </row>
    <row r="2050">
      <c r="C2050" s="3" t="s">
        <v>24</v>
      </c>
      <c r="D2050" s="3">
        <v>5369.0</v>
      </c>
      <c r="E2050" s="117">
        <v>3.3083375E7</v>
      </c>
      <c r="F2050" s="5">
        <v>46218.81319444445</v>
      </c>
      <c r="G2050" s="5">
        <v>46217.454351851855</v>
      </c>
      <c r="H2050" s="3" t="s">
        <v>14</v>
      </c>
      <c r="I2050" s="7">
        <v>0.0</v>
      </c>
      <c r="J2050" s="3" t="s">
        <v>72</v>
      </c>
    </row>
    <row r="2051">
      <c r="C2051" s="3" t="s">
        <v>26</v>
      </c>
      <c r="D2051" s="3">
        <v>5369.0</v>
      </c>
      <c r="E2051" s="117">
        <v>3.3083375E7</v>
      </c>
      <c r="F2051" s="5">
        <v>46220.43819444445</v>
      </c>
      <c r="G2051" s="5">
        <v>46218.479375</v>
      </c>
      <c r="H2051" s="3" t="s">
        <v>14</v>
      </c>
      <c r="I2051" s="7">
        <v>0.0</v>
      </c>
      <c r="J2051" s="3" t="s">
        <v>72</v>
      </c>
    </row>
    <row r="2052">
      <c r="C2052" s="3" t="s">
        <v>10</v>
      </c>
      <c r="D2052" s="3">
        <v>5370.0</v>
      </c>
      <c r="E2052" s="3">
        <v>2782.0</v>
      </c>
      <c r="F2052" s="5">
        <v>46217.70347222222</v>
      </c>
      <c r="G2052" s="5">
        <v>46217.453564814816</v>
      </c>
      <c r="H2052" s="3" t="s">
        <v>14</v>
      </c>
      <c r="I2052" s="3">
        <v>0.0</v>
      </c>
      <c r="J2052" s="3" t="s">
        <v>72</v>
      </c>
    </row>
    <row r="2053">
      <c r="C2053" s="3" t="s">
        <v>17</v>
      </c>
      <c r="D2053" s="3">
        <v>5370.0</v>
      </c>
      <c r="E2053" s="3">
        <v>2782.0</v>
      </c>
      <c r="F2053" s="5">
        <v>46217.71041666667</v>
      </c>
      <c r="G2053" s="5">
        <v>46217.61717592592</v>
      </c>
      <c r="H2053" s="3" t="s">
        <v>14</v>
      </c>
      <c r="I2053" s="7">
        <v>0.0</v>
      </c>
      <c r="J2053" s="3" t="s">
        <v>72</v>
      </c>
    </row>
    <row r="2054">
      <c r="C2054" s="3" t="s">
        <v>21</v>
      </c>
      <c r="D2054" s="3">
        <v>5370.0</v>
      </c>
      <c r="E2054" s="3">
        <v>2782.0</v>
      </c>
      <c r="F2054" s="5">
        <v>46217.81458333333</v>
      </c>
      <c r="G2054" s="5">
        <v>46217.617314814815</v>
      </c>
      <c r="H2054" s="3" t="s">
        <v>14</v>
      </c>
      <c r="I2054" s="7">
        <v>0.0</v>
      </c>
      <c r="J2054" s="3" t="s">
        <v>72</v>
      </c>
    </row>
    <row r="2055">
      <c r="C2055" s="3" t="s">
        <v>24</v>
      </c>
      <c r="D2055" s="3">
        <v>5370.0</v>
      </c>
      <c r="E2055" s="3">
        <v>2782.0</v>
      </c>
      <c r="F2055" s="5">
        <v>46218.81458333333</v>
      </c>
      <c r="G2055" s="5">
        <v>46217.454351851855</v>
      </c>
      <c r="H2055" s="3" t="s">
        <v>14</v>
      </c>
      <c r="I2055" s="7">
        <v>0.0</v>
      </c>
      <c r="J2055" s="3" t="s">
        <v>72</v>
      </c>
    </row>
    <row r="2056">
      <c r="C2056" s="3" t="s">
        <v>26</v>
      </c>
      <c r="D2056" s="3">
        <v>5370.0</v>
      </c>
      <c r="E2056" s="3">
        <v>2782.0</v>
      </c>
      <c r="F2056" s="5">
        <v>46220.43958333333</v>
      </c>
      <c r="G2056" s="5">
        <v>46218.479375</v>
      </c>
      <c r="H2056" s="3" t="s">
        <v>14</v>
      </c>
      <c r="I2056" s="7">
        <v>0.0</v>
      </c>
      <c r="J2056" s="3" t="s">
        <v>72</v>
      </c>
    </row>
    <row r="2057">
      <c r="C2057" s="3" t="s">
        <v>10</v>
      </c>
      <c r="D2057" s="3">
        <v>5371.0</v>
      </c>
      <c r="E2057" s="3" t="s">
        <v>1699</v>
      </c>
      <c r="F2057" s="5">
        <v>46217.726122685184</v>
      </c>
      <c r="G2057" s="5">
        <v>46217.61666666667</v>
      </c>
      <c r="H2057" s="3" t="s">
        <v>14</v>
      </c>
      <c r="I2057" s="3">
        <v>0.0</v>
      </c>
      <c r="J2057" s="3" t="s">
        <v>72</v>
      </c>
    </row>
    <row r="2058">
      <c r="C2058" s="3" t="s">
        <v>17</v>
      </c>
      <c r="D2058" s="3">
        <v>5371.0</v>
      </c>
      <c r="E2058" s="3" t="s">
        <v>1699</v>
      </c>
      <c r="F2058" s="5">
        <v>46217.73306712963</v>
      </c>
      <c r="G2058" s="5">
        <v>46217.61699074074</v>
      </c>
      <c r="H2058" s="3" t="s">
        <v>14</v>
      </c>
      <c r="I2058" s="7">
        <v>0.0</v>
      </c>
      <c r="J2058" s="3" t="s">
        <v>72</v>
      </c>
    </row>
    <row r="2059">
      <c r="C2059" s="3" t="s">
        <v>21</v>
      </c>
      <c r="D2059" s="3">
        <v>5371.0</v>
      </c>
      <c r="E2059" s="3" t="s">
        <v>1699</v>
      </c>
      <c r="F2059" s="5">
        <v>46218.44097222222</v>
      </c>
      <c r="G2059" s="5">
        <v>46217.61734953704</v>
      </c>
      <c r="H2059" s="3" t="s">
        <v>14</v>
      </c>
      <c r="I2059" s="7">
        <v>0.0</v>
      </c>
      <c r="J2059" s="3" t="s">
        <v>72</v>
      </c>
    </row>
    <row r="2060">
      <c r="C2060" s="3" t="s">
        <v>24</v>
      </c>
      <c r="D2060" s="3">
        <v>5371.0</v>
      </c>
      <c r="E2060" s="3" t="s">
        <v>1699</v>
      </c>
      <c r="F2060" s="5">
        <v>46220.44097222222</v>
      </c>
      <c r="G2060" s="5">
        <v>46218.47945601852</v>
      </c>
      <c r="H2060" s="3" t="s">
        <v>14</v>
      </c>
      <c r="I2060" s="7">
        <v>0.0</v>
      </c>
      <c r="J2060" s="3" t="s">
        <v>72</v>
      </c>
    </row>
    <row r="2061">
      <c r="C2061" s="3" t="s">
        <v>26</v>
      </c>
      <c r="D2061" s="3">
        <v>5371.0</v>
      </c>
      <c r="E2061" s="3" t="s">
        <v>1699</v>
      </c>
      <c r="F2061" s="5">
        <v>46220.48263888889</v>
      </c>
      <c r="G2061" s="5">
        <v>46218.47950231482</v>
      </c>
      <c r="H2061" s="3" t="s">
        <v>14</v>
      </c>
      <c r="I2061" s="7">
        <v>0.0</v>
      </c>
      <c r="J2061" s="3" t="s">
        <v>72</v>
      </c>
    </row>
    <row r="2062">
      <c r="C2062" s="3" t="s">
        <v>10</v>
      </c>
      <c r="D2062" s="3">
        <v>5372.0</v>
      </c>
      <c r="E2062" s="3" t="s">
        <v>1702</v>
      </c>
      <c r="F2062" s="5">
        <v>46218.49930555555</v>
      </c>
      <c r="G2062" s="5">
        <v>46217.81752314815</v>
      </c>
      <c r="H2062" s="3" t="s">
        <v>14</v>
      </c>
      <c r="I2062" s="3">
        <v>0.0</v>
      </c>
      <c r="J2062" s="3" t="s">
        <v>15</v>
      </c>
    </row>
    <row r="2063">
      <c r="C2063" s="3" t="s">
        <v>17</v>
      </c>
      <c r="D2063" s="3">
        <v>5372.0</v>
      </c>
      <c r="E2063" s="3" t="s">
        <v>1702</v>
      </c>
      <c r="F2063" s="5">
        <v>46218.50625</v>
      </c>
      <c r="G2063" s="5">
        <v>46217.81761574074</v>
      </c>
      <c r="H2063" s="3" t="s">
        <v>14</v>
      </c>
      <c r="I2063" s="7">
        <v>0.0</v>
      </c>
      <c r="J2063" s="3" t="s">
        <v>15</v>
      </c>
    </row>
    <row r="2064">
      <c r="C2064" s="3" t="s">
        <v>21</v>
      </c>
      <c r="D2064" s="3">
        <v>5372.0</v>
      </c>
      <c r="E2064" s="3" t="s">
        <v>1702</v>
      </c>
      <c r="F2064" s="5">
        <v>46218.61041666667</v>
      </c>
      <c r="G2064" s="5">
        <v>46217.817662037036</v>
      </c>
      <c r="H2064" s="3" t="s">
        <v>14</v>
      </c>
      <c r="I2064" s="7">
        <v>0.0</v>
      </c>
      <c r="J2064" s="3" t="s">
        <v>15</v>
      </c>
    </row>
    <row r="2065">
      <c r="C2065" s="3" t="s">
        <v>24</v>
      </c>
      <c r="D2065" s="3">
        <v>5372.0</v>
      </c>
      <c r="E2065" s="3" t="s">
        <v>1702</v>
      </c>
      <c r="F2065" s="5">
        <v>46220.61041666667</v>
      </c>
      <c r="G2065" s="5">
        <v>46218.80125</v>
      </c>
      <c r="H2065" s="3" t="s">
        <v>14</v>
      </c>
      <c r="I2065" s="7">
        <v>0.0</v>
      </c>
      <c r="J2065" s="3" t="s">
        <v>15</v>
      </c>
    </row>
    <row r="2066">
      <c r="C2066" s="3" t="s">
        <v>26</v>
      </c>
      <c r="D2066" s="3">
        <v>5372.0</v>
      </c>
      <c r="E2066" s="3" t="s">
        <v>1702</v>
      </c>
      <c r="F2066" s="5">
        <v>46220.652083333334</v>
      </c>
      <c r="G2066" s="5">
        <v>46218.80127314815</v>
      </c>
      <c r="H2066" s="3" t="s">
        <v>14</v>
      </c>
      <c r="I2066" s="7">
        <v>0.0</v>
      </c>
      <c r="J2066" s="3" t="s">
        <v>15</v>
      </c>
    </row>
    <row r="2067">
      <c r="C2067" s="3" t="s">
        <v>10</v>
      </c>
      <c r="D2067" s="3">
        <v>5373.0</v>
      </c>
      <c r="E2067" s="3" t="s">
        <v>1660</v>
      </c>
      <c r="F2067" s="5">
        <v>46218.66253472222</v>
      </c>
      <c r="G2067" s="5">
        <v>46218.503333333334</v>
      </c>
      <c r="H2067" s="3" t="s">
        <v>14</v>
      </c>
      <c r="I2067" s="3">
        <v>0.0</v>
      </c>
      <c r="J2067" s="3" t="s">
        <v>61</v>
      </c>
    </row>
    <row r="2068">
      <c r="C2068" s="3" t="s">
        <v>17</v>
      </c>
      <c r="D2068" s="3">
        <v>5373.0</v>
      </c>
      <c r="E2068" s="3" t="s">
        <v>1660</v>
      </c>
      <c r="F2068" s="5">
        <v>46218.66947916667</v>
      </c>
      <c r="G2068" s="5">
        <v>46218.5033912037</v>
      </c>
      <c r="H2068" s="3" t="s">
        <v>14</v>
      </c>
      <c r="I2068" s="7">
        <v>0.0</v>
      </c>
      <c r="J2068" s="3" t="s">
        <v>61</v>
      </c>
    </row>
    <row r="2069">
      <c r="C2069" s="3" t="s">
        <v>21</v>
      </c>
      <c r="D2069" s="3">
        <v>5373.0</v>
      </c>
      <c r="E2069" s="3" t="s">
        <v>1660</v>
      </c>
      <c r="F2069" s="5">
        <v>46218.77364583333</v>
      </c>
      <c r="G2069" s="5">
        <v>46218.5034375</v>
      </c>
      <c r="H2069" s="3" t="s">
        <v>14</v>
      </c>
      <c r="I2069" s="7">
        <v>0.0</v>
      </c>
      <c r="J2069" s="3" t="s">
        <v>61</v>
      </c>
    </row>
    <row r="2070">
      <c r="C2070" s="3" t="s">
        <v>24</v>
      </c>
      <c r="D2070" s="3">
        <v>5373.0</v>
      </c>
      <c r="E2070" s="3" t="s">
        <v>1660</v>
      </c>
      <c r="F2070" s="5">
        <v>46220.77361111111</v>
      </c>
      <c r="G2070" s="5">
        <v>46218.85138888889</v>
      </c>
      <c r="H2070" s="3" t="s">
        <v>14</v>
      </c>
      <c r="I2070" s="7">
        <v>0.0</v>
      </c>
      <c r="J2070" s="3" t="s">
        <v>61</v>
      </c>
    </row>
    <row r="2071">
      <c r="C2071" s="3" t="s">
        <v>26</v>
      </c>
      <c r="D2071" s="3">
        <v>5373.0</v>
      </c>
      <c r="E2071" s="3" t="s">
        <v>1660</v>
      </c>
      <c r="F2071" s="5">
        <v>46220.81527777778</v>
      </c>
      <c r="G2071" s="5">
        <v>46218.85145833333</v>
      </c>
      <c r="H2071" s="3" t="s">
        <v>14</v>
      </c>
      <c r="I2071" s="7">
        <v>0.0</v>
      </c>
      <c r="J2071" s="3" t="s">
        <v>61</v>
      </c>
    </row>
    <row r="2072">
      <c r="C2072" s="3" t="s">
        <v>10</v>
      </c>
      <c r="D2072" s="3">
        <v>5374.0</v>
      </c>
      <c r="E2072" s="3" t="s">
        <v>1707</v>
      </c>
      <c r="F2072" s="5">
        <v>46218.68053240741</v>
      </c>
      <c r="G2072" s="5">
        <v>46218.53204861111</v>
      </c>
      <c r="H2072" s="3" t="s">
        <v>14</v>
      </c>
      <c r="I2072" s="3">
        <v>0.0</v>
      </c>
      <c r="J2072" s="3" t="s">
        <v>48</v>
      </c>
    </row>
    <row r="2073">
      <c r="C2073" s="3" t="s">
        <v>17</v>
      </c>
      <c r="D2073" s="3">
        <v>5374.0</v>
      </c>
      <c r="E2073" s="3" t="s">
        <v>1707</v>
      </c>
      <c r="F2073" s="5">
        <v>46218.687476851854</v>
      </c>
      <c r="G2073" s="5">
        <v>46218.532118055555</v>
      </c>
      <c r="H2073" s="3" t="s">
        <v>14</v>
      </c>
      <c r="I2073" s="7">
        <v>0.0</v>
      </c>
      <c r="J2073" s="3" t="s">
        <v>48</v>
      </c>
    </row>
    <row r="2074">
      <c r="C2074" s="3" t="s">
        <v>21</v>
      </c>
      <c r="D2074" s="3">
        <v>5374.0</v>
      </c>
      <c r="E2074" s="3" t="s">
        <v>1707</v>
      </c>
      <c r="F2074" s="5">
        <v>46218.79164351852</v>
      </c>
      <c r="G2074" s="5">
        <v>46218.532175925924</v>
      </c>
      <c r="H2074" s="3" t="s">
        <v>14</v>
      </c>
      <c r="I2074" s="7">
        <v>0.0</v>
      </c>
      <c r="J2074" s="3" t="s">
        <v>48</v>
      </c>
    </row>
    <row r="2075">
      <c r="C2075" s="3" t="s">
        <v>24</v>
      </c>
      <c r="D2075" s="3">
        <v>5374.0</v>
      </c>
      <c r="E2075" s="3" t="s">
        <v>1707</v>
      </c>
      <c r="F2075" s="5">
        <v>46220.790972222225</v>
      </c>
      <c r="G2075" s="5">
        <v>46218.80143518518</v>
      </c>
      <c r="H2075" s="3" t="s">
        <v>14</v>
      </c>
      <c r="I2075" s="7">
        <v>0.0</v>
      </c>
      <c r="J2075" s="3" t="s">
        <v>48</v>
      </c>
    </row>
    <row r="2076">
      <c r="C2076" s="3" t="s">
        <v>26</v>
      </c>
      <c r="D2076" s="3">
        <v>5374.0</v>
      </c>
      <c r="E2076" s="3" t="s">
        <v>1707</v>
      </c>
      <c r="F2076" s="5">
        <v>46220.83263888889</v>
      </c>
      <c r="G2076" s="5">
        <v>46218.801458333335</v>
      </c>
      <c r="H2076" s="3" t="s">
        <v>14</v>
      </c>
      <c r="I2076" s="7">
        <v>0.0</v>
      </c>
      <c r="J2076" s="3" t="s">
        <v>48</v>
      </c>
    </row>
    <row r="2077">
      <c r="C2077" s="3" t="s">
        <v>10</v>
      </c>
      <c r="D2077" s="3">
        <v>5375.0</v>
      </c>
      <c r="E2077" s="3" t="s">
        <v>1712</v>
      </c>
      <c r="F2077" s="5">
        <v>46218.74444444444</v>
      </c>
      <c r="G2077" s="5">
        <v>46218.640497685185</v>
      </c>
      <c r="H2077" s="3" t="s">
        <v>14</v>
      </c>
      <c r="I2077" s="3">
        <v>0.0</v>
      </c>
      <c r="J2077" s="3" t="s">
        <v>15</v>
      </c>
    </row>
    <row r="2078">
      <c r="C2078" s="3" t="s">
        <v>17</v>
      </c>
      <c r="D2078" s="3">
        <v>5375.0</v>
      </c>
      <c r="E2078" s="3" t="s">
        <v>1712</v>
      </c>
      <c r="F2078" s="5">
        <v>46218.751388888886</v>
      </c>
      <c r="G2078" s="5">
        <v>46218.6405787037</v>
      </c>
      <c r="H2078" s="3" t="s">
        <v>14</v>
      </c>
      <c r="I2078" s="7">
        <v>0.0</v>
      </c>
      <c r="J2078" s="3" t="s">
        <v>15</v>
      </c>
    </row>
    <row r="2079">
      <c r="C2079" s="3" t="s">
        <v>21</v>
      </c>
      <c r="D2079" s="3">
        <v>5375.0</v>
      </c>
      <c r="E2079" s="3" t="s">
        <v>1712</v>
      </c>
      <c r="F2079" s="5">
        <v>46220.41805555556</v>
      </c>
      <c r="G2079" s="5">
        <v>46218.640648148146</v>
      </c>
      <c r="H2079" s="3" t="s">
        <v>14</v>
      </c>
      <c r="I2079" s="7">
        <v>0.0</v>
      </c>
      <c r="J2079" s="3" t="s">
        <v>15</v>
      </c>
    </row>
    <row r="2080">
      <c r="C2080" s="3" t="s">
        <v>24</v>
      </c>
      <c r="D2080" s="3">
        <v>5375.0</v>
      </c>
      <c r="E2080" s="3" t="s">
        <v>1712</v>
      </c>
      <c r="F2080" s="5">
        <v>46221.41805555556</v>
      </c>
      <c r="G2080" s="5">
        <v>46218.82592592593</v>
      </c>
      <c r="H2080" s="3" t="s">
        <v>14</v>
      </c>
      <c r="I2080" s="7">
        <v>0.0</v>
      </c>
      <c r="J2080" s="3" t="s">
        <v>15</v>
      </c>
    </row>
    <row r="2081">
      <c r="C2081" s="3" t="s">
        <v>26</v>
      </c>
      <c r="D2081" s="3">
        <v>5375.0</v>
      </c>
      <c r="E2081" s="3" t="s">
        <v>1712</v>
      </c>
      <c r="F2081" s="5">
        <v>46221.45972222222</v>
      </c>
      <c r="G2081" s="5">
        <v>46218.82597222222</v>
      </c>
      <c r="H2081" s="3" t="s">
        <v>14</v>
      </c>
      <c r="I2081" s="7">
        <v>0.0</v>
      </c>
      <c r="J2081" s="3" t="s">
        <v>15</v>
      </c>
    </row>
    <row r="2082">
      <c r="C2082" s="3" t="s">
        <v>10</v>
      </c>
      <c r="D2082" s="3">
        <v>5376.0</v>
      </c>
      <c r="E2082" s="3" t="s">
        <v>1716</v>
      </c>
      <c r="F2082" s="5">
        <v>46218.76193287037</v>
      </c>
      <c r="G2082" s="5">
        <v>46218.64078703704</v>
      </c>
      <c r="H2082" s="3" t="s">
        <v>14</v>
      </c>
      <c r="I2082" s="3">
        <v>0.0</v>
      </c>
      <c r="J2082" s="3" t="s">
        <v>48</v>
      </c>
    </row>
    <row r="2083">
      <c r="C2083" s="3" t="s">
        <v>17</v>
      </c>
      <c r="D2083" s="3">
        <v>5376.0</v>
      </c>
      <c r="E2083" s="3" t="s">
        <v>1716</v>
      </c>
      <c r="F2083" s="5">
        <v>46218.76887731482</v>
      </c>
      <c r="G2083" s="5">
        <v>46218.640856481485</v>
      </c>
      <c r="H2083" s="3" t="s">
        <v>14</v>
      </c>
      <c r="I2083" s="7">
        <v>0.0</v>
      </c>
      <c r="J2083" s="3" t="s">
        <v>48</v>
      </c>
    </row>
    <row r="2084">
      <c r="C2084" s="3" t="s">
        <v>21</v>
      </c>
      <c r="D2084" s="3">
        <v>5376.0</v>
      </c>
      <c r="E2084" s="3" t="s">
        <v>1716</v>
      </c>
      <c r="F2084" s="5">
        <v>46220.43541666667</v>
      </c>
      <c r="G2084" s="5">
        <v>46218.64087962963</v>
      </c>
      <c r="H2084" s="3" t="s">
        <v>14</v>
      </c>
      <c r="I2084" s="7">
        <v>0.0</v>
      </c>
      <c r="J2084" s="3" t="s">
        <v>48</v>
      </c>
    </row>
    <row r="2085">
      <c r="C2085" s="3" t="s">
        <v>24</v>
      </c>
      <c r="D2085" s="3">
        <v>5376.0</v>
      </c>
      <c r="E2085" s="3" t="s">
        <v>1716</v>
      </c>
      <c r="F2085" s="5">
        <v>46221.43541666667</v>
      </c>
      <c r="G2085" s="5">
        <v>46218.64104166667</v>
      </c>
      <c r="H2085" s="3" t="s">
        <v>14</v>
      </c>
      <c r="I2085" s="7">
        <v>0.0</v>
      </c>
      <c r="J2085" s="3" t="s">
        <v>48</v>
      </c>
    </row>
    <row r="2086">
      <c r="C2086" s="3" t="s">
        <v>26</v>
      </c>
      <c r="D2086" s="3">
        <v>5376.0</v>
      </c>
      <c r="E2086" s="3" t="s">
        <v>1716</v>
      </c>
      <c r="F2086" s="5">
        <v>46221.47708333333</v>
      </c>
      <c r="G2086" s="5">
        <v>46220.66693287037</v>
      </c>
      <c r="H2086" s="3" t="s">
        <v>14</v>
      </c>
      <c r="I2086" s="7">
        <v>0.0</v>
      </c>
      <c r="J2086" s="3" t="s">
        <v>48</v>
      </c>
    </row>
    <row r="2087">
      <c r="C2087" s="3" t="s">
        <v>10</v>
      </c>
      <c r="D2087" s="3">
        <v>5377.0</v>
      </c>
      <c r="E2087" s="3" t="s">
        <v>913</v>
      </c>
      <c r="F2087" s="5">
        <v>46218.81539351852</v>
      </c>
      <c r="G2087" s="5">
        <v>46218.684953703705</v>
      </c>
      <c r="H2087" s="3" t="s">
        <v>14</v>
      </c>
      <c r="I2087" s="3">
        <v>0.0</v>
      </c>
      <c r="J2087" s="3" t="s">
        <v>48</v>
      </c>
    </row>
    <row r="2088">
      <c r="C2088" s="3" t="s">
        <v>17</v>
      </c>
      <c r="D2088" s="3">
        <v>5377.0</v>
      </c>
      <c r="E2088" s="3" t="s">
        <v>913</v>
      </c>
      <c r="F2088" s="5">
        <v>46218.82233796296</v>
      </c>
      <c r="G2088" s="5">
        <v>46218.68503472222</v>
      </c>
      <c r="H2088" s="3" t="s">
        <v>14</v>
      </c>
      <c r="I2088" s="7">
        <v>0.0</v>
      </c>
      <c r="J2088" s="3" t="s">
        <v>48</v>
      </c>
    </row>
    <row r="2089">
      <c r="C2089" s="3" t="s">
        <v>21</v>
      </c>
      <c r="D2089" s="3">
        <v>5377.0</v>
      </c>
      <c r="E2089" s="3" t="s">
        <v>913</v>
      </c>
      <c r="F2089" s="5">
        <v>46220.53055555555</v>
      </c>
      <c r="G2089" s="5">
        <v>46218.68508101852</v>
      </c>
      <c r="H2089" s="3" t="s">
        <v>14</v>
      </c>
      <c r="I2089" s="7">
        <v>0.0</v>
      </c>
      <c r="J2089" s="3" t="s">
        <v>48</v>
      </c>
    </row>
    <row r="2090">
      <c r="C2090" s="3" t="s">
        <v>24</v>
      </c>
      <c r="D2090" s="3">
        <v>5377.0</v>
      </c>
      <c r="E2090" s="3" t="s">
        <v>913</v>
      </c>
      <c r="F2090" s="5">
        <v>46221.53055555555</v>
      </c>
      <c r="G2090" s="5">
        <v>46220.666875</v>
      </c>
      <c r="H2090" s="3" t="s">
        <v>14</v>
      </c>
      <c r="I2090" s="7">
        <v>0.0</v>
      </c>
      <c r="J2090" s="3" t="s">
        <v>48</v>
      </c>
    </row>
    <row r="2091">
      <c r="C2091" s="3" t="s">
        <v>26</v>
      </c>
      <c r="D2091" s="3">
        <v>5377.0</v>
      </c>
      <c r="E2091" s="3" t="s">
        <v>913</v>
      </c>
      <c r="F2091" s="5">
        <v>46221.572222222225</v>
      </c>
      <c r="G2091" s="5">
        <v>46220.66694444444</v>
      </c>
      <c r="H2091" s="3" t="s">
        <v>14</v>
      </c>
      <c r="I2091" s="7">
        <v>0.0</v>
      </c>
      <c r="J2091" s="3" t="s">
        <v>48</v>
      </c>
    </row>
    <row r="2092">
      <c r="C2092" s="3" t="s">
        <v>10</v>
      </c>
      <c r="D2092" s="3">
        <v>5378.0</v>
      </c>
      <c r="E2092" s="3" t="s">
        <v>166</v>
      </c>
      <c r="F2092" s="5">
        <v>46220.42222222222</v>
      </c>
      <c r="G2092" s="5">
        <v>46218.68512731481</v>
      </c>
      <c r="H2092" s="3" t="s">
        <v>14</v>
      </c>
      <c r="I2092" s="3">
        <v>0.0</v>
      </c>
      <c r="J2092" s="3" t="s">
        <v>15</v>
      </c>
    </row>
    <row r="2093">
      <c r="C2093" s="3" t="s">
        <v>17</v>
      </c>
      <c r="D2093" s="3">
        <v>5378.0</v>
      </c>
      <c r="E2093" s="3" t="s">
        <v>166</v>
      </c>
      <c r="F2093" s="5">
        <v>46220.42916666667</v>
      </c>
      <c r="G2093" s="5">
        <v>46218.68525462963</v>
      </c>
      <c r="H2093" s="3" t="s">
        <v>14</v>
      </c>
      <c r="I2093" s="7">
        <v>0.0</v>
      </c>
      <c r="J2093" s="3" t="s">
        <v>15</v>
      </c>
    </row>
    <row r="2094">
      <c r="C2094" s="3" t="s">
        <v>21</v>
      </c>
      <c r="D2094" s="3">
        <v>5378.0</v>
      </c>
      <c r="E2094" s="3" t="s">
        <v>166</v>
      </c>
      <c r="F2094" s="5">
        <v>46220.53333333333</v>
      </c>
      <c r="G2094" s="5">
        <v>46218.685381944444</v>
      </c>
      <c r="H2094" s="3" t="s">
        <v>14</v>
      </c>
      <c r="I2094" s="7">
        <v>0.0</v>
      </c>
      <c r="J2094" s="3" t="s">
        <v>15</v>
      </c>
    </row>
    <row r="2095">
      <c r="C2095" s="3" t="s">
        <v>24</v>
      </c>
      <c r="D2095" s="3">
        <v>5378.0</v>
      </c>
      <c r="E2095" s="3" t="s">
        <v>166</v>
      </c>
      <c r="F2095" s="5">
        <v>46221.53333333333</v>
      </c>
      <c r="G2095" s="5">
        <v>46218.82672453704</v>
      </c>
      <c r="H2095" s="3" t="s">
        <v>14</v>
      </c>
      <c r="I2095" s="7">
        <v>0.0</v>
      </c>
      <c r="J2095" s="3" t="s">
        <v>15</v>
      </c>
    </row>
    <row r="2096">
      <c r="C2096" s="3" t="s">
        <v>26</v>
      </c>
      <c r="D2096" s="3">
        <v>5378.0</v>
      </c>
      <c r="E2096" s="3" t="s">
        <v>166</v>
      </c>
      <c r="F2096" s="5">
        <v>46221.575</v>
      </c>
      <c r="G2096" s="5">
        <v>46218.82674768518</v>
      </c>
      <c r="H2096" s="3" t="s">
        <v>14</v>
      </c>
      <c r="I2096" s="7">
        <v>0.0</v>
      </c>
      <c r="J2096" s="3" t="s">
        <v>15</v>
      </c>
    </row>
    <row r="2097">
      <c r="C2097" s="3" t="s">
        <v>10</v>
      </c>
      <c r="D2097" s="3">
        <v>5379.0</v>
      </c>
      <c r="E2097" s="3" t="s">
        <v>1731</v>
      </c>
      <c r="F2097" s="5">
        <v>46219.648368055554</v>
      </c>
      <c r="G2097" s="5">
        <v>46219.48181712963</v>
      </c>
      <c r="H2097" s="3" t="s">
        <v>14</v>
      </c>
      <c r="I2097" s="3">
        <v>0.0</v>
      </c>
      <c r="J2097" s="3" t="s">
        <v>15</v>
      </c>
    </row>
    <row r="2098">
      <c r="C2098" s="3" t="s">
        <v>17</v>
      </c>
      <c r="D2098" s="3">
        <v>5379.0</v>
      </c>
      <c r="E2098" s="3" t="s">
        <v>1731</v>
      </c>
      <c r="F2098" s="5">
        <v>46219.6553125</v>
      </c>
      <c r="G2098" s="5">
        <v>46219.481875</v>
      </c>
      <c r="H2098" s="3" t="s">
        <v>14</v>
      </c>
      <c r="I2098" s="7">
        <v>0.0</v>
      </c>
      <c r="J2098" s="3" t="s">
        <v>15</v>
      </c>
    </row>
    <row r="2099">
      <c r="C2099" s="3" t="s">
        <v>21</v>
      </c>
      <c r="D2099" s="3">
        <v>5379.0</v>
      </c>
      <c r="E2099" s="3" t="s">
        <v>1731</v>
      </c>
      <c r="F2099" s="5">
        <v>46219.75947916666</v>
      </c>
      <c r="G2099" s="5">
        <v>46219.55883101852</v>
      </c>
      <c r="H2099" s="3" t="s">
        <v>14</v>
      </c>
      <c r="I2099" s="7">
        <v>0.0</v>
      </c>
      <c r="J2099" s="3" t="s">
        <v>15</v>
      </c>
    </row>
    <row r="2100">
      <c r="C2100" s="3" t="s">
        <v>24</v>
      </c>
      <c r="D2100" s="3">
        <v>5379.0</v>
      </c>
      <c r="E2100" s="3" t="s">
        <v>1731</v>
      </c>
      <c r="F2100" s="5">
        <v>46220.75902777778</v>
      </c>
      <c r="G2100" s="5">
        <v>46219.55893518519</v>
      </c>
      <c r="H2100" s="3" t="s">
        <v>14</v>
      </c>
      <c r="I2100" s="7">
        <v>0.0</v>
      </c>
      <c r="J2100" s="3" t="s">
        <v>15</v>
      </c>
    </row>
    <row r="2101">
      <c r="C2101" s="3" t="s">
        <v>26</v>
      </c>
      <c r="D2101" s="3">
        <v>5379.0</v>
      </c>
      <c r="E2101" s="3" t="s">
        <v>1731</v>
      </c>
      <c r="F2101" s="5">
        <v>46220.80069444444</v>
      </c>
      <c r="G2101" s="5">
        <v>46219.59079861111</v>
      </c>
      <c r="H2101" s="3" t="s">
        <v>14</v>
      </c>
      <c r="I2101" s="7">
        <v>0.0</v>
      </c>
      <c r="J2101" s="3" t="s">
        <v>15</v>
      </c>
    </row>
    <row r="2102">
      <c r="C2102" s="3" t="s">
        <v>10</v>
      </c>
      <c r="D2102" s="3">
        <v>5380.0</v>
      </c>
      <c r="E2102" s="3" t="s">
        <v>660</v>
      </c>
      <c r="F2102" s="5">
        <v>46219.7215625</v>
      </c>
      <c r="G2102" s="5">
        <v>46219.558645833335</v>
      </c>
      <c r="H2102" s="3" t="s">
        <v>14</v>
      </c>
      <c r="I2102" s="3">
        <v>0.0</v>
      </c>
      <c r="J2102" s="3" t="s">
        <v>15</v>
      </c>
    </row>
    <row r="2103">
      <c r="C2103" s="3" t="s">
        <v>17</v>
      </c>
      <c r="D2103" s="3">
        <v>5380.0</v>
      </c>
      <c r="E2103" s="3" t="s">
        <v>660</v>
      </c>
      <c r="F2103" s="5">
        <v>46219.72850694445</v>
      </c>
      <c r="G2103" s="5">
        <v>46219.55873842593</v>
      </c>
      <c r="H2103" s="3" t="s">
        <v>14</v>
      </c>
      <c r="I2103" s="7">
        <v>0.0</v>
      </c>
      <c r="J2103" s="3" t="s">
        <v>15</v>
      </c>
    </row>
    <row r="2104">
      <c r="C2104" s="3" t="s">
        <v>21</v>
      </c>
      <c r="D2104" s="3">
        <v>5380.0</v>
      </c>
      <c r="E2104" s="3" t="s">
        <v>660</v>
      </c>
      <c r="F2104" s="5">
        <v>46219.83267361111</v>
      </c>
      <c r="G2104" s="5">
        <v>46219.558842592596</v>
      </c>
      <c r="H2104" s="3" t="s">
        <v>14</v>
      </c>
      <c r="I2104" s="7">
        <v>0.0</v>
      </c>
      <c r="J2104" s="3" t="s">
        <v>15</v>
      </c>
    </row>
    <row r="2105">
      <c r="C2105" s="3" t="s">
        <v>24</v>
      </c>
      <c r="D2105" s="3">
        <v>5380.0</v>
      </c>
      <c r="E2105" s="3" t="s">
        <v>660</v>
      </c>
      <c r="F2105" s="5">
        <v>46220.83263888889</v>
      </c>
      <c r="G2105" s="5">
        <v>46219.59086805556</v>
      </c>
      <c r="H2105" s="3" t="s">
        <v>14</v>
      </c>
      <c r="I2105" s="7">
        <v>0.0</v>
      </c>
      <c r="J2105" s="3" t="s">
        <v>15</v>
      </c>
    </row>
    <row r="2106">
      <c r="C2106" s="3" t="s">
        <v>26</v>
      </c>
      <c r="D2106" s="3">
        <v>5380.0</v>
      </c>
      <c r="E2106" s="3" t="s">
        <v>660</v>
      </c>
      <c r="F2106" s="5">
        <v>46221.45763888889</v>
      </c>
      <c r="G2106" s="5">
        <v>46219.59082175926</v>
      </c>
      <c r="H2106" s="3" t="s">
        <v>14</v>
      </c>
      <c r="I2106" s="7">
        <v>0.0</v>
      </c>
      <c r="J2106" s="3" t="s">
        <v>15</v>
      </c>
    </row>
    <row r="2107">
      <c r="C2107" s="3" t="s">
        <v>10</v>
      </c>
      <c r="D2107" s="3">
        <v>5381.0</v>
      </c>
      <c r="E2107" s="3" t="s">
        <v>1738</v>
      </c>
      <c r="F2107" s="5">
        <v>46219.764756944445</v>
      </c>
      <c r="G2107" s="5">
        <v>46219.71252314815</v>
      </c>
      <c r="H2107" s="3" t="s">
        <v>14</v>
      </c>
      <c r="I2107" s="3">
        <v>0.0</v>
      </c>
      <c r="J2107" s="3" t="s">
        <v>15</v>
      </c>
    </row>
    <row r="2108">
      <c r="C2108" s="3" t="s">
        <v>17</v>
      </c>
      <c r="D2108" s="3">
        <v>5381.0</v>
      </c>
      <c r="E2108" s="3" t="s">
        <v>1738</v>
      </c>
      <c r="F2108" s="5">
        <v>46219.77170138889</v>
      </c>
      <c r="G2108" s="5">
        <v>46219.71325231482</v>
      </c>
      <c r="H2108" s="3" t="s">
        <v>14</v>
      </c>
      <c r="I2108" s="7">
        <v>0.0</v>
      </c>
      <c r="J2108" s="3" t="s">
        <v>15</v>
      </c>
    </row>
    <row r="2109">
      <c r="C2109" s="3" t="s">
        <v>21</v>
      </c>
      <c r="D2109" s="3">
        <v>5381.0</v>
      </c>
      <c r="E2109" s="3" t="s">
        <v>1738</v>
      </c>
      <c r="F2109" s="5">
        <v>46220.47986111111</v>
      </c>
      <c r="G2109" s="5">
        <v>46219.713483796295</v>
      </c>
      <c r="H2109" s="3" t="s">
        <v>14</v>
      </c>
      <c r="I2109" s="7">
        <v>0.0</v>
      </c>
      <c r="J2109" s="3" t="s">
        <v>15</v>
      </c>
    </row>
    <row r="2110">
      <c r="C2110" s="3" t="s">
        <v>24</v>
      </c>
      <c r="D2110" s="3">
        <v>5381.0</v>
      </c>
      <c r="E2110" s="3" t="s">
        <v>1738</v>
      </c>
      <c r="F2110" s="5">
        <v>46221.47986111111</v>
      </c>
      <c r="G2110" s="5">
        <v>46220.60778935185</v>
      </c>
      <c r="H2110" s="3" t="s">
        <v>14</v>
      </c>
      <c r="I2110" s="7">
        <v>0.0</v>
      </c>
      <c r="J2110" s="3" t="s">
        <v>15</v>
      </c>
    </row>
    <row r="2111">
      <c r="C2111" s="3" t="s">
        <v>26</v>
      </c>
      <c r="D2111" s="3">
        <v>5381.0</v>
      </c>
      <c r="E2111" s="3" t="s">
        <v>1738</v>
      </c>
      <c r="F2111" s="5">
        <v>46221.521527777775</v>
      </c>
      <c r="G2111" s="5">
        <v>46220.6078125</v>
      </c>
      <c r="H2111" s="3" t="s">
        <v>14</v>
      </c>
      <c r="I2111" s="7">
        <v>0.0</v>
      </c>
      <c r="J2111" s="3" t="s">
        <v>15</v>
      </c>
    </row>
    <row r="2112">
      <c r="C2112" s="3" t="s">
        <v>10</v>
      </c>
      <c r="D2112" s="3">
        <v>5382.0</v>
      </c>
      <c r="E2112" s="3" t="s">
        <v>1744</v>
      </c>
      <c r="F2112" s="5">
        <v>46219.77591435185</v>
      </c>
      <c r="G2112" s="5">
        <v>46219.71258101852</v>
      </c>
      <c r="H2112" s="3" t="s">
        <v>14</v>
      </c>
      <c r="I2112" s="3">
        <v>0.0</v>
      </c>
      <c r="J2112" s="3" t="s">
        <v>61</v>
      </c>
    </row>
    <row r="2113">
      <c r="C2113" s="3" t="s">
        <v>17</v>
      </c>
      <c r="D2113" s="3">
        <v>5382.0</v>
      </c>
      <c r="E2113" s="3" t="s">
        <v>1744</v>
      </c>
      <c r="F2113" s="5">
        <v>46219.782858796294</v>
      </c>
      <c r="G2113" s="5">
        <v>46219.71329861111</v>
      </c>
      <c r="H2113" s="3" t="s">
        <v>14</v>
      </c>
      <c r="I2113" s="7">
        <v>0.0</v>
      </c>
      <c r="J2113" s="3" t="s">
        <v>61</v>
      </c>
    </row>
    <row r="2114">
      <c r="C2114" s="3" t="s">
        <v>21</v>
      </c>
      <c r="D2114" s="3">
        <v>5382.0</v>
      </c>
      <c r="E2114" s="3" t="s">
        <v>1744</v>
      </c>
      <c r="F2114" s="5">
        <v>46220.49097222222</v>
      </c>
      <c r="G2114" s="5">
        <v>46219.71349537037</v>
      </c>
      <c r="H2114" s="3" t="s">
        <v>14</v>
      </c>
      <c r="I2114" s="7">
        <v>0.0</v>
      </c>
      <c r="J2114" s="3" t="s">
        <v>61</v>
      </c>
    </row>
    <row r="2115">
      <c r="C2115" s="3" t="s">
        <v>24</v>
      </c>
      <c r="D2115" s="3">
        <v>5382.0</v>
      </c>
      <c r="E2115" s="3" t="s">
        <v>1744</v>
      </c>
      <c r="F2115" s="5">
        <v>46221.49097222222</v>
      </c>
      <c r="G2115" s="5">
        <v>46220.607835648145</v>
      </c>
      <c r="H2115" s="3" t="s">
        <v>14</v>
      </c>
      <c r="I2115" s="7">
        <v>0.0</v>
      </c>
      <c r="J2115" s="3" t="s">
        <v>61</v>
      </c>
    </row>
    <row r="2116">
      <c r="C2116" s="3" t="s">
        <v>26</v>
      </c>
      <c r="D2116" s="3">
        <v>5382.0</v>
      </c>
      <c r="E2116" s="3" t="s">
        <v>1744</v>
      </c>
      <c r="F2116" s="5">
        <v>46221.532638888886</v>
      </c>
      <c r="G2116" s="5">
        <v>46220.6078587963</v>
      </c>
      <c r="H2116" s="3" t="s">
        <v>14</v>
      </c>
      <c r="I2116" s="7">
        <v>0.0</v>
      </c>
      <c r="J2116" s="3" t="s">
        <v>61</v>
      </c>
    </row>
    <row r="2117">
      <c r="C2117" s="3" t="s">
        <v>10</v>
      </c>
      <c r="D2117" s="3">
        <v>5383.0</v>
      </c>
      <c r="E2117" s="3" t="s">
        <v>1748</v>
      </c>
      <c r="F2117" s="5">
        <v>46219.77700231481</v>
      </c>
      <c r="G2117" s="5">
        <v>46219.71263888889</v>
      </c>
      <c r="H2117" s="3" t="s">
        <v>14</v>
      </c>
      <c r="I2117" s="3">
        <v>0.0</v>
      </c>
      <c r="J2117" s="3" t="s">
        <v>15</v>
      </c>
    </row>
    <row r="2118">
      <c r="C2118" s="3" t="s">
        <v>17</v>
      </c>
      <c r="D2118" s="3">
        <v>5383.0</v>
      </c>
      <c r="E2118" s="3" t="s">
        <v>1748</v>
      </c>
      <c r="F2118" s="5">
        <v>46219.78394675926</v>
      </c>
      <c r="G2118" s="5">
        <v>46219.713321759256</v>
      </c>
      <c r="H2118" s="3" t="s">
        <v>14</v>
      </c>
      <c r="I2118" s="7">
        <v>0.0</v>
      </c>
      <c r="J2118" s="3" t="s">
        <v>15</v>
      </c>
    </row>
    <row r="2119">
      <c r="C2119" s="3" t="s">
        <v>21</v>
      </c>
      <c r="D2119" s="3">
        <v>5383.0</v>
      </c>
      <c r="E2119" s="3" t="s">
        <v>1748</v>
      </c>
      <c r="F2119" s="5">
        <v>46220.49166666667</v>
      </c>
      <c r="G2119" s="5">
        <v>46219.71351851852</v>
      </c>
      <c r="H2119" s="3" t="s">
        <v>14</v>
      </c>
      <c r="I2119" s="7">
        <v>0.0</v>
      </c>
      <c r="J2119" s="3" t="s">
        <v>15</v>
      </c>
    </row>
    <row r="2120">
      <c r="C2120" s="3" t="s">
        <v>24</v>
      </c>
      <c r="D2120" s="3">
        <v>5383.0</v>
      </c>
      <c r="E2120" s="3" t="s">
        <v>1748</v>
      </c>
      <c r="F2120" s="5">
        <v>46221.49166666667</v>
      </c>
      <c r="G2120" s="5">
        <v>46220.60792824074</v>
      </c>
      <c r="H2120" s="3" t="s">
        <v>14</v>
      </c>
      <c r="I2120" s="7">
        <v>0.0</v>
      </c>
      <c r="J2120" s="3" t="s">
        <v>15</v>
      </c>
    </row>
    <row r="2121">
      <c r="C2121" s="3" t="s">
        <v>26</v>
      </c>
      <c r="D2121" s="3">
        <v>5383.0</v>
      </c>
      <c r="E2121" s="3" t="s">
        <v>1748</v>
      </c>
      <c r="F2121" s="5">
        <v>46221.53333333333</v>
      </c>
      <c r="G2121" s="5">
        <v>46220.60795138889</v>
      </c>
      <c r="H2121" s="3" t="s">
        <v>14</v>
      </c>
      <c r="I2121" s="7">
        <v>0.0</v>
      </c>
      <c r="J2121" s="3" t="s">
        <v>15</v>
      </c>
    </row>
    <row r="2122">
      <c r="C2122" s="3" t="s">
        <v>10</v>
      </c>
      <c r="D2122" s="3">
        <v>5384.0</v>
      </c>
      <c r="E2122" s="3" t="s">
        <v>694</v>
      </c>
      <c r="F2122" s="5">
        <v>46220.41875</v>
      </c>
      <c r="G2122" s="5">
        <v>46219.71271990741</v>
      </c>
      <c r="H2122" s="3" t="s">
        <v>14</v>
      </c>
      <c r="I2122" s="3">
        <v>0.0</v>
      </c>
      <c r="J2122" s="3" t="s">
        <v>15</v>
      </c>
    </row>
    <row r="2123">
      <c r="C2123" s="3" t="s">
        <v>17</v>
      </c>
      <c r="D2123" s="3">
        <v>5384.0</v>
      </c>
      <c r="E2123" s="3" t="s">
        <v>694</v>
      </c>
      <c r="F2123" s="5">
        <v>46220.42569444444</v>
      </c>
      <c r="G2123" s="5">
        <v>46219.71333333333</v>
      </c>
      <c r="H2123" s="3" t="s">
        <v>14</v>
      </c>
      <c r="I2123" s="7">
        <v>0.0</v>
      </c>
      <c r="J2123" s="3" t="s">
        <v>15</v>
      </c>
    </row>
    <row r="2124">
      <c r="C2124" s="3" t="s">
        <v>21</v>
      </c>
      <c r="D2124" s="3">
        <v>5384.0</v>
      </c>
      <c r="E2124" s="3" t="s">
        <v>694</v>
      </c>
      <c r="F2124" s="5">
        <v>46220.529861111114</v>
      </c>
      <c r="G2124" s="5">
        <v>46219.713541666664</v>
      </c>
      <c r="H2124" s="3" t="s">
        <v>14</v>
      </c>
      <c r="I2124" s="7">
        <v>0.0</v>
      </c>
      <c r="J2124" s="3" t="s">
        <v>15</v>
      </c>
    </row>
    <row r="2125">
      <c r="C2125" s="3" t="s">
        <v>24</v>
      </c>
      <c r="D2125" s="3">
        <v>5384.0</v>
      </c>
      <c r="E2125" s="3" t="s">
        <v>694</v>
      </c>
      <c r="F2125" s="5">
        <v>46221.529861111114</v>
      </c>
      <c r="G2125" s="5">
        <v>46220.60803240741</v>
      </c>
      <c r="H2125" s="3" t="s">
        <v>14</v>
      </c>
      <c r="I2125" s="7">
        <v>0.0</v>
      </c>
      <c r="J2125" s="3" t="s">
        <v>15</v>
      </c>
    </row>
    <row r="2126">
      <c r="C2126" s="3" t="s">
        <v>26</v>
      </c>
      <c r="D2126" s="3">
        <v>5384.0</v>
      </c>
      <c r="E2126" s="3" t="s">
        <v>694</v>
      </c>
      <c r="F2126" s="5">
        <v>46221.57152777778</v>
      </c>
      <c r="G2126" s="5">
        <v>46220.608090277776</v>
      </c>
      <c r="H2126" s="3" t="s">
        <v>14</v>
      </c>
      <c r="I2126" s="7">
        <v>0.0</v>
      </c>
      <c r="J2126" s="3" t="s">
        <v>15</v>
      </c>
    </row>
    <row r="2127">
      <c r="C2127" s="3" t="s">
        <v>10</v>
      </c>
      <c r="D2127" s="3">
        <v>5385.0</v>
      </c>
      <c r="E2127" s="3" t="s">
        <v>1759</v>
      </c>
      <c r="F2127" s="5">
        <v>46220.43541666667</v>
      </c>
      <c r="G2127" s="5">
        <v>46219.71306712963</v>
      </c>
      <c r="H2127" s="3" t="s">
        <v>14</v>
      </c>
      <c r="I2127" s="3">
        <v>0.0</v>
      </c>
      <c r="J2127" s="3" t="s">
        <v>72</v>
      </c>
    </row>
    <row r="2128">
      <c r="C2128" s="3" t="s">
        <v>17</v>
      </c>
      <c r="D2128" s="3">
        <v>5385.0</v>
      </c>
      <c r="E2128" s="3" t="s">
        <v>1759</v>
      </c>
      <c r="F2128" s="5">
        <v>46220.44236111111</v>
      </c>
      <c r="G2128" s="5">
        <v>46219.71365740741</v>
      </c>
      <c r="H2128" s="3" t="s">
        <v>14</v>
      </c>
      <c r="I2128" s="7">
        <v>0.0</v>
      </c>
      <c r="J2128" s="3" t="s">
        <v>72</v>
      </c>
    </row>
    <row r="2129">
      <c r="C2129" s="3" t="s">
        <v>21</v>
      </c>
      <c r="D2129" s="3">
        <v>5385.0</v>
      </c>
      <c r="E2129" s="3" t="s">
        <v>1759</v>
      </c>
      <c r="F2129" s="5">
        <v>46220.54652777778</v>
      </c>
      <c r="G2129" s="5">
        <v>46219.714212962965</v>
      </c>
      <c r="H2129" s="3" t="s">
        <v>14</v>
      </c>
      <c r="I2129" s="7">
        <v>0.0</v>
      </c>
      <c r="J2129" s="3" t="s">
        <v>72</v>
      </c>
    </row>
    <row r="2130">
      <c r="C2130" s="3" t="s">
        <v>24</v>
      </c>
      <c r="D2130" s="3">
        <v>5385.0</v>
      </c>
      <c r="E2130" s="3" t="s">
        <v>1759</v>
      </c>
      <c r="F2130" s="5">
        <v>46221.54652777778</v>
      </c>
      <c r="G2130" s="5">
        <v>46220.78761574074</v>
      </c>
      <c r="H2130" s="3" t="s">
        <v>14</v>
      </c>
      <c r="I2130" s="7">
        <v>0.0</v>
      </c>
      <c r="J2130" s="3" t="s">
        <v>72</v>
      </c>
    </row>
    <row r="2131">
      <c r="C2131" s="3" t="s">
        <v>26</v>
      </c>
      <c r="D2131" s="3">
        <v>5385.0</v>
      </c>
      <c r="E2131" s="3" t="s">
        <v>1759</v>
      </c>
      <c r="F2131" s="5">
        <v>46221.58819444444</v>
      </c>
      <c r="G2131" s="5">
        <v>46221.43483796297</v>
      </c>
      <c r="H2131" s="3" t="s">
        <v>14</v>
      </c>
      <c r="I2131" s="7">
        <v>0.0</v>
      </c>
      <c r="J2131" s="3" t="s">
        <v>72</v>
      </c>
    </row>
    <row r="2132">
      <c r="C2132" s="3" t="s">
        <v>10</v>
      </c>
      <c r="D2132" s="3">
        <v>5386.0</v>
      </c>
      <c r="E2132" s="3" t="s">
        <v>1762</v>
      </c>
      <c r="F2132" s="5">
        <v>46220.43958333333</v>
      </c>
      <c r="G2132" s="5">
        <v>46219.71314814815</v>
      </c>
      <c r="H2132" s="3" t="s">
        <v>14</v>
      </c>
      <c r="I2132" s="3">
        <v>0.0</v>
      </c>
      <c r="J2132" s="3" t="s">
        <v>72</v>
      </c>
    </row>
    <row r="2133">
      <c r="C2133" s="3" t="s">
        <v>17</v>
      </c>
      <c r="D2133" s="3">
        <v>5386.0</v>
      </c>
      <c r="E2133" s="3" t="s">
        <v>1762</v>
      </c>
      <c r="F2133" s="5">
        <v>46220.44652777778</v>
      </c>
      <c r="G2133" s="5">
        <v>46219.71368055556</v>
      </c>
      <c r="H2133" s="3" t="s">
        <v>14</v>
      </c>
      <c r="I2133" s="7">
        <v>0.0</v>
      </c>
      <c r="J2133" s="3" t="s">
        <v>72</v>
      </c>
    </row>
    <row r="2134">
      <c r="C2134" s="3" t="s">
        <v>21</v>
      </c>
      <c r="D2134" s="3">
        <v>5386.0</v>
      </c>
      <c r="E2134" s="3" t="s">
        <v>1762</v>
      </c>
      <c r="F2134" s="5">
        <v>46220.55069444444</v>
      </c>
      <c r="G2134" s="5">
        <v>46219.71420138889</v>
      </c>
      <c r="H2134" s="3" t="s">
        <v>14</v>
      </c>
      <c r="I2134" s="7">
        <v>0.0</v>
      </c>
      <c r="J2134" s="3" t="s">
        <v>72</v>
      </c>
    </row>
    <row r="2135">
      <c r="C2135" s="3" t="s">
        <v>24</v>
      </c>
      <c r="D2135" s="3">
        <v>5386.0</v>
      </c>
      <c r="E2135" s="3" t="s">
        <v>1762</v>
      </c>
      <c r="F2135" s="5">
        <v>46221.55069444444</v>
      </c>
      <c r="G2135" s="5">
        <v>46220.78765046296</v>
      </c>
      <c r="H2135" s="3" t="s">
        <v>14</v>
      </c>
      <c r="I2135" s="7">
        <v>0.0</v>
      </c>
      <c r="J2135" s="3" t="s">
        <v>72</v>
      </c>
    </row>
    <row r="2136">
      <c r="C2136" s="3" t="s">
        <v>26</v>
      </c>
      <c r="D2136" s="3">
        <v>5386.0</v>
      </c>
      <c r="E2136" s="3" t="s">
        <v>1762</v>
      </c>
      <c r="F2136" s="5">
        <v>46221.592361111114</v>
      </c>
      <c r="G2136" s="5">
        <v>46221.434849537036</v>
      </c>
      <c r="H2136" s="3" t="s">
        <v>14</v>
      </c>
      <c r="I2136" s="7">
        <v>0.0</v>
      </c>
      <c r="J2136" s="3" t="s">
        <v>72</v>
      </c>
    </row>
    <row r="2137">
      <c r="C2137" s="3" t="s">
        <v>10</v>
      </c>
      <c r="D2137" s="3">
        <v>5387.0</v>
      </c>
      <c r="E2137" s="3" t="s">
        <v>1014</v>
      </c>
      <c r="F2137" s="5">
        <v>46220.668229166666</v>
      </c>
      <c r="G2137" s="5">
        <v>46220.6075462963</v>
      </c>
      <c r="H2137" s="3" t="s">
        <v>14</v>
      </c>
      <c r="I2137" s="3">
        <v>0.0</v>
      </c>
      <c r="J2137" s="3" t="s">
        <v>61</v>
      </c>
    </row>
    <row r="2138">
      <c r="C2138" s="3" t="s">
        <v>17</v>
      </c>
      <c r="D2138" s="3">
        <v>5387.0</v>
      </c>
      <c r="E2138" s="3" t="s">
        <v>1014</v>
      </c>
      <c r="F2138" s="5">
        <v>46220.67517361111</v>
      </c>
      <c r="G2138" s="5">
        <v>46220.57760416667</v>
      </c>
      <c r="H2138" s="3" t="s">
        <v>14</v>
      </c>
      <c r="I2138" s="7">
        <v>0.0</v>
      </c>
      <c r="J2138" s="3" t="s">
        <v>61</v>
      </c>
    </row>
    <row r="2139">
      <c r="C2139" s="3" t="s">
        <v>21</v>
      </c>
      <c r="D2139" s="3">
        <v>5387.0</v>
      </c>
      <c r="E2139" s="3" t="s">
        <v>1014</v>
      </c>
      <c r="F2139" s="5">
        <v>46220.779340277775</v>
      </c>
      <c r="G2139" s="5">
        <v>46220.60763888889</v>
      </c>
      <c r="H2139" s="3" t="s">
        <v>14</v>
      </c>
      <c r="I2139" s="7">
        <v>0.0</v>
      </c>
      <c r="J2139" s="3" t="s">
        <v>61</v>
      </c>
    </row>
    <row r="2140">
      <c r="C2140" s="3" t="s">
        <v>24</v>
      </c>
      <c r="D2140" s="3">
        <v>5387.0</v>
      </c>
      <c r="E2140" s="3" t="s">
        <v>1014</v>
      </c>
      <c r="F2140" s="5">
        <v>46221.77916666667</v>
      </c>
      <c r="G2140" s="5">
        <v>46220.60774305555</v>
      </c>
      <c r="H2140" s="3" t="s">
        <v>14</v>
      </c>
      <c r="I2140" s="7">
        <v>0.0</v>
      </c>
      <c r="J2140" s="3" t="s">
        <v>61</v>
      </c>
    </row>
    <row r="2141">
      <c r="C2141" s="3" t="s">
        <v>26</v>
      </c>
      <c r="D2141" s="3">
        <v>5387.0</v>
      </c>
      <c r="E2141" s="3" t="s">
        <v>1014</v>
      </c>
      <c r="F2141" s="5">
        <v>46221.82083333333</v>
      </c>
      <c r="G2141" s="5">
        <v>46220.60822916667</v>
      </c>
      <c r="H2141" s="3" t="s">
        <v>14</v>
      </c>
      <c r="I2141" s="7">
        <v>0.0</v>
      </c>
      <c r="J2141" s="3" t="s">
        <v>61</v>
      </c>
    </row>
    <row r="2142">
      <c r="C2142" s="3" t="s">
        <v>10</v>
      </c>
      <c r="D2142" s="3">
        <v>5388.0</v>
      </c>
      <c r="E2142" s="3" t="s">
        <v>1770</v>
      </c>
      <c r="F2142" s="5">
        <v>46220.72918981482</v>
      </c>
      <c r="G2142" s="5">
        <v>46220.5775</v>
      </c>
      <c r="H2142" s="3" t="s">
        <v>14</v>
      </c>
      <c r="I2142" s="3">
        <v>0.0</v>
      </c>
      <c r="J2142" s="3" t="s">
        <v>15</v>
      </c>
    </row>
    <row r="2143">
      <c r="C2143" s="3" t="s">
        <v>17</v>
      </c>
      <c r="D2143" s="3">
        <v>5388.0</v>
      </c>
      <c r="E2143" s="3" t="s">
        <v>1770</v>
      </c>
      <c r="F2143" s="5">
        <v>46220.736134259256</v>
      </c>
      <c r="G2143" s="5">
        <v>46220.57761574074</v>
      </c>
      <c r="H2143" s="3" t="s">
        <v>14</v>
      </c>
      <c r="I2143" s="7">
        <v>0.0</v>
      </c>
      <c r="J2143" s="3" t="s">
        <v>15</v>
      </c>
    </row>
    <row r="2144">
      <c r="C2144" s="3" t="s">
        <v>21</v>
      </c>
      <c r="D2144" s="3">
        <v>5388.0</v>
      </c>
      <c r="E2144" s="3" t="s">
        <v>1770</v>
      </c>
      <c r="F2144" s="5">
        <v>46221.444444444445</v>
      </c>
      <c r="G2144" s="5">
        <v>46220.60765046296</v>
      </c>
      <c r="H2144" s="3" t="s">
        <v>14</v>
      </c>
      <c r="I2144" s="7">
        <v>0.0</v>
      </c>
      <c r="J2144" s="3" t="s">
        <v>15</v>
      </c>
    </row>
    <row r="2145">
      <c r="C2145" s="3" t="s">
        <v>24</v>
      </c>
      <c r="D2145" s="3">
        <v>5388.0</v>
      </c>
      <c r="E2145" s="3" t="s">
        <v>1770</v>
      </c>
      <c r="F2145" s="5">
        <v>46223.444444444445</v>
      </c>
      <c r="G2145" s="5">
        <v>46221.52777777778</v>
      </c>
      <c r="H2145" s="3" t="s">
        <v>14</v>
      </c>
      <c r="I2145" s="7">
        <v>0.0</v>
      </c>
      <c r="J2145" s="3" t="s">
        <v>15</v>
      </c>
    </row>
    <row r="2146">
      <c r="C2146" s="3" t="s">
        <v>26</v>
      </c>
      <c r="D2146" s="3">
        <v>5388.0</v>
      </c>
      <c r="E2146" s="3" t="s">
        <v>1770</v>
      </c>
      <c r="F2146" s="5">
        <v>46223.48611111111</v>
      </c>
      <c r="G2146" s="5">
        <v>46221.52782407407</v>
      </c>
      <c r="H2146" s="3" t="s">
        <v>14</v>
      </c>
      <c r="I2146" s="7">
        <v>0.0</v>
      </c>
      <c r="J2146" s="3" t="s">
        <v>15</v>
      </c>
    </row>
    <row r="2147">
      <c r="C2147" s="3" t="s">
        <v>10</v>
      </c>
      <c r="D2147" s="3">
        <v>5389.0</v>
      </c>
      <c r="E2147" s="3" t="s">
        <v>407</v>
      </c>
      <c r="F2147" s="5">
        <v>46221.50625</v>
      </c>
      <c r="G2147" s="5">
        <v>46220.786886574075</v>
      </c>
      <c r="H2147" s="3" t="s">
        <v>14</v>
      </c>
      <c r="I2147" s="3">
        <v>0.0</v>
      </c>
      <c r="J2147" s="3" t="s">
        <v>72</v>
      </c>
    </row>
    <row r="2148">
      <c r="C2148" s="3" t="s">
        <v>17</v>
      </c>
      <c r="D2148" s="3">
        <v>5389.0</v>
      </c>
      <c r="E2148" s="3" t="s">
        <v>407</v>
      </c>
      <c r="F2148" s="5">
        <v>46221.513194444444</v>
      </c>
      <c r="G2148" s="5">
        <v>46220.7871875</v>
      </c>
      <c r="H2148" s="3" t="s">
        <v>14</v>
      </c>
      <c r="I2148" s="7">
        <v>0.0</v>
      </c>
      <c r="J2148" s="3" t="s">
        <v>72</v>
      </c>
    </row>
    <row r="2149">
      <c r="C2149" s="3" t="s">
        <v>21</v>
      </c>
      <c r="D2149" s="3">
        <v>5389.0</v>
      </c>
      <c r="E2149" s="3" t="s">
        <v>407</v>
      </c>
      <c r="F2149" s="5">
        <v>46221.61736111111</v>
      </c>
      <c r="G2149" s="5">
        <v>46220.78729166667</v>
      </c>
      <c r="H2149" s="3" t="s">
        <v>14</v>
      </c>
      <c r="I2149" s="7">
        <v>0.0</v>
      </c>
      <c r="J2149" s="3" t="s">
        <v>72</v>
      </c>
    </row>
    <row r="2150">
      <c r="C2150" s="3" t="s">
        <v>24</v>
      </c>
      <c r="D2150" s="3">
        <v>5389.0</v>
      </c>
      <c r="E2150" s="3" t="s">
        <v>407</v>
      </c>
      <c r="F2150" s="5">
        <v>46223.61736111111</v>
      </c>
      <c r="G2150" s="5">
        <v>46221.43471064815</v>
      </c>
      <c r="H2150" s="3" t="s">
        <v>14</v>
      </c>
      <c r="I2150" s="7">
        <v>0.0</v>
      </c>
      <c r="J2150" s="3" t="s">
        <v>72</v>
      </c>
    </row>
    <row r="2151">
      <c r="C2151" s="3" t="s">
        <v>26</v>
      </c>
      <c r="D2151" s="3">
        <v>5389.0</v>
      </c>
      <c r="E2151" s="3" t="s">
        <v>407</v>
      </c>
      <c r="F2151" s="5">
        <v>46223.65902777778</v>
      </c>
      <c r="G2151" s="5">
        <v>46221.434745370374</v>
      </c>
      <c r="H2151" s="3" t="s">
        <v>14</v>
      </c>
      <c r="I2151" s="7">
        <v>0.0</v>
      </c>
      <c r="J2151" s="3" t="s">
        <v>72</v>
      </c>
    </row>
    <row r="2152">
      <c r="C2152" s="3" t="s">
        <v>10</v>
      </c>
      <c r="D2152" s="3">
        <v>5390.0</v>
      </c>
      <c r="E2152" s="3" t="s">
        <v>407</v>
      </c>
      <c r="F2152" s="5">
        <v>46221.50763888889</v>
      </c>
      <c r="G2152" s="5">
        <v>46220.7869212963</v>
      </c>
      <c r="H2152" s="3" t="s">
        <v>14</v>
      </c>
      <c r="I2152" s="3">
        <v>0.0</v>
      </c>
      <c r="J2152" s="3" t="s">
        <v>61</v>
      </c>
    </row>
    <row r="2153">
      <c r="C2153" s="3" t="s">
        <v>17</v>
      </c>
      <c r="D2153" s="3">
        <v>5390.0</v>
      </c>
      <c r="E2153" s="3" t="s">
        <v>407</v>
      </c>
      <c r="F2153" s="5">
        <v>46221.51458333333</v>
      </c>
      <c r="G2153" s="5">
        <v>46220.787210648145</v>
      </c>
      <c r="H2153" s="3" t="s">
        <v>14</v>
      </c>
      <c r="I2153" s="7">
        <v>0.0</v>
      </c>
      <c r="J2153" s="3" t="s">
        <v>61</v>
      </c>
    </row>
    <row r="2154">
      <c r="C2154" s="3" t="s">
        <v>21</v>
      </c>
      <c r="D2154" s="3">
        <v>5390.0</v>
      </c>
      <c r="E2154" s="3" t="s">
        <v>407</v>
      </c>
      <c r="F2154" s="5">
        <v>46221.61875</v>
      </c>
      <c r="G2154" s="5">
        <v>46220.787314814814</v>
      </c>
      <c r="H2154" s="3" t="s">
        <v>14</v>
      </c>
      <c r="I2154" s="7">
        <v>0.0</v>
      </c>
      <c r="J2154" s="3" t="s">
        <v>61</v>
      </c>
    </row>
    <row r="2155">
      <c r="C2155" s="3" t="s">
        <v>24</v>
      </c>
      <c r="D2155" s="3">
        <v>5390.0</v>
      </c>
      <c r="E2155" s="3" t="s">
        <v>407</v>
      </c>
      <c r="F2155" s="5">
        <v>46223.61875</v>
      </c>
      <c r="G2155" s="5">
        <v>46221.43472222222</v>
      </c>
      <c r="H2155" s="3" t="s">
        <v>14</v>
      </c>
      <c r="I2155" s="7">
        <v>0.0</v>
      </c>
      <c r="J2155" s="3" t="s">
        <v>61</v>
      </c>
    </row>
    <row r="2156">
      <c r="C2156" s="3" t="s">
        <v>26</v>
      </c>
      <c r="D2156" s="3">
        <v>5390.0</v>
      </c>
      <c r="E2156" s="3" t="s">
        <v>407</v>
      </c>
      <c r="F2156" s="5">
        <v>46223.660416666666</v>
      </c>
      <c r="G2156" s="5">
        <v>46221.43475694444</v>
      </c>
      <c r="H2156" s="3" t="s">
        <v>14</v>
      </c>
      <c r="I2156" s="7">
        <v>0.0</v>
      </c>
      <c r="J2156" s="3" t="s">
        <v>61</v>
      </c>
    </row>
    <row r="2157">
      <c r="C2157" s="3" t="s">
        <v>10</v>
      </c>
      <c r="D2157" s="3">
        <v>5391.0</v>
      </c>
      <c r="E2157" s="3" t="s">
        <v>1784</v>
      </c>
      <c r="F2157" s="5">
        <v>46221.51180555556</v>
      </c>
      <c r="G2157" s="5">
        <v>46220.786944444444</v>
      </c>
      <c r="H2157" s="3" t="s">
        <v>14</v>
      </c>
      <c r="I2157" s="3">
        <v>0.0</v>
      </c>
      <c r="J2157" s="3" t="s">
        <v>72</v>
      </c>
    </row>
    <row r="2158">
      <c r="C2158" s="3" t="s">
        <v>17</v>
      </c>
      <c r="D2158" s="3">
        <v>5391.0</v>
      </c>
      <c r="E2158" s="3" t="s">
        <v>1784</v>
      </c>
      <c r="F2158" s="5">
        <v>46221.51875</v>
      </c>
      <c r="G2158" s="5">
        <v>46220.7872337963</v>
      </c>
      <c r="H2158" s="3" t="s">
        <v>14</v>
      </c>
      <c r="I2158" s="7">
        <v>0.0</v>
      </c>
      <c r="J2158" s="3" t="s">
        <v>72</v>
      </c>
    </row>
    <row r="2159">
      <c r="C2159" s="3" t="s">
        <v>21</v>
      </c>
      <c r="D2159" s="3">
        <v>5391.0</v>
      </c>
      <c r="E2159" s="3" t="s">
        <v>1784</v>
      </c>
      <c r="F2159" s="5">
        <v>46221.62291666667</v>
      </c>
      <c r="G2159" s="5">
        <v>46220.78733796296</v>
      </c>
      <c r="H2159" s="3" t="s">
        <v>14</v>
      </c>
      <c r="I2159" s="7">
        <v>0.0</v>
      </c>
      <c r="J2159" s="3" t="s">
        <v>72</v>
      </c>
    </row>
    <row r="2160">
      <c r="C2160" s="3" t="s">
        <v>24</v>
      </c>
      <c r="D2160" s="3">
        <v>5391.0</v>
      </c>
      <c r="E2160" s="3" t="s">
        <v>1784</v>
      </c>
      <c r="F2160" s="5">
        <v>46223.62291666667</v>
      </c>
      <c r="G2160" s="5">
        <v>46221.43472222222</v>
      </c>
      <c r="H2160" s="3" t="s">
        <v>14</v>
      </c>
      <c r="I2160" s="7">
        <v>0.0</v>
      </c>
      <c r="J2160" s="3" t="s">
        <v>72</v>
      </c>
    </row>
    <row r="2161">
      <c r="C2161" s="3" t="s">
        <v>26</v>
      </c>
      <c r="D2161" s="3">
        <v>5391.0</v>
      </c>
      <c r="E2161" s="3" t="s">
        <v>1784</v>
      </c>
      <c r="F2161" s="5">
        <v>46223.66458333333</v>
      </c>
      <c r="G2161" s="5">
        <v>46221.43476851852</v>
      </c>
      <c r="H2161" s="3" t="s">
        <v>14</v>
      </c>
      <c r="I2161" s="7">
        <v>0.0</v>
      </c>
      <c r="J2161" s="3" t="s">
        <v>72</v>
      </c>
    </row>
    <row r="2162">
      <c r="C2162" s="3" t="s">
        <v>10</v>
      </c>
      <c r="D2162" s="3">
        <v>5392.0</v>
      </c>
      <c r="E2162" s="3" t="s">
        <v>1787</v>
      </c>
      <c r="F2162" s="5">
        <v>46221.51458333333</v>
      </c>
      <c r="G2162" s="5">
        <v>46220.78695601852</v>
      </c>
      <c r="H2162" s="3" t="s">
        <v>14</v>
      </c>
      <c r="I2162" s="3">
        <v>0.0</v>
      </c>
      <c r="J2162" s="3" t="s">
        <v>72</v>
      </c>
    </row>
    <row r="2163">
      <c r="C2163" s="3" t="s">
        <v>17</v>
      </c>
      <c r="D2163" s="3">
        <v>5392.0</v>
      </c>
      <c r="E2163" s="3" t="s">
        <v>1787</v>
      </c>
      <c r="F2163" s="5">
        <v>46221.521527777775</v>
      </c>
      <c r="G2163" s="5">
        <v>46220.787256944444</v>
      </c>
      <c r="H2163" s="3" t="s">
        <v>14</v>
      </c>
      <c r="I2163" s="7">
        <v>0.0</v>
      </c>
      <c r="J2163" s="3" t="s">
        <v>72</v>
      </c>
    </row>
    <row r="2164">
      <c r="C2164" s="3" t="s">
        <v>21</v>
      </c>
      <c r="D2164" s="3">
        <v>5392.0</v>
      </c>
      <c r="E2164" s="3" t="s">
        <v>1787</v>
      </c>
      <c r="F2164" s="5">
        <v>46221.62569444445</v>
      </c>
      <c r="G2164" s="5">
        <v>46220.78737268518</v>
      </c>
      <c r="H2164" s="3" t="s">
        <v>14</v>
      </c>
      <c r="I2164" s="7">
        <v>0.0</v>
      </c>
      <c r="J2164" s="3" t="s">
        <v>72</v>
      </c>
    </row>
    <row r="2165">
      <c r="C2165" s="3" t="s">
        <v>24</v>
      </c>
      <c r="D2165" s="3">
        <v>5392.0</v>
      </c>
      <c r="E2165" s="3" t="s">
        <v>1787</v>
      </c>
      <c r="F2165" s="5">
        <v>46223.62569444445</v>
      </c>
      <c r="G2165" s="5">
        <v>46221.43472222222</v>
      </c>
      <c r="H2165" s="3" t="s">
        <v>14</v>
      </c>
      <c r="I2165" s="7">
        <v>0.0</v>
      </c>
      <c r="J2165" s="3" t="s">
        <v>72</v>
      </c>
    </row>
    <row r="2166">
      <c r="C2166" s="3" t="s">
        <v>26</v>
      </c>
      <c r="D2166" s="3">
        <v>5392.0</v>
      </c>
      <c r="E2166" s="3" t="s">
        <v>1787</v>
      </c>
      <c r="F2166" s="5">
        <v>46223.66736111111</v>
      </c>
      <c r="G2166" s="5">
        <v>46221.43476851852</v>
      </c>
      <c r="H2166" s="3" t="s">
        <v>14</v>
      </c>
      <c r="I2166" s="7">
        <v>0.0</v>
      </c>
      <c r="J2166" s="3" t="s">
        <v>72</v>
      </c>
    </row>
    <row r="2167">
      <c r="C2167" s="3" t="s">
        <v>10</v>
      </c>
      <c r="D2167" s="3">
        <v>5393.0</v>
      </c>
      <c r="E2167" s="3" t="s">
        <v>754</v>
      </c>
      <c r="F2167" s="5">
        <v>46221.6196412037</v>
      </c>
      <c r="G2167" s="5">
        <v>46221.47032407407</v>
      </c>
      <c r="H2167" s="3" t="s">
        <v>14</v>
      </c>
      <c r="I2167" s="3">
        <v>0.0</v>
      </c>
      <c r="J2167" s="3" t="s">
        <v>48</v>
      </c>
    </row>
    <row r="2168">
      <c r="C2168" s="3" t="s">
        <v>17</v>
      </c>
      <c r="D2168" s="3">
        <v>5393.0</v>
      </c>
      <c r="E2168" s="3" t="s">
        <v>754</v>
      </c>
      <c r="F2168" s="5">
        <v>46221.62658564815</v>
      </c>
      <c r="G2168" s="5">
        <v>46221.47046296296</v>
      </c>
      <c r="H2168" s="3" t="s">
        <v>14</v>
      </c>
      <c r="I2168" s="7">
        <v>0.0</v>
      </c>
      <c r="J2168" s="3" t="s">
        <v>48</v>
      </c>
    </row>
    <row r="2169">
      <c r="C2169" s="3" t="s">
        <v>21</v>
      </c>
      <c r="D2169" s="3">
        <v>5393.0</v>
      </c>
      <c r="E2169" s="3" t="s">
        <v>754</v>
      </c>
      <c r="F2169" s="5">
        <v>46221.73075231481</v>
      </c>
      <c r="G2169" s="5">
        <v>46221.61908564815</v>
      </c>
      <c r="H2169" s="3" t="s">
        <v>14</v>
      </c>
      <c r="I2169" s="7">
        <v>0.0</v>
      </c>
      <c r="J2169" s="3" t="s">
        <v>48</v>
      </c>
    </row>
    <row r="2170">
      <c r="C2170" s="3" t="s">
        <v>24</v>
      </c>
      <c r="D2170" s="3">
        <v>5393.0</v>
      </c>
      <c r="E2170" s="3" t="s">
        <v>754</v>
      </c>
      <c r="F2170" s="5">
        <v>46223.73055555556</v>
      </c>
      <c r="G2170" s="5">
        <v>46221.61913194445</v>
      </c>
      <c r="H2170" s="3" t="s">
        <v>14</v>
      </c>
      <c r="I2170" s="7">
        <v>0.0</v>
      </c>
      <c r="J2170" s="3" t="s">
        <v>48</v>
      </c>
    </row>
    <row r="2171">
      <c r="C2171" s="3" t="s">
        <v>26</v>
      </c>
      <c r="D2171" s="3">
        <v>5393.0</v>
      </c>
      <c r="E2171" s="3" t="s">
        <v>754</v>
      </c>
      <c r="F2171" s="5">
        <v>46223.77222222222</v>
      </c>
      <c r="G2171" s="5">
        <v>46223.49133101852</v>
      </c>
      <c r="H2171" s="3" t="s">
        <v>14</v>
      </c>
      <c r="I2171" s="7">
        <v>0.0</v>
      </c>
      <c r="J2171" s="3" t="s">
        <v>48</v>
      </c>
    </row>
    <row r="2172">
      <c r="C2172" s="3" t="s">
        <v>10</v>
      </c>
      <c r="D2172" s="3">
        <v>5394.0</v>
      </c>
      <c r="E2172" s="3" t="s">
        <v>1796</v>
      </c>
      <c r="F2172" s="5">
        <v>46221.77605324074</v>
      </c>
      <c r="G2172" s="5">
        <v>46221.61883101852</v>
      </c>
      <c r="H2172" s="3" t="s">
        <v>14</v>
      </c>
      <c r="I2172" s="3">
        <v>0.0</v>
      </c>
      <c r="J2172" s="3" t="s">
        <v>15</v>
      </c>
    </row>
    <row r="2173">
      <c r="C2173" s="3" t="s">
        <v>17</v>
      </c>
      <c r="D2173" s="3">
        <v>5394.0</v>
      </c>
      <c r="E2173" s="3" t="s">
        <v>1796</v>
      </c>
      <c r="F2173" s="5">
        <v>46221.782997685186</v>
      </c>
      <c r="G2173" s="5">
        <v>46221.618946759256</v>
      </c>
      <c r="H2173" s="3" t="s">
        <v>14</v>
      </c>
      <c r="I2173" s="7">
        <v>0.0</v>
      </c>
      <c r="J2173" s="3" t="s">
        <v>15</v>
      </c>
    </row>
    <row r="2174">
      <c r="C2174" s="3" t="s">
        <v>21</v>
      </c>
      <c r="D2174" s="3">
        <v>5394.0</v>
      </c>
      <c r="E2174" s="3" t="s">
        <v>1796</v>
      </c>
      <c r="F2174" s="5">
        <v>46223.49097222222</v>
      </c>
      <c r="G2174" s="5">
        <v>46221.61902777778</v>
      </c>
      <c r="H2174" s="3" t="s">
        <v>14</v>
      </c>
      <c r="I2174" s="7">
        <v>0.0</v>
      </c>
      <c r="J2174" s="3" t="s">
        <v>15</v>
      </c>
    </row>
    <row r="2175">
      <c r="C2175" s="3" t="s">
        <v>24</v>
      </c>
      <c r="D2175" s="3">
        <v>5394.0</v>
      </c>
      <c r="E2175" s="3" t="s">
        <v>1796</v>
      </c>
      <c r="F2175" s="5">
        <v>46224.49097222222</v>
      </c>
      <c r="G2175" s="5">
        <v>46224.45439814815</v>
      </c>
      <c r="H2175" s="3" t="s">
        <v>14</v>
      </c>
      <c r="I2175" s="7">
        <v>0.0</v>
      </c>
      <c r="J2175" s="3" t="s">
        <v>15</v>
      </c>
    </row>
    <row r="2176">
      <c r="C2176" s="3" t="s">
        <v>26</v>
      </c>
      <c r="D2176" s="3">
        <v>5394.0</v>
      </c>
      <c r="E2176" s="3" t="s">
        <v>1796</v>
      </c>
      <c r="F2176" s="5">
        <v>46224.532638888886</v>
      </c>
      <c r="G2176" s="5">
        <v>46224.45452546296</v>
      </c>
      <c r="H2176" s="3" t="s">
        <v>14</v>
      </c>
      <c r="I2176" s="7">
        <v>0.0</v>
      </c>
      <c r="J2176" s="3" t="s">
        <v>15</v>
      </c>
    </row>
    <row r="2177">
      <c r="C2177" s="3" t="s">
        <v>10</v>
      </c>
      <c r="D2177" s="3">
        <v>5395.0</v>
      </c>
      <c r="E2177" s="3" t="s">
        <v>913</v>
      </c>
      <c r="F2177" s="5">
        <v>46223.52710648148</v>
      </c>
      <c r="G2177" s="5">
        <v>46221.63627314815</v>
      </c>
      <c r="H2177" s="3" t="s">
        <v>14</v>
      </c>
      <c r="I2177" s="3">
        <v>0.0</v>
      </c>
      <c r="J2177" s="3" t="s">
        <v>48</v>
      </c>
    </row>
    <row r="2178">
      <c r="C2178" s="3" t="s">
        <v>17</v>
      </c>
      <c r="D2178" s="3">
        <v>5395.0</v>
      </c>
      <c r="E2178" s="3" t="s">
        <v>913</v>
      </c>
      <c r="F2178" s="5">
        <v>46223.534050925926</v>
      </c>
      <c r="G2178" s="5">
        <v>46221.636400462965</v>
      </c>
      <c r="H2178" s="3" t="s">
        <v>14</v>
      </c>
      <c r="I2178" s="7">
        <v>0.0</v>
      </c>
      <c r="J2178" s="3" t="s">
        <v>48</v>
      </c>
    </row>
    <row r="2179">
      <c r="C2179" s="3" t="s">
        <v>21</v>
      </c>
      <c r="D2179" s="3">
        <v>5395.0</v>
      </c>
      <c r="E2179" s="3" t="s">
        <v>913</v>
      </c>
      <c r="F2179" s="5">
        <v>46223.63821759259</v>
      </c>
      <c r="G2179" s="5">
        <v>46221.63644675926</v>
      </c>
      <c r="H2179" s="3" t="s">
        <v>14</v>
      </c>
      <c r="I2179" s="7">
        <v>0.0</v>
      </c>
      <c r="J2179" s="3" t="s">
        <v>48</v>
      </c>
    </row>
    <row r="2180">
      <c r="C2180" s="3" t="s">
        <v>24</v>
      </c>
      <c r="D2180" s="3">
        <v>5395.0</v>
      </c>
      <c r="E2180" s="3" t="s">
        <v>913</v>
      </c>
      <c r="F2180" s="5">
        <v>46224.638194444444</v>
      </c>
      <c r="G2180" s="5">
        <v>46224.454421296294</v>
      </c>
      <c r="H2180" s="3" t="s">
        <v>14</v>
      </c>
      <c r="I2180" s="7">
        <v>0.0</v>
      </c>
      <c r="J2180" s="3" t="s">
        <v>48</v>
      </c>
    </row>
    <row r="2181">
      <c r="C2181" s="3" t="s">
        <v>26</v>
      </c>
      <c r="D2181" s="3">
        <v>5395.0</v>
      </c>
      <c r="E2181" s="3" t="s">
        <v>913</v>
      </c>
      <c r="F2181" s="5">
        <v>46224.67986111111</v>
      </c>
      <c r="G2181" s="5">
        <v>46224.469143518516</v>
      </c>
      <c r="H2181" s="3" t="s">
        <v>14</v>
      </c>
      <c r="I2181" s="7">
        <v>0.0</v>
      </c>
      <c r="J2181" s="3" t="s">
        <v>48</v>
      </c>
    </row>
    <row r="2182">
      <c r="C2182" s="3" t="s">
        <v>10</v>
      </c>
      <c r="D2182" s="3">
        <v>5396.0</v>
      </c>
      <c r="E2182" s="3" t="s">
        <v>1802</v>
      </c>
      <c r="F2182" s="5">
        <v>46223.509722222225</v>
      </c>
      <c r="G2182" s="5">
        <v>46223.473125</v>
      </c>
      <c r="H2182" s="3" t="s">
        <v>14</v>
      </c>
      <c r="I2182" s="3">
        <v>0.0</v>
      </c>
      <c r="J2182" s="3" t="s">
        <v>15</v>
      </c>
    </row>
    <row r="2183">
      <c r="C2183" s="3" t="s">
        <v>17</v>
      </c>
      <c r="D2183" s="3">
        <v>5396.0</v>
      </c>
      <c r="E2183" s="3" t="s">
        <v>1802</v>
      </c>
      <c r="F2183" s="5">
        <v>46223.51666666667</v>
      </c>
      <c r="G2183" s="5">
        <v>46223.473287037035</v>
      </c>
      <c r="H2183" s="3" t="s">
        <v>14</v>
      </c>
      <c r="I2183" s="7">
        <v>0.0</v>
      </c>
      <c r="J2183" s="3" t="s">
        <v>15</v>
      </c>
    </row>
    <row r="2184">
      <c r="C2184" s="3" t="s">
        <v>21</v>
      </c>
      <c r="D2184" s="3">
        <v>5396.0</v>
      </c>
      <c r="E2184" s="3" t="s">
        <v>1802</v>
      </c>
      <c r="F2184" s="5">
        <v>46223.620833333334</v>
      </c>
      <c r="G2184" s="5">
        <v>46223.47608796296</v>
      </c>
      <c r="H2184" s="3" t="s">
        <v>14</v>
      </c>
      <c r="I2184" s="7">
        <v>0.0</v>
      </c>
      <c r="J2184" s="3" t="s">
        <v>15</v>
      </c>
    </row>
    <row r="2185">
      <c r="C2185" s="3" t="s">
        <v>24</v>
      </c>
      <c r="D2185" s="3">
        <v>5396.0</v>
      </c>
      <c r="E2185" s="3" t="s">
        <v>1802</v>
      </c>
      <c r="F2185" s="5">
        <v>46224.620833333334</v>
      </c>
      <c r="G2185" s="5">
        <v>46223.50137731482</v>
      </c>
      <c r="H2185" s="3" t="s">
        <v>14</v>
      </c>
      <c r="I2185" s="7">
        <v>0.0</v>
      </c>
      <c r="J2185" s="3" t="s">
        <v>15</v>
      </c>
    </row>
    <row r="2186">
      <c r="C2186" s="3" t="s">
        <v>26</v>
      </c>
      <c r="D2186" s="3">
        <v>5396.0</v>
      </c>
      <c r="E2186" s="3" t="s">
        <v>1802</v>
      </c>
      <c r="F2186" s="5">
        <v>46224.6625</v>
      </c>
      <c r="G2186" s="5">
        <v>46223.50141203704</v>
      </c>
      <c r="H2186" s="3" t="s">
        <v>14</v>
      </c>
      <c r="I2186" s="7">
        <v>0.0</v>
      </c>
      <c r="J2186" s="3" t="s">
        <v>15</v>
      </c>
    </row>
    <row r="2187">
      <c r="C2187" s="3" t="s">
        <v>10</v>
      </c>
      <c r="D2187" s="3">
        <v>5397.0</v>
      </c>
      <c r="E2187" s="3" t="s">
        <v>1806</v>
      </c>
      <c r="F2187" s="5">
        <v>46223.63905092593</v>
      </c>
      <c r="G2187" s="5">
        <v>46223.47320601852</v>
      </c>
      <c r="H2187" s="3" t="s">
        <v>14</v>
      </c>
      <c r="I2187" s="3">
        <v>0.0</v>
      </c>
      <c r="J2187" s="3" t="s">
        <v>72</v>
      </c>
    </row>
    <row r="2188">
      <c r="C2188" s="3" t="s">
        <v>17</v>
      </c>
      <c r="D2188" s="3">
        <v>5397.0</v>
      </c>
      <c r="E2188" s="3" t="s">
        <v>1806</v>
      </c>
      <c r="F2188" s="5">
        <v>46223.64599537037</v>
      </c>
      <c r="G2188" s="5">
        <v>46223.47332175926</v>
      </c>
      <c r="H2188" s="3" t="s">
        <v>14</v>
      </c>
      <c r="I2188" s="7">
        <v>0.0</v>
      </c>
      <c r="J2188" s="3" t="s">
        <v>72</v>
      </c>
    </row>
    <row r="2189">
      <c r="C2189" s="3" t="s">
        <v>21</v>
      </c>
      <c r="D2189" s="3">
        <v>5397.0</v>
      </c>
      <c r="E2189" s="3" t="s">
        <v>1806</v>
      </c>
      <c r="F2189" s="5">
        <v>46223.75016203704</v>
      </c>
      <c r="G2189" s="5">
        <v>46223.47609953704</v>
      </c>
      <c r="H2189" s="3" t="s">
        <v>14</v>
      </c>
      <c r="I2189" s="7">
        <v>0.0</v>
      </c>
      <c r="J2189" s="3" t="s">
        <v>72</v>
      </c>
    </row>
    <row r="2190">
      <c r="C2190" s="3" t="s">
        <v>24</v>
      </c>
      <c r="D2190" s="3">
        <v>5397.0</v>
      </c>
      <c r="E2190" s="3" t="s">
        <v>1806</v>
      </c>
      <c r="F2190" s="5">
        <v>46224.75</v>
      </c>
      <c r="G2190" s="5">
        <v>46223.50111111111</v>
      </c>
      <c r="H2190" s="3" t="s">
        <v>14</v>
      </c>
      <c r="I2190" s="7">
        <v>0.0</v>
      </c>
      <c r="J2190" s="3" t="s">
        <v>72</v>
      </c>
    </row>
    <row r="2191">
      <c r="C2191" s="3" t="s">
        <v>26</v>
      </c>
      <c r="D2191" s="3">
        <v>5397.0</v>
      </c>
      <c r="E2191" s="3" t="s">
        <v>1806</v>
      </c>
      <c r="F2191" s="5">
        <v>46224.791666666664</v>
      </c>
      <c r="G2191" s="5">
        <v>46223.50115740741</v>
      </c>
      <c r="H2191" s="3" t="s">
        <v>14</v>
      </c>
      <c r="I2191" s="7">
        <v>0.0</v>
      </c>
      <c r="J2191" s="3" t="s">
        <v>72</v>
      </c>
    </row>
    <row r="2192">
      <c r="C2192" s="3" t="s">
        <v>10</v>
      </c>
      <c r="D2192" s="3">
        <v>5398.0</v>
      </c>
      <c r="E2192" s="3" t="s">
        <v>1809</v>
      </c>
      <c r="F2192" s="5">
        <v>46223.746724537035</v>
      </c>
      <c r="G2192" s="5">
        <v>46223.64472222222</v>
      </c>
      <c r="H2192" s="3" t="s">
        <v>14</v>
      </c>
      <c r="I2192" s="3">
        <v>0.0</v>
      </c>
      <c r="J2192" s="3" t="s">
        <v>72</v>
      </c>
    </row>
    <row r="2193">
      <c r="C2193" s="3" t="s">
        <v>17</v>
      </c>
      <c r="D2193" s="3">
        <v>5398.0</v>
      </c>
      <c r="E2193" s="3" t="s">
        <v>1809</v>
      </c>
      <c r="F2193" s="5">
        <v>46223.75366898148</v>
      </c>
      <c r="G2193" s="5">
        <v>46223.644791666666</v>
      </c>
      <c r="H2193" s="3" t="s">
        <v>14</v>
      </c>
      <c r="I2193" s="7">
        <v>0.0</v>
      </c>
      <c r="J2193" s="3" t="s">
        <v>72</v>
      </c>
    </row>
    <row r="2194">
      <c r="C2194" s="3" t="s">
        <v>21</v>
      </c>
      <c r="D2194" s="3">
        <v>5398.0</v>
      </c>
      <c r="E2194" s="3" t="s">
        <v>1809</v>
      </c>
      <c r="F2194" s="5">
        <v>46224.42013888889</v>
      </c>
      <c r="G2194" s="5">
        <v>46223.64488425926</v>
      </c>
      <c r="H2194" s="3" t="s">
        <v>14</v>
      </c>
      <c r="I2194" s="7">
        <v>0.0</v>
      </c>
      <c r="J2194" s="3" t="s">
        <v>72</v>
      </c>
    </row>
    <row r="2195">
      <c r="C2195" s="3" t="s">
        <v>24</v>
      </c>
      <c r="D2195" s="3">
        <v>5398.0</v>
      </c>
      <c r="E2195" s="3" t="s">
        <v>1809</v>
      </c>
      <c r="F2195" s="5">
        <v>46225.42013888889</v>
      </c>
      <c r="G2195" s="5">
        <v>46224.74679398148</v>
      </c>
      <c r="H2195" s="3" t="s">
        <v>14</v>
      </c>
      <c r="I2195" s="7">
        <v>0.0</v>
      </c>
      <c r="J2195" s="3" t="s">
        <v>72</v>
      </c>
    </row>
    <row r="2196">
      <c r="C2196" s="3" t="s">
        <v>26</v>
      </c>
      <c r="D2196" s="3">
        <v>5398.0</v>
      </c>
      <c r="E2196" s="3" t="s">
        <v>1809</v>
      </c>
      <c r="F2196" s="5">
        <v>46225.461805555555</v>
      </c>
      <c r="G2196" s="5">
        <v>46224.74681712963</v>
      </c>
      <c r="H2196" s="3" t="s">
        <v>14</v>
      </c>
      <c r="I2196" s="7">
        <v>0.0</v>
      </c>
      <c r="J2196" s="3" t="s">
        <v>72</v>
      </c>
    </row>
    <row r="2197">
      <c r="C2197" s="3" t="s">
        <v>10</v>
      </c>
      <c r="D2197" s="3">
        <v>5399.0</v>
      </c>
      <c r="E2197" s="3" t="s">
        <v>1812</v>
      </c>
      <c r="F2197" s="5">
        <v>46224.790810185186</v>
      </c>
      <c r="G2197" s="5">
        <v>46224.6971412037</v>
      </c>
      <c r="H2197" s="3" t="s">
        <v>14</v>
      </c>
      <c r="I2197" s="3">
        <v>0.0</v>
      </c>
      <c r="J2197" s="3" t="s">
        <v>15</v>
      </c>
    </row>
    <row r="2198">
      <c r="C2198" s="3" t="s">
        <v>17</v>
      </c>
      <c r="D2198" s="3">
        <v>5399.0</v>
      </c>
      <c r="E2198" s="3" t="s">
        <v>1812</v>
      </c>
      <c r="F2198" s="5">
        <v>46224.79775462963</v>
      </c>
      <c r="G2198" s="5">
        <v>46224.697280092594</v>
      </c>
      <c r="H2198" s="3" t="s">
        <v>14</v>
      </c>
      <c r="I2198" s="7">
        <v>0.0</v>
      </c>
      <c r="J2198" s="3" t="s">
        <v>15</v>
      </c>
    </row>
    <row r="2199">
      <c r="C2199" s="3" t="s">
        <v>21</v>
      </c>
      <c r="D2199" s="3">
        <v>5399.0</v>
      </c>
      <c r="E2199" s="3" t="s">
        <v>1812</v>
      </c>
      <c r="F2199" s="5">
        <v>46225.46388888889</v>
      </c>
      <c r="G2199" s="5">
        <v>46224.81694444444</v>
      </c>
      <c r="H2199" s="3" t="s">
        <v>14</v>
      </c>
      <c r="I2199" s="7">
        <v>0.0</v>
      </c>
      <c r="J2199" s="3" t="s">
        <v>15</v>
      </c>
    </row>
    <row r="2200">
      <c r="C2200" s="3" t="s">
        <v>24</v>
      </c>
      <c r="D2200" s="3">
        <v>5399.0</v>
      </c>
      <c r="E2200" s="3" t="s">
        <v>1812</v>
      </c>
      <c r="F2200" s="5">
        <v>46226.46388888889</v>
      </c>
      <c r="G2200" s="5">
        <v>46224.8169212963</v>
      </c>
      <c r="H2200" s="3" t="s">
        <v>14</v>
      </c>
      <c r="I2200" s="7">
        <v>0.0</v>
      </c>
      <c r="J2200" s="3" t="s">
        <v>15</v>
      </c>
    </row>
    <row r="2201">
      <c r="C2201" s="3" t="s">
        <v>26</v>
      </c>
      <c r="D2201" s="3">
        <v>5399.0</v>
      </c>
      <c r="E2201" s="3" t="s">
        <v>1812</v>
      </c>
      <c r="F2201" s="5">
        <v>46226.50555555556</v>
      </c>
      <c r="G2201" s="5">
        <v>46224.816979166666</v>
      </c>
      <c r="H2201" s="3" t="s">
        <v>14</v>
      </c>
      <c r="I2201" s="7">
        <v>0.0</v>
      </c>
      <c r="J2201" s="3" t="s">
        <v>15</v>
      </c>
    </row>
    <row r="2202">
      <c r="C2202" s="3" t="s">
        <v>10</v>
      </c>
      <c r="D2202" s="3">
        <v>5400.0</v>
      </c>
      <c r="E2202" s="3" t="s">
        <v>1815</v>
      </c>
      <c r="F2202" s="5">
        <v>46224.791712962964</v>
      </c>
      <c r="G2202" s="5">
        <v>46224.697164351855</v>
      </c>
      <c r="H2202" s="3" t="s">
        <v>14</v>
      </c>
      <c r="I2202" s="3">
        <v>0.0</v>
      </c>
      <c r="J2202" s="3" t="s">
        <v>15</v>
      </c>
    </row>
    <row r="2203">
      <c r="C2203" s="3" t="s">
        <v>17</v>
      </c>
      <c r="D2203" s="3">
        <v>5400.0</v>
      </c>
      <c r="E2203" s="3" t="s">
        <v>1815</v>
      </c>
      <c r="F2203" s="5">
        <v>46224.79865740741</v>
      </c>
      <c r="G2203" s="5">
        <v>46224.69732638889</v>
      </c>
      <c r="H2203" s="3" t="s">
        <v>14</v>
      </c>
      <c r="I2203" s="7">
        <v>0.0</v>
      </c>
      <c r="J2203" s="3" t="s">
        <v>15</v>
      </c>
    </row>
    <row r="2204">
      <c r="C2204" s="3" t="s">
        <v>21</v>
      </c>
      <c r="D2204" s="3">
        <v>5400.0</v>
      </c>
      <c r="E2204" s="3" t="s">
        <v>1815</v>
      </c>
      <c r="F2204" s="5">
        <v>46225.46527777778</v>
      </c>
      <c r="G2204" s="5">
        <v>46224.81690972222</v>
      </c>
      <c r="H2204" s="3" t="s">
        <v>14</v>
      </c>
      <c r="I2204" s="7">
        <v>0.0</v>
      </c>
      <c r="J2204" s="3" t="s">
        <v>15</v>
      </c>
    </row>
    <row r="2205">
      <c r="C2205" s="3" t="s">
        <v>24</v>
      </c>
      <c r="D2205" s="3">
        <v>5400.0</v>
      </c>
      <c r="E2205" s="3" t="s">
        <v>1815</v>
      </c>
      <c r="F2205" s="5">
        <v>46226.46527777778</v>
      </c>
      <c r="G2205" s="5">
        <v>46224.81694444444</v>
      </c>
      <c r="H2205" s="3" t="s">
        <v>14</v>
      </c>
      <c r="I2205" s="7">
        <v>0.0</v>
      </c>
      <c r="J2205" s="3" t="s">
        <v>15</v>
      </c>
    </row>
    <row r="2206">
      <c r="C2206" s="3" t="s">
        <v>26</v>
      </c>
      <c r="D2206" s="3">
        <v>5400.0</v>
      </c>
      <c r="E2206" s="3" t="s">
        <v>1815</v>
      </c>
      <c r="F2206" s="5">
        <v>46226.506944444445</v>
      </c>
      <c r="G2206" s="5">
        <v>46224.81700231481</v>
      </c>
      <c r="H2206" s="3" t="s">
        <v>14</v>
      </c>
      <c r="I2206" s="7">
        <v>0.0</v>
      </c>
      <c r="J2206" s="3" t="s">
        <v>15</v>
      </c>
    </row>
    <row r="2207">
      <c r="C2207" s="3" t="s">
        <v>10</v>
      </c>
      <c r="D2207" s="3">
        <v>5401.0</v>
      </c>
      <c r="E2207" s="3" t="s">
        <v>1716</v>
      </c>
      <c r="F2207" s="5">
        <v>46225.59318287037</v>
      </c>
      <c r="G2207" s="5">
        <v>46225.44678240741</v>
      </c>
      <c r="H2207" s="3" t="s">
        <v>14</v>
      </c>
      <c r="I2207" s="3">
        <v>0.0</v>
      </c>
      <c r="J2207" s="3" t="s">
        <v>61</v>
      </c>
    </row>
    <row r="2208">
      <c r="C2208" s="3" t="s">
        <v>17</v>
      </c>
      <c r="D2208" s="3">
        <v>5401.0</v>
      </c>
      <c r="E2208" s="3" t="s">
        <v>1716</v>
      </c>
      <c r="F2208" s="5">
        <v>46225.600127314814</v>
      </c>
      <c r="G2208" s="5">
        <v>46225.44688657407</v>
      </c>
      <c r="H2208" s="3" t="s">
        <v>14</v>
      </c>
      <c r="I2208" s="7">
        <v>0.0</v>
      </c>
      <c r="J2208" s="3" t="s">
        <v>61</v>
      </c>
    </row>
    <row r="2209">
      <c r="C2209" s="3" t="s">
        <v>21</v>
      </c>
      <c r="D2209" s="3">
        <v>5401.0</v>
      </c>
      <c r="E2209" s="3" t="s">
        <v>1716</v>
      </c>
      <c r="F2209" s="5">
        <v>46225.70429398148</v>
      </c>
      <c r="G2209" s="5">
        <v>46225.44693287037</v>
      </c>
      <c r="H2209" s="3" t="s">
        <v>14</v>
      </c>
      <c r="I2209" s="7">
        <v>0.0</v>
      </c>
      <c r="J2209" s="3" t="s">
        <v>61</v>
      </c>
    </row>
    <row r="2210">
      <c r="C2210" s="3" t="s">
        <v>24</v>
      </c>
      <c r="D2210" s="3">
        <v>5401.0</v>
      </c>
      <c r="E2210" s="3" t="s">
        <v>1716</v>
      </c>
      <c r="F2210" s="5">
        <v>46226.70416666667</v>
      </c>
      <c r="G2210" s="5">
        <v>46226.4468287037</v>
      </c>
      <c r="H2210" s="3" t="s">
        <v>14</v>
      </c>
      <c r="I2210" s="7">
        <v>0.0</v>
      </c>
      <c r="J2210" s="3" t="s">
        <v>61</v>
      </c>
    </row>
    <row r="2211">
      <c r="C2211" s="3" t="s">
        <v>26</v>
      </c>
      <c r="D2211" s="3">
        <v>5401.0</v>
      </c>
      <c r="E2211" s="3" t="s">
        <v>1716</v>
      </c>
      <c r="F2211" s="5">
        <v>46226.745833333334</v>
      </c>
      <c r="G2211" s="5">
        <v>46226.446921296294</v>
      </c>
      <c r="H2211" s="3" t="s">
        <v>14</v>
      </c>
      <c r="I2211" s="7">
        <v>0.0</v>
      </c>
      <c r="J2211" s="3" t="s">
        <v>61</v>
      </c>
    </row>
    <row r="2212">
      <c r="C2212" s="3" t="s">
        <v>10</v>
      </c>
      <c r="D2212" s="3">
        <v>5402.0</v>
      </c>
      <c r="E2212" s="3" t="s">
        <v>1716</v>
      </c>
      <c r="F2212" s="5">
        <v>46225.59619212963</v>
      </c>
      <c r="G2212" s="5">
        <v>46225.446805555555</v>
      </c>
      <c r="H2212" s="3" t="s">
        <v>14</v>
      </c>
      <c r="I2212" s="3">
        <v>0.0</v>
      </c>
      <c r="J2212" s="3" t="s">
        <v>48</v>
      </c>
    </row>
    <row r="2213">
      <c r="C2213" s="3" t="s">
        <v>17</v>
      </c>
      <c r="D2213" s="3">
        <v>5402.0</v>
      </c>
      <c r="E2213" s="3" t="s">
        <v>1716</v>
      </c>
      <c r="F2213" s="5">
        <v>46225.60313657407</v>
      </c>
      <c r="G2213" s="5">
        <v>46225.446909722225</v>
      </c>
      <c r="H2213" s="3" t="s">
        <v>14</v>
      </c>
      <c r="I2213" s="7">
        <v>0.0</v>
      </c>
      <c r="J2213" s="3" t="s">
        <v>48</v>
      </c>
    </row>
    <row r="2214">
      <c r="C2214" s="3" t="s">
        <v>21</v>
      </c>
      <c r="D2214" s="3">
        <v>5402.0</v>
      </c>
      <c r="E2214" s="3" t="s">
        <v>1716</v>
      </c>
      <c r="F2214" s="5">
        <v>46225.70730324074</v>
      </c>
      <c r="G2214" s="5">
        <v>46225.44694444445</v>
      </c>
      <c r="H2214" s="3" t="s">
        <v>14</v>
      </c>
      <c r="I2214" s="7">
        <v>0.0</v>
      </c>
      <c r="J2214" s="3" t="s">
        <v>48</v>
      </c>
    </row>
    <row r="2215">
      <c r="C2215" s="3" t="s">
        <v>24</v>
      </c>
      <c r="D2215" s="3">
        <v>5402.0</v>
      </c>
      <c r="E2215" s="3" t="s">
        <v>1716</v>
      </c>
      <c r="F2215" s="5">
        <v>46226.70694444444</v>
      </c>
      <c r="G2215" s="5">
        <v>46226.60800925926</v>
      </c>
      <c r="H2215" s="3" t="s">
        <v>14</v>
      </c>
      <c r="I2215" s="7">
        <v>0.0</v>
      </c>
      <c r="J2215" s="3" t="s">
        <v>48</v>
      </c>
    </row>
    <row r="2216">
      <c r="C2216" s="3" t="s">
        <v>26</v>
      </c>
      <c r="D2216" s="3">
        <v>5402.0</v>
      </c>
      <c r="E2216" s="3" t="s">
        <v>1716</v>
      </c>
      <c r="F2216" s="5">
        <v>46226.748611111114</v>
      </c>
      <c r="G2216" s="5">
        <v>46226.72876157407</v>
      </c>
      <c r="H2216" s="3" t="s">
        <v>14</v>
      </c>
      <c r="I2216" s="7">
        <v>0.0</v>
      </c>
      <c r="J2216" s="3" t="s">
        <v>48</v>
      </c>
    </row>
    <row r="2217">
      <c r="C2217" s="3" t="s">
        <v>10</v>
      </c>
      <c r="D2217" s="3">
        <v>5403.0</v>
      </c>
      <c r="E2217" s="3" t="s">
        <v>1825</v>
      </c>
      <c r="F2217" s="5">
        <v>46225.62980324074</v>
      </c>
      <c r="G2217" s="5">
        <v>46225.472280092596</v>
      </c>
      <c r="H2217" s="3" t="s">
        <v>14</v>
      </c>
      <c r="I2217" s="3">
        <v>0.0</v>
      </c>
      <c r="J2217" s="3" t="s">
        <v>72</v>
      </c>
    </row>
    <row r="2218">
      <c r="C2218" s="3" t="s">
        <v>17</v>
      </c>
      <c r="D2218" s="3">
        <v>5403.0</v>
      </c>
      <c r="E2218" s="3" t="s">
        <v>1825</v>
      </c>
      <c r="F2218" s="5">
        <v>46225.63674768519</v>
      </c>
      <c r="G2218" s="5">
        <v>46225.47252314815</v>
      </c>
      <c r="H2218" s="3" t="s">
        <v>14</v>
      </c>
      <c r="I2218" s="7">
        <v>0.0</v>
      </c>
      <c r="J2218" s="3" t="s">
        <v>72</v>
      </c>
    </row>
    <row r="2219">
      <c r="C2219" s="3" t="s">
        <v>21</v>
      </c>
      <c r="D2219" s="3">
        <v>5403.0</v>
      </c>
      <c r="E2219" s="3" t="s">
        <v>1825</v>
      </c>
      <c r="F2219" s="5">
        <v>46225.74091435185</v>
      </c>
      <c r="G2219" s="5">
        <v>46225.548946759256</v>
      </c>
      <c r="H2219" s="3" t="s">
        <v>14</v>
      </c>
      <c r="I2219" s="7">
        <v>0.0</v>
      </c>
      <c r="J2219" s="3" t="s">
        <v>72</v>
      </c>
    </row>
    <row r="2220">
      <c r="C2220" s="3" t="s">
        <v>24</v>
      </c>
      <c r="D2220" s="3">
        <v>5403.0</v>
      </c>
      <c r="E2220" s="3" t="s">
        <v>1825</v>
      </c>
      <c r="F2220" s="5">
        <v>46226.740277777775</v>
      </c>
      <c r="G2220" s="5">
        <v>46226.44702546296</v>
      </c>
      <c r="H2220" s="3" t="s">
        <v>14</v>
      </c>
      <c r="I2220" s="7">
        <v>0.0</v>
      </c>
      <c r="J2220" s="3" t="s">
        <v>72</v>
      </c>
    </row>
    <row r="2221">
      <c r="C2221" s="3" t="s">
        <v>26</v>
      </c>
      <c r="D2221" s="3">
        <v>5403.0</v>
      </c>
      <c r="E2221" s="3" t="s">
        <v>1825</v>
      </c>
      <c r="F2221" s="5">
        <v>46226.78194444445</v>
      </c>
      <c r="G2221" s="5">
        <v>46226.44704861111</v>
      </c>
      <c r="H2221" s="3" t="s">
        <v>14</v>
      </c>
      <c r="I2221" s="7">
        <v>0.0</v>
      </c>
      <c r="J2221" s="3" t="s">
        <v>72</v>
      </c>
    </row>
    <row r="2222">
      <c r="C2222" s="3" t="s">
        <v>10</v>
      </c>
      <c r="D2222" s="3">
        <v>5404.0</v>
      </c>
      <c r="E2222" s="3" t="s">
        <v>882</v>
      </c>
      <c r="F2222" s="5">
        <v>46225.76930555556</v>
      </c>
      <c r="G2222" s="5">
        <v>46225.658854166664</v>
      </c>
      <c r="H2222" s="3" t="s">
        <v>14</v>
      </c>
      <c r="I2222" s="3">
        <v>0.0</v>
      </c>
      <c r="J2222" s="3" t="s">
        <v>15</v>
      </c>
    </row>
    <row r="2223">
      <c r="C2223" s="3" t="s">
        <v>17</v>
      </c>
      <c r="D2223" s="3">
        <v>5404.0</v>
      </c>
      <c r="E2223" s="3" t="s">
        <v>882</v>
      </c>
      <c r="F2223" s="5">
        <v>46225.77625</v>
      </c>
      <c r="G2223" s="5">
        <v>46225.65971064815</v>
      </c>
      <c r="H2223" s="3" t="s">
        <v>14</v>
      </c>
      <c r="I2223" s="7">
        <v>0.0</v>
      </c>
      <c r="J2223" s="3" t="s">
        <v>15</v>
      </c>
    </row>
    <row r="2224">
      <c r="C2224" s="3" t="s">
        <v>21</v>
      </c>
      <c r="D2224" s="3">
        <v>5404.0</v>
      </c>
      <c r="E2224" s="3" t="s">
        <v>882</v>
      </c>
      <c r="F2224" s="5">
        <v>46226.48402777778</v>
      </c>
      <c r="G2224" s="5">
        <v>46225.66006944444</v>
      </c>
      <c r="H2224" s="3" t="s">
        <v>14</v>
      </c>
      <c r="I2224" s="7">
        <v>0.0</v>
      </c>
      <c r="J2224" s="3" t="s">
        <v>15</v>
      </c>
    </row>
    <row r="2225">
      <c r="C2225" s="3" t="s">
        <v>24</v>
      </c>
      <c r="D2225" s="3">
        <v>5404.0</v>
      </c>
      <c r="E2225" s="3" t="s">
        <v>882</v>
      </c>
      <c r="F2225" s="5">
        <v>46227.48402777778</v>
      </c>
      <c r="G2225" s="5">
        <v>46226.72891203704</v>
      </c>
      <c r="H2225" s="3" t="s">
        <v>14</v>
      </c>
      <c r="I2225" s="7">
        <v>0.0</v>
      </c>
      <c r="J2225" s="3" t="s">
        <v>15</v>
      </c>
    </row>
    <row r="2226">
      <c r="C2226" s="3" t="s">
        <v>26</v>
      </c>
      <c r="D2226" s="3">
        <v>5404.0</v>
      </c>
      <c r="E2226" s="3" t="s">
        <v>882</v>
      </c>
      <c r="F2226" s="5">
        <v>46227.52569444444</v>
      </c>
      <c r="G2226" s="5">
        <v>46226.728946759256</v>
      </c>
      <c r="H2226" s="3" t="s">
        <v>14</v>
      </c>
      <c r="I2226" s="7">
        <v>0.0</v>
      </c>
      <c r="J2226" s="3" t="s">
        <v>15</v>
      </c>
    </row>
    <row r="2227">
      <c r="C2227" s="3" t="s">
        <v>10</v>
      </c>
      <c r="D2227" s="3">
        <v>5405.0</v>
      </c>
      <c r="E2227" s="3" t="s">
        <v>1830</v>
      </c>
      <c r="F2227" s="5">
        <v>46226.63637731481</v>
      </c>
      <c r="G2227" s="5">
        <v>46226.48069444444</v>
      </c>
      <c r="H2227" s="3" t="s">
        <v>14</v>
      </c>
      <c r="I2227" s="3">
        <v>0.0</v>
      </c>
      <c r="J2227" s="3" t="s">
        <v>48</v>
      </c>
    </row>
    <row r="2228">
      <c r="C2228" s="3" t="s">
        <v>17</v>
      </c>
      <c r="D2228" s="3">
        <v>5405.0</v>
      </c>
      <c r="E2228" s="3" t="s">
        <v>1830</v>
      </c>
      <c r="F2228" s="5">
        <v>46226.64332175926</v>
      </c>
      <c r="G2228" s="5">
        <v>46226.48097222222</v>
      </c>
      <c r="H2228" s="3" t="s">
        <v>14</v>
      </c>
      <c r="I2228" s="7">
        <v>0.0</v>
      </c>
      <c r="J2228" s="3" t="s">
        <v>48</v>
      </c>
    </row>
    <row r="2229">
      <c r="C2229" s="3" t="s">
        <v>21</v>
      </c>
      <c r="D2229" s="3">
        <v>5405.0</v>
      </c>
      <c r="E2229" s="3" t="s">
        <v>1830</v>
      </c>
      <c r="F2229" s="5">
        <v>46226.74748842593</v>
      </c>
      <c r="G2229" s="5">
        <v>46226.60763888889</v>
      </c>
      <c r="H2229" s="3" t="s">
        <v>14</v>
      </c>
      <c r="I2229" s="7">
        <v>0.0</v>
      </c>
      <c r="J2229" s="3" t="s">
        <v>48</v>
      </c>
    </row>
    <row r="2230">
      <c r="C2230" s="3" t="s">
        <v>24</v>
      </c>
      <c r="D2230" s="3">
        <v>5405.0</v>
      </c>
      <c r="E2230" s="3" t="s">
        <v>1830</v>
      </c>
      <c r="F2230" s="5">
        <v>46227.74722222222</v>
      </c>
      <c r="G2230" s="5">
        <v>46227.48672453704</v>
      </c>
      <c r="H2230" s="3" t="s">
        <v>14</v>
      </c>
      <c r="I2230" s="7">
        <v>0.0</v>
      </c>
      <c r="J2230" s="3" t="s">
        <v>48</v>
      </c>
    </row>
    <row r="2231">
      <c r="C2231" s="3" t="s">
        <v>26</v>
      </c>
      <c r="D2231" s="3">
        <v>5405.0</v>
      </c>
      <c r="E2231" s="3" t="s">
        <v>1830</v>
      </c>
      <c r="F2231" s="5">
        <v>46227.78888888889</v>
      </c>
      <c r="G2231" s="5">
        <v>46227.486759259256</v>
      </c>
      <c r="H2231" s="3" t="s">
        <v>14</v>
      </c>
      <c r="I2231" s="7">
        <v>0.0</v>
      </c>
      <c r="J2231" s="3" t="s">
        <v>48</v>
      </c>
    </row>
    <row r="2232">
      <c r="C2232" s="3" t="s">
        <v>10</v>
      </c>
      <c r="D2232" s="3">
        <v>5406.0</v>
      </c>
      <c r="E2232" s="3" t="s">
        <v>1833</v>
      </c>
      <c r="F2232" s="5">
        <v>46226.64494212963</v>
      </c>
      <c r="G2232" s="5">
        <v>46226.48086805556</v>
      </c>
      <c r="H2232" s="3" t="s">
        <v>14</v>
      </c>
      <c r="I2232" s="3">
        <v>0.0</v>
      </c>
      <c r="J2232" s="3" t="s">
        <v>61</v>
      </c>
    </row>
    <row r="2233">
      <c r="C2233" s="3" t="s">
        <v>17</v>
      </c>
      <c r="D2233" s="3">
        <v>5406.0</v>
      </c>
      <c r="E2233" s="3" t="s">
        <v>1833</v>
      </c>
      <c r="F2233" s="5">
        <v>46226.65188657407</v>
      </c>
      <c r="G2233" s="5">
        <v>46226.48099537037</v>
      </c>
      <c r="H2233" s="3" t="s">
        <v>14</v>
      </c>
      <c r="I2233" s="7">
        <v>0.0</v>
      </c>
      <c r="J2233" s="3" t="s">
        <v>61</v>
      </c>
    </row>
    <row r="2234">
      <c r="C2234" s="3" t="s">
        <v>21</v>
      </c>
      <c r="D2234" s="3">
        <v>5406.0</v>
      </c>
      <c r="E2234" s="3" t="s">
        <v>1833</v>
      </c>
      <c r="F2234" s="5">
        <v>46226.756053240744</v>
      </c>
      <c r="G2234" s="5">
        <v>46226.60766203704</v>
      </c>
      <c r="H2234" s="3" t="s">
        <v>14</v>
      </c>
      <c r="I2234" s="7">
        <v>0.0</v>
      </c>
      <c r="J2234" s="3" t="s">
        <v>61</v>
      </c>
    </row>
    <row r="2235">
      <c r="C2235" s="3" t="s">
        <v>24</v>
      </c>
      <c r="D2235" s="3">
        <v>5406.0</v>
      </c>
      <c r="E2235" s="3" t="s">
        <v>1833</v>
      </c>
      <c r="F2235" s="5">
        <v>46227.75555555556</v>
      </c>
      <c r="G2235" s="5">
        <v>46226.72918981482</v>
      </c>
      <c r="H2235" s="3" t="s">
        <v>14</v>
      </c>
      <c r="I2235" s="7">
        <v>0.0</v>
      </c>
      <c r="J2235" s="3" t="s">
        <v>61</v>
      </c>
    </row>
    <row r="2236">
      <c r="C2236" s="3" t="s">
        <v>26</v>
      </c>
      <c r="D2236" s="3">
        <v>5406.0</v>
      </c>
      <c r="E2236" s="3" t="s">
        <v>1833</v>
      </c>
      <c r="F2236" s="5">
        <v>46227.79722222222</v>
      </c>
      <c r="G2236" s="5">
        <v>46226.72920138889</v>
      </c>
      <c r="H2236" s="3" t="s">
        <v>14</v>
      </c>
      <c r="I2236" s="7">
        <v>0.0</v>
      </c>
      <c r="J2236" s="3" t="s">
        <v>61</v>
      </c>
    </row>
    <row r="2237">
      <c r="C2237" s="3" t="s">
        <v>10</v>
      </c>
      <c r="D2237" s="3">
        <v>5407.0</v>
      </c>
      <c r="E2237" s="3" t="s">
        <v>166</v>
      </c>
      <c r="F2237" s="5">
        <v>46226.681076388886</v>
      </c>
      <c r="G2237" s="5">
        <v>46226.607199074075</v>
      </c>
      <c r="H2237" s="3" t="s">
        <v>14</v>
      </c>
      <c r="I2237" s="3">
        <v>0.0</v>
      </c>
      <c r="J2237" s="3" t="s">
        <v>15</v>
      </c>
    </row>
    <row r="2238">
      <c r="C2238" s="3" t="s">
        <v>17</v>
      </c>
      <c r="D2238" s="3">
        <v>5407.0</v>
      </c>
      <c r="E2238" s="3" t="s">
        <v>166</v>
      </c>
      <c r="F2238" s="5">
        <v>46226.68802083333</v>
      </c>
      <c r="G2238" s="5">
        <v>46226.607523148145</v>
      </c>
      <c r="H2238" s="3" t="s">
        <v>14</v>
      </c>
      <c r="I2238" s="7">
        <v>0.0</v>
      </c>
      <c r="J2238" s="3" t="s">
        <v>15</v>
      </c>
    </row>
    <row r="2239">
      <c r="C2239" s="3" t="s">
        <v>21</v>
      </c>
      <c r="D2239" s="3">
        <v>5407.0</v>
      </c>
      <c r="E2239" s="3" t="s">
        <v>166</v>
      </c>
      <c r="F2239" s="5">
        <v>46226.7921875</v>
      </c>
      <c r="G2239" s="5">
        <v>46226.60770833334</v>
      </c>
      <c r="H2239" s="3" t="s">
        <v>14</v>
      </c>
      <c r="I2239" s="7">
        <v>0.0</v>
      </c>
      <c r="J2239" s="3" t="s">
        <v>15</v>
      </c>
    </row>
    <row r="2240">
      <c r="C2240" s="3" t="s">
        <v>24</v>
      </c>
      <c r="D2240" s="3">
        <v>5407.0</v>
      </c>
      <c r="E2240" s="3" t="s">
        <v>166</v>
      </c>
      <c r="F2240" s="5">
        <v>46227.791666666664</v>
      </c>
      <c r="G2240" s="5">
        <v>46227.44431712963</v>
      </c>
      <c r="H2240" s="3" t="s">
        <v>14</v>
      </c>
      <c r="I2240" s="7">
        <v>0.0</v>
      </c>
      <c r="J2240" s="3" t="s">
        <v>15</v>
      </c>
    </row>
    <row r="2241">
      <c r="C2241" s="3" t="s">
        <v>26</v>
      </c>
      <c r="D2241" s="3">
        <v>5407.0</v>
      </c>
      <c r="E2241" s="3" t="s">
        <v>166</v>
      </c>
      <c r="F2241" s="5">
        <v>46228.416666666664</v>
      </c>
      <c r="G2241" s="5">
        <v>46227.44436342592</v>
      </c>
      <c r="H2241" s="3" t="s">
        <v>14</v>
      </c>
      <c r="I2241" s="7">
        <v>0.0</v>
      </c>
      <c r="J2241" s="3" t="s">
        <v>15</v>
      </c>
    </row>
    <row r="2242">
      <c r="C2242" s="3" t="s">
        <v>10</v>
      </c>
      <c r="D2242" s="3">
        <v>5408.0</v>
      </c>
      <c r="E2242" s="3" t="s">
        <v>1842</v>
      </c>
      <c r="F2242" s="5">
        <v>46226.761516203704</v>
      </c>
      <c r="G2242" s="5">
        <v>46226.607199074075</v>
      </c>
      <c r="H2242" s="3" t="s">
        <v>14</v>
      </c>
      <c r="I2242" s="3">
        <v>0.0</v>
      </c>
      <c r="J2242" s="3" t="s">
        <v>48</v>
      </c>
    </row>
    <row r="2243">
      <c r="C2243" s="3" t="s">
        <v>17</v>
      </c>
      <c r="D2243" s="3">
        <v>5408.0</v>
      </c>
      <c r="E2243" s="3" t="s">
        <v>1842</v>
      </c>
      <c r="F2243" s="5">
        <v>46226.76846064815</v>
      </c>
      <c r="G2243" s="5">
        <v>46226.6075462963</v>
      </c>
      <c r="H2243" s="3" t="s">
        <v>14</v>
      </c>
      <c r="I2243" s="7">
        <v>0.0</v>
      </c>
      <c r="J2243" s="3" t="s">
        <v>48</v>
      </c>
    </row>
    <row r="2244">
      <c r="C2244" s="3" t="s">
        <v>21</v>
      </c>
      <c r="D2244" s="3">
        <v>5408.0</v>
      </c>
      <c r="E2244" s="3" t="s">
        <v>1842</v>
      </c>
      <c r="F2244" s="5">
        <v>46227.43472222222</v>
      </c>
      <c r="G2244" s="5">
        <v>46226.607719907406</v>
      </c>
      <c r="H2244" s="3" t="s">
        <v>14</v>
      </c>
      <c r="I2244" s="7">
        <v>0.0</v>
      </c>
      <c r="J2244" s="3" t="s">
        <v>48</v>
      </c>
    </row>
    <row r="2245">
      <c r="C2245" s="3" t="s">
        <v>24</v>
      </c>
      <c r="D2245" s="3">
        <v>5408.0</v>
      </c>
      <c r="E2245" s="3" t="s">
        <v>1842</v>
      </c>
      <c r="F2245" s="5">
        <v>46228.43472222222</v>
      </c>
      <c r="G2245" s="5">
        <v>46227.6628587963</v>
      </c>
      <c r="H2245" s="3" t="s">
        <v>14</v>
      </c>
      <c r="I2245" s="7">
        <v>0.0</v>
      </c>
      <c r="J2245" s="3" t="s">
        <v>48</v>
      </c>
    </row>
    <row r="2246">
      <c r="C2246" s="3" t="s">
        <v>26</v>
      </c>
      <c r="D2246" s="3">
        <v>5408.0</v>
      </c>
      <c r="E2246" s="3" t="s">
        <v>1842</v>
      </c>
      <c r="F2246" s="5">
        <v>46228.47638888889</v>
      </c>
      <c r="G2246" s="5">
        <v>46227.662881944445</v>
      </c>
      <c r="H2246" s="3" t="s">
        <v>14</v>
      </c>
      <c r="I2246" s="7">
        <v>0.0</v>
      </c>
      <c r="J2246" s="3" t="s">
        <v>48</v>
      </c>
    </row>
    <row r="2247">
      <c r="C2247" s="3" t="s">
        <v>10</v>
      </c>
      <c r="D2247" s="3">
        <v>5409.0</v>
      </c>
      <c r="E2247" s="3" t="s">
        <v>1847</v>
      </c>
      <c r="F2247" s="5">
        <v>46226.76290509259</v>
      </c>
      <c r="G2247" s="5">
        <v>46226.60724537037</v>
      </c>
      <c r="H2247" s="3" t="s">
        <v>14</v>
      </c>
      <c r="I2247" s="3">
        <v>0.0</v>
      </c>
      <c r="J2247" s="3" t="s">
        <v>72</v>
      </c>
    </row>
    <row r="2248">
      <c r="C2248" s="3" t="s">
        <v>17</v>
      </c>
      <c r="D2248" s="3">
        <v>5409.0</v>
      </c>
      <c r="E2248" s="3" t="s">
        <v>1847</v>
      </c>
      <c r="F2248" s="5">
        <v>46226.769849537035</v>
      </c>
      <c r="G2248" s="5">
        <v>46226.607569444444</v>
      </c>
      <c r="H2248" s="3" t="s">
        <v>14</v>
      </c>
      <c r="I2248" s="7">
        <v>0.0</v>
      </c>
      <c r="J2248" s="3" t="s">
        <v>72</v>
      </c>
    </row>
    <row r="2249">
      <c r="C2249" s="3" t="s">
        <v>21</v>
      </c>
      <c r="D2249" s="3">
        <v>5409.0</v>
      </c>
      <c r="E2249" s="3" t="s">
        <v>1847</v>
      </c>
      <c r="F2249" s="5">
        <v>46227.436111111114</v>
      </c>
      <c r="G2249" s="5">
        <v>46226.60774305555</v>
      </c>
      <c r="H2249" s="3" t="s">
        <v>14</v>
      </c>
      <c r="I2249" s="7">
        <v>0.0</v>
      </c>
      <c r="J2249" s="3" t="s">
        <v>72</v>
      </c>
    </row>
    <row r="2250">
      <c r="C2250" s="3" t="s">
        <v>24</v>
      </c>
      <c r="D2250" s="3">
        <v>5409.0</v>
      </c>
      <c r="E2250" s="3" t="s">
        <v>1847</v>
      </c>
      <c r="F2250" s="5">
        <v>46228.436111111114</v>
      </c>
      <c r="G2250" s="5">
        <v>46226.72950231482</v>
      </c>
      <c r="H2250" s="3" t="s">
        <v>14</v>
      </c>
      <c r="I2250" s="7">
        <v>0.0</v>
      </c>
      <c r="J2250" s="3" t="s">
        <v>72</v>
      </c>
    </row>
    <row r="2251">
      <c r="C2251" s="3" t="s">
        <v>26</v>
      </c>
      <c r="D2251" s="3">
        <v>5409.0</v>
      </c>
      <c r="E2251" s="3" t="s">
        <v>1847</v>
      </c>
      <c r="F2251" s="5">
        <v>46228.47777777778</v>
      </c>
      <c r="G2251" s="5">
        <v>46226.729525462964</v>
      </c>
      <c r="H2251" s="3" t="s">
        <v>14</v>
      </c>
      <c r="I2251" s="7">
        <v>0.0</v>
      </c>
      <c r="J2251" s="3" t="s">
        <v>72</v>
      </c>
    </row>
    <row r="2252">
      <c r="C2252" s="3" t="s">
        <v>10</v>
      </c>
      <c r="D2252" s="3">
        <v>5410.0</v>
      </c>
      <c r="E2252" s="3" t="s">
        <v>136</v>
      </c>
      <c r="F2252" s="5">
        <v>46226.8281712963</v>
      </c>
      <c r="G2252" s="5">
        <v>46226.727997685186</v>
      </c>
      <c r="H2252" s="3" t="s">
        <v>14</v>
      </c>
      <c r="I2252" s="3">
        <v>0.0</v>
      </c>
      <c r="J2252" s="3" t="s">
        <v>61</v>
      </c>
    </row>
    <row r="2253">
      <c r="C2253" s="3" t="s">
        <v>17</v>
      </c>
      <c r="D2253" s="3">
        <v>5410.0</v>
      </c>
      <c r="E2253" s="3" t="s">
        <v>136</v>
      </c>
      <c r="F2253" s="5">
        <v>46227.45277777778</v>
      </c>
      <c r="G2253" s="5">
        <v>46226.72809027778</v>
      </c>
      <c r="H2253" s="3" t="s">
        <v>14</v>
      </c>
      <c r="I2253" s="7">
        <v>0.0</v>
      </c>
      <c r="J2253" s="3" t="s">
        <v>61</v>
      </c>
    </row>
    <row r="2254">
      <c r="C2254" s="3" t="s">
        <v>21</v>
      </c>
      <c r="D2254" s="3">
        <v>5410.0</v>
      </c>
      <c r="E2254" s="3" t="s">
        <v>136</v>
      </c>
      <c r="F2254" s="5">
        <v>46227.55694444444</v>
      </c>
      <c r="G2254" s="5">
        <v>46227.44519675926</v>
      </c>
      <c r="H2254" s="3" t="s">
        <v>14</v>
      </c>
      <c r="I2254" s="7">
        <v>0.0</v>
      </c>
      <c r="J2254" s="3" t="s">
        <v>61</v>
      </c>
    </row>
    <row r="2255">
      <c r="C2255" s="3" t="s">
        <v>24</v>
      </c>
      <c r="D2255" s="3">
        <v>5410.0</v>
      </c>
      <c r="E2255" s="3" t="s">
        <v>136</v>
      </c>
      <c r="F2255" s="5">
        <v>46228.55694444444</v>
      </c>
      <c r="G2255" s="5">
        <v>46228.43344907407</v>
      </c>
      <c r="H2255" s="3" t="s">
        <v>14</v>
      </c>
      <c r="I2255" s="7">
        <v>0.0</v>
      </c>
      <c r="J2255" s="3" t="s">
        <v>61</v>
      </c>
    </row>
    <row r="2256">
      <c r="C2256" s="3" t="s">
        <v>26</v>
      </c>
      <c r="D2256" s="3">
        <v>5410.0</v>
      </c>
      <c r="E2256" s="3" t="s">
        <v>136</v>
      </c>
      <c r="F2256" s="5">
        <v>46228.59861111111</v>
      </c>
      <c r="G2256" s="5">
        <v>46228.433483796296</v>
      </c>
      <c r="H2256" s="3" t="s">
        <v>14</v>
      </c>
      <c r="I2256" s="7">
        <v>0.0</v>
      </c>
      <c r="J2256" s="3" t="s">
        <v>61</v>
      </c>
    </row>
    <row r="2257">
      <c r="C2257" s="3" t="s">
        <v>10</v>
      </c>
      <c r="D2257" s="3">
        <v>5411.0</v>
      </c>
      <c r="E2257" s="3" t="s">
        <v>1853</v>
      </c>
      <c r="F2257" s="5">
        <v>46227.416666666664</v>
      </c>
      <c r="G2257" s="5">
        <v>46226.728159722225</v>
      </c>
      <c r="H2257" s="3" t="s">
        <v>14</v>
      </c>
      <c r="I2257" s="3">
        <v>0.0</v>
      </c>
      <c r="J2257" s="3" t="s">
        <v>48</v>
      </c>
    </row>
    <row r="2258">
      <c r="C2258" s="3" t="s">
        <v>17</v>
      </c>
      <c r="D2258" s="3">
        <v>5411.0</v>
      </c>
      <c r="E2258" s="3" t="s">
        <v>1853</v>
      </c>
      <c r="F2258" s="5">
        <v>46227.42361111111</v>
      </c>
      <c r="G2258" s="5">
        <v>46226.72822916666</v>
      </c>
      <c r="H2258" s="3" t="s">
        <v>14</v>
      </c>
      <c r="I2258" s="7">
        <v>0.0</v>
      </c>
      <c r="J2258" s="3" t="s">
        <v>48</v>
      </c>
    </row>
    <row r="2259">
      <c r="C2259" s="3" t="s">
        <v>21</v>
      </c>
      <c r="D2259" s="3">
        <v>5411.0</v>
      </c>
      <c r="E2259" s="3" t="s">
        <v>1853</v>
      </c>
      <c r="F2259" s="5">
        <v>46227.52777777778</v>
      </c>
      <c r="G2259" s="5">
        <v>46227.459074074075</v>
      </c>
      <c r="H2259" s="3" t="s">
        <v>14</v>
      </c>
      <c r="I2259" s="7">
        <v>0.0</v>
      </c>
      <c r="J2259" s="3" t="s">
        <v>48</v>
      </c>
    </row>
    <row r="2260">
      <c r="C2260" s="3" t="s">
        <v>24</v>
      </c>
      <c r="D2260" s="3">
        <v>5411.0</v>
      </c>
      <c r="E2260" s="3" t="s">
        <v>1853</v>
      </c>
      <c r="F2260" s="5">
        <v>46228.52777777778</v>
      </c>
      <c r="G2260" s="5">
        <v>46227.71203703704</v>
      </c>
      <c r="H2260" s="3" t="s">
        <v>14</v>
      </c>
      <c r="I2260" s="7">
        <v>0.0</v>
      </c>
      <c r="J2260" s="3" t="s">
        <v>48</v>
      </c>
    </row>
    <row r="2261">
      <c r="C2261" s="3" t="s">
        <v>26</v>
      </c>
      <c r="D2261" s="3">
        <v>5411.0</v>
      </c>
      <c r="E2261" s="3" t="s">
        <v>1853</v>
      </c>
      <c r="F2261" s="5">
        <v>46228.569444444445</v>
      </c>
      <c r="G2261" s="5">
        <v>46227.71207175926</v>
      </c>
      <c r="H2261" s="3" t="s">
        <v>14</v>
      </c>
      <c r="I2261" s="7">
        <v>0.0</v>
      </c>
      <c r="J2261" s="3" t="s">
        <v>48</v>
      </c>
    </row>
    <row r="2262">
      <c r="C2262" s="3" t="s">
        <v>10</v>
      </c>
      <c r="D2262" s="3">
        <v>5412.0</v>
      </c>
      <c r="E2262" s="3" t="s">
        <v>1858</v>
      </c>
      <c r="F2262" s="5">
        <v>46227.43819444445</v>
      </c>
      <c r="G2262" s="5">
        <v>46226.72827546296</v>
      </c>
      <c r="H2262" s="3" t="s">
        <v>14</v>
      </c>
      <c r="I2262" s="3">
        <v>0.0</v>
      </c>
      <c r="J2262" s="3" t="s">
        <v>72</v>
      </c>
    </row>
    <row r="2263">
      <c r="C2263" s="3" t="s">
        <v>17</v>
      </c>
      <c r="D2263" s="3">
        <v>5412.0</v>
      </c>
      <c r="E2263" s="3" t="s">
        <v>1858</v>
      </c>
      <c r="F2263" s="5">
        <v>46227.44513888889</v>
      </c>
      <c r="G2263" s="5">
        <v>46226.728541666664</v>
      </c>
      <c r="H2263" s="3" t="s">
        <v>14</v>
      </c>
      <c r="I2263" s="7">
        <v>0.0</v>
      </c>
      <c r="J2263" s="3" t="s">
        <v>72</v>
      </c>
    </row>
    <row r="2264">
      <c r="C2264" s="3" t="s">
        <v>21</v>
      </c>
      <c r="D2264" s="3">
        <v>5412.0</v>
      </c>
      <c r="E2264" s="3" t="s">
        <v>1858</v>
      </c>
      <c r="F2264" s="5">
        <v>46227.549305555556</v>
      </c>
      <c r="G2264" s="5">
        <v>46227.45909722222</v>
      </c>
      <c r="H2264" s="3" t="s">
        <v>14</v>
      </c>
      <c r="I2264" s="7">
        <v>0.0</v>
      </c>
      <c r="J2264" s="3" t="s">
        <v>72</v>
      </c>
    </row>
    <row r="2265">
      <c r="C2265" s="3" t="s">
        <v>24</v>
      </c>
      <c r="D2265" s="3">
        <v>5412.0</v>
      </c>
      <c r="E2265" s="3" t="s">
        <v>1858</v>
      </c>
      <c r="F2265" s="5">
        <v>46228.549305555556</v>
      </c>
      <c r="G2265" s="5">
        <v>46227.493483796294</v>
      </c>
      <c r="H2265" s="3" t="s">
        <v>14</v>
      </c>
      <c r="I2265" s="7">
        <v>0.0</v>
      </c>
      <c r="J2265" s="3" t="s">
        <v>72</v>
      </c>
    </row>
    <row r="2266">
      <c r="C2266" s="3" t="s">
        <v>26</v>
      </c>
      <c r="D2266" s="3">
        <v>5412.0</v>
      </c>
      <c r="E2266" s="3" t="s">
        <v>1858</v>
      </c>
      <c r="F2266" s="5">
        <v>46228.59097222222</v>
      </c>
      <c r="G2266" s="5">
        <v>46227.49353009259</v>
      </c>
      <c r="H2266" s="3" t="s">
        <v>14</v>
      </c>
      <c r="I2266" s="7">
        <v>0.0</v>
      </c>
      <c r="J2266" s="3" t="s">
        <v>72</v>
      </c>
    </row>
    <row r="2267">
      <c r="C2267" s="3" t="s">
        <v>10</v>
      </c>
      <c r="D2267" s="3">
        <v>5413.0</v>
      </c>
      <c r="E2267" s="3" t="s">
        <v>1861</v>
      </c>
      <c r="F2267" s="5">
        <v>46227.46111111111</v>
      </c>
      <c r="G2267" s="5">
        <v>46226.72829861111</v>
      </c>
      <c r="H2267" s="3" t="s">
        <v>14</v>
      </c>
      <c r="I2267" s="3">
        <v>0.0</v>
      </c>
      <c r="J2267" s="3" t="s">
        <v>48</v>
      </c>
    </row>
    <row r="2268">
      <c r="C2268" s="3" t="s">
        <v>17</v>
      </c>
      <c r="D2268" s="3">
        <v>5413.0</v>
      </c>
      <c r="E2268" s="3" t="s">
        <v>1861</v>
      </c>
      <c r="F2268" s="5">
        <v>46227.46805555555</v>
      </c>
      <c r="G2268" s="5">
        <v>46226.72856481482</v>
      </c>
      <c r="H2268" s="3" t="s">
        <v>14</v>
      </c>
      <c r="I2268" s="7">
        <v>0.0</v>
      </c>
      <c r="J2268" s="3" t="s">
        <v>48</v>
      </c>
    </row>
    <row r="2269">
      <c r="C2269" s="3" t="s">
        <v>21</v>
      </c>
      <c r="D2269" s="3">
        <v>5413.0</v>
      </c>
      <c r="E2269" s="3" t="s">
        <v>1861</v>
      </c>
      <c r="F2269" s="5">
        <v>46227.572222222225</v>
      </c>
      <c r="G2269" s="5">
        <v>46227.459131944444</v>
      </c>
      <c r="H2269" s="3" t="s">
        <v>14</v>
      </c>
      <c r="I2269" s="7">
        <v>0.0</v>
      </c>
      <c r="J2269" s="3" t="s">
        <v>48</v>
      </c>
    </row>
    <row r="2270">
      <c r="C2270" s="3" t="s">
        <v>24</v>
      </c>
      <c r="D2270" s="3">
        <v>5413.0</v>
      </c>
      <c r="E2270" s="3" t="s">
        <v>1861</v>
      </c>
      <c r="F2270" s="5">
        <v>46228.572222222225</v>
      </c>
      <c r="G2270" s="5">
        <v>46228.43200231482</v>
      </c>
      <c r="H2270" s="3" t="s">
        <v>14</v>
      </c>
      <c r="I2270" s="7">
        <v>0.0</v>
      </c>
      <c r="J2270" s="3" t="s">
        <v>48</v>
      </c>
    </row>
    <row r="2271">
      <c r="C2271" s="3" t="s">
        <v>26</v>
      </c>
      <c r="D2271" s="3">
        <v>5413.0</v>
      </c>
      <c r="E2271" s="3" t="s">
        <v>1861</v>
      </c>
      <c r="F2271" s="5">
        <v>46228.61388888889</v>
      </c>
      <c r="G2271" s="5">
        <v>46228.43203703704</v>
      </c>
      <c r="H2271" s="3" t="s">
        <v>14</v>
      </c>
      <c r="I2271" s="7">
        <v>0.0</v>
      </c>
      <c r="J2271" s="3" t="s">
        <v>48</v>
      </c>
    </row>
    <row r="2272">
      <c r="C2272" s="3" t="s">
        <v>10</v>
      </c>
      <c r="D2272" s="3">
        <v>5414.0</v>
      </c>
      <c r="E2272" s="3" t="s">
        <v>1870</v>
      </c>
      <c r="F2272" s="5">
        <v>46227.67469907407</v>
      </c>
      <c r="G2272" s="5">
        <v>46227.509050925924</v>
      </c>
      <c r="H2272" s="3" t="s">
        <v>14</v>
      </c>
      <c r="I2272" s="3">
        <v>0.0</v>
      </c>
      <c r="J2272" s="3" t="s">
        <v>48</v>
      </c>
    </row>
    <row r="2273">
      <c r="C2273" s="3" t="s">
        <v>17</v>
      </c>
      <c r="D2273" s="3">
        <v>5414.0</v>
      </c>
      <c r="E2273" s="3" t="s">
        <v>1870</v>
      </c>
      <c r="F2273" s="5">
        <v>46227.68164351852</v>
      </c>
      <c r="G2273" s="5">
        <v>46227.509108796294</v>
      </c>
      <c r="H2273" s="3" t="s">
        <v>14</v>
      </c>
      <c r="I2273" s="7">
        <v>0.0</v>
      </c>
      <c r="J2273" s="3" t="s">
        <v>48</v>
      </c>
    </row>
    <row r="2274">
      <c r="C2274" s="3" t="s">
        <v>21</v>
      </c>
      <c r="D2274" s="3">
        <v>5414.0</v>
      </c>
      <c r="E2274" s="3" t="s">
        <v>1870</v>
      </c>
      <c r="F2274" s="5">
        <v>46227.78581018518</v>
      </c>
      <c r="G2274" s="5">
        <v>46227.50914351852</v>
      </c>
      <c r="H2274" s="3" t="s">
        <v>14</v>
      </c>
      <c r="I2274" s="7">
        <v>0.0</v>
      </c>
      <c r="J2274" s="3" t="s">
        <v>48</v>
      </c>
    </row>
    <row r="2275">
      <c r="C2275" s="3" t="s">
        <v>24</v>
      </c>
      <c r="D2275" s="3">
        <v>5414.0</v>
      </c>
      <c r="E2275" s="3" t="s">
        <v>1870</v>
      </c>
      <c r="F2275" s="5">
        <v>46228.785416666666</v>
      </c>
      <c r="G2275" s="5">
        <v>46227.66258101852</v>
      </c>
      <c r="H2275" s="3" t="s">
        <v>14</v>
      </c>
      <c r="I2275" s="7">
        <v>0.0</v>
      </c>
      <c r="J2275" s="3" t="s">
        <v>48</v>
      </c>
    </row>
    <row r="2276">
      <c r="C2276" s="3" t="s">
        <v>26</v>
      </c>
      <c r="D2276" s="3">
        <v>5414.0</v>
      </c>
      <c r="E2276" s="3" t="s">
        <v>1870</v>
      </c>
      <c r="F2276" s="5">
        <v>46228.82708333333</v>
      </c>
      <c r="G2276" s="5">
        <v>46227.66260416667</v>
      </c>
      <c r="H2276" s="3" t="s">
        <v>14</v>
      </c>
      <c r="I2276" s="7">
        <v>0.0</v>
      </c>
      <c r="J2276" s="3" t="s">
        <v>48</v>
      </c>
    </row>
    <row r="2277">
      <c r="C2277" s="3" t="s">
        <v>10</v>
      </c>
      <c r="D2277" s="3">
        <v>5415.0</v>
      </c>
      <c r="E2277" s="3" t="s">
        <v>1873</v>
      </c>
      <c r="F2277" s="5">
        <v>46227.82869212963</v>
      </c>
      <c r="G2277" s="5">
        <v>46227.66232638889</v>
      </c>
      <c r="H2277" s="3" t="s">
        <v>14</v>
      </c>
      <c r="I2277" s="3">
        <v>0.0</v>
      </c>
      <c r="J2277" s="3" t="s">
        <v>61</v>
      </c>
    </row>
    <row r="2278">
      <c r="C2278" s="3" t="s">
        <v>17</v>
      </c>
      <c r="D2278" s="3">
        <v>5415.0</v>
      </c>
      <c r="E2278" s="3" t="s">
        <v>1873</v>
      </c>
      <c r="F2278" s="5">
        <v>46228.45347222222</v>
      </c>
      <c r="G2278" s="5">
        <v>46227.66237268518</v>
      </c>
      <c r="H2278" s="3" t="s">
        <v>14</v>
      </c>
      <c r="I2278" s="7">
        <v>0.0</v>
      </c>
      <c r="J2278" s="3" t="s">
        <v>61</v>
      </c>
    </row>
    <row r="2279">
      <c r="C2279" s="3" t="s">
        <v>21</v>
      </c>
      <c r="D2279" s="3">
        <v>5415.0</v>
      </c>
      <c r="E2279" s="3" t="s">
        <v>1873</v>
      </c>
      <c r="F2279" s="5">
        <v>46228.55763888889</v>
      </c>
      <c r="G2279" s="5">
        <v>46227.71192129629</v>
      </c>
      <c r="H2279" s="3" t="s">
        <v>14</v>
      </c>
      <c r="I2279" s="7">
        <v>0.0</v>
      </c>
      <c r="J2279" s="3" t="s">
        <v>61</v>
      </c>
    </row>
    <row r="2280">
      <c r="C2280" s="3" t="s">
        <v>24</v>
      </c>
      <c r="D2280" s="3">
        <v>5415.0</v>
      </c>
      <c r="E2280" s="3" t="s">
        <v>1873</v>
      </c>
      <c r="F2280" s="5">
        <v>46230.55763888889</v>
      </c>
      <c r="G2280" s="5">
        <v>46227.71194444445</v>
      </c>
      <c r="H2280" s="3" t="s">
        <v>14</v>
      </c>
      <c r="I2280" s="7">
        <v>0.0</v>
      </c>
      <c r="J2280" s="3" t="s">
        <v>61</v>
      </c>
    </row>
    <row r="2281">
      <c r="C2281" s="3" t="s">
        <v>26</v>
      </c>
      <c r="D2281" s="3">
        <v>5415.0</v>
      </c>
      <c r="E2281" s="3" t="s">
        <v>1873</v>
      </c>
      <c r="F2281" s="5">
        <v>46230.59930555556</v>
      </c>
      <c r="G2281" s="5">
        <v>46227.71196759259</v>
      </c>
      <c r="H2281" s="3" t="s">
        <v>14</v>
      </c>
      <c r="I2281" s="7">
        <v>0.0</v>
      </c>
      <c r="J2281" s="3" t="s">
        <v>61</v>
      </c>
    </row>
    <row r="2282">
      <c r="C2282" s="3" t="s">
        <v>10</v>
      </c>
      <c r="D2282" s="3">
        <v>5416.0</v>
      </c>
      <c r="E2282" s="3" t="s">
        <v>1716</v>
      </c>
      <c r="F2282" s="5">
        <v>46228.44583333333</v>
      </c>
      <c r="G2282" s="5">
        <v>46227.712222222224</v>
      </c>
      <c r="H2282" s="3" t="s">
        <v>14</v>
      </c>
      <c r="I2282" s="3">
        <v>0.0</v>
      </c>
      <c r="J2282" s="3" t="s">
        <v>48</v>
      </c>
    </row>
    <row r="2283">
      <c r="C2283" s="3" t="s">
        <v>17</v>
      </c>
      <c r="D2283" s="3">
        <v>5416.0</v>
      </c>
      <c r="E2283" s="3" t="s">
        <v>1716</v>
      </c>
      <c r="F2283" s="5">
        <v>46228.45277777778</v>
      </c>
      <c r="G2283" s="5">
        <v>46227.712488425925</v>
      </c>
      <c r="H2283" s="3" t="s">
        <v>14</v>
      </c>
      <c r="I2283" s="7">
        <v>0.0</v>
      </c>
      <c r="J2283" s="3" t="s">
        <v>48</v>
      </c>
    </row>
    <row r="2284">
      <c r="C2284" s="3" t="s">
        <v>21</v>
      </c>
      <c r="D2284" s="3">
        <v>5416.0</v>
      </c>
      <c r="E2284" s="3" t="s">
        <v>1716</v>
      </c>
      <c r="F2284" s="5">
        <v>46228.55694444444</v>
      </c>
      <c r="G2284" s="5">
        <v>46228.3615625</v>
      </c>
      <c r="H2284" s="3" t="s">
        <v>14</v>
      </c>
      <c r="I2284" s="7">
        <v>0.0</v>
      </c>
      <c r="J2284" s="3" t="s">
        <v>48</v>
      </c>
    </row>
    <row r="2285">
      <c r="C2285" s="3" t="s">
        <v>24</v>
      </c>
      <c r="D2285" s="3">
        <v>5416.0</v>
      </c>
      <c r="E2285" s="3" t="s">
        <v>1716</v>
      </c>
      <c r="F2285" s="5">
        <v>46230.55694444444</v>
      </c>
      <c r="G2285" s="5">
        <v>46228.361597222225</v>
      </c>
      <c r="H2285" s="3" t="s">
        <v>14</v>
      </c>
      <c r="I2285" s="7">
        <v>0.0</v>
      </c>
      <c r="J2285" s="3" t="s">
        <v>48</v>
      </c>
    </row>
    <row r="2286">
      <c r="C2286" s="3" t="s">
        <v>26</v>
      </c>
      <c r="D2286" s="3">
        <v>5416.0</v>
      </c>
      <c r="E2286" s="3" t="s">
        <v>1716</v>
      </c>
      <c r="F2286" s="5">
        <v>46230.59861111111</v>
      </c>
      <c r="G2286" s="5">
        <v>46228.361655092594</v>
      </c>
      <c r="H2286" s="3" t="s">
        <v>14</v>
      </c>
      <c r="I2286" s="7">
        <v>0.0</v>
      </c>
      <c r="J2286" s="3" t="s">
        <v>48</v>
      </c>
    </row>
    <row r="2287">
      <c r="C2287" s="3" t="s">
        <v>10</v>
      </c>
      <c r="D2287" s="3">
        <v>5417.0</v>
      </c>
      <c r="E2287" s="3" t="s">
        <v>407</v>
      </c>
      <c r="F2287" s="5">
        <v>46228.458333333336</v>
      </c>
      <c r="G2287" s="5">
        <v>46227.71230324074</v>
      </c>
      <c r="H2287" s="3" t="s">
        <v>14</v>
      </c>
      <c r="I2287" s="3">
        <v>0.0</v>
      </c>
      <c r="J2287" s="3" t="s">
        <v>72</v>
      </c>
    </row>
    <row r="2288">
      <c r="C2288" s="3" t="s">
        <v>17</v>
      </c>
      <c r="D2288" s="3">
        <v>5417.0</v>
      </c>
      <c r="E2288" s="3" t="s">
        <v>407</v>
      </c>
      <c r="F2288" s="5">
        <v>46228.46527777778</v>
      </c>
      <c r="G2288" s="5">
        <v>46227.7125</v>
      </c>
      <c r="H2288" s="3" t="s">
        <v>14</v>
      </c>
      <c r="I2288" s="7">
        <v>0.0</v>
      </c>
      <c r="J2288" s="3" t="s">
        <v>72</v>
      </c>
    </row>
    <row r="2289">
      <c r="C2289" s="3" t="s">
        <v>21</v>
      </c>
      <c r="D2289" s="3">
        <v>5417.0</v>
      </c>
      <c r="E2289" s="3" t="s">
        <v>407</v>
      </c>
      <c r="F2289" s="5">
        <v>46228.569444444445</v>
      </c>
      <c r="G2289" s="5">
        <v>46227.71296296296</v>
      </c>
      <c r="H2289" s="3" t="s">
        <v>14</v>
      </c>
      <c r="I2289" s="7">
        <v>0.0</v>
      </c>
      <c r="J2289" s="3" t="s">
        <v>72</v>
      </c>
    </row>
    <row r="2290">
      <c r="C2290" s="3" t="s">
        <v>24</v>
      </c>
      <c r="D2290" s="3">
        <v>5417.0</v>
      </c>
      <c r="E2290" s="3" t="s">
        <v>407</v>
      </c>
      <c r="F2290" s="5">
        <v>46230.569444444445</v>
      </c>
      <c r="G2290" s="5">
        <v>46227.71299768519</v>
      </c>
      <c r="H2290" s="3" t="s">
        <v>14</v>
      </c>
      <c r="I2290" s="7">
        <v>0.0</v>
      </c>
      <c r="J2290" s="3" t="s">
        <v>72</v>
      </c>
    </row>
    <row r="2291">
      <c r="C2291" s="3" t="s">
        <v>26</v>
      </c>
      <c r="D2291" s="3">
        <v>5417.0</v>
      </c>
      <c r="E2291" s="3" t="s">
        <v>407</v>
      </c>
      <c r="F2291" s="5">
        <v>46230.61111111111</v>
      </c>
      <c r="G2291" s="5">
        <v>46228.36167824074</v>
      </c>
      <c r="H2291" s="3" t="s">
        <v>14</v>
      </c>
      <c r="I2291" s="7">
        <v>0.0</v>
      </c>
      <c r="J2291" s="3" t="s">
        <v>72</v>
      </c>
    </row>
    <row r="2292">
      <c r="C2292" s="3" t="s">
        <v>10</v>
      </c>
      <c r="D2292" s="3">
        <v>5418.0</v>
      </c>
      <c r="E2292" s="3" t="s">
        <v>410</v>
      </c>
      <c r="F2292" s="5">
        <v>46228.45972222222</v>
      </c>
      <c r="G2292" s="5">
        <v>46227.71236111111</v>
      </c>
      <c r="H2292" s="3" t="s">
        <v>14</v>
      </c>
      <c r="I2292" s="3">
        <v>0.0</v>
      </c>
      <c r="J2292" s="3" t="s">
        <v>72</v>
      </c>
    </row>
    <row r="2293">
      <c r="C2293" s="3" t="s">
        <v>17</v>
      </c>
      <c r="D2293" s="3">
        <v>5418.0</v>
      </c>
      <c r="E2293" s="3" t="s">
        <v>410</v>
      </c>
      <c r="F2293" s="5">
        <v>46228.46666666667</v>
      </c>
      <c r="G2293" s="5">
        <v>46227.71251157407</v>
      </c>
      <c r="H2293" s="3" t="s">
        <v>14</v>
      </c>
      <c r="I2293" s="7">
        <v>0.0</v>
      </c>
      <c r="J2293" s="3" t="s">
        <v>72</v>
      </c>
    </row>
    <row r="2294">
      <c r="C2294" s="3" t="s">
        <v>21</v>
      </c>
      <c r="D2294" s="3">
        <v>5418.0</v>
      </c>
      <c r="E2294" s="3" t="s">
        <v>410</v>
      </c>
      <c r="F2294" s="5">
        <v>46228.57083333333</v>
      </c>
      <c r="G2294" s="5">
        <v>46227.71297453704</v>
      </c>
      <c r="H2294" s="3" t="s">
        <v>14</v>
      </c>
      <c r="I2294" s="7">
        <v>0.0</v>
      </c>
      <c r="J2294" s="3" t="s">
        <v>72</v>
      </c>
    </row>
    <row r="2295">
      <c r="C2295" s="3" t="s">
        <v>24</v>
      </c>
      <c r="D2295" s="3">
        <v>5418.0</v>
      </c>
      <c r="E2295" s="3" t="s">
        <v>410</v>
      </c>
      <c r="F2295" s="5">
        <v>46230.57083333333</v>
      </c>
      <c r="G2295" s="5">
        <v>46227.71302083333</v>
      </c>
      <c r="H2295" s="3" t="s">
        <v>14</v>
      </c>
      <c r="I2295" s="7">
        <v>0.0</v>
      </c>
      <c r="J2295" s="3" t="s">
        <v>72</v>
      </c>
    </row>
    <row r="2296">
      <c r="C2296" s="3" t="s">
        <v>26</v>
      </c>
      <c r="D2296" s="3">
        <v>5418.0</v>
      </c>
      <c r="E2296" s="3" t="s">
        <v>410</v>
      </c>
      <c r="F2296" s="5">
        <v>46230.6125</v>
      </c>
      <c r="G2296" s="5">
        <v>46228.36168981482</v>
      </c>
      <c r="H2296" s="3" t="s">
        <v>14</v>
      </c>
      <c r="I2296" s="7">
        <v>0.0</v>
      </c>
      <c r="J2296" s="3" t="s">
        <v>72</v>
      </c>
    </row>
    <row r="2297">
      <c r="C2297" s="3" t="s">
        <v>10</v>
      </c>
      <c r="D2297" s="3">
        <v>5419.0</v>
      </c>
      <c r="E2297" s="3" t="s">
        <v>660</v>
      </c>
      <c r="F2297" s="5">
        <v>46228.60199074074</v>
      </c>
      <c r="G2297" s="5">
        <v>46228.47199074074</v>
      </c>
      <c r="H2297" s="3" t="s">
        <v>14</v>
      </c>
      <c r="I2297" s="3">
        <v>0.0</v>
      </c>
      <c r="J2297" s="3" t="s">
        <v>61</v>
      </c>
    </row>
    <row r="2298">
      <c r="C2298" s="3" t="s">
        <v>17</v>
      </c>
      <c r="D2298" s="3">
        <v>5419.0</v>
      </c>
      <c r="E2298" s="3" t="s">
        <v>660</v>
      </c>
      <c r="F2298" s="5">
        <v>46228.608935185184</v>
      </c>
      <c r="G2298" s="5">
        <v>46228.472083333334</v>
      </c>
      <c r="H2298" s="3" t="s">
        <v>14</v>
      </c>
      <c r="I2298" s="7">
        <v>0.0</v>
      </c>
      <c r="J2298" s="3" t="s">
        <v>61</v>
      </c>
    </row>
    <row r="2299">
      <c r="C2299" s="3" t="s">
        <v>21</v>
      </c>
      <c r="D2299" s="3">
        <v>5419.0</v>
      </c>
      <c r="E2299" s="3" t="s">
        <v>660</v>
      </c>
      <c r="F2299" s="5">
        <v>46228.71310185185</v>
      </c>
      <c r="G2299" s="5">
        <v>46228.52837962963</v>
      </c>
      <c r="H2299" s="3" t="s">
        <v>14</v>
      </c>
      <c r="I2299" s="7">
        <v>0.0</v>
      </c>
      <c r="J2299" s="3" t="s">
        <v>61</v>
      </c>
    </row>
    <row r="2300">
      <c r="C2300" s="3" t="s">
        <v>24</v>
      </c>
      <c r="D2300" s="3">
        <v>5419.0</v>
      </c>
      <c r="E2300" s="3" t="s">
        <v>660</v>
      </c>
      <c r="F2300" s="5">
        <v>46230.7125</v>
      </c>
      <c r="G2300" s="5">
        <v>46228.61702546296</v>
      </c>
      <c r="H2300" s="3" t="s">
        <v>14</v>
      </c>
      <c r="I2300" s="7">
        <v>0.0</v>
      </c>
      <c r="J2300" s="3" t="s">
        <v>61</v>
      </c>
    </row>
    <row r="2301">
      <c r="C2301" s="3" t="s">
        <v>26</v>
      </c>
      <c r="D2301" s="3">
        <v>5419.0</v>
      </c>
      <c r="E2301" s="3" t="s">
        <v>660</v>
      </c>
      <c r="F2301" s="5">
        <v>46230.754166666666</v>
      </c>
      <c r="G2301" s="5">
        <v>46228.617164351854</v>
      </c>
      <c r="H2301" s="3" t="s">
        <v>14</v>
      </c>
      <c r="I2301" s="7">
        <v>0.0</v>
      </c>
      <c r="J2301" s="3" t="s">
        <v>61</v>
      </c>
    </row>
    <row r="2302">
      <c r="C2302" s="3" t="s">
        <v>10</v>
      </c>
      <c r="D2302" s="3">
        <v>5420.0</v>
      </c>
      <c r="E2302" s="3" t="s">
        <v>249</v>
      </c>
      <c r="F2302" s="5">
        <v>46228.608877314815</v>
      </c>
      <c r="G2302" s="5">
        <v>46228.47217592593</v>
      </c>
      <c r="H2302" s="3" t="s">
        <v>14</v>
      </c>
      <c r="I2302" s="3">
        <v>0.0</v>
      </c>
      <c r="J2302" s="3" t="s">
        <v>15</v>
      </c>
    </row>
    <row r="2303">
      <c r="C2303" s="3" t="s">
        <v>17</v>
      </c>
      <c r="D2303" s="3">
        <v>5420.0</v>
      </c>
      <c r="E2303" s="3" t="s">
        <v>249</v>
      </c>
      <c r="F2303" s="5">
        <v>46228.61582175926</v>
      </c>
      <c r="G2303" s="5">
        <v>46228.47230324074</v>
      </c>
      <c r="H2303" s="3" t="s">
        <v>14</v>
      </c>
      <c r="I2303" s="7">
        <v>0.0</v>
      </c>
      <c r="J2303" s="3" t="s">
        <v>15</v>
      </c>
    </row>
    <row r="2304">
      <c r="C2304" s="3" t="s">
        <v>21</v>
      </c>
      <c r="D2304" s="3">
        <v>5420.0</v>
      </c>
      <c r="E2304" s="3" t="s">
        <v>249</v>
      </c>
      <c r="F2304" s="5">
        <v>46228.719988425924</v>
      </c>
      <c r="G2304" s="5">
        <v>46228.528391203705</v>
      </c>
      <c r="H2304" s="3" t="s">
        <v>14</v>
      </c>
      <c r="I2304" s="7">
        <v>0.0</v>
      </c>
      <c r="J2304" s="3" t="s">
        <v>15</v>
      </c>
    </row>
    <row r="2305">
      <c r="C2305" s="3" t="s">
        <v>24</v>
      </c>
      <c r="D2305" s="3">
        <v>5420.0</v>
      </c>
      <c r="E2305" s="3" t="s">
        <v>249</v>
      </c>
      <c r="F2305" s="5">
        <v>46230.71944444445</v>
      </c>
      <c r="G2305" s="5">
        <v>46228.61709490741</v>
      </c>
      <c r="H2305" s="3" t="s">
        <v>14</v>
      </c>
      <c r="I2305" s="7">
        <v>0.0</v>
      </c>
      <c r="J2305" s="3" t="s">
        <v>15</v>
      </c>
    </row>
    <row r="2306">
      <c r="C2306" s="3" t="s">
        <v>26</v>
      </c>
      <c r="D2306" s="3">
        <v>5420.0</v>
      </c>
      <c r="E2306" s="3" t="s">
        <v>249</v>
      </c>
      <c r="F2306" s="5">
        <v>46230.76111111111</v>
      </c>
      <c r="G2306" s="5">
        <v>46228.6171875</v>
      </c>
      <c r="H2306" s="3" t="s">
        <v>14</v>
      </c>
      <c r="I2306" s="7">
        <v>0.0</v>
      </c>
      <c r="J2306" s="3" t="s">
        <v>15</v>
      </c>
    </row>
    <row r="2307">
      <c r="C2307" s="3" t="s">
        <v>10</v>
      </c>
      <c r="D2307" s="3">
        <v>5421.0</v>
      </c>
      <c r="E2307" s="3" t="s">
        <v>1147</v>
      </c>
      <c r="F2307" s="5">
        <v>46228.610243055555</v>
      </c>
      <c r="G2307" s="5">
        <v>46228.47237268519</v>
      </c>
      <c r="H2307" s="3" t="s">
        <v>14</v>
      </c>
      <c r="I2307" s="3">
        <v>0.0</v>
      </c>
      <c r="J2307" s="3" t="s">
        <v>15</v>
      </c>
    </row>
    <row r="2308">
      <c r="C2308" s="3" t="s">
        <v>17</v>
      </c>
      <c r="D2308" s="3">
        <v>5421.0</v>
      </c>
      <c r="E2308" s="3" t="s">
        <v>1147</v>
      </c>
      <c r="F2308" s="5">
        <v>46228.6171875</v>
      </c>
      <c r="G2308" s="5">
        <v>46228.47247685185</v>
      </c>
      <c r="H2308" s="3" t="s">
        <v>14</v>
      </c>
      <c r="I2308" s="7">
        <v>0.0</v>
      </c>
      <c r="J2308" s="3" t="s">
        <v>15</v>
      </c>
    </row>
    <row r="2309">
      <c r="C2309" s="3" t="s">
        <v>21</v>
      </c>
      <c r="D2309" s="3">
        <v>5421.0</v>
      </c>
      <c r="E2309" s="3" t="s">
        <v>1147</v>
      </c>
      <c r="F2309" s="5">
        <v>46228.721354166664</v>
      </c>
      <c r="G2309" s="5">
        <v>46228.52841435185</v>
      </c>
      <c r="H2309" s="3" t="s">
        <v>14</v>
      </c>
      <c r="I2309" s="7">
        <v>0.0</v>
      </c>
      <c r="J2309" s="3" t="s">
        <v>15</v>
      </c>
    </row>
    <row r="2310">
      <c r="C2310" s="3" t="s">
        <v>24</v>
      </c>
      <c r="D2310" s="3">
        <v>5421.0</v>
      </c>
      <c r="E2310" s="3" t="s">
        <v>1147</v>
      </c>
      <c r="F2310" s="5">
        <v>46230.72083333333</v>
      </c>
      <c r="G2310" s="5">
        <v>46228.61712962963</v>
      </c>
      <c r="H2310" s="3" t="s">
        <v>14</v>
      </c>
      <c r="I2310" s="7">
        <v>0.0</v>
      </c>
      <c r="J2310" s="3" t="s">
        <v>15</v>
      </c>
    </row>
    <row r="2311">
      <c r="C2311" s="3" t="s">
        <v>26</v>
      </c>
      <c r="D2311" s="3">
        <v>5421.0</v>
      </c>
      <c r="E2311" s="3" t="s">
        <v>1147</v>
      </c>
      <c r="F2311" s="5">
        <v>46230.7625</v>
      </c>
      <c r="G2311" s="5">
        <v>46228.61719907408</v>
      </c>
      <c r="H2311" s="3" t="s">
        <v>14</v>
      </c>
      <c r="I2311" s="7">
        <v>0.0</v>
      </c>
      <c r="J2311" s="3" t="s">
        <v>15</v>
      </c>
    </row>
    <row r="2312">
      <c r="C2312" s="3" t="s">
        <v>10</v>
      </c>
      <c r="D2312" s="3">
        <v>5422.0</v>
      </c>
      <c r="E2312" s="3" t="s">
        <v>1900</v>
      </c>
      <c r="F2312" s="5">
        <v>46228.797939814816</v>
      </c>
      <c r="G2312" s="5">
        <v>46228.667349537034</v>
      </c>
      <c r="H2312" s="3" t="s">
        <v>14</v>
      </c>
      <c r="I2312" s="3">
        <v>0.0</v>
      </c>
      <c r="J2312" s="3" t="s">
        <v>15</v>
      </c>
    </row>
    <row r="2313">
      <c r="C2313" s="3" t="s">
        <v>17</v>
      </c>
      <c r="D2313" s="3">
        <v>5422.0</v>
      </c>
      <c r="E2313" s="3" t="s">
        <v>1900</v>
      </c>
      <c r="F2313" s="5">
        <v>46228.80488425926</v>
      </c>
      <c r="G2313" s="5">
        <v>46228.66744212963</v>
      </c>
      <c r="H2313" s="3" t="s">
        <v>14</v>
      </c>
      <c r="I2313" s="7">
        <v>0.0</v>
      </c>
      <c r="J2313" s="3" t="s">
        <v>15</v>
      </c>
    </row>
    <row r="2314">
      <c r="C2314" s="3" t="s">
        <v>21</v>
      </c>
      <c r="D2314" s="3">
        <v>5422.0</v>
      </c>
      <c r="E2314" s="3" t="s">
        <v>1900</v>
      </c>
      <c r="F2314" s="5">
        <v>46230.47152777778</v>
      </c>
      <c r="G2314" s="5">
        <v>46228.66747685185</v>
      </c>
      <c r="H2314" s="3" t="s">
        <v>14</v>
      </c>
      <c r="I2314" s="7">
        <v>0.0</v>
      </c>
      <c r="J2314" s="3" t="s">
        <v>15</v>
      </c>
    </row>
    <row r="2315">
      <c r="C2315" s="3" t="s">
        <v>24</v>
      </c>
      <c r="D2315" s="3">
        <v>5422.0</v>
      </c>
      <c r="E2315" s="3" t="s">
        <v>1900</v>
      </c>
      <c r="F2315" s="5">
        <v>46231.47152777778</v>
      </c>
      <c r="G2315" s="5">
        <v>46228.667546296296</v>
      </c>
      <c r="H2315" s="3" t="s">
        <v>14</v>
      </c>
      <c r="I2315" s="7">
        <v>0.0</v>
      </c>
      <c r="J2315" s="3" t="s">
        <v>15</v>
      </c>
    </row>
    <row r="2316">
      <c r="C2316" s="3" t="s">
        <v>26</v>
      </c>
      <c r="D2316" s="3">
        <v>5422.0</v>
      </c>
      <c r="E2316" s="3" t="s">
        <v>1900</v>
      </c>
      <c r="F2316" s="5">
        <v>46231.513194444444</v>
      </c>
      <c r="G2316" s="5">
        <v>46228.66758101852</v>
      </c>
      <c r="H2316" s="3" t="s">
        <v>14</v>
      </c>
      <c r="I2316" s="7">
        <v>0.0</v>
      </c>
      <c r="J2316" s="3" t="s">
        <v>15</v>
      </c>
    </row>
    <row r="2317">
      <c r="C2317" s="3" t="s">
        <v>10</v>
      </c>
      <c r="D2317" s="3">
        <v>5423.0</v>
      </c>
      <c r="E2317" s="3" t="s">
        <v>1590</v>
      </c>
      <c r="F2317" s="5">
        <v>46230.59324074074</v>
      </c>
      <c r="G2317" s="5">
        <v>46230.435520833336</v>
      </c>
      <c r="H2317" s="3" t="s">
        <v>14</v>
      </c>
      <c r="I2317" s="3">
        <v>0.0</v>
      </c>
      <c r="J2317" s="3" t="s">
        <v>15</v>
      </c>
    </row>
    <row r="2318">
      <c r="C2318" s="3" t="s">
        <v>17</v>
      </c>
      <c r="D2318" s="3">
        <v>5423.0</v>
      </c>
      <c r="E2318" s="3" t="s">
        <v>1590</v>
      </c>
      <c r="F2318" s="5">
        <v>46230.60018518518</v>
      </c>
      <c r="G2318" s="5">
        <v>46230.435578703706</v>
      </c>
      <c r="H2318" s="3" t="s">
        <v>14</v>
      </c>
      <c r="I2318" s="7">
        <v>0.0</v>
      </c>
      <c r="J2318" s="3" t="s">
        <v>15</v>
      </c>
    </row>
    <row r="2319">
      <c r="C2319" s="3" t="s">
        <v>21</v>
      </c>
      <c r="D2319" s="3">
        <v>5423.0</v>
      </c>
      <c r="E2319" s="3" t="s">
        <v>1590</v>
      </c>
      <c r="F2319" s="5">
        <v>46230.704351851855</v>
      </c>
      <c r="G2319" s="5">
        <v>46230.43561342593</v>
      </c>
      <c r="H2319" s="3" t="s">
        <v>14</v>
      </c>
      <c r="I2319" s="7">
        <v>0.0</v>
      </c>
      <c r="J2319" s="3" t="s">
        <v>15</v>
      </c>
    </row>
    <row r="2320">
      <c r="C2320" s="3" t="s">
        <v>24</v>
      </c>
      <c r="D2320" s="3">
        <v>5423.0</v>
      </c>
      <c r="E2320" s="3" t="s">
        <v>1590</v>
      </c>
      <c r="F2320" s="5">
        <v>46231.70416666667</v>
      </c>
      <c r="G2320" s="5">
        <v>46230.6983912037</v>
      </c>
      <c r="H2320" s="3" t="s">
        <v>14</v>
      </c>
      <c r="I2320" s="7">
        <v>0.0</v>
      </c>
      <c r="J2320" s="3" t="s">
        <v>15</v>
      </c>
    </row>
    <row r="2321">
      <c r="C2321" s="3" t="s">
        <v>26</v>
      </c>
      <c r="D2321" s="3">
        <v>5423.0</v>
      </c>
      <c r="E2321" s="3" t="s">
        <v>1590</v>
      </c>
      <c r="F2321" s="5">
        <v>46231.745833333334</v>
      </c>
      <c r="G2321" s="5">
        <v>46230.698483796295</v>
      </c>
      <c r="H2321" s="3" t="s">
        <v>14</v>
      </c>
      <c r="I2321" s="7">
        <v>0.0</v>
      </c>
      <c r="J2321" s="3" t="s">
        <v>15</v>
      </c>
    </row>
    <row r="2322">
      <c r="C2322" s="3" t="s">
        <v>10</v>
      </c>
      <c r="D2322" s="3">
        <v>5424.0</v>
      </c>
      <c r="E2322" s="3" t="s">
        <v>166</v>
      </c>
      <c r="F2322" s="5">
        <v>46230.67487268519</v>
      </c>
      <c r="G2322" s="5">
        <v>46230.64293981482</v>
      </c>
      <c r="H2322" s="3" t="s">
        <v>14</v>
      </c>
      <c r="I2322" s="3">
        <v>0.0</v>
      </c>
      <c r="J2322" s="3" t="s">
        <v>15</v>
      </c>
    </row>
    <row r="2323">
      <c r="C2323" s="3" t="s">
        <v>17</v>
      </c>
      <c r="D2323" s="3">
        <v>5424.0</v>
      </c>
      <c r="E2323" s="3" t="s">
        <v>166</v>
      </c>
      <c r="F2323" s="5">
        <v>46230.68181712963</v>
      </c>
      <c r="G2323" s="5">
        <v>46230.64302083333</v>
      </c>
      <c r="H2323" s="3" t="s">
        <v>14</v>
      </c>
      <c r="I2323" s="7">
        <v>0.0</v>
      </c>
      <c r="J2323" s="3" t="s">
        <v>15</v>
      </c>
    </row>
    <row r="2324">
      <c r="C2324" s="3" t="s">
        <v>21</v>
      </c>
      <c r="D2324" s="3">
        <v>5424.0</v>
      </c>
      <c r="E2324" s="3" t="s">
        <v>166</v>
      </c>
      <c r="F2324" s="5">
        <v>46230.7859837963</v>
      </c>
      <c r="G2324" s="5">
        <v>46230.699224537035</v>
      </c>
      <c r="H2324" s="3" t="s">
        <v>14</v>
      </c>
      <c r="I2324" s="7">
        <v>0.0</v>
      </c>
      <c r="J2324" s="3" t="s">
        <v>15</v>
      </c>
    </row>
    <row r="2325">
      <c r="C2325" s="3" t="s">
        <v>24</v>
      </c>
      <c r="D2325" s="3">
        <v>5424.0</v>
      </c>
      <c r="E2325" s="3" t="s">
        <v>166</v>
      </c>
      <c r="F2325" s="5">
        <v>46231.785416666666</v>
      </c>
      <c r="G2325" s="5">
        <v>46230.699282407404</v>
      </c>
      <c r="H2325" s="3" t="s">
        <v>14</v>
      </c>
      <c r="I2325" s="7">
        <v>0.0</v>
      </c>
      <c r="J2325" s="3" t="s">
        <v>15</v>
      </c>
    </row>
    <row r="2326">
      <c r="C2326" s="3" t="s">
        <v>26</v>
      </c>
      <c r="D2326" s="3">
        <v>5424.0</v>
      </c>
      <c r="E2326" s="3" t="s">
        <v>166</v>
      </c>
      <c r="F2326" s="5">
        <v>46231.82708333333</v>
      </c>
      <c r="G2326" s="5">
        <v>46230.699328703704</v>
      </c>
      <c r="H2326" s="3" t="s">
        <v>14</v>
      </c>
      <c r="I2326" s="7">
        <v>0.0</v>
      </c>
      <c r="J2326" s="3" t="s">
        <v>15</v>
      </c>
    </row>
    <row r="2327">
      <c r="C2327" s="3" t="s">
        <v>10</v>
      </c>
      <c r="D2327" s="3">
        <v>5425.0</v>
      </c>
      <c r="E2327" s="3" t="s">
        <v>1918</v>
      </c>
      <c r="F2327" s="5">
        <v>46231.427777777775</v>
      </c>
      <c r="G2327" s="5">
        <v>46230.68994212963</v>
      </c>
      <c r="H2327" s="3" t="s">
        <v>14</v>
      </c>
      <c r="I2327" s="3">
        <v>0.0</v>
      </c>
      <c r="J2327" s="3" t="s">
        <v>15</v>
      </c>
    </row>
    <row r="2328">
      <c r="C2328" s="3" t="s">
        <v>17</v>
      </c>
      <c r="D2328" s="3">
        <v>5425.0</v>
      </c>
      <c r="E2328" s="3" t="s">
        <v>1918</v>
      </c>
      <c r="F2328" s="5">
        <v>46231.43472222222</v>
      </c>
      <c r="G2328" s="5">
        <v>46230.690034722225</v>
      </c>
      <c r="H2328" s="3" t="s">
        <v>14</v>
      </c>
      <c r="I2328" s="7">
        <v>0.0</v>
      </c>
      <c r="J2328" s="3" t="s">
        <v>15</v>
      </c>
    </row>
    <row r="2329">
      <c r="C2329" s="3" t="s">
        <v>21</v>
      </c>
      <c r="D2329" s="3">
        <v>5425.0</v>
      </c>
      <c r="E2329" s="3" t="s">
        <v>1918</v>
      </c>
      <c r="F2329" s="5">
        <v>46231.53888888889</v>
      </c>
      <c r="G2329" s="5">
        <v>46230.700057870374</v>
      </c>
      <c r="H2329" s="3" t="s">
        <v>14</v>
      </c>
      <c r="I2329" s="7">
        <v>0.0</v>
      </c>
      <c r="J2329" s="3" t="s">
        <v>15</v>
      </c>
    </row>
    <row r="2330">
      <c r="C2330" s="3" t="s">
        <v>24</v>
      </c>
      <c r="D2330" s="3">
        <v>5425.0</v>
      </c>
      <c r="E2330" s="3" t="s">
        <v>1918</v>
      </c>
      <c r="F2330" s="5">
        <v>46232.53888888889</v>
      </c>
      <c r="G2330" s="5">
        <v>46230.76331018518</v>
      </c>
      <c r="H2330" s="3" t="s">
        <v>14</v>
      </c>
      <c r="I2330" s="7">
        <v>0.0</v>
      </c>
      <c r="J2330" s="3" t="s">
        <v>15</v>
      </c>
    </row>
    <row r="2331">
      <c r="C2331" s="3" t="s">
        <v>26</v>
      </c>
      <c r="D2331" s="3">
        <v>5425.0</v>
      </c>
      <c r="E2331" s="3" t="s">
        <v>1918</v>
      </c>
      <c r="F2331" s="5">
        <v>46232.580555555556</v>
      </c>
      <c r="G2331" s="5">
        <v>46230.763333333336</v>
      </c>
      <c r="H2331" s="3" t="s">
        <v>14</v>
      </c>
      <c r="I2331" s="7">
        <v>0.0</v>
      </c>
      <c r="J2331" s="3" t="s">
        <v>15</v>
      </c>
    </row>
    <row r="2332">
      <c r="C2332" s="3" t="s">
        <v>10</v>
      </c>
      <c r="D2332" s="3">
        <v>5426.0</v>
      </c>
      <c r="E2332" s="3" t="s">
        <v>1923</v>
      </c>
      <c r="F2332" s="5">
        <v>46231.46666666667</v>
      </c>
      <c r="G2332" s="5">
        <v>46230.762719907405</v>
      </c>
      <c r="H2332" s="3" t="s">
        <v>14</v>
      </c>
      <c r="I2332" s="3">
        <v>0.0</v>
      </c>
      <c r="J2332" s="3" t="s">
        <v>15</v>
      </c>
    </row>
    <row r="2333">
      <c r="C2333" s="3" t="s">
        <v>17</v>
      </c>
      <c r="D2333" s="3">
        <v>5426.0</v>
      </c>
      <c r="E2333" s="3" t="s">
        <v>1923</v>
      </c>
      <c r="F2333" s="5">
        <v>46231.47361111111</v>
      </c>
      <c r="G2333" s="5">
        <v>46230.76298611111</v>
      </c>
      <c r="H2333" s="3" t="s">
        <v>14</v>
      </c>
      <c r="I2333" s="7">
        <v>0.0</v>
      </c>
      <c r="J2333" s="3" t="s">
        <v>15</v>
      </c>
    </row>
    <row r="2334">
      <c r="C2334" s="3" t="s">
        <v>21</v>
      </c>
      <c r="D2334" s="3">
        <v>5426.0</v>
      </c>
      <c r="E2334" s="3" t="s">
        <v>1923</v>
      </c>
      <c r="F2334" s="5">
        <v>46231.57777777778</v>
      </c>
      <c r="G2334" s="5">
        <v>46230.76321759259</v>
      </c>
      <c r="H2334" s="3" t="s">
        <v>14</v>
      </c>
      <c r="I2334" s="7">
        <v>0.0</v>
      </c>
      <c r="J2334" s="3" t="s">
        <v>15</v>
      </c>
    </row>
    <row r="2335">
      <c r="C2335" s="3" t="s">
        <v>24</v>
      </c>
      <c r="D2335" s="3">
        <v>5426.0</v>
      </c>
      <c r="E2335" s="3" t="s">
        <v>1923</v>
      </c>
      <c r="F2335" s="5">
        <v>46232.57777777778</v>
      </c>
      <c r="G2335" s="5">
        <v>46231.806759259256</v>
      </c>
      <c r="H2335" s="3" t="s">
        <v>14</v>
      </c>
      <c r="I2335" s="7">
        <v>0.0</v>
      </c>
      <c r="J2335" s="3" t="s">
        <v>15</v>
      </c>
    </row>
    <row r="2336">
      <c r="C2336" s="3" t="s">
        <v>26</v>
      </c>
      <c r="D2336" s="3">
        <v>5426.0</v>
      </c>
      <c r="E2336" s="3" t="s">
        <v>1923</v>
      </c>
      <c r="F2336" s="5">
        <v>46232.61944444444</v>
      </c>
      <c r="G2336" s="5">
        <v>46231.80681712963</v>
      </c>
      <c r="H2336" s="3" t="s">
        <v>14</v>
      </c>
      <c r="I2336" s="7">
        <v>0.0</v>
      </c>
      <c r="J2336" s="3" t="s">
        <v>15</v>
      </c>
    </row>
    <row r="2337">
      <c r="C2337" s="3" t="s">
        <v>10</v>
      </c>
      <c r="D2337" s="3">
        <v>5427.0</v>
      </c>
      <c r="E2337" s="3" t="s">
        <v>754</v>
      </c>
      <c r="F2337" s="5">
        <v>46231.46805555555</v>
      </c>
      <c r="G2337" s="5">
        <v>46230.762777777774</v>
      </c>
      <c r="H2337" s="3" t="s">
        <v>14</v>
      </c>
      <c r="I2337" s="3">
        <v>0.0</v>
      </c>
      <c r="J2337" s="3" t="s">
        <v>15</v>
      </c>
    </row>
    <row r="2338">
      <c r="C2338" s="3" t="s">
        <v>17</v>
      </c>
      <c r="D2338" s="3">
        <v>5427.0</v>
      </c>
      <c r="E2338" s="3" t="s">
        <v>754</v>
      </c>
      <c r="F2338" s="5">
        <v>46231.475</v>
      </c>
      <c r="G2338" s="5">
        <v>46230.76300925926</v>
      </c>
      <c r="H2338" s="3" t="s">
        <v>14</v>
      </c>
      <c r="I2338" s="7">
        <v>0.0</v>
      </c>
      <c r="J2338" s="3" t="s">
        <v>15</v>
      </c>
    </row>
    <row r="2339">
      <c r="C2339" s="3" t="s">
        <v>21</v>
      </c>
      <c r="D2339" s="3">
        <v>5427.0</v>
      </c>
      <c r="E2339" s="3" t="s">
        <v>754</v>
      </c>
      <c r="F2339" s="5">
        <v>46231.57916666667</v>
      </c>
      <c r="G2339" s="5">
        <v>46230.76318287037</v>
      </c>
      <c r="H2339" s="3" t="s">
        <v>14</v>
      </c>
      <c r="I2339" s="7">
        <v>0.0</v>
      </c>
      <c r="J2339" s="3" t="s">
        <v>15</v>
      </c>
    </row>
    <row r="2340">
      <c r="C2340" s="3" t="s">
        <v>24</v>
      </c>
      <c r="D2340" s="3">
        <v>5427.0</v>
      </c>
      <c r="E2340" s="3" t="s">
        <v>754</v>
      </c>
      <c r="F2340" s="5">
        <v>46232.57916666667</v>
      </c>
      <c r="G2340" s="5">
        <v>46231.810960648145</v>
      </c>
      <c r="H2340" s="3" t="s">
        <v>14</v>
      </c>
      <c r="I2340" s="7">
        <v>0.0</v>
      </c>
      <c r="J2340" s="3" t="s">
        <v>15</v>
      </c>
    </row>
    <row r="2341">
      <c r="C2341" s="3" t="s">
        <v>26</v>
      </c>
      <c r="D2341" s="3">
        <v>5427.0</v>
      </c>
      <c r="E2341" s="3" t="s">
        <v>754</v>
      </c>
      <c r="F2341" s="5">
        <v>46232.620833333334</v>
      </c>
      <c r="G2341" s="5">
        <v>46231.8109837963</v>
      </c>
      <c r="H2341" s="3" t="s">
        <v>14</v>
      </c>
      <c r="I2341" s="7">
        <v>0.0</v>
      </c>
      <c r="J2341" s="3" t="s">
        <v>15</v>
      </c>
    </row>
    <row r="2342">
      <c r="C2342" s="3" t="s">
        <v>10</v>
      </c>
      <c r="D2342" s="3">
        <v>5428.0</v>
      </c>
      <c r="E2342" s="3" t="s">
        <v>1931</v>
      </c>
      <c r="F2342" s="5">
        <v>46231.46875</v>
      </c>
      <c r="G2342" s="5">
        <v>46230.76289351852</v>
      </c>
      <c r="H2342" s="3" t="s">
        <v>14</v>
      </c>
      <c r="I2342" s="3">
        <v>0.0</v>
      </c>
      <c r="J2342" s="3" t="s">
        <v>15</v>
      </c>
    </row>
    <row r="2343">
      <c r="C2343" s="3" t="s">
        <v>17</v>
      </c>
      <c r="D2343" s="3">
        <v>5428.0</v>
      </c>
      <c r="E2343" s="3" t="s">
        <v>1931</v>
      </c>
      <c r="F2343" s="5">
        <v>46231.475694444445</v>
      </c>
      <c r="G2343" s="5">
        <v>46230.763032407405</v>
      </c>
      <c r="H2343" s="3" t="s">
        <v>14</v>
      </c>
      <c r="I2343" s="7">
        <v>0.0</v>
      </c>
      <c r="J2343" s="3" t="s">
        <v>15</v>
      </c>
    </row>
    <row r="2344">
      <c r="C2344" s="3" t="s">
        <v>21</v>
      </c>
      <c r="D2344" s="3">
        <v>5428.0</v>
      </c>
      <c r="E2344" s="3" t="s">
        <v>1931</v>
      </c>
      <c r="F2344" s="5">
        <v>46231.57986111111</v>
      </c>
      <c r="G2344" s="5">
        <v>46230.76320601852</v>
      </c>
      <c r="H2344" s="3" t="s">
        <v>14</v>
      </c>
      <c r="I2344" s="7">
        <v>0.0</v>
      </c>
      <c r="J2344" s="3" t="s">
        <v>15</v>
      </c>
    </row>
    <row r="2345">
      <c r="C2345" s="3" t="s">
        <v>24</v>
      </c>
      <c r="D2345" s="3">
        <v>5428.0</v>
      </c>
      <c r="E2345" s="3" t="s">
        <v>1931</v>
      </c>
      <c r="F2345" s="5">
        <v>46232.57986111111</v>
      </c>
      <c r="G2345" s="5">
        <v>46231.61376157407</v>
      </c>
      <c r="H2345" s="3" t="s">
        <v>14</v>
      </c>
      <c r="I2345" s="7">
        <v>0.0</v>
      </c>
      <c r="J2345" s="3" t="s">
        <v>15</v>
      </c>
    </row>
    <row r="2346">
      <c r="C2346" s="3" t="s">
        <v>26</v>
      </c>
      <c r="D2346" s="3">
        <v>5428.0</v>
      </c>
      <c r="E2346" s="3" t="s">
        <v>1931</v>
      </c>
      <c r="F2346" s="5">
        <v>46232.62152777778</v>
      </c>
      <c r="G2346" s="5">
        <v>46231.61378472222</v>
      </c>
      <c r="H2346" s="3" t="s">
        <v>14</v>
      </c>
      <c r="I2346" s="7">
        <v>0.0</v>
      </c>
      <c r="J2346" s="3" t="s">
        <v>15</v>
      </c>
    </row>
    <row r="2347">
      <c r="C2347" s="3" t="s">
        <v>10</v>
      </c>
      <c r="D2347" s="3">
        <v>5429.0</v>
      </c>
      <c r="E2347" s="3" t="s">
        <v>1147</v>
      </c>
      <c r="F2347" s="5">
        <v>46231.56543981482</v>
      </c>
      <c r="G2347" s="5">
        <v>46231.44267361111</v>
      </c>
      <c r="H2347" s="3" t="s">
        <v>14</v>
      </c>
      <c r="I2347" s="3">
        <v>0.0</v>
      </c>
      <c r="J2347" s="3" t="s">
        <v>15</v>
      </c>
    </row>
    <row r="2348">
      <c r="C2348" s="3" t="s">
        <v>17</v>
      </c>
      <c r="D2348" s="3">
        <v>5429.0</v>
      </c>
      <c r="E2348" s="3" t="s">
        <v>1147</v>
      </c>
      <c r="F2348" s="5">
        <v>46231.572384259256</v>
      </c>
      <c r="G2348" s="5">
        <v>46231.442777777775</v>
      </c>
      <c r="H2348" s="3" t="s">
        <v>14</v>
      </c>
      <c r="I2348" s="7">
        <v>0.0</v>
      </c>
      <c r="J2348" s="3" t="s">
        <v>15</v>
      </c>
    </row>
    <row r="2349">
      <c r="C2349" s="3" t="s">
        <v>21</v>
      </c>
      <c r="D2349" s="3">
        <v>5429.0</v>
      </c>
      <c r="E2349" s="3" t="s">
        <v>1147</v>
      </c>
      <c r="F2349" s="5">
        <v>46231.67655092593</v>
      </c>
      <c r="G2349" s="5">
        <v>46231.442824074074</v>
      </c>
      <c r="H2349" s="3" t="s">
        <v>14</v>
      </c>
      <c r="I2349" s="7">
        <v>0.0</v>
      </c>
      <c r="J2349" s="3" t="s">
        <v>15</v>
      </c>
    </row>
    <row r="2350">
      <c r="C2350" s="3" t="s">
        <v>24</v>
      </c>
      <c r="D2350" s="3">
        <v>5429.0</v>
      </c>
      <c r="E2350" s="3" t="s">
        <v>1147</v>
      </c>
      <c r="F2350" s="5">
        <v>46232.67638888889</v>
      </c>
      <c r="G2350" s="5">
        <v>46231.61384259259</v>
      </c>
      <c r="H2350" s="3" t="s">
        <v>14</v>
      </c>
      <c r="I2350" s="7">
        <v>0.0</v>
      </c>
      <c r="J2350" s="3" t="s">
        <v>15</v>
      </c>
    </row>
    <row r="2351">
      <c r="C2351" s="3" t="s">
        <v>26</v>
      </c>
      <c r="D2351" s="3">
        <v>5429.0</v>
      </c>
      <c r="E2351" s="3" t="s">
        <v>1147</v>
      </c>
      <c r="F2351" s="5">
        <v>46232.71805555555</v>
      </c>
      <c r="G2351" s="5">
        <v>46231.61386574074</v>
      </c>
      <c r="H2351" s="3" t="s">
        <v>14</v>
      </c>
      <c r="I2351" s="7">
        <v>0.0</v>
      </c>
      <c r="J2351" s="3" t="s">
        <v>15</v>
      </c>
    </row>
    <row r="2352">
      <c r="C2352" s="3" t="s">
        <v>10</v>
      </c>
      <c r="D2352" s="3">
        <v>5430.0</v>
      </c>
      <c r="E2352" s="3" t="s">
        <v>1940</v>
      </c>
      <c r="F2352" s="5">
        <v>46231.607303240744</v>
      </c>
      <c r="G2352" s="5">
        <v>46231.44269675926</v>
      </c>
      <c r="H2352" s="3" t="s">
        <v>14</v>
      </c>
      <c r="I2352" s="3">
        <v>0.0</v>
      </c>
      <c r="J2352" s="3" t="s">
        <v>15</v>
      </c>
    </row>
    <row r="2353">
      <c r="C2353" s="3" t="s">
        <v>17</v>
      </c>
      <c r="D2353" s="3">
        <v>5430.0</v>
      </c>
      <c r="E2353" s="3" t="s">
        <v>1940</v>
      </c>
      <c r="F2353" s="5">
        <v>46231.61424768518</v>
      </c>
      <c r="G2353" s="5">
        <v>46231.44278935185</v>
      </c>
      <c r="H2353" s="3" t="s">
        <v>14</v>
      </c>
      <c r="I2353" s="7">
        <v>0.0</v>
      </c>
      <c r="J2353" s="3" t="s">
        <v>15</v>
      </c>
    </row>
    <row r="2354">
      <c r="C2354" s="3" t="s">
        <v>21</v>
      </c>
      <c r="D2354" s="3">
        <v>5430.0</v>
      </c>
      <c r="E2354" s="3" t="s">
        <v>1940</v>
      </c>
      <c r="F2354" s="5">
        <v>46231.71841435185</v>
      </c>
      <c r="G2354" s="5">
        <v>46231.44289351852</v>
      </c>
      <c r="H2354" s="3" t="s">
        <v>14</v>
      </c>
      <c r="I2354" s="7">
        <v>0.0</v>
      </c>
      <c r="J2354" s="3" t="s">
        <v>15</v>
      </c>
    </row>
    <row r="2355">
      <c r="C2355" s="3" t="s">
        <v>24</v>
      </c>
      <c r="D2355" s="3">
        <v>5430.0</v>
      </c>
      <c r="E2355" s="3" t="s">
        <v>1940</v>
      </c>
      <c r="F2355" s="5">
        <v>46232.71805555555</v>
      </c>
      <c r="G2355" s="5">
        <v>46232.479849537034</v>
      </c>
      <c r="H2355" s="3" t="s">
        <v>14</v>
      </c>
      <c r="I2355" s="7">
        <v>0.0</v>
      </c>
      <c r="J2355" s="3" t="s">
        <v>15</v>
      </c>
    </row>
    <row r="2356">
      <c r="C2356" s="3" t="s">
        <v>26</v>
      </c>
      <c r="D2356" s="3">
        <v>5430.0</v>
      </c>
      <c r="E2356" s="3" t="s">
        <v>1940</v>
      </c>
      <c r="F2356" s="5">
        <v>46232.759722222225</v>
      </c>
      <c r="G2356" s="5">
        <v>46232.754895833335</v>
      </c>
      <c r="H2356" s="3" t="s">
        <v>14</v>
      </c>
      <c r="I2356" s="7">
        <v>0.0</v>
      </c>
      <c r="J2356" s="3" t="s">
        <v>15</v>
      </c>
    </row>
    <row r="2357">
      <c r="C2357" s="3" t="s">
        <v>10</v>
      </c>
      <c r="D2357" s="3">
        <v>5431.0</v>
      </c>
      <c r="E2357" s="3" t="s">
        <v>1944</v>
      </c>
      <c r="F2357" s="5">
        <v>46231.61605324074</v>
      </c>
      <c r="G2357" s="5">
        <v>46231.48909722222</v>
      </c>
      <c r="H2357" s="3" t="s">
        <v>14</v>
      </c>
      <c r="I2357" s="3">
        <v>0.0</v>
      </c>
      <c r="J2357" s="3" t="s">
        <v>15</v>
      </c>
    </row>
    <row r="2358">
      <c r="C2358" s="3" t="s">
        <v>17</v>
      </c>
      <c r="D2358" s="3">
        <v>5431.0</v>
      </c>
      <c r="E2358" s="3" t="s">
        <v>1944</v>
      </c>
      <c r="F2358" s="5">
        <v>46231.62299768518</v>
      </c>
      <c r="G2358" s="5">
        <v>46231.48935185185</v>
      </c>
      <c r="H2358" s="3" t="s">
        <v>14</v>
      </c>
      <c r="I2358" s="7">
        <v>0.0</v>
      </c>
      <c r="J2358" s="3" t="s">
        <v>15</v>
      </c>
    </row>
    <row r="2359">
      <c r="C2359" s="3" t="s">
        <v>21</v>
      </c>
      <c r="D2359" s="3">
        <v>5431.0</v>
      </c>
      <c r="E2359" s="3" t="s">
        <v>1944</v>
      </c>
      <c r="F2359" s="5">
        <v>46232.477164351854</v>
      </c>
      <c r="G2359" s="5">
        <v>46232.472766203704</v>
      </c>
      <c r="H2359" s="3" t="s">
        <v>14</v>
      </c>
      <c r="I2359" s="7">
        <v>0.0</v>
      </c>
      <c r="J2359" s="3" t="s">
        <v>15</v>
      </c>
    </row>
    <row r="2360">
      <c r="C2360" s="3" t="s">
        <v>24</v>
      </c>
      <c r="D2360" s="3">
        <v>5431.0</v>
      </c>
      <c r="E2360" s="3" t="s">
        <v>1944</v>
      </c>
      <c r="F2360" s="5">
        <v>46233.47708333333</v>
      </c>
      <c r="G2360" s="5">
        <v>46232.47988425926</v>
      </c>
      <c r="H2360" s="3" t="s">
        <v>14</v>
      </c>
      <c r="I2360" s="7">
        <v>0.0</v>
      </c>
      <c r="J2360" s="3" t="s">
        <v>15</v>
      </c>
    </row>
    <row r="2361">
      <c r="C2361" s="3" t="s">
        <v>26</v>
      </c>
      <c r="D2361" s="3">
        <v>5431.0</v>
      </c>
      <c r="E2361" s="3" t="s">
        <v>1944</v>
      </c>
      <c r="F2361" s="5">
        <v>46233.51875</v>
      </c>
      <c r="G2361" s="5">
        <v>46233.49896990741</v>
      </c>
      <c r="H2361" s="3" t="s">
        <v>14</v>
      </c>
      <c r="I2361" s="7">
        <v>0.0</v>
      </c>
      <c r="J2361" s="3" t="s">
        <v>15</v>
      </c>
    </row>
    <row r="2362">
      <c r="C2362" s="3" t="s">
        <v>10</v>
      </c>
      <c r="D2362" s="3">
        <v>5432.0</v>
      </c>
      <c r="E2362" s="3" t="s">
        <v>1948</v>
      </c>
      <c r="F2362" s="5">
        <v>46231.654756944445</v>
      </c>
      <c r="G2362" s="5">
        <v>46231.4891087963</v>
      </c>
      <c r="H2362" s="3" t="s">
        <v>14</v>
      </c>
      <c r="I2362" s="3">
        <v>0.0</v>
      </c>
      <c r="J2362" s="3" t="s">
        <v>15</v>
      </c>
    </row>
    <row r="2363">
      <c r="C2363" s="3" t="s">
        <v>17</v>
      </c>
      <c r="D2363" s="3">
        <v>5432.0</v>
      </c>
      <c r="E2363" s="3" t="s">
        <v>1948</v>
      </c>
      <c r="F2363" s="5">
        <v>46231.66170138889</v>
      </c>
      <c r="G2363" s="5">
        <v>46231.48936342593</v>
      </c>
      <c r="H2363" s="3" t="s">
        <v>14</v>
      </c>
      <c r="I2363" s="7">
        <v>0.0</v>
      </c>
      <c r="J2363" s="3" t="s">
        <v>15</v>
      </c>
    </row>
    <row r="2364">
      <c r="C2364" s="3" t="s">
        <v>21</v>
      </c>
      <c r="D2364" s="3">
        <v>5432.0</v>
      </c>
      <c r="E2364" s="3" t="s">
        <v>1948</v>
      </c>
      <c r="F2364" s="5">
        <v>46231.765868055554</v>
      </c>
      <c r="G2364" s="5">
        <v>46231.61344907407</v>
      </c>
      <c r="H2364" s="3" t="s">
        <v>14</v>
      </c>
      <c r="I2364" s="7">
        <v>0.0</v>
      </c>
      <c r="J2364" s="3" t="s">
        <v>15</v>
      </c>
    </row>
    <row r="2365">
      <c r="C2365" s="3" t="s">
        <v>24</v>
      </c>
      <c r="D2365" s="3">
        <v>5432.0</v>
      </c>
      <c r="E2365" s="3" t="s">
        <v>1948</v>
      </c>
      <c r="F2365" s="5">
        <v>46232.76527777778</v>
      </c>
      <c r="G2365" s="5">
        <v>46231.613483796296</v>
      </c>
      <c r="H2365" s="3" t="s">
        <v>14</v>
      </c>
      <c r="I2365" s="7">
        <v>0.0</v>
      </c>
      <c r="J2365" s="3" t="s">
        <v>15</v>
      </c>
    </row>
    <row r="2366">
      <c r="C2366" s="3" t="s">
        <v>26</v>
      </c>
      <c r="D2366" s="3">
        <v>5432.0</v>
      </c>
      <c r="E2366" s="3" t="s">
        <v>1948</v>
      </c>
      <c r="F2366" s="5">
        <v>46232.80694444444</v>
      </c>
      <c r="G2366" s="5">
        <v>46231.61351851852</v>
      </c>
      <c r="H2366" s="3" t="s">
        <v>14</v>
      </c>
      <c r="I2366" s="7">
        <v>0.0</v>
      </c>
      <c r="J2366" s="3" t="s">
        <v>15</v>
      </c>
    </row>
    <row r="2367">
      <c r="C2367" s="3" t="s">
        <v>10</v>
      </c>
      <c r="D2367" s="3">
        <v>5433.0</v>
      </c>
      <c r="E2367" s="3" t="s">
        <v>1953</v>
      </c>
      <c r="F2367" s="5">
        <v>46232.58315972222</v>
      </c>
      <c r="G2367" s="5">
        <v>46232.416921296295</v>
      </c>
      <c r="H2367" s="3" t="s">
        <v>14</v>
      </c>
      <c r="I2367" s="3">
        <v>0.0</v>
      </c>
      <c r="J2367" s="3" t="s">
        <v>72</v>
      </c>
    </row>
    <row r="2368">
      <c r="C2368" s="3" t="s">
        <v>17</v>
      </c>
      <c r="D2368" s="3">
        <v>5433.0</v>
      </c>
      <c r="E2368" s="3" t="s">
        <v>1953</v>
      </c>
      <c r="F2368" s="5">
        <v>46232.590104166666</v>
      </c>
      <c r="G2368" s="5">
        <v>46232.41699074074</v>
      </c>
      <c r="H2368" s="3" t="s">
        <v>14</v>
      </c>
      <c r="I2368" s="7">
        <v>0.0</v>
      </c>
      <c r="J2368" s="3" t="s">
        <v>72</v>
      </c>
    </row>
    <row r="2369">
      <c r="C2369" s="3" t="s">
        <v>21</v>
      </c>
      <c r="D2369" s="3">
        <v>5433.0</v>
      </c>
      <c r="E2369" s="3" t="s">
        <v>1953</v>
      </c>
      <c r="F2369" s="5">
        <v>46232.69427083333</v>
      </c>
      <c r="G2369" s="5">
        <v>46232.41701388889</v>
      </c>
      <c r="H2369" s="3" t="s">
        <v>14</v>
      </c>
      <c r="I2369" s="7">
        <v>0.0</v>
      </c>
      <c r="J2369" s="3" t="s">
        <v>72</v>
      </c>
    </row>
    <row r="2370">
      <c r="C2370" s="3" t="s">
        <v>24</v>
      </c>
      <c r="D2370" s="3">
        <v>5433.0</v>
      </c>
      <c r="E2370" s="3" t="s">
        <v>1953</v>
      </c>
      <c r="F2370" s="5">
        <v>46233.69375</v>
      </c>
      <c r="G2370" s="5">
        <v>46232.47990740741</v>
      </c>
      <c r="H2370" s="3" t="s">
        <v>14</v>
      </c>
      <c r="I2370" s="7">
        <v>0.0</v>
      </c>
      <c r="J2370" s="3" t="s">
        <v>72</v>
      </c>
    </row>
    <row r="2371">
      <c r="C2371" s="3" t="s">
        <v>26</v>
      </c>
      <c r="D2371" s="3">
        <v>5433.0</v>
      </c>
      <c r="E2371" s="3" t="s">
        <v>1953</v>
      </c>
      <c r="F2371" s="5">
        <v>46233.73541666667</v>
      </c>
      <c r="G2371" s="5">
        <v>46233.43471064815</v>
      </c>
      <c r="H2371" s="3" t="s">
        <v>14</v>
      </c>
      <c r="I2371" s="7">
        <v>0.0</v>
      </c>
      <c r="J2371" s="3" t="s">
        <v>72</v>
      </c>
    </row>
    <row r="2372">
      <c r="C2372" s="3" t="s">
        <v>10</v>
      </c>
      <c r="D2372" s="3">
        <v>5434.0</v>
      </c>
      <c r="E2372" s="3" t="s">
        <v>1955</v>
      </c>
      <c r="F2372" s="5">
        <v>46232.58872685185</v>
      </c>
      <c r="G2372" s="5">
        <v>46232.43844907408</v>
      </c>
      <c r="H2372" s="3" t="s">
        <v>14</v>
      </c>
      <c r="I2372" s="3">
        <v>0.0</v>
      </c>
      <c r="J2372" s="3" t="s">
        <v>15</v>
      </c>
    </row>
    <row r="2373">
      <c r="C2373" s="3" t="s">
        <v>17</v>
      </c>
      <c r="D2373" s="3">
        <v>5434.0</v>
      </c>
      <c r="E2373" s="3" t="s">
        <v>1955</v>
      </c>
      <c r="F2373" s="5">
        <v>46232.595671296294</v>
      </c>
      <c r="G2373" s="5">
        <v>46232.43849537037</v>
      </c>
      <c r="H2373" s="3" t="s">
        <v>14</v>
      </c>
      <c r="I2373" s="7">
        <v>0.0</v>
      </c>
      <c r="J2373" s="3" t="s">
        <v>15</v>
      </c>
    </row>
    <row r="2374">
      <c r="C2374" s="3" t="s">
        <v>21</v>
      </c>
      <c r="D2374" s="3">
        <v>5434.0</v>
      </c>
      <c r="E2374" s="3" t="s">
        <v>1955</v>
      </c>
      <c r="F2374" s="5">
        <v>46232.699837962966</v>
      </c>
      <c r="G2374" s="5">
        <v>46232.43855324074</v>
      </c>
      <c r="H2374" s="3" t="s">
        <v>14</v>
      </c>
      <c r="I2374" s="7">
        <v>0.0</v>
      </c>
      <c r="J2374" s="3" t="s">
        <v>15</v>
      </c>
    </row>
    <row r="2375">
      <c r="C2375" s="3" t="s">
        <v>24</v>
      </c>
      <c r="D2375" s="3">
        <v>5434.0</v>
      </c>
      <c r="E2375" s="3" t="s">
        <v>1955</v>
      </c>
      <c r="F2375" s="5">
        <v>46233.69930555556</v>
      </c>
      <c r="G2375" s="5">
        <v>46232.47993055556</v>
      </c>
      <c r="H2375" s="3" t="s">
        <v>14</v>
      </c>
      <c r="I2375" s="7">
        <v>0.0</v>
      </c>
      <c r="J2375" s="3" t="s">
        <v>15</v>
      </c>
    </row>
    <row r="2376">
      <c r="C2376" s="3" t="s">
        <v>26</v>
      </c>
      <c r="D2376" s="3">
        <v>5434.0</v>
      </c>
      <c r="E2376" s="3" t="s">
        <v>1955</v>
      </c>
      <c r="F2376" s="5">
        <v>46233.74097222222</v>
      </c>
      <c r="G2376" s="5">
        <v>46233.45255787037</v>
      </c>
      <c r="H2376" s="3" t="s">
        <v>14</v>
      </c>
      <c r="I2376" s="7">
        <v>0.0</v>
      </c>
      <c r="J2376" s="3" t="s">
        <v>15</v>
      </c>
    </row>
    <row r="2377">
      <c r="C2377" s="3" t="s">
        <v>10</v>
      </c>
      <c r="D2377" s="3">
        <v>5435.0</v>
      </c>
      <c r="E2377" s="3" t="s">
        <v>1716</v>
      </c>
      <c r="F2377" s="5">
        <v>46232.67244212963</v>
      </c>
      <c r="G2377" s="5">
        <v>46232.509618055556</v>
      </c>
      <c r="H2377" s="3" t="s">
        <v>14</v>
      </c>
      <c r="I2377" s="3">
        <v>0.0</v>
      </c>
      <c r="J2377" s="3" t="s">
        <v>72</v>
      </c>
    </row>
    <row r="2378">
      <c r="C2378" s="3" t="s">
        <v>17</v>
      </c>
      <c r="D2378" s="3">
        <v>5435.0</v>
      </c>
      <c r="E2378" s="3" t="s">
        <v>1716</v>
      </c>
      <c r="F2378" s="5">
        <v>46232.67938657408</v>
      </c>
      <c r="G2378" s="5">
        <v>46232.50969907407</v>
      </c>
      <c r="H2378" s="3" t="s">
        <v>14</v>
      </c>
      <c r="I2378" s="7">
        <v>0.0</v>
      </c>
      <c r="J2378" s="3" t="s">
        <v>72</v>
      </c>
    </row>
    <row r="2379">
      <c r="C2379" s="3" t="s">
        <v>21</v>
      </c>
      <c r="D2379" s="3">
        <v>5435.0</v>
      </c>
      <c r="E2379" s="3" t="s">
        <v>1716</v>
      </c>
      <c r="F2379" s="5">
        <v>46232.78355324074</v>
      </c>
      <c r="G2379" s="5">
        <v>46232.509722222225</v>
      </c>
      <c r="H2379" s="3" t="s">
        <v>14</v>
      </c>
      <c r="I2379" s="7">
        <v>0.0</v>
      </c>
      <c r="J2379" s="3" t="s">
        <v>72</v>
      </c>
    </row>
    <row r="2380">
      <c r="C2380" s="3" t="s">
        <v>24</v>
      </c>
      <c r="D2380" s="3">
        <v>5435.0</v>
      </c>
      <c r="E2380" s="3" t="s">
        <v>1716</v>
      </c>
      <c r="F2380" s="5">
        <v>46233.78333333333</v>
      </c>
      <c r="G2380" s="5">
        <v>46233.43478009259</v>
      </c>
      <c r="H2380" s="3" t="s">
        <v>14</v>
      </c>
      <c r="I2380" s="7">
        <v>0.0</v>
      </c>
      <c r="J2380" s="3" t="s">
        <v>72</v>
      </c>
    </row>
    <row r="2381">
      <c r="C2381" s="3" t="s">
        <v>26</v>
      </c>
      <c r="D2381" s="3">
        <v>5435.0</v>
      </c>
      <c r="E2381" s="3" t="s">
        <v>1716</v>
      </c>
      <c r="F2381" s="5">
        <v>46233.825</v>
      </c>
      <c r="G2381" s="5">
        <v>46233.43482638889</v>
      </c>
      <c r="H2381" s="3" t="s">
        <v>14</v>
      </c>
      <c r="I2381" s="7">
        <v>0.0</v>
      </c>
      <c r="J2381" s="3" t="s">
        <v>72</v>
      </c>
    </row>
    <row r="2382">
      <c r="C2382" s="3" t="s">
        <v>10</v>
      </c>
      <c r="D2382" s="3">
        <v>5436.0</v>
      </c>
      <c r="E2382" s="3" t="s">
        <v>955</v>
      </c>
      <c r="F2382" s="5">
        <v>46232.67890046296</v>
      </c>
      <c r="G2382" s="5">
        <v>46232.6259375</v>
      </c>
      <c r="H2382" s="3" t="s">
        <v>14</v>
      </c>
      <c r="I2382" s="3">
        <v>0.0</v>
      </c>
      <c r="J2382" s="3" t="s">
        <v>15</v>
      </c>
    </row>
    <row r="2383">
      <c r="C2383" s="3" t="s">
        <v>17</v>
      </c>
      <c r="D2383" s="3">
        <v>5436.0</v>
      </c>
      <c r="E2383" s="3" t="s">
        <v>955</v>
      </c>
      <c r="F2383" s="5">
        <v>46232.685844907406</v>
      </c>
      <c r="G2383" s="5">
        <v>46232.62603009259</v>
      </c>
      <c r="H2383" s="3" t="s">
        <v>14</v>
      </c>
      <c r="I2383" s="7">
        <v>0.0</v>
      </c>
      <c r="J2383" s="3" t="s">
        <v>15</v>
      </c>
    </row>
    <row r="2384">
      <c r="C2384" s="3" t="s">
        <v>21</v>
      </c>
      <c r="D2384" s="3">
        <v>5436.0</v>
      </c>
      <c r="E2384" s="3" t="s">
        <v>955</v>
      </c>
      <c r="F2384" s="5">
        <v>46232.79001157408</v>
      </c>
      <c r="G2384" s="5">
        <v>46232.69820601852</v>
      </c>
      <c r="H2384" s="3" t="s">
        <v>14</v>
      </c>
      <c r="I2384" s="7">
        <v>0.0</v>
      </c>
      <c r="J2384" s="3" t="s">
        <v>15</v>
      </c>
    </row>
    <row r="2385">
      <c r="C2385" s="3" t="s">
        <v>24</v>
      </c>
      <c r="D2385" s="3">
        <v>5436.0</v>
      </c>
      <c r="E2385" s="3" t="s">
        <v>955</v>
      </c>
      <c r="F2385" s="5">
        <v>46233.78958333333</v>
      </c>
      <c r="G2385" s="5">
        <v>46232.89402777778</v>
      </c>
      <c r="H2385" s="3" t="s">
        <v>14</v>
      </c>
      <c r="I2385" s="7">
        <v>0.0</v>
      </c>
      <c r="J2385" s="3" t="s">
        <v>15</v>
      </c>
    </row>
    <row r="2386">
      <c r="C2386" s="3" t="s">
        <v>26</v>
      </c>
      <c r="D2386" s="3">
        <v>5436.0</v>
      </c>
      <c r="E2386" s="3" t="s">
        <v>955</v>
      </c>
      <c r="F2386" s="5">
        <v>46233.83125</v>
      </c>
      <c r="G2386" s="5">
        <v>46233.45271990741</v>
      </c>
      <c r="H2386" s="3" t="s">
        <v>14</v>
      </c>
      <c r="I2386" s="7">
        <v>0.0</v>
      </c>
      <c r="J2386" s="3" t="s">
        <v>15</v>
      </c>
    </row>
    <row r="2387">
      <c r="C2387" s="3" t="s">
        <v>10</v>
      </c>
      <c r="D2387" s="3">
        <v>5437.0</v>
      </c>
      <c r="E2387" s="3" t="s">
        <v>955</v>
      </c>
      <c r="F2387" s="5">
        <v>46232.68003472222</v>
      </c>
      <c r="G2387" s="5">
        <v>46232.62596064815</v>
      </c>
      <c r="H2387" s="3" t="s">
        <v>14</v>
      </c>
      <c r="I2387" s="3">
        <v>0.0</v>
      </c>
      <c r="J2387" s="3" t="s">
        <v>15</v>
      </c>
    </row>
    <row r="2388">
      <c r="C2388" s="3" t="s">
        <v>17</v>
      </c>
      <c r="D2388" s="3">
        <v>5437.0</v>
      </c>
      <c r="E2388" s="3" t="s">
        <v>955</v>
      </c>
      <c r="F2388" s="5">
        <v>46232.68697916667</v>
      </c>
      <c r="G2388" s="5">
        <v>46232.626064814816</v>
      </c>
      <c r="H2388" s="3" t="s">
        <v>14</v>
      </c>
      <c r="I2388" s="7">
        <v>0.0</v>
      </c>
      <c r="J2388" s="3" t="s">
        <v>15</v>
      </c>
    </row>
    <row r="2389">
      <c r="C2389" s="3" t="s">
        <v>21</v>
      </c>
      <c r="D2389" s="3">
        <v>5437.0</v>
      </c>
      <c r="E2389" s="3" t="s">
        <v>955</v>
      </c>
      <c r="F2389" s="5">
        <v>46232.79114583333</v>
      </c>
      <c r="G2389" s="5">
        <v>46232.69820601852</v>
      </c>
      <c r="H2389" s="3" t="s">
        <v>14</v>
      </c>
      <c r="I2389" s="7">
        <v>0.0</v>
      </c>
      <c r="J2389" s="3" t="s">
        <v>15</v>
      </c>
    </row>
    <row r="2390">
      <c r="C2390" s="3" t="s">
        <v>24</v>
      </c>
      <c r="D2390" s="3">
        <v>5437.0</v>
      </c>
      <c r="E2390" s="3" t="s">
        <v>955</v>
      </c>
      <c r="F2390" s="5">
        <v>46233.790972222225</v>
      </c>
      <c r="G2390" s="5">
        <v>46232.8940625</v>
      </c>
      <c r="H2390" s="3" t="s">
        <v>14</v>
      </c>
      <c r="I2390" s="7">
        <v>0.0</v>
      </c>
      <c r="J2390" s="3" t="s">
        <v>15</v>
      </c>
    </row>
    <row r="2391">
      <c r="C2391" s="3" t="s">
        <v>26</v>
      </c>
      <c r="D2391" s="3">
        <v>5437.0</v>
      </c>
      <c r="E2391" s="3" t="s">
        <v>955</v>
      </c>
      <c r="F2391" s="5">
        <v>46233.83263888889</v>
      </c>
      <c r="G2391" s="5">
        <v>46232.89420138889</v>
      </c>
      <c r="H2391" s="3" t="s">
        <v>14</v>
      </c>
      <c r="I2391" s="7">
        <v>0.0</v>
      </c>
      <c r="J2391" s="3" t="s">
        <v>15</v>
      </c>
    </row>
    <row r="2392">
      <c r="C2392" s="3" t="s">
        <v>10</v>
      </c>
      <c r="D2392" s="3">
        <v>5438.0</v>
      </c>
      <c r="E2392" s="3" t="s">
        <v>1966</v>
      </c>
      <c r="F2392" s="5">
        <v>46232.680972222224</v>
      </c>
      <c r="G2392" s="5">
        <v>46232.62596064815</v>
      </c>
      <c r="H2392" s="3" t="s">
        <v>14</v>
      </c>
      <c r="I2392" s="3">
        <v>0.0</v>
      </c>
      <c r="J2392" s="3" t="s">
        <v>15</v>
      </c>
    </row>
    <row r="2393">
      <c r="C2393" s="3" t="s">
        <v>17</v>
      </c>
      <c r="D2393" s="3">
        <v>5438.0</v>
      </c>
      <c r="E2393" s="3" t="s">
        <v>1966</v>
      </c>
      <c r="F2393" s="5">
        <v>46232.68791666667</v>
      </c>
      <c r="G2393" s="5">
        <v>46232.62604166667</v>
      </c>
      <c r="H2393" s="3" t="s">
        <v>14</v>
      </c>
      <c r="I2393" s="7">
        <v>0.0</v>
      </c>
      <c r="J2393" s="3" t="s">
        <v>15</v>
      </c>
    </row>
    <row r="2394">
      <c r="C2394" s="3" t="s">
        <v>21</v>
      </c>
      <c r="D2394" s="3">
        <v>5438.0</v>
      </c>
      <c r="E2394" s="3" t="s">
        <v>1966</v>
      </c>
      <c r="F2394" s="5">
        <v>46232.792083333334</v>
      </c>
      <c r="G2394" s="5">
        <v>46232.698217592595</v>
      </c>
      <c r="H2394" s="3" t="s">
        <v>14</v>
      </c>
      <c r="I2394" s="7">
        <v>0.0</v>
      </c>
      <c r="J2394" s="3" t="s">
        <v>15</v>
      </c>
    </row>
    <row r="2395">
      <c r="C2395" s="3" t="s">
        <v>24</v>
      </c>
      <c r="D2395" s="3">
        <v>5438.0</v>
      </c>
      <c r="E2395" s="3" t="s">
        <v>1966</v>
      </c>
      <c r="F2395" s="5">
        <v>46233.791666666664</v>
      </c>
      <c r="G2395" s="5">
        <v>46232.89408564815</v>
      </c>
      <c r="H2395" s="3" t="s">
        <v>14</v>
      </c>
      <c r="I2395" s="7">
        <v>0.0</v>
      </c>
      <c r="J2395" s="3" t="s">
        <v>15</v>
      </c>
    </row>
    <row r="2396">
      <c r="C2396" s="3" t="s">
        <v>26</v>
      </c>
      <c r="D2396" s="3">
        <v>5438.0</v>
      </c>
      <c r="E2396" s="3" t="s">
        <v>1966</v>
      </c>
      <c r="F2396" s="5">
        <v>46234.416666666664</v>
      </c>
      <c r="G2396" s="5">
        <v>46232.89418981481</v>
      </c>
      <c r="H2396" s="3" t="s">
        <v>14</v>
      </c>
      <c r="I2396" s="7">
        <v>0.0</v>
      </c>
      <c r="J2396" s="3" t="s">
        <v>15</v>
      </c>
    </row>
    <row r="2397">
      <c r="C2397" s="3" t="s">
        <v>10</v>
      </c>
      <c r="D2397" s="3">
        <v>5439.0</v>
      </c>
      <c r="E2397" s="3" t="s">
        <v>1972</v>
      </c>
      <c r="F2397" s="5">
        <v>46232.68409722222</v>
      </c>
      <c r="G2397" s="5">
        <v>46232.62596064815</v>
      </c>
      <c r="H2397" s="3" t="s">
        <v>14</v>
      </c>
      <c r="I2397" s="3">
        <v>0.0</v>
      </c>
      <c r="J2397" s="3" t="s">
        <v>15</v>
      </c>
    </row>
    <row r="2398">
      <c r="C2398" s="3" t="s">
        <v>17</v>
      </c>
      <c r="D2398" s="3">
        <v>5439.0</v>
      </c>
      <c r="E2398" s="3" t="s">
        <v>1972</v>
      </c>
      <c r="F2398" s="5">
        <v>46232.691041666665</v>
      </c>
      <c r="G2398" s="5">
        <v>46232.626076388886</v>
      </c>
      <c r="H2398" s="3" t="s">
        <v>14</v>
      </c>
      <c r="I2398" s="7">
        <v>0.0</v>
      </c>
      <c r="J2398" s="3" t="s">
        <v>15</v>
      </c>
    </row>
    <row r="2399">
      <c r="C2399" s="3" t="s">
        <v>21</v>
      </c>
      <c r="D2399" s="3">
        <v>5439.0</v>
      </c>
      <c r="E2399" s="3" t="s">
        <v>1972</v>
      </c>
      <c r="F2399" s="5">
        <v>46232.79520833334</v>
      </c>
      <c r="G2399" s="5">
        <v>46232.69824074074</v>
      </c>
      <c r="H2399" s="3" t="s">
        <v>14</v>
      </c>
      <c r="I2399" s="7">
        <v>0.0</v>
      </c>
      <c r="J2399" s="3" t="s">
        <v>15</v>
      </c>
    </row>
    <row r="2400">
      <c r="C2400" s="3" t="s">
        <v>24</v>
      </c>
      <c r="D2400" s="3">
        <v>5439.0</v>
      </c>
      <c r="E2400" s="3" t="s">
        <v>1972</v>
      </c>
      <c r="F2400" s="5">
        <v>46233.79513888889</v>
      </c>
      <c r="G2400" s="5">
        <v>46232.894108796296</v>
      </c>
      <c r="H2400" s="3" t="s">
        <v>14</v>
      </c>
      <c r="I2400" s="7">
        <v>0.0</v>
      </c>
      <c r="J2400" s="3" t="s">
        <v>15</v>
      </c>
    </row>
    <row r="2401">
      <c r="C2401" s="3" t="s">
        <v>26</v>
      </c>
      <c r="D2401" s="3">
        <v>5439.0</v>
      </c>
      <c r="E2401" s="3" t="s">
        <v>1972</v>
      </c>
      <c r="F2401" s="5">
        <v>46234.42013888889</v>
      </c>
      <c r="G2401" s="5">
        <v>46232.894166666665</v>
      </c>
      <c r="H2401" s="3" t="s">
        <v>14</v>
      </c>
      <c r="I2401" s="7">
        <v>0.0</v>
      </c>
      <c r="J2401" s="3" t="s">
        <v>15</v>
      </c>
    </row>
    <row r="2402">
      <c r="C2402" s="3" t="s">
        <v>10</v>
      </c>
      <c r="D2402" s="3">
        <v>5440.0</v>
      </c>
      <c r="E2402" s="3" t="s">
        <v>166</v>
      </c>
      <c r="F2402" s="5">
        <v>46233.71</v>
      </c>
      <c r="G2402" s="5">
        <v>46233.56538194444</v>
      </c>
      <c r="H2402" s="3" t="s">
        <v>14</v>
      </c>
      <c r="I2402" s="3">
        <v>0.0</v>
      </c>
      <c r="J2402" s="3" t="s">
        <v>15</v>
      </c>
    </row>
    <row r="2403">
      <c r="C2403" s="3" t="s">
        <v>17</v>
      </c>
      <c r="D2403" s="3">
        <v>5440.0</v>
      </c>
      <c r="E2403" s="3" t="s">
        <v>166</v>
      </c>
      <c r="F2403" s="5">
        <v>46233.716944444444</v>
      </c>
      <c r="G2403" s="5">
        <v>46233.56545138889</v>
      </c>
      <c r="H2403" s="3" t="s">
        <v>14</v>
      </c>
      <c r="I2403" s="7">
        <v>0.0</v>
      </c>
      <c r="J2403" s="3" t="s">
        <v>15</v>
      </c>
    </row>
    <row r="2404">
      <c r="C2404" s="3" t="s">
        <v>21</v>
      </c>
      <c r="D2404" s="3">
        <v>5440.0</v>
      </c>
      <c r="E2404" s="3" t="s">
        <v>166</v>
      </c>
      <c r="F2404" s="5">
        <v>46233.82111111111</v>
      </c>
      <c r="G2404" s="5">
        <v>46233.56549768519</v>
      </c>
      <c r="H2404" s="3" t="s">
        <v>14</v>
      </c>
      <c r="I2404" s="7">
        <v>0.0</v>
      </c>
      <c r="J2404" s="3" t="s">
        <v>15</v>
      </c>
    </row>
    <row r="2405">
      <c r="C2405" s="3" t="s">
        <v>24</v>
      </c>
      <c r="D2405" s="3">
        <v>5440.0</v>
      </c>
      <c r="E2405" s="3" t="s">
        <v>166</v>
      </c>
      <c r="F2405" s="5">
        <v>46234.82083333333</v>
      </c>
      <c r="G2405" s="5">
        <v>46234.7843287037</v>
      </c>
      <c r="H2405" s="3" t="s">
        <v>14</v>
      </c>
      <c r="I2405" s="7">
        <v>0.0</v>
      </c>
      <c r="J2405" s="3" t="s">
        <v>15</v>
      </c>
    </row>
    <row r="2406">
      <c r="C2406" s="3" t="s">
        <v>26</v>
      </c>
      <c r="D2406" s="3">
        <v>5440.0</v>
      </c>
      <c r="E2406" s="3" t="s">
        <v>166</v>
      </c>
      <c r="F2406" s="5">
        <v>46235.44583333333</v>
      </c>
      <c r="G2406" s="5">
        <v>46234.78439814815</v>
      </c>
      <c r="H2406" s="3" t="s">
        <v>14</v>
      </c>
      <c r="I2406" s="7">
        <v>0.0</v>
      </c>
      <c r="J2406" s="3" t="s">
        <v>15</v>
      </c>
    </row>
    <row r="2407">
      <c r="C2407" s="3" t="s">
        <v>10</v>
      </c>
      <c r="D2407" s="3">
        <v>5441.0</v>
      </c>
      <c r="E2407" s="3" t="s">
        <v>1979</v>
      </c>
      <c r="F2407" s="5">
        <v>46233.791180555556</v>
      </c>
      <c r="G2407" s="5">
        <v>46233.71732638889</v>
      </c>
      <c r="H2407" s="3" t="s">
        <v>14</v>
      </c>
      <c r="I2407" s="3">
        <v>0.0</v>
      </c>
      <c r="J2407" s="3" t="s">
        <v>72</v>
      </c>
    </row>
    <row r="2408">
      <c r="C2408" s="3" t="s">
        <v>17</v>
      </c>
      <c r="D2408" s="3">
        <v>5441.0</v>
      </c>
      <c r="E2408" s="3" t="s">
        <v>1979</v>
      </c>
      <c r="F2408" s="5">
        <v>46233.798125</v>
      </c>
      <c r="G2408" s="5">
        <v>46233.71741898148</v>
      </c>
      <c r="H2408" s="3" t="s">
        <v>14</v>
      </c>
      <c r="I2408" s="7">
        <v>0.0</v>
      </c>
      <c r="J2408" s="3" t="s">
        <v>72</v>
      </c>
    </row>
    <row r="2409">
      <c r="C2409" s="3" t="s">
        <v>21</v>
      </c>
      <c r="D2409" s="3">
        <v>5441.0</v>
      </c>
      <c r="E2409" s="3" t="s">
        <v>1979</v>
      </c>
      <c r="F2409" s="5">
        <v>46234.464583333334</v>
      </c>
      <c r="G2409" s="5">
        <v>46233.8325462963</v>
      </c>
      <c r="H2409" s="3" t="s">
        <v>14</v>
      </c>
      <c r="I2409" s="7">
        <v>0.0</v>
      </c>
      <c r="J2409" s="3" t="s">
        <v>72</v>
      </c>
    </row>
    <row r="2410">
      <c r="C2410" s="3" t="s">
        <v>24</v>
      </c>
      <c r="D2410" s="3">
        <v>5441.0</v>
      </c>
      <c r="E2410" s="3" t="s">
        <v>1979</v>
      </c>
      <c r="F2410" s="5">
        <v>46235.464583333334</v>
      </c>
      <c r="G2410" s="5">
        <v>46234.79736111111</v>
      </c>
      <c r="H2410" s="3" t="s">
        <v>14</v>
      </c>
      <c r="I2410" s="7">
        <v>0.0</v>
      </c>
      <c r="J2410" s="3" t="s">
        <v>72</v>
      </c>
    </row>
    <row r="2411">
      <c r="C2411" s="3" t="s">
        <v>26</v>
      </c>
      <c r="D2411" s="3">
        <v>5441.0</v>
      </c>
      <c r="E2411" s="3" t="s">
        <v>1979</v>
      </c>
      <c r="F2411" s="5">
        <v>46235.50625</v>
      </c>
      <c r="G2411" s="5">
        <v>46234.79740740741</v>
      </c>
      <c r="H2411" s="3" t="s">
        <v>14</v>
      </c>
      <c r="I2411" s="7">
        <v>0.0</v>
      </c>
      <c r="J2411" s="3" t="s">
        <v>72</v>
      </c>
    </row>
    <row r="2412">
      <c r="C2412" s="3" t="s">
        <v>10</v>
      </c>
      <c r="D2412" s="3">
        <v>5442.0</v>
      </c>
      <c r="E2412" s="3" t="s">
        <v>1014</v>
      </c>
      <c r="F2412" s="5">
        <v>46234.669444444444</v>
      </c>
      <c r="G2412" s="5">
        <v>46234.656493055554</v>
      </c>
      <c r="H2412" s="3" t="s">
        <v>14</v>
      </c>
      <c r="I2412" s="3">
        <v>0.0</v>
      </c>
      <c r="J2412" s="3" t="s">
        <v>15</v>
      </c>
    </row>
    <row r="2413">
      <c r="C2413" s="3" t="s">
        <v>17</v>
      </c>
      <c r="D2413" s="3">
        <v>5442.0</v>
      </c>
      <c r="E2413" s="3" t="s">
        <v>1014</v>
      </c>
      <c r="F2413" s="5">
        <v>46234.67638888889</v>
      </c>
      <c r="G2413" s="5">
        <v>46234.6565625</v>
      </c>
      <c r="H2413" s="3" t="s">
        <v>14</v>
      </c>
      <c r="I2413" s="7">
        <v>0.0</v>
      </c>
      <c r="J2413" s="3" t="s">
        <v>15</v>
      </c>
    </row>
    <row r="2414">
      <c r="C2414" s="3" t="s">
        <v>21</v>
      </c>
      <c r="D2414" s="3">
        <v>5442.0</v>
      </c>
      <c r="E2414" s="3" t="s">
        <v>1014</v>
      </c>
      <c r="F2414" s="5">
        <v>46234.78055555555</v>
      </c>
      <c r="G2414" s="5">
        <v>46234.6568287037</v>
      </c>
      <c r="H2414" s="3" t="s">
        <v>14</v>
      </c>
      <c r="I2414" s="7">
        <v>0.0</v>
      </c>
      <c r="J2414" s="3" t="s">
        <v>15</v>
      </c>
    </row>
    <row r="2415">
      <c r="C2415" s="3" t="s">
        <v>24</v>
      </c>
      <c r="D2415" s="3">
        <v>5442.0</v>
      </c>
      <c r="E2415" s="3" t="s">
        <v>1014</v>
      </c>
      <c r="F2415" s="5">
        <v>46235.78055555555</v>
      </c>
      <c r="G2415" s="5">
        <v>46234.79143518519</v>
      </c>
      <c r="H2415" s="3" t="s">
        <v>14</v>
      </c>
      <c r="I2415" s="7">
        <v>0.0</v>
      </c>
      <c r="J2415" s="3" t="s">
        <v>15</v>
      </c>
    </row>
    <row r="2416">
      <c r="C2416" s="3" t="s">
        <v>26</v>
      </c>
      <c r="D2416" s="3">
        <v>5442.0</v>
      </c>
      <c r="E2416" s="3" t="s">
        <v>1014</v>
      </c>
      <c r="F2416" s="5">
        <v>46235.822222222225</v>
      </c>
      <c r="G2416" s="5">
        <v>46234.791354166664</v>
      </c>
      <c r="H2416" s="3" t="s">
        <v>14</v>
      </c>
      <c r="I2416" s="7">
        <v>0.0</v>
      </c>
      <c r="J2416" s="3" t="s">
        <v>15</v>
      </c>
    </row>
    <row r="2417">
      <c r="C2417" s="3" t="s">
        <v>10</v>
      </c>
      <c r="D2417" s="3">
        <v>5443.0</v>
      </c>
      <c r="E2417" s="3" t="s">
        <v>1989</v>
      </c>
      <c r="F2417" s="5">
        <v>46234.67056712963</v>
      </c>
      <c r="G2417" s="5">
        <v>46234.65650462963</v>
      </c>
      <c r="H2417" s="3" t="s">
        <v>14</v>
      </c>
      <c r="I2417" s="3">
        <v>0.0</v>
      </c>
      <c r="J2417" s="3" t="s">
        <v>15</v>
      </c>
    </row>
    <row r="2418">
      <c r="C2418" s="3" t="s">
        <v>17</v>
      </c>
      <c r="D2418" s="3">
        <v>5443.0</v>
      </c>
      <c r="E2418" s="3" t="s">
        <v>1989</v>
      </c>
      <c r="F2418" s="5">
        <v>46234.677511574075</v>
      </c>
      <c r="G2418" s="5">
        <v>46234.65659722222</v>
      </c>
      <c r="H2418" s="3" t="s">
        <v>14</v>
      </c>
      <c r="I2418" s="7">
        <v>0.0</v>
      </c>
      <c r="J2418" s="3" t="s">
        <v>15</v>
      </c>
    </row>
    <row r="2419">
      <c r="C2419" s="3" t="s">
        <v>21</v>
      </c>
      <c r="D2419" s="3">
        <v>5443.0</v>
      </c>
      <c r="E2419" s="3" t="s">
        <v>1989</v>
      </c>
      <c r="F2419" s="5">
        <v>46234.78167824074</v>
      </c>
      <c r="G2419" s="5">
        <v>46234.657060185185</v>
      </c>
      <c r="H2419" s="3" t="s">
        <v>14</v>
      </c>
      <c r="I2419" s="7">
        <v>0.0</v>
      </c>
      <c r="J2419" s="3" t="s">
        <v>15</v>
      </c>
    </row>
    <row r="2420">
      <c r="C2420" s="3" t="s">
        <v>24</v>
      </c>
      <c r="D2420" s="3">
        <v>5443.0</v>
      </c>
      <c r="E2420" s="3" t="s">
        <v>1989</v>
      </c>
      <c r="F2420" s="5">
        <v>46235.78125</v>
      </c>
      <c r="G2420" s="5">
        <v>46234.79174768519</v>
      </c>
      <c r="H2420" s="3" t="s">
        <v>14</v>
      </c>
      <c r="I2420" s="7">
        <v>0.0</v>
      </c>
      <c r="J2420" s="3" t="s">
        <v>15</v>
      </c>
    </row>
    <row r="2421">
      <c r="C2421" s="3" t="s">
        <v>26</v>
      </c>
      <c r="D2421" s="3">
        <v>5443.0</v>
      </c>
      <c r="E2421" s="3" t="s">
        <v>1989</v>
      </c>
      <c r="F2421" s="5">
        <v>46235.822916666664</v>
      </c>
      <c r="G2421" s="5">
        <v>46234.791817129626</v>
      </c>
      <c r="H2421" s="3" t="s">
        <v>14</v>
      </c>
      <c r="I2421" s="7">
        <v>0.0</v>
      </c>
      <c r="J2421" s="3" t="s">
        <v>15</v>
      </c>
    </row>
    <row r="2422">
      <c r="C2422" s="3" t="s">
        <v>10</v>
      </c>
      <c r="D2422" s="3">
        <v>5444.0</v>
      </c>
      <c r="E2422" s="3" t="s">
        <v>1992</v>
      </c>
      <c r="F2422" s="5">
        <v>46234.78420138889</v>
      </c>
      <c r="G2422" s="5">
        <v>46234.78165509259</v>
      </c>
      <c r="H2422" s="3" t="s">
        <v>14</v>
      </c>
      <c r="I2422" s="3">
        <v>0.0</v>
      </c>
      <c r="J2422" s="3" t="s">
        <v>72</v>
      </c>
    </row>
    <row r="2423">
      <c r="C2423" s="3" t="s">
        <v>17</v>
      </c>
      <c r="D2423" s="3">
        <v>5444.0</v>
      </c>
      <c r="E2423" s="3" t="s">
        <v>1992</v>
      </c>
      <c r="F2423" s="5">
        <v>46234.79114583333</v>
      </c>
      <c r="G2423" s="5">
        <v>46234.7821875</v>
      </c>
      <c r="H2423" s="3" t="s">
        <v>14</v>
      </c>
      <c r="I2423" s="7">
        <v>0.0</v>
      </c>
      <c r="J2423" s="3" t="s">
        <v>72</v>
      </c>
    </row>
    <row r="2424">
      <c r="C2424" s="3" t="s">
        <v>21</v>
      </c>
      <c r="D2424" s="3">
        <v>5444.0</v>
      </c>
      <c r="E2424" s="3" t="s">
        <v>1992</v>
      </c>
      <c r="F2424" s="5">
        <v>46235.49930555555</v>
      </c>
      <c r="G2424" s="5">
        <v>46234.78230324074</v>
      </c>
      <c r="H2424" s="3" t="s">
        <v>14</v>
      </c>
      <c r="I2424" s="7">
        <v>0.0</v>
      </c>
      <c r="J2424" s="3" t="s">
        <v>72</v>
      </c>
    </row>
    <row r="2425">
      <c r="C2425" s="3" t="s">
        <v>24</v>
      </c>
      <c r="D2425" s="3">
        <v>5444.0</v>
      </c>
      <c r="E2425" s="3" t="s">
        <v>1992</v>
      </c>
      <c r="F2425" s="5">
        <v>46237.49930555555</v>
      </c>
      <c r="G2425" s="5">
        <v>46237.39833333333</v>
      </c>
      <c r="H2425" s="3" t="s">
        <v>14</v>
      </c>
      <c r="I2425" s="7">
        <v>0.0</v>
      </c>
      <c r="J2425" s="3" t="s">
        <v>72</v>
      </c>
    </row>
    <row r="2426">
      <c r="C2426" s="3" t="s">
        <v>26</v>
      </c>
      <c r="D2426" s="3">
        <v>5444.0</v>
      </c>
      <c r="E2426" s="3" t="s">
        <v>1992</v>
      </c>
      <c r="F2426" s="5">
        <v>46237.540972222225</v>
      </c>
      <c r="G2426" s="5">
        <v>46237.3983912037</v>
      </c>
      <c r="H2426" s="3" t="s">
        <v>14</v>
      </c>
      <c r="I2426" s="7">
        <v>0.0</v>
      </c>
      <c r="J2426" s="3" t="s">
        <v>72</v>
      </c>
    </row>
    <row r="2427">
      <c r="C2427" s="3" t="s">
        <v>10</v>
      </c>
      <c r="D2427" s="3">
        <v>5445.0</v>
      </c>
      <c r="E2427" s="3" t="s">
        <v>1996</v>
      </c>
      <c r="F2427" s="5">
        <v>46234.81905092593</v>
      </c>
      <c r="G2427" s="5">
        <v>46234.781909722224</v>
      </c>
      <c r="H2427" s="3" t="s">
        <v>14</v>
      </c>
      <c r="I2427" s="3">
        <v>0.0</v>
      </c>
      <c r="J2427" s="3" t="s">
        <v>15</v>
      </c>
    </row>
    <row r="2428">
      <c r="C2428" s="3" t="s">
        <v>17</v>
      </c>
      <c r="D2428" s="3">
        <v>5445.0</v>
      </c>
      <c r="E2428" s="3" t="s">
        <v>1996</v>
      </c>
      <c r="F2428" s="5">
        <v>46234.82599537037</v>
      </c>
      <c r="G2428" s="5">
        <v>46235.60121527778</v>
      </c>
      <c r="H2428" s="3" t="s">
        <v>14</v>
      </c>
      <c r="I2428" s="7">
        <v>0.7752199074074074</v>
      </c>
      <c r="J2428" s="3" t="s">
        <v>15</v>
      </c>
    </row>
    <row r="2429">
      <c r="C2429" s="3" t="s">
        <v>21</v>
      </c>
      <c r="D2429" s="3">
        <v>5445.0</v>
      </c>
      <c r="E2429" s="3" t="s">
        <v>1996</v>
      </c>
      <c r="F2429" s="5">
        <v>46235.53402777778</v>
      </c>
      <c r="G2429" s="5">
        <v>46234.782314814816</v>
      </c>
      <c r="H2429" s="3" t="s">
        <v>14</v>
      </c>
      <c r="I2429" s="7">
        <v>0.0</v>
      </c>
      <c r="J2429" s="3" t="s">
        <v>15</v>
      </c>
    </row>
    <row r="2430">
      <c r="C2430" s="3" t="s">
        <v>24</v>
      </c>
      <c r="D2430" s="3">
        <v>5445.0</v>
      </c>
      <c r="E2430" s="3" t="s">
        <v>1996</v>
      </c>
      <c r="F2430" s="5">
        <v>46237.53402777778</v>
      </c>
      <c r="G2430" s="5">
        <v>46235.60135416667</v>
      </c>
      <c r="H2430" s="3" t="s">
        <v>14</v>
      </c>
      <c r="I2430" s="7">
        <v>0.0</v>
      </c>
      <c r="J2430" s="3" t="s">
        <v>15</v>
      </c>
    </row>
    <row r="2431">
      <c r="C2431" s="3" t="s">
        <v>26</v>
      </c>
      <c r="D2431" s="3">
        <v>5445.0</v>
      </c>
      <c r="E2431" s="3" t="s">
        <v>1996</v>
      </c>
      <c r="F2431" s="5">
        <v>46237.575694444444</v>
      </c>
      <c r="G2431" s="5">
        <v>46236.391168981485</v>
      </c>
      <c r="H2431" s="3" t="s">
        <v>14</v>
      </c>
      <c r="I2431" s="7">
        <v>0.0</v>
      </c>
      <c r="J2431" s="3" t="s">
        <v>15</v>
      </c>
    </row>
    <row r="2432">
      <c r="C2432" s="3" t="s">
        <v>10</v>
      </c>
      <c r="D2432" s="3">
        <v>5446.0</v>
      </c>
      <c r="E2432" s="3" t="s">
        <v>1999</v>
      </c>
      <c r="F2432" s="5">
        <v>46235.715104166666</v>
      </c>
      <c r="G2432" s="5">
        <v>46235.60109953704</v>
      </c>
      <c r="H2432" s="3" t="s">
        <v>14</v>
      </c>
      <c r="I2432" s="3">
        <v>0.0</v>
      </c>
      <c r="J2432" s="3" t="s">
        <v>72</v>
      </c>
    </row>
    <row r="2433">
      <c r="C2433" s="3" t="s">
        <v>17</v>
      </c>
      <c r="D2433" s="3">
        <v>5446.0</v>
      </c>
      <c r="E2433" s="3" t="s">
        <v>1999</v>
      </c>
      <c r="F2433" s="5">
        <v>46235.72204861111</v>
      </c>
      <c r="G2433" s="5">
        <v>46235.60118055555</v>
      </c>
      <c r="H2433" s="3" t="s">
        <v>14</v>
      </c>
      <c r="I2433" s="7">
        <v>0.0</v>
      </c>
      <c r="J2433" s="3" t="s">
        <v>72</v>
      </c>
    </row>
    <row r="2434">
      <c r="C2434" s="3" t="s">
        <v>21</v>
      </c>
      <c r="D2434" s="3">
        <v>5446.0</v>
      </c>
      <c r="E2434" s="3" t="s">
        <v>1999</v>
      </c>
      <c r="F2434" s="5">
        <v>46235.826215277775</v>
      </c>
      <c r="G2434" s="5">
        <v>46235.601273148146</v>
      </c>
      <c r="H2434" s="3" t="s">
        <v>14</v>
      </c>
      <c r="I2434" s="7">
        <v>0.0</v>
      </c>
      <c r="J2434" s="3" t="s">
        <v>72</v>
      </c>
    </row>
    <row r="2435">
      <c r="C2435" s="3" t="s">
        <v>24</v>
      </c>
      <c r="D2435" s="3">
        <v>5446.0</v>
      </c>
      <c r="E2435" s="3" t="s">
        <v>1999</v>
      </c>
      <c r="F2435" s="5">
        <v>46237.825694444444</v>
      </c>
      <c r="G2435" s="5">
        <v>46235.60136574074</v>
      </c>
      <c r="H2435" s="3" t="s">
        <v>14</v>
      </c>
      <c r="I2435" s="7">
        <v>0.0</v>
      </c>
      <c r="J2435" s="3" t="s">
        <v>72</v>
      </c>
    </row>
    <row r="2436">
      <c r="C2436" s="3" t="s">
        <v>26</v>
      </c>
      <c r="D2436" s="3">
        <v>5446.0</v>
      </c>
      <c r="E2436" s="3" t="s">
        <v>1999</v>
      </c>
      <c r="F2436" s="5">
        <v>46238.450694444444</v>
      </c>
      <c r="G2436" s="5">
        <v>46236.39119212963</v>
      </c>
      <c r="H2436" s="3" t="s">
        <v>14</v>
      </c>
      <c r="I2436" s="7">
        <v>0.0</v>
      </c>
      <c r="J2436" s="3" t="s">
        <v>72</v>
      </c>
    </row>
    <row r="2437">
      <c r="C2437" s="3" t="s">
        <v>10</v>
      </c>
      <c r="D2437" s="3">
        <v>5447.0</v>
      </c>
      <c r="E2437" s="3" t="s">
        <v>166</v>
      </c>
      <c r="F2437" s="5">
        <v>46238.607141203705</v>
      </c>
      <c r="G2437" s="5">
        <v>46238.52271990741</v>
      </c>
      <c r="H2437" s="3" t="s">
        <v>14</v>
      </c>
      <c r="I2437" s="3">
        <v>0.0</v>
      </c>
      <c r="J2437" s="3" t="s">
        <v>15</v>
      </c>
    </row>
    <row r="2438">
      <c r="C2438" s="3" t="s">
        <v>17</v>
      </c>
      <c r="D2438" s="3">
        <v>5447.0</v>
      </c>
      <c r="E2438" s="3" t="s">
        <v>166</v>
      </c>
      <c r="F2438" s="5">
        <v>46238.61408564815</v>
      </c>
      <c r="G2438" s="5">
        <v>46238.5228125</v>
      </c>
      <c r="H2438" s="3" t="s">
        <v>14</v>
      </c>
      <c r="I2438" s="7">
        <v>0.0</v>
      </c>
      <c r="J2438" s="3" t="s">
        <v>15</v>
      </c>
    </row>
    <row r="2439">
      <c r="C2439" s="3" t="s">
        <v>21</v>
      </c>
      <c r="D2439" s="3">
        <v>5447.0</v>
      </c>
      <c r="E2439" s="3" t="s">
        <v>166</v>
      </c>
      <c r="F2439" s="5">
        <v>46238.718252314815</v>
      </c>
      <c r="G2439" s="5">
        <v>46238.52287037037</v>
      </c>
      <c r="H2439" s="3" t="s">
        <v>14</v>
      </c>
      <c r="I2439" s="7">
        <v>0.0</v>
      </c>
      <c r="J2439" s="3" t="s">
        <v>15</v>
      </c>
    </row>
    <row r="2440">
      <c r="C2440" s="3" t="s">
        <v>24</v>
      </c>
      <c r="D2440" s="3">
        <v>5447.0</v>
      </c>
      <c r="E2440" s="3" t="s">
        <v>166</v>
      </c>
      <c r="F2440" s="5">
        <v>46239.71805555555</v>
      </c>
      <c r="G2440" s="5">
        <v>46238.523043981484</v>
      </c>
      <c r="H2440" s="3" t="s">
        <v>14</v>
      </c>
      <c r="I2440" s="7">
        <v>0.0</v>
      </c>
      <c r="J2440" s="3" t="s">
        <v>15</v>
      </c>
    </row>
    <row r="2441">
      <c r="C2441" s="3" t="s">
        <v>26</v>
      </c>
      <c r="D2441" s="3">
        <v>5447.0</v>
      </c>
      <c r="E2441" s="3" t="s">
        <v>166</v>
      </c>
      <c r="F2441" s="5">
        <v>46239.759722222225</v>
      </c>
      <c r="G2441" s="5">
        <v>46238.58546296296</v>
      </c>
      <c r="H2441" s="3" t="s">
        <v>14</v>
      </c>
      <c r="I2441" s="7">
        <v>0.0</v>
      </c>
      <c r="J2441" s="3" t="s">
        <v>15</v>
      </c>
    </row>
    <row r="2442">
      <c r="C2442" s="3" t="s">
        <v>10</v>
      </c>
      <c r="D2442" s="3">
        <v>5448.0</v>
      </c>
      <c r="E2442" s="3" t="s">
        <v>166</v>
      </c>
      <c r="F2442" s="5">
        <v>46239.58828703704</v>
      </c>
      <c r="G2442" s="5">
        <v>46239.43765046296</v>
      </c>
      <c r="H2442" s="3" t="s">
        <v>14</v>
      </c>
      <c r="I2442" s="3">
        <v>0.0</v>
      </c>
      <c r="J2442" s="3" t="s">
        <v>15</v>
      </c>
    </row>
    <row r="2443">
      <c r="C2443" s="3" t="s">
        <v>17</v>
      </c>
      <c r="D2443" s="3">
        <v>5448.0</v>
      </c>
      <c r="E2443" s="3" t="s">
        <v>166</v>
      </c>
      <c r="F2443" s="5">
        <v>46239.59523148148</v>
      </c>
      <c r="G2443" s="5">
        <v>46239.437731481485</v>
      </c>
      <c r="H2443" s="3" t="s">
        <v>14</v>
      </c>
      <c r="I2443" s="7">
        <v>0.0</v>
      </c>
      <c r="J2443" s="3" t="s">
        <v>15</v>
      </c>
    </row>
    <row r="2444">
      <c r="C2444" s="3" t="s">
        <v>21</v>
      </c>
      <c r="D2444" s="3">
        <v>5448.0</v>
      </c>
      <c r="E2444" s="3" t="s">
        <v>166</v>
      </c>
      <c r="F2444" s="5">
        <v>46239.69939814815</v>
      </c>
      <c r="G2444" s="5">
        <v>46239.43783564815</v>
      </c>
      <c r="H2444" s="3" t="s">
        <v>14</v>
      </c>
      <c r="I2444" s="7">
        <v>0.0</v>
      </c>
      <c r="J2444" s="3" t="s">
        <v>15</v>
      </c>
    </row>
    <row r="2445">
      <c r="C2445" s="3" t="s">
        <v>24</v>
      </c>
      <c r="D2445" s="3">
        <v>5448.0</v>
      </c>
      <c r="E2445" s="3" t="s">
        <v>166</v>
      </c>
      <c r="F2445" s="5">
        <v>46240.69930555556</v>
      </c>
      <c r="G2445" s="5">
        <v>46239.80278935185</v>
      </c>
      <c r="H2445" s="3" t="s">
        <v>14</v>
      </c>
      <c r="I2445" s="7">
        <v>0.0</v>
      </c>
      <c r="J2445" s="3" t="s">
        <v>15</v>
      </c>
    </row>
    <row r="2446">
      <c r="C2446" s="3" t="s">
        <v>26</v>
      </c>
      <c r="D2446" s="3">
        <v>5448.0</v>
      </c>
      <c r="E2446" s="3" t="s">
        <v>166</v>
      </c>
      <c r="F2446" s="5">
        <v>46240.74097222222</v>
      </c>
      <c r="G2446" s="5">
        <v>46239.802881944444</v>
      </c>
      <c r="H2446" s="3" t="s">
        <v>14</v>
      </c>
      <c r="I2446" s="7">
        <v>0.0</v>
      </c>
      <c r="J2446" s="3" t="s">
        <v>15</v>
      </c>
    </row>
    <row r="2447">
      <c r="C2447" s="3" t="s">
        <v>10</v>
      </c>
      <c r="D2447" s="3">
        <v>5449.0</v>
      </c>
      <c r="E2447" s="3" t="s">
        <v>166</v>
      </c>
      <c r="F2447" s="5">
        <v>46239.666909722226</v>
      </c>
      <c r="G2447" s="5">
        <v>46239.52568287037</v>
      </c>
      <c r="H2447" s="3" t="s">
        <v>14</v>
      </c>
      <c r="I2447" s="3">
        <v>0.0</v>
      </c>
      <c r="J2447" s="3" t="s">
        <v>15</v>
      </c>
    </row>
    <row r="2448">
      <c r="C2448" s="3" t="s">
        <v>17</v>
      </c>
      <c r="D2448" s="3">
        <v>5449.0</v>
      </c>
      <c r="E2448" s="3" t="s">
        <v>166</v>
      </c>
      <c r="F2448" s="5">
        <v>46239.673854166664</v>
      </c>
      <c r="G2448" s="5">
        <v>46239.525972222225</v>
      </c>
      <c r="H2448" s="3" t="s">
        <v>14</v>
      </c>
      <c r="I2448" s="7">
        <v>0.0</v>
      </c>
      <c r="J2448" s="3" t="s">
        <v>15</v>
      </c>
    </row>
    <row r="2449">
      <c r="C2449" s="3" t="s">
        <v>21</v>
      </c>
      <c r="D2449" s="3">
        <v>5449.0</v>
      </c>
      <c r="E2449" s="3" t="s">
        <v>166</v>
      </c>
      <c r="F2449" s="5">
        <v>46239.778020833335</v>
      </c>
      <c r="G2449" s="5">
        <v>46239.76039351852</v>
      </c>
      <c r="H2449" s="3" t="s">
        <v>14</v>
      </c>
      <c r="I2449" s="7">
        <v>0.0</v>
      </c>
      <c r="J2449" s="3" t="s">
        <v>15</v>
      </c>
    </row>
    <row r="2450">
      <c r="C2450" s="3" t="s">
        <v>24</v>
      </c>
      <c r="D2450" s="3">
        <v>5449.0</v>
      </c>
      <c r="E2450" s="3" t="s">
        <v>166</v>
      </c>
      <c r="F2450" s="5">
        <v>46240.77777777778</v>
      </c>
      <c r="G2450" s="5">
        <v>46239.80280092593</v>
      </c>
      <c r="H2450" s="3" t="s">
        <v>14</v>
      </c>
      <c r="I2450" s="7">
        <v>0.0</v>
      </c>
      <c r="J2450" s="3" t="s">
        <v>15</v>
      </c>
    </row>
    <row r="2451">
      <c r="C2451" s="3" t="s">
        <v>26</v>
      </c>
      <c r="D2451" s="3">
        <v>5449.0</v>
      </c>
      <c r="E2451" s="3" t="s">
        <v>166</v>
      </c>
      <c r="F2451" s="5">
        <v>46240.819444444445</v>
      </c>
      <c r="G2451" s="5">
        <v>46239.80290509259</v>
      </c>
      <c r="H2451" s="3" t="s">
        <v>14</v>
      </c>
      <c r="I2451" s="7">
        <v>0.0</v>
      </c>
      <c r="J2451" s="3" t="s">
        <v>15</v>
      </c>
    </row>
    <row r="2452">
      <c r="C2452" s="3" t="s">
        <v>10</v>
      </c>
      <c r="D2452" s="3">
        <v>5450.0</v>
      </c>
      <c r="E2452" s="3" t="s">
        <v>2013</v>
      </c>
      <c r="F2452" s="5">
        <v>46239.668807870374</v>
      </c>
      <c r="G2452" s="5">
        <v>46239.52570601852</v>
      </c>
      <c r="H2452" s="3" t="s">
        <v>14</v>
      </c>
      <c r="I2452" s="3">
        <v>0.0</v>
      </c>
      <c r="J2452" s="3" t="s">
        <v>15</v>
      </c>
    </row>
    <row r="2453">
      <c r="C2453" s="3" t="s">
        <v>17</v>
      </c>
      <c r="D2453" s="3">
        <v>5450.0</v>
      </c>
      <c r="E2453" s="3" t="s">
        <v>2013</v>
      </c>
      <c r="F2453" s="5">
        <v>46239.67575231481</v>
      </c>
      <c r="G2453" s="5">
        <v>46239.52599537037</v>
      </c>
      <c r="H2453" s="3" t="s">
        <v>14</v>
      </c>
      <c r="I2453" s="7">
        <v>0.0</v>
      </c>
      <c r="J2453" s="3" t="s">
        <v>15</v>
      </c>
    </row>
    <row r="2454">
      <c r="C2454" s="3" t="s">
        <v>21</v>
      </c>
      <c r="D2454" s="3">
        <v>5450.0</v>
      </c>
      <c r="E2454" s="3" t="s">
        <v>2013</v>
      </c>
      <c r="F2454" s="5">
        <v>46239.77991898148</v>
      </c>
      <c r="G2454" s="5">
        <v>46239.76042824074</v>
      </c>
      <c r="H2454" s="3" t="s">
        <v>14</v>
      </c>
      <c r="I2454" s="7">
        <v>0.0</v>
      </c>
      <c r="J2454" s="3" t="s">
        <v>15</v>
      </c>
    </row>
    <row r="2455">
      <c r="C2455" s="3" t="s">
        <v>24</v>
      </c>
      <c r="D2455" s="3">
        <v>5450.0</v>
      </c>
      <c r="E2455" s="3" t="s">
        <v>2013</v>
      </c>
      <c r="F2455" s="5">
        <v>46240.779861111114</v>
      </c>
      <c r="G2455" s="5">
        <v>46239.802569444444</v>
      </c>
      <c r="H2455" s="3" t="s">
        <v>14</v>
      </c>
      <c r="I2455" s="7">
        <v>0.0</v>
      </c>
      <c r="J2455" s="3" t="s">
        <v>15</v>
      </c>
    </row>
    <row r="2456">
      <c r="C2456" s="3" t="s">
        <v>26</v>
      </c>
      <c r="D2456" s="3">
        <v>5450.0</v>
      </c>
      <c r="E2456" s="3" t="s">
        <v>2013</v>
      </c>
      <c r="F2456" s="5">
        <v>46240.82152777778</v>
      </c>
      <c r="G2456" s="5">
        <v>46239.803148148145</v>
      </c>
      <c r="H2456" s="3" t="s">
        <v>14</v>
      </c>
      <c r="I2456" s="7">
        <v>0.0</v>
      </c>
      <c r="J2456" s="3" t="s">
        <v>15</v>
      </c>
    </row>
    <row r="2457">
      <c r="C2457" s="3" t="s">
        <v>10</v>
      </c>
      <c r="D2457" s="3">
        <v>5451.0</v>
      </c>
      <c r="E2457" s="3" t="s">
        <v>2016</v>
      </c>
      <c r="F2457" s="5">
        <v>46239.674097222225</v>
      </c>
      <c r="G2457" s="5">
        <v>46239.525729166664</v>
      </c>
      <c r="H2457" s="3" t="s">
        <v>14</v>
      </c>
      <c r="I2457" s="3">
        <v>0.0</v>
      </c>
      <c r="J2457" s="3" t="s">
        <v>15</v>
      </c>
    </row>
    <row r="2458">
      <c r="C2458" s="3" t="s">
        <v>17</v>
      </c>
      <c r="D2458" s="3">
        <v>5451.0</v>
      </c>
      <c r="E2458" s="3" t="s">
        <v>2016</v>
      </c>
      <c r="F2458" s="5">
        <v>46239.68104166666</v>
      </c>
      <c r="G2458" s="5">
        <v>46239.52605324074</v>
      </c>
      <c r="H2458" s="3" t="s">
        <v>14</v>
      </c>
      <c r="I2458" s="7">
        <v>0.0</v>
      </c>
      <c r="J2458" s="3" t="s">
        <v>15</v>
      </c>
    </row>
    <row r="2459">
      <c r="C2459" s="3" t="s">
        <v>21</v>
      </c>
      <c r="D2459" s="3">
        <v>5451.0</v>
      </c>
      <c r="E2459" s="3" t="s">
        <v>2016</v>
      </c>
      <c r="F2459" s="5">
        <v>46239.785208333335</v>
      </c>
      <c r="G2459" s="5">
        <v>46239.76045138889</v>
      </c>
      <c r="H2459" s="3" t="s">
        <v>14</v>
      </c>
      <c r="I2459" s="7">
        <v>0.0</v>
      </c>
      <c r="J2459" s="3" t="s">
        <v>15</v>
      </c>
    </row>
    <row r="2460">
      <c r="C2460" s="3" t="s">
        <v>24</v>
      </c>
      <c r="D2460" s="3">
        <v>5451.0</v>
      </c>
      <c r="E2460" s="3" t="s">
        <v>2016</v>
      </c>
      <c r="F2460" s="5">
        <v>46240.78472222222</v>
      </c>
      <c r="G2460" s="5">
        <v>46239.80258101852</v>
      </c>
      <c r="H2460" s="3" t="s">
        <v>14</v>
      </c>
      <c r="I2460" s="7">
        <v>0.0</v>
      </c>
      <c r="J2460" s="3" t="s">
        <v>15</v>
      </c>
    </row>
    <row r="2461">
      <c r="C2461" s="3" t="s">
        <v>26</v>
      </c>
      <c r="D2461" s="3">
        <v>5451.0</v>
      </c>
      <c r="E2461" s="3" t="s">
        <v>2016</v>
      </c>
      <c r="F2461" s="5">
        <v>46240.82638888889</v>
      </c>
      <c r="I2461" s="7">
        <v>0.0</v>
      </c>
      <c r="J2461" s="3" t="s">
        <v>15</v>
      </c>
    </row>
    <row r="2462">
      <c r="C2462" s="3" t="s">
        <v>10</v>
      </c>
      <c r="D2462" s="3">
        <v>5452.0</v>
      </c>
      <c r="E2462" s="3" t="s">
        <v>955</v>
      </c>
      <c r="F2462" s="5">
        <v>46239.81895833334</v>
      </c>
      <c r="G2462" s="5">
        <v>46239.68105324074</v>
      </c>
      <c r="H2462" s="3" t="s">
        <v>14</v>
      </c>
      <c r="I2462" s="3">
        <v>0.0</v>
      </c>
      <c r="J2462" s="3" t="s">
        <v>15</v>
      </c>
    </row>
    <row r="2463">
      <c r="C2463" s="3" t="s">
        <v>17</v>
      </c>
      <c r="D2463" s="3">
        <v>5452.0</v>
      </c>
      <c r="E2463" s="3" t="s">
        <v>955</v>
      </c>
      <c r="F2463" s="5">
        <v>46239.825902777775</v>
      </c>
      <c r="G2463" s="5">
        <v>46239.68111111111</v>
      </c>
      <c r="H2463" s="3" t="s">
        <v>14</v>
      </c>
      <c r="I2463" s="7">
        <v>0.0</v>
      </c>
      <c r="J2463" s="3" t="s">
        <v>15</v>
      </c>
    </row>
    <row r="2464">
      <c r="C2464" s="3" t="s">
        <v>21</v>
      </c>
      <c r="D2464" s="3">
        <v>5452.0</v>
      </c>
      <c r="E2464" s="3" t="s">
        <v>955</v>
      </c>
      <c r="F2464" s="5">
        <v>46240.53402777778</v>
      </c>
      <c r="G2464" s="5">
        <v>46239.80211805556</v>
      </c>
      <c r="H2464" s="3" t="s">
        <v>14</v>
      </c>
      <c r="I2464" s="7">
        <v>0.0</v>
      </c>
      <c r="J2464" s="3" t="s">
        <v>15</v>
      </c>
    </row>
    <row r="2465">
      <c r="C2465" s="3" t="s">
        <v>24</v>
      </c>
      <c r="D2465" s="3">
        <v>5452.0</v>
      </c>
      <c r="E2465" s="3" t="s">
        <v>955</v>
      </c>
      <c r="F2465" s="5">
        <v>46241.53402777778</v>
      </c>
      <c r="G2465" s="5">
        <v>46239.80260416667</v>
      </c>
      <c r="H2465" s="3" t="s">
        <v>14</v>
      </c>
      <c r="I2465" s="7">
        <v>0.0</v>
      </c>
      <c r="J2465" s="3" t="s">
        <v>15</v>
      </c>
    </row>
    <row r="2466">
      <c r="C2466" s="3" t="s">
        <v>26</v>
      </c>
      <c r="D2466" s="3">
        <v>5452.0</v>
      </c>
      <c r="E2466" s="3" t="s">
        <v>955</v>
      </c>
      <c r="F2466" s="5">
        <v>46241.575694444444</v>
      </c>
      <c r="I2466" s="7">
        <v>0.0</v>
      </c>
      <c r="J2466" s="3" t="s">
        <v>15</v>
      </c>
    </row>
    <row r="2467">
      <c r="C2467" s="3" t="s">
        <v>10</v>
      </c>
      <c r="D2467" s="3">
        <v>5453.0</v>
      </c>
      <c r="E2467" s="3" t="s">
        <v>166</v>
      </c>
      <c r="F2467" s="5">
        <v>46240.59234953704</v>
      </c>
      <c r="G2467" s="5">
        <v>46240.4603587963</v>
      </c>
      <c r="H2467" s="3" t="s">
        <v>14</v>
      </c>
      <c r="I2467" s="3">
        <v>0.0</v>
      </c>
      <c r="J2467" s="3" t="s">
        <v>48</v>
      </c>
    </row>
    <row r="2468">
      <c r="C2468" s="3" t="s">
        <v>17</v>
      </c>
      <c r="D2468" s="3">
        <v>5453.0</v>
      </c>
      <c r="E2468" s="3" t="s">
        <v>166</v>
      </c>
      <c r="F2468" s="5">
        <v>46240.59929398148</v>
      </c>
      <c r="G2468" s="5">
        <v>46240.46050925926</v>
      </c>
      <c r="H2468" s="3" t="s">
        <v>14</v>
      </c>
      <c r="I2468" s="7">
        <v>0.0</v>
      </c>
      <c r="J2468" s="3" t="s">
        <v>48</v>
      </c>
    </row>
    <row r="2469">
      <c r="C2469" s="3" t="s">
        <v>21</v>
      </c>
      <c r="D2469" s="3">
        <v>5453.0</v>
      </c>
      <c r="E2469" s="3" t="s">
        <v>166</v>
      </c>
      <c r="F2469" s="5">
        <v>46240.70346064815</v>
      </c>
      <c r="G2469" s="5">
        <v>46240.460543981484</v>
      </c>
      <c r="H2469" s="3" t="s">
        <v>14</v>
      </c>
      <c r="I2469" s="7">
        <v>0.0</v>
      </c>
      <c r="J2469" s="3" t="s">
        <v>48</v>
      </c>
    </row>
    <row r="2470">
      <c r="C2470" s="3" t="s">
        <v>24</v>
      </c>
      <c r="D2470" s="3">
        <v>5453.0</v>
      </c>
      <c r="E2470" s="3" t="s">
        <v>166</v>
      </c>
      <c r="F2470" s="5">
        <v>46241.70277777778</v>
      </c>
      <c r="I2470" s="7">
        <v>0.0</v>
      </c>
      <c r="J2470" s="3" t="s">
        <v>48</v>
      </c>
    </row>
    <row r="2471">
      <c r="C2471" s="3" t="s">
        <v>26</v>
      </c>
      <c r="D2471" s="3">
        <v>5453.0</v>
      </c>
      <c r="E2471" s="3" t="s">
        <v>166</v>
      </c>
      <c r="F2471" s="5">
        <v>46241.74444444444</v>
      </c>
      <c r="I2471" s="7">
        <v>0.0</v>
      </c>
      <c r="J2471" s="3" t="s">
        <v>48</v>
      </c>
    </row>
    <row r="2472">
      <c r="C2472" s="3" t="s">
        <v>10</v>
      </c>
      <c r="D2472" s="3">
        <v>5454.0</v>
      </c>
      <c r="E2472" s="3" t="s">
        <v>166</v>
      </c>
      <c r="F2472" s="5">
        <v>46240.59385416667</v>
      </c>
      <c r="G2472" s="5">
        <v>46240.46059027778</v>
      </c>
      <c r="H2472" s="3" t="s">
        <v>14</v>
      </c>
      <c r="I2472" s="3">
        <v>0.0</v>
      </c>
      <c r="J2472" s="3" t="s">
        <v>48</v>
      </c>
    </row>
    <row r="2473">
      <c r="C2473" s="3" t="s">
        <v>17</v>
      </c>
      <c r="D2473" s="3">
        <v>5454.0</v>
      </c>
      <c r="E2473" s="3" t="s">
        <v>166</v>
      </c>
      <c r="F2473" s="5">
        <v>46240.600798611114</v>
      </c>
      <c r="G2473" s="5">
        <v>46240.46063657408</v>
      </c>
      <c r="H2473" s="3" t="s">
        <v>14</v>
      </c>
      <c r="I2473" s="7">
        <v>0.0</v>
      </c>
      <c r="J2473" s="3" t="s">
        <v>48</v>
      </c>
    </row>
    <row r="2474">
      <c r="C2474" s="3" t="s">
        <v>21</v>
      </c>
      <c r="D2474" s="3">
        <v>5454.0</v>
      </c>
      <c r="E2474" s="3" t="s">
        <v>166</v>
      </c>
      <c r="F2474" s="5">
        <v>46240.70496527778</v>
      </c>
      <c r="G2474" s="5">
        <v>46240.46065972222</v>
      </c>
      <c r="H2474" s="3" t="s">
        <v>14</v>
      </c>
      <c r="I2474" s="7">
        <v>0.0</v>
      </c>
      <c r="J2474" s="3" t="s">
        <v>48</v>
      </c>
    </row>
    <row r="2475">
      <c r="C2475" s="3" t="s">
        <v>24</v>
      </c>
      <c r="D2475" s="3">
        <v>5454.0</v>
      </c>
      <c r="E2475" s="3" t="s">
        <v>166</v>
      </c>
      <c r="F2475" s="5">
        <v>46241.70486111111</v>
      </c>
      <c r="I2475" s="7">
        <v>0.0</v>
      </c>
      <c r="J2475" s="3" t="s">
        <v>48</v>
      </c>
    </row>
    <row r="2476">
      <c r="C2476" s="3" t="s">
        <v>26</v>
      </c>
      <c r="D2476" s="3">
        <v>5454.0</v>
      </c>
      <c r="E2476" s="3" t="s">
        <v>166</v>
      </c>
      <c r="F2476" s="5">
        <v>46241.74652777778</v>
      </c>
      <c r="I2476" s="7">
        <v>0.0</v>
      </c>
      <c r="J2476" s="3" t="s">
        <v>48</v>
      </c>
    </row>
    <row r="2477">
      <c r="C2477" s="3" t="s">
        <v>10</v>
      </c>
      <c r="D2477" s="3">
        <v>5455.0</v>
      </c>
      <c r="E2477" s="3" t="s">
        <v>74</v>
      </c>
      <c r="F2477" s="5">
        <v>46240.712233796294</v>
      </c>
      <c r="I2477" s="3">
        <v>0.0</v>
      </c>
    </row>
    <row r="2478">
      <c r="C2478" s="3" t="s">
        <v>17</v>
      </c>
      <c r="D2478" s="3">
        <v>5455.0</v>
      </c>
      <c r="E2478" s="3" t="s">
        <v>74</v>
      </c>
      <c r="F2478" s="5">
        <v>46240.71917824074</v>
      </c>
      <c r="I2478" s="7">
        <v>0.0</v>
      </c>
    </row>
    <row r="2479">
      <c r="C2479" s="3" t="s">
        <v>21</v>
      </c>
      <c r="D2479" s="3">
        <v>5455.0</v>
      </c>
      <c r="E2479" s="3" t="s">
        <v>74</v>
      </c>
      <c r="F2479" s="5">
        <v>46240.82334490741</v>
      </c>
      <c r="I2479" s="7">
        <v>0.0</v>
      </c>
    </row>
    <row r="2480">
      <c r="C2480" s="3" t="s">
        <v>24</v>
      </c>
      <c r="D2480" s="3">
        <v>5455.0</v>
      </c>
      <c r="E2480" s="3" t="s">
        <v>74</v>
      </c>
      <c r="F2480" s="5">
        <v>46241.822916666664</v>
      </c>
      <c r="I2480" s="7">
        <v>0.0</v>
      </c>
    </row>
    <row r="2481">
      <c r="C2481" s="3" t="s">
        <v>26</v>
      </c>
      <c r="D2481" s="3">
        <v>5455.0</v>
      </c>
      <c r="E2481" s="3" t="s">
        <v>74</v>
      </c>
      <c r="F2481" s="5">
        <v>46242.447916666664</v>
      </c>
      <c r="I2481" s="7">
        <v>0.0</v>
      </c>
    </row>
    <row r="2482">
      <c r="C2482" s="3" t="s">
        <v>10</v>
      </c>
      <c r="D2482" s="3">
        <v>5456.0</v>
      </c>
      <c r="E2482" s="3" t="s">
        <v>166</v>
      </c>
      <c r="F2482" s="5">
        <v>46240.72381944444</v>
      </c>
      <c r="I2482" s="3">
        <v>0.0</v>
      </c>
    </row>
    <row r="2483">
      <c r="C2483" s="3" t="s">
        <v>17</v>
      </c>
      <c r="D2483" s="3">
        <v>5456.0</v>
      </c>
      <c r="E2483" s="3" t="s">
        <v>166</v>
      </c>
      <c r="F2483" s="5">
        <v>46240.73076388889</v>
      </c>
      <c r="I2483" s="7">
        <v>0.0</v>
      </c>
    </row>
    <row r="2484">
      <c r="C2484" s="3" t="s">
        <v>21</v>
      </c>
      <c r="D2484" s="3">
        <v>5456.0</v>
      </c>
      <c r="E2484" s="3" t="s">
        <v>166</v>
      </c>
      <c r="F2484" s="5">
        <v>46241.438888888886</v>
      </c>
      <c r="I2484" s="7">
        <v>0.0</v>
      </c>
    </row>
    <row r="2485">
      <c r="C2485" s="3" t="s">
        <v>24</v>
      </c>
      <c r="D2485" s="3">
        <v>5456.0</v>
      </c>
      <c r="E2485" s="3" t="s">
        <v>166</v>
      </c>
      <c r="F2485" s="5">
        <v>46242.438888888886</v>
      </c>
      <c r="I2485" s="7">
        <v>0.0</v>
      </c>
    </row>
    <row r="2486">
      <c r="C2486" s="3" t="s">
        <v>26</v>
      </c>
      <c r="D2486" s="3">
        <v>5456.0</v>
      </c>
      <c r="E2486" s="3" t="s">
        <v>166</v>
      </c>
      <c r="F2486" s="5">
        <v>46242.48055555556</v>
      </c>
      <c r="I2486" s="7">
        <v>0.0</v>
      </c>
    </row>
    <row r="2487">
      <c r="C2487" s="3" t="s">
        <v>10</v>
      </c>
      <c r="D2487" s="3">
        <v>5457.0</v>
      </c>
      <c r="E2487" s="3" t="s">
        <v>2036</v>
      </c>
      <c r="F2487" s="5">
        <v>46240.77657407407</v>
      </c>
      <c r="I2487" s="3">
        <v>0.0</v>
      </c>
    </row>
    <row r="2488">
      <c r="C2488" s="3" t="s">
        <v>17</v>
      </c>
      <c r="D2488" s="3">
        <v>5457.0</v>
      </c>
      <c r="E2488" s="3" t="s">
        <v>2036</v>
      </c>
      <c r="F2488" s="5">
        <v>46240.78351851852</v>
      </c>
      <c r="I2488" s="7">
        <v>0.0</v>
      </c>
    </row>
    <row r="2489">
      <c r="C2489" s="3" t="s">
        <v>21</v>
      </c>
      <c r="D2489" s="3">
        <v>5457.0</v>
      </c>
      <c r="E2489" s="3" t="s">
        <v>2036</v>
      </c>
      <c r="F2489" s="5">
        <v>46241.49166666667</v>
      </c>
      <c r="I2489" s="7">
        <v>0.0</v>
      </c>
    </row>
    <row r="2490">
      <c r="C2490" s="3" t="s">
        <v>24</v>
      </c>
      <c r="D2490" s="3">
        <v>5457.0</v>
      </c>
      <c r="E2490" s="3" t="s">
        <v>2036</v>
      </c>
      <c r="F2490" s="5">
        <v>46242.49166666667</v>
      </c>
      <c r="I2490" s="7">
        <v>0.0</v>
      </c>
    </row>
    <row r="2491">
      <c r="C2491" s="3" t="s">
        <v>26</v>
      </c>
      <c r="D2491" s="3">
        <v>5457.0</v>
      </c>
      <c r="E2491" s="3" t="s">
        <v>2036</v>
      </c>
      <c r="F2491" s="5">
        <v>46242.53333333333</v>
      </c>
      <c r="I2491" s="7">
        <v>0.0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22.13"/>
    <col customWidth="1" min="2" max="8" width="17.75"/>
  </cols>
  <sheetData>
    <row r="1">
      <c r="A1" s="119" t="s">
        <v>2466</v>
      </c>
      <c r="B1" s="120" t="s">
        <v>2467</v>
      </c>
      <c r="C1" s="121" t="s">
        <v>2468</v>
      </c>
      <c r="D1" s="122">
        <v>46265.0</v>
      </c>
      <c r="E1" s="122">
        <v>46271.0</v>
      </c>
    </row>
    <row r="2">
      <c r="A2" s="123" t="s">
        <v>1</v>
      </c>
      <c r="B2" s="123" t="s">
        <v>2</v>
      </c>
      <c r="C2" s="123" t="s">
        <v>2469</v>
      </c>
      <c r="D2" s="123" t="s">
        <v>4</v>
      </c>
      <c r="E2" s="123" t="s">
        <v>5</v>
      </c>
      <c r="F2" s="123" t="s">
        <v>6</v>
      </c>
      <c r="G2" s="123" t="s">
        <v>319</v>
      </c>
      <c r="H2" s="123" t="s">
        <v>8</v>
      </c>
    </row>
    <row r="3">
      <c r="A3" s="3"/>
      <c r="B3" s="3"/>
      <c r="C3" s="3"/>
      <c r="D3" s="5"/>
      <c r="E3" s="5"/>
      <c r="F3" s="3"/>
      <c r="G3" s="7"/>
      <c r="H3" s="3"/>
    </row>
    <row r="4" hidden="1">
      <c r="A4" s="3"/>
      <c r="B4" s="3"/>
      <c r="C4" s="3"/>
      <c r="D4" s="5"/>
      <c r="E4" s="5"/>
      <c r="F4" s="3"/>
      <c r="G4" s="7"/>
      <c r="H4" s="3"/>
    </row>
    <row r="5" hidden="1">
      <c r="A5" s="3"/>
      <c r="B5" s="3"/>
      <c r="C5" s="3"/>
      <c r="D5" s="5"/>
      <c r="E5" s="5"/>
      <c r="F5" s="3"/>
      <c r="G5" s="7"/>
      <c r="H5" s="3"/>
    </row>
    <row r="6" hidden="1">
      <c r="A6" s="3"/>
      <c r="B6" s="3"/>
      <c r="C6" s="3"/>
      <c r="D6" s="5"/>
      <c r="E6" s="5"/>
      <c r="F6" s="3"/>
      <c r="G6" s="7"/>
      <c r="H6" s="3"/>
    </row>
    <row r="7" hidden="1">
      <c r="A7" s="3"/>
      <c r="B7" s="3"/>
      <c r="C7" s="3"/>
      <c r="D7" s="5"/>
      <c r="E7" s="5"/>
      <c r="F7" s="3"/>
      <c r="G7" s="7"/>
      <c r="H7" s="3"/>
    </row>
    <row r="8" hidden="1">
      <c r="A8" s="3"/>
      <c r="B8" s="3"/>
      <c r="C8" s="3"/>
      <c r="D8" s="5"/>
      <c r="E8" s="5"/>
      <c r="F8" s="3"/>
      <c r="G8" s="3"/>
      <c r="H8" s="3"/>
    </row>
    <row r="9" hidden="1">
      <c r="A9" s="3"/>
      <c r="B9" s="3"/>
      <c r="C9" s="3"/>
      <c r="D9" s="5"/>
      <c r="E9" s="5"/>
      <c r="F9" s="3"/>
      <c r="G9" s="7"/>
      <c r="H9" s="3"/>
    </row>
    <row r="10" hidden="1">
      <c r="A10" s="3"/>
      <c r="B10" s="3"/>
      <c r="C10" s="3"/>
      <c r="D10" s="5"/>
      <c r="E10" s="5"/>
      <c r="F10" s="3"/>
      <c r="G10" s="7"/>
      <c r="H10" s="3"/>
    </row>
    <row r="11" hidden="1">
      <c r="A11" s="3"/>
      <c r="B11" s="3"/>
      <c r="C11" s="3"/>
      <c r="D11" s="5"/>
      <c r="E11" s="5"/>
      <c r="F11" s="3"/>
      <c r="G11" s="7"/>
      <c r="H11" s="3"/>
    </row>
    <row r="12" hidden="1">
      <c r="A12" s="3"/>
      <c r="B12" s="3"/>
      <c r="C12" s="3"/>
      <c r="D12" s="5"/>
      <c r="E12" s="5"/>
      <c r="F12" s="3"/>
      <c r="G12" s="7"/>
      <c r="H12" s="3"/>
    </row>
    <row r="13" hidden="1">
      <c r="A13" s="3"/>
      <c r="B13" s="3"/>
      <c r="C13" s="3"/>
      <c r="D13" s="5"/>
      <c r="E13" s="5"/>
      <c r="F13" s="3"/>
      <c r="G13" s="3"/>
      <c r="H13" s="3"/>
    </row>
    <row r="14" hidden="1">
      <c r="A14" s="3"/>
      <c r="B14" s="3"/>
      <c r="C14" s="3"/>
      <c r="D14" s="5"/>
      <c r="E14" s="5"/>
      <c r="F14" s="3"/>
      <c r="G14" s="7"/>
      <c r="H14" s="3"/>
    </row>
    <row r="15" hidden="1">
      <c r="A15" s="3"/>
      <c r="B15" s="3"/>
      <c r="C15" s="3"/>
      <c r="D15" s="5"/>
      <c r="E15" s="5"/>
      <c r="F15" s="3"/>
      <c r="G15" s="7"/>
      <c r="H15" s="3"/>
    </row>
    <row r="16" hidden="1">
      <c r="A16" s="3"/>
      <c r="B16" s="3"/>
      <c r="C16" s="3"/>
      <c r="D16" s="5"/>
      <c r="E16" s="5"/>
      <c r="F16" s="3"/>
      <c r="G16" s="7"/>
      <c r="H16" s="3"/>
    </row>
    <row r="17" hidden="1">
      <c r="A17" s="3"/>
      <c r="B17" s="3"/>
      <c r="C17" s="3"/>
      <c r="D17" s="5"/>
      <c r="E17" s="5"/>
      <c r="F17" s="3"/>
      <c r="G17" s="7"/>
      <c r="H17" s="3"/>
    </row>
    <row r="18">
      <c r="A18" s="3"/>
      <c r="B18" s="3"/>
      <c r="C18" s="3"/>
      <c r="D18" s="5"/>
      <c r="E18" s="5"/>
      <c r="F18" s="3"/>
      <c r="G18" s="3"/>
      <c r="H18" s="3"/>
    </row>
    <row r="19">
      <c r="A19" s="3"/>
      <c r="B19" s="3"/>
      <c r="C19" s="3"/>
      <c r="D19" s="5"/>
      <c r="E19" s="5"/>
      <c r="F19" s="3"/>
      <c r="G19" s="7"/>
      <c r="H19" s="3"/>
    </row>
    <row r="20">
      <c r="A20" s="3"/>
      <c r="B20" s="3"/>
      <c r="C20" s="3"/>
      <c r="D20" s="5"/>
      <c r="E20" s="5"/>
      <c r="F20" s="3"/>
      <c r="G20" s="7"/>
      <c r="H20" s="3"/>
    </row>
    <row r="21">
      <c r="A21" s="3"/>
      <c r="B21" s="3"/>
      <c r="C21" s="3"/>
      <c r="D21" s="5"/>
      <c r="E21" s="5"/>
      <c r="F21" s="3"/>
      <c r="G21" s="7"/>
      <c r="H21" s="3"/>
    </row>
    <row r="22">
      <c r="A22" s="3"/>
      <c r="B22" s="3"/>
      <c r="C22" s="3"/>
      <c r="D22" s="5"/>
      <c r="E22" s="5"/>
      <c r="F22" s="3"/>
      <c r="G22" s="7"/>
      <c r="H22" s="3"/>
    </row>
    <row r="23">
      <c r="A23" s="3"/>
      <c r="B23" s="3"/>
      <c r="C23" s="3"/>
      <c r="D23" s="5"/>
      <c r="E23" s="5"/>
      <c r="F23" s="3"/>
      <c r="G23" s="3"/>
      <c r="H23" s="3"/>
    </row>
    <row r="24">
      <c r="A24" s="3"/>
      <c r="B24" s="3"/>
      <c r="C24" s="3"/>
      <c r="D24" s="5"/>
      <c r="E24" s="5"/>
      <c r="F24" s="3"/>
      <c r="G24" s="7"/>
      <c r="H24" s="3"/>
    </row>
    <row r="25">
      <c r="A25" s="3"/>
      <c r="B25" s="3"/>
      <c r="C25" s="3"/>
      <c r="D25" s="5"/>
      <c r="E25" s="5"/>
      <c r="F25" s="3"/>
      <c r="G25" s="7"/>
      <c r="H25" s="3"/>
    </row>
    <row r="26">
      <c r="A26" s="3"/>
      <c r="B26" s="3"/>
      <c r="C26" s="3"/>
      <c r="D26" s="5"/>
      <c r="E26" s="5"/>
      <c r="F26" s="3"/>
      <c r="G26" s="7"/>
      <c r="H26" s="3"/>
    </row>
    <row r="27">
      <c r="A27" s="3"/>
      <c r="B27" s="3"/>
      <c r="C27" s="3"/>
      <c r="D27" s="5"/>
      <c r="E27" s="5"/>
      <c r="F27" s="3"/>
      <c r="G27" s="7"/>
      <c r="H27" s="3"/>
    </row>
    <row r="28" hidden="1">
      <c r="A28" s="3"/>
      <c r="B28" s="3"/>
      <c r="C28" s="3"/>
      <c r="D28" s="5"/>
      <c r="E28" s="5"/>
      <c r="F28" s="3"/>
      <c r="G28" s="3"/>
      <c r="H28" s="3"/>
    </row>
    <row r="29" hidden="1">
      <c r="A29" s="3"/>
      <c r="B29" s="3"/>
      <c r="C29" s="3"/>
      <c r="D29" s="5"/>
      <c r="E29" s="5"/>
      <c r="F29" s="3"/>
      <c r="G29" s="7"/>
      <c r="H29" s="3"/>
    </row>
    <row r="30" hidden="1">
      <c r="A30" s="3"/>
      <c r="B30" s="3"/>
      <c r="C30" s="3"/>
      <c r="D30" s="5"/>
      <c r="E30" s="5"/>
      <c r="F30" s="3"/>
      <c r="G30" s="7"/>
      <c r="H30" s="3"/>
    </row>
    <row r="31" hidden="1">
      <c r="A31" s="3"/>
      <c r="B31" s="3"/>
      <c r="C31" s="3"/>
      <c r="D31" s="5"/>
      <c r="E31" s="5"/>
      <c r="F31" s="3"/>
      <c r="G31" s="7"/>
      <c r="H31" s="3"/>
    </row>
    <row r="32" hidden="1">
      <c r="A32" s="3"/>
      <c r="B32" s="3"/>
      <c r="C32" s="3"/>
      <c r="D32" s="5"/>
      <c r="E32" s="5"/>
      <c r="F32" s="3"/>
      <c r="G32" s="7"/>
      <c r="H32" s="3"/>
    </row>
    <row r="33">
      <c r="A33" s="3"/>
      <c r="B33" s="3"/>
      <c r="C33" s="3"/>
      <c r="D33" s="5"/>
      <c r="E33" s="5"/>
      <c r="F33" s="3"/>
      <c r="G33" s="3"/>
      <c r="H33" s="3"/>
    </row>
    <row r="34">
      <c r="A34" s="3"/>
      <c r="B34" s="3"/>
      <c r="C34" s="3"/>
      <c r="D34" s="5"/>
      <c r="E34" s="5"/>
      <c r="F34" s="3"/>
      <c r="G34" s="7"/>
      <c r="H34" s="3"/>
    </row>
    <row r="35">
      <c r="A35" s="3"/>
      <c r="B35" s="3"/>
      <c r="C35" s="3"/>
      <c r="D35" s="5"/>
      <c r="E35" s="5"/>
      <c r="F35" s="3"/>
      <c r="G35" s="7"/>
      <c r="H35" s="3"/>
    </row>
    <row r="36">
      <c r="A36" s="3"/>
      <c r="B36" s="3"/>
      <c r="C36" s="3"/>
      <c r="D36" s="5"/>
      <c r="E36" s="5"/>
      <c r="F36" s="3"/>
      <c r="G36" s="7"/>
      <c r="H36" s="3"/>
    </row>
    <row r="37">
      <c r="A37" s="3"/>
      <c r="B37" s="3"/>
      <c r="C37" s="3"/>
      <c r="D37" s="5"/>
      <c r="E37" s="5"/>
      <c r="F37" s="3"/>
      <c r="G37" s="7"/>
      <c r="H37" s="3"/>
    </row>
    <row r="38" hidden="1">
      <c r="A38" s="3"/>
      <c r="B38" s="3"/>
      <c r="C38" s="3"/>
      <c r="D38" s="5"/>
      <c r="E38" s="5"/>
      <c r="F38" s="3"/>
      <c r="G38" s="3"/>
      <c r="H38" s="3"/>
    </row>
    <row r="39" hidden="1">
      <c r="A39" s="3"/>
      <c r="B39" s="3"/>
      <c r="C39" s="3"/>
      <c r="D39" s="5"/>
      <c r="E39" s="5"/>
      <c r="F39" s="3"/>
      <c r="G39" s="7"/>
      <c r="H39" s="3"/>
    </row>
    <row r="40" hidden="1">
      <c r="A40" s="3"/>
      <c r="B40" s="3"/>
      <c r="C40" s="3"/>
      <c r="D40" s="5"/>
      <c r="E40" s="5"/>
      <c r="F40" s="3"/>
      <c r="G40" s="7"/>
      <c r="H40" s="3"/>
    </row>
    <row r="41" hidden="1">
      <c r="A41" s="3"/>
      <c r="B41" s="3"/>
      <c r="C41" s="3"/>
      <c r="D41" s="5"/>
      <c r="E41" s="5"/>
      <c r="F41" s="3"/>
      <c r="G41" s="7"/>
      <c r="H41" s="3"/>
    </row>
    <row r="42" hidden="1">
      <c r="A42" s="3"/>
      <c r="B42" s="3"/>
      <c r="C42" s="3"/>
      <c r="D42" s="5"/>
      <c r="E42" s="5"/>
      <c r="F42" s="3"/>
      <c r="G42" s="7"/>
      <c r="H42" s="3"/>
    </row>
    <row r="43">
      <c r="A43" s="3"/>
      <c r="B43" s="3"/>
      <c r="C43" s="3"/>
      <c r="D43" s="5"/>
      <c r="E43" s="5"/>
      <c r="F43" s="3"/>
      <c r="G43" s="3"/>
      <c r="H43" s="3"/>
    </row>
    <row r="44">
      <c r="A44" s="3"/>
      <c r="B44" s="3"/>
      <c r="C44" s="3"/>
      <c r="D44" s="5"/>
      <c r="E44" s="5"/>
      <c r="F44" s="3"/>
      <c r="G44" s="7"/>
      <c r="H44" s="3"/>
    </row>
    <row r="45">
      <c r="A45" s="3"/>
      <c r="B45" s="3"/>
      <c r="C45" s="3"/>
      <c r="D45" s="5"/>
      <c r="E45" s="5"/>
      <c r="F45" s="3"/>
      <c r="G45" s="7"/>
      <c r="H45" s="3"/>
    </row>
    <row r="46">
      <c r="A46" s="3"/>
      <c r="B46" s="3"/>
      <c r="C46" s="3"/>
      <c r="D46" s="5"/>
      <c r="E46" s="5"/>
      <c r="F46" s="3"/>
      <c r="G46" s="7"/>
      <c r="H46" s="3"/>
    </row>
    <row r="47">
      <c r="A47" s="3"/>
      <c r="B47" s="3"/>
      <c r="C47" s="3"/>
      <c r="D47" s="5"/>
      <c r="E47" s="5"/>
      <c r="F47" s="3"/>
      <c r="G47" s="7"/>
      <c r="H47" s="3"/>
    </row>
    <row r="48">
      <c r="A48" s="3"/>
      <c r="B48" s="3"/>
      <c r="C48" s="3"/>
      <c r="D48" s="5"/>
      <c r="E48" s="5"/>
      <c r="F48" s="3"/>
      <c r="G48" s="3"/>
      <c r="H48" s="3"/>
    </row>
    <row r="49">
      <c r="A49" s="3"/>
      <c r="B49" s="3"/>
      <c r="C49" s="3"/>
      <c r="D49" s="5"/>
      <c r="E49" s="5"/>
      <c r="F49" s="3"/>
      <c r="G49" s="7"/>
      <c r="H49" s="3"/>
    </row>
    <row r="50">
      <c r="A50" s="3"/>
      <c r="B50" s="3"/>
      <c r="C50" s="3"/>
      <c r="D50" s="5"/>
      <c r="E50" s="5"/>
      <c r="F50" s="3"/>
      <c r="G50" s="7"/>
      <c r="H50" s="3"/>
    </row>
    <row r="51">
      <c r="A51" s="3"/>
      <c r="B51" s="3"/>
      <c r="C51" s="3"/>
      <c r="D51" s="5"/>
      <c r="E51" s="5"/>
      <c r="F51" s="3"/>
      <c r="G51" s="7"/>
      <c r="H51" s="3"/>
    </row>
    <row r="52">
      <c r="A52" s="3"/>
      <c r="B52" s="3"/>
      <c r="C52" s="3"/>
      <c r="D52" s="5"/>
      <c r="E52" s="5"/>
      <c r="F52" s="3"/>
      <c r="G52" s="7"/>
      <c r="H52" s="3"/>
    </row>
    <row r="53" hidden="1">
      <c r="A53" s="3"/>
      <c r="B53" s="3"/>
      <c r="C53" s="3"/>
      <c r="D53" s="5"/>
      <c r="E53" s="5"/>
      <c r="F53" s="3"/>
      <c r="G53" s="3"/>
      <c r="H53" s="3"/>
    </row>
    <row r="54" hidden="1">
      <c r="A54" s="3"/>
      <c r="B54" s="3"/>
      <c r="C54" s="3"/>
      <c r="D54" s="5"/>
      <c r="E54" s="5"/>
      <c r="F54" s="3"/>
      <c r="G54" s="7"/>
      <c r="H54" s="3"/>
    </row>
    <row r="55" hidden="1">
      <c r="A55" s="3"/>
      <c r="B55" s="3"/>
      <c r="C55" s="3"/>
      <c r="D55" s="5"/>
      <c r="E55" s="5"/>
      <c r="F55" s="3"/>
      <c r="G55" s="7"/>
      <c r="H55" s="3"/>
    </row>
    <row r="56" hidden="1">
      <c r="A56" s="3"/>
      <c r="B56" s="3"/>
      <c r="C56" s="3"/>
      <c r="D56" s="5"/>
      <c r="E56" s="5"/>
      <c r="F56" s="3"/>
      <c r="G56" s="7"/>
      <c r="H56" s="3"/>
    </row>
    <row r="57" hidden="1">
      <c r="A57" s="3"/>
      <c r="B57" s="3"/>
      <c r="C57" s="3"/>
      <c r="D57" s="5"/>
      <c r="E57" s="5"/>
      <c r="F57" s="3"/>
      <c r="G57" s="7"/>
      <c r="H57" s="3"/>
    </row>
    <row r="58">
      <c r="A58" s="3"/>
      <c r="B58" s="3"/>
      <c r="C58" s="3"/>
      <c r="D58" s="5"/>
      <c r="E58" s="5"/>
      <c r="F58" s="3"/>
      <c r="G58" s="3"/>
      <c r="H58" s="3"/>
    </row>
    <row r="59">
      <c r="A59" s="3"/>
      <c r="B59" s="3"/>
      <c r="C59" s="3"/>
      <c r="D59" s="5"/>
      <c r="E59" s="5"/>
      <c r="F59" s="3"/>
      <c r="G59" s="7"/>
      <c r="H59" s="3"/>
    </row>
    <row r="60">
      <c r="A60" s="3"/>
      <c r="B60" s="3"/>
      <c r="C60" s="3"/>
      <c r="D60" s="5"/>
      <c r="E60" s="5"/>
      <c r="F60" s="3"/>
      <c r="G60" s="7"/>
      <c r="H60" s="3"/>
    </row>
    <row r="61">
      <c r="A61" s="3"/>
      <c r="B61" s="3"/>
      <c r="C61" s="3"/>
      <c r="D61" s="5"/>
      <c r="E61" s="5"/>
      <c r="F61" s="3"/>
      <c r="G61" s="7"/>
      <c r="H61" s="3"/>
    </row>
    <row r="62">
      <c r="A62" s="3"/>
      <c r="B62" s="3"/>
      <c r="C62" s="3"/>
      <c r="D62" s="5"/>
      <c r="E62" s="3"/>
      <c r="F62" s="5"/>
      <c r="G62" s="7"/>
      <c r="H62" s="3"/>
    </row>
    <row r="63">
      <c r="A63" s="3"/>
      <c r="B63" s="3"/>
      <c r="C63" s="3"/>
      <c r="D63" s="5"/>
      <c r="E63" s="5"/>
      <c r="F63" s="3"/>
      <c r="G63" s="3"/>
      <c r="H63" s="3"/>
    </row>
    <row r="64">
      <c r="A64" s="3"/>
      <c r="B64" s="3"/>
      <c r="C64" s="3"/>
      <c r="D64" s="5"/>
      <c r="E64" s="5"/>
      <c r="F64" s="3"/>
      <c r="G64" s="7"/>
      <c r="H64" s="3"/>
    </row>
    <row r="65">
      <c r="A65" s="3"/>
      <c r="B65" s="3"/>
      <c r="C65" s="3"/>
      <c r="D65" s="5"/>
      <c r="E65" s="5"/>
      <c r="F65" s="3"/>
      <c r="G65" s="7"/>
      <c r="H65" s="3"/>
    </row>
    <row r="66">
      <c r="A66" s="3"/>
      <c r="B66" s="3"/>
      <c r="C66" s="3"/>
      <c r="D66" s="5"/>
      <c r="E66" s="5"/>
      <c r="F66" s="3"/>
      <c r="G66" s="7"/>
      <c r="H66" s="3"/>
    </row>
    <row r="67">
      <c r="A67" s="3"/>
      <c r="B67" s="3"/>
      <c r="C67" s="3"/>
      <c r="D67" s="5"/>
      <c r="E67" s="5"/>
      <c r="F67" s="3"/>
      <c r="G67" s="7"/>
      <c r="H67" s="3"/>
    </row>
    <row r="68" hidden="1">
      <c r="A68" s="3"/>
      <c r="B68" s="3"/>
      <c r="C68" s="3"/>
      <c r="D68" s="5"/>
      <c r="E68" s="5"/>
      <c r="F68" s="3"/>
      <c r="G68" s="3"/>
      <c r="H68" s="3"/>
    </row>
    <row r="69" hidden="1">
      <c r="A69" s="3"/>
      <c r="B69" s="3"/>
      <c r="C69" s="3"/>
      <c r="D69" s="5"/>
      <c r="E69" s="5"/>
      <c r="F69" s="3"/>
      <c r="G69" s="7"/>
      <c r="H69" s="3"/>
    </row>
    <row r="70" hidden="1">
      <c r="A70" s="3"/>
      <c r="B70" s="3"/>
      <c r="C70" s="3"/>
      <c r="D70" s="5"/>
      <c r="E70" s="5"/>
      <c r="F70" s="3"/>
      <c r="G70" s="7"/>
      <c r="H70" s="3"/>
    </row>
    <row r="71" hidden="1">
      <c r="A71" s="3"/>
      <c r="B71" s="3"/>
      <c r="C71" s="3"/>
      <c r="D71" s="5"/>
      <c r="E71" s="5"/>
      <c r="F71" s="3"/>
      <c r="G71" s="7"/>
      <c r="H71" s="3"/>
    </row>
    <row r="72" hidden="1">
      <c r="A72" s="3"/>
      <c r="B72" s="3"/>
      <c r="C72" s="3"/>
      <c r="D72" s="5"/>
      <c r="E72" s="5"/>
      <c r="F72" s="3"/>
      <c r="G72" s="7"/>
      <c r="H72" s="3"/>
    </row>
    <row r="73" hidden="1">
      <c r="A73" s="3"/>
      <c r="B73" s="3"/>
      <c r="C73" s="3"/>
      <c r="D73" s="5"/>
      <c r="E73" s="5"/>
      <c r="F73" s="3"/>
      <c r="G73" s="3"/>
      <c r="H73" s="3"/>
    </row>
    <row r="74" hidden="1">
      <c r="A74" s="3"/>
      <c r="B74" s="3"/>
      <c r="C74" s="3"/>
      <c r="D74" s="5"/>
      <c r="E74" s="5"/>
      <c r="F74" s="3"/>
      <c r="G74" s="7"/>
      <c r="H74" s="3"/>
    </row>
    <row r="75" hidden="1">
      <c r="A75" s="3"/>
      <c r="B75" s="3"/>
      <c r="C75" s="3"/>
      <c r="D75" s="5"/>
      <c r="E75" s="5"/>
      <c r="F75" s="3"/>
      <c r="G75" s="7"/>
      <c r="H75" s="3"/>
    </row>
    <row r="76" hidden="1">
      <c r="A76" s="3"/>
      <c r="B76" s="3"/>
      <c r="C76" s="3"/>
      <c r="D76" s="5"/>
      <c r="E76" s="5"/>
      <c r="F76" s="3"/>
      <c r="G76" s="7"/>
      <c r="H76" s="3"/>
    </row>
    <row r="77" hidden="1">
      <c r="A77" s="3"/>
      <c r="B77" s="3"/>
      <c r="C77" s="117"/>
      <c r="D77" s="5"/>
      <c r="E77" s="5"/>
      <c r="F77" s="3"/>
      <c r="G77" s="7"/>
      <c r="H77" s="3"/>
    </row>
    <row r="78" hidden="1">
      <c r="A78" s="3"/>
      <c r="B78" s="3"/>
      <c r="C78" s="117"/>
      <c r="D78" s="5"/>
      <c r="E78" s="5"/>
      <c r="F78" s="3"/>
      <c r="G78" s="3"/>
      <c r="H78" s="3"/>
    </row>
    <row r="79" hidden="1">
      <c r="A79" s="3"/>
      <c r="B79" s="3"/>
      <c r="C79" s="117"/>
      <c r="D79" s="5"/>
      <c r="E79" s="5"/>
      <c r="F79" s="3"/>
      <c r="G79" s="7"/>
      <c r="H79" s="3"/>
    </row>
    <row r="80" hidden="1">
      <c r="A80" s="124"/>
      <c r="B80" s="124"/>
      <c r="C80" s="125"/>
      <c r="D80" s="126"/>
      <c r="E80" s="126"/>
      <c r="F80" s="124"/>
      <c r="G80" s="127"/>
      <c r="H80" s="124"/>
      <c r="I80" s="128"/>
      <c r="J80" s="128"/>
      <c r="K80" s="128"/>
      <c r="L80" s="128"/>
      <c r="M80" s="128"/>
      <c r="N80" s="128"/>
      <c r="O80" s="128"/>
      <c r="P80" s="128"/>
      <c r="Q80" s="128"/>
      <c r="R80" s="128"/>
      <c r="S80" s="128"/>
      <c r="T80" s="128"/>
      <c r="U80" s="128"/>
      <c r="V80" s="128"/>
      <c r="W80" s="128"/>
      <c r="X80" s="128"/>
      <c r="Y80" s="128"/>
      <c r="Z80" s="128"/>
    </row>
    <row r="81" hidden="1">
      <c r="A81" s="3"/>
      <c r="B81" s="3"/>
      <c r="C81" s="117"/>
      <c r="D81" s="5"/>
      <c r="E81" s="5"/>
      <c r="F81" s="3"/>
      <c r="G81" s="7"/>
      <c r="H81" s="3"/>
    </row>
    <row r="82" hidden="1">
      <c r="A82" s="3"/>
      <c r="B82" s="3"/>
      <c r="C82" s="3"/>
      <c r="D82" s="5"/>
      <c r="E82" s="5"/>
      <c r="F82" s="3"/>
      <c r="G82" s="7"/>
      <c r="H82" s="3"/>
    </row>
    <row r="83" hidden="1">
      <c r="A83" s="3"/>
      <c r="B83" s="3"/>
      <c r="C83" s="3"/>
      <c r="D83" s="5"/>
      <c r="E83" s="5"/>
      <c r="F83" s="3"/>
      <c r="G83" s="3"/>
      <c r="H83" s="3"/>
    </row>
    <row r="84" hidden="1">
      <c r="A84" s="3"/>
      <c r="B84" s="3"/>
      <c r="C84" s="3"/>
      <c r="D84" s="5"/>
      <c r="E84" s="5"/>
      <c r="F84" s="3"/>
      <c r="G84" s="7"/>
      <c r="H84" s="3"/>
    </row>
    <row r="85" hidden="1">
      <c r="A85" s="3"/>
      <c r="B85" s="3"/>
      <c r="C85" s="3"/>
      <c r="D85" s="5"/>
      <c r="E85" s="5"/>
      <c r="F85" s="3"/>
      <c r="G85" s="7"/>
      <c r="H85" s="3"/>
    </row>
    <row r="86" hidden="1">
      <c r="A86" s="3"/>
      <c r="B86" s="3"/>
      <c r="C86" s="3"/>
      <c r="D86" s="5"/>
      <c r="E86" s="5"/>
      <c r="F86" s="3"/>
      <c r="G86" s="7"/>
      <c r="H86" s="3"/>
    </row>
    <row r="87" hidden="1">
      <c r="A87" s="3"/>
      <c r="B87" s="3"/>
      <c r="C87" s="3"/>
      <c r="D87" s="5"/>
      <c r="E87" s="5"/>
      <c r="F87" s="3"/>
      <c r="G87" s="7"/>
      <c r="H87" s="3"/>
    </row>
    <row r="88">
      <c r="A88" s="3"/>
      <c r="B88" s="3"/>
      <c r="C88" s="3"/>
      <c r="D88" s="5"/>
      <c r="E88" s="5"/>
      <c r="F88" s="3"/>
      <c r="G88" s="3"/>
      <c r="H88" s="3"/>
    </row>
    <row r="89">
      <c r="A89" s="3"/>
      <c r="B89" s="3"/>
      <c r="C89" s="3"/>
      <c r="D89" s="5"/>
      <c r="E89" s="5"/>
      <c r="F89" s="3"/>
      <c r="G89" s="7"/>
      <c r="H89" s="3"/>
    </row>
    <row r="90">
      <c r="A90" s="3"/>
      <c r="B90" s="3"/>
      <c r="C90" s="3"/>
      <c r="D90" s="5"/>
      <c r="E90" s="5"/>
      <c r="F90" s="3"/>
      <c r="G90" s="7"/>
      <c r="H90" s="3"/>
    </row>
    <row r="91">
      <c r="A91" s="3"/>
      <c r="B91" s="3"/>
      <c r="C91" s="3"/>
      <c r="D91" s="5"/>
      <c r="E91" s="5"/>
      <c r="F91" s="3"/>
      <c r="G91" s="7"/>
      <c r="H91" s="3"/>
    </row>
    <row r="92">
      <c r="A92" s="3"/>
      <c r="B92" s="3"/>
      <c r="C92" s="3"/>
      <c r="D92" s="5"/>
      <c r="E92" s="5"/>
      <c r="F92" s="3"/>
      <c r="G92" s="7"/>
      <c r="H92" s="3"/>
    </row>
    <row r="93" hidden="1">
      <c r="A93" s="3"/>
      <c r="B93" s="3"/>
      <c r="C93" s="3"/>
      <c r="D93" s="5"/>
      <c r="E93" s="5"/>
      <c r="F93" s="3"/>
      <c r="G93" s="3"/>
      <c r="H93" s="3"/>
    </row>
    <row r="94" hidden="1">
      <c r="A94" s="3"/>
      <c r="B94" s="3"/>
      <c r="C94" s="3"/>
      <c r="D94" s="5"/>
      <c r="E94" s="5"/>
      <c r="F94" s="3"/>
      <c r="G94" s="7"/>
      <c r="H94" s="3"/>
    </row>
    <row r="95" hidden="1">
      <c r="A95" s="3"/>
      <c r="B95" s="3"/>
      <c r="C95" s="3"/>
      <c r="D95" s="5"/>
      <c r="E95" s="5"/>
      <c r="F95" s="3"/>
      <c r="G95" s="7"/>
      <c r="H95" s="3"/>
    </row>
    <row r="96" hidden="1">
      <c r="A96" s="3"/>
      <c r="B96" s="3"/>
      <c r="C96" s="3"/>
      <c r="D96" s="5"/>
      <c r="E96" s="5"/>
      <c r="F96" s="3"/>
      <c r="G96" s="7"/>
      <c r="H96" s="3"/>
    </row>
    <row r="97" hidden="1">
      <c r="A97" s="3"/>
      <c r="B97" s="3"/>
      <c r="C97" s="3"/>
      <c r="D97" s="5"/>
      <c r="E97" s="5"/>
      <c r="F97" s="3"/>
      <c r="G97" s="7"/>
      <c r="H97" s="3"/>
    </row>
    <row r="98">
      <c r="A98" s="3"/>
      <c r="B98" s="3"/>
      <c r="C98" s="3"/>
      <c r="D98" s="5"/>
      <c r="E98" s="5"/>
      <c r="F98" s="3"/>
      <c r="G98" s="3"/>
      <c r="H98" s="3"/>
    </row>
    <row r="99">
      <c r="A99" s="3"/>
      <c r="B99" s="3"/>
      <c r="C99" s="3"/>
      <c r="D99" s="5"/>
      <c r="E99" s="5"/>
      <c r="F99" s="3"/>
      <c r="G99" s="7"/>
      <c r="H99" s="3"/>
    </row>
    <row r="100">
      <c r="A100" s="3"/>
      <c r="B100" s="3"/>
      <c r="C100" s="3"/>
      <c r="D100" s="5"/>
      <c r="E100" s="5"/>
      <c r="F100" s="3"/>
      <c r="G100" s="7"/>
      <c r="H100" s="3"/>
    </row>
    <row r="101">
      <c r="A101" s="3"/>
      <c r="B101" s="3"/>
      <c r="C101" s="3"/>
      <c r="D101" s="5"/>
      <c r="E101" s="5"/>
      <c r="F101" s="3"/>
      <c r="G101" s="7"/>
      <c r="H101" s="3"/>
    </row>
    <row r="102">
      <c r="A102" s="3"/>
      <c r="B102" s="3"/>
      <c r="C102" s="3"/>
      <c r="D102" s="5"/>
      <c r="E102" s="5"/>
      <c r="F102" s="3"/>
      <c r="G102" s="7"/>
      <c r="H102" s="3"/>
    </row>
    <row r="103">
      <c r="A103" s="3"/>
      <c r="B103" s="3"/>
      <c r="C103" s="3"/>
      <c r="D103" s="5"/>
      <c r="E103" s="5"/>
      <c r="F103" s="3"/>
      <c r="G103" s="3"/>
      <c r="H103" s="3"/>
    </row>
    <row r="104">
      <c r="A104" s="3"/>
      <c r="B104" s="3"/>
      <c r="C104" s="3"/>
      <c r="D104" s="5"/>
      <c r="E104" s="5"/>
      <c r="F104" s="3"/>
      <c r="G104" s="7"/>
      <c r="H104" s="3"/>
    </row>
    <row r="105">
      <c r="A105" s="3"/>
      <c r="B105" s="3"/>
      <c r="C105" s="3"/>
      <c r="D105" s="5"/>
      <c r="E105" s="5"/>
      <c r="F105" s="3"/>
      <c r="G105" s="7"/>
      <c r="H105" s="3"/>
    </row>
    <row r="106">
      <c r="A106" s="3"/>
      <c r="B106" s="3"/>
      <c r="C106" s="3"/>
      <c r="D106" s="5"/>
      <c r="E106" s="5"/>
      <c r="F106" s="3"/>
      <c r="G106" s="7"/>
      <c r="H106" s="3"/>
    </row>
    <row r="107" hidden="1">
      <c r="A107" s="3"/>
      <c r="B107" s="3"/>
      <c r="C107" s="3"/>
      <c r="D107" s="5"/>
      <c r="E107" s="5"/>
      <c r="F107" s="3"/>
      <c r="G107" s="3"/>
      <c r="H107" s="3"/>
    </row>
    <row r="108" hidden="1">
      <c r="A108" s="3"/>
      <c r="B108" s="3"/>
      <c r="C108" s="3"/>
      <c r="D108" s="5"/>
      <c r="E108" s="5"/>
      <c r="F108" s="3"/>
      <c r="G108" s="7"/>
      <c r="H108" s="3"/>
    </row>
    <row r="109" hidden="1">
      <c r="A109" s="3"/>
      <c r="B109" s="3"/>
      <c r="C109" s="3"/>
      <c r="D109" s="5"/>
      <c r="E109" s="5"/>
      <c r="F109" s="3"/>
      <c r="G109" s="7"/>
      <c r="H109" s="3"/>
    </row>
    <row r="110" hidden="1">
      <c r="A110" s="3"/>
      <c r="B110" s="3"/>
      <c r="C110" s="3"/>
      <c r="D110" s="5"/>
      <c r="E110" s="5"/>
      <c r="F110" s="3"/>
      <c r="G110" s="3"/>
      <c r="H110" s="3"/>
    </row>
    <row r="111" hidden="1">
      <c r="A111" s="3"/>
      <c r="B111" s="3"/>
      <c r="C111" s="3"/>
      <c r="D111" s="5"/>
      <c r="E111" s="5"/>
      <c r="F111" s="3"/>
      <c r="G111" s="7"/>
      <c r="H111" s="3"/>
    </row>
    <row r="112" hidden="1">
      <c r="A112" s="3"/>
      <c r="B112" s="3"/>
      <c r="C112" s="3"/>
      <c r="D112" s="5"/>
      <c r="E112" s="5"/>
      <c r="F112" s="3"/>
      <c r="G112" s="7"/>
      <c r="H112" s="3"/>
    </row>
    <row r="113">
      <c r="A113" s="3"/>
      <c r="B113" s="3"/>
      <c r="C113" s="3"/>
      <c r="D113" s="5"/>
      <c r="E113" s="5"/>
      <c r="F113" s="3"/>
      <c r="G113" s="3"/>
      <c r="H113" s="3"/>
    </row>
    <row r="114">
      <c r="A114" s="3"/>
      <c r="B114" s="3"/>
      <c r="C114" s="3"/>
      <c r="D114" s="5"/>
      <c r="E114" s="5"/>
      <c r="F114" s="3"/>
      <c r="G114" s="7"/>
      <c r="H114" s="3"/>
    </row>
    <row r="115">
      <c r="A115" s="3"/>
      <c r="B115" s="3"/>
      <c r="C115" s="3"/>
      <c r="D115" s="5"/>
      <c r="E115" s="5"/>
      <c r="F115" s="3"/>
      <c r="G115" s="7"/>
      <c r="H115" s="3"/>
    </row>
    <row r="116">
      <c r="A116" s="3"/>
      <c r="B116" s="3"/>
      <c r="C116" s="3"/>
      <c r="D116" s="5"/>
      <c r="E116" s="5"/>
      <c r="F116" s="3"/>
      <c r="G116" s="3"/>
      <c r="H116" s="3"/>
    </row>
    <row r="117">
      <c r="A117" s="3"/>
      <c r="B117" s="3"/>
      <c r="C117" s="3"/>
      <c r="D117" s="5"/>
      <c r="E117" s="5"/>
      <c r="F117" s="3"/>
      <c r="G117" s="7"/>
      <c r="H117" s="3"/>
    </row>
    <row r="118">
      <c r="A118" s="3"/>
      <c r="B118" s="3"/>
      <c r="C118" s="3"/>
      <c r="D118" s="5"/>
      <c r="E118" s="5"/>
      <c r="F118" s="3"/>
      <c r="G118" s="7"/>
      <c r="H118" s="3"/>
    </row>
    <row r="119">
      <c r="A119" s="3"/>
      <c r="B119" s="3"/>
      <c r="C119" s="3"/>
      <c r="D119" s="5"/>
      <c r="E119" s="5"/>
      <c r="F119" s="3"/>
      <c r="G119" s="7"/>
      <c r="H119" s="3"/>
    </row>
    <row r="120">
      <c r="A120" s="3"/>
      <c r="B120" s="3"/>
      <c r="C120" s="3"/>
      <c r="D120" s="5"/>
      <c r="E120" s="5"/>
      <c r="F120" s="3"/>
      <c r="G120" s="7"/>
      <c r="H120" s="3"/>
    </row>
    <row r="121">
      <c r="A121" s="3"/>
      <c r="B121" s="3"/>
      <c r="C121" s="3"/>
      <c r="D121" s="5"/>
      <c r="E121" s="5"/>
      <c r="F121" s="3"/>
      <c r="G121" s="7"/>
      <c r="H121" s="3"/>
    </row>
    <row r="122">
      <c r="A122" s="3"/>
      <c r="B122" s="3"/>
      <c r="C122" s="3"/>
      <c r="D122" s="5"/>
      <c r="E122" s="5"/>
      <c r="F122" s="3"/>
      <c r="G122" s="3"/>
      <c r="H122" s="3"/>
    </row>
    <row r="123">
      <c r="A123" s="3"/>
      <c r="B123" s="3"/>
      <c r="C123" s="3"/>
      <c r="D123" s="5"/>
      <c r="E123" s="5"/>
      <c r="F123" s="3"/>
      <c r="G123" s="7"/>
      <c r="H123" s="3"/>
    </row>
    <row r="124">
      <c r="A124" s="3"/>
      <c r="B124" s="3"/>
      <c r="C124" s="3"/>
      <c r="D124" s="5"/>
      <c r="E124" s="5"/>
      <c r="F124" s="3"/>
      <c r="G124" s="7"/>
      <c r="H124" s="3"/>
    </row>
    <row r="125">
      <c r="A125" s="3"/>
      <c r="B125" s="3"/>
      <c r="C125" s="3"/>
      <c r="D125" s="5"/>
      <c r="E125" s="5"/>
      <c r="F125" s="3"/>
      <c r="G125" s="7"/>
      <c r="H125" s="3"/>
    </row>
    <row r="126">
      <c r="A126" s="3"/>
      <c r="B126" s="3"/>
      <c r="C126" s="3"/>
      <c r="D126" s="5"/>
      <c r="E126" s="5"/>
      <c r="F126" s="3"/>
      <c r="G126" s="7"/>
      <c r="H126" s="3"/>
    </row>
    <row r="127">
      <c r="A127" s="3"/>
      <c r="B127" s="3"/>
      <c r="C127" s="3"/>
      <c r="D127" s="5"/>
      <c r="E127" s="5"/>
      <c r="F127" s="3"/>
      <c r="G127" s="3"/>
      <c r="H127" s="3"/>
    </row>
    <row r="128">
      <c r="A128" s="3"/>
      <c r="B128" s="3"/>
      <c r="C128" s="3"/>
      <c r="D128" s="5"/>
      <c r="E128" s="5"/>
      <c r="F128" s="3"/>
      <c r="G128" s="7"/>
      <c r="H128" s="3"/>
    </row>
    <row r="129">
      <c r="A129" s="3"/>
      <c r="B129" s="3"/>
      <c r="C129" s="3"/>
      <c r="D129" s="5"/>
      <c r="E129" s="5"/>
      <c r="F129" s="3"/>
      <c r="G129" s="7"/>
      <c r="H129" s="3"/>
    </row>
    <row r="130">
      <c r="A130" s="3"/>
      <c r="B130" s="3"/>
      <c r="C130" s="3"/>
      <c r="D130" s="5"/>
      <c r="E130" s="5"/>
      <c r="F130" s="3"/>
      <c r="G130" s="7"/>
      <c r="H130" s="3"/>
    </row>
    <row r="131">
      <c r="A131" s="3"/>
      <c r="B131" s="3"/>
      <c r="C131" s="3"/>
      <c r="D131" s="5"/>
      <c r="E131" s="5"/>
      <c r="F131" s="3"/>
      <c r="G131" s="7"/>
      <c r="H131" s="3"/>
    </row>
    <row r="132">
      <c r="A132" s="3"/>
      <c r="B132" s="3"/>
      <c r="C132" s="3"/>
      <c r="D132" s="5"/>
      <c r="E132" s="5"/>
      <c r="F132" s="3"/>
      <c r="G132" s="3"/>
      <c r="H132" s="3"/>
    </row>
    <row r="133">
      <c r="A133" s="3"/>
      <c r="B133" s="3"/>
      <c r="C133" s="3"/>
      <c r="D133" s="5"/>
      <c r="E133" s="5"/>
      <c r="F133" s="3"/>
      <c r="G133" s="7"/>
      <c r="H133" s="3"/>
    </row>
    <row r="134">
      <c r="A134" s="3"/>
      <c r="B134" s="3"/>
      <c r="C134" s="3"/>
      <c r="D134" s="5"/>
      <c r="E134" s="5"/>
      <c r="F134" s="3"/>
      <c r="G134" s="7"/>
      <c r="H134" s="3"/>
    </row>
    <row r="135">
      <c r="A135" s="3"/>
      <c r="B135" s="3"/>
      <c r="C135" s="3"/>
      <c r="D135" s="5"/>
      <c r="E135" s="5"/>
      <c r="F135" s="3"/>
      <c r="G135" s="7"/>
      <c r="H135" s="3"/>
    </row>
    <row r="136">
      <c r="A136" s="3"/>
      <c r="B136" s="3"/>
      <c r="C136" s="3"/>
      <c r="D136" s="5"/>
      <c r="E136" s="5"/>
      <c r="F136" s="3"/>
      <c r="G136" s="7"/>
      <c r="H136" s="3"/>
    </row>
    <row r="137">
      <c r="A137" s="3"/>
      <c r="B137" s="3"/>
      <c r="C137" s="3"/>
      <c r="D137" s="5"/>
      <c r="E137" s="5"/>
      <c r="F137" s="3"/>
      <c r="G137" s="3"/>
      <c r="H137" s="3"/>
    </row>
    <row r="138">
      <c r="A138" s="3"/>
      <c r="B138" s="3"/>
      <c r="C138" s="3"/>
      <c r="D138" s="5"/>
      <c r="E138" s="5"/>
      <c r="F138" s="3"/>
      <c r="G138" s="7"/>
      <c r="H138" s="3"/>
    </row>
    <row r="139">
      <c r="A139" s="3"/>
      <c r="B139" s="3"/>
      <c r="C139" s="3"/>
      <c r="D139" s="5"/>
      <c r="E139" s="5"/>
      <c r="F139" s="3"/>
      <c r="G139" s="7"/>
      <c r="H139" s="3"/>
    </row>
    <row r="140">
      <c r="A140" s="3"/>
      <c r="B140" s="3"/>
      <c r="C140" s="3"/>
      <c r="D140" s="5"/>
      <c r="E140" s="5"/>
      <c r="F140" s="3"/>
      <c r="G140" s="7"/>
      <c r="H140" s="3"/>
    </row>
    <row r="141">
      <c r="A141" s="3"/>
      <c r="B141" s="3"/>
      <c r="C141" s="3"/>
      <c r="D141" s="5"/>
      <c r="E141" s="5"/>
      <c r="F141" s="3"/>
      <c r="G141" s="7"/>
      <c r="H141" s="3"/>
    </row>
    <row r="142">
      <c r="A142" s="3"/>
      <c r="B142" s="3"/>
      <c r="C142" s="3"/>
      <c r="D142" s="5"/>
      <c r="E142" s="5"/>
      <c r="F142" s="3"/>
      <c r="G142" s="3"/>
      <c r="H142" s="3"/>
    </row>
    <row r="143">
      <c r="A143" s="3"/>
      <c r="B143" s="3"/>
      <c r="C143" s="3"/>
      <c r="D143" s="5"/>
      <c r="E143" s="5"/>
      <c r="F143" s="3"/>
      <c r="G143" s="7"/>
      <c r="H143" s="3"/>
    </row>
    <row r="144">
      <c r="A144" s="3"/>
      <c r="B144" s="3"/>
      <c r="C144" s="3"/>
      <c r="D144" s="5"/>
      <c r="E144" s="5"/>
      <c r="F144" s="3"/>
      <c r="G144" s="7"/>
      <c r="H144" s="3"/>
    </row>
    <row r="145">
      <c r="A145" s="3"/>
      <c r="B145" s="3"/>
      <c r="C145" s="3"/>
      <c r="D145" s="5"/>
      <c r="E145" s="5"/>
      <c r="F145" s="3"/>
      <c r="G145" s="7"/>
      <c r="H145" s="3"/>
    </row>
    <row r="146">
      <c r="A146" s="3"/>
      <c r="B146" s="3"/>
      <c r="C146" s="3"/>
      <c r="D146" s="5"/>
      <c r="E146" s="5"/>
      <c r="F146" s="3"/>
      <c r="G146" s="7"/>
      <c r="H146" s="3"/>
    </row>
    <row r="147">
      <c r="A147" s="3"/>
      <c r="B147" s="3"/>
      <c r="C147" s="3"/>
      <c r="D147" s="5"/>
      <c r="E147" s="5"/>
      <c r="F147" s="3"/>
      <c r="G147" s="3"/>
      <c r="H147" s="3"/>
    </row>
    <row r="148">
      <c r="A148" s="3"/>
      <c r="B148" s="3"/>
      <c r="C148" s="3"/>
      <c r="D148" s="5"/>
      <c r="E148" s="5"/>
      <c r="F148" s="3"/>
      <c r="G148" s="7"/>
      <c r="H148" s="3"/>
    </row>
    <row r="149">
      <c r="A149" s="3"/>
      <c r="B149" s="3"/>
      <c r="C149" s="3"/>
      <c r="D149" s="5"/>
      <c r="E149" s="5"/>
      <c r="F149" s="3"/>
      <c r="G149" s="7"/>
      <c r="H149" s="3"/>
    </row>
    <row r="150">
      <c r="A150" s="3"/>
      <c r="B150" s="3"/>
      <c r="C150" s="3"/>
      <c r="D150" s="5"/>
      <c r="E150" s="5"/>
      <c r="F150" s="3"/>
      <c r="G150" s="7"/>
      <c r="H150" s="3"/>
    </row>
    <row r="151">
      <c r="A151" s="3"/>
      <c r="B151" s="3"/>
      <c r="C151" s="3"/>
      <c r="D151" s="5"/>
      <c r="E151" s="5"/>
      <c r="F151" s="3"/>
      <c r="G151" s="7"/>
      <c r="H151" s="3"/>
    </row>
    <row r="152">
      <c r="A152" s="3"/>
      <c r="B152" s="3"/>
      <c r="C152" s="3"/>
      <c r="D152" s="5"/>
      <c r="E152" s="5"/>
      <c r="F152" s="3"/>
      <c r="G152" s="3"/>
      <c r="H152" s="3"/>
    </row>
    <row r="153">
      <c r="A153" s="3"/>
      <c r="B153" s="3"/>
      <c r="C153" s="3"/>
      <c r="D153" s="5"/>
      <c r="E153" s="5"/>
      <c r="F153" s="3"/>
      <c r="G153" s="7"/>
      <c r="H153" s="3"/>
    </row>
    <row r="154">
      <c r="A154" s="3"/>
      <c r="B154" s="3"/>
      <c r="C154" s="3"/>
      <c r="D154" s="5"/>
      <c r="E154" s="5"/>
      <c r="F154" s="3"/>
      <c r="G154" s="7"/>
      <c r="H154" s="3"/>
    </row>
    <row r="155">
      <c r="A155" s="3"/>
      <c r="B155" s="3"/>
      <c r="C155" s="3"/>
      <c r="D155" s="5"/>
      <c r="E155" s="5"/>
      <c r="F155" s="3"/>
      <c r="G155" s="3"/>
      <c r="H155" s="3"/>
    </row>
    <row r="156">
      <c r="A156" s="3"/>
      <c r="B156" s="3"/>
      <c r="C156" s="3"/>
      <c r="D156" s="5"/>
      <c r="E156" s="5"/>
      <c r="F156" s="3"/>
      <c r="G156" s="7"/>
      <c r="H156" s="3"/>
    </row>
    <row r="157">
      <c r="A157" s="3"/>
      <c r="B157" s="3"/>
      <c r="C157" s="3"/>
      <c r="D157" s="5"/>
      <c r="E157" s="5"/>
      <c r="F157" s="3"/>
      <c r="G157" s="7"/>
      <c r="H157" s="3"/>
    </row>
    <row r="158">
      <c r="A158" s="3"/>
      <c r="B158" s="3"/>
      <c r="C158" s="3"/>
      <c r="D158" s="5"/>
      <c r="E158" s="5"/>
      <c r="F158" s="3"/>
      <c r="G158" s="3"/>
      <c r="H158" s="3"/>
    </row>
    <row r="159">
      <c r="A159" s="3"/>
      <c r="B159" s="3"/>
      <c r="C159" s="3"/>
      <c r="D159" s="5"/>
      <c r="E159" s="5"/>
      <c r="F159" s="3"/>
      <c r="G159" s="7"/>
      <c r="H159" s="3"/>
    </row>
    <row r="160">
      <c r="A160" s="3"/>
      <c r="B160" s="3"/>
      <c r="C160" s="3"/>
      <c r="D160" s="5"/>
      <c r="E160" s="5"/>
      <c r="F160" s="3"/>
      <c r="G160" s="7"/>
      <c r="H160" s="3"/>
    </row>
    <row r="161">
      <c r="A161" s="3"/>
      <c r="B161" s="3"/>
      <c r="C161" s="3"/>
      <c r="D161" s="5"/>
      <c r="E161" s="5"/>
      <c r="F161" s="3"/>
      <c r="G161" s="3"/>
      <c r="H161" s="3"/>
    </row>
    <row r="162">
      <c r="A162" s="3"/>
      <c r="B162" s="3"/>
      <c r="C162" s="3"/>
      <c r="D162" s="5"/>
      <c r="E162" s="5"/>
      <c r="F162" s="3"/>
      <c r="G162" s="7"/>
      <c r="H162" s="3"/>
    </row>
    <row r="163">
      <c r="A163" s="3"/>
      <c r="B163" s="3"/>
      <c r="C163" s="3"/>
      <c r="D163" s="5"/>
      <c r="E163" s="5"/>
      <c r="F163" s="3"/>
      <c r="G163" s="7"/>
      <c r="H163" s="3"/>
    </row>
  </sheetData>
  <autoFilter ref="$A$2:$Z$118">
    <filterColumn colId="7">
      <filters blank="1"/>
    </filterColumn>
  </autoFilter>
  <dataValidations>
    <dataValidation type="list" allowBlank="1" sqref="C1">
      <formula1>"CW- 1,CW- 2,CW- 3,CW- 4,CW- 5,CW- 6,CW- 7,CW- 8,CW- 9,CW- 10,CW- 11,CW- 12,CW- 13,CW- 14,CW- 15,CW- 16,CW- 17,CW- 18,CW- 19,CW- 20,CW- 21,CW- 22,CW- 23,CW- 24,CW- 25,CW- 26,CW- 27,CW- 28,CW- 29,CW- 30,CW- 31,CW- 32,CW- 33,CW- 34,CW- 35,CW- 36,CW- 37,CW- 3"&amp;"8,CW- 39,CW- 40,CW- 41,CW- 42,CW- 43,CW- 44,CW- 45,CW- 46,CW- 47,CW- 48,CW- 49,CW- 50,CW- 51,CW- 52"</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5" max="5" width="27.63"/>
  </cols>
  <sheetData>
    <row r="1">
      <c r="A1" s="129" t="s">
        <v>2466</v>
      </c>
      <c r="D1" s="130" t="s">
        <v>2467</v>
      </c>
      <c r="E1" s="131" t="s">
        <v>2470</v>
      </c>
      <c r="F1" s="122">
        <v>46265.0</v>
      </c>
      <c r="G1" s="122">
        <v>46271.0</v>
      </c>
      <c r="H1" s="1" t="s">
        <v>2471</v>
      </c>
    </row>
    <row r="2">
      <c r="A2" s="123" t="s">
        <v>2472</v>
      </c>
      <c r="B2" s="123" t="s">
        <v>2473</v>
      </c>
      <c r="C2" s="123" t="s">
        <v>2474</v>
      </c>
      <c r="D2" s="123" t="s">
        <v>2475</v>
      </c>
      <c r="E2" s="123" t="s">
        <v>8</v>
      </c>
      <c r="F2" s="123" t="s">
        <v>2476</v>
      </c>
      <c r="G2" s="123" t="s">
        <v>2477</v>
      </c>
      <c r="H2" s="123" t="s">
        <v>2478</v>
      </c>
      <c r="I2" s="123" t="s">
        <v>2479</v>
      </c>
      <c r="J2" s="123" t="s">
        <v>2480</v>
      </c>
      <c r="K2" s="123" t="s">
        <v>2481</v>
      </c>
    </row>
    <row r="3">
      <c r="A3" s="3" t="s">
        <v>2482</v>
      </c>
      <c r="B3" s="3" t="s">
        <v>2471</v>
      </c>
      <c r="C3" s="132">
        <v>46265.0</v>
      </c>
      <c r="D3" s="132">
        <v>46271.0</v>
      </c>
      <c r="E3" s="3" t="s">
        <v>61</v>
      </c>
      <c r="F3" s="13">
        <v>0.0</v>
      </c>
      <c r="G3" s="13">
        <v>0.0</v>
      </c>
      <c r="H3" s="133">
        <v>0.0</v>
      </c>
      <c r="I3" s="13">
        <v>0.0</v>
      </c>
      <c r="J3" s="133">
        <v>0.0</v>
      </c>
      <c r="K3" s="3" t="s">
        <v>53</v>
      </c>
    </row>
    <row r="4">
      <c r="A4" s="3" t="s">
        <v>2482</v>
      </c>
      <c r="B4" s="3" t="s">
        <v>2471</v>
      </c>
      <c r="C4" s="132">
        <v>46265.0</v>
      </c>
      <c r="D4" s="132">
        <v>46271.0</v>
      </c>
      <c r="E4" s="3" t="s">
        <v>15</v>
      </c>
      <c r="F4" s="13">
        <v>0.0</v>
      </c>
      <c r="G4" s="13">
        <v>0.0</v>
      </c>
      <c r="H4" s="133">
        <v>0.0</v>
      </c>
      <c r="I4" s="13">
        <v>0.0</v>
      </c>
      <c r="J4" s="133">
        <v>0.0</v>
      </c>
      <c r="K4" s="3" t="s">
        <v>53</v>
      </c>
    </row>
    <row r="5">
      <c r="A5" s="3" t="s">
        <v>2482</v>
      </c>
      <c r="B5" s="3" t="s">
        <v>2471</v>
      </c>
      <c r="C5" s="132">
        <v>46265.0</v>
      </c>
      <c r="D5" s="132">
        <v>46271.0</v>
      </c>
      <c r="E5" s="3" t="s">
        <v>48</v>
      </c>
      <c r="F5" s="13">
        <v>0.0</v>
      </c>
      <c r="G5" s="13">
        <v>0.0</v>
      </c>
      <c r="H5" s="133">
        <v>0.0</v>
      </c>
      <c r="I5" s="13">
        <v>0.0</v>
      </c>
      <c r="J5" s="133">
        <v>0.0</v>
      </c>
      <c r="K5" s="3" t="s">
        <v>53</v>
      </c>
    </row>
    <row r="6">
      <c r="A6" s="3" t="s">
        <v>2482</v>
      </c>
      <c r="B6" s="3" t="s">
        <v>2471</v>
      </c>
      <c r="C6" s="132">
        <v>46265.0</v>
      </c>
      <c r="D6" s="132">
        <v>46271.0</v>
      </c>
      <c r="E6" s="3" t="s">
        <v>72</v>
      </c>
      <c r="F6" s="13">
        <v>0.0</v>
      </c>
      <c r="G6" s="13">
        <v>0.0</v>
      </c>
      <c r="H6" s="133">
        <v>0.0</v>
      </c>
      <c r="I6" s="13">
        <v>0.0</v>
      </c>
      <c r="J6" s="133">
        <v>0.0</v>
      </c>
      <c r="K6" s="3" t="s">
        <v>53</v>
      </c>
    </row>
  </sheetData>
  <mergeCells count="1">
    <mergeCell ref="A1:C1"/>
  </mergeCells>
  <conditionalFormatting sqref="H3:H6">
    <cfRule type="cellIs" dxfId="0" priority="1" stopIfTrue="1" operator="lessThan">
      <formula>0</formula>
    </cfRule>
  </conditionalFormatting>
  <conditionalFormatting sqref="J3:J6">
    <cfRule type="cellIs" dxfId="0" priority="2" stopIfTrue="1" operator="lessThan">
      <formula>0</formula>
    </cfRule>
  </conditionalFormatting>
  <dataValidations>
    <dataValidation type="list" allowBlank="1" sqref="H1">
      <formula1>"W 1,W 2,W 3,W 4,W 5,W 6,W 7,W 8,W 9,W 10,W 11,W 12,W 13,W 14,W 15,W 16,W 17,W 18,W 19,W 20,W 21,W 22,W 23,W 24,W 25,W 26,W 27,W 28,W 29,W 30,W 31,W 32,W 33,W 34,W 35,W 36,W 37,W 38,W 39,W 40,W 41,W 42,W 43,W 44,W 45,W 46,W 47,W 48,W 49,W 50,W 51,W 52"</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4" max="4" width="12.38"/>
    <col customWidth="1" min="5" max="5" width="24.0"/>
    <col customWidth="1" min="11" max="11" width="21.13"/>
  </cols>
  <sheetData>
    <row r="1">
      <c r="A1" s="134" t="s">
        <v>2047</v>
      </c>
      <c r="B1" s="20"/>
      <c r="C1" s="21"/>
      <c r="D1" s="135" t="s">
        <v>2049</v>
      </c>
      <c r="E1" s="136" t="s">
        <v>2053</v>
      </c>
      <c r="F1" s="137">
        <v>46188.0</v>
      </c>
      <c r="G1" s="137">
        <v>46194.0</v>
      </c>
      <c r="H1" s="138" t="s">
        <v>2483</v>
      </c>
      <c r="I1" s="139"/>
      <c r="J1" s="139"/>
      <c r="K1" s="140"/>
    </row>
    <row r="2">
      <c r="A2" s="141" t="s">
        <v>2472</v>
      </c>
      <c r="B2" s="141" t="s">
        <v>2473</v>
      </c>
      <c r="C2" s="141" t="s">
        <v>2474</v>
      </c>
      <c r="D2" s="141" t="s">
        <v>2475</v>
      </c>
      <c r="E2" s="141" t="s">
        <v>8</v>
      </c>
      <c r="F2" s="141" t="s">
        <v>2476</v>
      </c>
      <c r="G2" s="141" t="s">
        <v>2477</v>
      </c>
      <c r="H2" s="140" t="s">
        <v>2478</v>
      </c>
      <c r="I2" s="142"/>
      <c r="J2" s="142"/>
      <c r="K2" s="142"/>
    </row>
    <row r="3">
      <c r="A3" s="143" t="s">
        <v>2482</v>
      </c>
      <c r="B3" s="143" t="s">
        <v>2484</v>
      </c>
      <c r="C3" s="144">
        <v>46188.0</v>
      </c>
      <c r="D3" s="144">
        <v>46194.0</v>
      </c>
      <c r="E3" s="145" t="s">
        <v>61</v>
      </c>
      <c r="F3" s="146">
        <v>0.0</v>
      </c>
      <c r="G3" s="147">
        <v>0.0</v>
      </c>
      <c r="H3" s="148">
        <v>0.0</v>
      </c>
      <c r="I3" s="147">
        <v>0.0</v>
      </c>
      <c r="J3" s="148">
        <v>0.0</v>
      </c>
      <c r="K3" s="149" t="s">
        <v>53</v>
      </c>
      <c r="L3" s="150"/>
      <c r="M3" s="150"/>
      <c r="N3" s="150"/>
      <c r="O3" s="150"/>
      <c r="P3" s="150"/>
      <c r="Q3" s="150"/>
      <c r="R3" s="150"/>
      <c r="S3" s="150"/>
      <c r="T3" s="150"/>
      <c r="U3" s="150"/>
      <c r="V3" s="150"/>
      <c r="W3" s="150"/>
      <c r="X3" s="150"/>
      <c r="Y3" s="150"/>
      <c r="Z3" s="150"/>
    </row>
    <row r="4">
      <c r="A4" s="143" t="s">
        <v>2482</v>
      </c>
      <c r="B4" s="143" t="s">
        <v>2484</v>
      </c>
      <c r="C4" s="144">
        <v>46188.0</v>
      </c>
      <c r="D4" s="144">
        <v>46194.0</v>
      </c>
      <c r="E4" s="145" t="s">
        <v>15</v>
      </c>
      <c r="F4" s="146">
        <v>59.0</v>
      </c>
      <c r="G4" s="147">
        <v>59.0</v>
      </c>
      <c r="H4" s="148">
        <v>0.0</v>
      </c>
      <c r="I4" s="147">
        <v>59.0</v>
      </c>
      <c r="J4" s="148">
        <v>0.0</v>
      </c>
      <c r="K4" s="149" t="s">
        <v>53</v>
      </c>
    </row>
    <row r="5">
      <c r="A5" s="143" t="s">
        <v>2482</v>
      </c>
      <c r="B5" s="143" t="s">
        <v>2484</v>
      </c>
      <c r="C5" s="144">
        <v>46188.0</v>
      </c>
      <c r="D5" s="144">
        <v>46194.0</v>
      </c>
      <c r="E5" s="145" t="s">
        <v>48</v>
      </c>
      <c r="F5" s="146">
        <v>19.0</v>
      </c>
      <c r="G5" s="147">
        <v>19.0</v>
      </c>
      <c r="H5" s="148">
        <v>0.0</v>
      </c>
      <c r="I5" s="147">
        <v>19.0</v>
      </c>
      <c r="J5" s="148">
        <v>0.0</v>
      </c>
      <c r="K5" s="149" t="s">
        <v>53</v>
      </c>
    </row>
    <row r="6">
      <c r="A6" s="143" t="s">
        <v>2482</v>
      </c>
      <c r="B6" s="143" t="s">
        <v>2484</v>
      </c>
      <c r="C6" s="144">
        <v>46188.0</v>
      </c>
      <c r="D6" s="144">
        <v>46194.0</v>
      </c>
      <c r="E6" s="145" t="s">
        <v>72</v>
      </c>
      <c r="F6" s="146">
        <v>37.0</v>
      </c>
      <c r="G6" s="147">
        <v>37.0</v>
      </c>
      <c r="H6" s="148">
        <v>0.0</v>
      </c>
      <c r="I6" s="147">
        <v>37.0</v>
      </c>
      <c r="J6" s="148">
        <v>0.0</v>
      </c>
      <c r="K6" s="149" t="s">
        <v>53</v>
      </c>
    </row>
    <row r="7">
      <c r="A7" s="143"/>
      <c r="B7" s="143"/>
      <c r="C7" s="151"/>
      <c r="D7" s="152"/>
      <c r="E7" s="153"/>
      <c r="F7" s="151"/>
      <c r="G7" s="152"/>
      <c r="H7" s="154"/>
      <c r="I7" s="152"/>
      <c r="J7" s="154"/>
      <c r="K7" s="149"/>
    </row>
    <row r="8">
      <c r="A8" s="143"/>
      <c r="B8" s="143"/>
      <c r="C8" s="151"/>
      <c r="D8" s="152"/>
      <c r="E8" s="153"/>
      <c r="F8" s="151"/>
      <c r="G8" s="152"/>
      <c r="H8" s="154"/>
      <c r="I8" s="152"/>
      <c r="J8" s="154"/>
      <c r="K8" s="149"/>
    </row>
    <row r="9">
      <c r="A9" s="143"/>
      <c r="B9" s="143"/>
      <c r="C9" s="151"/>
      <c r="D9" s="152"/>
      <c r="E9" s="153"/>
      <c r="F9" s="151"/>
      <c r="G9" s="152"/>
      <c r="H9" s="154"/>
      <c r="I9" s="152"/>
      <c r="J9" s="154"/>
      <c r="K9" s="149"/>
    </row>
    <row r="10">
      <c r="A10" s="143"/>
      <c r="B10" s="143"/>
      <c r="C10" s="151"/>
      <c r="D10" s="152"/>
      <c r="E10" s="153"/>
      <c r="F10" s="151"/>
      <c r="G10" s="152"/>
      <c r="H10" s="154"/>
      <c r="I10" s="152"/>
      <c r="J10" s="154"/>
      <c r="K10" s="149"/>
    </row>
    <row r="11">
      <c r="A11" s="143"/>
      <c r="B11" s="143"/>
      <c r="C11" s="151"/>
      <c r="D11" s="152"/>
      <c r="E11" s="153"/>
      <c r="F11" s="151"/>
      <c r="G11" s="152"/>
      <c r="H11" s="154"/>
      <c r="I11" s="152"/>
      <c r="J11" s="154"/>
      <c r="K11" s="149"/>
    </row>
    <row r="12">
      <c r="A12" s="143"/>
      <c r="B12" s="143"/>
      <c r="C12" s="151"/>
      <c r="D12" s="152"/>
      <c r="E12" s="153"/>
      <c r="F12" s="151"/>
      <c r="G12" s="152"/>
      <c r="H12" s="154"/>
      <c r="I12" s="152"/>
      <c r="J12" s="154"/>
      <c r="K12" s="149"/>
    </row>
    <row r="13">
      <c r="A13" s="143"/>
      <c r="B13" s="143"/>
      <c r="C13" s="151"/>
      <c r="D13" s="152"/>
      <c r="E13" s="153"/>
      <c r="F13" s="151"/>
      <c r="G13" s="152"/>
      <c r="H13" s="154"/>
      <c r="I13" s="152"/>
      <c r="J13" s="154"/>
      <c r="K13" s="149"/>
    </row>
    <row r="14">
      <c r="A14" s="143"/>
      <c r="B14" s="143"/>
      <c r="C14" s="151"/>
      <c r="D14" s="152"/>
      <c r="E14" s="153"/>
      <c r="F14" s="151"/>
      <c r="G14" s="152"/>
      <c r="H14" s="154"/>
      <c r="I14" s="152"/>
      <c r="J14" s="154"/>
      <c r="K14" s="149"/>
    </row>
    <row r="15">
      <c r="A15" s="143"/>
      <c r="B15" s="143"/>
      <c r="C15" s="151"/>
      <c r="D15" s="152"/>
      <c r="E15" s="153"/>
      <c r="F15" s="151"/>
      <c r="G15" s="152"/>
      <c r="H15" s="154"/>
      <c r="I15" s="152"/>
      <c r="J15" s="154"/>
      <c r="K15" s="149"/>
    </row>
    <row r="16">
      <c r="A16" s="143"/>
      <c r="B16" s="143"/>
      <c r="C16" s="151"/>
      <c r="D16" s="152"/>
      <c r="E16" s="153"/>
      <c r="F16" s="151"/>
      <c r="G16" s="152"/>
      <c r="H16" s="154"/>
      <c r="I16" s="152"/>
      <c r="J16" s="154"/>
      <c r="K16" s="149"/>
    </row>
    <row r="17">
      <c r="A17" s="143"/>
      <c r="B17" s="143"/>
      <c r="C17" s="151"/>
      <c r="D17" s="152"/>
      <c r="E17" s="153"/>
      <c r="F17" s="151"/>
      <c r="G17" s="152"/>
      <c r="H17" s="154"/>
      <c r="I17" s="152"/>
      <c r="J17" s="154"/>
      <c r="K17" s="149"/>
    </row>
    <row r="18">
      <c r="A18" s="143"/>
      <c r="B18" s="143"/>
      <c r="C18" s="151"/>
      <c r="D18" s="152"/>
      <c r="E18" s="153"/>
      <c r="F18" s="151"/>
      <c r="G18" s="152"/>
      <c r="H18" s="154"/>
      <c r="I18" s="152"/>
      <c r="J18" s="154"/>
      <c r="K18" s="149"/>
    </row>
    <row r="19">
      <c r="A19" s="143"/>
      <c r="B19" s="143"/>
      <c r="C19" s="151"/>
      <c r="D19" s="152"/>
      <c r="E19" s="153"/>
      <c r="F19" s="151"/>
      <c r="G19" s="152"/>
      <c r="H19" s="154"/>
      <c r="I19" s="152"/>
      <c r="J19" s="154"/>
      <c r="K19" s="149"/>
    </row>
    <row r="20">
      <c r="A20" s="143"/>
      <c r="B20" s="143"/>
      <c r="C20" s="151"/>
      <c r="D20" s="152"/>
      <c r="E20" s="153"/>
      <c r="F20" s="151"/>
      <c r="G20" s="152"/>
      <c r="H20" s="154"/>
      <c r="I20" s="152"/>
      <c r="J20" s="154"/>
      <c r="K20" s="149"/>
    </row>
    <row r="21">
      <c r="A21" s="143"/>
      <c r="B21" s="143"/>
      <c r="C21" s="151"/>
      <c r="D21" s="152"/>
      <c r="E21" s="153"/>
      <c r="F21" s="151"/>
      <c r="G21" s="152"/>
      <c r="H21" s="154"/>
      <c r="I21" s="152"/>
      <c r="J21" s="154"/>
      <c r="K21" s="149"/>
    </row>
    <row r="22">
      <c r="A22" s="143"/>
      <c r="B22" s="143"/>
      <c r="C22" s="151"/>
      <c r="D22" s="152"/>
      <c r="E22" s="153"/>
      <c r="F22" s="151"/>
      <c r="G22" s="152"/>
      <c r="H22" s="154"/>
      <c r="I22" s="152"/>
      <c r="J22" s="154"/>
      <c r="K22" s="149"/>
    </row>
    <row r="23">
      <c r="A23" s="143"/>
      <c r="B23" s="143"/>
      <c r="C23" s="151"/>
      <c r="D23" s="152"/>
      <c r="E23" s="153"/>
      <c r="F23" s="151"/>
      <c r="G23" s="152"/>
      <c r="H23" s="154"/>
      <c r="I23" s="152"/>
      <c r="J23" s="154"/>
      <c r="K23" s="149"/>
    </row>
    <row r="24">
      <c r="A24" s="143"/>
      <c r="B24" s="143"/>
      <c r="C24" s="151"/>
      <c r="D24" s="152"/>
      <c r="E24" s="153"/>
      <c r="F24" s="151"/>
      <c r="G24" s="152"/>
      <c r="H24" s="154"/>
      <c r="I24" s="152"/>
      <c r="J24" s="154"/>
      <c r="K24" s="149"/>
    </row>
    <row r="25">
      <c r="A25" s="143"/>
      <c r="B25" s="143"/>
      <c r="C25" s="151"/>
      <c r="D25" s="152"/>
      <c r="E25" s="153"/>
      <c r="F25" s="151"/>
      <c r="G25" s="152"/>
      <c r="H25" s="154"/>
      <c r="I25" s="152"/>
      <c r="J25" s="154"/>
      <c r="K25" s="149"/>
    </row>
    <row r="26">
      <c r="A26" s="143"/>
      <c r="B26" s="143"/>
      <c r="C26" s="151"/>
      <c r="D26" s="152"/>
      <c r="E26" s="153"/>
      <c r="F26" s="151"/>
      <c r="G26" s="152"/>
      <c r="H26" s="154"/>
      <c r="I26" s="152"/>
      <c r="J26" s="154"/>
      <c r="K26" s="149"/>
    </row>
    <row r="27">
      <c r="A27" s="143"/>
      <c r="B27" s="143"/>
      <c r="C27" s="151"/>
      <c r="D27" s="152"/>
      <c r="E27" s="153"/>
      <c r="F27" s="151"/>
      <c r="G27" s="152"/>
      <c r="H27" s="154"/>
      <c r="I27" s="152"/>
      <c r="J27" s="154"/>
      <c r="K27" s="149"/>
    </row>
    <row r="28">
      <c r="A28" s="143"/>
      <c r="B28" s="143"/>
      <c r="C28" s="151"/>
      <c r="D28" s="152"/>
      <c r="E28" s="153"/>
      <c r="F28" s="151"/>
      <c r="G28" s="152"/>
      <c r="H28" s="154"/>
      <c r="I28" s="152"/>
      <c r="J28" s="154"/>
      <c r="K28" s="149"/>
    </row>
    <row r="29">
      <c r="A29" s="143"/>
      <c r="B29" s="143"/>
      <c r="C29" s="151"/>
      <c r="D29" s="152"/>
      <c r="E29" s="153"/>
      <c r="F29" s="151"/>
      <c r="G29" s="152"/>
      <c r="H29" s="154"/>
      <c r="I29" s="152"/>
      <c r="J29" s="154"/>
      <c r="K29" s="149"/>
    </row>
    <row r="30">
      <c r="A30" s="143"/>
      <c r="B30" s="143"/>
      <c r="C30" s="151"/>
      <c r="D30" s="152"/>
      <c r="E30" s="153"/>
      <c r="F30" s="151"/>
      <c r="G30" s="152"/>
      <c r="H30" s="154"/>
      <c r="I30" s="152"/>
      <c r="J30" s="154"/>
      <c r="K30" s="149"/>
    </row>
  </sheetData>
  <mergeCells count="4">
    <mergeCell ref="A1:C1"/>
    <mergeCell ref="I1:I2"/>
    <mergeCell ref="J1:J2"/>
    <mergeCell ref="K1:K2"/>
  </mergeCells>
  <conditionalFormatting sqref="H3:H997">
    <cfRule type="expression" dxfId="1" priority="1">
      <formula>H3&lt;0</formula>
    </cfRule>
  </conditionalFormatting>
  <conditionalFormatting sqref="J3:J997">
    <cfRule type="expression" dxfId="1" priority="2">
      <formula>J3&lt;0</formula>
    </cfRule>
  </conditionalFormatting>
  <dataValidations>
    <dataValidation type="list" allowBlank="1" sqref="H1">
      <formula1>"W 1,W 2,W 3,W 4,W 5,W 6,W 7,W 8,W 9,W 10,W 11,W 12,W 13,W 14,W 15,W 16,W 17,W 18,W 19,W 20,W 21,W 22,W 23,W 24,W 25,W 26,W 27,W 28,W 29,W 30,W 31,W 32,W 33,W 34,W 35,W 36,W 37,W 38,W 39,W 40,W 41,W 42,W 43,W 44,W 45,W 46,W 47,W 48,W 49,W 50,W 51,W 52"</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32.25"/>
    <col customWidth="1" min="3" max="3" width="18.88"/>
    <col customWidth="1" min="4" max="4" width="22.5"/>
    <col customWidth="1" min="5" max="5" width="21.13"/>
  </cols>
  <sheetData>
    <row r="1">
      <c r="A1" s="155" t="s">
        <v>6</v>
      </c>
      <c r="B1" s="155" t="s">
        <v>2485</v>
      </c>
      <c r="C1" s="156" t="s">
        <v>6</v>
      </c>
      <c r="D1" s="157" t="s">
        <v>2486</v>
      </c>
      <c r="E1" s="157" t="s">
        <v>2487</v>
      </c>
      <c r="F1" s="157" t="s">
        <v>2488</v>
      </c>
    </row>
    <row r="2">
      <c r="A2" s="158" t="s">
        <v>2489</v>
      </c>
      <c r="B2" s="159" t="s">
        <v>61</v>
      </c>
      <c r="C2" s="156" t="s">
        <v>434</v>
      </c>
      <c r="D2" s="160" t="s">
        <v>61</v>
      </c>
      <c r="E2" s="161" t="s">
        <v>72</v>
      </c>
      <c r="F2" s="162" t="s">
        <v>65</v>
      </c>
    </row>
    <row r="3">
      <c r="A3" s="158" t="s">
        <v>14</v>
      </c>
      <c r="B3" s="158" t="s">
        <v>15</v>
      </c>
      <c r="C3" s="156" t="s">
        <v>2490</v>
      </c>
      <c r="D3" s="161" t="s">
        <v>15</v>
      </c>
      <c r="E3" s="161" t="s">
        <v>72</v>
      </c>
      <c r="F3" s="162" t="s">
        <v>65</v>
      </c>
    </row>
    <row r="4">
      <c r="A4" s="158" t="s">
        <v>2491</v>
      </c>
      <c r="B4" s="158" t="s">
        <v>72</v>
      </c>
      <c r="C4" s="88"/>
      <c r="D4" s="161" t="s">
        <v>72</v>
      </c>
      <c r="E4" s="161" t="s">
        <v>15</v>
      </c>
      <c r="F4" s="162" t="s">
        <v>65</v>
      </c>
    </row>
    <row r="5">
      <c r="A5" s="88"/>
      <c r="B5" s="163" t="s">
        <v>48</v>
      </c>
      <c r="C5" s="88"/>
    </row>
    <row r="6">
      <c r="F6" s="164"/>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165" t="s">
        <v>2492</v>
      </c>
    </row>
  </sheetData>
  <mergeCells count="1">
    <mergeCell ref="A1:D1"/>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166">
        <f>IFERROR(__xludf.DUMMYFUNCTION("IMPORTRANGE(""1RjYLWSXsZzxs4JJD5XVZbrA-pOqBOW3AYuh0jeW_7O4"",""Holidays!A:c"")"),44667.0)</f>
        <v>44667</v>
      </c>
      <c r="B1" s="76"/>
      <c r="C1" s="76"/>
    </row>
    <row r="2">
      <c r="A2" s="167">
        <f>IFERROR(__xludf.DUMMYFUNCTION("""COMPUTED_VALUE"""),44784.0)</f>
        <v>44784</v>
      </c>
      <c r="B2" s="76"/>
      <c r="C2" s="76"/>
    </row>
    <row r="3">
      <c r="A3" s="167">
        <f>IFERROR(__xludf.DUMMYFUNCTION("""COMPUTED_VALUE"""),44788.0)</f>
        <v>44788</v>
      </c>
      <c r="B3" s="76"/>
      <c r="C3" s="76"/>
    </row>
    <row r="4">
      <c r="A4" s="167">
        <f>IFERROR(__xludf.DUMMYFUNCTION("""COMPUTED_VALUE"""),44792.0)</f>
        <v>44792</v>
      </c>
      <c r="B4" s="76"/>
      <c r="C4" s="76"/>
    </row>
    <row r="5">
      <c r="A5" s="167">
        <f>IFERROR(__xludf.DUMMYFUNCTION("""COMPUTED_VALUE"""),44803.0)</f>
        <v>44803</v>
      </c>
      <c r="B5" s="76"/>
      <c r="C5" s="76"/>
    </row>
    <row r="6">
      <c r="A6" s="167">
        <f>IFERROR(__xludf.DUMMYFUNCTION("""COMPUTED_VALUE"""),44836.0)</f>
        <v>44836</v>
      </c>
      <c r="B6" s="76"/>
      <c r="C6" s="76"/>
    </row>
    <row r="7">
      <c r="A7" s="167">
        <f>IFERROR(__xludf.DUMMYFUNCTION("""COMPUTED_VALUE"""),44839.0)</f>
        <v>44839</v>
      </c>
      <c r="B7" s="76"/>
      <c r="C7" s="76"/>
    </row>
    <row r="8">
      <c r="A8" s="167">
        <f>IFERROR(__xludf.DUMMYFUNCTION("""COMPUTED_VALUE"""),44858.0)</f>
        <v>44858</v>
      </c>
      <c r="B8" s="76"/>
      <c r="C8" s="76"/>
    </row>
    <row r="9">
      <c r="A9" s="167">
        <f>IFERROR(__xludf.DUMMYFUNCTION("""COMPUTED_VALUE"""),44860.0)</f>
        <v>44860</v>
      </c>
      <c r="B9" s="76"/>
      <c r="C9" s="76"/>
    </row>
    <row r="10">
      <c r="A10" s="167">
        <f>IFERROR(__xludf.DUMMYFUNCTION("""COMPUTED_VALUE"""),44920.0)</f>
        <v>44920</v>
      </c>
      <c r="B10" s="76"/>
      <c r="C10" s="76"/>
    </row>
    <row r="11">
      <c r="A11" s="167">
        <f>IFERROR(__xludf.DUMMYFUNCTION("""COMPUTED_VALUE"""),44873.0)</f>
        <v>44873</v>
      </c>
      <c r="B11" s="76"/>
      <c r="C11" s="76"/>
    </row>
    <row r="12">
      <c r="A12" s="167">
        <f>IFERROR(__xludf.DUMMYFUNCTION("""COMPUTED_VALUE"""),44952.0)</f>
        <v>44952</v>
      </c>
      <c r="B12" s="76"/>
      <c r="C12" s="76"/>
    </row>
    <row r="13">
      <c r="A13" s="167">
        <f>IFERROR(__xludf.DUMMYFUNCTION("""COMPUTED_VALUE"""),44993.0)</f>
        <v>44993</v>
      </c>
      <c r="B13" s="76"/>
      <c r="C13" s="76"/>
    </row>
    <row r="14">
      <c r="A14" s="167">
        <f>IFERROR(__xludf.DUMMYFUNCTION("""COMPUTED_VALUE"""),45030.0)</f>
        <v>45030</v>
      </c>
      <c r="B14" s="76"/>
      <c r="C14" s="76"/>
    </row>
    <row r="15">
      <c r="A15" s="167">
        <f>IFERROR(__xludf.DUMMYFUNCTION("""COMPUTED_VALUE"""),45038.0)</f>
        <v>45038</v>
      </c>
      <c r="B15" s="76"/>
      <c r="C15" s="76"/>
    </row>
    <row r="16">
      <c r="A16" s="167">
        <f>IFERROR(__xludf.DUMMYFUNCTION("""COMPUTED_VALUE"""),45097.0)</f>
        <v>45097</v>
      </c>
      <c r="B16" s="76"/>
      <c r="C16" s="76"/>
    </row>
    <row r="17">
      <c r="A17" s="167">
        <f>IFERROR(__xludf.DUMMYFUNCTION("""COMPUTED_VALUE"""),45153.0)</f>
        <v>45153</v>
      </c>
      <c r="B17" s="76"/>
      <c r="C17" s="76"/>
    </row>
    <row r="18">
      <c r="A18" s="168">
        <f>IFERROR(__xludf.DUMMYFUNCTION("""COMPUTED_VALUE"""),45168.0)</f>
        <v>45168</v>
      </c>
      <c r="B18" s="76"/>
      <c r="C18" s="76"/>
    </row>
    <row r="19">
      <c r="A19" s="167">
        <f>IFERROR(__xludf.DUMMYFUNCTION("""COMPUTED_VALUE"""),45176.0)</f>
        <v>45176</v>
      </c>
      <c r="B19" s="76"/>
      <c r="C19" s="76"/>
    </row>
    <row r="20">
      <c r="A20" s="167">
        <f>IFERROR(__xludf.DUMMYFUNCTION("""COMPUTED_VALUE"""),45188.0)</f>
        <v>45188</v>
      </c>
      <c r="B20" s="76"/>
      <c r="C20" s="76"/>
    </row>
    <row r="21">
      <c r="A21" s="167">
        <f>IFERROR(__xludf.DUMMYFUNCTION("""COMPUTED_VALUE"""),45201.0)</f>
        <v>45201</v>
      </c>
      <c r="B21" s="76"/>
      <c r="C21" s="76"/>
    </row>
    <row r="22">
      <c r="A22" s="167">
        <f>IFERROR(__xludf.DUMMYFUNCTION("""COMPUTED_VALUE"""),45223.0)</f>
        <v>45223</v>
      </c>
      <c r="B22" s="76"/>
      <c r="C22" s="76"/>
    </row>
    <row r="23">
      <c r="A23" s="167">
        <f>IFERROR(__xludf.DUMMYFUNCTION("""COMPUTED_VALUE"""),45243.0)</f>
        <v>45243</v>
      </c>
      <c r="B23" s="76"/>
      <c r="C23" s="76"/>
    </row>
    <row r="24">
      <c r="A24" s="167">
        <f>IFERROR(__xludf.DUMMYFUNCTION("""COMPUTED_VALUE"""),45285.0)</f>
        <v>45285</v>
      </c>
      <c r="B24" s="76"/>
      <c r="C24" s="76"/>
    </row>
    <row r="25">
      <c r="A25" s="167">
        <f>IFERROR(__xludf.DUMMYFUNCTION("""COMPUTED_VALUE"""),45292.0)</f>
        <v>45292</v>
      </c>
      <c r="B25" s="76"/>
      <c r="C25" s="76"/>
    </row>
    <row r="26">
      <c r="A26" s="167">
        <f>IFERROR(__xludf.DUMMYFUNCTION("""COMPUTED_VALUE"""),45317.0)</f>
        <v>45317</v>
      </c>
      <c r="B26" s="76"/>
      <c r="C26" s="76"/>
    </row>
    <row r="27">
      <c r="A27" s="167">
        <f>IFERROR(__xludf.DUMMYFUNCTION("""COMPUTED_VALUE"""),45376.0)</f>
        <v>45376</v>
      </c>
      <c r="B27" s="76"/>
      <c r="C27" s="76"/>
    </row>
    <row r="28">
      <c r="A28" s="168">
        <f>IFERROR(__xludf.DUMMYFUNCTION("""COMPUTED_VALUE"""),45393.0)</f>
        <v>45393</v>
      </c>
      <c r="B28" s="76"/>
      <c r="C28" s="76"/>
    </row>
    <row r="29">
      <c r="A29" s="167">
        <f>IFERROR(__xludf.DUMMYFUNCTION("""COMPUTED_VALUE"""),45519.0)</f>
        <v>45519</v>
      </c>
      <c r="B29" s="76"/>
      <c r="C29" s="76"/>
    </row>
    <row r="30">
      <c r="A30" s="167">
        <f>IFERROR(__xludf.DUMMYFUNCTION("""COMPUTED_VALUE"""),45523.0)</f>
        <v>45523</v>
      </c>
      <c r="B30" s="76"/>
      <c r="C30" s="76"/>
    </row>
    <row r="31">
      <c r="A31" s="167">
        <f>IFERROR(__xludf.DUMMYFUNCTION("""COMPUTED_VALUE"""),45530.0)</f>
        <v>45530</v>
      </c>
      <c r="B31" s="76"/>
      <c r="C31" s="76"/>
    </row>
    <row r="32">
      <c r="A32" s="167">
        <f>IFERROR(__xludf.DUMMYFUNCTION("""COMPUTED_VALUE"""),45542.0)</f>
        <v>45542</v>
      </c>
      <c r="B32" s="76"/>
      <c r="C32" s="76"/>
    </row>
    <row r="33">
      <c r="A33" s="167">
        <f>IFERROR(__xludf.DUMMYFUNCTION("""COMPUTED_VALUE"""),45567.0)</f>
        <v>45567</v>
      </c>
      <c r="B33" s="76"/>
      <c r="C33" s="76"/>
    </row>
    <row r="34">
      <c r="A34" s="167">
        <f>IFERROR(__xludf.DUMMYFUNCTION("""COMPUTED_VALUE"""),45577.0)</f>
        <v>45577</v>
      </c>
      <c r="B34" s="76"/>
      <c r="C34" s="76"/>
    </row>
    <row r="35">
      <c r="A35" s="167">
        <f>IFERROR(__xludf.DUMMYFUNCTION("""COMPUTED_VALUE"""),45597.0)</f>
        <v>45597</v>
      </c>
      <c r="B35" s="76"/>
      <c r="C35" s="76"/>
    </row>
    <row r="36">
      <c r="A36" s="167">
        <f>IFERROR(__xludf.DUMMYFUNCTION("""COMPUTED_VALUE"""),45598.0)</f>
        <v>45598</v>
      </c>
      <c r="B36" s="76"/>
      <c r="C36" s="76"/>
    </row>
    <row r="37">
      <c r="A37" s="167">
        <f>IFERROR(__xludf.DUMMYFUNCTION("""COMPUTED_VALUE"""),45651.0)</f>
        <v>45651</v>
      </c>
      <c r="B37" s="76"/>
      <c r="C37" s="76"/>
    </row>
    <row r="38">
      <c r="A38" s="169">
        <f>IFERROR(__xludf.DUMMYFUNCTION("""COMPUTED_VALUE"""),45658.0)</f>
        <v>45658</v>
      </c>
      <c r="B38" s="76" t="str">
        <f>IFERROR(__xludf.DUMMYFUNCTION("""COMPUTED_VALUE"""),"New Year's day")</f>
        <v>New Year's day</v>
      </c>
      <c r="C38" s="76" t="str">
        <f>IFERROR(__xludf.DUMMYFUNCTION("""COMPUTED_VALUE"""),"Wednesday")</f>
        <v>Wednesday</v>
      </c>
    </row>
    <row r="39">
      <c r="A39" s="169">
        <f>IFERROR(__xludf.DUMMYFUNCTION("""COMPUTED_VALUE"""),45683.0)</f>
        <v>45683</v>
      </c>
      <c r="B39" s="76" t="str">
        <f>IFERROR(__xludf.DUMMYFUNCTION("""COMPUTED_VALUE"""),"Republic Day")</f>
        <v>Republic Day</v>
      </c>
      <c r="C39" s="76" t="str">
        <f>IFERROR(__xludf.DUMMYFUNCTION("""COMPUTED_VALUE"""),"Sunday")</f>
        <v>Sunday</v>
      </c>
    </row>
    <row r="40">
      <c r="A40" s="169">
        <f>IFERROR(__xludf.DUMMYFUNCTION("""COMPUTED_VALUE"""),45730.0)</f>
        <v>45730</v>
      </c>
      <c r="B40" s="76" t="str">
        <f>IFERROR(__xludf.DUMMYFUNCTION("""COMPUTED_VALUE"""),"Holi")</f>
        <v>Holi</v>
      </c>
      <c r="C40" s="76" t="str">
        <f>IFERROR(__xludf.DUMMYFUNCTION("""COMPUTED_VALUE"""),"Friday")</f>
        <v>Friday</v>
      </c>
    </row>
    <row r="41">
      <c r="A41" s="169">
        <f>IFERROR(__xludf.DUMMYFUNCTION("""COMPUTED_VALUE"""),45747.0)</f>
        <v>45747</v>
      </c>
      <c r="B41" s="76" t="str">
        <f>IFERROR(__xludf.DUMMYFUNCTION("""COMPUTED_VALUE"""),"Eid-Ul-Fitr")</f>
        <v>Eid-Ul-Fitr</v>
      </c>
      <c r="C41" s="76" t="str">
        <f>IFERROR(__xludf.DUMMYFUNCTION("""COMPUTED_VALUE"""),"Monday")</f>
        <v>Monday</v>
      </c>
    </row>
    <row r="42">
      <c r="A42" s="169">
        <f>IFERROR(__xludf.DUMMYFUNCTION("""COMPUTED_VALUE"""),45835.0)</f>
        <v>45835</v>
      </c>
      <c r="B42" s="76" t="str">
        <f>IFERROR(__xludf.DUMMYFUNCTION("""COMPUTED_VALUE"""),"Rath Yatra")</f>
        <v>Rath Yatra</v>
      </c>
      <c r="C42" s="76" t="str">
        <f>IFERROR(__xludf.DUMMYFUNCTION("""COMPUTED_VALUE"""),"Friday")</f>
        <v>Friday</v>
      </c>
    </row>
    <row r="43">
      <c r="A43" s="169">
        <f>IFERROR(__xludf.DUMMYFUNCTION("""COMPUTED_VALUE"""),45878.0)</f>
        <v>45878</v>
      </c>
      <c r="B43" s="76" t="str">
        <f>IFERROR(__xludf.DUMMYFUNCTION("""COMPUTED_VALUE"""),"Rakhi")</f>
        <v>Rakhi</v>
      </c>
      <c r="C43" s="76" t="str">
        <f>IFERROR(__xludf.DUMMYFUNCTION("""COMPUTED_VALUE"""),"Saturday")</f>
        <v>Saturday</v>
      </c>
    </row>
    <row r="44">
      <c r="A44" s="169">
        <f>IFERROR(__xludf.DUMMYFUNCTION("""COMPUTED_VALUE"""),45884.0)</f>
        <v>45884</v>
      </c>
      <c r="B44" s="76" t="str">
        <f>IFERROR(__xludf.DUMMYFUNCTION("""COMPUTED_VALUE"""),"Independence Day")</f>
        <v>Independence Day</v>
      </c>
      <c r="C44" s="76" t="str">
        <f>IFERROR(__xludf.DUMMYFUNCTION("""COMPUTED_VALUE"""),"Friday")</f>
        <v>Friday</v>
      </c>
    </row>
    <row r="45">
      <c r="A45" s="169">
        <f>IFERROR(__xludf.DUMMYFUNCTION("""COMPUTED_VALUE"""),45885.0)</f>
        <v>45885</v>
      </c>
      <c r="B45" s="76" t="str">
        <f>IFERROR(__xludf.DUMMYFUNCTION("""COMPUTED_VALUE"""),"Krishna Janmashtami")</f>
        <v>Krishna Janmashtami</v>
      </c>
      <c r="C45" s="76" t="str">
        <f>IFERROR(__xludf.DUMMYFUNCTION("""COMPUTED_VALUE"""),"Saturday")</f>
        <v>Saturday</v>
      </c>
    </row>
    <row r="46">
      <c r="A46" s="169">
        <f>IFERROR(__xludf.DUMMYFUNCTION("""COMPUTED_VALUE"""),45896.0)</f>
        <v>45896</v>
      </c>
      <c r="B46" s="76" t="str">
        <f>IFERROR(__xludf.DUMMYFUNCTION("""COMPUTED_VALUE"""),"Ganesh Chaturthi")</f>
        <v>Ganesh Chaturthi</v>
      </c>
      <c r="C46" s="76" t="str">
        <f>IFERROR(__xludf.DUMMYFUNCTION("""COMPUTED_VALUE"""),"Wednesday")</f>
        <v>Wednesday</v>
      </c>
    </row>
    <row r="47">
      <c r="A47" s="169">
        <f>IFERROR(__xludf.DUMMYFUNCTION("""COMPUTED_VALUE"""),45932.0)</f>
        <v>45932</v>
      </c>
      <c r="B47" s="76" t="str">
        <f>IFERROR(__xludf.DUMMYFUNCTION("""COMPUTED_VALUE"""),"Gandhi Jayanti / Dusshera")</f>
        <v>Gandhi Jayanti / Dusshera</v>
      </c>
      <c r="C47" s="76" t="str">
        <f>IFERROR(__xludf.DUMMYFUNCTION("""COMPUTED_VALUE"""),"Thursday")</f>
        <v>Thursday</v>
      </c>
    </row>
    <row r="48">
      <c r="A48" s="169">
        <f>IFERROR(__xludf.DUMMYFUNCTION("""COMPUTED_VALUE"""),45950.0)</f>
        <v>45950</v>
      </c>
      <c r="B48" s="76" t="str">
        <f>IFERROR(__xludf.DUMMYFUNCTION("""COMPUTED_VALUE"""),"Diwali")</f>
        <v>Diwali</v>
      </c>
      <c r="C48" s="76" t="str">
        <f>IFERROR(__xludf.DUMMYFUNCTION("""COMPUTED_VALUE"""),"Monday")</f>
        <v>Monday</v>
      </c>
    </row>
    <row r="49">
      <c r="A49" s="169">
        <f>IFERROR(__xludf.DUMMYFUNCTION("""COMPUTED_VALUE"""),45951.0)</f>
        <v>45951</v>
      </c>
      <c r="B49" s="76" t="str">
        <f>IFERROR(__xludf.DUMMYFUNCTION("""COMPUTED_VALUE"""),"Govardhan Puja")</f>
        <v>Govardhan Puja</v>
      </c>
      <c r="C49" s="76" t="str">
        <f>IFERROR(__xludf.DUMMYFUNCTION("""COMPUTED_VALUE"""),"Tuesday")</f>
        <v>Tuesday</v>
      </c>
    </row>
    <row r="50">
      <c r="A50" s="169">
        <f>IFERROR(__xludf.DUMMYFUNCTION("""COMPUTED_VALUE"""),46016.0)</f>
        <v>46016</v>
      </c>
      <c r="B50" s="76" t="str">
        <f>IFERROR(__xludf.DUMMYFUNCTION("""COMPUTED_VALUE"""),"Christmas")</f>
        <v>Christmas</v>
      </c>
      <c r="C50" s="76" t="str">
        <f>IFERROR(__xludf.DUMMYFUNCTION("""COMPUTED_VALUE"""),"Thursday")</f>
        <v>Thursday</v>
      </c>
    </row>
    <row r="51">
      <c r="A51" s="169">
        <f>IFERROR(__xludf.DUMMYFUNCTION("""COMPUTED_VALUE"""),46023.0)</f>
        <v>46023</v>
      </c>
      <c r="B51" s="76" t="str">
        <f>IFERROR(__xludf.DUMMYFUNCTION("""COMPUTED_VALUE"""),"New Year")</f>
        <v>New Year</v>
      </c>
      <c r="C51" s="76" t="str">
        <f>IFERROR(__xludf.DUMMYFUNCTION("""COMPUTED_VALUE"""),"Thursday")</f>
        <v>Thursday</v>
      </c>
    </row>
    <row r="52">
      <c r="A52" s="169">
        <f>IFERROR(__xludf.DUMMYFUNCTION("""COMPUTED_VALUE"""),46048.0)</f>
        <v>46048</v>
      </c>
      <c r="B52" s="76" t="str">
        <f>IFERROR(__xludf.DUMMYFUNCTION("""COMPUTED_VALUE"""),"Republic Day")</f>
        <v>Republic Day</v>
      </c>
      <c r="C52" s="76" t="str">
        <f>IFERROR(__xludf.DUMMYFUNCTION("""COMPUTED_VALUE"""),"Monday")</f>
        <v>Monday</v>
      </c>
    </row>
    <row r="53">
      <c r="A53" s="169">
        <f>IFERROR(__xludf.DUMMYFUNCTION("""COMPUTED_VALUE"""),46085.0)</f>
        <v>46085</v>
      </c>
      <c r="B53" s="76" t="str">
        <f>IFERROR(__xludf.DUMMYFUNCTION("""COMPUTED_VALUE"""),"Holi")</f>
        <v>Holi</v>
      </c>
      <c r="C53" s="76" t="str">
        <f>IFERROR(__xludf.DUMMYFUNCTION("""COMPUTED_VALUE"""),"Wednesday")</f>
        <v>Wednesday</v>
      </c>
    </row>
    <row r="54">
      <c r="A54" s="169">
        <f>IFERROR(__xludf.DUMMYFUNCTION("""COMPUTED_VALUE"""),46102.0)</f>
        <v>46102</v>
      </c>
      <c r="B54" s="76" t="str">
        <f>IFERROR(__xludf.DUMMYFUNCTION("""COMPUTED_VALUE"""),"Eid-ul-Fitr")</f>
        <v>Eid-ul-Fitr</v>
      </c>
      <c r="C54" s="76" t="str">
        <f>IFERROR(__xludf.DUMMYFUNCTION("""COMPUTED_VALUE"""),"Saturday")</f>
        <v>Saturday</v>
      </c>
    </row>
    <row r="55">
      <c r="A55" s="169">
        <f>IFERROR(__xludf.DUMMYFUNCTION("""COMPUTED_VALUE"""),46219.0)</f>
        <v>46219</v>
      </c>
      <c r="B55" s="76" t="str">
        <f>IFERROR(__xludf.DUMMYFUNCTION("""COMPUTED_VALUE"""),"Rath Yatra")</f>
        <v>Rath Yatra</v>
      </c>
      <c r="C55" s="76" t="str">
        <f>IFERROR(__xludf.DUMMYFUNCTION("""COMPUTED_VALUE"""),"Thursday")</f>
        <v>Thursday</v>
      </c>
    </row>
    <row r="56">
      <c r="A56" s="169">
        <f>IFERROR(__xludf.DUMMYFUNCTION("""COMPUTED_VALUE"""),46249.0)</f>
        <v>46249</v>
      </c>
      <c r="B56" s="76" t="str">
        <f>IFERROR(__xludf.DUMMYFUNCTION("""COMPUTED_VALUE"""),"Independence Day")</f>
        <v>Independence Day</v>
      </c>
      <c r="C56" s="76" t="str">
        <f>IFERROR(__xludf.DUMMYFUNCTION("""COMPUTED_VALUE"""),"Saturday")</f>
        <v>Saturday</v>
      </c>
    </row>
    <row r="57">
      <c r="A57" s="169">
        <f>IFERROR(__xludf.DUMMYFUNCTION("""COMPUTED_VALUE"""),46262.0)</f>
        <v>46262</v>
      </c>
      <c r="B57" s="76" t="str">
        <f>IFERROR(__xludf.DUMMYFUNCTION("""COMPUTED_VALUE"""),"Raksha Bandhan")</f>
        <v>Raksha Bandhan</v>
      </c>
      <c r="C57" s="76" t="str">
        <f>IFERROR(__xludf.DUMMYFUNCTION("""COMPUTED_VALUE"""),"Friday")</f>
        <v>Friday</v>
      </c>
    </row>
    <row r="58">
      <c r="A58" s="169">
        <f>IFERROR(__xludf.DUMMYFUNCTION("""COMPUTED_VALUE"""),46269.0)</f>
        <v>46269</v>
      </c>
      <c r="B58" s="76" t="str">
        <f>IFERROR(__xludf.DUMMYFUNCTION("""COMPUTED_VALUE"""),"Janmashtami")</f>
        <v>Janmashtami</v>
      </c>
      <c r="C58" s="76" t="str">
        <f>IFERROR(__xludf.DUMMYFUNCTION("""COMPUTED_VALUE"""),"Friday")</f>
        <v>Friday</v>
      </c>
    </row>
    <row r="59">
      <c r="A59" s="169">
        <f>IFERROR(__xludf.DUMMYFUNCTION("""COMPUTED_VALUE"""),46279.0)</f>
        <v>46279</v>
      </c>
      <c r="B59" s="76" t="str">
        <f>IFERROR(__xludf.DUMMYFUNCTION("""COMPUTED_VALUE"""),"Ganesh Chaturthi")</f>
        <v>Ganesh Chaturthi</v>
      </c>
      <c r="C59" s="76" t="str">
        <f>IFERROR(__xludf.DUMMYFUNCTION("""COMPUTED_VALUE"""),"Monday")</f>
        <v>Monday</v>
      </c>
    </row>
    <row r="60">
      <c r="A60" s="169">
        <f>IFERROR(__xludf.DUMMYFUNCTION("""COMPUTED_VALUE"""),46297.0)</f>
        <v>46297</v>
      </c>
      <c r="B60" s="76" t="str">
        <f>IFERROR(__xludf.DUMMYFUNCTION("""COMPUTED_VALUE"""),"Gandhi Jayanti")</f>
        <v>Gandhi Jayanti</v>
      </c>
      <c r="C60" s="76" t="str">
        <f>IFERROR(__xludf.DUMMYFUNCTION("""COMPUTED_VALUE"""),"Friday")</f>
        <v>Friday</v>
      </c>
    </row>
    <row r="61">
      <c r="A61" s="169">
        <f>IFERROR(__xludf.DUMMYFUNCTION("""COMPUTED_VALUE"""),46315.0)</f>
        <v>46315</v>
      </c>
      <c r="B61" s="76" t="str">
        <f>IFERROR(__xludf.DUMMYFUNCTION("""COMPUTED_VALUE"""),"Dussehra")</f>
        <v>Dussehra</v>
      </c>
      <c r="C61" s="76" t="str">
        <f>IFERROR(__xludf.DUMMYFUNCTION("""COMPUTED_VALUE"""),"Tuesday")</f>
        <v>Tuesday</v>
      </c>
    </row>
    <row r="62">
      <c r="A62" s="169">
        <f>IFERROR(__xludf.DUMMYFUNCTION("""COMPUTED_VALUE"""),46334.0)</f>
        <v>46334</v>
      </c>
      <c r="B62" s="76" t="str">
        <f>IFERROR(__xludf.DUMMYFUNCTION("""COMPUTED_VALUE"""),"Diwali")</f>
        <v>Diwali</v>
      </c>
      <c r="C62" s="76" t="str">
        <f>IFERROR(__xludf.DUMMYFUNCTION("""COMPUTED_VALUE"""),"Sunday")</f>
        <v>Sunday</v>
      </c>
    </row>
    <row r="63">
      <c r="A63" s="169">
        <f>IFERROR(__xludf.DUMMYFUNCTION("""COMPUTED_VALUE"""),46336.0)</f>
        <v>46336</v>
      </c>
      <c r="B63" s="76" t="str">
        <f>IFERROR(__xludf.DUMMYFUNCTION("""COMPUTED_VALUE"""),"Govardhan Puja")</f>
        <v>Govardhan Puja</v>
      </c>
      <c r="C63" s="76" t="str">
        <f>IFERROR(__xludf.DUMMYFUNCTION("""COMPUTED_VALUE"""),"Tuesday")</f>
        <v>Tuesday</v>
      </c>
    </row>
    <row r="64">
      <c r="A64" s="169">
        <f>IFERROR(__xludf.DUMMYFUNCTION("""COMPUTED_VALUE"""),46388.0)</f>
        <v>46388</v>
      </c>
      <c r="B64" s="76" t="str">
        <f>IFERROR(__xludf.DUMMYFUNCTION("""COMPUTED_VALUE"""),"New Year")</f>
        <v>New Year</v>
      </c>
      <c r="C64" s="76"/>
    </row>
    <row r="65">
      <c r="A65" s="169">
        <f>IFERROR(__xludf.DUMMYFUNCTION("""COMPUTED_VALUE"""),46413.0)</f>
        <v>46413</v>
      </c>
      <c r="B65" s="76" t="str">
        <f>IFERROR(__xludf.DUMMYFUNCTION("""COMPUTED_VALUE"""),"Republic Day")</f>
        <v>Republic Day</v>
      </c>
      <c r="C65" s="76"/>
    </row>
    <row r="66">
      <c r="A66" s="169">
        <f>IFERROR(__xludf.DUMMYFUNCTION("""COMPUTED_VALUE"""),46456.0)</f>
        <v>46456</v>
      </c>
      <c r="B66" s="76" t="str">
        <f>IFERROR(__xludf.DUMMYFUNCTION("""COMPUTED_VALUE"""),"Eid-ul-Fitr")</f>
        <v>Eid-ul-Fitr</v>
      </c>
      <c r="C66" s="76"/>
    </row>
    <row r="67">
      <c r="A67" s="169">
        <f>IFERROR(__xludf.DUMMYFUNCTION("""COMPUTED_VALUE"""),46468.0)</f>
        <v>46468</v>
      </c>
      <c r="B67" s="76" t="str">
        <f>IFERROR(__xludf.DUMMYFUNCTION("""COMPUTED_VALUE"""),"Holi")</f>
        <v>Holi</v>
      </c>
      <c r="C67" s="76"/>
    </row>
    <row r="68">
      <c r="A68" s="76"/>
      <c r="B68" s="76"/>
      <c r="C68" s="76"/>
    </row>
    <row r="69">
      <c r="A69" s="76"/>
      <c r="B69" s="76"/>
      <c r="C69" s="76"/>
    </row>
    <row r="70">
      <c r="A70" s="76"/>
      <c r="B70" s="76"/>
      <c r="C70" s="76"/>
    </row>
    <row r="71">
      <c r="A71" s="76"/>
      <c r="B71" s="76"/>
      <c r="C71" s="76"/>
    </row>
    <row r="72">
      <c r="A72" s="76"/>
      <c r="B72" s="76"/>
      <c r="C72" s="76"/>
    </row>
    <row r="73">
      <c r="A73" s="76"/>
      <c r="B73" s="76"/>
      <c r="C73" s="76"/>
    </row>
    <row r="74">
      <c r="A74" s="76"/>
      <c r="B74" s="76"/>
      <c r="C74" s="76"/>
    </row>
    <row r="75">
      <c r="A75" s="76"/>
      <c r="B75" s="76"/>
      <c r="C75" s="76"/>
    </row>
    <row r="76">
      <c r="A76" s="76"/>
      <c r="B76" s="76"/>
      <c r="C76" s="76"/>
    </row>
    <row r="77">
      <c r="A77" s="76"/>
      <c r="B77" s="76"/>
      <c r="C77" s="76"/>
    </row>
    <row r="78">
      <c r="A78" s="76"/>
      <c r="B78" s="76"/>
      <c r="C78" s="76"/>
    </row>
    <row r="79">
      <c r="A79" s="76"/>
      <c r="B79" s="76"/>
      <c r="C79" s="76"/>
    </row>
    <row r="80">
      <c r="A80" s="76"/>
      <c r="B80" s="76"/>
      <c r="C80" s="76"/>
    </row>
    <row r="81">
      <c r="A81" s="76"/>
      <c r="B81" s="76"/>
      <c r="C81" s="76"/>
    </row>
    <row r="82">
      <c r="A82" s="76"/>
      <c r="B82" s="76"/>
      <c r="C82" s="76"/>
    </row>
    <row r="83">
      <c r="A83" s="76"/>
      <c r="B83" s="76"/>
      <c r="C83" s="76"/>
    </row>
    <row r="84">
      <c r="A84" s="76"/>
      <c r="B84" s="76"/>
      <c r="C84" s="76"/>
    </row>
    <row r="85">
      <c r="A85" s="76"/>
      <c r="B85" s="76"/>
      <c r="C85" s="76"/>
    </row>
    <row r="86">
      <c r="A86" s="76"/>
      <c r="B86" s="76"/>
      <c r="C86" s="76"/>
    </row>
    <row r="87">
      <c r="A87" s="76"/>
      <c r="B87" s="76"/>
      <c r="C87" s="76"/>
    </row>
    <row r="88">
      <c r="A88" s="76"/>
      <c r="B88" s="76"/>
      <c r="C88" s="76"/>
    </row>
    <row r="89">
      <c r="A89" s="76"/>
      <c r="B89" s="76"/>
      <c r="C89" s="76"/>
    </row>
    <row r="90">
      <c r="A90" s="76"/>
      <c r="B90" s="76"/>
      <c r="C90" s="76"/>
    </row>
    <row r="91">
      <c r="A91" s="76"/>
      <c r="B91" s="76"/>
      <c r="C91" s="76"/>
    </row>
    <row r="92">
      <c r="A92" s="76"/>
      <c r="B92" s="76"/>
      <c r="C92" s="76"/>
    </row>
    <row r="93">
      <c r="A93" s="76"/>
      <c r="B93" s="76"/>
      <c r="C93" s="76"/>
    </row>
    <row r="94">
      <c r="A94" s="76"/>
      <c r="B94" s="76"/>
      <c r="C94" s="76"/>
    </row>
    <row r="95">
      <c r="A95" s="76"/>
      <c r="B95" s="76"/>
      <c r="C95" s="76"/>
    </row>
    <row r="96">
      <c r="A96" s="76"/>
      <c r="B96" s="76"/>
      <c r="C96" s="76"/>
    </row>
    <row r="97">
      <c r="A97" s="76"/>
      <c r="B97" s="76"/>
      <c r="C97" s="76"/>
    </row>
    <row r="98">
      <c r="A98" s="76"/>
      <c r="B98" s="76"/>
      <c r="C98" s="76"/>
    </row>
    <row r="99">
      <c r="A99" s="76"/>
      <c r="B99" s="76"/>
      <c r="C99" s="76"/>
    </row>
    <row r="100">
      <c r="A100" s="76"/>
      <c r="B100" s="76"/>
      <c r="C100" s="76"/>
    </row>
    <row r="101">
      <c r="A101" s="76"/>
      <c r="B101" s="76"/>
      <c r="C101" s="76"/>
    </row>
    <row r="102">
      <c r="A102" s="76"/>
      <c r="B102" s="76"/>
      <c r="C102" s="76"/>
    </row>
    <row r="103">
      <c r="A103" s="76"/>
      <c r="B103" s="76"/>
      <c r="C103" s="76"/>
    </row>
    <row r="104">
      <c r="A104" s="76"/>
      <c r="B104" s="76"/>
      <c r="C104" s="76"/>
    </row>
    <row r="105">
      <c r="A105" s="76"/>
      <c r="B105" s="76"/>
      <c r="C105" s="76"/>
    </row>
    <row r="106">
      <c r="A106" s="76"/>
      <c r="B106" s="76"/>
      <c r="C106" s="76"/>
    </row>
    <row r="107">
      <c r="A107" s="76"/>
      <c r="B107" s="76"/>
      <c r="C107" s="76"/>
    </row>
    <row r="108">
      <c r="A108" s="76"/>
      <c r="B108" s="76"/>
      <c r="C108" s="76"/>
    </row>
    <row r="109">
      <c r="A109" s="76"/>
      <c r="B109" s="76"/>
      <c r="C109" s="76"/>
    </row>
    <row r="110">
      <c r="A110" s="76"/>
      <c r="B110" s="76"/>
      <c r="C110" s="76"/>
    </row>
    <row r="111">
      <c r="A111" s="76"/>
      <c r="B111" s="76"/>
      <c r="C111" s="76"/>
    </row>
    <row r="112">
      <c r="A112" s="76"/>
      <c r="B112" s="76"/>
      <c r="C112" s="76"/>
    </row>
    <row r="113">
      <c r="A113" s="76"/>
      <c r="B113" s="76"/>
      <c r="C113" s="76"/>
    </row>
    <row r="114">
      <c r="A114" s="76"/>
      <c r="B114" s="76"/>
      <c r="C114" s="76"/>
    </row>
    <row r="115">
      <c r="A115" s="76"/>
      <c r="B115" s="76"/>
      <c r="C115" s="76"/>
    </row>
    <row r="116">
      <c r="A116" s="76"/>
      <c r="B116" s="76"/>
      <c r="C116" s="76"/>
    </row>
    <row r="117">
      <c r="A117" s="76"/>
      <c r="B117" s="76"/>
      <c r="C117" s="76"/>
    </row>
    <row r="118">
      <c r="A118" s="76"/>
      <c r="B118" s="76"/>
      <c r="C118" s="76"/>
    </row>
    <row r="119">
      <c r="A119" s="76"/>
      <c r="B119" s="76"/>
      <c r="C119" s="76"/>
    </row>
    <row r="120">
      <c r="A120" s="76"/>
      <c r="B120" s="76"/>
      <c r="C120" s="76"/>
    </row>
    <row r="121">
      <c r="A121" s="76"/>
      <c r="B121" s="76"/>
      <c r="C121" s="76"/>
    </row>
    <row r="122">
      <c r="A122" s="76"/>
      <c r="B122" s="76"/>
      <c r="C122" s="76"/>
    </row>
    <row r="123">
      <c r="A123" s="76"/>
      <c r="B123" s="76"/>
      <c r="C123" s="76"/>
    </row>
    <row r="124">
      <c r="A124" s="76"/>
      <c r="B124" s="76"/>
      <c r="C124" s="76"/>
    </row>
    <row r="125">
      <c r="A125" s="76"/>
      <c r="B125" s="76"/>
      <c r="C125" s="76"/>
    </row>
    <row r="126">
      <c r="A126" s="76"/>
      <c r="B126" s="76"/>
      <c r="C126" s="76"/>
    </row>
    <row r="127">
      <c r="A127" s="76"/>
      <c r="B127" s="76"/>
      <c r="C127" s="76"/>
    </row>
    <row r="128">
      <c r="A128" s="76"/>
      <c r="B128" s="76"/>
      <c r="C128" s="76"/>
    </row>
    <row r="129">
      <c r="A129" s="76"/>
      <c r="B129" s="76"/>
      <c r="C129" s="76"/>
    </row>
    <row r="130">
      <c r="A130" s="76"/>
      <c r="B130" s="76"/>
      <c r="C130" s="76"/>
    </row>
    <row r="131">
      <c r="A131" s="76"/>
      <c r="B131" s="76"/>
      <c r="C131" s="76"/>
    </row>
    <row r="132">
      <c r="A132" s="76"/>
      <c r="B132" s="76"/>
      <c r="C132" s="76"/>
    </row>
    <row r="133">
      <c r="A133" s="76"/>
      <c r="B133" s="76"/>
      <c r="C133" s="76"/>
    </row>
    <row r="134">
      <c r="A134" s="76"/>
      <c r="B134" s="76"/>
      <c r="C134" s="76"/>
    </row>
    <row r="135">
      <c r="A135" s="76"/>
      <c r="B135" s="76"/>
      <c r="C135" s="76"/>
    </row>
    <row r="136">
      <c r="A136" s="76"/>
      <c r="B136" s="76"/>
      <c r="C136" s="76"/>
    </row>
    <row r="137">
      <c r="A137" s="76"/>
      <c r="B137" s="76"/>
      <c r="C137" s="76"/>
    </row>
    <row r="138">
      <c r="A138" s="76"/>
      <c r="B138" s="76"/>
      <c r="C138" s="76"/>
    </row>
    <row r="139">
      <c r="A139" s="76"/>
      <c r="B139" s="76"/>
      <c r="C139" s="76"/>
    </row>
    <row r="140">
      <c r="A140" s="76"/>
      <c r="B140" s="76"/>
      <c r="C140" s="76"/>
    </row>
    <row r="141">
      <c r="A141" s="76"/>
      <c r="B141" s="76"/>
      <c r="C141" s="76"/>
    </row>
    <row r="142">
      <c r="A142" s="76"/>
      <c r="B142" s="76"/>
      <c r="C142" s="76"/>
    </row>
    <row r="143">
      <c r="A143" s="76"/>
      <c r="B143" s="76"/>
      <c r="C143" s="76"/>
    </row>
    <row r="144">
      <c r="A144" s="76"/>
      <c r="B144" s="76"/>
      <c r="C144" s="76"/>
    </row>
    <row r="145">
      <c r="A145" s="76"/>
      <c r="B145" s="76"/>
      <c r="C145" s="76"/>
    </row>
    <row r="146">
      <c r="A146" s="76"/>
      <c r="B146" s="76"/>
      <c r="C146" s="76"/>
    </row>
    <row r="147">
      <c r="A147" s="76"/>
      <c r="B147" s="76"/>
      <c r="C147" s="76"/>
    </row>
    <row r="148">
      <c r="A148" s="76"/>
      <c r="B148" s="76"/>
      <c r="C148" s="76"/>
    </row>
    <row r="149">
      <c r="A149" s="76"/>
      <c r="B149" s="76"/>
      <c r="C149" s="76"/>
    </row>
    <row r="150">
      <c r="A150" s="76"/>
      <c r="B150" s="76"/>
      <c r="C150" s="76"/>
    </row>
    <row r="151">
      <c r="A151" s="76"/>
      <c r="B151" s="76"/>
      <c r="C151" s="76"/>
    </row>
    <row r="152">
      <c r="A152" s="76"/>
      <c r="B152" s="76"/>
      <c r="C152" s="76"/>
    </row>
    <row r="153">
      <c r="A153" s="76"/>
      <c r="B153" s="76"/>
      <c r="C153" s="76"/>
    </row>
    <row r="154">
      <c r="A154" s="76"/>
      <c r="B154" s="76"/>
      <c r="C154" s="76"/>
    </row>
    <row r="155">
      <c r="A155" s="76"/>
      <c r="B155" s="76"/>
      <c r="C155" s="76"/>
    </row>
    <row r="156">
      <c r="A156" s="76"/>
      <c r="B156" s="76"/>
      <c r="C156" s="76"/>
    </row>
    <row r="157">
      <c r="A157" s="76"/>
      <c r="B157" s="76"/>
      <c r="C157" s="76"/>
    </row>
    <row r="158">
      <c r="A158" s="76"/>
      <c r="B158" s="76"/>
      <c r="C158" s="76"/>
    </row>
    <row r="159">
      <c r="A159" s="76"/>
      <c r="B159" s="76"/>
      <c r="C159" s="76"/>
    </row>
    <row r="160">
      <c r="A160" s="76"/>
      <c r="B160" s="76"/>
      <c r="C160" s="76"/>
    </row>
    <row r="161">
      <c r="A161" s="76"/>
      <c r="B161" s="76"/>
      <c r="C161" s="76"/>
    </row>
    <row r="162">
      <c r="A162" s="76"/>
      <c r="B162" s="76"/>
      <c r="C162" s="76"/>
    </row>
    <row r="163">
      <c r="A163" s="76"/>
      <c r="B163" s="76"/>
      <c r="C163" s="76"/>
    </row>
    <row r="164">
      <c r="A164" s="76"/>
      <c r="B164" s="76"/>
      <c r="C164" s="76"/>
    </row>
    <row r="165">
      <c r="A165" s="76"/>
      <c r="B165" s="76"/>
      <c r="C165" s="76"/>
    </row>
    <row r="166">
      <c r="A166" s="76"/>
      <c r="B166" s="76"/>
      <c r="C166" s="76"/>
    </row>
    <row r="167">
      <c r="A167" s="76"/>
      <c r="B167" s="76"/>
      <c r="C167" s="76"/>
    </row>
    <row r="168">
      <c r="A168" s="76"/>
      <c r="B168" s="76"/>
      <c r="C168" s="76"/>
    </row>
    <row r="169">
      <c r="A169" s="76"/>
      <c r="B169" s="76"/>
      <c r="C169" s="76"/>
    </row>
    <row r="170">
      <c r="A170" s="76"/>
      <c r="B170" s="76"/>
      <c r="C170" s="76"/>
    </row>
    <row r="171">
      <c r="A171" s="76"/>
      <c r="B171" s="76"/>
      <c r="C171" s="76"/>
    </row>
    <row r="172">
      <c r="A172" s="76"/>
      <c r="B172" s="76"/>
      <c r="C172" s="76"/>
    </row>
    <row r="173">
      <c r="A173" s="76"/>
      <c r="B173" s="76"/>
      <c r="C173" s="76"/>
    </row>
    <row r="174">
      <c r="A174" s="76"/>
      <c r="B174" s="76"/>
      <c r="C174" s="76"/>
    </row>
    <row r="175">
      <c r="A175" s="76"/>
      <c r="B175" s="76"/>
      <c r="C175" s="76"/>
    </row>
    <row r="176">
      <c r="A176" s="76"/>
      <c r="B176" s="76"/>
      <c r="C176" s="76"/>
    </row>
    <row r="177">
      <c r="A177" s="76"/>
      <c r="B177" s="76"/>
      <c r="C177" s="76"/>
    </row>
    <row r="178">
      <c r="A178" s="76"/>
      <c r="B178" s="76"/>
      <c r="C178" s="76"/>
    </row>
    <row r="179">
      <c r="A179" s="76"/>
      <c r="B179" s="76"/>
      <c r="C179" s="76"/>
    </row>
    <row r="180">
      <c r="A180" s="76"/>
      <c r="B180" s="76"/>
      <c r="C180" s="76"/>
    </row>
    <row r="181">
      <c r="A181" s="76"/>
      <c r="B181" s="76"/>
      <c r="C181" s="76"/>
    </row>
    <row r="182">
      <c r="A182" s="76"/>
      <c r="B182" s="76"/>
      <c r="C182" s="76"/>
    </row>
    <row r="183">
      <c r="A183" s="76"/>
      <c r="B183" s="76"/>
      <c r="C183" s="76"/>
    </row>
    <row r="184">
      <c r="A184" s="76"/>
      <c r="B184" s="76"/>
      <c r="C184" s="76"/>
    </row>
    <row r="185">
      <c r="A185" s="76"/>
      <c r="B185" s="76"/>
      <c r="C185" s="76"/>
    </row>
    <row r="186">
      <c r="A186" s="76"/>
      <c r="B186" s="76"/>
      <c r="C186" s="76"/>
    </row>
    <row r="187">
      <c r="A187" s="76"/>
      <c r="B187" s="76"/>
      <c r="C187" s="76"/>
    </row>
    <row r="188">
      <c r="A188" s="76"/>
      <c r="B188" s="76"/>
      <c r="C188" s="76"/>
    </row>
    <row r="189">
      <c r="A189" s="76"/>
      <c r="B189" s="76"/>
      <c r="C189" s="76"/>
    </row>
    <row r="190">
      <c r="A190" s="76"/>
      <c r="B190" s="76"/>
      <c r="C190" s="76"/>
    </row>
    <row r="191">
      <c r="A191" s="76"/>
      <c r="B191" s="76"/>
      <c r="C191" s="76"/>
    </row>
    <row r="192">
      <c r="A192" s="76"/>
      <c r="B192" s="76"/>
      <c r="C192" s="76"/>
    </row>
    <row r="193">
      <c r="A193" s="76"/>
      <c r="B193" s="76"/>
      <c r="C193" s="76"/>
    </row>
    <row r="194">
      <c r="A194" s="76"/>
      <c r="B194" s="76"/>
      <c r="C194" s="76"/>
    </row>
    <row r="195">
      <c r="A195" s="76"/>
      <c r="B195" s="76"/>
      <c r="C195" s="76"/>
    </row>
    <row r="196">
      <c r="A196" s="76"/>
      <c r="B196" s="76"/>
      <c r="C196" s="76"/>
    </row>
    <row r="197">
      <c r="A197" s="76"/>
      <c r="B197" s="76"/>
      <c r="C197" s="76"/>
    </row>
    <row r="198">
      <c r="A198" s="76"/>
      <c r="B198" s="76"/>
      <c r="C198" s="76"/>
    </row>
    <row r="199">
      <c r="A199" s="76"/>
      <c r="B199" s="76"/>
      <c r="C199" s="76"/>
    </row>
    <row r="200">
      <c r="A200" s="76"/>
      <c r="B200" s="76"/>
      <c r="C200" s="76"/>
    </row>
    <row r="201">
      <c r="A201" s="76"/>
      <c r="B201" s="76"/>
      <c r="C201" s="76"/>
    </row>
    <row r="202">
      <c r="A202" s="76"/>
      <c r="B202" s="76"/>
      <c r="C202" s="76"/>
    </row>
    <row r="203">
      <c r="A203" s="76"/>
      <c r="B203" s="76"/>
      <c r="C203" s="76"/>
    </row>
    <row r="204">
      <c r="A204" s="76"/>
      <c r="B204" s="76"/>
      <c r="C204" s="76"/>
    </row>
    <row r="205">
      <c r="A205" s="76"/>
      <c r="B205" s="76"/>
      <c r="C205" s="76"/>
    </row>
    <row r="206">
      <c r="A206" s="76"/>
      <c r="B206" s="76"/>
      <c r="C206" s="76"/>
    </row>
    <row r="207">
      <c r="A207" s="76"/>
      <c r="B207" s="76"/>
      <c r="C207" s="76"/>
    </row>
    <row r="208">
      <c r="A208" s="76"/>
      <c r="B208" s="76"/>
      <c r="C208" s="76"/>
    </row>
    <row r="209">
      <c r="A209" s="76"/>
      <c r="B209" s="76"/>
      <c r="C209" s="76"/>
    </row>
    <row r="210">
      <c r="A210" s="76"/>
      <c r="B210" s="76"/>
      <c r="C210" s="76"/>
    </row>
    <row r="211">
      <c r="A211" s="76"/>
      <c r="B211" s="76"/>
      <c r="C211" s="76"/>
    </row>
    <row r="212">
      <c r="A212" s="76"/>
      <c r="B212" s="76"/>
      <c r="C212" s="76"/>
    </row>
    <row r="213">
      <c r="A213" s="76"/>
      <c r="B213" s="76"/>
      <c r="C213" s="76"/>
    </row>
    <row r="214">
      <c r="A214" s="76"/>
      <c r="B214" s="76"/>
      <c r="C214" s="76"/>
    </row>
    <row r="215">
      <c r="A215" s="76"/>
      <c r="B215" s="76"/>
      <c r="C215" s="76"/>
    </row>
    <row r="216">
      <c r="A216" s="76"/>
      <c r="B216" s="76"/>
      <c r="C216" s="76"/>
    </row>
    <row r="217">
      <c r="A217" s="76"/>
      <c r="B217" s="76"/>
      <c r="C217" s="76"/>
    </row>
    <row r="218">
      <c r="A218" s="76"/>
      <c r="B218" s="76"/>
      <c r="C218" s="76"/>
    </row>
    <row r="219">
      <c r="A219" s="76"/>
      <c r="B219" s="76"/>
      <c r="C219" s="76"/>
    </row>
    <row r="220">
      <c r="A220" s="76"/>
      <c r="B220" s="76"/>
      <c r="C220" s="76"/>
    </row>
    <row r="221">
      <c r="A221" s="76"/>
      <c r="B221" s="76"/>
      <c r="C221" s="76"/>
    </row>
    <row r="222">
      <c r="A222" s="76"/>
      <c r="B222" s="76"/>
      <c r="C222" s="76"/>
    </row>
    <row r="223">
      <c r="A223" s="76"/>
      <c r="B223" s="76"/>
      <c r="C223" s="76"/>
    </row>
    <row r="224">
      <c r="A224" s="76"/>
      <c r="B224" s="76"/>
      <c r="C224" s="76"/>
    </row>
    <row r="225">
      <c r="A225" s="76"/>
      <c r="B225" s="76"/>
      <c r="C225" s="76"/>
    </row>
    <row r="226">
      <c r="A226" s="76"/>
      <c r="B226" s="76"/>
      <c r="C226" s="76"/>
    </row>
    <row r="227">
      <c r="A227" s="76"/>
      <c r="B227" s="76"/>
      <c r="C227" s="76"/>
    </row>
    <row r="228">
      <c r="A228" s="76"/>
      <c r="B228" s="76"/>
      <c r="C228" s="76"/>
    </row>
    <row r="229">
      <c r="A229" s="76"/>
      <c r="B229" s="76"/>
      <c r="C229" s="76"/>
    </row>
    <row r="230">
      <c r="A230" s="76"/>
      <c r="B230" s="76"/>
      <c r="C230" s="76"/>
    </row>
    <row r="231">
      <c r="A231" s="76"/>
      <c r="B231" s="76"/>
      <c r="C231" s="76"/>
    </row>
    <row r="232">
      <c r="A232" s="76"/>
      <c r="B232" s="76"/>
      <c r="C232" s="76"/>
    </row>
    <row r="233">
      <c r="A233" s="76"/>
      <c r="B233" s="76"/>
      <c r="C233" s="76"/>
    </row>
    <row r="234">
      <c r="A234" s="76"/>
      <c r="B234" s="76"/>
      <c r="C234" s="76"/>
    </row>
    <row r="235">
      <c r="A235" s="76"/>
      <c r="B235" s="76"/>
      <c r="C235" s="76"/>
    </row>
    <row r="236">
      <c r="A236" s="76"/>
      <c r="B236" s="76"/>
      <c r="C236" s="76"/>
    </row>
    <row r="237">
      <c r="A237" s="76"/>
      <c r="B237" s="76"/>
      <c r="C237" s="76"/>
    </row>
    <row r="238">
      <c r="A238" s="76"/>
      <c r="B238" s="76"/>
      <c r="C238" s="76"/>
    </row>
    <row r="239">
      <c r="A239" s="76"/>
      <c r="B239" s="76"/>
      <c r="C239" s="76"/>
    </row>
    <row r="240">
      <c r="A240" s="76"/>
      <c r="B240" s="76"/>
      <c r="C240" s="76"/>
    </row>
    <row r="241">
      <c r="A241" s="76"/>
      <c r="B241" s="76"/>
      <c r="C241" s="76"/>
    </row>
    <row r="242">
      <c r="A242" s="76"/>
      <c r="B242" s="76"/>
      <c r="C242" s="76"/>
    </row>
    <row r="243">
      <c r="A243" s="76"/>
      <c r="B243" s="76"/>
      <c r="C243" s="76"/>
    </row>
    <row r="244">
      <c r="A244" s="76"/>
      <c r="B244" s="76"/>
      <c r="C244" s="76"/>
    </row>
    <row r="245">
      <c r="A245" s="76"/>
      <c r="B245" s="76"/>
      <c r="C245" s="76"/>
    </row>
    <row r="246">
      <c r="A246" s="76"/>
      <c r="B246" s="76"/>
      <c r="C246" s="76"/>
    </row>
    <row r="247">
      <c r="A247" s="76"/>
      <c r="B247" s="76"/>
      <c r="C247" s="76"/>
    </row>
    <row r="248">
      <c r="A248" s="76"/>
      <c r="B248" s="76"/>
      <c r="C248" s="76"/>
    </row>
    <row r="249">
      <c r="A249" s="76"/>
      <c r="B249" s="76"/>
      <c r="C249" s="76"/>
    </row>
    <row r="250">
      <c r="A250" s="76"/>
      <c r="B250" s="76"/>
      <c r="C250" s="76"/>
    </row>
    <row r="251">
      <c r="A251" s="76"/>
      <c r="B251" s="76"/>
      <c r="C251" s="76"/>
    </row>
    <row r="252">
      <c r="A252" s="76"/>
      <c r="B252" s="76"/>
      <c r="C252" s="76"/>
    </row>
    <row r="253">
      <c r="A253" s="76"/>
      <c r="B253" s="76"/>
      <c r="C253" s="76"/>
    </row>
    <row r="254">
      <c r="A254" s="76"/>
      <c r="B254" s="76"/>
      <c r="C254" s="76"/>
    </row>
    <row r="255">
      <c r="A255" s="76"/>
      <c r="B255" s="76"/>
      <c r="C255" s="76"/>
    </row>
    <row r="256">
      <c r="A256" s="76"/>
      <c r="B256" s="76"/>
      <c r="C256" s="76"/>
    </row>
    <row r="257">
      <c r="A257" s="76"/>
      <c r="B257" s="76"/>
      <c r="C257" s="76"/>
    </row>
    <row r="258">
      <c r="A258" s="76"/>
      <c r="B258" s="76"/>
      <c r="C258" s="76"/>
    </row>
    <row r="259">
      <c r="A259" s="76"/>
      <c r="B259" s="76"/>
      <c r="C259" s="76"/>
    </row>
    <row r="260">
      <c r="A260" s="76"/>
      <c r="B260" s="76"/>
      <c r="C260" s="76"/>
    </row>
    <row r="261">
      <c r="A261" s="76"/>
      <c r="B261" s="76"/>
      <c r="C261" s="76"/>
    </row>
    <row r="262">
      <c r="A262" s="76"/>
      <c r="B262" s="76"/>
      <c r="C262" s="76"/>
    </row>
    <row r="263">
      <c r="A263" s="76"/>
      <c r="B263" s="76"/>
      <c r="C263" s="76"/>
    </row>
    <row r="264">
      <c r="A264" s="76"/>
      <c r="B264" s="76"/>
      <c r="C264" s="76"/>
    </row>
    <row r="265">
      <c r="A265" s="76"/>
      <c r="B265" s="76"/>
      <c r="C265" s="76"/>
    </row>
    <row r="266">
      <c r="A266" s="76"/>
      <c r="B266" s="76"/>
      <c r="C266" s="76"/>
    </row>
    <row r="267">
      <c r="A267" s="76"/>
      <c r="B267" s="76"/>
      <c r="C267" s="76"/>
    </row>
    <row r="268">
      <c r="A268" s="76"/>
      <c r="B268" s="76"/>
      <c r="C268" s="76"/>
    </row>
    <row r="269">
      <c r="A269" s="76"/>
      <c r="B269" s="76"/>
      <c r="C269" s="76"/>
    </row>
    <row r="270">
      <c r="A270" s="76"/>
      <c r="B270" s="76"/>
      <c r="C270" s="76"/>
    </row>
    <row r="271">
      <c r="A271" s="76"/>
      <c r="B271" s="76"/>
      <c r="C271" s="76"/>
    </row>
    <row r="272">
      <c r="A272" s="76"/>
      <c r="B272" s="76"/>
      <c r="C272" s="76"/>
    </row>
    <row r="273">
      <c r="A273" s="76"/>
      <c r="B273" s="76"/>
      <c r="C273" s="76"/>
    </row>
    <row r="274">
      <c r="A274" s="76"/>
      <c r="B274" s="76"/>
      <c r="C274" s="76"/>
    </row>
    <row r="275">
      <c r="A275" s="76"/>
      <c r="B275" s="76"/>
      <c r="C275" s="76"/>
    </row>
    <row r="276">
      <c r="A276" s="76"/>
      <c r="B276" s="76"/>
      <c r="C276" s="76"/>
    </row>
    <row r="277">
      <c r="A277" s="76"/>
      <c r="B277" s="76"/>
      <c r="C277" s="76"/>
    </row>
    <row r="278">
      <c r="A278" s="76"/>
      <c r="B278" s="76"/>
      <c r="C278" s="76"/>
    </row>
    <row r="279">
      <c r="A279" s="76"/>
      <c r="B279" s="76"/>
      <c r="C279" s="76"/>
    </row>
    <row r="280">
      <c r="A280" s="76"/>
      <c r="B280" s="76"/>
      <c r="C280" s="76"/>
    </row>
    <row r="281">
      <c r="A281" s="76"/>
      <c r="B281" s="76"/>
      <c r="C281" s="76"/>
    </row>
    <row r="282">
      <c r="A282" s="76"/>
      <c r="B282" s="76"/>
      <c r="C282" s="76"/>
    </row>
    <row r="283">
      <c r="A283" s="76"/>
      <c r="B283" s="76"/>
      <c r="C283" s="76"/>
    </row>
    <row r="284">
      <c r="A284" s="76"/>
      <c r="B284" s="76"/>
      <c r="C284" s="76"/>
    </row>
    <row r="285">
      <c r="A285" s="76"/>
      <c r="B285" s="76"/>
      <c r="C285" s="76"/>
    </row>
    <row r="286">
      <c r="A286" s="76"/>
      <c r="B286" s="76"/>
      <c r="C286" s="76"/>
    </row>
    <row r="287">
      <c r="A287" s="76"/>
      <c r="B287" s="76"/>
      <c r="C287" s="76"/>
    </row>
    <row r="288">
      <c r="A288" s="76"/>
      <c r="B288" s="76"/>
      <c r="C288" s="76"/>
    </row>
    <row r="289">
      <c r="A289" s="76"/>
      <c r="B289" s="76"/>
      <c r="C289" s="76"/>
    </row>
    <row r="290">
      <c r="A290" s="76"/>
      <c r="B290" s="76"/>
      <c r="C290" s="76"/>
    </row>
    <row r="291">
      <c r="A291" s="76"/>
      <c r="B291" s="76"/>
      <c r="C291" s="76"/>
    </row>
    <row r="292">
      <c r="A292" s="76"/>
      <c r="B292" s="76"/>
      <c r="C292" s="76"/>
    </row>
    <row r="293">
      <c r="A293" s="76"/>
      <c r="B293" s="76"/>
      <c r="C293" s="76"/>
    </row>
    <row r="294">
      <c r="A294" s="76"/>
      <c r="B294" s="76"/>
      <c r="C294" s="76"/>
    </row>
    <row r="295">
      <c r="A295" s="76"/>
      <c r="B295" s="76"/>
      <c r="C295" s="76"/>
    </row>
    <row r="296">
      <c r="A296" s="76"/>
      <c r="B296" s="76"/>
      <c r="C296" s="76"/>
    </row>
    <row r="297">
      <c r="A297" s="76"/>
      <c r="B297" s="76"/>
      <c r="C297" s="76"/>
    </row>
    <row r="298">
      <c r="A298" s="76"/>
      <c r="B298" s="76"/>
      <c r="C298" s="76"/>
    </row>
    <row r="299">
      <c r="A299" s="76"/>
      <c r="B299" s="76"/>
      <c r="C299" s="76"/>
    </row>
    <row r="300">
      <c r="A300" s="76"/>
      <c r="B300" s="76"/>
      <c r="C300" s="76"/>
    </row>
    <row r="301">
      <c r="A301" s="76"/>
      <c r="B301" s="76"/>
      <c r="C301" s="76"/>
    </row>
    <row r="302">
      <c r="A302" s="76"/>
      <c r="B302" s="76"/>
      <c r="C302" s="76"/>
    </row>
    <row r="303">
      <c r="A303" s="76"/>
      <c r="B303" s="76"/>
      <c r="C303" s="76"/>
    </row>
    <row r="304">
      <c r="A304" s="76"/>
      <c r="B304" s="76"/>
      <c r="C304" s="76"/>
    </row>
    <row r="305">
      <c r="A305" s="76"/>
      <c r="B305" s="76"/>
      <c r="C305" s="76"/>
    </row>
    <row r="306">
      <c r="A306" s="76"/>
      <c r="B306" s="76"/>
      <c r="C306" s="76"/>
    </row>
    <row r="307">
      <c r="A307" s="76"/>
      <c r="B307" s="76"/>
      <c r="C307" s="76"/>
    </row>
    <row r="308">
      <c r="A308" s="76"/>
      <c r="B308" s="76"/>
      <c r="C308" s="76"/>
    </row>
    <row r="309">
      <c r="A309" s="76"/>
      <c r="B309" s="76"/>
      <c r="C309" s="76"/>
    </row>
    <row r="310">
      <c r="A310" s="76"/>
      <c r="B310" s="76"/>
      <c r="C310" s="76"/>
    </row>
    <row r="311">
      <c r="A311" s="76"/>
      <c r="B311" s="76"/>
      <c r="C311" s="76"/>
    </row>
    <row r="312">
      <c r="A312" s="76"/>
      <c r="B312" s="76"/>
      <c r="C312" s="76"/>
    </row>
    <row r="313">
      <c r="A313" s="76"/>
      <c r="B313" s="76"/>
      <c r="C313" s="76"/>
    </row>
    <row r="314">
      <c r="A314" s="76"/>
      <c r="B314" s="76"/>
      <c r="C314" s="76"/>
    </row>
    <row r="315">
      <c r="A315" s="76"/>
      <c r="B315" s="76"/>
      <c r="C315" s="76"/>
    </row>
    <row r="316">
      <c r="A316" s="76"/>
      <c r="B316" s="76"/>
      <c r="C316" s="76"/>
    </row>
    <row r="317">
      <c r="A317" s="76"/>
      <c r="B317" s="76"/>
      <c r="C317" s="76"/>
    </row>
    <row r="318">
      <c r="A318" s="76"/>
      <c r="B318" s="76"/>
      <c r="C318" s="76"/>
    </row>
    <row r="319">
      <c r="A319" s="76"/>
      <c r="B319" s="76"/>
      <c r="C319" s="76"/>
    </row>
    <row r="320">
      <c r="A320" s="76"/>
      <c r="B320" s="76"/>
      <c r="C320" s="76"/>
    </row>
    <row r="321">
      <c r="A321" s="76"/>
      <c r="B321" s="76"/>
      <c r="C321" s="76"/>
    </row>
    <row r="322">
      <c r="A322" s="76"/>
      <c r="B322" s="76"/>
      <c r="C322" s="76"/>
    </row>
    <row r="323">
      <c r="A323" s="76"/>
      <c r="B323" s="76"/>
      <c r="C323" s="76"/>
    </row>
    <row r="324">
      <c r="A324" s="76"/>
      <c r="B324" s="76"/>
      <c r="C324" s="76"/>
    </row>
    <row r="325">
      <c r="A325" s="76"/>
      <c r="B325" s="76"/>
      <c r="C325" s="76"/>
    </row>
    <row r="326">
      <c r="A326" s="76"/>
      <c r="B326" s="76"/>
      <c r="C326" s="76"/>
    </row>
    <row r="327">
      <c r="A327" s="76"/>
      <c r="B327" s="76"/>
      <c r="C327" s="76"/>
    </row>
    <row r="328">
      <c r="A328" s="76"/>
      <c r="B328" s="76"/>
      <c r="C328" s="76"/>
    </row>
    <row r="329">
      <c r="A329" s="76"/>
      <c r="B329" s="76"/>
      <c r="C329" s="76"/>
    </row>
    <row r="330">
      <c r="A330" s="76"/>
      <c r="B330" s="76"/>
      <c r="C330" s="76"/>
    </row>
    <row r="331">
      <c r="A331" s="76"/>
      <c r="B331" s="76"/>
      <c r="C331" s="76"/>
    </row>
    <row r="332">
      <c r="A332" s="76"/>
      <c r="B332" s="76"/>
      <c r="C332" s="76"/>
    </row>
    <row r="333">
      <c r="A333" s="76"/>
      <c r="B333" s="76"/>
      <c r="C333" s="76"/>
    </row>
    <row r="334">
      <c r="A334" s="76"/>
      <c r="B334" s="76"/>
      <c r="C334" s="76"/>
    </row>
    <row r="335">
      <c r="A335" s="76"/>
      <c r="B335" s="76"/>
      <c r="C335" s="76"/>
    </row>
    <row r="336">
      <c r="A336" s="76"/>
      <c r="B336" s="76"/>
      <c r="C336" s="76"/>
    </row>
    <row r="337">
      <c r="A337" s="76"/>
      <c r="B337" s="76"/>
      <c r="C337" s="76"/>
    </row>
    <row r="338">
      <c r="A338" s="76"/>
      <c r="B338" s="76"/>
      <c r="C338" s="76"/>
    </row>
    <row r="339">
      <c r="A339" s="76"/>
      <c r="B339" s="76"/>
      <c r="C339" s="76"/>
    </row>
    <row r="340">
      <c r="A340" s="76"/>
      <c r="B340" s="76"/>
      <c r="C340" s="76"/>
    </row>
    <row r="341">
      <c r="A341" s="76"/>
      <c r="B341" s="76"/>
      <c r="C341" s="76"/>
    </row>
    <row r="342">
      <c r="A342" s="76"/>
      <c r="B342" s="76"/>
      <c r="C342" s="76"/>
    </row>
    <row r="343">
      <c r="A343" s="76"/>
      <c r="B343" s="76"/>
      <c r="C343" s="76"/>
    </row>
    <row r="344">
      <c r="A344" s="76"/>
      <c r="B344" s="76"/>
      <c r="C344" s="76"/>
    </row>
    <row r="345">
      <c r="A345" s="76"/>
      <c r="B345" s="76"/>
      <c r="C345" s="76"/>
    </row>
    <row r="346">
      <c r="A346" s="76"/>
      <c r="B346" s="76"/>
      <c r="C346" s="76"/>
    </row>
    <row r="347">
      <c r="A347" s="76"/>
      <c r="B347" s="76"/>
      <c r="C347" s="76"/>
    </row>
    <row r="348">
      <c r="A348" s="76"/>
      <c r="B348" s="76"/>
      <c r="C348" s="76"/>
    </row>
    <row r="349">
      <c r="A349" s="76"/>
      <c r="B349" s="76"/>
      <c r="C349" s="76"/>
    </row>
    <row r="350">
      <c r="A350" s="76"/>
      <c r="B350" s="76"/>
      <c r="C350" s="76"/>
    </row>
    <row r="351">
      <c r="A351" s="76"/>
      <c r="B351" s="76"/>
      <c r="C351" s="76"/>
    </row>
    <row r="352">
      <c r="A352" s="76"/>
      <c r="B352" s="76"/>
      <c r="C352" s="76"/>
    </row>
    <row r="353">
      <c r="A353" s="76"/>
      <c r="B353" s="76"/>
      <c r="C353" s="76"/>
    </row>
    <row r="354">
      <c r="A354" s="76"/>
      <c r="B354" s="76"/>
      <c r="C354" s="76"/>
    </row>
    <row r="355">
      <c r="A355" s="76"/>
      <c r="B355" s="76"/>
      <c r="C355" s="76"/>
    </row>
    <row r="356">
      <c r="A356" s="76"/>
      <c r="B356" s="76"/>
      <c r="C356" s="76"/>
    </row>
    <row r="357">
      <c r="A357" s="76"/>
      <c r="B357" s="76"/>
      <c r="C357" s="76"/>
    </row>
    <row r="358">
      <c r="A358" s="76"/>
      <c r="B358" s="76"/>
      <c r="C358" s="76"/>
    </row>
    <row r="359">
      <c r="A359" s="76"/>
      <c r="B359" s="76"/>
      <c r="C359" s="76"/>
    </row>
    <row r="360">
      <c r="A360" s="76"/>
      <c r="B360" s="76"/>
      <c r="C360" s="76"/>
    </row>
    <row r="361">
      <c r="A361" s="76"/>
      <c r="B361" s="76"/>
      <c r="C361" s="76"/>
    </row>
    <row r="362">
      <c r="A362" s="76"/>
      <c r="B362" s="76"/>
      <c r="C362" s="76"/>
    </row>
    <row r="363">
      <c r="A363" s="76"/>
      <c r="B363" s="76"/>
      <c r="C363" s="76"/>
    </row>
    <row r="364">
      <c r="A364" s="76"/>
      <c r="B364" s="76"/>
      <c r="C364" s="76"/>
    </row>
    <row r="365">
      <c r="A365" s="76"/>
      <c r="B365" s="76"/>
      <c r="C365" s="76"/>
    </row>
    <row r="366">
      <c r="A366" s="76"/>
      <c r="B366" s="76"/>
      <c r="C366" s="76"/>
    </row>
    <row r="367">
      <c r="A367" s="76"/>
      <c r="B367" s="76"/>
      <c r="C367" s="76"/>
    </row>
    <row r="368">
      <c r="A368" s="76"/>
      <c r="B368" s="76"/>
      <c r="C368" s="76"/>
    </row>
    <row r="369">
      <c r="A369" s="76"/>
      <c r="B369" s="76"/>
      <c r="C369" s="76"/>
    </row>
    <row r="370">
      <c r="A370" s="76"/>
      <c r="B370" s="76"/>
      <c r="C370" s="76"/>
    </row>
    <row r="371">
      <c r="A371" s="76"/>
      <c r="B371" s="76"/>
      <c r="C371" s="76"/>
    </row>
    <row r="372">
      <c r="A372" s="76"/>
      <c r="B372" s="76"/>
      <c r="C372" s="76"/>
    </row>
    <row r="373">
      <c r="A373" s="76"/>
      <c r="B373" s="76"/>
      <c r="C373" s="76"/>
    </row>
    <row r="374">
      <c r="A374" s="76"/>
      <c r="B374" s="76"/>
      <c r="C374" s="76"/>
    </row>
    <row r="375">
      <c r="A375" s="76"/>
      <c r="B375" s="76"/>
      <c r="C375" s="76"/>
    </row>
    <row r="376">
      <c r="A376" s="76"/>
      <c r="B376" s="76"/>
      <c r="C376" s="76"/>
    </row>
    <row r="377">
      <c r="A377" s="76"/>
      <c r="B377" s="76"/>
      <c r="C377" s="76"/>
    </row>
    <row r="378">
      <c r="A378" s="76"/>
      <c r="B378" s="76"/>
      <c r="C378" s="76"/>
    </row>
    <row r="379">
      <c r="A379" s="76"/>
      <c r="B379" s="76"/>
      <c r="C379" s="76"/>
    </row>
    <row r="380">
      <c r="A380" s="76"/>
      <c r="B380" s="76"/>
      <c r="C380" s="76"/>
    </row>
    <row r="381">
      <c r="A381" s="76"/>
      <c r="B381" s="76"/>
      <c r="C381" s="76"/>
    </row>
    <row r="382">
      <c r="A382" s="76"/>
      <c r="B382" s="76"/>
      <c r="C382" s="76"/>
    </row>
    <row r="383">
      <c r="A383" s="76"/>
      <c r="B383" s="76"/>
      <c r="C383" s="76"/>
    </row>
    <row r="384">
      <c r="A384" s="76"/>
      <c r="B384" s="76"/>
      <c r="C384" s="76"/>
    </row>
    <row r="385">
      <c r="A385" s="76"/>
      <c r="B385" s="76"/>
      <c r="C385" s="76"/>
    </row>
    <row r="386">
      <c r="A386" s="76"/>
      <c r="B386" s="76"/>
      <c r="C386" s="76"/>
    </row>
    <row r="387">
      <c r="A387" s="76"/>
      <c r="B387" s="76"/>
      <c r="C387" s="76"/>
    </row>
    <row r="388">
      <c r="A388" s="76"/>
      <c r="B388" s="76"/>
      <c r="C388" s="76"/>
    </row>
    <row r="389">
      <c r="A389" s="76"/>
      <c r="B389" s="76"/>
      <c r="C389" s="76"/>
    </row>
    <row r="390">
      <c r="A390" s="76"/>
      <c r="B390" s="76"/>
      <c r="C390" s="76"/>
    </row>
    <row r="391">
      <c r="A391" s="76"/>
      <c r="B391" s="76"/>
      <c r="C391" s="76"/>
    </row>
    <row r="392">
      <c r="A392" s="76"/>
      <c r="B392" s="76"/>
      <c r="C392" s="76"/>
    </row>
    <row r="393">
      <c r="A393" s="76"/>
      <c r="B393" s="76"/>
      <c r="C393" s="76"/>
    </row>
    <row r="394">
      <c r="A394" s="76"/>
      <c r="B394" s="76"/>
      <c r="C394" s="76"/>
    </row>
    <row r="395">
      <c r="A395" s="76"/>
      <c r="B395" s="76"/>
      <c r="C395" s="76"/>
    </row>
    <row r="396">
      <c r="A396" s="76"/>
      <c r="B396" s="76"/>
      <c r="C396" s="76"/>
    </row>
    <row r="397">
      <c r="A397" s="76"/>
      <c r="B397" s="76"/>
      <c r="C397" s="76"/>
    </row>
    <row r="398">
      <c r="A398" s="76"/>
      <c r="B398" s="76"/>
      <c r="C398" s="76"/>
    </row>
    <row r="399">
      <c r="A399" s="76"/>
      <c r="B399" s="76"/>
      <c r="C399" s="76"/>
    </row>
    <row r="400">
      <c r="A400" s="76"/>
      <c r="B400" s="76"/>
      <c r="C400" s="76"/>
    </row>
    <row r="401">
      <c r="A401" s="76"/>
      <c r="B401" s="76"/>
      <c r="C401" s="76"/>
    </row>
    <row r="402">
      <c r="A402" s="76"/>
      <c r="B402" s="76"/>
      <c r="C402" s="76"/>
    </row>
    <row r="403">
      <c r="A403" s="76"/>
      <c r="B403" s="76"/>
      <c r="C403" s="76"/>
    </row>
    <row r="404">
      <c r="A404" s="76"/>
      <c r="B404" s="76"/>
      <c r="C404" s="76"/>
    </row>
    <row r="405">
      <c r="A405" s="76"/>
      <c r="B405" s="76"/>
      <c r="C405" s="76"/>
    </row>
    <row r="406">
      <c r="A406" s="76"/>
      <c r="B406" s="76"/>
      <c r="C406" s="76"/>
    </row>
    <row r="407">
      <c r="A407" s="76"/>
      <c r="B407" s="76"/>
      <c r="C407" s="76"/>
    </row>
    <row r="408">
      <c r="A408" s="76"/>
      <c r="B408" s="76"/>
      <c r="C408" s="76"/>
    </row>
    <row r="409">
      <c r="A409" s="76"/>
      <c r="B409" s="76"/>
      <c r="C409" s="76"/>
    </row>
    <row r="410">
      <c r="A410" s="76"/>
      <c r="B410" s="76"/>
      <c r="C410" s="76"/>
    </row>
    <row r="411">
      <c r="A411" s="76"/>
      <c r="B411" s="76"/>
      <c r="C411" s="76"/>
    </row>
    <row r="412">
      <c r="A412" s="76"/>
      <c r="B412" s="76"/>
      <c r="C412" s="76"/>
    </row>
    <row r="413">
      <c r="A413" s="76"/>
      <c r="B413" s="76"/>
      <c r="C413" s="76"/>
    </row>
    <row r="414">
      <c r="A414" s="76"/>
      <c r="B414" s="76"/>
      <c r="C414" s="76"/>
    </row>
    <row r="415">
      <c r="A415" s="76"/>
      <c r="B415" s="76"/>
      <c r="C415" s="76"/>
    </row>
    <row r="416">
      <c r="A416" s="76"/>
      <c r="B416" s="76"/>
      <c r="C416" s="76"/>
    </row>
    <row r="417">
      <c r="A417" s="76"/>
      <c r="B417" s="76"/>
      <c r="C417" s="76"/>
    </row>
    <row r="418">
      <c r="A418" s="76"/>
      <c r="B418" s="76"/>
      <c r="C418" s="76"/>
    </row>
    <row r="419">
      <c r="A419" s="76"/>
      <c r="B419" s="76"/>
      <c r="C419" s="76"/>
    </row>
    <row r="420">
      <c r="A420" s="76"/>
      <c r="B420" s="76"/>
      <c r="C420" s="76"/>
    </row>
    <row r="421">
      <c r="A421" s="76"/>
      <c r="B421" s="76"/>
      <c r="C421" s="76"/>
    </row>
    <row r="422">
      <c r="A422" s="76"/>
      <c r="B422" s="76"/>
      <c r="C422" s="76"/>
    </row>
    <row r="423">
      <c r="A423" s="76"/>
      <c r="B423" s="76"/>
      <c r="C423" s="76"/>
    </row>
    <row r="424">
      <c r="A424" s="76"/>
      <c r="B424" s="76"/>
      <c r="C424" s="76"/>
    </row>
    <row r="425">
      <c r="A425" s="76"/>
      <c r="B425" s="76"/>
      <c r="C425" s="76"/>
    </row>
    <row r="426">
      <c r="A426" s="76"/>
      <c r="B426" s="76"/>
      <c r="C426" s="76"/>
    </row>
    <row r="427">
      <c r="A427" s="76"/>
      <c r="B427" s="76"/>
      <c r="C427" s="76"/>
    </row>
    <row r="428">
      <c r="A428" s="76"/>
      <c r="B428" s="76"/>
      <c r="C428" s="76"/>
    </row>
    <row r="429">
      <c r="A429" s="76"/>
      <c r="B429" s="76"/>
      <c r="C429" s="76"/>
    </row>
    <row r="430">
      <c r="A430" s="76"/>
      <c r="B430" s="76"/>
      <c r="C430" s="76"/>
    </row>
    <row r="431">
      <c r="A431" s="76"/>
      <c r="B431" s="76"/>
      <c r="C431" s="76"/>
    </row>
    <row r="432">
      <c r="A432" s="76"/>
      <c r="B432" s="76"/>
      <c r="C432" s="76"/>
    </row>
    <row r="433">
      <c r="A433" s="76"/>
      <c r="B433" s="76"/>
      <c r="C433" s="76"/>
    </row>
    <row r="434">
      <c r="A434" s="76"/>
      <c r="B434" s="76"/>
      <c r="C434" s="76"/>
    </row>
    <row r="435">
      <c r="A435" s="76"/>
      <c r="B435" s="76"/>
      <c r="C435" s="76"/>
    </row>
    <row r="436">
      <c r="A436" s="76"/>
      <c r="B436" s="76"/>
      <c r="C436" s="76"/>
    </row>
    <row r="437">
      <c r="A437" s="76"/>
      <c r="B437" s="76"/>
      <c r="C437" s="76"/>
    </row>
    <row r="438">
      <c r="A438" s="76"/>
      <c r="B438" s="76"/>
      <c r="C438" s="76"/>
    </row>
    <row r="439">
      <c r="A439" s="76"/>
      <c r="B439" s="76"/>
      <c r="C439" s="76"/>
    </row>
    <row r="440">
      <c r="A440" s="76"/>
      <c r="B440" s="76"/>
      <c r="C440" s="76"/>
    </row>
    <row r="441">
      <c r="A441" s="76"/>
      <c r="B441" s="76"/>
      <c r="C441" s="76"/>
    </row>
    <row r="442">
      <c r="A442" s="76"/>
      <c r="B442" s="76"/>
      <c r="C442" s="76"/>
    </row>
    <row r="443">
      <c r="A443" s="76"/>
      <c r="B443" s="76"/>
      <c r="C443" s="76"/>
    </row>
    <row r="444">
      <c r="A444" s="76"/>
      <c r="B444" s="76"/>
      <c r="C444" s="76"/>
    </row>
    <row r="445">
      <c r="A445" s="76"/>
      <c r="B445" s="76"/>
      <c r="C445" s="76"/>
    </row>
    <row r="446">
      <c r="A446" s="76"/>
      <c r="B446" s="76"/>
      <c r="C446" s="76"/>
    </row>
    <row r="447">
      <c r="A447" s="76"/>
      <c r="B447" s="76"/>
      <c r="C447" s="76"/>
    </row>
    <row r="448">
      <c r="A448" s="76"/>
      <c r="B448" s="76"/>
      <c r="C448" s="76"/>
    </row>
    <row r="449">
      <c r="A449" s="76"/>
      <c r="B449" s="76"/>
      <c r="C449" s="76"/>
    </row>
    <row r="450">
      <c r="A450" s="76"/>
      <c r="B450" s="76"/>
      <c r="C450" s="76"/>
    </row>
    <row r="451">
      <c r="A451" s="76"/>
      <c r="B451" s="76"/>
      <c r="C451" s="76"/>
    </row>
    <row r="452">
      <c r="A452" s="76"/>
      <c r="B452" s="76"/>
      <c r="C452" s="76"/>
    </row>
    <row r="453">
      <c r="A453" s="76"/>
      <c r="B453" s="76"/>
      <c r="C453" s="76"/>
    </row>
    <row r="454">
      <c r="A454" s="76"/>
      <c r="B454" s="76"/>
      <c r="C454" s="76"/>
    </row>
    <row r="455">
      <c r="A455" s="76"/>
      <c r="B455" s="76"/>
      <c r="C455" s="76"/>
    </row>
    <row r="456">
      <c r="A456" s="76"/>
      <c r="B456" s="76"/>
      <c r="C456" s="76"/>
    </row>
    <row r="457">
      <c r="A457" s="76"/>
      <c r="B457" s="76"/>
      <c r="C457" s="76"/>
    </row>
    <row r="458">
      <c r="A458" s="76"/>
      <c r="B458" s="76"/>
      <c r="C458" s="76"/>
    </row>
    <row r="459">
      <c r="A459" s="76"/>
      <c r="B459" s="76"/>
      <c r="C459" s="76"/>
    </row>
    <row r="460">
      <c r="A460" s="76"/>
      <c r="B460" s="76"/>
      <c r="C460" s="76"/>
    </row>
    <row r="461">
      <c r="A461" s="76"/>
      <c r="B461" s="76"/>
      <c r="C461" s="76"/>
    </row>
    <row r="462">
      <c r="A462" s="76"/>
      <c r="B462" s="76"/>
      <c r="C462" s="76"/>
    </row>
    <row r="463">
      <c r="A463" s="76"/>
      <c r="B463" s="76"/>
      <c r="C463" s="76"/>
    </row>
    <row r="464">
      <c r="A464" s="76"/>
      <c r="B464" s="76"/>
      <c r="C464" s="76"/>
    </row>
    <row r="465">
      <c r="A465" s="76"/>
      <c r="B465" s="76"/>
      <c r="C465" s="76"/>
    </row>
    <row r="466">
      <c r="A466" s="76"/>
      <c r="B466" s="76"/>
      <c r="C466" s="76"/>
    </row>
    <row r="467">
      <c r="A467" s="76"/>
      <c r="B467" s="76"/>
      <c r="C467" s="76"/>
    </row>
    <row r="468">
      <c r="A468" s="76"/>
      <c r="B468" s="76"/>
      <c r="C468" s="76"/>
    </row>
    <row r="469">
      <c r="A469" s="76"/>
      <c r="B469" s="76"/>
      <c r="C469" s="76"/>
    </row>
    <row r="470">
      <c r="A470" s="76"/>
      <c r="B470" s="76"/>
      <c r="C470" s="76"/>
    </row>
    <row r="471">
      <c r="A471" s="76"/>
      <c r="B471" s="76"/>
      <c r="C471" s="76"/>
    </row>
    <row r="472">
      <c r="A472" s="76"/>
      <c r="B472" s="76"/>
      <c r="C472" s="76"/>
    </row>
    <row r="473">
      <c r="A473" s="76"/>
      <c r="B473" s="76"/>
      <c r="C473" s="76"/>
    </row>
    <row r="474">
      <c r="A474" s="76"/>
      <c r="B474" s="76"/>
      <c r="C474" s="76"/>
    </row>
    <row r="475">
      <c r="A475" s="76"/>
      <c r="B475" s="76"/>
      <c r="C475" s="76"/>
    </row>
    <row r="476">
      <c r="A476" s="76"/>
      <c r="B476" s="76"/>
      <c r="C476" s="76"/>
    </row>
    <row r="477">
      <c r="A477" s="76"/>
      <c r="B477" s="76"/>
      <c r="C477" s="76"/>
    </row>
    <row r="478">
      <c r="A478" s="76"/>
      <c r="B478" s="76"/>
      <c r="C478" s="76"/>
    </row>
    <row r="479">
      <c r="A479" s="76"/>
      <c r="B479" s="76"/>
      <c r="C479" s="76"/>
    </row>
    <row r="480">
      <c r="A480" s="76"/>
      <c r="B480" s="76"/>
      <c r="C480" s="76"/>
    </row>
    <row r="481">
      <c r="A481" s="76"/>
      <c r="B481" s="76"/>
      <c r="C481" s="76"/>
    </row>
    <row r="482">
      <c r="A482" s="76"/>
      <c r="B482" s="76"/>
      <c r="C482" s="76"/>
    </row>
    <row r="483">
      <c r="A483" s="76"/>
      <c r="B483" s="76"/>
      <c r="C483" s="76"/>
    </row>
    <row r="484">
      <c r="A484" s="76"/>
      <c r="B484" s="76"/>
      <c r="C484" s="76"/>
    </row>
    <row r="485">
      <c r="A485" s="76"/>
      <c r="B485" s="76"/>
      <c r="C485" s="76"/>
    </row>
    <row r="486">
      <c r="A486" s="76"/>
      <c r="B486" s="76"/>
      <c r="C486" s="76"/>
    </row>
    <row r="487">
      <c r="A487" s="76"/>
      <c r="B487" s="76"/>
      <c r="C487" s="76"/>
    </row>
    <row r="488">
      <c r="A488" s="76"/>
      <c r="B488" s="76"/>
      <c r="C488" s="76"/>
    </row>
    <row r="489">
      <c r="A489" s="76"/>
      <c r="B489" s="76"/>
      <c r="C489" s="76"/>
    </row>
    <row r="490">
      <c r="A490" s="76"/>
      <c r="B490" s="76"/>
      <c r="C490" s="76"/>
    </row>
    <row r="491">
      <c r="A491" s="76"/>
      <c r="B491" s="76"/>
      <c r="C491" s="76"/>
    </row>
    <row r="492">
      <c r="A492" s="76"/>
      <c r="B492" s="76"/>
      <c r="C492" s="76"/>
    </row>
    <row r="493">
      <c r="A493" s="76"/>
      <c r="B493" s="76"/>
      <c r="C493" s="76"/>
    </row>
    <row r="494">
      <c r="A494" s="76"/>
      <c r="B494" s="76"/>
      <c r="C494" s="76"/>
    </row>
    <row r="495">
      <c r="A495" s="76"/>
      <c r="B495" s="76"/>
      <c r="C495" s="76"/>
    </row>
    <row r="496">
      <c r="A496" s="76"/>
      <c r="B496" s="76"/>
      <c r="C496" s="76"/>
    </row>
    <row r="497">
      <c r="A497" s="76"/>
      <c r="B497" s="76"/>
      <c r="C497" s="76"/>
    </row>
    <row r="498">
      <c r="A498" s="76"/>
      <c r="B498" s="76"/>
      <c r="C498" s="76"/>
    </row>
    <row r="499">
      <c r="A499" s="76"/>
      <c r="B499" s="76"/>
      <c r="C499" s="76"/>
    </row>
    <row r="500">
      <c r="A500" s="76"/>
      <c r="B500" s="76"/>
      <c r="C500" s="76"/>
    </row>
    <row r="501">
      <c r="A501" s="76"/>
      <c r="B501" s="76"/>
      <c r="C501" s="76"/>
    </row>
    <row r="502">
      <c r="A502" s="76"/>
      <c r="B502" s="76"/>
      <c r="C502" s="76"/>
    </row>
    <row r="503">
      <c r="A503" s="76"/>
      <c r="B503" s="76"/>
      <c r="C503" s="76"/>
    </row>
    <row r="504">
      <c r="A504" s="76"/>
      <c r="B504" s="76"/>
      <c r="C504" s="76"/>
    </row>
    <row r="505">
      <c r="A505" s="76"/>
      <c r="B505" s="76"/>
      <c r="C505" s="76"/>
    </row>
    <row r="506">
      <c r="A506" s="76"/>
      <c r="B506" s="76"/>
      <c r="C506" s="76"/>
    </row>
    <row r="507">
      <c r="A507" s="76"/>
      <c r="B507" s="76"/>
      <c r="C507" s="76"/>
    </row>
    <row r="508">
      <c r="A508" s="76"/>
      <c r="B508" s="76"/>
      <c r="C508" s="76"/>
    </row>
    <row r="509">
      <c r="A509" s="76"/>
      <c r="B509" s="76"/>
      <c r="C509" s="76"/>
    </row>
    <row r="510">
      <c r="A510" s="76"/>
      <c r="B510" s="76"/>
      <c r="C510" s="76"/>
    </row>
    <row r="511">
      <c r="A511" s="76"/>
      <c r="B511" s="76"/>
      <c r="C511" s="76"/>
    </row>
    <row r="512">
      <c r="A512" s="76"/>
      <c r="B512" s="76"/>
      <c r="C512" s="76"/>
    </row>
    <row r="513">
      <c r="A513" s="76"/>
      <c r="B513" s="76"/>
      <c r="C513" s="76"/>
    </row>
    <row r="514">
      <c r="A514" s="76"/>
      <c r="B514" s="76"/>
      <c r="C514" s="76"/>
    </row>
    <row r="515">
      <c r="A515" s="76"/>
      <c r="B515" s="76"/>
      <c r="C515" s="76"/>
    </row>
    <row r="516">
      <c r="A516" s="76"/>
      <c r="B516" s="76"/>
      <c r="C516" s="76"/>
    </row>
    <row r="517">
      <c r="A517" s="76"/>
      <c r="B517" s="76"/>
      <c r="C517" s="76"/>
    </row>
    <row r="518">
      <c r="A518" s="76"/>
      <c r="B518" s="76"/>
      <c r="C518" s="76"/>
    </row>
    <row r="519">
      <c r="A519" s="76"/>
      <c r="B519" s="76"/>
      <c r="C519" s="76"/>
    </row>
    <row r="520">
      <c r="A520" s="76"/>
      <c r="B520" s="76"/>
      <c r="C520" s="76"/>
    </row>
    <row r="521">
      <c r="A521" s="76"/>
      <c r="B521" s="76"/>
      <c r="C521" s="76"/>
    </row>
    <row r="522">
      <c r="A522" s="76"/>
      <c r="B522" s="76"/>
      <c r="C522" s="76"/>
    </row>
    <row r="523">
      <c r="A523" s="76"/>
      <c r="B523" s="76"/>
      <c r="C523" s="76"/>
    </row>
    <row r="524">
      <c r="A524" s="76"/>
      <c r="B524" s="76"/>
      <c r="C524" s="76"/>
    </row>
    <row r="525">
      <c r="A525" s="76"/>
      <c r="B525" s="76"/>
      <c r="C525" s="76"/>
    </row>
    <row r="526">
      <c r="A526" s="76"/>
      <c r="B526" s="76"/>
      <c r="C526" s="76"/>
    </row>
    <row r="527">
      <c r="A527" s="76"/>
      <c r="B527" s="76"/>
      <c r="C527" s="76"/>
    </row>
    <row r="528">
      <c r="A528" s="76"/>
      <c r="B528" s="76"/>
      <c r="C528" s="76"/>
    </row>
    <row r="529">
      <c r="A529" s="76"/>
      <c r="B529" s="76"/>
      <c r="C529" s="76"/>
    </row>
    <row r="530">
      <c r="A530" s="76"/>
      <c r="B530" s="76"/>
      <c r="C530" s="76"/>
    </row>
    <row r="531">
      <c r="A531" s="76"/>
      <c r="B531" s="76"/>
      <c r="C531" s="76"/>
    </row>
    <row r="532">
      <c r="A532" s="76"/>
      <c r="B532" s="76"/>
      <c r="C532" s="76"/>
    </row>
    <row r="533">
      <c r="A533" s="76"/>
      <c r="B533" s="76"/>
      <c r="C533" s="76"/>
    </row>
    <row r="534">
      <c r="A534" s="76"/>
      <c r="B534" s="76"/>
      <c r="C534" s="76"/>
    </row>
    <row r="535">
      <c r="A535" s="76"/>
      <c r="B535" s="76"/>
      <c r="C535" s="76"/>
    </row>
    <row r="536">
      <c r="A536" s="76"/>
      <c r="B536" s="76"/>
      <c r="C536" s="76"/>
    </row>
    <row r="537">
      <c r="A537" s="76"/>
      <c r="B537" s="76"/>
      <c r="C537" s="76"/>
    </row>
    <row r="538">
      <c r="A538" s="76"/>
      <c r="B538" s="76"/>
      <c r="C538" s="76"/>
    </row>
    <row r="539">
      <c r="A539" s="76"/>
      <c r="B539" s="76"/>
      <c r="C539" s="76"/>
    </row>
    <row r="540">
      <c r="A540" s="76"/>
      <c r="B540" s="76"/>
      <c r="C540" s="76"/>
    </row>
    <row r="541">
      <c r="A541" s="76"/>
      <c r="B541" s="76"/>
      <c r="C541" s="76"/>
    </row>
    <row r="542">
      <c r="A542" s="76"/>
      <c r="B542" s="76"/>
      <c r="C542" s="76"/>
    </row>
    <row r="543">
      <c r="A543" s="76"/>
      <c r="B543" s="76"/>
      <c r="C543" s="76"/>
    </row>
    <row r="544">
      <c r="A544" s="76"/>
      <c r="B544" s="76"/>
      <c r="C544" s="76"/>
    </row>
    <row r="545">
      <c r="A545" s="76"/>
      <c r="B545" s="76"/>
      <c r="C545" s="76"/>
    </row>
    <row r="546">
      <c r="A546" s="76"/>
      <c r="B546" s="76"/>
      <c r="C546" s="76"/>
    </row>
    <row r="547">
      <c r="A547" s="76"/>
      <c r="B547" s="76"/>
      <c r="C547" s="76"/>
    </row>
    <row r="548">
      <c r="A548" s="76"/>
      <c r="B548" s="76"/>
      <c r="C548" s="76"/>
    </row>
    <row r="549">
      <c r="A549" s="76"/>
      <c r="B549" s="76"/>
      <c r="C549" s="76"/>
    </row>
    <row r="550">
      <c r="A550" s="76"/>
      <c r="B550" s="76"/>
      <c r="C550" s="76"/>
    </row>
    <row r="551">
      <c r="A551" s="76"/>
      <c r="B551" s="76"/>
      <c r="C551" s="76"/>
    </row>
    <row r="552">
      <c r="A552" s="76"/>
      <c r="B552" s="76"/>
      <c r="C552" s="76"/>
    </row>
    <row r="553">
      <c r="A553" s="76"/>
      <c r="B553" s="76"/>
      <c r="C553" s="76"/>
    </row>
    <row r="554">
      <c r="A554" s="76"/>
      <c r="B554" s="76"/>
      <c r="C554" s="76"/>
    </row>
    <row r="555">
      <c r="A555" s="76"/>
      <c r="B555" s="76"/>
      <c r="C555" s="76"/>
    </row>
    <row r="556">
      <c r="A556" s="76"/>
      <c r="B556" s="76"/>
      <c r="C556" s="76"/>
    </row>
    <row r="557">
      <c r="A557" s="76"/>
      <c r="B557" s="76"/>
      <c r="C557" s="76"/>
    </row>
    <row r="558">
      <c r="A558" s="76"/>
      <c r="B558" s="76"/>
      <c r="C558" s="76"/>
    </row>
    <row r="559">
      <c r="A559" s="76"/>
      <c r="B559" s="76"/>
      <c r="C559" s="76"/>
    </row>
    <row r="560">
      <c r="A560" s="76"/>
      <c r="B560" s="76"/>
      <c r="C560" s="76"/>
    </row>
    <row r="561">
      <c r="A561" s="76"/>
      <c r="B561" s="76"/>
      <c r="C561" s="76"/>
    </row>
    <row r="562">
      <c r="A562" s="76"/>
      <c r="B562" s="76"/>
      <c r="C562" s="76"/>
    </row>
    <row r="563">
      <c r="A563" s="76"/>
      <c r="B563" s="76"/>
      <c r="C563" s="76"/>
    </row>
    <row r="564">
      <c r="A564" s="76"/>
      <c r="B564" s="76"/>
      <c r="C564" s="76"/>
    </row>
    <row r="565">
      <c r="A565" s="76"/>
      <c r="B565" s="76"/>
      <c r="C565" s="76"/>
    </row>
    <row r="566">
      <c r="A566" s="76"/>
      <c r="B566" s="76"/>
      <c r="C566" s="76"/>
    </row>
    <row r="567">
      <c r="A567" s="76"/>
      <c r="B567" s="76"/>
      <c r="C567" s="76"/>
    </row>
    <row r="568">
      <c r="A568" s="76"/>
      <c r="B568" s="76"/>
      <c r="C568" s="76"/>
    </row>
    <row r="569">
      <c r="A569" s="76"/>
      <c r="B569" s="76"/>
      <c r="C569" s="76"/>
    </row>
    <row r="570">
      <c r="A570" s="76"/>
      <c r="B570" s="76"/>
      <c r="C570" s="76"/>
    </row>
    <row r="571">
      <c r="A571" s="76"/>
      <c r="B571" s="76"/>
      <c r="C571" s="76"/>
    </row>
    <row r="572">
      <c r="A572" s="76"/>
      <c r="B572" s="76"/>
      <c r="C572" s="76"/>
    </row>
    <row r="573">
      <c r="A573" s="76"/>
      <c r="B573" s="76"/>
      <c r="C573" s="76"/>
    </row>
    <row r="574">
      <c r="A574" s="76"/>
      <c r="B574" s="76"/>
      <c r="C574" s="76"/>
    </row>
    <row r="575">
      <c r="A575" s="76"/>
      <c r="B575" s="76"/>
      <c r="C575" s="76"/>
    </row>
    <row r="576">
      <c r="A576" s="76"/>
      <c r="B576" s="76"/>
      <c r="C576" s="76"/>
    </row>
    <row r="577">
      <c r="A577" s="76"/>
      <c r="B577" s="76"/>
      <c r="C577" s="76"/>
    </row>
    <row r="578">
      <c r="A578" s="76"/>
      <c r="B578" s="76"/>
      <c r="C578" s="76"/>
    </row>
    <row r="579">
      <c r="A579" s="76"/>
      <c r="B579" s="76"/>
      <c r="C579" s="76"/>
    </row>
    <row r="580">
      <c r="A580" s="76"/>
      <c r="B580" s="76"/>
      <c r="C580" s="76"/>
    </row>
    <row r="581">
      <c r="A581" s="76"/>
      <c r="B581" s="76"/>
      <c r="C581" s="76"/>
    </row>
    <row r="582">
      <c r="A582" s="76"/>
      <c r="B582" s="76"/>
      <c r="C582" s="76"/>
    </row>
    <row r="583">
      <c r="A583" s="76"/>
      <c r="B583" s="76"/>
      <c r="C583" s="76"/>
    </row>
    <row r="584">
      <c r="A584" s="76"/>
      <c r="B584" s="76"/>
      <c r="C584" s="76"/>
    </row>
    <row r="585">
      <c r="A585" s="76"/>
      <c r="B585" s="76"/>
      <c r="C585" s="76"/>
    </row>
    <row r="586">
      <c r="A586" s="76"/>
      <c r="B586" s="76"/>
      <c r="C586" s="76"/>
    </row>
    <row r="587">
      <c r="A587" s="76"/>
      <c r="B587" s="76"/>
      <c r="C587" s="76"/>
    </row>
    <row r="588">
      <c r="A588" s="76"/>
      <c r="B588" s="76"/>
      <c r="C588" s="76"/>
    </row>
    <row r="589">
      <c r="A589" s="76"/>
      <c r="B589" s="76"/>
      <c r="C589" s="76"/>
    </row>
    <row r="590">
      <c r="A590" s="76"/>
      <c r="B590" s="76"/>
      <c r="C590" s="76"/>
    </row>
    <row r="591">
      <c r="A591" s="76"/>
      <c r="B591" s="76"/>
      <c r="C591" s="76"/>
    </row>
    <row r="592">
      <c r="A592" s="76"/>
      <c r="B592" s="76"/>
      <c r="C592" s="76"/>
    </row>
    <row r="593">
      <c r="A593" s="76"/>
      <c r="B593" s="76"/>
      <c r="C593" s="76"/>
    </row>
    <row r="594">
      <c r="A594" s="76"/>
      <c r="B594" s="76"/>
      <c r="C594" s="76"/>
    </row>
    <row r="595">
      <c r="A595" s="76"/>
      <c r="B595" s="76"/>
      <c r="C595" s="76"/>
    </row>
    <row r="596">
      <c r="A596" s="76"/>
      <c r="B596" s="76"/>
      <c r="C596" s="76"/>
    </row>
    <row r="597">
      <c r="A597" s="76"/>
      <c r="B597" s="76"/>
      <c r="C597" s="76"/>
    </row>
    <row r="598">
      <c r="A598" s="76"/>
      <c r="B598" s="76"/>
      <c r="C598" s="76"/>
    </row>
    <row r="599">
      <c r="A599" s="76"/>
      <c r="B599" s="76"/>
      <c r="C599" s="76"/>
    </row>
    <row r="600">
      <c r="A600" s="76"/>
      <c r="B600" s="76"/>
      <c r="C600" s="76"/>
    </row>
    <row r="601">
      <c r="A601" s="76"/>
      <c r="B601" s="76"/>
      <c r="C601" s="76"/>
    </row>
    <row r="602">
      <c r="A602" s="76"/>
      <c r="B602" s="76"/>
      <c r="C602" s="76"/>
    </row>
    <row r="603">
      <c r="A603" s="76"/>
      <c r="B603" s="76"/>
      <c r="C603" s="76"/>
    </row>
    <row r="604">
      <c r="A604" s="76"/>
      <c r="B604" s="76"/>
      <c r="C604" s="76"/>
    </row>
    <row r="605">
      <c r="A605" s="76"/>
      <c r="B605" s="76"/>
      <c r="C605" s="76"/>
    </row>
    <row r="606">
      <c r="A606" s="76"/>
      <c r="B606" s="76"/>
      <c r="C606" s="76"/>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outlineLevelCol="1"/>
  <cols>
    <col hidden="1" min="1" max="2" width="12.63"/>
    <col customWidth="1" hidden="1" min="3" max="3" width="31.38"/>
  </cols>
  <sheetData>
    <row r="1">
      <c r="A1" s="170"/>
      <c r="B1" s="170"/>
      <c r="C1" s="170"/>
      <c r="D1" s="171"/>
      <c r="E1" s="171"/>
      <c r="F1" s="171"/>
      <c r="G1" s="171"/>
      <c r="H1" s="171"/>
    </row>
    <row r="2">
      <c r="A2" s="170"/>
      <c r="B2" s="170"/>
      <c r="C2" s="170" t="s">
        <v>8</v>
      </c>
      <c r="D2" s="171" t="s">
        <v>2493</v>
      </c>
      <c r="E2" s="171" t="s">
        <v>2494</v>
      </c>
      <c r="F2" s="171" t="s">
        <v>2495</v>
      </c>
      <c r="G2" s="171" t="s">
        <v>2496</v>
      </c>
      <c r="H2" s="171" t="s">
        <v>2497</v>
      </c>
    </row>
    <row r="3">
      <c r="A3" s="170"/>
      <c r="B3" s="170"/>
    </row>
    <row r="4" ht="28.5" customHeight="1">
      <c r="A4" s="172" t="s">
        <v>2493</v>
      </c>
      <c r="B4" s="76">
        <f>COUNTIFS('Demo Sheet FMS_148'!$B$9:$B992,"&lt;&gt;",'Demo Sheet FMS_148'!$AJ$9:$AJ992,"Done")</f>
        <v>485</v>
      </c>
      <c r="C4" s="76" t="s">
        <v>2498</v>
      </c>
      <c r="D4" s="76">
        <f>COUNTIFS('Demo Sheet FMS_148'!$B$9:$B992,"&lt;&gt;",'Demo Sheet FMS_148'!$AJ$9:$AJ992,"Done")</f>
        <v>485</v>
      </c>
      <c r="E4" s="173">
        <f>SUMIFS('Demo Sheet FMS_148'!$AH$9:$AH992,'Demo Sheet FMS_148'!$AJ$9:$AJ992,"Done")-SUMIFS('Demo Sheet FMS_148'!$M$9:$M992,'Demo Sheet FMS_148'!$AJ$9:$AJ992,"Done")</f>
        <v>816.1879378</v>
      </c>
      <c r="F4" s="173">
        <f>SUMIFS('Demo Sheet FMS_148'!$AI$9:$AI992,'Demo Sheet FMS_148'!$AJ$9:$AJ992,"Done")-SUMIFS('Demo Sheet FMS_148'!$M$9:$M992,'Demo Sheet FMS_148'!$AJ$9:$AJ992,"Done")</f>
        <v>270.7936852</v>
      </c>
      <c r="G4" s="173">
        <f>E4/D4</f>
        <v>1.682861727</v>
      </c>
      <c r="H4" s="173">
        <f>F4/D4</f>
        <v>0.5583374953</v>
      </c>
    </row>
    <row r="5" ht="28.5" customHeight="1">
      <c r="A5" s="174" t="s">
        <v>4</v>
      </c>
      <c r="B5" s="173">
        <f>SUMIFS('Demo Sheet FMS_148'!$M$9:$M992,'Demo Sheet FMS_148'!$AJ$9:$AJ992,"Done")</f>
        <v>22390736.96</v>
      </c>
      <c r="C5" s="76" t="s">
        <v>72</v>
      </c>
      <c r="F5" s="84"/>
      <c r="G5" s="84"/>
      <c r="H5" s="84"/>
    </row>
    <row r="6" ht="28.5" customHeight="1">
      <c r="A6" s="174" t="s">
        <v>5</v>
      </c>
      <c r="B6" s="173">
        <f>SUMIFS('Demo Sheet FMS_148'!$N$9:$N992,'Demo Sheet FMS_148'!$AJ$9:$AJ992,"Done")</f>
        <v>22390570.55</v>
      </c>
      <c r="C6" s="76" t="s">
        <v>2499</v>
      </c>
      <c r="G6" s="84"/>
      <c r="H6" s="84"/>
    </row>
    <row r="7" ht="28.5" customHeight="1">
      <c r="A7" s="174" t="s">
        <v>2500</v>
      </c>
      <c r="B7" s="173">
        <f>SUMIFS('Demo Sheet FMS_148'!$AH$9:$AH992,'Demo Sheet FMS_148'!$AJ$9:$AJ992,"Done")</f>
        <v>22391553.15</v>
      </c>
      <c r="C7" s="76" t="s">
        <v>61</v>
      </c>
      <c r="F7" s="84"/>
      <c r="G7" s="84"/>
      <c r="H7" s="173"/>
    </row>
    <row r="8" ht="28.5" customHeight="1">
      <c r="A8" s="174" t="s">
        <v>2501</v>
      </c>
      <c r="B8" s="173">
        <f>SUMIFS('Demo Sheet FMS_148'!$AI$9:$AI992,'Demo Sheet FMS_148'!$AJ$9:$AJ992,"Done")</f>
        <v>22391007.76</v>
      </c>
      <c r="C8" s="84"/>
      <c r="E8" s="173"/>
      <c r="F8" s="84"/>
      <c r="G8" s="84"/>
      <c r="H8" s="84"/>
    </row>
    <row r="9" ht="28.5" customHeight="1"/>
    <row r="10" ht="28.5" customHeight="1"/>
    <row r="11" ht="28.5" customHeight="1"/>
    <row r="12" ht="28.5" customHeight="1"/>
    <row r="13">
      <c r="D13" s="169"/>
    </row>
    <row r="384">
      <c r="C384" s="76" t="str">
        <f>#REF!/361</f>
        <v>#REF!</v>
      </c>
    </row>
  </sheetData>
  <mergeCells count="6">
    <mergeCell ref="C2:C3"/>
    <mergeCell ref="D2:D3"/>
    <mergeCell ref="E2:E3"/>
    <mergeCell ref="F2:F3"/>
    <mergeCell ref="G2:G3"/>
    <mergeCell ref="H2:H3"/>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26.38"/>
    <col customWidth="1" min="2" max="2" width="10.38"/>
    <col customWidth="1" min="3" max="3" width="20.25"/>
    <col customWidth="1" min="4" max="4" width="16.25"/>
    <col customWidth="1" min="5" max="5" width="16.88"/>
    <col customWidth="1" min="6" max="6" width="16.25"/>
    <col customWidth="1" min="7" max="7" width="10.88"/>
    <col customWidth="1" min="8" max="8" width="31.0"/>
    <col customWidth="1" min="9" max="9" width="31.38"/>
  </cols>
  <sheetData>
    <row r="1">
      <c r="A1" s="175" t="str">
        <f>"TODAY - " &amp;text(today(),"dd-mm-yyyy")</f>
        <v>TODAY - 11-09-2026</v>
      </c>
      <c r="B1" s="176" t="str">
        <f>"CM- "&amp;MONTH(TODAY())</f>
        <v>CM- 9</v>
      </c>
      <c r="C1" s="177" t="str">
        <f>"CW- "&amp;VLOOKUP(TODAY(),'W MASTER'!A:I,9)</f>
        <v>CW- 24</v>
      </c>
      <c r="D1" s="178">
        <f t="array" ref="D1">INDEX('W MASTER'!$A:$A,MATCH(MIS!$H$1,'W MASTER'!$H:$H,0))</f>
        <v>46195.99917</v>
      </c>
      <c r="E1" s="179">
        <f t="array" ref="E1">INDEX('W MASTER'!$G:$G,MATCH(MIS!$H$1,'W MASTER'!$H:$H,0))</f>
        <v>46201.99917</v>
      </c>
      <c r="F1" s="180"/>
      <c r="G1" s="181"/>
      <c r="H1" s="182"/>
      <c r="I1" s="183"/>
      <c r="J1" s="173"/>
    </row>
    <row r="2" ht="34.5" customHeight="1">
      <c r="A2" s="184" t="s">
        <v>0</v>
      </c>
      <c r="B2" s="185" t="s">
        <v>2</v>
      </c>
      <c r="C2" s="185" t="s">
        <v>2055</v>
      </c>
      <c r="D2" s="186" t="s">
        <v>4</v>
      </c>
      <c r="E2" s="186" t="s">
        <v>5</v>
      </c>
      <c r="F2" s="186" t="s">
        <v>6</v>
      </c>
      <c r="G2" s="187" t="s">
        <v>319</v>
      </c>
      <c r="H2" s="187" t="s">
        <v>8</v>
      </c>
      <c r="I2" s="188"/>
      <c r="J2" s="173"/>
    </row>
    <row r="3">
      <c r="A3" s="189" t="str">
        <f>IFERROR(__xludf.DUMMYFUNCTION("QUERY({iferror(QUERY('MIS Archived Data'!$B:$J,""select B,C,D,E,F,G,H,I where E&gt;=date'""&amp;TEXT($D$1,""yyyy-MM-dd"")&amp;""' and E&lt;=date'""&amp;TEXT($E$1,""yyyy-MM-dd"")&amp;""' and G &lt;&gt; 'Cancelled'and G &lt;&gt; 'Not Required' label B'',C'',D'',E'',F'',G'',H'',I''""),{"""","&amp;""""","""","""","""","""","""",""""});iferror(QUERY('MIS Archived Data'!$B:$J,""select B,C,D,E,F,G,H,I where E&lt;date'""&amp;TEXT($D$1,""yyyy-MM-dd"")&amp;""' and F is null and G &lt;&gt; 'Cancelled'and G &lt;&gt; 'Not Required' label B'',C'',D'',E'',F'',G'',H'',I''""),{"""","""&amp;""","""","""","""","""","""",""""});iferror(QUERY('MIS Archived Data'!$B:$J,""select B,C,D,E,F,G,H,I where E&lt;date'""&amp;TEXT($D$1,""yyyy-MM-dd"")&amp;""' and F&gt;=date'""&amp;TEXT($D$1,""yyyy-MM-dd"")&amp;""' and F&lt;=date'""&amp;TEXT($E$1,""yyyy-MM-dd"")&amp;""' and G &lt;&gt; 'Cancelled"&amp;"'and G &lt;&gt; 'Not required' label B'',C'',D'',E'',F'',G'',H'',I''""),{"""","""","""","""","""","""","""",""""})},""select * where Col1 is not null"")"),"Discussion with Requester                                                                           ")</f>
        <v>Discussion with Requester                                                                           </v>
      </c>
      <c r="B3" s="190">
        <f>IFERROR(__xludf.DUMMYFUNCTION("""COMPUTED_VALUE"""),5282.0)</f>
        <v>5282</v>
      </c>
      <c r="C3" s="191" t="str">
        <f>IFERROR(__xludf.DUMMYFUNCTION("""COMPUTED_VALUE"""),"Manual_Cash_Counter")</f>
        <v>Manual_Cash_Counter</v>
      </c>
      <c r="D3" s="192">
        <f>IFERROR(__xludf.DUMMYFUNCTION("""COMPUTED_VALUE"""),46195.691083749996)</f>
        <v>46195.69108</v>
      </c>
      <c r="E3" s="192">
        <f>IFERROR(__xludf.DUMMYFUNCTION("""COMPUTED_VALUE"""),46195.61792831018)</f>
        <v>46195.61793</v>
      </c>
      <c r="F3" s="192" t="str">
        <f>IFERROR(__xludf.DUMMYFUNCTION("""COMPUTED_VALUE"""),"Done")</f>
        <v>Done</v>
      </c>
      <c r="G3" s="183">
        <f>IFERROR(__xludf.DUMMYFUNCTION("""COMPUTED_VALUE"""),0.0)</f>
        <v>0</v>
      </c>
      <c r="H3" s="193" t="str">
        <f>IFERROR(__xludf.DUMMYFUNCTION("""COMPUTED_VALUE"""),"EMP5009 Rup Kumar Mandal")</f>
        <v>EMP5009 Rup Kumar Mandal</v>
      </c>
      <c r="I3" s="183"/>
      <c r="J3" s="173"/>
      <c r="L3" s="194">
        <f>TEXT($D$1,"yyyy-MM-dd")-7</f>
        <v>46188</v>
      </c>
    </row>
    <row r="4">
      <c r="A4" s="195" t="str">
        <f>IFERROR(__xludf.DUMMYFUNCTION("""COMPUTED_VALUE"""),"Discussion with Requester                                                                           ")</f>
        <v>Discussion with Requester                                                                           </v>
      </c>
      <c r="B4" s="196">
        <f>IFERROR(__xludf.DUMMYFUNCTION("""COMPUTED_VALUE"""),5283.0)</f>
        <v>5283</v>
      </c>
      <c r="C4" s="55" t="str">
        <f>IFERROR(__xludf.DUMMYFUNCTION("""COMPUTED_VALUE"""),"Studentwise Cash Counter")</f>
        <v>Studentwise Cash Counter</v>
      </c>
      <c r="D4" s="84">
        <f>IFERROR(__xludf.DUMMYFUNCTION("""COMPUTED_VALUE"""),46195.69201704861)</f>
        <v>46195.69202</v>
      </c>
      <c r="E4" s="84">
        <f>IFERROR(__xludf.DUMMYFUNCTION("""COMPUTED_VALUE"""),46195.617928541666)</f>
        <v>46195.61793</v>
      </c>
      <c r="F4" s="84" t="str">
        <f>IFERROR(__xludf.DUMMYFUNCTION("""COMPUTED_VALUE"""),"Done")</f>
        <v>Done</v>
      </c>
      <c r="G4" s="76">
        <f>IFERROR(__xludf.DUMMYFUNCTION("""COMPUTED_VALUE"""),0.0)</f>
        <v>0</v>
      </c>
      <c r="H4" s="197" t="str">
        <f>IFERROR(__xludf.DUMMYFUNCTION("""COMPUTED_VALUE"""),"EMP5009 Rup Kumar Mandal")</f>
        <v>EMP5009 Rup Kumar Mandal</v>
      </c>
      <c r="L4" s="194">
        <f>TEXT($E$1,"yyyy-MM-dd")-7</f>
        <v>46194</v>
      </c>
    </row>
    <row r="5">
      <c r="A5" s="195" t="str">
        <f>IFERROR(__xludf.DUMMYFUNCTION("""COMPUTED_VALUE"""),"Discussion with Requester                                                                           ")</f>
        <v>Discussion with Requester                                                                           </v>
      </c>
      <c r="B5" s="196">
        <f>IFERROR(__xludf.DUMMYFUNCTION("""COMPUTED_VALUE"""),5284.0)</f>
        <v>5284</v>
      </c>
      <c r="C5" s="55" t="str">
        <f>IFERROR(__xludf.DUMMYFUNCTION("""COMPUTED_VALUE"""),"evaluation report anna.")</f>
        <v>evaluation report anna.</v>
      </c>
      <c r="D5" s="84">
        <f>IFERROR(__xludf.DUMMYFUNCTION("""COMPUTED_VALUE"""),46195.81782945602)</f>
        <v>46195.81783</v>
      </c>
      <c r="E5" s="84">
        <f>IFERROR(__xludf.DUMMYFUNCTION("""COMPUTED_VALUE"""),46195.718242696756)</f>
        <v>46195.71824</v>
      </c>
      <c r="F5" s="84" t="str">
        <f>IFERROR(__xludf.DUMMYFUNCTION("""COMPUTED_VALUE"""),"Done")</f>
        <v>Done</v>
      </c>
      <c r="G5" s="76">
        <f>IFERROR(__xludf.DUMMYFUNCTION("""COMPUTED_VALUE"""),0.0)</f>
        <v>0</v>
      </c>
      <c r="H5" s="197" t="str">
        <f>IFERROR(__xludf.DUMMYFUNCTION("""COMPUTED_VALUE"""),"EMP5009 Rup Kumar Mandal")</f>
        <v>EMP5009 Rup Kumar Mandal</v>
      </c>
      <c r="J5" s="173"/>
    </row>
    <row r="6">
      <c r="A6" s="195" t="str">
        <f>IFERROR(__xludf.DUMMYFUNCTION("""COMPUTED_VALUE"""),"Discussion with Requester                                                                           ")</f>
        <v>Discussion with Requester                                                                           </v>
      </c>
      <c r="B6" s="196">
        <f>IFERROR(__xludf.DUMMYFUNCTION("""COMPUTED_VALUE"""),5285.0)</f>
        <v>5285</v>
      </c>
      <c r="C6" s="55" t="str">
        <f>IFERROR(__xludf.DUMMYFUNCTION("""COMPUTED_VALUE"""),"MULTIPLE REPORT")</f>
        <v>MULTIPLE REPORT</v>
      </c>
      <c r="D6" s="84">
        <f>IFERROR(__xludf.DUMMYFUNCTION("""COMPUTED_VALUE"""),46196.42291666666)</f>
        <v>46196.42292</v>
      </c>
      <c r="E6" s="84">
        <f>IFERROR(__xludf.DUMMYFUNCTION("""COMPUTED_VALUE"""),46195.71825232639)</f>
        <v>46195.71825</v>
      </c>
      <c r="F6" s="84" t="str">
        <f>IFERROR(__xludf.DUMMYFUNCTION("""COMPUTED_VALUE"""),"Done")</f>
        <v>Done</v>
      </c>
      <c r="G6" s="76">
        <f>IFERROR(__xludf.DUMMYFUNCTION("""COMPUTED_VALUE"""),0.0)</f>
        <v>0</v>
      </c>
      <c r="H6" s="197" t="str">
        <f>IFERROR(__xludf.DUMMYFUNCTION("""COMPUTED_VALUE"""),"EMP0042 HULESHWAR KUMAR SAHU")</f>
        <v>EMP0042 HULESHWAR KUMAR SAHU</v>
      </c>
    </row>
    <row r="7">
      <c r="A7" s="189" t="str">
        <f>IFERROR(__xludf.DUMMYFUNCTION("""COMPUTED_VALUE"""),"Discussion with Requester                                                                           ")</f>
        <v>Discussion with Requester                                                                           </v>
      </c>
      <c r="B7" s="190">
        <f>IFERROR(__xludf.DUMMYFUNCTION("""COMPUTED_VALUE"""),5286.0)</f>
        <v>5286</v>
      </c>
      <c r="C7" s="191" t="str">
        <f>IFERROR(__xludf.DUMMYFUNCTION("""COMPUTED_VALUE"""),"2781")</f>
        <v>2781</v>
      </c>
      <c r="D7" s="192">
        <f>IFERROR(__xludf.DUMMYFUNCTION("""COMPUTED_VALUE"""),46196.755902731486)</f>
        <v>46196.7559</v>
      </c>
      <c r="E7" s="192">
        <f>IFERROR(__xludf.DUMMYFUNCTION("""COMPUTED_VALUE"""),46196.77794758102)</f>
        <v>46196.77795</v>
      </c>
      <c r="F7" s="192" t="str">
        <f>IFERROR(__xludf.DUMMYFUNCTION("""COMPUTED_VALUE"""),"Done")</f>
        <v>Done</v>
      </c>
      <c r="G7" s="183">
        <f>IFERROR(__xludf.DUMMYFUNCTION("""COMPUTED_VALUE"""),0.02204484954563668)</f>
        <v>0.02204484955</v>
      </c>
      <c r="H7" s="193" t="str">
        <f>IFERROR(__xludf.DUMMYFUNCTION("""COMPUTED_VALUE"""),"EMP5009 Rup Kumar Mandal")</f>
        <v>EMP5009 Rup Kumar Mandal</v>
      </c>
      <c r="I7" s="183"/>
      <c r="J7" s="173"/>
    </row>
    <row r="8">
      <c r="A8" s="189" t="str">
        <f>IFERROR(__xludf.DUMMYFUNCTION("""COMPUTED_VALUE"""),"Discussion with Requester                                                                           ")</f>
        <v>Discussion with Requester                                                                           </v>
      </c>
      <c r="B8" s="190">
        <f>IFERROR(__xludf.DUMMYFUNCTION("""COMPUTED_VALUE"""),5287.0)</f>
        <v>5287</v>
      </c>
      <c r="C8" s="191" t="str">
        <f>IFERROR(__xludf.DUMMYFUNCTION("""COMPUTED_VALUE"""),"TR REPORT")</f>
        <v>TR REPORT</v>
      </c>
      <c r="D8" s="192">
        <f>IFERROR(__xludf.DUMMYFUNCTION("""COMPUTED_VALUE"""),46197.65346195601)</f>
        <v>46197.65346</v>
      </c>
      <c r="E8" s="192">
        <f>IFERROR(__xludf.DUMMYFUNCTION("""COMPUTED_VALUE"""),46197.490100532406)</f>
        <v>46197.4901</v>
      </c>
      <c r="F8" s="192" t="str">
        <f>IFERROR(__xludf.DUMMYFUNCTION("""COMPUTED_VALUE"""),"Done")</f>
        <v>Done</v>
      </c>
      <c r="G8" s="183">
        <f>IFERROR(__xludf.DUMMYFUNCTION("""COMPUTED_VALUE"""),0.0)</f>
        <v>0</v>
      </c>
      <c r="H8" s="193" t="str">
        <f>IFERROR(__xludf.DUMMYFUNCTION("""COMPUTED_VALUE"""),"EMP0237 Swarnendu Chakraborty")</f>
        <v>EMP0237 Swarnendu Chakraborty</v>
      </c>
      <c r="I8" s="183"/>
      <c r="J8" s="173"/>
    </row>
    <row r="9">
      <c r="A9" s="189" t="str">
        <f>IFERROR(__xludf.DUMMYFUNCTION("""COMPUTED_VALUE"""),"Discussion with Requester                                                                           ")</f>
        <v>Discussion with Requester                                                                           </v>
      </c>
      <c r="B9" s="190">
        <f>IFERROR(__xludf.DUMMYFUNCTION("""COMPUTED_VALUE"""),5288.0)</f>
        <v>5288</v>
      </c>
      <c r="C9" s="191" t="str">
        <f>IFERROR(__xludf.DUMMYFUNCTION("""COMPUTED_VALUE"""),"5coltrsem6sem_elective_back_")</f>
        <v>5coltrsem6sem_elective_back_</v>
      </c>
      <c r="D9" s="192">
        <f>IFERROR(__xludf.DUMMYFUNCTION("""COMPUTED_VALUE"""),46197.683339490744)</f>
        <v>46197.68334</v>
      </c>
      <c r="E9" s="192">
        <f>IFERROR(__xludf.DUMMYFUNCTION("""COMPUTED_VALUE"""),46197.51777659722)</f>
        <v>46197.51778</v>
      </c>
      <c r="F9" s="192" t="str">
        <f>IFERROR(__xludf.DUMMYFUNCTION("""COMPUTED_VALUE"""),"Done")</f>
        <v>Done</v>
      </c>
      <c r="G9" s="183">
        <f>IFERROR(__xludf.DUMMYFUNCTION("""COMPUTED_VALUE"""),0.0)</f>
        <v>0</v>
      </c>
      <c r="H9" s="193" t="str">
        <f>IFERROR(__xludf.DUMMYFUNCTION("""COMPUTED_VALUE"""),"EMP0042 HULESHWAR KUMAR SAHU")</f>
        <v>EMP0042 HULESHWAR KUMAR SAHU</v>
      </c>
      <c r="I9" s="183"/>
      <c r="J9" s="173"/>
    </row>
    <row r="10">
      <c r="A10" s="195" t="str">
        <f>IFERROR(__xludf.DUMMYFUNCTION("""COMPUTED_VALUE"""),"Discussion with Requester                                                                           ")</f>
        <v>Discussion with Requester                                                                           </v>
      </c>
      <c r="B10" s="196">
        <f>IFERROR(__xludf.DUMMYFUNCTION("""COMPUTED_VALUE"""),5289.0)</f>
        <v>5289</v>
      </c>
      <c r="C10" s="55" t="str">
        <f>IFERROR(__xludf.DUMMYFUNCTION("""COMPUTED_VALUE"""),"Marksheet (D.PHARMA)")</f>
        <v>Marksheet (D.PHARMA)</v>
      </c>
      <c r="D10" s="84">
        <f>IFERROR(__xludf.DUMMYFUNCTION("""COMPUTED_VALUE"""),46197.69233966435)</f>
        <v>46197.69234</v>
      </c>
      <c r="E10" s="84">
        <f>IFERROR(__xludf.DUMMYFUNCTION("""COMPUTED_VALUE"""),46197.54557239584)</f>
        <v>46197.54557</v>
      </c>
      <c r="F10" s="84" t="str">
        <f>IFERROR(__xludf.DUMMYFUNCTION("""COMPUTED_VALUE"""),"Done")</f>
        <v>Done</v>
      </c>
      <c r="G10" s="76">
        <f>IFERROR(__xludf.DUMMYFUNCTION("""COMPUTED_VALUE"""),0.0)</f>
        <v>0</v>
      </c>
      <c r="H10" s="197" t="str">
        <f>IFERROR(__xludf.DUMMYFUNCTION("""COMPUTED_VALUE"""),"EMP0042 HULESHWAR KUMAR SAHU")</f>
        <v>EMP0042 HULESHWAR KUMAR SAHU</v>
      </c>
      <c r="J10" s="173"/>
    </row>
    <row r="11" ht="17.25" customHeight="1">
      <c r="A11" s="189" t="str">
        <f>IFERROR(__xludf.DUMMYFUNCTION("""COMPUTED_VALUE"""),"Discussion with Requester                                                                           ")</f>
        <v>Discussion with Requester                                                                           </v>
      </c>
      <c r="B11" s="190">
        <f>IFERROR(__xludf.DUMMYFUNCTION("""COMPUTED_VALUE"""),5290.0)</f>
        <v>5290</v>
      </c>
      <c r="C11" s="191" t="str">
        <f>IFERROR(__xludf.DUMMYFUNCTION("""COMPUTED_VALUE"""),"gradaecard4-btech")</f>
        <v>gradaecard4-btech</v>
      </c>
      <c r="D11" s="192">
        <f>IFERROR(__xludf.DUMMYFUNCTION("""COMPUTED_VALUE"""),46197.70661082176)</f>
        <v>46197.70661</v>
      </c>
      <c r="E11" s="192">
        <f>IFERROR(__xludf.DUMMYFUNCTION("""COMPUTED_VALUE"""),46197.54561087963)</f>
        <v>46197.54561</v>
      </c>
      <c r="F11" s="192" t="str">
        <f>IFERROR(__xludf.DUMMYFUNCTION("""COMPUTED_VALUE"""),"Done")</f>
        <v>Done</v>
      </c>
      <c r="G11" s="183">
        <f>IFERROR(__xludf.DUMMYFUNCTION("""COMPUTED_VALUE"""),0.0)</f>
        <v>0</v>
      </c>
      <c r="H11" s="193" t="str">
        <f>IFERROR(__xludf.DUMMYFUNCTION("""COMPUTED_VALUE"""),"EMP0042 HULESHWAR KUMAR SAHU")</f>
        <v>EMP0042 HULESHWAR KUMAR SAHU</v>
      </c>
      <c r="I11" s="183"/>
      <c r="J11" s="173"/>
    </row>
    <row r="12">
      <c r="A12" s="195" t="str">
        <f>IFERROR(__xludf.DUMMYFUNCTION("""COMPUTED_VALUE"""),"Discussion with Requester                                                                           ")</f>
        <v>Discussion with Requester                                                                           </v>
      </c>
      <c r="B12" s="196">
        <f>IFERROR(__xludf.DUMMYFUNCTION("""COMPUTED_VALUE"""),5291.0)</f>
        <v>5291</v>
      </c>
      <c r="C12" s="55" t="str">
        <f>IFERROR(__xludf.DUMMYFUNCTION("""COMPUTED_VALUE"""),"Student wise form report")</f>
        <v>Student wise form report</v>
      </c>
      <c r="D12" s="84">
        <f>IFERROR(__xludf.DUMMYFUNCTION("""COMPUTED_VALUE"""),46197.71871027778)</f>
        <v>46197.71871</v>
      </c>
      <c r="E12" s="84">
        <f>IFERROR(__xludf.DUMMYFUNCTION("""COMPUTED_VALUE"""),46197.56126699074)</f>
        <v>46197.56127</v>
      </c>
      <c r="F12" s="84" t="str">
        <f>IFERROR(__xludf.DUMMYFUNCTION("""COMPUTED_VALUE"""),"Done")</f>
        <v>Done</v>
      </c>
      <c r="G12" s="76">
        <f>IFERROR(__xludf.DUMMYFUNCTION("""COMPUTED_VALUE"""),0.0)</f>
        <v>0</v>
      </c>
      <c r="H12" s="197" t="str">
        <f>IFERROR(__xludf.DUMMYFUNCTION("""COMPUTED_VALUE"""),"EMP0237 Swarnendu Chakraborty")</f>
        <v>EMP0237 Swarnendu Chakraborty</v>
      </c>
    </row>
    <row r="13">
      <c r="A13" s="189" t="str">
        <f>IFERROR(__xludf.DUMMYFUNCTION("""COMPUTED_VALUE"""),"Discussion with Requester                                                                           ")</f>
        <v>Discussion with Requester                                                                           </v>
      </c>
      <c r="B13" s="190">
        <f>IFERROR(__xludf.DUMMYFUNCTION("""COMPUTED_VALUE"""),5292.0)</f>
        <v>5292</v>
      </c>
      <c r="C13" s="191" t="str">
        <f>IFERROR(__xludf.DUMMYFUNCTION("""COMPUTED_VALUE"""),"SESSION WISE RESULT SUMMARY ")</f>
        <v>SESSION WISE RESULT SUMMARY </v>
      </c>
      <c r="D13" s="192">
        <f>IFERROR(__xludf.DUMMYFUNCTION("""COMPUTED_VALUE"""),46197.726081423614)</f>
        <v>46197.72608</v>
      </c>
      <c r="E13" s="192">
        <f>IFERROR(__xludf.DUMMYFUNCTION("""COMPUTED_VALUE"""),46197.56128840278)</f>
        <v>46197.56129</v>
      </c>
      <c r="F13" s="192" t="str">
        <f>IFERROR(__xludf.DUMMYFUNCTION("""COMPUTED_VALUE"""),"Done")</f>
        <v>Done</v>
      </c>
      <c r="G13" s="183">
        <f>IFERROR(__xludf.DUMMYFUNCTION("""COMPUTED_VALUE"""),0.0)</f>
        <v>0</v>
      </c>
      <c r="H13" s="193" t="str">
        <f>IFERROR(__xludf.DUMMYFUNCTION("""COMPUTED_VALUE"""),"EMP0237 Swarnendu Chakraborty")</f>
        <v>EMP0237 Swarnendu Chakraborty</v>
      </c>
      <c r="I13" s="183"/>
    </row>
    <row r="14">
      <c r="A14" s="189" t="str">
        <f>IFERROR(__xludf.DUMMYFUNCTION("""COMPUTED_VALUE"""),"Discussion with Requester                                                                           ")</f>
        <v>Discussion with Requester                                                                           </v>
      </c>
      <c r="B14" s="190">
        <f>IFERROR(__xludf.DUMMYFUNCTION("""COMPUTED_VALUE"""),5293.0)</f>
        <v>5293</v>
      </c>
      <c r="C14" s="191" t="str">
        <f>IFERROR(__xludf.DUMMYFUNCTION("""COMPUTED_VALUE"""),"Analytics Deshbord report")</f>
        <v>Analytics Deshbord report</v>
      </c>
      <c r="D14" s="192">
        <f>IFERROR(__xludf.DUMMYFUNCTION("""COMPUTED_VALUE"""),46198.444444444445)</f>
        <v>46198.44444</v>
      </c>
      <c r="E14" s="192">
        <f>IFERROR(__xludf.DUMMYFUNCTION("""COMPUTED_VALUE"""),46197.80331004629)</f>
        <v>46197.80331</v>
      </c>
      <c r="F14" s="192" t="str">
        <f>IFERROR(__xludf.DUMMYFUNCTION("""COMPUTED_VALUE"""),"Done")</f>
        <v>Done</v>
      </c>
      <c r="G14" s="183">
        <f>IFERROR(__xludf.DUMMYFUNCTION("""COMPUTED_VALUE"""),0.0)</f>
        <v>0</v>
      </c>
      <c r="H14" s="193" t="str">
        <f>IFERROR(__xludf.DUMMYFUNCTION("""COMPUTED_VALUE"""),"EMP0237 Swarnendu Chakraborty")</f>
        <v>EMP0237 Swarnendu Chakraborty</v>
      </c>
      <c r="I14" s="183"/>
    </row>
    <row r="15">
      <c r="A15" s="189" t="str">
        <f>IFERROR(__xludf.DUMMYFUNCTION("""COMPUTED_VALUE"""),"Discussion with Requester                                                                           ")</f>
        <v>Discussion with Requester                                                                           </v>
      </c>
      <c r="B15" s="190">
        <f>IFERROR(__xludf.DUMMYFUNCTION("""COMPUTED_VALUE"""),5294.0)</f>
        <v>5294</v>
      </c>
      <c r="C15" s="191" t="str">
        <f>IFERROR(__xludf.DUMMYFUNCTION("""COMPUTED_VALUE"""),"TR MBA 4th sem( With division )")</f>
        <v>TR MBA 4th sem( With division )</v>
      </c>
      <c r="D15" s="192">
        <f>IFERROR(__xludf.DUMMYFUNCTION("""COMPUTED_VALUE"""),46198.64252945602)</f>
        <v>46198.64253</v>
      </c>
      <c r="E15" s="192">
        <f>IFERROR(__xludf.DUMMYFUNCTION("""COMPUTED_VALUE"""),46198.47623784722)</f>
        <v>46198.47624</v>
      </c>
      <c r="F15" s="192" t="str">
        <f>IFERROR(__xludf.DUMMYFUNCTION("""COMPUTED_VALUE"""),"Done")</f>
        <v>Done</v>
      </c>
      <c r="G15" s="183">
        <f>IFERROR(__xludf.DUMMYFUNCTION("""COMPUTED_VALUE"""),0.0)</f>
        <v>0</v>
      </c>
      <c r="H15" s="193" t="str">
        <f>IFERROR(__xludf.DUMMYFUNCTION("""COMPUTED_VALUE"""),"EMP0042 HULESHWAR KUMAR SAHU")</f>
        <v>EMP0042 HULESHWAR KUMAR SAHU</v>
      </c>
      <c r="I15" s="183"/>
      <c r="J15" s="173"/>
    </row>
    <row r="16">
      <c r="A16" s="195" t="str">
        <f>IFERROR(__xludf.DUMMYFUNCTION("""COMPUTED_VALUE"""),"Discussion with Requester                                                                           ")</f>
        <v>Discussion with Requester                                                                           </v>
      </c>
      <c r="B16" s="196">
        <f>IFERROR(__xludf.DUMMYFUNCTION("""COMPUTED_VALUE"""),5295.0)</f>
        <v>5295</v>
      </c>
      <c r="C16" s="55" t="str">
        <f>IFERROR(__xludf.DUMMYFUNCTION("""COMPUTED_VALUE"""),"NAD DATA")</f>
        <v>NAD DATA</v>
      </c>
      <c r="D16" s="84">
        <f>IFERROR(__xludf.DUMMYFUNCTION("""COMPUTED_VALUE"""),46198.66934563657)</f>
        <v>46198.66935</v>
      </c>
      <c r="E16" s="84">
        <f>IFERROR(__xludf.DUMMYFUNCTION("""COMPUTED_VALUE"""),46198.605956064814)</f>
        <v>46198.60596</v>
      </c>
      <c r="F16" s="84" t="str">
        <f>IFERROR(__xludf.DUMMYFUNCTION("""COMPUTED_VALUE"""),"Done")</f>
        <v>Done</v>
      </c>
      <c r="G16" s="76">
        <f>IFERROR(__xludf.DUMMYFUNCTION("""COMPUTED_VALUE"""),0.0)</f>
        <v>0</v>
      </c>
      <c r="H16" s="197" t="str">
        <f>IFERROR(__xludf.DUMMYFUNCTION("""COMPUTED_VALUE"""),"EMP0237 Swarnendu Chakraborty")</f>
        <v>EMP0237 Swarnendu Chakraborty</v>
      </c>
    </row>
    <row r="17">
      <c r="A17" s="189" t="str">
        <f>IFERROR(__xludf.DUMMYFUNCTION("""COMPUTED_VALUE"""),"Discussion with Requester                                                                           ")</f>
        <v>Discussion with Requester                                                                           </v>
      </c>
      <c r="B17" s="190">
        <f>IFERROR(__xludf.DUMMYFUNCTION("""COMPUTED_VALUE"""),5296.0)</f>
        <v>5296</v>
      </c>
      <c r="C17" s="191" t="str">
        <f>IFERROR(__xludf.DUMMYFUNCTION("""COMPUTED_VALUE"""),"ATTESTATION SHEET ")</f>
        <v>ATTESTATION SHEET </v>
      </c>
      <c r="D17" s="192">
        <f>IFERROR(__xludf.DUMMYFUNCTION("""COMPUTED_VALUE"""),46198.682239421294)</f>
        <v>46198.68224</v>
      </c>
      <c r="E17" s="192">
        <f>IFERROR(__xludf.DUMMYFUNCTION("""COMPUTED_VALUE"""),46198.605956064814)</f>
        <v>46198.60596</v>
      </c>
      <c r="F17" s="192" t="str">
        <f>IFERROR(__xludf.DUMMYFUNCTION("""COMPUTED_VALUE"""),"Done")</f>
        <v>Done</v>
      </c>
      <c r="G17" s="183">
        <f>IFERROR(__xludf.DUMMYFUNCTION("""COMPUTED_VALUE"""),0.0)</f>
        <v>0</v>
      </c>
      <c r="H17" s="193" t="str">
        <f>IFERROR(__xludf.DUMMYFUNCTION("""COMPUTED_VALUE"""),"EMP5009 Rup Kumar Mandal")</f>
        <v>EMP5009 Rup Kumar Mandal</v>
      </c>
      <c r="I17" s="183"/>
      <c r="J17" s="173"/>
    </row>
    <row r="18">
      <c r="A18" s="189" t="str">
        <f>IFERROR(__xludf.DUMMYFUNCTION("""COMPUTED_VALUE"""),"Discussion with Requester                                                                           ")</f>
        <v>Discussion with Requester                                                                           </v>
      </c>
      <c r="B18" s="190">
        <f>IFERROR(__xludf.DUMMYFUNCTION("""COMPUTED_VALUE"""),5297.0)</f>
        <v>5297</v>
      </c>
      <c r="C18" s="191" t="str">
        <f>IFERROR(__xludf.DUMMYFUNCTION("""COMPUTED_VALUE"""),"NAD data ")</f>
        <v>NAD data </v>
      </c>
      <c r="D18" s="192">
        <f>IFERROR(__xludf.DUMMYFUNCTION("""COMPUTED_VALUE"""),46199.50833333333)</f>
        <v>46199.50833</v>
      </c>
      <c r="E18" s="192">
        <f>IFERROR(__xludf.DUMMYFUNCTION("""COMPUTED_VALUE"""),46198.762278263894)</f>
        <v>46198.76228</v>
      </c>
      <c r="F18" s="192" t="str">
        <f>IFERROR(__xludf.DUMMYFUNCTION("""COMPUTED_VALUE"""),"Done")</f>
        <v>Done</v>
      </c>
      <c r="G18" s="183">
        <f>IFERROR(__xludf.DUMMYFUNCTION("""COMPUTED_VALUE"""),0.0)</f>
        <v>0</v>
      </c>
      <c r="H18" s="193" t="str">
        <f>IFERROR(__xludf.DUMMYFUNCTION("""COMPUTED_VALUE"""),"EMP5009 Rup Kumar Mandal")</f>
        <v>EMP5009 Rup Kumar Mandal</v>
      </c>
      <c r="I18" s="183"/>
    </row>
    <row r="19">
      <c r="A19" s="189" t="str">
        <f>IFERROR(__xludf.DUMMYFUNCTION("""COMPUTED_VALUE"""),"Discussion with Requester                                                                           ")</f>
        <v>Discussion with Requester                                                                           </v>
      </c>
      <c r="B19" s="190">
        <f>IFERROR(__xludf.DUMMYFUNCTION("""COMPUTED_VALUE"""),5298.0)</f>
        <v>5298</v>
      </c>
      <c r="C19" s="191" t="str">
        <f>IFERROR(__xludf.DUMMYFUNCTION("""COMPUTED_VALUE"""),"Attendance Sheet PG &amp; PHD")</f>
        <v>Attendance Sheet PG &amp; PHD</v>
      </c>
      <c r="D19" s="192">
        <f>IFERROR(__xludf.DUMMYFUNCTION("""COMPUTED_VALUE"""),46199.55)</f>
        <v>46199.55</v>
      </c>
      <c r="E19" s="192">
        <f>IFERROR(__xludf.DUMMYFUNCTION("""COMPUTED_VALUE"""),46198.802314236105)</f>
        <v>46198.80231</v>
      </c>
      <c r="F19" s="192" t="str">
        <f>IFERROR(__xludf.DUMMYFUNCTION("""COMPUTED_VALUE"""),"Done")</f>
        <v>Done</v>
      </c>
      <c r="G19" s="183">
        <f>IFERROR(__xludf.DUMMYFUNCTION("""COMPUTED_VALUE"""),0.0)</f>
        <v>0</v>
      </c>
      <c r="H19" s="193" t="str">
        <f>IFERROR(__xludf.DUMMYFUNCTION("""COMPUTED_VALUE"""),"EMP0021 Tamanna Dewangan")</f>
        <v>EMP0021 Tamanna Dewangan</v>
      </c>
      <c r="I19" s="183"/>
    </row>
    <row r="20">
      <c r="A20" s="189" t="str">
        <f>IFERROR(__xludf.DUMMYFUNCTION("""COMPUTED_VALUE"""),"Discussion with Requester                                                                           ")</f>
        <v>Discussion with Requester                                                                           </v>
      </c>
      <c r="B20" s="190">
        <f>IFERROR(__xludf.DUMMYFUNCTION("""COMPUTED_VALUE"""),5299.0)</f>
        <v>5299</v>
      </c>
      <c r="C20" s="191" t="str">
        <f>IFERROR(__xludf.DUMMYFUNCTION("""COMPUTED_VALUE"""),"Summary For PG/PHD")</f>
        <v>Summary For PG/PHD</v>
      </c>
      <c r="D20" s="192">
        <f>IFERROR(__xludf.DUMMYFUNCTION("""COMPUTED_VALUE"""),46199.55138888889)</f>
        <v>46199.55139</v>
      </c>
      <c r="E20" s="192">
        <f>IFERROR(__xludf.DUMMYFUNCTION("""COMPUTED_VALUE"""),46198.802349641206)</f>
        <v>46198.80235</v>
      </c>
      <c r="F20" s="192" t="str">
        <f>IFERROR(__xludf.DUMMYFUNCTION("""COMPUTED_VALUE"""),"Done")</f>
        <v>Done</v>
      </c>
      <c r="G20" s="183">
        <f>IFERROR(__xludf.DUMMYFUNCTION("""COMPUTED_VALUE"""),0.0)</f>
        <v>0</v>
      </c>
      <c r="H20" s="193" t="str">
        <f>IFERROR(__xludf.DUMMYFUNCTION("""COMPUTED_VALUE"""),"EMP0021 Tamanna Dewangan")</f>
        <v>EMP0021 Tamanna Dewangan</v>
      </c>
      <c r="I20" s="183"/>
    </row>
    <row r="21">
      <c r="A21" s="195" t="str">
        <f>IFERROR(__xludf.DUMMYFUNCTION("""COMPUTED_VALUE"""),"Discussion with Requester                                                                           ")</f>
        <v>Discussion with Requester                                                                           </v>
      </c>
      <c r="B21" s="196">
        <f>IFERROR(__xludf.DUMMYFUNCTION("""COMPUTED_VALUE"""),5300.0)</f>
        <v>5300</v>
      </c>
      <c r="C21" s="55" t="str">
        <f>IFERROR(__xludf.DUMMYFUNCTION("""COMPUTED_VALUE"""),"Cover Page")</f>
        <v>Cover Page</v>
      </c>
      <c r="D21" s="84">
        <f>IFERROR(__xludf.DUMMYFUNCTION("""COMPUTED_VALUE"""),46199.552777777775)</f>
        <v>46199.55278</v>
      </c>
      <c r="E21" s="84">
        <f>IFERROR(__xludf.DUMMYFUNCTION("""COMPUTED_VALUE"""),46198.80347324074)</f>
        <v>46198.80347</v>
      </c>
      <c r="F21" s="84" t="str">
        <f>IFERROR(__xludf.DUMMYFUNCTION("""COMPUTED_VALUE"""),"Done")</f>
        <v>Done</v>
      </c>
      <c r="G21" s="76">
        <f>IFERROR(__xludf.DUMMYFUNCTION("""COMPUTED_VALUE"""),0.0)</f>
        <v>0</v>
      </c>
      <c r="H21" s="197" t="str">
        <f>IFERROR(__xludf.DUMMYFUNCTION("""COMPUTED_VALUE"""),"EMP0021 Tamanna Dewangan")</f>
        <v>EMP0021 Tamanna Dewangan</v>
      </c>
    </row>
    <row r="22">
      <c r="A22" s="195" t="str">
        <f>IFERROR(__xludf.DUMMYFUNCTION("""COMPUTED_VALUE"""),"Discussion with Requester                                                                           ")</f>
        <v>Discussion with Requester                                                                           </v>
      </c>
      <c r="B22" s="196">
        <f>IFERROR(__xludf.DUMMYFUNCTION("""COMPUTED_VALUE"""),5301.0)</f>
        <v>5301</v>
      </c>
      <c r="C22" s="55" t="str">
        <f>IFERROR(__xludf.DUMMYFUNCTION("""COMPUTED_VALUE"""),"Analysis report")</f>
        <v>Analysis report</v>
      </c>
      <c r="D22" s="84">
        <f>IFERROR(__xludf.DUMMYFUNCTION("""COMPUTED_VALUE"""),46199.55902777778)</f>
        <v>46199.55903</v>
      </c>
      <c r="E22" s="84">
        <f>IFERROR(__xludf.DUMMYFUNCTION("""COMPUTED_VALUE"""),46199.38168274305)</f>
        <v>46199.38168</v>
      </c>
      <c r="F22" s="84" t="str">
        <f>IFERROR(__xludf.DUMMYFUNCTION("""COMPUTED_VALUE"""),"Done")</f>
        <v>Done</v>
      </c>
      <c r="G22" s="76">
        <f>IFERROR(__xludf.DUMMYFUNCTION("""COMPUTED_VALUE"""),0.0)</f>
        <v>0</v>
      </c>
      <c r="H22" s="197" t="str">
        <f>IFERROR(__xludf.DUMMYFUNCTION("""COMPUTED_VALUE"""),"EMP0021 Tamanna Dewangan")</f>
        <v>EMP0021 Tamanna Dewangan</v>
      </c>
    </row>
    <row r="23">
      <c r="A23" s="195" t="str">
        <f>IFERROR(__xludf.DUMMYFUNCTION("""COMPUTED_VALUE"""),"Discussion with Requester                                                                           ")</f>
        <v>Discussion with Requester                                                                           </v>
      </c>
      <c r="B23" s="196">
        <f>IFERROR(__xludf.DUMMYFUNCTION("""COMPUTED_VALUE"""),5302.0)</f>
        <v>5302</v>
      </c>
      <c r="C23" s="55" t="str">
        <f>IFERROR(__xludf.DUMMYFUNCTION("""COMPUTED_VALUE"""),"Analytics report")</f>
        <v>Analytics report</v>
      </c>
      <c r="D23" s="84">
        <f>IFERROR(__xludf.DUMMYFUNCTION("""COMPUTED_VALUE"""),46199.55972222222)</f>
        <v>46199.55972</v>
      </c>
      <c r="E23" s="84">
        <f>IFERROR(__xludf.DUMMYFUNCTION("""COMPUTED_VALUE"""),46199.381717847216)</f>
        <v>46199.38172</v>
      </c>
      <c r="F23" s="84" t="str">
        <f>IFERROR(__xludf.DUMMYFUNCTION("""COMPUTED_VALUE"""),"Done")</f>
        <v>Done</v>
      </c>
      <c r="G23" s="76">
        <f>IFERROR(__xludf.DUMMYFUNCTION("""COMPUTED_VALUE"""),0.0)</f>
        <v>0</v>
      </c>
      <c r="H23" s="197" t="str">
        <f>IFERROR(__xludf.DUMMYFUNCTION("""COMPUTED_VALUE"""),"EMP0021 Tamanna Dewangan")</f>
        <v>EMP0021 Tamanna Dewangan</v>
      </c>
    </row>
    <row r="24">
      <c r="A24" s="189" t="str">
        <f>IFERROR(__xludf.DUMMYFUNCTION("""COMPUTED_VALUE"""),"Discussion with Requester                                                                           ")</f>
        <v>Discussion with Requester                                                                           </v>
      </c>
      <c r="B24" s="190">
        <f>IFERROR(__xludf.DUMMYFUNCTION("""COMPUTED_VALUE"""),5303.0)</f>
        <v>5303</v>
      </c>
      <c r="C24" s="191" t="str">
        <f>IFERROR(__xludf.DUMMYFUNCTION("""COMPUTED_VALUE"""),"otal Student and all matrix count mismatch Eg:999 College")</f>
        <v>otal Student and all matrix count mismatch Eg:999 College</v>
      </c>
      <c r="D24" s="192">
        <f>IFERROR(__xludf.DUMMYFUNCTION("""COMPUTED_VALUE"""),46199.56041666667)</f>
        <v>46199.56042</v>
      </c>
      <c r="E24" s="192">
        <f>IFERROR(__xludf.DUMMYFUNCTION("""COMPUTED_VALUE"""),46199.38177456019)</f>
        <v>46199.38177</v>
      </c>
      <c r="F24" s="192" t="str">
        <f>IFERROR(__xludf.DUMMYFUNCTION("""COMPUTED_VALUE"""),"Done")</f>
        <v>Done</v>
      </c>
      <c r="G24" s="183">
        <f>IFERROR(__xludf.DUMMYFUNCTION("""COMPUTED_VALUE"""),0.0)</f>
        <v>0</v>
      </c>
      <c r="H24" s="193" t="str">
        <f>IFERROR(__xludf.DUMMYFUNCTION("""COMPUTED_VALUE"""),"EMP0021 Tamanna Dewangan")</f>
        <v>EMP0021 Tamanna Dewangan</v>
      </c>
      <c r="I24" s="183"/>
    </row>
    <row r="25">
      <c r="A25" s="189" t="str">
        <f>IFERROR(__xludf.DUMMYFUNCTION("""COMPUTED_VALUE"""),"Discussion with Requester                                                                           ")</f>
        <v>Discussion with Requester                                                                           </v>
      </c>
      <c r="B25" s="190">
        <f>IFERROR(__xludf.DUMMYFUNCTION("""COMPUTED_VALUE"""),5304.0)</f>
        <v>5304</v>
      </c>
      <c r="C25" s="191" t="str">
        <f>IFERROR(__xludf.DUMMYFUNCTION("""COMPUTED_VALUE"""),"otal Student and all matrix count mismatch Eg:999 College")</f>
        <v>otal Student and all matrix count mismatch Eg:999 College</v>
      </c>
      <c r="D25" s="192">
        <f>IFERROR(__xludf.DUMMYFUNCTION("""COMPUTED_VALUE"""),46199.56180555555)</f>
        <v>46199.56181</v>
      </c>
      <c r="E25" s="192">
        <f>IFERROR(__xludf.DUMMYFUNCTION("""COMPUTED_VALUE"""),46199.38254572917)</f>
        <v>46199.38255</v>
      </c>
      <c r="F25" s="192" t="str">
        <f>IFERROR(__xludf.DUMMYFUNCTION("""COMPUTED_VALUE"""),"Done")</f>
        <v>Done</v>
      </c>
      <c r="G25" s="183">
        <f>IFERROR(__xludf.DUMMYFUNCTION("""COMPUTED_VALUE"""),0.0)</f>
        <v>0</v>
      </c>
      <c r="H25" s="193" t="str">
        <f>IFERROR(__xludf.DUMMYFUNCTION("""COMPUTED_VALUE"""),"EMP0021 Tamanna Dewangan")</f>
        <v>EMP0021 Tamanna Dewangan</v>
      </c>
      <c r="I25" s="183"/>
    </row>
    <row r="26">
      <c r="A26" s="189" t="str">
        <f>IFERROR(__xludf.DUMMYFUNCTION("""COMPUTED_VALUE"""),"Discussion with Requester                                                                           ")</f>
        <v>Discussion with Requester                                                                           </v>
      </c>
      <c r="B26" s="190">
        <f>IFERROR(__xludf.DUMMYFUNCTION("""COMPUTED_VALUE"""),5305.0)</f>
        <v>5305</v>
      </c>
      <c r="C26" s="191" t="str">
        <f>IFERROR(__xludf.DUMMYFUNCTION("""COMPUTED_VALUE"""),"fee details")</f>
        <v>fee details</v>
      </c>
      <c r="D26" s="192">
        <f>IFERROR(__xludf.DUMMYFUNCTION("""COMPUTED_VALUE"""),46199.56319444445)</f>
        <v>46199.56319</v>
      </c>
      <c r="E26" s="192">
        <f>IFERROR(__xludf.DUMMYFUNCTION("""COMPUTED_VALUE"""),46199.38258125001)</f>
        <v>46199.38258</v>
      </c>
      <c r="F26" s="192" t="str">
        <f>IFERROR(__xludf.DUMMYFUNCTION("""COMPUTED_VALUE"""),"Done")</f>
        <v>Done</v>
      </c>
      <c r="G26" s="183">
        <f>IFERROR(__xludf.DUMMYFUNCTION("""COMPUTED_VALUE"""),0.0)</f>
        <v>0</v>
      </c>
      <c r="H26" s="193" t="str">
        <f>IFERROR(__xludf.DUMMYFUNCTION("""COMPUTED_VALUE"""),"EMP0021 Tamanna Dewangan")</f>
        <v>EMP0021 Tamanna Dewangan</v>
      </c>
      <c r="I26" s="183"/>
    </row>
    <row r="27">
      <c r="A27" s="195" t="str">
        <f>IFERROR(__xludf.DUMMYFUNCTION("""COMPUTED_VALUE"""),"Discussion with Requester                                                                           ")</f>
        <v>Discussion with Requester                                                                           </v>
      </c>
      <c r="B27" s="196">
        <f>IFERROR(__xludf.DUMMYFUNCTION("""COMPUTED_VALUE"""),5306.0)</f>
        <v>5306</v>
      </c>
      <c r="C27" s="55" t="str">
        <f>IFERROR(__xludf.DUMMYFUNCTION("""COMPUTED_VALUE"""),"DIGI LOKER Data new")</f>
        <v>DIGI LOKER Data new</v>
      </c>
      <c r="D27" s="84">
        <f>IFERROR(__xludf.DUMMYFUNCTION("""COMPUTED_VALUE"""),46199.61425126157)</f>
        <v>46199.61425</v>
      </c>
      <c r="E27" s="84">
        <f>IFERROR(__xludf.DUMMYFUNCTION("""COMPUTED_VALUE"""),46199.46730736111)</f>
        <v>46199.46731</v>
      </c>
      <c r="F27" s="84" t="str">
        <f>IFERROR(__xludf.DUMMYFUNCTION("""COMPUTED_VALUE"""),"Done")</f>
        <v>Done</v>
      </c>
      <c r="G27" s="76">
        <f>IFERROR(__xludf.DUMMYFUNCTION("""COMPUTED_VALUE"""),0.0)</f>
        <v>0</v>
      </c>
      <c r="H27" s="197" t="str">
        <f>IFERROR(__xludf.DUMMYFUNCTION("""COMPUTED_VALUE"""),"EMP5009 Rup Kumar Mandal")</f>
        <v>EMP5009 Rup Kumar Mandal</v>
      </c>
      <c r="J27" s="173"/>
    </row>
    <row r="28">
      <c r="A28" s="189" t="str">
        <f>IFERROR(__xludf.DUMMYFUNCTION("""COMPUTED_VALUE"""),"Discussion with Requester                                                                           ")</f>
        <v>Discussion with Requester                                                                           </v>
      </c>
      <c r="B28" s="190">
        <f>IFERROR(__xludf.DUMMYFUNCTION("""COMPUTED_VALUE"""),5307.0)</f>
        <v>5307</v>
      </c>
      <c r="C28" s="191" t="str">
        <f>IFERROR(__xludf.DUMMYFUNCTION("""COMPUTED_VALUE"""),"TR BCA ")</f>
        <v>TR BCA </v>
      </c>
      <c r="D28" s="192">
        <f>IFERROR(__xludf.DUMMYFUNCTION("""COMPUTED_VALUE"""),46200.48611111111)</f>
        <v>46200.48611</v>
      </c>
      <c r="E28" s="192">
        <f>IFERROR(__xludf.DUMMYFUNCTION("""COMPUTED_VALUE"""),46199.76846528935)</f>
        <v>46199.76847</v>
      </c>
      <c r="F28" s="192" t="str">
        <f>IFERROR(__xludf.DUMMYFUNCTION("""COMPUTED_VALUE"""),"Done")</f>
        <v>Done</v>
      </c>
      <c r="G28" s="183">
        <f>IFERROR(__xludf.DUMMYFUNCTION("""COMPUTED_VALUE"""),0.0)</f>
        <v>0</v>
      </c>
      <c r="H28" s="193" t="str">
        <f>IFERROR(__xludf.DUMMYFUNCTION("""COMPUTED_VALUE"""),"EMP0237 Swarnendu Chakraborty")</f>
        <v>EMP0237 Swarnendu Chakraborty</v>
      </c>
      <c r="I28" s="183"/>
    </row>
    <row r="29">
      <c r="A29" s="195" t="str">
        <f>IFERROR(__xludf.DUMMYFUNCTION("""COMPUTED_VALUE"""),"Discussion with Requester                                                                           ")</f>
        <v>Discussion with Requester                                                                           </v>
      </c>
      <c r="B29" s="196">
        <f>IFERROR(__xludf.DUMMYFUNCTION("""COMPUTED_VALUE"""),5308.0)</f>
        <v>5308</v>
      </c>
      <c r="C29" s="55" t="str">
        <f>IFERROR(__xludf.DUMMYFUNCTION("""COMPUTED_VALUE"""),"MULTIPLE REPORT ")</f>
        <v>MULTIPLE REPORT </v>
      </c>
      <c r="D29" s="84">
        <f>IFERROR(__xludf.DUMMYFUNCTION("""COMPUTED_VALUE"""),46200.50486111111)</f>
        <v>46200.50486</v>
      </c>
      <c r="E29" s="84">
        <f>IFERROR(__xludf.DUMMYFUNCTION("""COMPUTED_VALUE"""),46199.76848170139)</f>
        <v>46199.76848</v>
      </c>
      <c r="F29" s="84" t="str">
        <f>IFERROR(__xludf.DUMMYFUNCTION("""COMPUTED_VALUE"""),"Done")</f>
        <v>Done</v>
      </c>
      <c r="G29" s="76">
        <f>IFERROR(__xludf.DUMMYFUNCTION("""COMPUTED_VALUE"""),0.0)</f>
        <v>0</v>
      </c>
      <c r="H29" s="197" t="str">
        <f>IFERROR(__xludf.DUMMYFUNCTION("""COMPUTED_VALUE"""),"EMP0042 HULESHWAR KUMAR SAHU")</f>
        <v>EMP0042 HULESHWAR KUMAR SAHU</v>
      </c>
    </row>
    <row r="30">
      <c r="A30" s="195" t="str">
        <f>IFERROR(__xludf.DUMMYFUNCTION("""COMPUTED_VALUE"""),"Discussion with Requester                                                                           ")</f>
        <v>Discussion with Requester                                                                           </v>
      </c>
      <c r="B30" s="196">
        <f>IFERROR(__xludf.DUMMYFUNCTION("""COMPUTED_VALUE"""),5309.0)</f>
        <v>5309</v>
      </c>
      <c r="C30" s="55" t="str">
        <f>IFERROR(__xludf.DUMMYFUNCTION("""COMPUTED_VALUE"""),"MULTIPLE REPORT")</f>
        <v>MULTIPLE REPORT</v>
      </c>
      <c r="D30" s="84">
        <f>IFERROR(__xludf.DUMMYFUNCTION("""COMPUTED_VALUE"""),46200.6314075926)</f>
        <v>46200.63141</v>
      </c>
      <c r="E30" s="84">
        <f>IFERROR(__xludf.DUMMYFUNCTION("""COMPUTED_VALUE"""),46200.49773836806)</f>
        <v>46200.49774</v>
      </c>
      <c r="F30" s="84" t="str">
        <f>IFERROR(__xludf.DUMMYFUNCTION("""COMPUTED_VALUE"""),"Done")</f>
        <v>Done</v>
      </c>
      <c r="G30" s="76">
        <f>IFERROR(__xludf.DUMMYFUNCTION("""COMPUTED_VALUE"""),0.0)</f>
        <v>0</v>
      </c>
      <c r="H30" s="197" t="str">
        <f>IFERROR(__xludf.DUMMYFUNCTION("""COMPUTED_VALUE"""),"EMP0042 HULESHWAR KUMAR SAHU")</f>
        <v>EMP0042 HULESHWAR KUMAR SAHU</v>
      </c>
    </row>
    <row r="31">
      <c r="A31" s="195" t="str">
        <f>IFERROR(__xludf.DUMMYFUNCTION("""COMPUTED_VALUE"""),"Discussion with Requester                                                                           ")</f>
        <v>Discussion with Requester                                                                           </v>
      </c>
      <c r="B31" s="196">
        <f>IFERROR(__xludf.DUMMYFUNCTION("""COMPUTED_VALUE"""),5310.0)</f>
        <v>5310</v>
      </c>
      <c r="C31" s="55" t="str">
        <f>IFERROR(__xludf.DUMMYFUNCTION("""COMPUTED_VALUE"""),"TR/Result hosting -new cbcs tr ")</f>
        <v>TR/Result hosting -new cbcs tr </v>
      </c>
      <c r="D31" s="84">
        <f>IFERROR(__xludf.DUMMYFUNCTION("""COMPUTED_VALUE"""),46200.647343495366)</f>
        <v>46200.64734</v>
      </c>
      <c r="E31" s="84">
        <f>IFERROR(__xludf.DUMMYFUNCTION("""COMPUTED_VALUE"""),46200.49784600694)</f>
        <v>46200.49785</v>
      </c>
      <c r="F31" s="84" t="str">
        <f>IFERROR(__xludf.DUMMYFUNCTION("""COMPUTED_VALUE"""),"Done")</f>
        <v>Done</v>
      </c>
      <c r="G31" s="76">
        <f>IFERROR(__xludf.DUMMYFUNCTION("""COMPUTED_VALUE"""),0.0)</f>
        <v>0</v>
      </c>
      <c r="H31" s="197" t="str">
        <f>IFERROR(__xludf.DUMMYFUNCTION("""COMPUTED_VALUE"""),"EMP0237 Swarnendu Chakraborty")</f>
        <v>EMP0237 Swarnendu Chakraborty</v>
      </c>
    </row>
    <row r="32">
      <c r="A32" s="195" t="str">
        <f>IFERROR(__xludf.DUMMYFUNCTION("""COMPUTED_VALUE"""),"Check api id from database and download jrmxl file                                    ")</f>
        <v>Check api id from database and download jrmxl file                                    </v>
      </c>
      <c r="B32" s="196">
        <f>IFERROR(__xludf.DUMMYFUNCTION("""COMPUTED_VALUE"""),5279.0)</f>
        <v>5279</v>
      </c>
      <c r="C32" s="55" t="str">
        <f>IFERROR(__xludf.DUMMYFUNCTION("""COMPUTED_VALUE"""),"SMKV")</f>
        <v>SMKV</v>
      </c>
      <c r="D32" s="84">
        <f>IFERROR(__xludf.DUMMYFUNCTION("""COMPUTED_VALUE"""),46195.45208333334)</f>
        <v>46195.45208</v>
      </c>
      <c r="E32" s="84">
        <f>IFERROR(__xludf.DUMMYFUNCTION("""COMPUTED_VALUE"""),46193.698395706015)</f>
        <v>46193.6984</v>
      </c>
      <c r="F32" s="84" t="str">
        <f>IFERROR(__xludf.DUMMYFUNCTION("""COMPUTED_VALUE"""),"Done")</f>
        <v>Done</v>
      </c>
      <c r="G32" s="76">
        <f>IFERROR(__xludf.DUMMYFUNCTION("""COMPUTED_VALUE"""),0.0)</f>
        <v>0</v>
      </c>
      <c r="H32" s="197" t="str">
        <f>IFERROR(__xludf.DUMMYFUNCTION("""COMPUTED_VALUE"""),"EMP0042 HULESHWAR KUMAR SAHU")</f>
        <v>EMP0042 HULESHWAR KUMAR SAHU</v>
      </c>
    </row>
    <row r="33">
      <c r="A33" s="195" t="str">
        <f>IFERROR(__xludf.DUMMYFUNCTION("""COMPUTED_VALUE"""),"Check api id from database and download jrmxl file                                    ")</f>
        <v>Check api id from database and download jrmxl file                                    </v>
      </c>
      <c r="B33" s="196">
        <f>IFERROR(__xludf.DUMMYFUNCTION("""COMPUTED_VALUE"""),5280.0)</f>
        <v>5280</v>
      </c>
      <c r="C33" s="55" t="str">
        <f>IFERROR(__xludf.DUMMYFUNCTION("""COMPUTED_VALUE"""),"SMKV ")</f>
        <v>SMKV </v>
      </c>
      <c r="D33" s="84">
        <f>IFERROR(__xludf.DUMMYFUNCTION("""COMPUTED_VALUE"""),46195.45277777778)</f>
        <v>46195.45278</v>
      </c>
      <c r="E33" s="84">
        <f>IFERROR(__xludf.DUMMYFUNCTION("""COMPUTED_VALUE"""),46193.69845668981)</f>
        <v>46193.69846</v>
      </c>
      <c r="F33" s="84" t="str">
        <f>IFERROR(__xludf.DUMMYFUNCTION("""COMPUTED_VALUE"""),"Done")</f>
        <v>Done</v>
      </c>
      <c r="G33" s="76">
        <f>IFERROR(__xludf.DUMMYFUNCTION("""COMPUTED_VALUE"""),0.0)</f>
        <v>0</v>
      </c>
      <c r="H33" s="197" t="str">
        <f>IFERROR(__xludf.DUMMYFUNCTION("""COMPUTED_VALUE"""),"EMP0042 HULESHWAR KUMAR SAHU")</f>
        <v>EMP0042 HULESHWAR KUMAR SAHU</v>
      </c>
    </row>
    <row r="34">
      <c r="A34" s="189" t="str">
        <f>IFERROR(__xludf.DUMMYFUNCTION("""COMPUTED_VALUE"""),"Check api id from database and download jrmxl file                                    ")</f>
        <v>Check api id from database and download jrmxl file                                    </v>
      </c>
      <c r="B34" s="190">
        <f>IFERROR(__xludf.DUMMYFUNCTION("""COMPUTED_VALUE"""),5281.0)</f>
        <v>5281</v>
      </c>
      <c r="C34" s="191" t="str">
        <f>IFERROR(__xludf.DUMMYFUNCTION("""COMPUTED_VALUE"""),"SMKV")</f>
        <v>SMKV</v>
      </c>
      <c r="D34" s="192">
        <f>IFERROR(__xludf.DUMMYFUNCTION("""COMPUTED_VALUE"""),46195.45347222222)</f>
        <v>46195.45347</v>
      </c>
      <c r="E34" s="192">
        <f>IFERROR(__xludf.DUMMYFUNCTION("""COMPUTED_VALUE"""),46193.698506898145)</f>
        <v>46193.69851</v>
      </c>
      <c r="F34" s="192" t="str">
        <f>IFERROR(__xludf.DUMMYFUNCTION("""COMPUTED_VALUE"""),"Done")</f>
        <v>Done</v>
      </c>
      <c r="G34" s="183">
        <f>IFERROR(__xludf.DUMMYFUNCTION("""COMPUTED_VALUE"""),0.0)</f>
        <v>0</v>
      </c>
      <c r="H34" s="193" t="str">
        <f>IFERROR(__xludf.DUMMYFUNCTION("""COMPUTED_VALUE"""),"EMP0042 HULESHWAR KUMAR SAHU")</f>
        <v>EMP0042 HULESHWAR KUMAR SAHU</v>
      </c>
      <c r="I34" s="183"/>
    </row>
    <row r="35">
      <c r="A35" s="189" t="str">
        <f>IFERROR(__xludf.DUMMYFUNCTION("""COMPUTED_VALUE"""),"Check api id from database and download jrmxl file                                    ")</f>
        <v>Check api id from database and download jrmxl file                                    </v>
      </c>
      <c r="B35" s="190">
        <f>IFERROR(__xludf.DUMMYFUNCTION("""COMPUTED_VALUE"""),5282.0)</f>
        <v>5282</v>
      </c>
      <c r="C35" s="191" t="str">
        <f>IFERROR(__xludf.DUMMYFUNCTION("""COMPUTED_VALUE"""),"Manual_Cash_Counter")</f>
        <v>Manual_Cash_Counter</v>
      </c>
      <c r="D35" s="192">
        <f>IFERROR(__xludf.DUMMYFUNCTION("""COMPUTED_VALUE"""),46195.69802819444)</f>
        <v>46195.69803</v>
      </c>
      <c r="E35" s="192">
        <f>IFERROR(__xludf.DUMMYFUNCTION("""COMPUTED_VALUE"""),46195.61805766204)</f>
        <v>46195.61806</v>
      </c>
      <c r="F35" s="192" t="str">
        <f>IFERROR(__xludf.DUMMYFUNCTION("""COMPUTED_VALUE"""),"Done")</f>
        <v>Done</v>
      </c>
      <c r="G35" s="183">
        <f>IFERROR(__xludf.DUMMYFUNCTION("""COMPUTED_VALUE"""),0.0)</f>
        <v>0</v>
      </c>
      <c r="H35" s="193" t="str">
        <f>IFERROR(__xludf.DUMMYFUNCTION("""COMPUTED_VALUE"""),"EMP5009 Rup Kumar Mandal")</f>
        <v>EMP5009 Rup Kumar Mandal</v>
      </c>
      <c r="I35" s="183"/>
    </row>
    <row r="36">
      <c r="A36" s="189" t="str">
        <f>IFERROR(__xludf.DUMMYFUNCTION("""COMPUTED_VALUE"""),"Check api id from database and download jrmxl file                                    ")</f>
        <v>Check api id from database and download jrmxl file                                    </v>
      </c>
      <c r="B36" s="190">
        <f>IFERROR(__xludf.DUMMYFUNCTION("""COMPUTED_VALUE"""),5283.0)</f>
        <v>5283</v>
      </c>
      <c r="C36" s="191" t="str">
        <f>IFERROR(__xludf.DUMMYFUNCTION("""COMPUTED_VALUE"""),"Studentwise Cash Counter")</f>
        <v>Studentwise Cash Counter</v>
      </c>
      <c r="D36" s="192">
        <f>IFERROR(__xludf.DUMMYFUNCTION("""COMPUTED_VALUE"""),46195.69896149306)</f>
        <v>46195.69896</v>
      </c>
      <c r="E36" s="192">
        <f>IFERROR(__xludf.DUMMYFUNCTION("""COMPUTED_VALUE"""),46195.61807201389)</f>
        <v>46195.61807</v>
      </c>
      <c r="F36" s="192" t="str">
        <f>IFERROR(__xludf.DUMMYFUNCTION("""COMPUTED_VALUE"""),"Done")</f>
        <v>Done</v>
      </c>
      <c r="G36" s="183">
        <f>IFERROR(__xludf.DUMMYFUNCTION("""COMPUTED_VALUE"""),0.0)</f>
        <v>0</v>
      </c>
      <c r="H36" s="193" t="str">
        <f>IFERROR(__xludf.DUMMYFUNCTION("""COMPUTED_VALUE"""),"EMP5009 Rup Kumar Mandal")</f>
        <v>EMP5009 Rup Kumar Mandal</v>
      </c>
      <c r="I36" s="183"/>
    </row>
    <row r="37">
      <c r="A37" s="189" t="str">
        <f>IFERROR(__xludf.DUMMYFUNCTION("""COMPUTED_VALUE"""),"Check api id from database and download jrmxl file                                    ")</f>
        <v>Check api id from database and download jrmxl file                                    </v>
      </c>
      <c r="B37" s="190">
        <f>IFERROR(__xludf.DUMMYFUNCTION("""COMPUTED_VALUE"""),5284.0)</f>
        <v>5284</v>
      </c>
      <c r="C37" s="191" t="str">
        <f>IFERROR(__xludf.DUMMYFUNCTION("""COMPUTED_VALUE"""),"evaluation report anna.")</f>
        <v>evaluation report anna.</v>
      </c>
      <c r="D37" s="192">
        <f>IFERROR(__xludf.DUMMYFUNCTION("""COMPUTED_VALUE"""),46195.824773900466)</f>
        <v>46195.82477</v>
      </c>
      <c r="E37" s="192">
        <f>IFERROR(__xludf.DUMMYFUNCTION("""COMPUTED_VALUE"""),46195.718442337966)</f>
        <v>46195.71844</v>
      </c>
      <c r="F37" s="192" t="str">
        <f>IFERROR(__xludf.DUMMYFUNCTION("""COMPUTED_VALUE"""),"Done")</f>
        <v>Done</v>
      </c>
      <c r="G37" s="183">
        <f>IFERROR(__xludf.DUMMYFUNCTION("""COMPUTED_VALUE"""),0.0)</f>
        <v>0</v>
      </c>
      <c r="H37" s="193" t="str">
        <f>IFERROR(__xludf.DUMMYFUNCTION("""COMPUTED_VALUE"""),"EMP5009 Rup Kumar Mandal")</f>
        <v>EMP5009 Rup Kumar Mandal</v>
      </c>
      <c r="I37" s="183"/>
      <c r="J37" s="173"/>
    </row>
    <row r="38">
      <c r="A38" s="189" t="str">
        <f>IFERROR(__xludf.DUMMYFUNCTION("""COMPUTED_VALUE"""),"Check api id from database and download jrmxl file                                    ")</f>
        <v>Check api id from database and download jrmxl file                                    </v>
      </c>
      <c r="B38" s="190">
        <f>IFERROR(__xludf.DUMMYFUNCTION("""COMPUTED_VALUE"""),5285.0)</f>
        <v>5285</v>
      </c>
      <c r="C38" s="191" t="str">
        <f>IFERROR(__xludf.DUMMYFUNCTION("""COMPUTED_VALUE"""),"MULTIPLE REPORT")</f>
        <v>MULTIPLE REPORT</v>
      </c>
      <c r="D38" s="192">
        <f>IFERROR(__xludf.DUMMYFUNCTION("""COMPUTED_VALUE"""),46196.429861111115)</f>
        <v>46196.42986</v>
      </c>
      <c r="E38" s="192">
        <f>IFERROR(__xludf.DUMMYFUNCTION("""COMPUTED_VALUE"""),46195.71849506945)</f>
        <v>46195.7185</v>
      </c>
      <c r="F38" s="192" t="str">
        <f>IFERROR(__xludf.DUMMYFUNCTION("""COMPUTED_VALUE"""),"Done")</f>
        <v>Done</v>
      </c>
      <c r="G38" s="183">
        <f>IFERROR(__xludf.DUMMYFUNCTION("""COMPUTED_VALUE"""),0.0)</f>
        <v>0</v>
      </c>
      <c r="H38" s="193" t="str">
        <f>IFERROR(__xludf.DUMMYFUNCTION("""COMPUTED_VALUE"""),"EMP0042 HULESHWAR KUMAR SAHU")</f>
        <v>EMP0042 HULESHWAR KUMAR SAHU</v>
      </c>
      <c r="I38" s="183"/>
      <c r="J38" s="173"/>
    </row>
    <row r="39">
      <c r="A39" s="189" t="str">
        <f>IFERROR(__xludf.DUMMYFUNCTION("""COMPUTED_VALUE"""),"Check api id from database and download jrmxl file                                    ")</f>
        <v>Check api id from database and download jrmxl file                                    </v>
      </c>
      <c r="B39" s="190">
        <f>IFERROR(__xludf.DUMMYFUNCTION("""COMPUTED_VALUE"""),5286.0)</f>
        <v>5286</v>
      </c>
      <c r="C39" s="191" t="str">
        <f>IFERROR(__xludf.DUMMYFUNCTION("""COMPUTED_VALUE"""),"2781")</f>
        <v>2781</v>
      </c>
      <c r="D39" s="192">
        <f>IFERROR(__xludf.DUMMYFUNCTION("""COMPUTED_VALUE"""),46196.76284717592)</f>
        <v>46196.76285</v>
      </c>
      <c r="E39" s="192">
        <f>IFERROR(__xludf.DUMMYFUNCTION("""COMPUTED_VALUE"""),46196.77801375)</f>
        <v>46196.77801</v>
      </c>
      <c r="F39" s="192" t="str">
        <f>IFERROR(__xludf.DUMMYFUNCTION("""COMPUTED_VALUE"""),"Done")</f>
        <v>Done</v>
      </c>
      <c r="G39" s="183">
        <f>IFERROR(__xludf.DUMMYFUNCTION("""COMPUTED_VALUE"""),0.015166574074990306)</f>
        <v>0.01516657407</v>
      </c>
      <c r="H39" s="193" t="str">
        <f>IFERROR(__xludf.DUMMYFUNCTION("""COMPUTED_VALUE"""),"EMP5009 Rup Kumar Mandal")</f>
        <v>EMP5009 Rup Kumar Mandal</v>
      </c>
      <c r="I39" s="183"/>
      <c r="J39" s="173"/>
    </row>
    <row r="40">
      <c r="A40" s="189" t="str">
        <f>IFERROR(__xludf.DUMMYFUNCTION("""COMPUTED_VALUE"""),"Check api id from database and download jrmxl file                                    ")</f>
        <v>Check api id from database and download jrmxl file                                    </v>
      </c>
      <c r="B40" s="190">
        <f>IFERROR(__xludf.DUMMYFUNCTION("""COMPUTED_VALUE"""),5287.0)</f>
        <v>5287</v>
      </c>
      <c r="C40" s="191" t="str">
        <f>IFERROR(__xludf.DUMMYFUNCTION("""COMPUTED_VALUE"""),"TR REPORT")</f>
        <v>TR REPORT</v>
      </c>
      <c r="D40" s="192">
        <f>IFERROR(__xludf.DUMMYFUNCTION("""COMPUTED_VALUE"""),46197.660406400464)</f>
        <v>46197.66041</v>
      </c>
      <c r="E40" s="192">
        <f>IFERROR(__xludf.DUMMYFUNCTION("""COMPUTED_VALUE"""),46197.490248194445)</f>
        <v>46197.49025</v>
      </c>
      <c r="F40" s="192" t="str">
        <f>IFERROR(__xludf.DUMMYFUNCTION("""COMPUTED_VALUE"""),"Done")</f>
        <v>Done</v>
      </c>
      <c r="G40" s="183">
        <f>IFERROR(__xludf.DUMMYFUNCTION("""COMPUTED_VALUE"""),0.0)</f>
        <v>0</v>
      </c>
      <c r="H40" s="193" t="str">
        <f>IFERROR(__xludf.DUMMYFUNCTION("""COMPUTED_VALUE"""),"EMP0237 Swarnendu Chakraborty")</f>
        <v>EMP0237 Swarnendu Chakraborty</v>
      </c>
      <c r="I40" s="183"/>
      <c r="J40" s="173"/>
    </row>
    <row r="41">
      <c r="A41" s="195" t="str">
        <f>IFERROR(__xludf.DUMMYFUNCTION("""COMPUTED_VALUE"""),"Check api id from database and download jrmxl file                                    ")</f>
        <v>Check api id from database and download jrmxl file                                    </v>
      </c>
      <c r="B41" s="196">
        <f>IFERROR(__xludf.DUMMYFUNCTION("""COMPUTED_VALUE"""),5288.0)</f>
        <v>5288</v>
      </c>
      <c r="C41" s="55" t="str">
        <f>IFERROR(__xludf.DUMMYFUNCTION("""COMPUTED_VALUE"""),"5coltrsem6sem_elective_back_")</f>
        <v>5coltrsem6sem_elective_back_</v>
      </c>
      <c r="D41" s="84">
        <f>IFERROR(__xludf.DUMMYFUNCTION("""COMPUTED_VALUE"""),46197.69028393519)</f>
        <v>46197.69028</v>
      </c>
      <c r="E41" s="84">
        <f>IFERROR(__xludf.DUMMYFUNCTION("""COMPUTED_VALUE"""),46197.51805219908)</f>
        <v>46197.51805</v>
      </c>
      <c r="F41" s="84" t="str">
        <f>IFERROR(__xludf.DUMMYFUNCTION("""COMPUTED_VALUE"""),"Done")</f>
        <v>Done</v>
      </c>
      <c r="G41" s="76">
        <f>IFERROR(__xludf.DUMMYFUNCTION("""COMPUTED_VALUE"""),0.0)</f>
        <v>0</v>
      </c>
      <c r="H41" s="197" t="str">
        <f>IFERROR(__xludf.DUMMYFUNCTION("""COMPUTED_VALUE"""),"EMP0042 HULESHWAR KUMAR SAHU")</f>
        <v>EMP0042 HULESHWAR KUMAR SAHU</v>
      </c>
    </row>
    <row r="42">
      <c r="A42" s="189" t="str">
        <f>IFERROR(__xludf.DUMMYFUNCTION("""COMPUTED_VALUE"""),"Check api id from database and download jrmxl file                                    ")</f>
        <v>Check api id from database and download jrmxl file                                    </v>
      </c>
      <c r="B42" s="190">
        <f>IFERROR(__xludf.DUMMYFUNCTION("""COMPUTED_VALUE"""),5289.0)</f>
        <v>5289</v>
      </c>
      <c r="C42" s="191" t="str">
        <f>IFERROR(__xludf.DUMMYFUNCTION("""COMPUTED_VALUE"""),"Marksheet (D.PHARMA)")</f>
        <v>Marksheet (D.PHARMA)</v>
      </c>
      <c r="D42" s="192">
        <f>IFERROR(__xludf.DUMMYFUNCTION("""COMPUTED_VALUE"""),46197.6992841088)</f>
        <v>46197.69928</v>
      </c>
      <c r="E42" s="192">
        <f>IFERROR(__xludf.DUMMYFUNCTION("""COMPUTED_VALUE"""),46197.5457237963)</f>
        <v>46197.54572</v>
      </c>
      <c r="F42" s="192" t="str">
        <f>IFERROR(__xludf.DUMMYFUNCTION("""COMPUTED_VALUE"""),"Done")</f>
        <v>Done</v>
      </c>
      <c r="G42" s="183">
        <f>IFERROR(__xludf.DUMMYFUNCTION("""COMPUTED_VALUE"""),0.0)</f>
        <v>0</v>
      </c>
      <c r="H42" s="193" t="str">
        <f>IFERROR(__xludf.DUMMYFUNCTION("""COMPUTED_VALUE"""),"EMP0042 HULESHWAR KUMAR SAHU")</f>
        <v>EMP0042 HULESHWAR KUMAR SAHU</v>
      </c>
      <c r="I42" s="183"/>
      <c r="J42" s="173"/>
    </row>
    <row r="43">
      <c r="A43" s="195" t="str">
        <f>IFERROR(__xludf.DUMMYFUNCTION("""COMPUTED_VALUE"""),"Check api id from database and download jrmxl file                                    ")</f>
        <v>Check api id from database and download jrmxl file                                    </v>
      </c>
      <c r="B43" s="196">
        <f>IFERROR(__xludf.DUMMYFUNCTION("""COMPUTED_VALUE"""),5290.0)</f>
        <v>5290</v>
      </c>
      <c r="C43" s="55" t="str">
        <f>IFERROR(__xludf.DUMMYFUNCTION("""COMPUTED_VALUE"""),"gradaecard4-btech")</f>
        <v>gradaecard4-btech</v>
      </c>
      <c r="D43" s="84">
        <f>IFERROR(__xludf.DUMMYFUNCTION("""COMPUTED_VALUE"""),46197.71355526621)</f>
        <v>46197.71356</v>
      </c>
      <c r="E43" s="84">
        <f>IFERROR(__xludf.DUMMYFUNCTION("""COMPUTED_VALUE"""),46197.54574475694)</f>
        <v>46197.54574</v>
      </c>
      <c r="F43" s="84" t="str">
        <f>IFERROR(__xludf.DUMMYFUNCTION("""COMPUTED_VALUE"""),"Done")</f>
        <v>Done</v>
      </c>
      <c r="G43" s="76">
        <f>IFERROR(__xludf.DUMMYFUNCTION("""COMPUTED_VALUE"""),0.0)</f>
        <v>0</v>
      </c>
      <c r="H43" s="197" t="str">
        <f>IFERROR(__xludf.DUMMYFUNCTION("""COMPUTED_VALUE"""),"EMP0042 HULESHWAR KUMAR SAHU")</f>
        <v>EMP0042 HULESHWAR KUMAR SAHU</v>
      </c>
    </row>
    <row r="44">
      <c r="A44" s="195" t="str">
        <f>IFERROR(__xludf.DUMMYFUNCTION("""COMPUTED_VALUE"""),"Check api id from database and download jrmxl file                                    ")</f>
        <v>Check api id from database and download jrmxl file                                    </v>
      </c>
      <c r="B44" s="196">
        <f>IFERROR(__xludf.DUMMYFUNCTION("""COMPUTED_VALUE"""),5291.0)</f>
        <v>5291</v>
      </c>
      <c r="C44" s="55" t="str">
        <f>IFERROR(__xludf.DUMMYFUNCTION("""COMPUTED_VALUE"""),"Student wise form report")</f>
        <v>Student wise form report</v>
      </c>
      <c r="D44" s="84">
        <f>IFERROR(__xludf.DUMMYFUNCTION("""COMPUTED_VALUE"""),46197.72565472222)</f>
        <v>46197.72565</v>
      </c>
      <c r="E44" s="84">
        <f>IFERROR(__xludf.DUMMYFUNCTION("""COMPUTED_VALUE"""),46197.561482638885)</f>
        <v>46197.56148</v>
      </c>
      <c r="F44" s="84" t="str">
        <f>IFERROR(__xludf.DUMMYFUNCTION("""COMPUTED_VALUE"""),"Done")</f>
        <v>Done</v>
      </c>
      <c r="G44" s="76">
        <f>IFERROR(__xludf.DUMMYFUNCTION("""COMPUTED_VALUE"""),0.0)</f>
        <v>0</v>
      </c>
      <c r="H44" s="197" t="str">
        <f>IFERROR(__xludf.DUMMYFUNCTION("""COMPUTED_VALUE"""),"EMP0237 Swarnendu Chakraborty")</f>
        <v>EMP0237 Swarnendu Chakraborty</v>
      </c>
      <c r="J44" s="173"/>
    </row>
    <row r="45">
      <c r="A45" s="195" t="str">
        <f>IFERROR(__xludf.DUMMYFUNCTION("""COMPUTED_VALUE"""),"Check api id from database and download jrmxl file                                    ")</f>
        <v>Check api id from database and download jrmxl file                                    </v>
      </c>
      <c r="B45" s="196">
        <f>IFERROR(__xludf.DUMMYFUNCTION("""COMPUTED_VALUE"""),5292.0)</f>
        <v>5292</v>
      </c>
      <c r="C45" s="55" t="str">
        <f>IFERROR(__xludf.DUMMYFUNCTION("""COMPUTED_VALUE"""),"SESSION WISE RESULT SUMMARY ")</f>
        <v>SESSION WISE RESULT SUMMARY </v>
      </c>
      <c r="D45" s="84">
        <f>IFERROR(__xludf.DUMMYFUNCTION("""COMPUTED_VALUE"""),46197.73302586805)</f>
        <v>46197.73303</v>
      </c>
      <c r="E45" s="84">
        <f>IFERROR(__xludf.DUMMYFUNCTION("""COMPUTED_VALUE"""),46197.56149847223)</f>
        <v>46197.5615</v>
      </c>
      <c r="F45" s="84" t="str">
        <f>IFERROR(__xludf.DUMMYFUNCTION("""COMPUTED_VALUE"""),"Done")</f>
        <v>Done</v>
      </c>
      <c r="G45" s="76">
        <f>IFERROR(__xludf.DUMMYFUNCTION("""COMPUTED_VALUE"""),0.0)</f>
        <v>0</v>
      </c>
      <c r="H45" s="197" t="str">
        <f>IFERROR(__xludf.DUMMYFUNCTION("""COMPUTED_VALUE"""),"EMP0237 Swarnendu Chakraborty")</f>
        <v>EMP0237 Swarnendu Chakraborty</v>
      </c>
      <c r="J45" s="173"/>
    </row>
    <row r="46">
      <c r="A46" s="189" t="str">
        <f>IFERROR(__xludf.DUMMYFUNCTION("""COMPUTED_VALUE"""),"Check api id from database and download jrmxl file                                    ")</f>
        <v>Check api id from database and download jrmxl file                                    </v>
      </c>
      <c r="B46" s="190">
        <f>IFERROR(__xludf.DUMMYFUNCTION("""COMPUTED_VALUE"""),5293.0)</f>
        <v>5293</v>
      </c>
      <c r="C46" s="191" t="str">
        <f>IFERROR(__xludf.DUMMYFUNCTION("""COMPUTED_VALUE"""),"Analytics Deshbord report")</f>
        <v>Analytics Deshbord report</v>
      </c>
      <c r="D46" s="192">
        <f>IFERROR(__xludf.DUMMYFUNCTION("""COMPUTED_VALUE"""),46198.45138888889)</f>
        <v>46198.45139</v>
      </c>
      <c r="E46" s="192">
        <f>IFERROR(__xludf.DUMMYFUNCTION("""COMPUTED_VALUE"""),46197.803510972226)</f>
        <v>46197.80351</v>
      </c>
      <c r="F46" s="192" t="str">
        <f>IFERROR(__xludf.DUMMYFUNCTION("""COMPUTED_VALUE"""),"Done")</f>
        <v>Done</v>
      </c>
      <c r="G46" s="183">
        <f>IFERROR(__xludf.DUMMYFUNCTION("""COMPUTED_VALUE"""),0.0)</f>
        <v>0</v>
      </c>
      <c r="H46" s="193" t="str">
        <f>IFERROR(__xludf.DUMMYFUNCTION("""COMPUTED_VALUE"""),"EMP0237 Swarnendu Chakraborty")</f>
        <v>EMP0237 Swarnendu Chakraborty</v>
      </c>
      <c r="I46" s="183"/>
      <c r="J46" s="173"/>
    </row>
    <row r="47">
      <c r="A47" s="195" t="str">
        <f>IFERROR(__xludf.DUMMYFUNCTION("""COMPUTED_VALUE"""),"Check api id from database and download jrmxl file                                    ")</f>
        <v>Check api id from database and download jrmxl file                                    </v>
      </c>
      <c r="B47" s="196">
        <f>IFERROR(__xludf.DUMMYFUNCTION("""COMPUTED_VALUE"""),5294.0)</f>
        <v>5294</v>
      </c>
      <c r="C47" s="55" t="str">
        <f>IFERROR(__xludf.DUMMYFUNCTION("""COMPUTED_VALUE"""),"TR MBA 4th sem( With division )")</f>
        <v>TR MBA 4th sem( With division )</v>
      </c>
      <c r="D47" s="84">
        <f>IFERROR(__xludf.DUMMYFUNCTION("""COMPUTED_VALUE"""),46198.64947390046)</f>
        <v>46198.64947</v>
      </c>
      <c r="E47" s="84">
        <f>IFERROR(__xludf.DUMMYFUNCTION("""COMPUTED_VALUE"""),46198.47630465278)</f>
        <v>46198.4763</v>
      </c>
      <c r="F47" s="84" t="str">
        <f>IFERROR(__xludf.DUMMYFUNCTION("""COMPUTED_VALUE"""),"Done")</f>
        <v>Done</v>
      </c>
      <c r="G47" s="76">
        <f>IFERROR(__xludf.DUMMYFUNCTION("""COMPUTED_VALUE"""),0.0)</f>
        <v>0</v>
      </c>
      <c r="H47" s="197" t="str">
        <f>IFERROR(__xludf.DUMMYFUNCTION("""COMPUTED_VALUE"""),"EMP0042 HULESHWAR KUMAR SAHU")</f>
        <v>EMP0042 HULESHWAR KUMAR SAHU</v>
      </c>
      <c r="J47" s="173"/>
    </row>
    <row r="48">
      <c r="A48" s="195" t="str">
        <f>IFERROR(__xludf.DUMMYFUNCTION("""COMPUTED_VALUE"""),"Check api id from database and download jrmxl file                                    ")</f>
        <v>Check api id from database and download jrmxl file                                    </v>
      </c>
      <c r="B48" s="196">
        <f>IFERROR(__xludf.DUMMYFUNCTION("""COMPUTED_VALUE"""),5295.0)</f>
        <v>5295</v>
      </c>
      <c r="C48" s="55" t="str">
        <f>IFERROR(__xludf.DUMMYFUNCTION("""COMPUTED_VALUE"""),"NAD DATA")</f>
        <v>NAD DATA</v>
      </c>
      <c r="D48" s="84">
        <f>IFERROR(__xludf.DUMMYFUNCTION("""COMPUTED_VALUE"""),46198.67629008102)</f>
        <v>46198.67629</v>
      </c>
      <c r="E48" s="84">
        <f>IFERROR(__xludf.DUMMYFUNCTION("""COMPUTED_VALUE"""),46198.60607032407)</f>
        <v>46198.60607</v>
      </c>
      <c r="F48" s="84" t="str">
        <f>IFERROR(__xludf.DUMMYFUNCTION("""COMPUTED_VALUE"""),"Done")</f>
        <v>Done</v>
      </c>
      <c r="G48" s="76">
        <f>IFERROR(__xludf.DUMMYFUNCTION("""COMPUTED_VALUE"""),0.0)</f>
        <v>0</v>
      </c>
      <c r="H48" s="197" t="str">
        <f>IFERROR(__xludf.DUMMYFUNCTION("""COMPUTED_VALUE"""),"EMP0237 Swarnendu Chakraborty")</f>
        <v>EMP0237 Swarnendu Chakraborty</v>
      </c>
      <c r="J48" s="173"/>
    </row>
    <row r="49">
      <c r="A49" s="195" t="str">
        <f>IFERROR(__xludf.DUMMYFUNCTION("""COMPUTED_VALUE"""),"Check api id from database and download jrmxl file                                    ")</f>
        <v>Check api id from database and download jrmxl file                                    </v>
      </c>
      <c r="B49" s="196">
        <f>IFERROR(__xludf.DUMMYFUNCTION("""COMPUTED_VALUE"""),5296.0)</f>
        <v>5296</v>
      </c>
      <c r="C49" s="55" t="str">
        <f>IFERROR(__xludf.DUMMYFUNCTION("""COMPUTED_VALUE"""),"ATTESTATION SHEET ")</f>
        <v>ATTESTATION SHEET </v>
      </c>
      <c r="D49" s="84">
        <f>IFERROR(__xludf.DUMMYFUNCTION("""COMPUTED_VALUE"""),46198.68918386574)</f>
        <v>46198.68918</v>
      </c>
      <c r="E49" s="84">
        <f>IFERROR(__xludf.DUMMYFUNCTION("""COMPUTED_VALUE"""),46198.60607032407)</f>
        <v>46198.60607</v>
      </c>
      <c r="F49" s="84" t="str">
        <f>IFERROR(__xludf.DUMMYFUNCTION("""COMPUTED_VALUE"""),"Done")</f>
        <v>Done</v>
      </c>
      <c r="G49" s="76">
        <f>IFERROR(__xludf.DUMMYFUNCTION("""COMPUTED_VALUE"""),0.0)</f>
        <v>0</v>
      </c>
      <c r="H49" s="197" t="str">
        <f>IFERROR(__xludf.DUMMYFUNCTION("""COMPUTED_VALUE"""),"EMP5009 Rup Kumar Mandal")</f>
        <v>EMP5009 Rup Kumar Mandal</v>
      </c>
      <c r="J49" s="173"/>
    </row>
    <row r="50">
      <c r="A50" s="195" t="str">
        <f>IFERROR(__xludf.DUMMYFUNCTION("""COMPUTED_VALUE"""),"Check api id from database and download jrmxl file                                    ")</f>
        <v>Check api id from database and download jrmxl file                                    </v>
      </c>
      <c r="B50" s="196">
        <f>IFERROR(__xludf.DUMMYFUNCTION("""COMPUTED_VALUE"""),5297.0)</f>
        <v>5297</v>
      </c>
      <c r="C50" s="55" t="str">
        <f>IFERROR(__xludf.DUMMYFUNCTION("""COMPUTED_VALUE"""),"NAD data ")</f>
        <v>NAD data </v>
      </c>
      <c r="D50" s="84">
        <f>IFERROR(__xludf.DUMMYFUNCTION("""COMPUTED_VALUE"""),46199.51527777778)</f>
        <v>46199.51528</v>
      </c>
      <c r="E50" s="84">
        <f>IFERROR(__xludf.DUMMYFUNCTION("""COMPUTED_VALUE"""),46198.76231475695)</f>
        <v>46198.76231</v>
      </c>
      <c r="F50" s="84" t="str">
        <f>IFERROR(__xludf.DUMMYFUNCTION("""COMPUTED_VALUE"""),"Done")</f>
        <v>Done</v>
      </c>
      <c r="G50" s="76">
        <f>IFERROR(__xludf.DUMMYFUNCTION("""COMPUTED_VALUE"""),0.0)</f>
        <v>0</v>
      </c>
      <c r="H50" s="197" t="str">
        <f>IFERROR(__xludf.DUMMYFUNCTION("""COMPUTED_VALUE"""),"EMP5009 Rup Kumar Mandal")</f>
        <v>EMP5009 Rup Kumar Mandal</v>
      </c>
    </row>
    <row r="51">
      <c r="A51" s="195" t="str">
        <f>IFERROR(__xludf.DUMMYFUNCTION("""COMPUTED_VALUE"""),"Check api id from database and download jrmxl file                                    ")</f>
        <v>Check api id from database and download jrmxl file                                    </v>
      </c>
      <c r="B51" s="196">
        <f>IFERROR(__xludf.DUMMYFUNCTION("""COMPUTED_VALUE"""),5298.0)</f>
        <v>5298</v>
      </c>
      <c r="C51" s="55" t="str">
        <f>IFERROR(__xludf.DUMMYFUNCTION("""COMPUTED_VALUE"""),"Attendance Sheet PG &amp; PHD")</f>
        <v>Attendance Sheet PG &amp; PHD</v>
      </c>
      <c r="D51" s="84">
        <f>IFERROR(__xludf.DUMMYFUNCTION("""COMPUTED_VALUE"""),46199.55694444444)</f>
        <v>46199.55694</v>
      </c>
      <c r="E51" s="84">
        <f>IFERROR(__xludf.DUMMYFUNCTION("""COMPUTED_VALUE"""),46198.802426435184)</f>
        <v>46198.80243</v>
      </c>
      <c r="F51" s="84" t="str">
        <f>IFERROR(__xludf.DUMMYFUNCTION("""COMPUTED_VALUE"""),"Done")</f>
        <v>Done</v>
      </c>
      <c r="G51" s="76">
        <f>IFERROR(__xludf.DUMMYFUNCTION("""COMPUTED_VALUE"""),0.0)</f>
        <v>0</v>
      </c>
      <c r="H51" s="197" t="str">
        <f>IFERROR(__xludf.DUMMYFUNCTION("""COMPUTED_VALUE"""),"EMP0021 Tamanna Dewangan")</f>
        <v>EMP0021 Tamanna Dewangan</v>
      </c>
      <c r="J51" s="173"/>
    </row>
    <row r="52">
      <c r="A52" s="195" t="str">
        <f>IFERROR(__xludf.DUMMYFUNCTION("""COMPUTED_VALUE"""),"Check api id from database and download jrmxl file                                    ")</f>
        <v>Check api id from database and download jrmxl file                                    </v>
      </c>
      <c r="B52" s="196">
        <f>IFERROR(__xludf.DUMMYFUNCTION("""COMPUTED_VALUE"""),5299.0)</f>
        <v>5299</v>
      </c>
      <c r="C52" s="55" t="str">
        <f>IFERROR(__xludf.DUMMYFUNCTION("""COMPUTED_VALUE"""),"Summary For PG/PHD")</f>
        <v>Summary For PG/PHD</v>
      </c>
      <c r="D52" s="84">
        <f>IFERROR(__xludf.DUMMYFUNCTION("""COMPUTED_VALUE"""),46199.558333333334)</f>
        <v>46199.55833</v>
      </c>
      <c r="E52" s="84">
        <f>IFERROR(__xludf.DUMMYFUNCTION("""COMPUTED_VALUE"""),46198.80239033565)</f>
        <v>46198.80239</v>
      </c>
      <c r="F52" s="84" t="str">
        <f>IFERROR(__xludf.DUMMYFUNCTION("""COMPUTED_VALUE"""),"Done")</f>
        <v>Done</v>
      </c>
      <c r="G52" s="76">
        <f>IFERROR(__xludf.DUMMYFUNCTION("""COMPUTED_VALUE"""),0.0)</f>
        <v>0</v>
      </c>
      <c r="H52" s="197" t="str">
        <f>IFERROR(__xludf.DUMMYFUNCTION("""COMPUTED_VALUE"""),"EMP0021 Tamanna Dewangan")</f>
        <v>EMP0021 Tamanna Dewangan</v>
      </c>
      <c r="J52" s="173"/>
    </row>
    <row r="53">
      <c r="A53" s="195" t="str">
        <f>IFERROR(__xludf.DUMMYFUNCTION("""COMPUTED_VALUE"""),"Check api id from database and download jrmxl file                                    ")</f>
        <v>Check api id from database and download jrmxl file                                    </v>
      </c>
      <c r="B53" s="196">
        <f>IFERROR(__xludf.DUMMYFUNCTION("""COMPUTED_VALUE"""),5300.0)</f>
        <v>5300</v>
      </c>
      <c r="C53" s="55" t="str">
        <f>IFERROR(__xludf.DUMMYFUNCTION("""COMPUTED_VALUE"""),"Cover Page")</f>
        <v>Cover Page</v>
      </c>
      <c r="D53" s="84">
        <f>IFERROR(__xludf.DUMMYFUNCTION("""COMPUTED_VALUE"""),46199.55972222222)</f>
        <v>46199.55972</v>
      </c>
      <c r="E53" s="84">
        <f>IFERROR(__xludf.DUMMYFUNCTION("""COMPUTED_VALUE"""),46198.80353439815)</f>
        <v>46198.80353</v>
      </c>
      <c r="F53" s="84" t="str">
        <f>IFERROR(__xludf.DUMMYFUNCTION("""COMPUTED_VALUE"""),"Done")</f>
        <v>Done</v>
      </c>
      <c r="G53" s="76">
        <f>IFERROR(__xludf.DUMMYFUNCTION("""COMPUTED_VALUE"""),0.0)</f>
        <v>0</v>
      </c>
      <c r="H53" s="197" t="str">
        <f>IFERROR(__xludf.DUMMYFUNCTION("""COMPUTED_VALUE"""),"EMP0021 Tamanna Dewangan")</f>
        <v>EMP0021 Tamanna Dewangan</v>
      </c>
      <c r="J53" s="173"/>
    </row>
    <row r="54">
      <c r="A54" s="195" t="str">
        <f>IFERROR(__xludf.DUMMYFUNCTION("""COMPUTED_VALUE"""),"Check api id from database and download jrmxl file                                    ")</f>
        <v>Check api id from database and download jrmxl file                                    </v>
      </c>
      <c r="B54" s="196">
        <f>IFERROR(__xludf.DUMMYFUNCTION("""COMPUTED_VALUE"""),5301.0)</f>
        <v>5301</v>
      </c>
      <c r="C54" s="55" t="str">
        <f>IFERROR(__xludf.DUMMYFUNCTION("""COMPUTED_VALUE"""),"Analysis report")</f>
        <v>Analysis report</v>
      </c>
      <c r="D54" s="84">
        <f>IFERROR(__xludf.DUMMYFUNCTION("""COMPUTED_VALUE"""),46199.56597222222)</f>
        <v>46199.56597</v>
      </c>
      <c r="E54" s="84">
        <f>IFERROR(__xludf.DUMMYFUNCTION("""COMPUTED_VALUE"""),46199.381937928236)</f>
        <v>46199.38194</v>
      </c>
      <c r="F54" s="84" t="str">
        <f>IFERROR(__xludf.DUMMYFUNCTION("""COMPUTED_VALUE"""),"Done")</f>
        <v>Done</v>
      </c>
      <c r="G54" s="76">
        <f>IFERROR(__xludf.DUMMYFUNCTION("""COMPUTED_VALUE"""),0.0)</f>
        <v>0</v>
      </c>
      <c r="H54" s="197" t="str">
        <f>IFERROR(__xludf.DUMMYFUNCTION("""COMPUTED_VALUE"""),"EMP0021 Tamanna Dewangan")</f>
        <v>EMP0021 Tamanna Dewangan</v>
      </c>
      <c r="J54" s="173"/>
    </row>
    <row r="55">
      <c r="A55" s="195" t="str">
        <f>IFERROR(__xludf.DUMMYFUNCTION("""COMPUTED_VALUE"""),"Check api id from database and download jrmxl file                                    ")</f>
        <v>Check api id from database and download jrmxl file                                    </v>
      </c>
      <c r="B55" s="196">
        <f>IFERROR(__xludf.DUMMYFUNCTION("""COMPUTED_VALUE"""),5302.0)</f>
        <v>5302</v>
      </c>
      <c r="C55" s="55" t="str">
        <f>IFERROR(__xludf.DUMMYFUNCTION("""COMPUTED_VALUE"""),"Analytics report")</f>
        <v>Analytics report</v>
      </c>
      <c r="D55" s="84">
        <f>IFERROR(__xludf.DUMMYFUNCTION("""COMPUTED_VALUE"""),46199.566666666666)</f>
        <v>46199.56667</v>
      </c>
      <c r="E55" s="84">
        <f>IFERROR(__xludf.DUMMYFUNCTION("""COMPUTED_VALUE"""),46199.381963182874)</f>
        <v>46199.38196</v>
      </c>
      <c r="F55" s="84" t="str">
        <f>IFERROR(__xludf.DUMMYFUNCTION("""COMPUTED_VALUE"""),"Done")</f>
        <v>Done</v>
      </c>
      <c r="G55" s="76">
        <f>IFERROR(__xludf.DUMMYFUNCTION("""COMPUTED_VALUE"""),0.0)</f>
        <v>0</v>
      </c>
      <c r="H55" s="197" t="str">
        <f>IFERROR(__xludf.DUMMYFUNCTION("""COMPUTED_VALUE"""),"EMP0021 Tamanna Dewangan")</f>
        <v>EMP0021 Tamanna Dewangan</v>
      </c>
      <c r="J55" s="173"/>
    </row>
    <row r="56">
      <c r="A56" s="195" t="str">
        <f>IFERROR(__xludf.DUMMYFUNCTION("""COMPUTED_VALUE"""),"Check api id from database and download jrmxl file                                    ")</f>
        <v>Check api id from database and download jrmxl file                                    </v>
      </c>
      <c r="B56" s="196">
        <f>IFERROR(__xludf.DUMMYFUNCTION("""COMPUTED_VALUE"""),5303.0)</f>
        <v>5303</v>
      </c>
      <c r="C56" s="55" t="str">
        <f>IFERROR(__xludf.DUMMYFUNCTION("""COMPUTED_VALUE"""),"otal Student and all matrix count mismatch Eg:999 College")</f>
        <v>otal Student and all matrix count mismatch Eg:999 College</v>
      </c>
      <c r="D56" s="84">
        <f>IFERROR(__xludf.DUMMYFUNCTION("""COMPUTED_VALUE"""),46199.56736111111)</f>
        <v>46199.56736</v>
      </c>
      <c r="E56" s="84">
        <f>IFERROR(__xludf.DUMMYFUNCTION("""COMPUTED_VALUE"""),46199.38199969908)</f>
        <v>46199.382</v>
      </c>
      <c r="F56" s="84" t="str">
        <f>IFERROR(__xludf.DUMMYFUNCTION("""COMPUTED_VALUE"""),"Done")</f>
        <v>Done</v>
      </c>
      <c r="G56" s="76">
        <f>IFERROR(__xludf.DUMMYFUNCTION("""COMPUTED_VALUE"""),0.0)</f>
        <v>0</v>
      </c>
      <c r="H56" s="197" t="str">
        <f>IFERROR(__xludf.DUMMYFUNCTION("""COMPUTED_VALUE"""),"EMP0021 Tamanna Dewangan")</f>
        <v>EMP0021 Tamanna Dewangan</v>
      </c>
      <c r="J56" s="173"/>
    </row>
    <row r="57">
      <c r="A57" s="195" t="str">
        <f>IFERROR(__xludf.DUMMYFUNCTION("""COMPUTED_VALUE"""),"Check api id from database and download jrmxl file                                    ")</f>
        <v>Check api id from database and download jrmxl file                                    </v>
      </c>
      <c r="B57" s="196">
        <f>IFERROR(__xludf.DUMMYFUNCTION("""COMPUTED_VALUE"""),5304.0)</f>
        <v>5304</v>
      </c>
      <c r="C57" s="55" t="str">
        <f>IFERROR(__xludf.DUMMYFUNCTION("""COMPUTED_VALUE"""),"otal Student and all matrix count mismatch Eg:999 College")</f>
        <v>otal Student and all matrix count mismatch Eg:999 College</v>
      </c>
      <c r="D57" s="84">
        <f>IFERROR(__xludf.DUMMYFUNCTION("""COMPUTED_VALUE"""),46199.56875)</f>
        <v>46199.56875</v>
      </c>
      <c r="E57" s="84">
        <f>IFERROR(__xludf.DUMMYFUNCTION("""COMPUTED_VALUE"""),46199.38276483797)</f>
        <v>46199.38276</v>
      </c>
      <c r="F57" s="84" t="str">
        <f>IFERROR(__xludf.DUMMYFUNCTION("""COMPUTED_VALUE"""),"Done")</f>
        <v>Done</v>
      </c>
      <c r="G57" s="76">
        <f>IFERROR(__xludf.DUMMYFUNCTION("""COMPUTED_VALUE"""),0.0)</f>
        <v>0</v>
      </c>
      <c r="H57" s="197" t="str">
        <f>IFERROR(__xludf.DUMMYFUNCTION("""COMPUTED_VALUE"""),"EMP0021 Tamanna Dewangan")</f>
        <v>EMP0021 Tamanna Dewangan</v>
      </c>
      <c r="J57" s="173"/>
    </row>
    <row r="58">
      <c r="A58" s="195" t="str">
        <f>IFERROR(__xludf.DUMMYFUNCTION("""COMPUTED_VALUE"""),"Check api id from database and download jrmxl file                                    ")</f>
        <v>Check api id from database and download jrmxl file                                    </v>
      </c>
      <c r="B58" s="196">
        <f>IFERROR(__xludf.DUMMYFUNCTION("""COMPUTED_VALUE"""),5305.0)</f>
        <v>5305</v>
      </c>
      <c r="C58" s="55" t="str">
        <f>IFERROR(__xludf.DUMMYFUNCTION("""COMPUTED_VALUE"""),"fee details")</f>
        <v>fee details</v>
      </c>
      <c r="D58" s="84">
        <f>IFERROR(__xludf.DUMMYFUNCTION("""COMPUTED_VALUE"""),46199.570138888885)</f>
        <v>46199.57014</v>
      </c>
      <c r="E58" s="84">
        <f>IFERROR(__xludf.DUMMYFUNCTION("""COMPUTED_VALUE"""),46199.3828029514)</f>
        <v>46199.3828</v>
      </c>
      <c r="F58" s="84" t="str">
        <f>IFERROR(__xludf.DUMMYFUNCTION("""COMPUTED_VALUE"""),"Done")</f>
        <v>Done</v>
      </c>
      <c r="G58" s="76">
        <f>IFERROR(__xludf.DUMMYFUNCTION("""COMPUTED_VALUE"""),0.0)</f>
        <v>0</v>
      </c>
      <c r="H58" s="197" t="str">
        <f>IFERROR(__xludf.DUMMYFUNCTION("""COMPUTED_VALUE"""),"EMP0021 Tamanna Dewangan")</f>
        <v>EMP0021 Tamanna Dewangan</v>
      </c>
    </row>
    <row r="59">
      <c r="A59" s="195" t="str">
        <f>IFERROR(__xludf.DUMMYFUNCTION("""COMPUTED_VALUE"""),"Check api id from database and download jrmxl file                                    ")</f>
        <v>Check api id from database and download jrmxl file                                    </v>
      </c>
      <c r="B59" s="196">
        <f>IFERROR(__xludf.DUMMYFUNCTION("""COMPUTED_VALUE"""),5306.0)</f>
        <v>5306</v>
      </c>
      <c r="C59" s="55" t="str">
        <f>IFERROR(__xludf.DUMMYFUNCTION("""COMPUTED_VALUE"""),"DIGI LOKER Data new")</f>
        <v>DIGI LOKER Data new</v>
      </c>
      <c r="D59" s="84">
        <f>IFERROR(__xludf.DUMMYFUNCTION("""COMPUTED_VALUE"""),46199.62119570602)</f>
        <v>46199.6212</v>
      </c>
      <c r="E59" s="84">
        <f>IFERROR(__xludf.DUMMYFUNCTION("""COMPUTED_VALUE"""),46199.46737355325)</f>
        <v>46199.46737</v>
      </c>
      <c r="F59" s="84" t="str">
        <f>IFERROR(__xludf.DUMMYFUNCTION("""COMPUTED_VALUE"""),"Done")</f>
        <v>Done</v>
      </c>
      <c r="G59" s="76">
        <f>IFERROR(__xludf.DUMMYFUNCTION("""COMPUTED_VALUE"""),0.0)</f>
        <v>0</v>
      </c>
      <c r="H59" s="197" t="str">
        <f>IFERROR(__xludf.DUMMYFUNCTION("""COMPUTED_VALUE"""),"EMP5009 Rup Kumar Mandal")</f>
        <v>EMP5009 Rup Kumar Mandal</v>
      </c>
    </row>
    <row r="60">
      <c r="A60" s="195" t="str">
        <f>IFERROR(__xludf.DUMMYFUNCTION("""COMPUTED_VALUE"""),"Check api id from database and download jrmxl file                                    ")</f>
        <v>Check api id from database and download jrmxl file                                    </v>
      </c>
      <c r="B60" s="196">
        <f>IFERROR(__xludf.DUMMYFUNCTION("""COMPUTED_VALUE"""),5307.0)</f>
        <v>5307</v>
      </c>
      <c r="C60" s="55" t="str">
        <f>IFERROR(__xludf.DUMMYFUNCTION("""COMPUTED_VALUE"""),"TR BCA ")</f>
        <v>TR BCA </v>
      </c>
      <c r="D60" s="84">
        <f>IFERROR(__xludf.DUMMYFUNCTION("""COMPUTED_VALUE"""),46200.493055555555)</f>
        <v>46200.49306</v>
      </c>
      <c r="E60" s="84">
        <f>IFERROR(__xludf.DUMMYFUNCTION("""COMPUTED_VALUE"""),46199.7686454514)</f>
        <v>46199.76865</v>
      </c>
      <c r="F60" s="84" t="str">
        <f>IFERROR(__xludf.DUMMYFUNCTION("""COMPUTED_VALUE"""),"Done")</f>
        <v>Done</v>
      </c>
      <c r="G60" s="76">
        <f>IFERROR(__xludf.DUMMYFUNCTION("""COMPUTED_VALUE"""),0.0)</f>
        <v>0</v>
      </c>
      <c r="H60" s="197" t="str">
        <f>IFERROR(__xludf.DUMMYFUNCTION("""COMPUTED_VALUE"""),"EMP0237 Swarnendu Chakraborty")</f>
        <v>EMP0237 Swarnendu Chakraborty</v>
      </c>
    </row>
    <row r="61">
      <c r="A61" s="189" t="str">
        <f>IFERROR(__xludf.DUMMYFUNCTION("""COMPUTED_VALUE"""),"Check api id from database and download jrmxl file                                    ")</f>
        <v>Check api id from database and download jrmxl file                                    </v>
      </c>
      <c r="B61" s="190">
        <f>IFERROR(__xludf.DUMMYFUNCTION("""COMPUTED_VALUE"""),5308.0)</f>
        <v>5308</v>
      </c>
      <c r="C61" s="191" t="str">
        <f>IFERROR(__xludf.DUMMYFUNCTION("""COMPUTED_VALUE"""),"MULTIPLE REPORT ")</f>
        <v>MULTIPLE REPORT </v>
      </c>
      <c r="D61" s="192">
        <f>IFERROR(__xludf.DUMMYFUNCTION("""COMPUTED_VALUE"""),46200.51180555555)</f>
        <v>46200.51181</v>
      </c>
      <c r="E61" s="192">
        <f>IFERROR(__xludf.DUMMYFUNCTION("""COMPUTED_VALUE"""),46199.768667349534)</f>
        <v>46199.76867</v>
      </c>
      <c r="F61" s="192" t="str">
        <f>IFERROR(__xludf.DUMMYFUNCTION("""COMPUTED_VALUE"""),"Done")</f>
        <v>Done</v>
      </c>
      <c r="G61" s="183">
        <f>IFERROR(__xludf.DUMMYFUNCTION("""COMPUTED_VALUE"""),0.0)</f>
        <v>0</v>
      </c>
      <c r="H61" s="193" t="str">
        <f>IFERROR(__xludf.DUMMYFUNCTION("""COMPUTED_VALUE"""),"EMP0042 HULESHWAR KUMAR SAHU")</f>
        <v>EMP0042 HULESHWAR KUMAR SAHU</v>
      </c>
      <c r="I61" s="183"/>
      <c r="J61" s="173"/>
    </row>
    <row r="62">
      <c r="A62" s="189" t="str">
        <f>IFERROR(__xludf.DUMMYFUNCTION("""COMPUTED_VALUE"""),"Check api id from database and download jrmxl file                                    ")</f>
        <v>Check api id from database and download jrmxl file                                    </v>
      </c>
      <c r="B62" s="190">
        <f>IFERROR(__xludf.DUMMYFUNCTION("""COMPUTED_VALUE"""),5309.0)</f>
        <v>5309</v>
      </c>
      <c r="C62" s="191" t="str">
        <f>IFERROR(__xludf.DUMMYFUNCTION("""COMPUTED_VALUE"""),"MULTIPLE REPORT")</f>
        <v>MULTIPLE REPORT</v>
      </c>
      <c r="D62" s="192">
        <f>IFERROR(__xludf.DUMMYFUNCTION("""COMPUTED_VALUE"""),46200.63835203704)</f>
        <v>46200.63835</v>
      </c>
      <c r="E62" s="192">
        <f>IFERROR(__xludf.DUMMYFUNCTION("""COMPUTED_VALUE"""),46200.49790616898)</f>
        <v>46200.49791</v>
      </c>
      <c r="F62" s="192" t="str">
        <f>IFERROR(__xludf.DUMMYFUNCTION("""COMPUTED_VALUE"""),"Done")</f>
        <v>Done</v>
      </c>
      <c r="G62" s="183">
        <f>IFERROR(__xludf.DUMMYFUNCTION("""COMPUTED_VALUE"""),0.0)</f>
        <v>0</v>
      </c>
      <c r="H62" s="193" t="str">
        <f>IFERROR(__xludf.DUMMYFUNCTION("""COMPUTED_VALUE"""),"EMP0042 HULESHWAR KUMAR SAHU")</f>
        <v>EMP0042 HULESHWAR KUMAR SAHU</v>
      </c>
      <c r="I62" s="183"/>
    </row>
    <row r="63">
      <c r="A63" s="195" t="str">
        <f>IFERROR(__xludf.DUMMYFUNCTION("""COMPUTED_VALUE"""),"Check api id from database and download jrmxl file                                    ")</f>
        <v>Check api id from database and download jrmxl file                                    </v>
      </c>
      <c r="B63" s="196">
        <f>IFERROR(__xludf.DUMMYFUNCTION("""COMPUTED_VALUE"""),5310.0)</f>
        <v>5310</v>
      </c>
      <c r="C63" s="55" t="str">
        <f>IFERROR(__xludf.DUMMYFUNCTION("""COMPUTED_VALUE"""),"TR/Result hosting -new cbcs tr ")</f>
        <v>TR/Result hosting -new cbcs tr </v>
      </c>
      <c r="D63" s="84">
        <f>IFERROR(__xludf.DUMMYFUNCTION("""COMPUTED_VALUE"""),46200.65428793981)</f>
        <v>46200.65429</v>
      </c>
      <c r="E63" s="84">
        <f>IFERROR(__xludf.DUMMYFUNCTION("""COMPUTED_VALUE"""),46200.49792927084)</f>
        <v>46200.49793</v>
      </c>
      <c r="F63" s="84" t="str">
        <f>IFERROR(__xludf.DUMMYFUNCTION("""COMPUTED_VALUE"""),"Done")</f>
        <v>Done</v>
      </c>
      <c r="G63" s="76">
        <f>IFERROR(__xludf.DUMMYFUNCTION("""COMPUTED_VALUE"""),0.0)</f>
        <v>0</v>
      </c>
      <c r="H63" s="197" t="str">
        <f>IFERROR(__xludf.DUMMYFUNCTION("""COMPUTED_VALUE"""),"EMP0237 Swarnendu Chakraborty")</f>
        <v>EMP0237 Swarnendu Chakraborty</v>
      </c>
      <c r="J63" s="173"/>
    </row>
    <row r="64">
      <c r="A64" s="195" t="str">
        <f>IFERROR(__xludf.DUMMYFUNCTION("""COMPUTED_VALUE"""),"Debuging the error (Jasper end as well as Query end) and discuss with RM about logic ")</f>
        <v>Debuging the error (Jasper end as well as Query end) and discuss with RM about logic </v>
      </c>
      <c r="B64" s="196">
        <f>IFERROR(__xludf.DUMMYFUNCTION("""COMPUTED_VALUE"""),5278.0)</f>
        <v>5278</v>
      </c>
      <c r="C64" s="55" t="str">
        <f>IFERROR(__xludf.DUMMYFUNCTION("""COMPUTED_VALUE"""),"Evaluation report anna.")</f>
        <v>Evaluation report anna.</v>
      </c>
      <c r="D64" s="84">
        <f>IFERROR(__xludf.DUMMYFUNCTION("""COMPUTED_VALUE"""),46195.44236111111)</f>
        <v>46195.44236</v>
      </c>
      <c r="E64" s="84">
        <f>IFERROR(__xludf.DUMMYFUNCTION("""COMPUTED_VALUE"""),46193.652605462965)</f>
        <v>46193.65261</v>
      </c>
      <c r="F64" s="84" t="str">
        <f>IFERROR(__xludf.DUMMYFUNCTION("""COMPUTED_VALUE"""),"Done")</f>
        <v>Done</v>
      </c>
      <c r="G64" s="76">
        <f>IFERROR(__xludf.DUMMYFUNCTION("""COMPUTED_VALUE"""),0.0)</f>
        <v>0</v>
      </c>
      <c r="H64" s="197" t="str">
        <f>IFERROR(__xludf.DUMMYFUNCTION("""COMPUTED_VALUE"""),"EMP5009 Rup Kumar Mandal")</f>
        <v>EMP5009 Rup Kumar Mandal</v>
      </c>
    </row>
    <row r="65">
      <c r="A65" s="195" t="str">
        <f>IFERROR(__xludf.DUMMYFUNCTION("""COMPUTED_VALUE"""),"Debuging the error (Jasper end as well as Query end) and discuss with RM about logic ")</f>
        <v>Debuging the error (Jasper end as well as Query end) and discuss with RM about logic </v>
      </c>
      <c r="B65" s="196">
        <f>IFERROR(__xludf.DUMMYFUNCTION("""COMPUTED_VALUE"""),5279.0)</f>
        <v>5279</v>
      </c>
      <c r="C65" s="55" t="str">
        <f>IFERROR(__xludf.DUMMYFUNCTION("""COMPUTED_VALUE"""),"SMKV")</f>
        <v>SMKV</v>
      </c>
      <c r="D65" s="84">
        <f>IFERROR(__xludf.DUMMYFUNCTION("""COMPUTED_VALUE"""),46195.55625)</f>
        <v>46195.55625</v>
      </c>
      <c r="E65" s="84">
        <f>IFERROR(__xludf.DUMMYFUNCTION("""COMPUTED_VALUE"""),46193.69859662037)</f>
        <v>46193.6986</v>
      </c>
      <c r="F65" s="84" t="str">
        <f>IFERROR(__xludf.DUMMYFUNCTION("""COMPUTED_VALUE"""),"Done")</f>
        <v>Done</v>
      </c>
      <c r="G65" s="76">
        <f>IFERROR(__xludf.DUMMYFUNCTION("""COMPUTED_VALUE"""),0.0)</f>
        <v>0</v>
      </c>
      <c r="H65" s="197" t="str">
        <f>IFERROR(__xludf.DUMMYFUNCTION("""COMPUTED_VALUE"""),"EMP0042 HULESHWAR KUMAR SAHU")</f>
        <v>EMP0042 HULESHWAR KUMAR SAHU</v>
      </c>
    </row>
    <row r="66">
      <c r="A66" s="195" t="str">
        <f>IFERROR(__xludf.DUMMYFUNCTION("""COMPUTED_VALUE"""),"Debuging the error (Jasper end as well as Query end) and discuss with RM about logic ")</f>
        <v>Debuging the error (Jasper end as well as Query end) and discuss with RM about logic </v>
      </c>
      <c r="B66" s="196">
        <f>IFERROR(__xludf.DUMMYFUNCTION("""COMPUTED_VALUE"""),5280.0)</f>
        <v>5280</v>
      </c>
      <c r="C66" s="55" t="str">
        <f>IFERROR(__xludf.DUMMYFUNCTION("""COMPUTED_VALUE"""),"SMKV ")</f>
        <v>SMKV </v>
      </c>
      <c r="D66" s="84">
        <f>IFERROR(__xludf.DUMMYFUNCTION("""COMPUTED_VALUE"""),46195.55694444444)</f>
        <v>46195.55694</v>
      </c>
      <c r="E66" s="84">
        <f>IFERROR(__xludf.DUMMYFUNCTION("""COMPUTED_VALUE"""),46193.69862037037)</f>
        <v>46193.69862</v>
      </c>
      <c r="F66" s="84" t="str">
        <f>IFERROR(__xludf.DUMMYFUNCTION("""COMPUTED_VALUE"""),"Done")</f>
        <v>Done</v>
      </c>
      <c r="G66" s="76">
        <f>IFERROR(__xludf.DUMMYFUNCTION("""COMPUTED_VALUE"""),0.0)</f>
        <v>0</v>
      </c>
      <c r="H66" s="197" t="str">
        <f>IFERROR(__xludf.DUMMYFUNCTION("""COMPUTED_VALUE"""),"EMP0042 HULESHWAR KUMAR SAHU")</f>
        <v>EMP0042 HULESHWAR KUMAR SAHU</v>
      </c>
    </row>
    <row r="67">
      <c r="A67" s="189" t="str">
        <f>IFERROR(__xludf.DUMMYFUNCTION("""COMPUTED_VALUE"""),"Debuging the error (Jasper end as well as Query end) and discuss with RM about logic ")</f>
        <v>Debuging the error (Jasper end as well as Query end) and discuss with RM about logic </v>
      </c>
      <c r="B67" s="190">
        <f>IFERROR(__xludf.DUMMYFUNCTION("""COMPUTED_VALUE"""),5281.0)</f>
        <v>5281</v>
      </c>
      <c r="C67" s="191" t="str">
        <f>IFERROR(__xludf.DUMMYFUNCTION("""COMPUTED_VALUE"""),"SMKV")</f>
        <v>SMKV</v>
      </c>
      <c r="D67" s="192">
        <f>IFERROR(__xludf.DUMMYFUNCTION("""COMPUTED_VALUE"""),46195.55763888889)</f>
        <v>46195.55764</v>
      </c>
      <c r="E67" s="192">
        <f>IFERROR(__xludf.DUMMYFUNCTION("""COMPUTED_VALUE"""),46193.698652893516)</f>
        <v>46193.69865</v>
      </c>
      <c r="F67" s="192" t="str">
        <f>IFERROR(__xludf.DUMMYFUNCTION("""COMPUTED_VALUE"""),"Done")</f>
        <v>Done</v>
      </c>
      <c r="G67" s="183">
        <f>IFERROR(__xludf.DUMMYFUNCTION("""COMPUTED_VALUE"""),0.0)</f>
        <v>0</v>
      </c>
      <c r="H67" s="193" t="str">
        <f>IFERROR(__xludf.DUMMYFUNCTION("""COMPUTED_VALUE"""),"EMP0042 HULESHWAR KUMAR SAHU")</f>
        <v>EMP0042 HULESHWAR KUMAR SAHU</v>
      </c>
      <c r="I67" s="183"/>
    </row>
    <row r="68">
      <c r="A68" s="189" t="str">
        <f>IFERROR(__xludf.DUMMYFUNCTION("""COMPUTED_VALUE"""),"Debuging the error (Jasper end as well as Query end) and discuss with RM about logic ")</f>
        <v>Debuging the error (Jasper end as well as Query end) and discuss with RM about logic </v>
      </c>
      <c r="B68" s="190">
        <f>IFERROR(__xludf.DUMMYFUNCTION("""COMPUTED_VALUE"""),5282.0)</f>
        <v>5282</v>
      </c>
      <c r="C68" s="191" t="str">
        <f>IFERROR(__xludf.DUMMYFUNCTION("""COMPUTED_VALUE"""),"Manual_Cash_Counter")</f>
        <v>Manual_Cash_Counter</v>
      </c>
      <c r="D68" s="192">
        <f>IFERROR(__xludf.DUMMYFUNCTION("""COMPUTED_VALUE"""),46195.802194861106)</f>
        <v>46195.80219</v>
      </c>
      <c r="E68" s="192">
        <f>IFERROR(__xludf.DUMMYFUNCTION("""COMPUTED_VALUE"""),46195.618129780094)</f>
        <v>46195.61813</v>
      </c>
      <c r="F68" s="192" t="str">
        <f>IFERROR(__xludf.DUMMYFUNCTION("""COMPUTED_VALUE"""),"Done")</f>
        <v>Done</v>
      </c>
      <c r="G68" s="183">
        <f>IFERROR(__xludf.DUMMYFUNCTION("""COMPUTED_VALUE"""),0.0)</f>
        <v>0</v>
      </c>
      <c r="H68" s="193" t="str">
        <f>IFERROR(__xludf.DUMMYFUNCTION("""COMPUTED_VALUE"""),"EMP5009 Rup Kumar Mandal")</f>
        <v>EMP5009 Rup Kumar Mandal</v>
      </c>
      <c r="I68" s="183"/>
    </row>
    <row r="69">
      <c r="A69" s="189" t="str">
        <f>IFERROR(__xludf.DUMMYFUNCTION("""COMPUTED_VALUE"""),"Debuging the error (Jasper end as well as Query end) and discuss with RM about logic ")</f>
        <v>Debuging the error (Jasper end as well as Query end) and discuss with RM about logic </v>
      </c>
      <c r="B69" s="190">
        <f>IFERROR(__xludf.DUMMYFUNCTION("""COMPUTED_VALUE"""),5283.0)</f>
        <v>5283</v>
      </c>
      <c r="C69" s="191" t="str">
        <f>IFERROR(__xludf.DUMMYFUNCTION("""COMPUTED_VALUE"""),"Studentwise Cash Counter")</f>
        <v>Studentwise Cash Counter</v>
      </c>
      <c r="D69" s="192">
        <f>IFERROR(__xludf.DUMMYFUNCTION("""COMPUTED_VALUE"""),46195.80312815972)</f>
        <v>46195.80313</v>
      </c>
      <c r="E69" s="192">
        <f>IFERROR(__xludf.DUMMYFUNCTION("""COMPUTED_VALUE"""),46195.61815241898)</f>
        <v>46195.61815</v>
      </c>
      <c r="F69" s="192" t="str">
        <f>IFERROR(__xludf.DUMMYFUNCTION("""COMPUTED_VALUE"""),"Done")</f>
        <v>Done</v>
      </c>
      <c r="G69" s="183">
        <f>IFERROR(__xludf.DUMMYFUNCTION("""COMPUTED_VALUE"""),0.0)</f>
        <v>0</v>
      </c>
      <c r="H69" s="193" t="str">
        <f>IFERROR(__xludf.DUMMYFUNCTION("""COMPUTED_VALUE"""),"EMP5009 Rup Kumar Mandal")</f>
        <v>EMP5009 Rup Kumar Mandal</v>
      </c>
      <c r="I69" s="183"/>
    </row>
    <row r="70">
      <c r="A70" s="195" t="str">
        <f>IFERROR(__xludf.DUMMYFUNCTION("""COMPUTED_VALUE"""),"Debuging the error (Jasper end as well as Query end) and discuss with RM about logic ")</f>
        <v>Debuging the error (Jasper end as well as Query end) and discuss with RM about logic </v>
      </c>
      <c r="B70" s="196">
        <f>IFERROR(__xludf.DUMMYFUNCTION("""COMPUTED_VALUE"""),5284.0)</f>
        <v>5284</v>
      </c>
      <c r="C70" s="55" t="str">
        <f>IFERROR(__xludf.DUMMYFUNCTION("""COMPUTED_VALUE"""),"evaluation report anna.")</f>
        <v>evaluation report anna.</v>
      </c>
      <c r="D70" s="84">
        <f>IFERROR(__xludf.DUMMYFUNCTION("""COMPUTED_VALUE"""),46196.53263888889)</f>
        <v>46196.53264</v>
      </c>
      <c r="E70" s="84">
        <f>IFERROR(__xludf.DUMMYFUNCTION("""COMPUTED_VALUE"""),46195.797917013886)</f>
        <v>46195.79792</v>
      </c>
      <c r="F70" s="84" t="str">
        <f>IFERROR(__xludf.DUMMYFUNCTION("""COMPUTED_VALUE"""),"Done")</f>
        <v>Done</v>
      </c>
      <c r="G70" s="76">
        <f>IFERROR(__xludf.DUMMYFUNCTION("""COMPUTED_VALUE"""),0.0)</f>
        <v>0</v>
      </c>
      <c r="H70" s="197" t="str">
        <f>IFERROR(__xludf.DUMMYFUNCTION("""COMPUTED_VALUE"""),"EMP5009 Rup Kumar Mandal")</f>
        <v>EMP5009 Rup Kumar Mandal</v>
      </c>
    </row>
    <row r="71">
      <c r="A71" s="189" t="str">
        <f>IFERROR(__xludf.DUMMYFUNCTION("""COMPUTED_VALUE"""),"Debuging the error (Jasper end as well as Query end) and discuss with RM about logic ")</f>
        <v>Debuging the error (Jasper end as well as Query end) and discuss with RM about logic </v>
      </c>
      <c r="B71" s="190">
        <f>IFERROR(__xludf.DUMMYFUNCTION("""COMPUTED_VALUE"""),5285.0)</f>
        <v>5285</v>
      </c>
      <c r="C71" s="191" t="str">
        <f>IFERROR(__xludf.DUMMYFUNCTION("""COMPUTED_VALUE"""),"MULTIPLE REPORT")</f>
        <v>MULTIPLE REPORT</v>
      </c>
      <c r="D71" s="192">
        <f>IFERROR(__xludf.DUMMYFUNCTION("""COMPUTED_VALUE"""),46196.53402777778)</f>
        <v>46196.53403</v>
      </c>
      <c r="E71" s="192">
        <f>IFERROR(__xludf.DUMMYFUNCTION("""COMPUTED_VALUE"""),46195.7978659838)</f>
        <v>46195.79787</v>
      </c>
      <c r="F71" s="192" t="str">
        <f>IFERROR(__xludf.DUMMYFUNCTION("""COMPUTED_VALUE"""),"Done")</f>
        <v>Done</v>
      </c>
      <c r="G71" s="183">
        <f>IFERROR(__xludf.DUMMYFUNCTION("""COMPUTED_VALUE"""),0.0)</f>
        <v>0</v>
      </c>
      <c r="H71" s="193" t="str">
        <f>IFERROR(__xludf.DUMMYFUNCTION("""COMPUTED_VALUE"""),"EMP0042 HULESHWAR KUMAR SAHU")</f>
        <v>EMP0042 HULESHWAR KUMAR SAHU</v>
      </c>
      <c r="I71" s="183"/>
    </row>
    <row r="72">
      <c r="A72" s="195" t="str">
        <f>IFERROR(__xludf.DUMMYFUNCTION("""COMPUTED_VALUE"""),"Debuging the error (Jasper end as well as Query end) and discuss with RM about logic ")</f>
        <v>Debuging the error (Jasper end as well as Query end) and discuss with RM about logic </v>
      </c>
      <c r="B72" s="196">
        <f>IFERROR(__xludf.DUMMYFUNCTION("""COMPUTED_VALUE"""),5286.0)</f>
        <v>5286</v>
      </c>
      <c r="C72" s="55" t="str">
        <f>IFERROR(__xludf.DUMMYFUNCTION("""COMPUTED_VALUE"""),"2781")</f>
        <v>2781</v>
      </c>
      <c r="D72" s="84">
        <f>IFERROR(__xludf.DUMMYFUNCTION("""COMPUTED_VALUE"""),46197.42916666667)</f>
        <v>46197.42917</v>
      </c>
      <c r="E72" s="84">
        <f>IFERROR(__xludf.DUMMYFUNCTION("""COMPUTED_VALUE"""),46196.77804077547)</f>
        <v>46196.77804</v>
      </c>
      <c r="F72" s="84" t="str">
        <f>IFERROR(__xludf.DUMMYFUNCTION("""COMPUTED_VALUE"""),"Done")</f>
        <v>Done</v>
      </c>
      <c r="G72" s="76">
        <f>IFERROR(__xludf.DUMMYFUNCTION("""COMPUTED_VALUE"""),0.0)</f>
        <v>0</v>
      </c>
      <c r="H72" s="197" t="str">
        <f>IFERROR(__xludf.DUMMYFUNCTION("""COMPUTED_VALUE"""),"EMP5009 Rup Kumar Mandal")</f>
        <v>EMP5009 Rup Kumar Mandal</v>
      </c>
    </row>
    <row r="73">
      <c r="A73" s="189" t="str">
        <f>IFERROR(__xludf.DUMMYFUNCTION("""COMPUTED_VALUE"""),"Debuging the error (Jasper end as well as Query end) and discuss with RM about logic ")</f>
        <v>Debuging the error (Jasper end as well as Query end) and discuss with RM about logic </v>
      </c>
      <c r="B73" s="190">
        <f>IFERROR(__xludf.DUMMYFUNCTION("""COMPUTED_VALUE"""),5287.0)</f>
        <v>5287</v>
      </c>
      <c r="C73" s="191" t="str">
        <f>IFERROR(__xludf.DUMMYFUNCTION("""COMPUTED_VALUE"""),"TR REPORT")</f>
        <v>TR REPORT</v>
      </c>
      <c r="D73" s="192">
        <f>IFERROR(__xludf.DUMMYFUNCTION("""COMPUTED_VALUE"""),46197.76457306713)</f>
        <v>46197.76457</v>
      </c>
      <c r="E73" s="192">
        <f>IFERROR(__xludf.DUMMYFUNCTION("""COMPUTED_VALUE"""),46197.561658715276)</f>
        <v>46197.56166</v>
      </c>
      <c r="F73" s="192" t="str">
        <f>IFERROR(__xludf.DUMMYFUNCTION("""COMPUTED_VALUE"""),"Done")</f>
        <v>Done</v>
      </c>
      <c r="G73" s="183">
        <f>IFERROR(__xludf.DUMMYFUNCTION("""COMPUTED_VALUE"""),0.0)</f>
        <v>0</v>
      </c>
      <c r="H73" s="193" t="str">
        <f>IFERROR(__xludf.DUMMYFUNCTION("""COMPUTED_VALUE"""),"EMP0237 Swarnendu Chakraborty")</f>
        <v>EMP0237 Swarnendu Chakraborty</v>
      </c>
      <c r="I73" s="183"/>
      <c r="J73" s="173"/>
    </row>
    <row r="74">
      <c r="A74" s="189" t="str">
        <f>IFERROR(__xludf.DUMMYFUNCTION("""COMPUTED_VALUE"""),"Debuging the error (Jasper end as well as Query end) and discuss with RM about logic ")</f>
        <v>Debuging the error (Jasper end as well as Query end) and discuss with RM about logic </v>
      </c>
      <c r="B74" s="190">
        <f>IFERROR(__xludf.DUMMYFUNCTION("""COMPUTED_VALUE"""),5288.0)</f>
        <v>5288</v>
      </c>
      <c r="C74" s="191" t="str">
        <f>IFERROR(__xludf.DUMMYFUNCTION("""COMPUTED_VALUE"""),"5coltrsem6sem_elective_back_")</f>
        <v>5coltrsem6sem_elective_back_</v>
      </c>
      <c r="D74" s="192">
        <f>IFERROR(__xludf.DUMMYFUNCTION("""COMPUTED_VALUE"""),46197.794450601854)</f>
        <v>46197.79445</v>
      </c>
      <c r="E74" s="192">
        <f>IFERROR(__xludf.DUMMYFUNCTION("""COMPUTED_VALUE"""),46197.51809893519)</f>
        <v>46197.5181</v>
      </c>
      <c r="F74" s="192" t="str">
        <f>IFERROR(__xludf.DUMMYFUNCTION("""COMPUTED_VALUE"""),"Done")</f>
        <v>Done</v>
      </c>
      <c r="G74" s="183">
        <f>IFERROR(__xludf.DUMMYFUNCTION("""COMPUTED_VALUE"""),0.0)</f>
        <v>0</v>
      </c>
      <c r="H74" s="193" t="str">
        <f>IFERROR(__xludf.DUMMYFUNCTION("""COMPUTED_VALUE"""),"EMP0042 HULESHWAR KUMAR SAHU")</f>
        <v>EMP0042 HULESHWAR KUMAR SAHU</v>
      </c>
      <c r="I74" s="183"/>
    </row>
    <row r="75">
      <c r="A75" s="189" t="str">
        <f>IFERROR(__xludf.DUMMYFUNCTION("""COMPUTED_VALUE"""),"Debuging the error (Jasper end as well as Query end) and discuss with RM about logic ")</f>
        <v>Debuging the error (Jasper end as well as Query end) and discuss with RM about logic </v>
      </c>
      <c r="B75" s="190">
        <f>IFERROR(__xludf.DUMMYFUNCTION("""COMPUTED_VALUE"""),5289.0)</f>
        <v>5289</v>
      </c>
      <c r="C75" s="191" t="str">
        <f>IFERROR(__xludf.DUMMYFUNCTION("""COMPUTED_VALUE"""),"Marksheet (D.PHARMA)")</f>
        <v>Marksheet (D.PHARMA)</v>
      </c>
      <c r="D75" s="192">
        <f>IFERROR(__xludf.DUMMYFUNCTION("""COMPUTED_VALUE"""),46197.803450775464)</f>
        <v>46197.80345</v>
      </c>
      <c r="E75" s="192">
        <f>IFERROR(__xludf.DUMMYFUNCTION("""COMPUTED_VALUE"""),46197.54582179398)</f>
        <v>46197.54582</v>
      </c>
      <c r="F75" s="192" t="str">
        <f>IFERROR(__xludf.DUMMYFUNCTION("""COMPUTED_VALUE"""),"Done")</f>
        <v>Done</v>
      </c>
      <c r="G75" s="183">
        <f>IFERROR(__xludf.DUMMYFUNCTION("""COMPUTED_VALUE"""),0.0)</f>
        <v>0</v>
      </c>
      <c r="H75" s="193" t="str">
        <f>IFERROR(__xludf.DUMMYFUNCTION("""COMPUTED_VALUE"""),"EMP0042 HULESHWAR KUMAR SAHU")</f>
        <v>EMP0042 HULESHWAR KUMAR SAHU</v>
      </c>
      <c r="I75" s="183"/>
    </row>
    <row r="76">
      <c r="A76" s="195" t="str">
        <f>IFERROR(__xludf.DUMMYFUNCTION("""COMPUTED_VALUE"""),"Debuging the error (Jasper end as well as Query end) and discuss with RM about logic ")</f>
        <v>Debuging the error (Jasper end as well as Query end) and discuss with RM about logic </v>
      </c>
      <c r="B76" s="196">
        <f>IFERROR(__xludf.DUMMYFUNCTION("""COMPUTED_VALUE"""),5290.0)</f>
        <v>5290</v>
      </c>
      <c r="C76" s="55" t="str">
        <f>IFERROR(__xludf.DUMMYFUNCTION("""COMPUTED_VALUE"""),"gradaecard4-btech")</f>
        <v>gradaecard4-btech</v>
      </c>
      <c r="D76" s="84">
        <f>IFERROR(__xludf.DUMMYFUNCTION("""COMPUTED_VALUE"""),46197.81772193288)</f>
        <v>46197.81772</v>
      </c>
      <c r="E76" s="84">
        <f>IFERROR(__xludf.DUMMYFUNCTION("""COMPUTED_VALUE"""),46197.545843217595)</f>
        <v>46197.54584</v>
      </c>
      <c r="F76" s="84" t="str">
        <f>IFERROR(__xludf.DUMMYFUNCTION("""COMPUTED_VALUE"""),"Done")</f>
        <v>Done</v>
      </c>
      <c r="G76" s="76">
        <f>IFERROR(__xludf.DUMMYFUNCTION("""COMPUTED_VALUE"""),0.0)</f>
        <v>0</v>
      </c>
      <c r="H76" s="197" t="str">
        <f>IFERROR(__xludf.DUMMYFUNCTION("""COMPUTED_VALUE"""),"EMP0042 HULESHWAR KUMAR SAHU")</f>
        <v>EMP0042 HULESHWAR KUMAR SAHU</v>
      </c>
    </row>
    <row r="77">
      <c r="A77" s="189" t="str">
        <f>IFERROR(__xludf.DUMMYFUNCTION("""COMPUTED_VALUE"""),"Debuging the error (Jasper end as well as Query end) and discuss with RM about logic ")</f>
        <v>Debuging the error (Jasper end as well as Query end) and discuss with RM about logic </v>
      </c>
      <c r="B77" s="190">
        <f>IFERROR(__xludf.DUMMYFUNCTION("""COMPUTED_VALUE"""),5291.0)</f>
        <v>5291</v>
      </c>
      <c r="C77" s="191" t="str">
        <f>IFERROR(__xludf.DUMMYFUNCTION("""COMPUTED_VALUE"""),"Student wise form report")</f>
        <v>Student wise form report</v>
      </c>
      <c r="D77" s="192">
        <f>IFERROR(__xludf.DUMMYFUNCTION("""COMPUTED_VALUE"""),46197.82982138889)</f>
        <v>46197.82982</v>
      </c>
      <c r="E77" s="192">
        <f>IFERROR(__xludf.DUMMYFUNCTION("""COMPUTED_VALUE"""),46197.561598622684)</f>
        <v>46197.5616</v>
      </c>
      <c r="F77" s="192" t="str">
        <f>IFERROR(__xludf.DUMMYFUNCTION("""COMPUTED_VALUE"""),"Done")</f>
        <v>Done</v>
      </c>
      <c r="G77" s="183">
        <f>IFERROR(__xludf.DUMMYFUNCTION("""COMPUTED_VALUE"""),0.0)</f>
        <v>0</v>
      </c>
      <c r="H77" s="193" t="str">
        <f>IFERROR(__xludf.DUMMYFUNCTION("""COMPUTED_VALUE"""),"EMP0237 Swarnendu Chakraborty")</f>
        <v>EMP0237 Swarnendu Chakraborty</v>
      </c>
      <c r="I77" s="183"/>
    </row>
    <row r="78">
      <c r="A78" s="189" t="str">
        <f>IFERROR(__xludf.DUMMYFUNCTION("""COMPUTED_VALUE"""),"Debuging the error (Jasper end as well as Query end) and discuss with RM about logic ")</f>
        <v>Debuging the error (Jasper end as well as Query end) and discuss with RM about logic </v>
      </c>
      <c r="B78" s="190">
        <f>IFERROR(__xludf.DUMMYFUNCTION("""COMPUTED_VALUE"""),5292.0)</f>
        <v>5292</v>
      </c>
      <c r="C78" s="191" t="str">
        <f>IFERROR(__xludf.DUMMYFUNCTION("""COMPUTED_VALUE"""),"SESSION WISE RESULT SUMMARY ")</f>
        <v>SESSION WISE RESULT SUMMARY </v>
      </c>
      <c r="D78" s="192">
        <f>IFERROR(__xludf.DUMMYFUNCTION("""COMPUTED_VALUE"""),46198.44097222222)</f>
        <v>46198.44097</v>
      </c>
      <c r="E78" s="192">
        <f>IFERROR(__xludf.DUMMYFUNCTION("""COMPUTED_VALUE"""),46197.561616203704)</f>
        <v>46197.56162</v>
      </c>
      <c r="F78" s="192" t="str">
        <f>IFERROR(__xludf.DUMMYFUNCTION("""COMPUTED_VALUE"""),"Done")</f>
        <v>Done</v>
      </c>
      <c r="G78" s="183">
        <f>IFERROR(__xludf.DUMMYFUNCTION("""COMPUTED_VALUE"""),0.0)</f>
        <v>0</v>
      </c>
      <c r="H78" s="193" t="str">
        <f>IFERROR(__xludf.DUMMYFUNCTION("""COMPUTED_VALUE"""),"EMP0237 Swarnendu Chakraborty")</f>
        <v>EMP0237 Swarnendu Chakraborty</v>
      </c>
      <c r="I78" s="183"/>
    </row>
    <row r="79">
      <c r="A79" s="189" t="str">
        <f>IFERROR(__xludf.DUMMYFUNCTION("""COMPUTED_VALUE"""),"Debuging the error (Jasper end as well as Query end) and discuss with RM about logic ")</f>
        <v>Debuging the error (Jasper end as well as Query end) and discuss with RM about logic </v>
      </c>
      <c r="B79" s="190">
        <f>IFERROR(__xludf.DUMMYFUNCTION("""COMPUTED_VALUE"""),5293.0)</f>
        <v>5293</v>
      </c>
      <c r="C79" s="191" t="str">
        <f>IFERROR(__xludf.DUMMYFUNCTION("""COMPUTED_VALUE"""),"Analytics Deshbord report")</f>
        <v>Analytics Deshbord report</v>
      </c>
      <c r="D79" s="192">
        <f>IFERROR(__xludf.DUMMYFUNCTION("""COMPUTED_VALUE"""),46198.555555555555)</f>
        <v>46198.55556</v>
      </c>
      <c r="E79" s="192">
        <f>IFERROR(__xludf.DUMMYFUNCTION("""COMPUTED_VALUE"""),46198.47296567129)</f>
        <v>46198.47297</v>
      </c>
      <c r="F79" s="192" t="str">
        <f>IFERROR(__xludf.DUMMYFUNCTION("""COMPUTED_VALUE"""),"Done")</f>
        <v>Done</v>
      </c>
      <c r="G79" s="183">
        <f>IFERROR(__xludf.DUMMYFUNCTION("""COMPUTED_VALUE"""),0.0)</f>
        <v>0</v>
      </c>
      <c r="H79" s="193" t="str">
        <f>IFERROR(__xludf.DUMMYFUNCTION("""COMPUTED_VALUE"""),"EMP0237 Swarnendu Chakraborty")</f>
        <v>EMP0237 Swarnendu Chakraborty</v>
      </c>
      <c r="I79" s="183"/>
    </row>
    <row r="80">
      <c r="A80" s="189" t="str">
        <f>IFERROR(__xludf.DUMMYFUNCTION("""COMPUTED_VALUE"""),"Debuging the error (Jasper end as well as Query end) and discuss with RM about logic ")</f>
        <v>Debuging the error (Jasper end as well as Query end) and discuss with RM about logic </v>
      </c>
      <c r="B80" s="190">
        <f>IFERROR(__xludf.DUMMYFUNCTION("""COMPUTED_VALUE"""),5294.0)</f>
        <v>5294</v>
      </c>
      <c r="C80" s="191" t="str">
        <f>IFERROR(__xludf.DUMMYFUNCTION("""COMPUTED_VALUE"""),"TR MBA 4th sem( With division )")</f>
        <v>TR MBA 4th sem( With division )</v>
      </c>
      <c r="D80" s="192">
        <f>IFERROR(__xludf.DUMMYFUNCTION("""COMPUTED_VALUE"""),46198.75364056713)</f>
        <v>46198.75364</v>
      </c>
      <c r="E80" s="192">
        <f>IFERROR(__xludf.DUMMYFUNCTION("""COMPUTED_VALUE"""),46198.476329537036)</f>
        <v>46198.47633</v>
      </c>
      <c r="F80" s="192" t="str">
        <f>IFERROR(__xludf.DUMMYFUNCTION("""COMPUTED_VALUE"""),"Done")</f>
        <v>Done</v>
      </c>
      <c r="G80" s="183">
        <f>IFERROR(__xludf.DUMMYFUNCTION("""COMPUTED_VALUE"""),0.0)</f>
        <v>0</v>
      </c>
      <c r="H80" s="193" t="str">
        <f>IFERROR(__xludf.DUMMYFUNCTION("""COMPUTED_VALUE"""),"EMP0042 HULESHWAR KUMAR SAHU")</f>
        <v>EMP0042 HULESHWAR KUMAR SAHU</v>
      </c>
      <c r="I80" s="183"/>
    </row>
    <row r="81">
      <c r="A81" s="195" t="str">
        <f>IFERROR(__xludf.DUMMYFUNCTION("""COMPUTED_VALUE"""),"Debuging the error (Jasper end as well as Query end) and discuss with RM about logic ")</f>
        <v>Debuging the error (Jasper end as well as Query end) and discuss with RM about logic </v>
      </c>
      <c r="B81" s="196">
        <f>IFERROR(__xludf.DUMMYFUNCTION("""COMPUTED_VALUE"""),5295.0)</f>
        <v>5295</v>
      </c>
      <c r="C81" s="55" t="str">
        <f>IFERROR(__xludf.DUMMYFUNCTION("""COMPUTED_VALUE"""),"NAD DATA")</f>
        <v>NAD DATA</v>
      </c>
      <c r="D81" s="84">
        <f>IFERROR(__xludf.DUMMYFUNCTION("""COMPUTED_VALUE"""),46198.78045674768)</f>
        <v>46198.78046</v>
      </c>
      <c r="E81" s="84">
        <f>IFERROR(__xludf.DUMMYFUNCTION("""COMPUTED_VALUE"""),46198.60609541667)</f>
        <v>46198.6061</v>
      </c>
      <c r="F81" s="84" t="str">
        <f>IFERROR(__xludf.DUMMYFUNCTION("""COMPUTED_VALUE"""),"Done")</f>
        <v>Done</v>
      </c>
      <c r="G81" s="76">
        <f>IFERROR(__xludf.DUMMYFUNCTION("""COMPUTED_VALUE"""),0.0)</f>
        <v>0</v>
      </c>
      <c r="H81" s="197" t="str">
        <f>IFERROR(__xludf.DUMMYFUNCTION("""COMPUTED_VALUE"""),"EMP0237 Swarnendu Chakraborty")</f>
        <v>EMP0237 Swarnendu Chakraborty</v>
      </c>
    </row>
    <row r="82">
      <c r="A82" s="195" t="str">
        <f>IFERROR(__xludf.DUMMYFUNCTION("""COMPUTED_VALUE"""),"Debuging the error (Jasper end as well as Query end) and discuss with RM about logic ")</f>
        <v>Debuging the error (Jasper end as well as Query end) and discuss with RM about logic </v>
      </c>
      <c r="B82" s="196">
        <f>IFERROR(__xludf.DUMMYFUNCTION("""COMPUTED_VALUE"""),5296.0)</f>
        <v>5296</v>
      </c>
      <c r="C82" s="55" t="str">
        <f>IFERROR(__xludf.DUMMYFUNCTION("""COMPUTED_VALUE"""),"ATTESTATION SHEET ")</f>
        <v>ATTESTATION SHEET </v>
      </c>
      <c r="D82" s="84">
        <f>IFERROR(__xludf.DUMMYFUNCTION("""COMPUTED_VALUE"""),46198.7933505324)</f>
        <v>46198.79335</v>
      </c>
      <c r="E82" s="84">
        <f>IFERROR(__xludf.DUMMYFUNCTION("""COMPUTED_VALUE"""),46198.60609541667)</f>
        <v>46198.6061</v>
      </c>
      <c r="F82" s="84" t="str">
        <f>IFERROR(__xludf.DUMMYFUNCTION("""COMPUTED_VALUE"""),"Done")</f>
        <v>Done</v>
      </c>
      <c r="G82" s="76">
        <f>IFERROR(__xludf.DUMMYFUNCTION("""COMPUTED_VALUE"""),0.0)</f>
        <v>0</v>
      </c>
      <c r="H82" s="197" t="str">
        <f>IFERROR(__xludf.DUMMYFUNCTION("""COMPUTED_VALUE"""),"EMP5009 Rup Kumar Mandal")</f>
        <v>EMP5009 Rup Kumar Mandal</v>
      </c>
    </row>
    <row r="83">
      <c r="A83" s="195" t="str">
        <f>IFERROR(__xludf.DUMMYFUNCTION("""COMPUTED_VALUE"""),"Debuging the error (Jasper end as well as Query end) and discuss with RM about logic ")</f>
        <v>Debuging the error (Jasper end as well as Query end) and discuss with RM about logic </v>
      </c>
      <c r="B83" s="196">
        <f>IFERROR(__xludf.DUMMYFUNCTION("""COMPUTED_VALUE"""),5297.0)</f>
        <v>5297</v>
      </c>
      <c r="C83" s="55" t="str">
        <f>IFERROR(__xludf.DUMMYFUNCTION("""COMPUTED_VALUE"""),"NAD data ")</f>
        <v>NAD data </v>
      </c>
      <c r="D83" s="84">
        <f>IFERROR(__xludf.DUMMYFUNCTION("""COMPUTED_VALUE"""),46199.61944444444)</f>
        <v>46199.61944</v>
      </c>
      <c r="E83" s="84">
        <f>IFERROR(__xludf.DUMMYFUNCTION("""COMPUTED_VALUE"""),46198.76236122685)</f>
        <v>46198.76236</v>
      </c>
      <c r="F83" s="84" t="str">
        <f>IFERROR(__xludf.DUMMYFUNCTION("""COMPUTED_VALUE"""),"Done")</f>
        <v>Done</v>
      </c>
      <c r="G83" s="76">
        <f>IFERROR(__xludf.DUMMYFUNCTION("""COMPUTED_VALUE"""),0.0)</f>
        <v>0</v>
      </c>
      <c r="H83" s="197" t="str">
        <f>IFERROR(__xludf.DUMMYFUNCTION("""COMPUTED_VALUE"""),"EMP5009 Rup Kumar Mandal")</f>
        <v>EMP5009 Rup Kumar Mandal</v>
      </c>
      <c r="J83" s="173"/>
    </row>
    <row r="84">
      <c r="A84" s="189" t="str">
        <f>IFERROR(__xludf.DUMMYFUNCTION("""COMPUTED_VALUE"""),"Debuging the error (Jasper end as well as Query end) and discuss with RM about logic ")</f>
        <v>Debuging the error (Jasper end as well as Query end) and discuss with RM about logic </v>
      </c>
      <c r="B84" s="190">
        <f>IFERROR(__xludf.DUMMYFUNCTION("""COMPUTED_VALUE"""),5298.0)</f>
        <v>5298</v>
      </c>
      <c r="C84" s="191" t="str">
        <f>IFERROR(__xludf.DUMMYFUNCTION("""COMPUTED_VALUE"""),"Attendance Sheet PG &amp; PHD")</f>
        <v>Attendance Sheet PG &amp; PHD</v>
      </c>
      <c r="D84" s="192">
        <f>IFERROR(__xludf.DUMMYFUNCTION("""COMPUTED_VALUE"""),46199.66111111111)</f>
        <v>46199.66111</v>
      </c>
      <c r="E84" s="192">
        <f>IFERROR(__xludf.DUMMYFUNCTION("""COMPUTED_VALUE"""),46198.80359361111)</f>
        <v>46198.80359</v>
      </c>
      <c r="F84" s="192" t="str">
        <f>IFERROR(__xludf.DUMMYFUNCTION("""COMPUTED_VALUE"""),"Done")</f>
        <v>Done</v>
      </c>
      <c r="G84" s="183">
        <f>IFERROR(__xludf.DUMMYFUNCTION("""COMPUTED_VALUE"""),0.0)</f>
        <v>0</v>
      </c>
      <c r="H84" s="193" t="str">
        <f>IFERROR(__xludf.DUMMYFUNCTION("""COMPUTED_VALUE"""),"EMP0021 Tamanna Dewangan")</f>
        <v>EMP0021 Tamanna Dewangan</v>
      </c>
      <c r="I84" s="183"/>
      <c r="J84" s="173"/>
    </row>
    <row r="85">
      <c r="A85" s="189" t="str">
        <f>IFERROR(__xludf.DUMMYFUNCTION("""COMPUTED_VALUE"""),"Debuging the error (Jasper end as well as Query end) and discuss with RM about logic ")</f>
        <v>Debuging the error (Jasper end as well as Query end) and discuss with RM about logic </v>
      </c>
      <c r="B85" s="190">
        <f>IFERROR(__xludf.DUMMYFUNCTION("""COMPUTED_VALUE"""),5299.0)</f>
        <v>5299</v>
      </c>
      <c r="C85" s="191" t="str">
        <f>IFERROR(__xludf.DUMMYFUNCTION("""COMPUTED_VALUE"""),"Summary For PG/PHD")</f>
        <v>Summary For PG/PHD</v>
      </c>
      <c r="D85" s="192">
        <f>IFERROR(__xludf.DUMMYFUNCTION("""COMPUTED_VALUE"""),46199.6625)</f>
        <v>46199.6625</v>
      </c>
      <c r="E85" s="192">
        <f>IFERROR(__xludf.DUMMYFUNCTION("""COMPUTED_VALUE"""),46198.803628124995)</f>
        <v>46198.80363</v>
      </c>
      <c r="F85" s="192" t="str">
        <f>IFERROR(__xludf.DUMMYFUNCTION("""COMPUTED_VALUE"""),"Done")</f>
        <v>Done</v>
      </c>
      <c r="G85" s="183">
        <f>IFERROR(__xludf.DUMMYFUNCTION("""COMPUTED_VALUE"""),0.0)</f>
        <v>0</v>
      </c>
      <c r="H85" s="193" t="str">
        <f>IFERROR(__xludf.DUMMYFUNCTION("""COMPUTED_VALUE"""),"EMP0021 Tamanna Dewangan")</f>
        <v>EMP0021 Tamanna Dewangan</v>
      </c>
      <c r="I85" s="183"/>
      <c r="J85" s="173"/>
    </row>
    <row r="86">
      <c r="A86" s="189" t="str">
        <f>IFERROR(__xludf.DUMMYFUNCTION("""COMPUTED_VALUE"""),"Debuging the error (Jasper end as well as Query end) and discuss with RM about logic ")</f>
        <v>Debuging the error (Jasper end as well as Query end) and discuss with RM about logic </v>
      </c>
      <c r="B86" s="190">
        <f>IFERROR(__xludf.DUMMYFUNCTION("""COMPUTED_VALUE"""),5300.0)</f>
        <v>5300</v>
      </c>
      <c r="C86" s="191" t="str">
        <f>IFERROR(__xludf.DUMMYFUNCTION("""COMPUTED_VALUE"""),"Cover Page")</f>
        <v>Cover Page</v>
      </c>
      <c r="D86" s="192">
        <f>IFERROR(__xludf.DUMMYFUNCTION("""COMPUTED_VALUE"""),46199.663888888885)</f>
        <v>46199.66389</v>
      </c>
      <c r="E86" s="192">
        <f>IFERROR(__xludf.DUMMYFUNCTION("""COMPUTED_VALUE"""),46198.80364582176)</f>
        <v>46198.80365</v>
      </c>
      <c r="F86" s="192" t="str">
        <f>IFERROR(__xludf.DUMMYFUNCTION("""COMPUTED_VALUE"""),"Done")</f>
        <v>Done</v>
      </c>
      <c r="G86" s="183">
        <f>IFERROR(__xludf.DUMMYFUNCTION("""COMPUTED_VALUE"""),0.0)</f>
        <v>0</v>
      </c>
      <c r="H86" s="193" t="str">
        <f>IFERROR(__xludf.DUMMYFUNCTION("""COMPUTED_VALUE"""),"EMP0021 Tamanna Dewangan")</f>
        <v>EMP0021 Tamanna Dewangan</v>
      </c>
      <c r="I86" s="183"/>
      <c r="J86" s="173"/>
    </row>
    <row r="87">
      <c r="A87" s="195" t="str">
        <f>IFERROR(__xludf.DUMMYFUNCTION("""COMPUTED_VALUE"""),"Debuging the error (Jasper end as well as Query end) and discuss with RM about logic ")</f>
        <v>Debuging the error (Jasper end as well as Query end) and discuss with RM about logic </v>
      </c>
      <c r="B87" s="196">
        <f>IFERROR(__xludf.DUMMYFUNCTION("""COMPUTED_VALUE"""),5301.0)</f>
        <v>5301</v>
      </c>
      <c r="C87" s="55" t="str">
        <f>IFERROR(__xludf.DUMMYFUNCTION("""COMPUTED_VALUE"""),"Analysis report")</f>
        <v>Analysis report</v>
      </c>
      <c r="D87" s="84">
        <f>IFERROR(__xludf.DUMMYFUNCTION("""COMPUTED_VALUE"""),46199.67013888889)</f>
        <v>46199.67014</v>
      </c>
      <c r="E87" s="84">
        <f>IFERROR(__xludf.DUMMYFUNCTION("""COMPUTED_VALUE"""),46199.382068217594)</f>
        <v>46199.38207</v>
      </c>
      <c r="F87" s="84" t="str">
        <f>IFERROR(__xludf.DUMMYFUNCTION("""COMPUTED_VALUE"""),"Done")</f>
        <v>Done</v>
      </c>
      <c r="G87" s="76">
        <f>IFERROR(__xludf.DUMMYFUNCTION("""COMPUTED_VALUE"""),0.0)</f>
        <v>0</v>
      </c>
      <c r="H87" s="197" t="str">
        <f>IFERROR(__xludf.DUMMYFUNCTION("""COMPUTED_VALUE"""),"EMP0021 Tamanna Dewangan")</f>
        <v>EMP0021 Tamanna Dewangan</v>
      </c>
    </row>
    <row r="88">
      <c r="A88" s="189" t="str">
        <f>IFERROR(__xludf.DUMMYFUNCTION("""COMPUTED_VALUE"""),"Debuging the error (Jasper end as well as Query end) and discuss with RM about logic ")</f>
        <v>Debuging the error (Jasper end as well as Query end) and discuss with RM about logic </v>
      </c>
      <c r="B88" s="190">
        <f>IFERROR(__xludf.DUMMYFUNCTION("""COMPUTED_VALUE"""),5302.0)</f>
        <v>5302</v>
      </c>
      <c r="C88" s="191" t="str">
        <f>IFERROR(__xludf.DUMMYFUNCTION("""COMPUTED_VALUE"""),"Analytics report")</f>
        <v>Analytics report</v>
      </c>
      <c r="D88" s="192">
        <f>IFERROR(__xludf.DUMMYFUNCTION("""COMPUTED_VALUE"""),46199.67083333334)</f>
        <v>46199.67083</v>
      </c>
      <c r="E88" s="192">
        <f>IFERROR(__xludf.DUMMYFUNCTION("""COMPUTED_VALUE"""),46199.382101006944)</f>
        <v>46199.3821</v>
      </c>
      <c r="F88" s="192" t="str">
        <f>IFERROR(__xludf.DUMMYFUNCTION("""COMPUTED_VALUE"""),"Done")</f>
        <v>Done</v>
      </c>
      <c r="G88" s="183">
        <f>IFERROR(__xludf.DUMMYFUNCTION("""COMPUTED_VALUE"""),0.0)</f>
        <v>0</v>
      </c>
      <c r="H88" s="193" t="str">
        <f>IFERROR(__xludf.DUMMYFUNCTION("""COMPUTED_VALUE"""),"EMP0021 Tamanna Dewangan")</f>
        <v>EMP0021 Tamanna Dewangan</v>
      </c>
      <c r="I88" s="183"/>
      <c r="J88" s="173"/>
    </row>
    <row r="89">
      <c r="A89" s="195" t="str">
        <f>IFERROR(__xludf.DUMMYFUNCTION("""COMPUTED_VALUE"""),"Debuging the error (Jasper end as well as Query end) and discuss with RM about logic ")</f>
        <v>Debuging the error (Jasper end as well as Query end) and discuss with RM about logic </v>
      </c>
      <c r="B89" s="196">
        <f>IFERROR(__xludf.DUMMYFUNCTION("""COMPUTED_VALUE"""),5303.0)</f>
        <v>5303</v>
      </c>
      <c r="C89" s="55" t="str">
        <f>IFERROR(__xludf.DUMMYFUNCTION("""COMPUTED_VALUE"""),"otal Student and all matrix count mismatch Eg:999 College")</f>
        <v>otal Student and all matrix count mismatch Eg:999 College</v>
      </c>
      <c r="D89" s="84">
        <f>IFERROR(__xludf.DUMMYFUNCTION("""COMPUTED_VALUE"""),46199.67152777778)</f>
        <v>46199.67153</v>
      </c>
      <c r="E89" s="84">
        <f>IFERROR(__xludf.DUMMYFUNCTION("""COMPUTED_VALUE"""),46199.38214197917)</f>
        <v>46199.38214</v>
      </c>
      <c r="F89" s="84" t="str">
        <f>IFERROR(__xludf.DUMMYFUNCTION("""COMPUTED_VALUE"""),"Done")</f>
        <v>Done</v>
      </c>
      <c r="G89" s="76">
        <f>IFERROR(__xludf.DUMMYFUNCTION("""COMPUTED_VALUE"""),0.0)</f>
        <v>0</v>
      </c>
      <c r="H89" s="197" t="str">
        <f>IFERROR(__xludf.DUMMYFUNCTION("""COMPUTED_VALUE"""),"EMP0021 Tamanna Dewangan")</f>
        <v>EMP0021 Tamanna Dewangan</v>
      </c>
    </row>
    <row r="90">
      <c r="A90" s="195" t="str">
        <f>IFERROR(__xludf.DUMMYFUNCTION("""COMPUTED_VALUE"""),"Debuging the error (Jasper end as well as Query end) and discuss with RM about logic ")</f>
        <v>Debuging the error (Jasper end as well as Query end) and discuss with RM about logic </v>
      </c>
      <c r="B90" s="196">
        <f>IFERROR(__xludf.DUMMYFUNCTION("""COMPUTED_VALUE"""),5304.0)</f>
        <v>5304</v>
      </c>
      <c r="C90" s="55" t="str">
        <f>IFERROR(__xludf.DUMMYFUNCTION("""COMPUTED_VALUE"""),"otal Student and all matrix count mismatch Eg:999 College")</f>
        <v>otal Student and all matrix count mismatch Eg:999 College</v>
      </c>
      <c r="D90" s="84">
        <f>IFERROR(__xludf.DUMMYFUNCTION("""COMPUTED_VALUE"""),46199.67291666666)</f>
        <v>46199.67292</v>
      </c>
      <c r="E90" s="84">
        <f>IFERROR(__xludf.DUMMYFUNCTION("""COMPUTED_VALUE"""),46199.38290388889)</f>
        <v>46199.3829</v>
      </c>
      <c r="F90" s="84" t="str">
        <f>IFERROR(__xludf.DUMMYFUNCTION("""COMPUTED_VALUE"""),"Done")</f>
        <v>Done</v>
      </c>
      <c r="G90" s="76">
        <f>IFERROR(__xludf.DUMMYFUNCTION("""COMPUTED_VALUE"""),0.0)</f>
        <v>0</v>
      </c>
      <c r="H90" s="197" t="str">
        <f>IFERROR(__xludf.DUMMYFUNCTION("""COMPUTED_VALUE"""),"EMP0021 Tamanna Dewangan")</f>
        <v>EMP0021 Tamanna Dewangan</v>
      </c>
      <c r="J90" s="173"/>
    </row>
    <row r="91">
      <c r="A91" s="195" t="str">
        <f>IFERROR(__xludf.DUMMYFUNCTION("""COMPUTED_VALUE"""),"Debuging the error (Jasper end as well as Query end) and discuss with RM about logic ")</f>
        <v>Debuging the error (Jasper end as well as Query end) and discuss with RM about logic </v>
      </c>
      <c r="B91" s="196">
        <f>IFERROR(__xludf.DUMMYFUNCTION("""COMPUTED_VALUE"""),5305.0)</f>
        <v>5305</v>
      </c>
      <c r="C91" s="55" t="str">
        <f>IFERROR(__xludf.DUMMYFUNCTION("""COMPUTED_VALUE"""),"fee details")</f>
        <v>fee details</v>
      </c>
      <c r="D91" s="84">
        <f>IFERROR(__xludf.DUMMYFUNCTION("""COMPUTED_VALUE"""),46199.674305555556)</f>
        <v>46199.67431</v>
      </c>
      <c r="E91" s="84">
        <f>IFERROR(__xludf.DUMMYFUNCTION("""COMPUTED_VALUE"""),46199.38286578703)</f>
        <v>46199.38287</v>
      </c>
      <c r="F91" s="84" t="str">
        <f>IFERROR(__xludf.DUMMYFUNCTION("""COMPUTED_VALUE"""),"Done")</f>
        <v>Done</v>
      </c>
      <c r="G91" s="76">
        <f>IFERROR(__xludf.DUMMYFUNCTION("""COMPUTED_VALUE"""),0.0)</f>
        <v>0</v>
      </c>
      <c r="H91" s="197" t="str">
        <f>IFERROR(__xludf.DUMMYFUNCTION("""COMPUTED_VALUE"""),"EMP0021 Tamanna Dewangan")</f>
        <v>EMP0021 Tamanna Dewangan</v>
      </c>
      <c r="J91" s="173"/>
    </row>
    <row r="92">
      <c r="A92" s="195" t="str">
        <f>IFERROR(__xludf.DUMMYFUNCTION("""COMPUTED_VALUE"""),"Debuging the error (Jasper end as well as Query end) and discuss with RM about logic ")</f>
        <v>Debuging the error (Jasper end as well as Query end) and discuss with RM about logic </v>
      </c>
      <c r="B92" s="196">
        <f>IFERROR(__xludf.DUMMYFUNCTION("""COMPUTED_VALUE"""),5306.0)</f>
        <v>5306</v>
      </c>
      <c r="C92" s="55" t="str">
        <f>IFERROR(__xludf.DUMMYFUNCTION("""COMPUTED_VALUE"""),"DIGI LOKER Data new")</f>
        <v>DIGI LOKER Data new</v>
      </c>
      <c r="D92" s="84">
        <f>IFERROR(__xludf.DUMMYFUNCTION("""COMPUTED_VALUE"""),46199.72536237268)</f>
        <v>46199.72536</v>
      </c>
      <c r="E92" s="84">
        <f>IFERROR(__xludf.DUMMYFUNCTION("""COMPUTED_VALUE"""),46199.46739435185)</f>
        <v>46199.46739</v>
      </c>
      <c r="F92" s="84" t="str">
        <f>IFERROR(__xludf.DUMMYFUNCTION("""COMPUTED_VALUE"""),"Done")</f>
        <v>Done</v>
      </c>
      <c r="G92" s="76">
        <f>IFERROR(__xludf.DUMMYFUNCTION("""COMPUTED_VALUE"""),0.0)</f>
        <v>0</v>
      </c>
      <c r="H92" s="197" t="str">
        <f>IFERROR(__xludf.DUMMYFUNCTION("""COMPUTED_VALUE"""),"EMP5009 Rup Kumar Mandal")</f>
        <v>EMP5009 Rup Kumar Mandal</v>
      </c>
      <c r="J92" s="173"/>
    </row>
    <row r="93">
      <c r="A93" s="195" t="str">
        <f>IFERROR(__xludf.DUMMYFUNCTION("""COMPUTED_VALUE"""),"Debuging the error (Jasper end as well as Query end) and discuss with RM about logic ")</f>
        <v>Debuging the error (Jasper end as well as Query end) and discuss with RM about logic </v>
      </c>
      <c r="B93" s="196">
        <f>IFERROR(__xludf.DUMMYFUNCTION("""COMPUTED_VALUE"""),5307.0)</f>
        <v>5307</v>
      </c>
      <c r="C93" s="55" t="str">
        <f>IFERROR(__xludf.DUMMYFUNCTION("""COMPUTED_VALUE"""),"TR BCA ")</f>
        <v>TR BCA </v>
      </c>
      <c r="D93" s="84">
        <f>IFERROR(__xludf.DUMMYFUNCTION("""COMPUTED_VALUE"""),46200.59722222222)</f>
        <v>46200.59722</v>
      </c>
      <c r="E93" s="84">
        <f>IFERROR(__xludf.DUMMYFUNCTION("""COMPUTED_VALUE"""),46200.5519221875)</f>
        <v>46200.55192</v>
      </c>
      <c r="F93" s="84" t="str">
        <f>IFERROR(__xludf.DUMMYFUNCTION("""COMPUTED_VALUE"""),"Done")</f>
        <v>Done</v>
      </c>
      <c r="G93" s="76">
        <f>IFERROR(__xludf.DUMMYFUNCTION("""COMPUTED_VALUE"""),0.0)</f>
        <v>0</v>
      </c>
      <c r="H93" s="197" t="str">
        <f>IFERROR(__xludf.DUMMYFUNCTION("""COMPUTED_VALUE"""),"EMP0237 Swarnendu Chakraborty")</f>
        <v>EMP0237 Swarnendu Chakraborty</v>
      </c>
      <c r="J93" s="173"/>
    </row>
    <row r="94">
      <c r="A94" s="189" t="str">
        <f>IFERROR(__xludf.DUMMYFUNCTION("""COMPUTED_VALUE"""),"Debuging the error (Jasper end as well as Query end) and discuss with RM about logic ")</f>
        <v>Debuging the error (Jasper end as well as Query end) and discuss with RM about logic </v>
      </c>
      <c r="B94" s="190">
        <f>IFERROR(__xludf.DUMMYFUNCTION("""COMPUTED_VALUE"""),5308.0)</f>
        <v>5308</v>
      </c>
      <c r="C94" s="191" t="str">
        <f>IFERROR(__xludf.DUMMYFUNCTION("""COMPUTED_VALUE"""),"MULTIPLE REPORT ")</f>
        <v>MULTIPLE REPORT </v>
      </c>
      <c r="D94" s="192">
        <f>IFERROR(__xludf.DUMMYFUNCTION("""COMPUTED_VALUE"""),46200.61597222222)</f>
        <v>46200.61597</v>
      </c>
      <c r="E94" s="192">
        <f>IFERROR(__xludf.DUMMYFUNCTION("""COMPUTED_VALUE"""),46200.5519424074)</f>
        <v>46200.55194</v>
      </c>
      <c r="F94" s="192" t="str">
        <f>IFERROR(__xludf.DUMMYFUNCTION("""COMPUTED_VALUE"""),"Done")</f>
        <v>Done</v>
      </c>
      <c r="G94" s="183">
        <f>IFERROR(__xludf.DUMMYFUNCTION("""COMPUTED_VALUE"""),0.0)</f>
        <v>0</v>
      </c>
      <c r="H94" s="193" t="str">
        <f>IFERROR(__xludf.DUMMYFUNCTION("""COMPUTED_VALUE"""),"EMP0042 HULESHWAR KUMAR SAHU")</f>
        <v>EMP0042 HULESHWAR KUMAR SAHU</v>
      </c>
      <c r="I94" s="183"/>
      <c r="J94" s="173"/>
    </row>
    <row r="95">
      <c r="A95" s="189" t="str">
        <f>IFERROR(__xludf.DUMMYFUNCTION("""COMPUTED_VALUE"""),"Debuging the error (Jasper end as well as Query end) and discuss with RM about logic ")</f>
        <v>Debuging the error (Jasper end as well as Query end) and discuss with RM about logic </v>
      </c>
      <c r="B95" s="190">
        <f>IFERROR(__xludf.DUMMYFUNCTION("""COMPUTED_VALUE"""),5309.0)</f>
        <v>5309</v>
      </c>
      <c r="C95" s="191" t="str">
        <f>IFERROR(__xludf.DUMMYFUNCTION("""COMPUTED_VALUE"""),"MULTIPLE REPORT")</f>
        <v>MULTIPLE REPORT</v>
      </c>
      <c r="D95" s="192">
        <f>IFERROR(__xludf.DUMMYFUNCTION("""COMPUTED_VALUE"""),46200.74251870371)</f>
        <v>46200.74252</v>
      </c>
      <c r="E95" s="192">
        <f>IFERROR(__xludf.DUMMYFUNCTION("""COMPUTED_VALUE"""),46200.551958819444)</f>
        <v>46200.55196</v>
      </c>
      <c r="F95" s="192" t="str">
        <f>IFERROR(__xludf.DUMMYFUNCTION("""COMPUTED_VALUE"""),"Done")</f>
        <v>Done</v>
      </c>
      <c r="G95" s="183">
        <f>IFERROR(__xludf.DUMMYFUNCTION("""COMPUTED_VALUE"""),0.0)</f>
        <v>0</v>
      </c>
      <c r="H95" s="193" t="str">
        <f>IFERROR(__xludf.DUMMYFUNCTION("""COMPUTED_VALUE"""),"EMP0042 HULESHWAR KUMAR SAHU")</f>
        <v>EMP0042 HULESHWAR KUMAR SAHU</v>
      </c>
      <c r="I95" s="183"/>
      <c r="J95" s="173"/>
    </row>
    <row r="96">
      <c r="A96" s="189" t="str">
        <f>IFERROR(__xludf.DUMMYFUNCTION("""COMPUTED_VALUE"""),"Debuging the error (Jasper end as well as Query end) and discuss with RM about logic ")</f>
        <v>Debuging the error (Jasper end as well as Query end) and discuss with RM about logic </v>
      </c>
      <c r="B96" s="190">
        <f>IFERROR(__xludf.DUMMYFUNCTION("""COMPUTED_VALUE"""),5310.0)</f>
        <v>5310</v>
      </c>
      <c r="C96" s="191" t="str">
        <f>IFERROR(__xludf.DUMMYFUNCTION("""COMPUTED_VALUE"""),"TR/Result hosting -new cbcs tr ")</f>
        <v>TR/Result hosting -new cbcs tr </v>
      </c>
      <c r="D96" s="192">
        <f>IFERROR(__xludf.DUMMYFUNCTION("""COMPUTED_VALUE"""),46200.758454606475)</f>
        <v>46200.75845</v>
      </c>
      <c r="E96" s="192">
        <f>IFERROR(__xludf.DUMMYFUNCTION("""COMPUTED_VALUE"""),46200.551877453705)</f>
        <v>46200.55188</v>
      </c>
      <c r="F96" s="192" t="str">
        <f>IFERROR(__xludf.DUMMYFUNCTION("""COMPUTED_VALUE"""),"Done")</f>
        <v>Done</v>
      </c>
      <c r="G96" s="183">
        <f>IFERROR(__xludf.DUMMYFUNCTION("""COMPUTED_VALUE"""),0.0)</f>
        <v>0</v>
      </c>
      <c r="H96" s="193" t="str">
        <f>IFERROR(__xludf.DUMMYFUNCTION("""COMPUTED_VALUE"""),"EMP0237 Swarnendu Chakraborty")</f>
        <v>EMP0237 Swarnendu Chakraborty</v>
      </c>
      <c r="I96" s="183"/>
      <c r="J96" s="173"/>
    </row>
    <row r="97">
      <c r="A97" s="189" t="str">
        <f>IFERROR(__xludf.DUMMYFUNCTION("""COMPUTED_VALUE"""),"Solution / Check data in database according to new logics                ")</f>
        <v>Solution / Check data in database according to new logics                </v>
      </c>
      <c r="B97" s="190">
        <f>IFERROR(__xludf.DUMMYFUNCTION("""COMPUTED_VALUE"""),5274.0)</f>
        <v>5274</v>
      </c>
      <c r="C97" s="191" t="str">
        <f>IFERROR(__xludf.DUMMYFUNCTION("""COMPUTED_VALUE"""),"studnet subject mapping ")</f>
        <v>studnet subject mapping </v>
      </c>
      <c r="D97" s="192">
        <f>IFERROR(__xludf.DUMMYFUNCTION("""COMPUTED_VALUE"""),46195.49375)</f>
        <v>46195.49375</v>
      </c>
      <c r="E97" s="192">
        <f>IFERROR(__xludf.DUMMYFUNCTION("""COMPUTED_VALUE"""),46192.66745674769)</f>
        <v>46192.66746</v>
      </c>
      <c r="F97" s="192" t="str">
        <f>IFERROR(__xludf.DUMMYFUNCTION("""COMPUTED_VALUE"""),"Done")</f>
        <v>Done</v>
      </c>
      <c r="G97" s="183">
        <f>IFERROR(__xludf.DUMMYFUNCTION("""COMPUTED_VALUE"""),0.0)</f>
        <v>0</v>
      </c>
      <c r="H97" s="193" t="str">
        <f>IFERROR(__xludf.DUMMYFUNCTION("""COMPUTED_VALUE"""),"EMP0042 HULESHWAR KUMAR SAHU")</f>
        <v>EMP0042 HULESHWAR KUMAR SAHU</v>
      </c>
      <c r="I97" s="183"/>
    </row>
    <row r="98">
      <c r="A98" s="189" t="str">
        <f>IFERROR(__xludf.DUMMYFUNCTION("""COMPUTED_VALUE"""),"Solution / Check data in database according to new logics                ")</f>
        <v>Solution / Check data in database according to new logics                </v>
      </c>
      <c r="B98" s="190">
        <f>IFERROR(__xludf.DUMMYFUNCTION("""COMPUTED_VALUE"""),5275.0)</f>
        <v>5275</v>
      </c>
      <c r="C98" s="191" t="str">
        <f>IFERROR(__xludf.DUMMYFUNCTION("""COMPUTED_VALUE"""),"NEP DIGI LOCKER CORRECTION")</f>
        <v>NEP DIGI LOCKER CORRECTION</v>
      </c>
      <c r="D98" s="192">
        <f>IFERROR(__xludf.DUMMYFUNCTION("""COMPUTED_VALUE"""),46195.56041666667)</f>
        <v>46195.56042</v>
      </c>
      <c r="E98" s="192">
        <f>IFERROR(__xludf.DUMMYFUNCTION("""COMPUTED_VALUE"""),46192.79033100694)</f>
        <v>46192.79033</v>
      </c>
      <c r="F98" s="192" t="str">
        <f>IFERROR(__xludf.DUMMYFUNCTION("""COMPUTED_VALUE"""),"Done")</f>
        <v>Done</v>
      </c>
      <c r="G98" s="183">
        <f>IFERROR(__xludf.DUMMYFUNCTION("""COMPUTED_VALUE"""),0.0)</f>
        <v>0</v>
      </c>
      <c r="H98" s="193" t="str">
        <f>IFERROR(__xludf.DUMMYFUNCTION("""COMPUTED_VALUE"""),"EMP0042 HULESHWAR KUMAR SAHU")</f>
        <v>EMP0042 HULESHWAR KUMAR SAHU</v>
      </c>
      <c r="I98" s="183"/>
      <c r="J98" s="173"/>
    </row>
    <row r="99">
      <c r="A99" s="189" t="str">
        <f>IFERROR(__xludf.DUMMYFUNCTION("""COMPUTED_VALUE"""),"Solution / Check data in database according to new logics                ")</f>
        <v>Solution / Check data in database according to new logics                </v>
      </c>
      <c r="B99" s="190">
        <f>IFERROR(__xludf.DUMMYFUNCTION("""COMPUTED_VALUE"""),5276.0)</f>
        <v>5276</v>
      </c>
      <c r="C99" s="191" t="str">
        <f>IFERROR(__xludf.DUMMYFUNCTION("""COMPUTED_VALUE"""),"	TR PARAMEDICAL Old Logic")</f>
        <v>	TR PARAMEDICAL Old Logic</v>
      </c>
      <c r="D99" s="192">
        <f>IFERROR(__xludf.DUMMYFUNCTION("""COMPUTED_VALUE"""),46195.586805555555)</f>
        <v>46195.58681</v>
      </c>
      <c r="E99" s="192">
        <f>IFERROR(__xludf.DUMMYFUNCTION("""COMPUTED_VALUE"""),46192.790347118054)</f>
        <v>46192.79035</v>
      </c>
      <c r="F99" s="192" t="str">
        <f>IFERROR(__xludf.DUMMYFUNCTION("""COMPUTED_VALUE"""),"Done")</f>
        <v>Done</v>
      </c>
      <c r="G99" s="183">
        <f>IFERROR(__xludf.DUMMYFUNCTION("""COMPUTED_VALUE"""),0.0)</f>
        <v>0</v>
      </c>
      <c r="H99" s="193" t="str">
        <f>IFERROR(__xludf.DUMMYFUNCTION("""COMPUTED_VALUE"""),"EMP0042 HULESHWAR KUMAR SAHU")</f>
        <v>EMP0042 HULESHWAR KUMAR SAHU</v>
      </c>
      <c r="I99" s="183"/>
      <c r="J99" s="173"/>
    </row>
    <row r="100">
      <c r="A100" s="189" t="str">
        <f>IFERROR(__xludf.DUMMYFUNCTION("""COMPUTED_VALUE"""),"Solution / Check data in database according to new logics                ")</f>
        <v>Solution / Check data in database according to new logics                </v>
      </c>
      <c r="B100" s="190">
        <f>IFERROR(__xludf.DUMMYFUNCTION("""COMPUTED_VALUE"""),5277.0)</f>
        <v>5277</v>
      </c>
      <c r="C100" s="191" t="str">
        <f>IFERROR(__xludf.DUMMYFUNCTION("""COMPUTED_VALUE"""),"packet_detail_report.jasper")</f>
        <v>packet_detail_report.jasper</v>
      </c>
      <c r="D100" s="192">
        <f>IFERROR(__xludf.DUMMYFUNCTION("""COMPUTED_VALUE"""),46195.82291666667)</f>
        <v>46195.82292</v>
      </c>
      <c r="E100" s="192">
        <f>IFERROR(__xludf.DUMMYFUNCTION("""COMPUTED_VALUE"""),46193.65265164351)</f>
        <v>46193.65265</v>
      </c>
      <c r="F100" s="192" t="str">
        <f>IFERROR(__xludf.DUMMYFUNCTION("""COMPUTED_VALUE"""),"Done")</f>
        <v>Done</v>
      </c>
      <c r="G100" s="183">
        <f>IFERROR(__xludf.DUMMYFUNCTION("""COMPUTED_VALUE"""),0.0)</f>
        <v>0</v>
      </c>
      <c r="H100" s="193" t="str">
        <f>IFERROR(__xludf.DUMMYFUNCTION("""COMPUTED_VALUE"""),"EMP5009 Rup Kumar Mandal")</f>
        <v>EMP5009 Rup Kumar Mandal</v>
      </c>
      <c r="I100" s="183"/>
      <c r="J100" s="173"/>
    </row>
    <row r="101">
      <c r="A101" s="195" t="str">
        <f>IFERROR(__xludf.DUMMYFUNCTION("""COMPUTED_VALUE"""),"Solution / Check data in database according to new logics                ")</f>
        <v>Solution / Check data in database according to new logics                </v>
      </c>
      <c r="B101" s="196">
        <f>IFERROR(__xludf.DUMMYFUNCTION("""COMPUTED_VALUE"""),5278.0)</f>
        <v>5278</v>
      </c>
      <c r="C101" s="55" t="str">
        <f>IFERROR(__xludf.DUMMYFUNCTION("""COMPUTED_VALUE"""),"Evaluation report anna.")</f>
        <v>Evaluation report anna.</v>
      </c>
      <c r="D101" s="84">
        <f>IFERROR(__xludf.DUMMYFUNCTION("""COMPUTED_VALUE"""),46196.44236111111)</f>
        <v>46196.44236</v>
      </c>
      <c r="E101" s="84">
        <f>IFERROR(__xludf.DUMMYFUNCTION("""COMPUTED_VALUE"""),46193.65265164351)</f>
        <v>46193.65265</v>
      </c>
      <c r="F101" s="84" t="str">
        <f>IFERROR(__xludf.DUMMYFUNCTION("""COMPUTED_VALUE"""),"Done")</f>
        <v>Done</v>
      </c>
      <c r="G101" s="76">
        <f>IFERROR(__xludf.DUMMYFUNCTION("""COMPUTED_VALUE"""),0.0)</f>
        <v>0</v>
      </c>
      <c r="H101" s="197" t="str">
        <f>IFERROR(__xludf.DUMMYFUNCTION("""COMPUTED_VALUE"""),"EMP5009 Rup Kumar Mandal")</f>
        <v>EMP5009 Rup Kumar Mandal</v>
      </c>
      <c r="J101" s="173"/>
    </row>
    <row r="102">
      <c r="A102" s="189" t="str">
        <f>IFERROR(__xludf.DUMMYFUNCTION("""COMPUTED_VALUE"""),"Solution / Check data in database according to new logics                ")</f>
        <v>Solution / Check data in database according to new logics                </v>
      </c>
      <c r="B102" s="190">
        <f>IFERROR(__xludf.DUMMYFUNCTION("""COMPUTED_VALUE"""),5279.0)</f>
        <v>5279</v>
      </c>
      <c r="C102" s="191" t="str">
        <f>IFERROR(__xludf.DUMMYFUNCTION("""COMPUTED_VALUE"""),"SMKV")</f>
        <v>SMKV</v>
      </c>
      <c r="D102" s="192">
        <f>IFERROR(__xludf.DUMMYFUNCTION("""COMPUTED_VALUE"""),46196.55625)</f>
        <v>46196.55625</v>
      </c>
      <c r="E102" s="192">
        <f>IFERROR(__xludf.DUMMYFUNCTION("""COMPUTED_VALUE"""),46195.50152614583)</f>
        <v>46195.50153</v>
      </c>
      <c r="F102" s="192" t="str">
        <f>IFERROR(__xludf.DUMMYFUNCTION("""COMPUTED_VALUE"""),"Done")</f>
        <v>Done</v>
      </c>
      <c r="G102" s="183">
        <f>IFERROR(__xludf.DUMMYFUNCTION("""COMPUTED_VALUE"""),0.0)</f>
        <v>0</v>
      </c>
      <c r="H102" s="193" t="str">
        <f>IFERROR(__xludf.DUMMYFUNCTION("""COMPUTED_VALUE"""),"EMP0042 HULESHWAR KUMAR SAHU")</f>
        <v>EMP0042 HULESHWAR KUMAR SAHU</v>
      </c>
      <c r="I102" s="183"/>
      <c r="J102" s="173"/>
    </row>
    <row r="103">
      <c r="A103" s="195" t="str">
        <f>IFERROR(__xludf.DUMMYFUNCTION("""COMPUTED_VALUE"""),"Solution / Check data in database according to new logics                ")</f>
        <v>Solution / Check data in database according to new logics                </v>
      </c>
      <c r="B103" s="196">
        <f>IFERROR(__xludf.DUMMYFUNCTION("""COMPUTED_VALUE"""),5280.0)</f>
        <v>5280</v>
      </c>
      <c r="C103" s="55" t="str">
        <f>IFERROR(__xludf.DUMMYFUNCTION("""COMPUTED_VALUE"""),"SMKV ")</f>
        <v>SMKV </v>
      </c>
      <c r="D103" s="84">
        <f>IFERROR(__xludf.DUMMYFUNCTION("""COMPUTED_VALUE"""),46196.55694444444)</f>
        <v>46196.55694</v>
      </c>
      <c r="E103" s="84">
        <f>IFERROR(__xludf.DUMMYFUNCTION("""COMPUTED_VALUE"""),46195.501544108796)</f>
        <v>46195.50154</v>
      </c>
      <c r="F103" s="84" t="str">
        <f>IFERROR(__xludf.DUMMYFUNCTION("""COMPUTED_VALUE"""),"Done")</f>
        <v>Done</v>
      </c>
      <c r="G103" s="76">
        <f>IFERROR(__xludf.DUMMYFUNCTION("""COMPUTED_VALUE"""),0.0)</f>
        <v>0</v>
      </c>
      <c r="H103" s="197" t="str">
        <f>IFERROR(__xludf.DUMMYFUNCTION("""COMPUTED_VALUE"""),"EMP0042 HULESHWAR KUMAR SAHU")</f>
        <v>EMP0042 HULESHWAR KUMAR SAHU</v>
      </c>
      <c r="J103" s="173"/>
    </row>
    <row r="104">
      <c r="A104" s="195" t="str">
        <f>IFERROR(__xludf.DUMMYFUNCTION("""COMPUTED_VALUE"""),"Solution / Check data in database according to new logics                ")</f>
        <v>Solution / Check data in database according to new logics                </v>
      </c>
      <c r="B104" s="196">
        <f>IFERROR(__xludf.DUMMYFUNCTION("""COMPUTED_VALUE"""),5281.0)</f>
        <v>5281</v>
      </c>
      <c r="C104" s="55" t="str">
        <f>IFERROR(__xludf.DUMMYFUNCTION("""COMPUTED_VALUE"""),"SMKV")</f>
        <v>SMKV</v>
      </c>
      <c r="D104" s="84">
        <f>IFERROR(__xludf.DUMMYFUNCTION("""COMPUTED_VALUE"""),46196.55763888889)</f>
        <v>46196.55764</v>
      </c>
      <c r="E104" s="84">
        <f>IFERROR(__xludf.DUMMYFUNCTION("""COMPUTED_VALUE"""),46195.501569976856)</f>
        <v>46195.50157</v>
      </c>
      <c r="F104" s="84" t="str">
        <f>IFERROR(__xludf.DUMMYFUNCTION("""COMPUTED_VALUE"""),"Done")</f>
        <v>Done</v>
      </c>
      <c r="G104" s="76">
        <f>IFERROR(__xludf.DUMMYFUNCTION("""COMPUTED_VALUE"""),0.0)</f>
        <v>0</v>
      </c>
      <c r="H104" s="197" t="str">
        <f>IFERROR(__xludf.DUMMYFUNCTION("""COMPUTED_VALUE"""),"EMP0042 HULESHWAR KUMAR SAHU")</f>
        <v>EMP0042 HULESHWAR KUMAR SAHU</v>
      </c>
      <c r="J104" s="173"/>
    </row>
    <row r="105">
      <c r="A105" s="195" t="str">
        <f>IFERROR(__xludf.DUMMYFUNCTION("""COMPUTED_VALUE"""),"Solution / Check data in database according to new logics                ")</f>
        <v>Solution / Check data in database according to new logics                </v>
      </c>
      <c r="B105" s="196">
        <f>IFERROR(__xludf.DUMMYFUNCTION("""COMPUTED_VALUE"""),5282.0)</f>
        <v>5282</v>
      </c>
      <c r="C105" s="55" t="str">
        <f>IFERROR(__xludf.DUMMYFUNCTION("""COMPUTED_VALUE"""),"Manual_Cash_Counter")</f>
        <v>Manual_Cash_Counter</v>
      </c>
      <c r="D105" s="84">
        <f>IFERROR(__xludf.DUMMYFUNCTION("""COMPUTED_VALUE"""),46196.80208333333)</f>
        <v>46196.80208</v>
      </c>
      <c r="E105" s="84">
        <f>IFERROR(__xludf.DUMMYFUNCTION("""COMPUTED_VALUE"""),46196.559962175925)</f>
        <v>46196.55996</v>
      </c>
      <c r="F105" s="84" t="str">
        <f>IFERROR(__xludf.DUMMYFUNCTION("""COMPUTED_VALUE"""),"Done")</f>
        <v>Done</v>
      </c>
      <c r="G105" s="76">
        <f>IFERROR(__xludf.DUMMYFUNCTION("""COMPUTED_VALUE"""),0.0)</f>
        <v>0</v>
      </c>
      <c r="H105" s="197" t="str">
        <f>IFERROR(__xludf.DUMMYFUNCTION("""COMPUTED_VALUE"""),"EMP5009 Rup Kumar Mandal")</f>
        <v>EMP5009 Rup Kumar Mandal</v>
      </c>
    </row>
    <row r="106">
      <c r="A106" s="189" t="str">
        <f>IFERROR(__xludf.DUMMYFUNCTION("""COMPUTED_VALUE"""),"Solution / Check data in database according to new logics                ")</f>
        <v>Solution / Check data in database according to new logics                </v>
      </c>
      <c r="B106" s="190">
        <f>IFERROR(__xludf.DUMMYFUNCTION("""COMPUTED_VALUE"""),5283.0)</f>
        <v>5283</v>
      </c>
      <c r="C106" s="191" t="str">
        <f>IFERROR(__xludf.DUMMYFUNCTION("""COMPUTED_VALUE"""),"Studentwise Cash Counter")</f>
        <v>Studentwise Cash Counter</v>
      </c>
      <c r="D106" s="192">
        <f>IFERROR(__xludf.DUMMYFUNCTION("""COMPUTED_VALUE"""),46196.802777777775)</f>
        <v>46196.80278</v>
      </c>
      <c r="E106" s="192">
        <f>IFERROR(__xludf.DUMMYFUNCTION("""COMPUTED_VALUE"""),46196.55997984954)</f>
        <v>46196.55998</v>
      </c>
      <c r="F106" s="192" t="str">
        <f>IFERROR(__xludf.DUMMYFUNCTION("""COMPUTED_VALUE"""),"Done")</f>
        <v>Done</v>
      </c>
      <c r="G106" s="183">
        <f>IFERROR(__xludf.DUMMYFUNCTION("""COMPUTED_VALUE"""),0.0)</f>
        <v>0</v>
      </c>
      <c r="H106" s="193" t="str">
        <f>IFERROR(__xludf.DUMMYFUNCTION("""COMPUTED_VALUE"""),"EMP5009 Rup Kumar Mandal")</f>
        <v>EMP5009 Rup Kumar Mandal</v>
      </c>
      <c r="I106" s="183"/>
    </row>
    <row r="107">
      <c r="A107" s="195" t="str">
        <f>IFERROR(__xludf.DUMMYFUNCTION("""COMPUTED_VALUE"""),"Solution / Check data in database according to new logics                ")</f>
        <v>Solution / Check data in database according to new logics                </v>
      </c>
      <c r="B107" s="196">
        <f>IFERROR(__xludf.DUMMYFUNCTION("""COMPUTED_VALUE"""),5284.0)</f>
        <v>5284</v>
      </c>
      <c r="C107" s="55" t="str">
        <f>IFERROR(__xludf.DUMMYFUNCTION("""COMPUTED_VALUE"""),"evaluation report anna.")</f>
        <v>evaluation report anna.</v>
      </c>
      <c r="D107" s="84">
        <f>IFERROR(__xludf.DUMMYFUNCTION("""COMPUTED_VALUE"""),46197.53263888889)</f>
        <v>46197.53264</v>
      </c>
      <c r="E107" s="84">
        <f>IFERROR(__xludf.DUMMYFUNCTION("""COMPUTED_VALUE"""),46196.7782529051)</f>
        <v>46196.77825</v>
      </c>
      <c r="F107" s="84" t="str">
        <f>IFERROR(__xludf.DUMMYFUNCTION("""COMPUTED_VALUE"""),"Done")</f>
        <v>Done</v>
      </c>
      <c r="G107" s="76">
        <f>IFERROR(__xludf.DUMMYFUNCTION("""COMPUTED_VALUE"""),0.0)</f>
        <v>0</v>
      </c>
      <c r="H107" s="197" t="str">
        <f>IFERROR(__xludf.DUMMYFUNCTION("""COMPUTED_VALUE"""),"EMP5009 Rup Kumar Mandal")</f>
        <v>EMP5009 Rup Kumar Mandal</v>
      </c>
    </row>
    <row r="108">
      <c r="A108" s="195" t="str">
        <f>IFERROR(__xludf.DUMMYFUNCTION("""COMPUTED_VALUE"""),"Solution / Check data in database according to new logics                ")</f>
        <v>Solution / Check data in database according to new logics                </v>
      </c>
      <c r="B108" s="196">
        <f>IFERROR(__xludf.DUMMYFUNCTION("""COMPUTED_VALUE"""),5285.0)</f>
        <v>5285</v>
      </c>
      <c r="C108" s="55" t="str">
        <f>IFERROR(__xludf.DUMMYFUNCTION("""COMPUTED_VALUE"""),"MULTIPLE REPORT")</f>
        <v>MULTIPLE REPORT</v>
      </c>
      <c r="D108" s="84">
        <f>IFERROR(__xludf.DUMMYFUNCTION("""COMPUTED_VALUE"""),46197.53402777778)</f>
        <v>46197.53403</v>
      </c>
      <c r="E108" s="84">
        <f>IFERROR(__xludf.DUMMYFUNCTION("""COMPUTED_VALUE"""),46197.49032203703)</f>
        <v>46197.49032</v>
      </c>
      <c r="F108" s="84" t="str">
        <f>IFERROR(__xludf.DUMMYFUNCTION("""COMPUTED_VALUE"""),"Done")</f>
        <v>Done</v>
      </c>
      <c r="G108" s="76">
        <f>IFERROR(__xludf.DUMMYFUNCTION("""COMPUTED_VALUE"""),0.0)</f>
        <v>0</v>
      </c>
      <c r="H108" s="197" t="str">
        <f>IFERROR(__xludf.DUMMYFUNCTION("""COMPUTED_VALUE"""),"EMP0042 HULESHWAR KUMAR SAHU")</f>
        <v>EMP0042 HULESHWAR KUMAR SAHU</v>
      </c>
      <c r="J108" s="173"/>
    </row>
    <row r="109">
      <c r="A109" s="195" t="str">
        <f>IFERROR(__xludf.DUMMYFUNCTION("""COMPUTED_VALUE"""),"Solution / Check data in database according to new logics                ")</f>
        <v>Solution / Check data in database according to new logics                </v>
      </c>
      <c r="B109" s="196">
        <f>IFERROR(__xludf.DUMMYFUNCTION("""COMPUTED_VALUE"""),5286.0)</f>
        <v>5286</v>
      </c>
      <c r="C109" s="55" t="str">
        <f>IFERROR(__xludf.DUMMYFUNCTION("""COMPUTED_VALUE"""),"2781")</f>
        <v>2781</v>
      </c>
      <c r="D109" s="84">
        <f>IFERROR(__xludf.DUMMYFUNCTION("""COMPUTED_VALUE"""),46198.42916666667)</f>
        <v>46198.42917</v>
      </c>
      <c r="E109" s="84">
        <f>IFERROR(__xludf.DUMMYFUNCTION("""COMPUTED_VALUE"""),46198.406847094906)</f>
        <v>46198.40685</v>
      </c>
      <c r="F109" s="84" t="str">
        <f>IFERROR(__xludf.DUMMYFUNCTION("""COMPUTED_VALUE"""),"Done")</f>
        <v>Done</v>
      </c>
      <c r="G109" s="76">
        <f>IFERROR(__xludf.DUMMYFUNCTION("""COMPUTED_VALUE"""),0.0)</f>
        <v>0</v>
      </c>
      <c r="H109" s="197" t="str">
        <f>IFERROR(__xludf.DUMMYFUNCTION("""COMPUTED_VALUE"""),"EMP5009 Rup Kumar Mandal")</f>
        <v>EMP5009 Rup Kumar Mandal</v>
      </c>
    </row>
    <row r="110">
      <c r="A110" s="195" t="str">
        <f>IFERROR(__xludf.DUMMYFUNCTION("""COMPUTED_VALUE"""),"Solution / Check data in database according to new logics                ")</f>
        <v>Solution / Check data in database according to new logics                </v>
      </c>
      <c r="B110" s="196">
        <f>IFERROR(__xludf.DUMMYFUNCTION("""COMPUTED_VALUE"""),5287.0)</f>
        <v>5287</v>
      </c>
      <c r="C110" s="55" t="str">
        <f>IFERROR(__xludf.DUMMYFUNCTION("""COMPUTED_VALUE"""),"TR REPORT")</f>
        <v>TR REPORT</v>
      </c>
      <c r="D110" s="84">
        <f>IFERROR(__xludf.DUMMYFUNCTION("""COMPUTED_VALUE"""),46198.76388888889)</f>
        <v>46198.76389</v>
      </c>
      <c r="E110" s="84">
        <f>IFERROR(__xludf.DUMMYFUNCTION("""COMPUTED_VALUE"""),46198.47336199074)</f>
        <v>46198.47336</v>
      </c>
      <c r="F110" s="84" t="str">
        <f>IFERROR(__xludf.DUMMYFUNCTION("""COMPUTED_VALUE"""),"Done")</f>
        <v>Done</v>
      </c>
      <c r="G110" s="76">
        <f>IFERROR(__xludf.DUMMYFUNCTION("""COMPUTED_VALUE"""),0.0)</f>
        <v>0</v>
      </c>
      <c r="H110" s="197" t="str">
        <f>IFERROR(__xludf.DUMMYFUNCTION("""COMPUTED_VALUE"""),"EMP0237 Swarnendu Chakraborty")</f>
        <v>EMP0237 Swarnendu Chakraborty</v>
      </c>
      <c r="J110" s="173"/>
    </row>
    <row r="111">
      <c r="A111" s="195" t="str">
        <f>IFERROR(__xludf.DUMMYFUNCTION("""COMPUTED_VALUE"""),"Solution / Check data in database according to new logics                ")</f>
        <v>Solution / Check data in database according to new logics                </v>
      </c>
      <c r="B111" s="196">
        <f>IFERROR(__xludf.DUMMYFUNCTION("""COMPUTED_VALUE"""),5288.0)</f>
        <v>5288</v>
      </c>
      <c r="C111" s="55" t="str">
        <f>IFERROR(__xludf.DUMMYFUNCTION("""COMPUTED_VALUE"""),"5coltrsem6sem_elective_back_")</f>
        <v>5coltrsem6sem_elective_back_</v>
      </c>
      <c r="D111" s="84">
        <f>IFERROR(__xludf.DUMMYFUNCTION("""COMPUTED_VALUE"""),46198.794444444444)</f>
        <v>46198.79444</v>
      </c>
      <c r="E111" s="84">
        <f>IFERROR(__xludf.DUMMYFUNCTION("""COMPUTED_VALUE"""),46197.62865607639)</f>
        <v>46197.62866</v>
      </c>
      <c r="F111" s="84" t="str">
        <f>IFERROR(__xludf.DUMMYFUNCTION("""COMPUTED_VALUE"""),"Done")</f>
        <v>Done</v>
      </c>
      <c r="G111" s="76">
        <f>IFERROR(__xludf.DUMMYFUNCTION("""COMPUTED_VALUE"""),0.0)</f>
        <v>0</v>
      </c>
      <c r="H111" s="197" t="str">
        <f>IFERROR(__xludf.DUMMYFUNCTION("""COMPUTED_VALUE"""),"EMP0042 HULESHWAR KUMAR SAHU")</f>
        <v>EMP0042 HULESHWAR KUMAR SAHU</v>
      </c>
    </row>
    <row r="112">
      <c r="A112" s="195" t="str">
        <f>IFERROR(__xludf.DUMMYFUNCTION("""COMPUTED_VALUE"""),"Solution / Check data in database according to new logics                ")</f>
        <v>Solution / Check data in database according to new logics                </v>
      </c>
      <c r="B112" s="196">
        <f>IFERROR(__xludf.DUMMYFUNCTION("""COMPUTED_VALUE"""),5289.0)</f>
        <v>5289</v>
      </c>
      <c r="C112" s="55" t="str">
        <f>IFERROR(__xludf.DUMMYFUNCTION("""COMPUTED_VALUE"""),"Marksheet (D.PHARMA)")</f>
        <v>Marksheet (D.PHARMA)</v>
      </c>
      <c r="D112" s="84">
        <f>IFERROR(__xludf.DUMMYFUNCTION("""COMPUTED_VALUE"""),46198.802777777775)</f>
        <v>46198.80278</v>
      </c>
      <c r="E112" s="84">
        <f>IFERROR(__xludf.DUMMYFUNCTION("""COMPUTED_VALUE"""),46197.58766928241)</f>
        <v>46197.58767</v>
      </c>
      <c r="F112" s="84" t="str">
        <f>IFERROR(__xludf.DUMMYFUNCTION("""COMPUTED_VALUE"""),"Done")</f>
        <v>Done</v>
      </c>
      <c r="G112" s="76">
        <f>IFERROR(__xludf.DUMMYFUNCTION("""COMPUTED_VALUE"""),0.0)</f>
        <v>0</v>
      </c>
      <c r="H112" s="197" t="str">
        <f>IFERROR(__xludf.DUMMYFUNCTION("""COMPUTED_VALUE"""),"EMP0042 HULESHWAR KUMAR SAHU")</f>
        <v>EMP0042 HULESHWAR KUMAR SAHU</v>
      </c>
    </row>
    <row r="113">
      <c r="A113" s="195" t="str">
        <f>IFERROR(__xludf.DUMMYFUNCTION("""COMPUTED_VALUE"""),"Solution / Check data in database according to new logics                ")</f>
        <v>Solution / Check data in database according to new logics                </v>
      </c>
      <c r="B113" s="196">
        <f>IFERROR(__xludf.DUMMYFUNCTION("""COMPUTED_VALUE"""),5290.0)</f>
        <v>5290</v>
      </c>
      <c r="C113" s="55" t="str">
        <f>IFERROR(__xludf.DUMMYFUNCTION("""COMPUTED_VALUE"""),"gradaecard4-btech")</f>
        <v>gradaecard4-btech</v>
      </c>
      <c r="D113" s="84">
        <f>IFERROR(__xludf.DUMMYFUNCTION("""COMPUTED_VALUE"""),46198.81736111111)</f>
        <v>46198.81736</v>
      </c>
      <c r="E113" s="84">
        <f>IFERROR(__xludf.DUMMYFUNCTION("""COMPUTED_VALUE"""),46197.80340563657)</f>
        <v>46197.80341</v>
      </c>
      <c r="F113" s="84" t="str">
        <f>IFERROR(__xludf.DUMMYFUNCTION("""COMPUTED_VALUE"""),"Done")</f>
        <v>Done</v>
      </c>
      <c r="G113" s="76">
        <f>IFERROR(__xludf.DUMMYFUNCTION("""COMPUTED_VALUE"""),0.0)</f>
        <v>0</v>
      </c>
      <c r="H113" s="197" t="str">
        <f>IFERROR(__xludf.DUMMYFUNCTION("""COMPUTED_VALUE"""),"EMP0042 HULESHWAR KUMAR SAHU")</f>
        <v>EMP0042 HULESHWAR KUMAR SAHU</v>
      </c>
    </row>
    <row r="114">
      <c r="A114" s="195" t="str">
        <f>IFERROR(__xludf.DUMMYFUNCTION("""COMPUTED_VALUE"""),"Solution / Check data in database according to new logics                ")</f>
        <v>Solution / Check data in database according to new logics                </v>
      </c>
      <c r="B114" s="196">
        <f>IFERROR(__xludf.DUMMYFUNCTION("""COMPUTED_VALUE"""),5291.0)</f>
        <v>5291</v>
      </c>
      <c r="C114" s="55" t="str">
        <f>IFERROR(__xludf.DUMMYFUNCTION("""COMPUTED_VALUE"""),"Student wise form report")</f>
        <v>Student wise form report</v>
      </c>
      <c r="D114" s="84">
        <f>IFERROR(__xludf.DUMMYFUNCTION("""COMPUTED_VALUE"""),46198.82916666666)</f>
        <v>46198.82917</v>
      </c>
      <c r="E114" s="84">
        <f>IFERROR(__xludf.DUMMYFUNCTION("""COMPUTED_VALUE"""),46198.498661273145)</f>
        <v>46198.49866</v>
      </c>
      <c r="F114" s="84" t="str">
        <f>IFERROR(__xludf.DUMMYFUNCTION("""COMPUTED_VALUE"""),"Done")</f>
        <v>Done</v>
      </c>
      <c r="G114" s="76">
        <f>IFERROR(__xludf.DUMMYFUNCTION("""COMPUTED_VALUE"""),0.0)</f>
        <v>0</v>
      </c>
      <c r="H114" s="197" t="str">
        <f>IFERROR(__xludf.DUMMYFUNCTION("""COMPUTED_VALUE"""),"EMP0237 Swarnendu Chakraborty")</f>
        <v>EMP0237 Swarnendu Chakraborty</v>
      </c>
    </row>
    <row r="115">
      <c r="A115" s="195" t="str">
        <f>IFERROR(__xludf.DUMMYFUNCTION("""COMPUTED_VALUE"""),"Solution / Check data in database according to new logics                ")</f>
        <v>Solution / Check data in database according to new logics                </v>
      </c>
      <c r="B115" s="196">
        <f>IFERROR(__xludf.DUMMYFUNCTION("""COMPUTED_VALUE"""),5292.0)</f>
        <v>5292</v>
      </c>
      <c r="C115" s="55" t="str">
        <f>IFERROR(__xludf.DUMMYFUNCTION("""COMPUTED_VALUE"""),"SESSION WISE RESULT SUMMARY ")</f>
        <v>SESSION WISE RESULT SUMMARY </v>
      </c>
      <c r="D115" s="84">
        <f>IFERROR(__xludf.DUMMYFUNCTION("""COMPUTED_VALUE"""),46199.44097222222)</f>
        <v>46199.44097</v>
      </c>
      <c r="E115" s="84">
        <f>IFERROR(__xludf.DUMMYFUNCTION("""COMPUTED_VALUE"""),46199.4538412037)</f>
        <v>46199.45384</v>
      </c>
      <c r="F115" s="84" t="str">
        <f>IFERROR(__xludf.DUMMYFUNCTION("""COMPUTED_VALUE"""),"Done")</f>
        <v>Done</v>
      </c>
      <c r="G115" s="76">
        <f>IFERROR(__xludf.DUMMYFUNCTION("""COMPUTED_VALUE"""),0.012868981482408493)</f>
        <v>0.01286898148</v>
      </c>
      <c r="H115" s="197" t="str">
        <f>IFERROR(__xludf.DUMMYFUNCTION("""COMPUTED_VALUE"""),"EMP0237 Swarnendu Chakraborty")</f>
        <v>EMP0237 Swarnendu Chakraborty</v>
      </c>
    </row>
    <row r="116">
      <c r="A116" s="195" t="str">
        <f>IFERROR(__xludf.DUMMYFUNCTION("""COMPUTED_VALUE"""),"Solution / Check data in database according to new logics                ")</f>
        <v>Solution / Check data in database according to new logics                </v>
      </c>
      <c r="B116" s="196">
        <f>IFERROR(__xludf.DUMMYFUNCTION("""COMPUTED_VALUE"""),5293.0)</f>
        <v>5293</v>
      </c>
      <c r="C116" s="55" t="str">
        <f>IFERROR(__xludf.DUMMYFUNCTION("""COMPUTED_VALUE"""),"Analytics Deshbord report")</f>
        <v>Analytics Deshbord report</v>
      </c>
      <c r="D116" s="84">
        <f>IFERROR(__xludf.DUMMYFUNCTION("""COMPUTED_VALUE"""),46199.555555555555)</f>
        <v>46199.55556</v>
      </c>
      <c r="E116" s="84">
        <f>IFERROR(__xludf.DUMMYFUNCTION("""COMPUTED_VALUE"""),46199.45427130787)</f>
        <v>46199.45427</v>
      </c>
      <c r="F116" s="84" t="str">
        <f>IFERROR(__xludf.DUMMYFUNCTION("""COMPUTED_VALUE"""),"Done")</f>
        <v>Done</v>
      </c>
      <c r="G116" s="76">
        <f>IFERROR(__xludf.DUMMYFUNCTION("""COMPUTED_VALUE"""),0.0)</f>
        <v>0</v>
      </c>
      <c r="H116" s="197" t="str">
        <f>IFERROR(__xludf.DUMMYFUNCTION("""COMPUTED_VALUE"""),"EMP0237 Swarnendu Chakraborty")</f>
        <v>EMP0237 Swarnendu Chakraborty</v>
      </c>
    </row>
    <row r="117">
      <c r="A117" s="195" t="str">
        <f>IFERROR(__xludf.DUMMYFUNCTION("""COMPUTED_VALUE"""),"Solution / Check data in database according to new logics                ")</f>
        <v>Solution / Check data in database according to new logics                </v>
      </c>
      <c r="B117" s="196">
        <f>IFERROR(__xludf.DUMMYFUNCTION("""COMPUTED_VALUE"""),5294.0)</f>
        <v>5294</v>
      </c>
      <c r="C117" s="55" t="str">
        <f>IFERROR(__xludf.DUMMYFUNCTION("""COMPUTED_VALUE"""),"TR MBA 4th sem( With division )")</f>
        <v>TR MBA 4th sem( With division )</v>
      </c>
      <c r="D117" s="84">
        <f>IFERROR(__xludf.DUMMYFUNCTION("""COMPUTED_VALUE"""),46199.75347222222)</f>
        <v>46199.75347</v>
      </c>
      <c r="E117" s="84">
        <f>IFERROR(__xludf.DUMMYFUNCTION("""COMPUTED_VALUE"""),46198.70390635417)</f>
        <v>46198.70391</v>
      </c>
      <c r="F117" s="84" t="str">
        <f>IFERROR(__xludf.DUMMYFUNCTION("""COMPUTED_VALUE"""),"Done")</f>
        <v>Done</v>
      </c>
      <c r="G117" s="76">
        <f>IFERROR(__xludf.DUMMYFUNCTION("""COMPUTED_VALUE"""),0.0)</f>
        <v>0</v>
      </c>
      <c r="H117" s="197" t="str">
        <f>IFERROR(__xludf.DUMMYFUNCTION("""COMPUTED_VALUE"""),"EMP0042 HULESHWAR KUMAR SAHU")</f>
        <v>EMP0042 HULESHWAR KUMAR SAHU</v>
      </c>
    </row>
    <row r="118">
      <c r="A118" s="195" t="str">
        <f>IFERROR(__xludf.DUMMYFUNCTION("""COMPUTED_VALUE"""),"Solution / Check data in database according to new logics                ")</f>
        <v>Solution / Check data in database according to new logics                </v>
      </c>
      <c r="B118" s="196">
        <f>IFERROR(__xludf.DUMMYFUNCTION("""COMPUTED_VALUE"""),5295.0)</f>
        <v>5295</v>
      </c>
      <c r="C118" s="55" t="str">
        <f>IFERROR(__xludf.DUMMYFUNCTION("""COMPUTED_VALUE"""),"NAD DATA")</f>
        <v>NAD DATA</v>
      </c>
      <c r="D118" s="84">
        <f>IFERROR(__xludf.DUMMYFUNCTION("""COMPUTED_VALUE"""),46199.77986111111)</f>
        <v>46199.77986</v>
      </c>
      <c r="E118" s="84">
        <f>IFERROR(__xludf.DUMMYFUNCTION("""COMPUTED_VALUE"""),46199.61757971064)</f>
        <v>46199.61758</v>
      </c>
      <c r="F118" s="84" t="str">
        <f>IFERROR(__xludf.DUMMYFUNCTION("""COMPUTED_VALUE"""),"Done")</f>
        <v>Done</v>
      </c>
      <c r="G118" s="76">
        <f>IFERROR(__xludf.DUMMYFUNCTION("""COMPUTED_VALUE"""),0.0)</f>
        <v>0</v>
      </c>
      <c r="H118" s="197" t="str">
        <f>IFERROR(__xludf.DUMMYFUNCTION("""COMPUTED_VALUE"""),"EMP0237 Swarnendu Chakraborty")</f>
        <v>EMP0237 Swarnendu Chakraborty</v>
      </c>
    </row>
    <row r="119">
      <c r="A119" s="195" t="str">
        <f>IFERROR(__xludf.DUMMYFUNCTION("""COMPUTED_VALUE"""),"Solution / Check data in database according to new logics                ")</f>
        <v>Solution / Check data in database according to new logics                </v>
      </c>
      <c r="B119" s="196">
        <f>IFERROR(__xludf.DUMMYFUNCTION("""COMPUTED_VALUE"""),5296.0)</f>
        <v>5296</v>
      </c>
      <c r="C119" s="55" t="str">
        <f>IFERROR(__xludf.DUMMYFUNCTION("""COMPUTED_VALUE"""),"ATTESTATION SHEET ")</f>
        <v>ATTESTATION SHEET </v>
      </c>
      <c r="D119" s="84">
        <f>IFERROR(__xludf.DUMMYFUNCTION("""COMPUTED_VALUE"""),46199.79305555555)</f>
        <v>46199.79306</v>
      </c>
      <c r="E119" s="84">
        <f>IFERROR(__xludf.DUMMYFUNCTION("""COMPUTED_VALUE"""),46199.46784722222)</f>
        <v>46199.46785</v>
      </c>
      <c r="F119" s="84" t="str">
        <f>IFERROR(__xludf.DUMMYFUNCTION("""COMPUTED_VALUE"""),"Done")</f>
        <v>Done</v>
      </c>
      <c r="G119" s="76">
        <f>IFERROR(__xludf.DUMMYFUNCTION("""COMPUTED_VALUE"""),0.0)</f>
        <v>0</v>
      </c>
      <c r="H119" s="197" t="str">
        <f>IFERROR(__xludf.DUMMYFUNCTION("""COMPUTED_VALUE"""),"EMP5009 Rup Kumar Mandal")</f>
        <v>EMP5009 Rup Kumar Mandal</v>
      </c>
    </row>
    <row r="120">
      <c r="A120" s="195" t="str">
        <f>IFERROR(__xludf.DUMMYFUNCTION("""COMPUTED_VALUE"""),"Solution / Check data in database according to new logics                ")</f>
        <v>Solution / Check data in database according to new logics                </v>
      </c>
      <c r="B120" s="196">
        <f>IFERROR(__xludf.DUMMYFUNCTION("""COMPUTED_VALUE"""),5297.0)</f>
        <v>5297</v>
      </c>
      <c r="C120" s="55" t="str">
        <f>IFERROR(__xludf.DUMMYFUNCTION("""COMPUTED_VALUE"""),"NAD data ")</f>
        <v>NAD data </v>
      </c>
      <c r="D120" s="84">
        <f>IFERROR(__xludf.DUMMYFUNCTION("""COMPUTED_VALUE"""),46200.61944444444)</f>
        <v>46200.61944</v>
      </c>
      <c r="E120" s="84">
        <f>IFERROR(__xludf.DUMMYFUNCTION("""COMPUTED_VALUE"""),46199.467854525465)</f>
        <v>46199.46785</v>
      </c>
      <c r="F120" s="84" t="str">
        <f>IFERROR(__xludf.DUMMYFUNCTION("""COMPUTED_VALUE"""),"Done")</f>
        <v>Done</v>
      </c>
      <c r="G120" s="76">
        <f>IFERROR(__xludf.DUMMYFUNCTION("""COMPUTED_VALUE"""),0.0)</f>
        <v>0</v>
      </c>
      <c r="H120" s="197" t="str">
        <f>IFERROR(__xludf.DUMMYFUNCTION("""COMPUTED_VALUE"""),"EMP5009 Rup Kumar Mandal")</f>
        <v>EMP5009 Rup Kumar Mandal</v>
      </c>
      <c r="J120" s="173"/>
    </row>
    <row r="121">
      <c r="A121" s="189" t="str">
        <f>IFERROR(__xludf.DUMMYFUNCTION("""COMPUTED_VALUE"""),"Solution / Check data in database according to new logics                ")</f>
        <v>Solution / Check data in database according to new logics                </v>
      </c>
      <c r="B121" s="190">
        <f>IFERROR(__xludf.DUMMYFUNCTION("""COMPUTED_VALUE"""),5298.0)</f>
        <v>5298</v>
      </c>
      <c r="C121" s="191" t="str">
        <f>IFERROR(__xludf.DUMMYFUNCTION("""COMPUTED_VALUE"""),"Attendance Sheet PG &amp; PHD")</f>
        <v>Attendance Sheet PG &amp; PHD</v>
      </c>
      <c r="D121" s="192">
        <f>IFERROR(__xludf.DUMMYFUNCTION("""COMPUTED_VALUE"""),46200.66111111111)</f>
        <v>46200.66111</v>
      </c>
      <c r="E121" s="192">
        <f>IFERROR(__xludf.DUMMYFUNCTION("""COMPUTED_VALUE"""),46198.80370503472)</f>
        <v>46198.80371</v>
      </c>
      <c r="F121" s="192" t="str">
        <f>IFERROR(__xludf.DUMMYFUNCTION("""COMPUTED_VALUE"""),"Done")</f>
        <v>Done</v>
      </c>
      <c r="G121" s="183">
        <f>IFERROR(__xludf.DUMMYFUNCTION("""COMPUTED_VALUE"""),0.0)</f>
        <v>0</v>
      </c>
      <c r="H121" s="193" t="str">
        <f>IFERROR(__xludf.DUMMYFUNCTION("""COMPUTED_VALUE"""),"EMP0021 Tamanna Dewangan")</f>
        <v>EMP0021 Tamanna Dewangan</v>
      </c>
      <c r="I121" s="183"/>
    </row>
    <row r="122">
      <c r="A122" s="189" t="str">
        <f>IFERROR(__xludf.DUMMYFUNCTION("""COMPUTED_VALUE"""),"Solution / Check data in database according to new logics                ")</f>
        <v>Solution / Check data in database according to new logics                </v>
      </c>
      <c r="B122" s="190">
        <f>IFERROR(__xludf.DUMMYFUNCTION("""COMPUTED_VALUE"""),5299.0)</f>
        <v>5299</v>
      </c>
      <c r="C122" s="191" t="str">
        <f>IFERROR(__xludf.DUMMYFUNCTION("""COMPUTED_VALUE"""),"Summary For PG/PHD")</f>
        <v>Summary For PG/PHD</v>
      </c>
      <c r="D122" s="192">
        <f>IFERROR(__xludf.DUMMYFUNCTION("""COMPUTED_VALUE"""),46200.6625)</f>
        <v>46200.6625</v>
      </c>
      <c r="E122" s="192">
        <f>IFERROR(__xludf.DUMMYFUNCTION("""COMPUTED_VALUE"""),46198.80372800926)</f>
        <v>46198.80373</v>
      </c>
      <c r="F122" s="192" t="str">
        <f>IFERROR(__xludf.DUMMYFUNCTION("""COMPUTED_VALUE"""),"Done")</f>
        <v>Done</v>
      </c>
      <c r="G122" s="183">
        <f>IFERROR(__xludf.DUMMYFUNCTION("""COMPUTED_VALUE"""),0.0)</f>
        <v>0</v>
      </c>
      <c r="H122" s="193" t="str">
        <f>IFERROR(__xludf.DUMMYFUNCTION("""COMPUTED_VALUE"""),"EMP0021 Tamanna Dewangan")</f>
        <v>EMP0021 Tamanna Dewangan</v>
      </c>
      <c r="I122" s="183"/>
    </row>
    <row r="123">
      <c r="A123" s="189" t="str">
        <f>IFERROR(__xludf.DUMMYFUNCTION("""COMPUTED_VALUE"""),"Solution / Check data in database according to new logics                ")</f>
        <v>Solution / Check data in database according to new logics                </v>
      </c>
      <c r="B123" s="190">
        <f>IFERROR(__xludf.DUMMYFUNCTION("""COMPUTED_VALUE"""),5300.0)</f>
        <v>5300</v>
      </c>
      <c r="C123" s="191" t="str">
        <f>IFERROR(__xludf.DUMMYFUNCTION("""COMPUTED_VALUE"""),"Cover Page")</f>
        <v>Cover Page</v>
      </c>
      <c r="D123" s="192">
        <f>IFERROR(__xludf.DUMMYFUNCTION("""COMPUTED_VALUE"""),46200.663888888885)</f>
        <v>46200.66389</v>
      </c>
      <c r="E123" s="192">
        <f>IFERROR(__xludf.DUMMYFUNCTION("""COMPUTED_VALUE"""),46198.80377747685)</f>
        <v>46198.80378</v>
      </c>
      <c r="F123" s="192" t="str">
        <f>IFERROR(__xludf.DUMMYFUNCTION("""COMPUTED_VALUE"""),"Done")</f>
        <v>Done</v>
      </c>
      <c r="G123" s="183">
        <f>IFERROR(__xludf.DUMMYFUNCTION("""COMPUTED_VALUE"""),0.0)</f>
        <v>0</v>
      </c>
      <c r="H123" s="193" t="str">
        <f>IFERROR(__xludf.DUMMYFUNCTION("""COMPUTED_VALUE"""),"EMP0021 Tamanna Dewangan")</f>
        <v>EMP0021 Tamanna Dewangan</v>
      </c>
      <c r="I123" s="183"/>
    </row>
    <row r="124">
      <c r="A124" s="195" t="str">
        <f>IFERROR(__xludf.DUMMYFUNCTION("""COMPUTED_VALUE"""),"Solution / Check data in database according to new logics                ")</f>
        <v>Solution / Check data in database according to new logics                </v>
      </c>
      <c r="B124" s="196">
        <f>IFERROR(__xludf.DUMMYFUNCTION("""COMPUTED_VALUE"""),5301.0)</f>
        <v>5301</v>
      </c>
      <c r="C124" s="55" t="str">
        <f>IFERROR(__xludf.DUMMYFUNCTION("""COMPUTED_VALUE"""),"Analysis report")</f>
        <v>Analysis report</v>
      </c>
      <c r="D124" s="84">
        <f>IFERROR(__xludf.DUMMYFUNCTION("""COMPUTED_VALUE"""),46200.67013888889)</f>
        <v>46200.67014</v>
      </c>
      <c r="E124" s="84">
        <f>IFERROR(__xludf.DUMMYFUNCTION("""COMPUTED_VALUE"""),46199.382226898146)</f>
        <v>46199.38223</v>
      </c>
      <c r="F124" s="84" t="str">
        <f>IFERROR(__xludf.DUMMYFUNCTION("""COMPUTED_VALUE"""),"Done")</f>
        <v>Done</v>
      </c>
      <c r="G124" s="76">
        <f>IFERROR(__xludf.DUMMYFUNCTION("""COMPUTED_VALUE"""),0.0)</f>
        <v>0</v>
      </c>
      <c r="H124" s="197" t="str">
        <f>IFERROR(__xludf.DUMMYFUNCTION("""COMPUTED_VALUE"""),"EMP0021 Tamanna Dewangan")</f>
        <v>EMP0021 Tamanna Dewangan</v>
      </c>
    </row>
    <row r="125">
      <c r="A125" s="195" t="str">
        <f>IFERROR(__xludf.DUMMYFUNCTION("""COMPUTED_VALUE"""),"Solution / Check data in database according to new logics                ")</f>
        <v>Solution / Check data in database according to new logics                </v>
      </c>
      <c r="B125" s="196">
        <f>IFERROR(__xludf.DUMMYFUNCTION("""COMPUTED_VALUE"""),5302.0)</f>
        <v>5302</v>
      </c>
      <c r="C125" s="55" t="str">
        <f>IFERROR(__xludf.DUMMYFUNCTION("""COMPUTED_VALUE"""),"Analytics report")</f>
        <v>Analytics report</v>
      </c>
      <c r="D125" s="84">
        <f>IFERROR(__xludf.DUMMYFUNCTION("""COMPUTED_VALUE"""),46200.67083333334)</f>
        <v>46200.67083</v>
      </c>
      <c r="E125" s="84">
        <f>IFERROR(__xludf.DUMMYFUNCTION("""COMPUTED_VALUE"""),46199.38227125)</f>
        <v>46199.38227</v>
      </c>
      <c r="F125" s="84" t="str">
        <f>IFERROR(__xludf.DUMMYFUNCTION("""COMPUTED_VALUE"""),"Done")</f>
        <v>Done</v>
      </c>
      <c r="G125" s="76">
        <f>IFERROR(__xludf.DUMMYFUNCTION("""COMPUTED_VALUE"""),0.0)</f>
        <v>0</v>
      </c>
      <c r="H125" s="197" t="str">
        <f>IFERROR(__xludf.DUMMYFUNCTION("""COMPUTED_VALUE"""),"EMP0021 Tamanna Dewangan")</f>
        <v>EMP0021 Tamanna Dewangan</v>
      </c>
    </row>
    <row r="126">
      <c r="A126" s="195" t="str">
        <f>IFERROR(__xludf.DUMMYFUNCTION("""COMPUTED_VALUE"""),"Solution / Check data in database according to new logics                ")</f>
        <v>Solution / Check data in database according to new logics                </v>
      </c>
      <c r="B126" s="196">
        <f>IFERROR(__xludf.DUMMYFUNCTION("""COMPUTED_VALUE"""),5303.0)</f>
        <v>5303</v>
      </c>
      <c r="C126" s="55" t="str">
        <f>IFERROR(__xludf.DUMMYFUNCTION("""COMPUTED_VALUE"""),"otal Student and all matrix count mismatch Eg:999 College")</f>
        <v>otal Student and all matrix count mismatch Eg:999 College</v>
      </c>
      <c r="D126" s="84">
        <f>IFERROR(__xludf.DUMMYFUNCTION("""COMPUTED_VALUE"""),46200.67152777778)</f>
        <v>46200.67153</v>
      </c>
      <c r="E126" s="84">
        <f>IFERROR(__xludf.DUMMYFUNCTION("""COMPUTED_VALUE"""),46199.38230238426)</f>
        <v>46199.3823</v>
      </c>
      <c r="F126" s="84" t="str">
        <f>IFERROR(__xludf.DUMMYFUNCTION("""COMPUTED_VALUE"""),"Done")</f>
        <v>Done</v>
      </c>
      <c r="G126" s="76">
        <f>IFERROR(__xludf.DUMMYFUNCTION("""COMPUTED_VALUE"""),0.0)</f>
        <v>0</v>
      </c>
      <c r="H126" s="197" t="str">
        <f>IFERROR(__xludf.DUMMYFUNCTION("""COMPUTED_VALUE"""),"EMP0021 Tamanna Dewangan")</f>
        <v>EMP0021 Tamanna Dewangan</v>
      </c>
    </row>
    <row r="127">
      <c r="A127" s="189" t="str">
        <f>IFERROR(__xludf.DUMMYFUNCTION("""COMPUTED_VALUE"""),"Solution / Check data in database according to new logics                ")</f>
        <v>Solution / Check data in database according to new logics                </v>
      </c>
      <c r="B127" s="190">
        <f>IFERROR(__xludf.DUMMYFUNCTION("""COMPUTED_VALUE"""),5304.0)</f>
        <v>5304</v>
      </c>
      <c r="C127" s="191" t="str">
        <f>IFERROR(__xludf.DUMMYFUNCTION("""COMPUTED_VALUE"""),"otal Student and all matrix count mismatch Eg:999 College")</f>
        <v>otal Student and all matrix count mismatch Eg:999 College</v>
      </c>
      <c r="D127" s="192">
        <f>IFERROR(__xludf.DUMMYFUNCTION("""COMPUTED_VALUE"""),46200.67291666666)</f>
        <v>46200.67292</v>
      </c>
      <c r="E127" s="192">
        <f>IFERROR(__xludf.DUMMYFUNCTION("""COMPUTED_VALUE"""),46199.382969363425)</f>
        <v>46199.38297</v>
      </c>
      <c r="F127" s="192" t="str">
        <f>IFERROR(__xludf.DUMMYFUNCTION("""COMPUTED_VALUE"""),"Done")</f>
        <v>Done</v>
      </c>
      <c r="G127" s="183">
        <f>IFERROR(__xludf.DUMMYFUNCTION("""COMPUTED_VALUE"""),0.0)</f>
        <v>0</v>
      </c>
      <c r="H127" s="193" t="str">
        <f>IFERROR(__xludf.DUMMYFUNCTION("""COMPUTED_VALUE"""),"EMP0021 Tamanna Dewangan")</f>
        <v>EMP0021 Tamanna Dewangan</v>
      </c>
      <c r="I127" s="183"/>
    </row>
    <row r="128">
      <c r="A128" s="189" t="str">
        <f>IFERROR(__xludf.DUMMYFUNCTION("""COMPUTED_VALUE"""),"Solution / Check data in database according to new logics                ")</f>
        <v>Solution / Check data in database according to new logics                </v>
      </c>
      <c r="B128" s="190">
        <f>IFERROR(__xludf.DUMMYFUNCTION("""COMPUTED_VALUE"""),5305.0)</f>
        <v>5305</v>
      </c>
      <c r="C128" s="191" t="str">
        <f>IFERROR(__xludf.DUMMYFUNCTION("""COMPUTED_VALUE"""),"fee details")</f>
        <v>fee details</v>
      </c>
      <c r="D128" s="192">
        <f>IFERROR(__xludf.DUMMYFUNCTION("""COMPUTED_VALUE"""),46200.674305555556)</f>
        <v>46200.67431</v>
      </c>
      <c r="E128" s="192">
        <f>IFERROR(__xludf.DUMMYFUNCTION("""COMPUTED_VALUE"""),46199.38301078703)</f>
        <v>46199.38301</v>
      </c>
      <c r="F128" s="192" t="str">
        <f>IFERROR(__xludf.DUMMYFUNCTION("""COMPUTED_VALUE"""),"Done")</f>
        <v>Done</v>
      </c>
      <c r="G128" s="183">
        <f>IFERROR(__xludf.DUMMYFUNCTION("""COMPUTED_VALUE"""),0.0)</f>
        <v>0</v>
      </c>
      <c r="H128" s="193" t="str">
        <f>IFERROR(__xludf.DUMMYFUNCTION("""COMPUTED_VALUE"""),"EMP0021 Tamanna Dewangan")</f>
        <v>EMP0021 Tamanna Dewangan</v>
      </c>
      <c r="I128" s="183"/>
    </row>
    <row r="129">
      <c r="A129" s="189" t="str">
        <f>IFERROR(__xludf.DUMMYFUNCTION("""COMPUTED_VALUE"""),"Solution / Check data in database according to new logics                ")</f>
        <v>Solution / Check data in database according to new logics                </v>
      </c>
      <c r="B129" s="190">
        <f>IFERROR(__xludf.DUMMYFUNCTION("""COMPUTED_VALUE"""),5306.0)</f>
        <v>5306</v>
      </c>
      <c r="C129" s="191" t="str">
        <f>IFERROR(__xludf.DUMMYFUNCTION("""COMPUTED_VALUE"""),"DIGI LOKER Data new")</f>
        <v>DIGI LOKER Data new</v>
      </c>
      <c r="D129" s="192">
        <f>IFERROR(__xludf.DUMMYFUNCTION("""COMPUTED_VALUE"""),46200.725)</f>
        <v>46200.725</v>
      </c>
      <c r="E129" s="192">
        <f>IFERROR(__xludf.DUMMYFUNCTION("""COMPUTED_VALUE"""),46200.56253892361)</f>
        <v>46200.56254</v>
      </c>
      <c r="F129" s="192" t="str">
        <f>IFERROR(__xludf.DUMMYFUNCTION("""COMPUTED_VALUE"""),"Done")</f>
        <v>Done</v>
      </c>
      <c r="G129" s="183">
        <f>IFERROR(__xludf.DUMMYFUNCTION("""COMPUTED_VALUE"""),0.0)</f>
        <v>0</v>
      </c>
      <c r="H129" s="193" t="str">
        <f>IFERROR(__xludf.DUMMYFUNCTION("""COMPUTED_VALUE"""),"EMP5009 Rup Kumar Mandal")</f>
        <v>EMP5009 Rup Kumar Mandal</v>
      </c>
      <c r="I129" s="183"/>
    </row>
    <row r="130">
      <c r="A130" s="195" t="str">
        <f>IFERROR(__xludf.DUMMYFUNCTION("""COMPUTED_VALUE"""),"Upload file, cross check and inform                               ")</f>
        <v>Upload file, cross check and inform                               </v>
      </c>
      <c r="B130" s="196">
        <f>IFERROR(__xludf.DUMMYFUNCTION("""COMPUTED_VALUE"""),5273.0)</f>
        <v>5273</v>
      </c>
      <c r="C130" s="55" t="str">
        <f>IFERROR(__xludf.DUMMYFUNCTION("""COMPUTED_VALUE"""),"P.G 2nd Sem Attendance Sheet Blank Session-2025-2027")</f>
        <v>P.G 2nd Sem Attendance Sheet Blank Session-2025-2027</v>
      </c>
      <c r="D130" s="84">
        <f>IFERROR(__xludf.DUMMYFUNCTION("""COMPUTED_VALUE"""),46195.46666666667)</f>
        <v>46195.46667</v>
      </c>
      <c r="E130" s="84">
        <f>IFERROR(__xludf.DUMMYFUNCTION("""COMPUTED_VALUE"""),46193.65237193287)</f>
        <v>46193.65237</v>
      </c>
      <c r="F130" s="84" t="str">
        <f>IFERROR(__xludf.DUMMYFUNCTION("""COMPUTED_VALUE"""),"Done")</f>
        <v>Done</v>
      </c>
      <c r="G130" s="76">
        <f>IFERROR(__xludf.DUMMYFUNCTION("""COMPUTED_VALUE"""),0.0)</f>
        <v>0</v>
      </c>
      <c r="H130" s="197" t="str">
        <f>IFERROR(__xludf.DUMMYFUNCTION("""COMPUTED_VALUE"""),"EMP5009 Rup Kumar Mandal")</f>
        <v>EMP5009 Rup Kumar Mandal</v>
      </c>
      <c r="J130" s="173"/>
    </row>
    <row r="131">
      <c r="A131" s="189" t="str">
        <f>IFERROR(__xludf.DUMMYFUNCTION("""COMPUTED_VALUE"""),"Upload file, cross check and inform                               ")</f>
        <v>Upload file, cross check and inform                               </v>
      </c>
      <c r="B131" s="190">
        <f>IFERROR(__xludf.DUMMYFUNCTION("""COMPUTED_VALUE"""),5274.0)</f>
        <v>5274</v>
      </c>
      <c r="C131" s="191" t="str">
        <f>IFERROR(__xludf.DUMMYFUNCTION("""COMPUTED_VALUE"""),"studnet subject mapping ")</f>
        <v>studnet subject mapping </v>
      </c>
      <c r="D131" s="192">
        <f>IFERROR(__xludf.DUMMYFUNCTION("""COMPUTED_VALUE"""),46195.535416666666)</f>
        <v>46195.53542</v>
      </c>
      <c r="E131" s="192">
        <f>IFERROR(__xludf.DUMMYFUNCTION("""COMPUTED_VALUE"""),46192.66749255787)</f>
        <v>46192.66749</v>
      </c>
      <c r="F131" s="192" t="str">
        <f>IFERROR(__xludf.DUMMYFUNCTION("""COMPUTED_VALUE"""),"Done")</f>
        <v>Done</v>
      </c>
      <c r="G131" s="183">
        <f>IFERROR(__xludf.DUMMYFUNCTION("""COMPUTED_VALUE"""),0.0)</f>
        <v>0</v>
      </c>
      <c r="H131" s="193" t="str">
        <f>IFERROR(__xludf.DUMMYFUNCTION("""COMPUTED_VALUE"""),"EMP0042 HULESHWAR KUMAR SAHU")</f>
        <v>EMP0042 HULESHWAR KUMAR SAHU</v>
      </c>
      <c r="I131" s="183"/>
      <c r="J131" s="173"/>
    </row>
    <row r="132">
      <c r="A132" s="195" t="str">
        <f>IFERROR(__xludf.DUMMYFUNCTION("""COMPUTED_VALUE"""),"Upload file, cross check and inform                               ")</f>
        <v>Upload file, cross check and inform                               </v>
      </c>
      <c r="B132" s="196">
        <f>IFERROR(__xludf.DUMMYFUNCTION("""COMPUTED_VALUE"""),5275.0)</f>
        <v>5275</v>
      </c>
      <c r="C132" s="55" t="str">
        <f>IFERROR(__xludf.DUMMYFUNCTION("""COMPUTED_VALUE"""),"NEP DIGI LOCKER CORRECTION")</f>
        <v>NEP DIGI LOCKER CORRECTION</v>
      </c>
      <c r="D132" s="84">
        <f>IFERROR(__xludf.DUMMYFUNCTION("""COMPUTED_VALUE"""),46195.60208333333)</f>
        <v>46195.60208</v>
      </c>
      <c r="E132" s="84">
        <f>IFERROR(__xludf.DUMMYFUNCTION("""COMPUTED_VALUE"""),46192.79039318287)</f>
        <v>46192.79039</v>
      </c>
      <c r="F132" s="84" t="str">
        <f>IFERROR(__xludf.DUMMYFUNCTION("""COMPUTED_VALUE"""),"Done")</f>
        <v>Done</v>
      </c>
      <c r="G132" s="76">
        <f>IFERROR(__xludf.DUMMYFUNCTION("""COMPUTED_VALUE"""),0.0)</f>
        <v>0</v>
      </c>
      <c r="H132" s="197" t="str">
        <f>IFERROR(__xludf.DUMMYFUNCTION("""COMPUTED_VALUE"""),"EMP0042 HULESHWAR KUMAR SAHU")</f>
        <v>EMP0042 HULESHWAR KUMAR SAHU</v>
      </c>
      <c r="J132" s="173"/>
    </row>
    <row r="133">
      <c r="A133" s="189" t="str">
        <f>IFERROR(__xludf.DUMMYFUNCTION("""COMPUTED_VALUE"""),"Upload file, cross check and inform                               ")</f>
        <v>Upload file, cross check and inform                               </v>
      </c>
      <c r="B133" s="190">
        <f>IFERROR(__xludf.DUMMYFUNCTION("""COMPUTED_VALUE"""),5276.0)</f>
        <v>5276</v>
      </c>
      <c r="C133" s="191" t="str">
        <f>IFERROR(__xludf.DUMMYFUNCTION("""COMPUTED_VALUE"""),"	TR PARAMEDICAL Old Logic")</f>
        <v>	TR PARAMEDICAL Old Logic</v>
      </c>
      <c r="D133" s="192">
        <f>IFERROR(__xludf.DUMMYFUNCTION("""COMPUTED_VALUE"""),46195.62847222222)</f>
        <v>46195.62847</v>
      </c>
      <c r="E133" s="192">
        <f>IFERROR(__xludf.DUMMYFUNCTION("""COMPUTED_VALUE"""),46192.79041724537)</f>
        <v>46192.79042</v>
      </c>
      <c r="F133" s="192" t="str">
        <f>IFERROR(__xludf.DUMMYFUNCTION("""COMPUTED_VALUE"""),"Done")</f>
        <v>Done</v>
      </c>
      <c r="G133" s="183">
        <f>IFERROR(__xludf.DUMMYFUNCTION("""COMPUTED_VALUE"""),0.0)</f>
        <v>0</v>
      </c>
      <c r="H133" s="193" t="str">
        <f>IFERROR(__xludf.DUMMYFUNCTION("""COMPUTED_VALUE"""),"EMP0042 HULESHWAR KUMAR SAHU")</f>
        <v>EMP0042 HULESHWAR KUMAR SAHU</v>
      </c>
      <c r="I133" s="183"/>
      <c r="J133" s="173"/>
    </row>
    <row r="134">
      <c r="A134" s="189" t="str">
        <f>IFERROR(__xludf.DUMMYFUNCTION("""COMPUTED_VALUE"""),"Upload file, cross check and inform                               ")</f>
        <v>Upload file, cross check and inform                               </v>
      </c>
      <c r="B134" s="190">
        <f>IFERROR(__xludf.DUMMYFUNCTION("""COMPUTED_VALUE"""),5277.0)</f>
        <v>5277</v>
      </c>
      <c r="C134" s="191" t="str">
        <f>IFERROR(__xludf.DUMMYFUNCTION("""COMPUTED_VALUE"""),"packet_detail_report.jasper")</f>
        <v>packet_detail_report.jasper</v>
      </c>
      <c r="D134" s="192">
        <f>IFERROR(__xludf.DUMMYFUNCTION("""COMPUTED_VALUE"""),46196.44791666667)</f>
        <v>46196.44792</v>
      </c>
      <c r="E134" s="192">
        <f>IFERROR(__xludf.DUMMYFUNCTION("""COMPUTED_VALUE"""),46195.481490578706)</f>
        <v>46195.48149</v>
      </c>
      <c r="F134" s="192" t="str">
        <f>IFERROR(__xludf.DUMMYFUNCTION("""COMPUTED_VALUE"""),"Done")</f>
        <v>Done</v>
      </c>
      <c r="G134" s="183">
        <f>IFERROR(__xludf.DUMMYFUNCTION("""COMPUTED_VALUE"""),0.0)</f>
        <v>0</v>
      </c>
      <c r="H134" s="193" t="str">
        <f>IFERROR(__xludf.DUMMYFUNCTION("""COMPUTED_VALUE"""),"EMP5009 Rup Kumar Mandal")</f>
        <v>EMP5009 Rup Kumar Mandal</v>
      </c>
      <c r="I134" s="183"/>
    </row>
    <row r="135">
      <c r="A135" s="189" t="str">
        <f>IFERROR(__xludf.DUMMYFUNCTION("""COMPUTED_VALUE"""),"Upload file, cross check and inform                               ")</f>
        <v>Upload file, cross check and inform                               </v>
      </c>
      <c r="B135" s="190">
        <f>IFERROR(__xludf.DUMMYFUNCTION("""COMPUTED_VALUE"""),5278.0)</f>
        <v>5278</v>
      </c>
      <c r="C135" s="191" t="str">
        <f>IFERROR(__xludf.DUMMYFUNCTION("""COMPUTED_VALUE"""),"Evaluation report anna.")</f>
        <v>Evaluation report anna.</v>
      </c>
      <c r="D135" s="192">
        <f>IFERROR(__xludf.DUMMYFUNCTION("""COMPUTED_VALUE"""),46196.48402777778)</f>
        <v>46196.48403</v>
      </c>
      <c r="E135" s="192">
        <f>IFERROR(__xludf.DUMMYFUNCTION("""COMPUTED_VALUE"""),46195.481536053245)</f>
        <v>46195.48154</v>
      </c>
      <c r="F135" s="192" t="str">
        <f>IFERROR(__xludf.DUMMYFUNCTION("""COMPUTED_VALUE"""),"Done")</f>
        <v>Done</v>
      </c>
      <c r="G135" s="183">
        <f>IFERROR(__xludf.DUMMYFUNCTION("""COMPUTED_VALUE"""),0.0)</f>
        <v>0</v>
      </c>
      <c r="H135" s="193" t="str">
        <f>IFERROR(__xludf.DUMMYFUNCTION("""COMPUTED_VALUE"""),"EMP5009 Rup Kumar Mandal")</f>
        <v>EMP5009 Rup Kumar Mandal</v>
      </c>
      <c r="I135" s="183"/>
      <c r="J135" s="173"/>
    </row>
    <row r="136">
      <c r="A136" s="195" t="str">
        <f>IFERROR(__xludf.DUMMYFUNCTION("""COMPUTED_VALUE"""),"Upload file, cross check and inform                               ")</f>
        <v>Upload file, cross check and inform                               </v>
      </c>
      <c r="B136" s="196">
        <f>IFERROR(__xludf.DUMMYFUNCTION("""COMPUTED_VALUE"""),5279.0)</f>
        <v>5279</v>
      </c>
      <c r="C136" s="55" t="str">
        <f>IFERROR(__xludf.DUMMYFUNCTION("""COMPUTED_VALUE"""),"SMKV")</f>
        <v>SMKV</v>
      </c>
      <c r="D136" s="84">
        <f>IFERROR(__xludf.DUMMYFUNCTION("""COMPUTED_VALUE"""),46196.597916666666)</f>
        <v>46196.59792</v>
      </c>
      <c r="E136" s="84">
        <f>IFERROR(__xludf.DUMMYFUNCTION("""COMPUTED_VALUE"""),46195.50163483796)</f>
        <v>46195.50163</v>
      </c>
      <c r="F136" s="84" t="str">
        <f>IFERROR(__xludf.DUMMYFUNCTION("""COMPUTED_VALUE"""),"Done")</f>
        <v>Done</v>
      </c>
      <c r="G136" s="76">
        <f>IFERROR(__xludf.DUMMYFUNCTION("""COMPUTED_VALUE"""),0.0)</f>
        <v>0</v>
      </c>
      <c r="H136" s="197" t="str">
        <f>IFERROR(__xludf.DUMMYFUNCTION("""COMPUTED_VALUE"""),"EMP0042 HULESHWAR KUMAR SAHU")</f>
        <v>EMP0042 HULESHWAR KUMAR SAHU</v>
      </c>
    </row>
    <row r="137">
      <c r="A137" s="189" t="str">
        <f>IFERROR(__xludf.DUMMYFUNCTION("""COMPUTED_VALUE"""),"Upload file, cross check and inform                               ")</f>
        <v>Upload file, cross check and inform                               </v>
      </c>
      <c r="B137" s="190">
        <f>IFERROR(__xludf.DUMMYFUNCTION("""COMPUTED_VALUE"""),5280.0)</f>
        <v>5280</v>
      </c>
      <c r="C137" s="191" t="str">
        <f>IFERROR(__xludf.DUMMYFUNCTION("""COMPUTED_VALUE"""),"SMKV ")</f>
        <v>SMKV </v>
      </c>
      <c r="D137" s="192">
        <f>IFERROR(__xludf.DUMMYFUNCTION("""COMPUTED_VALUE"""),46196.59861111111)</f>
        <v>46196.59861</v>
      </c>
      <c r="E137" s="192">
        <f>IFERROR(__xludf.DUMMYFUNCTION("""COMPUTED_VALUE"""),46195.50166829861)</f>
        <v>46195.50167</v>
      </c>
      <c r="F137" s="192" t="str">
        <f>IFERROR(__xludf.DUMMYFUNCTION("""COMPUTED_VALUE"""),"Done")</f>
        <v>Done</v>
      </c>
      <c r="G137" s="183">
        <f>IFERROR(__xludf.DUMMYFUNCTION("""COMPUTED_VALUE"""),0.0)</f>
        <v>0</v>
      </c>
      <c r="H137" s="193" t="str">
        <f>IFERROR(__xludf.DUMMYFUNCTION("""COMPUTED_VALUE"""),"EMP0042 HULESHWAR KUMAR SAHU")</f>
        <v>EMP0042 HULESHWAR KUMAR SAHU</v>
      </c>
      <c r="I137" s="183"/>
      <c r="J137" s="173"/>
    </row>
    <row r="138">
      <c r="A138" s="189" t="str">
        <f>IFERROR(__xludf.DUMMYFUNCTION("""COMPUTED_VALUE"""),"Upload file, cross check and inform                               ")</f>
        <v>Upload file, cross check and inform                               </v>
      </c>
      <c r="B138" s="190">
        <f>IFERROR(__xludf.DUMMYFUNCTION("""COMPUTED_VALUE"""),5281.0)</f>
        <v>5281</v>
      </c>
      <c r="C138" s="191" t="str">
        <f>IFERROR(__xludf.DUMMYFUNCTION("""COMPUTED_VALUE"""),"SMKV")</f>
        <v>SMKV</v>
      </c>
      <c r="D138" s="192">
        <f>IFERROR(__xludf.DUMMYFUNCTION("""COMPUTED_VALUE"""),46196.59930555556)</f>
        <v>46196.59931</v>
      </c>
      <c r="E138" s="192">
        <f>IFERROR(__xludf.DUMMYFUNCTION("""COMPUTED_VALUE"""),46195.501695694446)</f>
        <v>46195.5017</v>
      </c>
      <c r="F138" s="192" t="str">
        <f>IFERROR(__xludf.DUMMYFUNCTION("""COMPUTED_VALUE"""),"Done")</f>
        <v>Done</v>
      </c>
      <c r="G138" s="183">
        <f>IFERROR(__xludf.DUMMYFUNCTION("""COMPUTED_VALUE"""),0.0)</f>
        <v>0</v>
      </c>
      <c r="H138" s="193" t="str">
        <f>IFERROR(__xludf.DUMMYFUNCTION("""COMPUTED_VALUE"""),"EMP0042 HULESHWAR KUMAR SAHU")</f>
        <v>EMP0042 HULESHWAR KUMAR SAHU</v>
      </c>
      <c r="I138" s="183"/>
      <c r="J138" s="173"/>
    </row>
    <row r="139">
      <c r="A139" s="189" t="str">
        <f>IFERROR(__xludf.DUMMYFUNCTION("""COMPUTED_VALUE"""),"Upload file, cross check and inform                               ")</f>
        <v>Upload file, cross check and inform                               </v>
      </c>
      <c r="B139" s="190">
        <f>IFERROR(__xludf.DUMMYFUNCTION("""COMPUTED_VALUE"""),5282.0)</f>
        <v>5282</v>
      </c>
      <c r="C139" s="191" t="str">
        <f>IFERROR(__xludf.DUMMYFUNCTION("""COMPUTED_VALUE"""),"Manual_Cash_Counter")</f>
        <v>Manual_Cash_Counter</v>
      </c>
      <c r="D139" s="192">
        <f>IFERROR(__xludf.DUMMYFUNCTION("""COMPUTED_VALUE"""),46197.42708333333)</f>
        <v>46197.42708</v>
      </c>
      <c r="E139" s="192">
        <f>IFERROR(__xludf.DUMMYFUNCTION("""COMPUTED_VALUE"""),46196.77820462963)</f>
        <v>46196.7782</v>
      </c>
      <c r="F139" s="192" t="str">
        <f>IFERROR(__xludf.DUMMYFUNCTION("""COMPUTED_VALUE"""),"Done")</f>
        <v>Done</v>
      </c>
      <c r="G139" s="183">
        <f>IFERROR(__xludf.DUMMYFUNCTION("""COMPUTED_VALUE"""),0.0)</f>
        <v>0</v>
      </c>
      <c r="H139" s="193" t="str">
        <f>IFERROR(__xludf.DUMMYFUNCTION("""COMPUTED_VALUE"""),"EMP5009 Rup Kumar Mandal")</f>
        <v>EMP5009 Rup Kumar Mandal</v>
      </c>
      <c r="I139" s="183"/>
      <c r="J139" s="173"/>
    </row>
    <row r="140">
      <c r="A140" s="189" t="str">
        <f>IFERROR(__xludf.DUMMYFUNCTION("""COMPUTED_VALUE"""),"Upload file, cross check and inform                               ")</f>
        <v>Upload file, cross check and inform                               </v>
      </c>
      <c r="B140" s="190">
        <f>IFERROR(__xludf.DUMMYFUNCTION("""COMPUTED_VALUE"""),5283.0)</f>
        <v>5283</v>
      </c>
      <c r="C140" s="191" t="str">
        <f>IFERROR(__xludf.DUMMYFUNCTION("""COMPUTED_VALUE"""),"Studentwise Cash Counter")</f>
        <v>Studentwise Cash Counter</v>
      </c>
      <c r="D140" s="192">
        <f>IFERROR(__xludf.DUMMYFUNCTION("""COMPUTED_VALUE"""),46197.427777777775)</f>
        <v>46197.42778</v>
      </c>
      <c r="E140" s="192">
        <f>IFERROR(__xludf.DUMMYFUNCTION("""COMPUTED_VALUE"""),46196.77820462963)</f>
        <v>46196.7782</v>
      </c>
      <c r="F140" s="192" t="str">
        <f>IFERROR(__xludf.DUMMYFUNCTION("""COMPUTED_VALUE"""),"Done")</f>
        <v>Done</v>
      </c>
      <c r="G140" s="183">
        <f>IFERROR(__xludf.DUMMYFUNCTION("""COMPUTED_VALUE"""),0.0)</f>
        <v>0</v>
      </c>
      <c r="H140" s="193" t="str">
        <f>IFERROR(__xludf.DUMMYFUNCTION("""COMPUTED_VALUE"""),"EMP5009 Rup Kumar Mandal")</f>
        <v>EMP5009 Rup Kumar Mandal</v>
      </c>
      <c r="I140" s="183"/>
      <c r="J140" s="173"/>
    </row>
    <row r="141">
      <c r="A141" s="195" t="str">
        <f>IFERROR(__xludf.DUMMYFUNCTION("""COMPUTED_VALUE"""),"Upload file, cross check and inform                               ")</f>
        <v>Upload file, cross check and inform                               </v>
      </c>
      <c r="B141" s="196">
        <f>IFERROR(__xludf.DUMMYFUNCTION("""COMPUTED_VALUE"""),5284.0)</f>
        <v>5284</v>
      </c>
      <c r="C141" s="55" t="str">
        <f>IFERROR(__xludf.DUMMYFUNCTION("""COMPUTED_VALUE"""),"evaluation report anna.")</f>
        <v>evaluation report anna.</v>
      </c>
      <c r="D141" s="84">
        <f>IFERROR(__xludf.DUMMYFUNCTION("""COMPUTED_VALUE"""),46197.57430555555)</f>
        <v>46197.57431</v>
      </c>
      <c r="E141" s="84">
        <f>IFERROR(__xludf.DUMMYFUNCTION("""COMPUTED_VALUE"""),46196.77829743055)</f>
        <v>46196.7783</v>
      </c>
      <c r="F141" s="84" t="str">
        <f>IFERROR(__xludf.DUMMYFUNCTION("""COMPUTED_VALUE"""),"Done")</f>
        <v>Done</v>
      </c>
      <c r="G141" s="76">
        <f>IFERROR(__xludf.DUMMYFUNCTION("""COMPUTED_VALUE"""),0.0)</f>
        <v>0</v>
      </c>
      <c r="H141" s="197" t="str">
        <f>IFERROR(__xludf.DUMMYFUNCTION("""COMPUTED_VALUE"""),"EMP5009 Rup Kumar Mandal")</f>
        <v>EMP5009 Rup Kumar Mandal</v>
      </c>
    </row>
    <row r="142">
      <c r="A142" s="195" t="str">
        <f>IFERROR(__xludf.DUMMYFUNCTION("""COMPUTED_VALUE"""),"Upload file, cross check and inform                               ")</f>
        <v>Upload file, cross check and inform                               </v>
      </c>
      <c r="B142" s="196">
        <f>IFERROR(__xludf.DUMMYFUNCTION("""COMPUTED_VALUE"""),5285.0)</f>
        <v>5285</v>
      </c>
      <c r="C142" s="55" t="str">
        <f>IFERROR(__xludf.DUMMYFUNCTION("""COMPUTED_VALUE"""),"MULTIPLE REPORT")</f>
        <v>MULTIPLE REPORT</v>
      </c>
      <c r="D142" s="84">
        <f>IFERROR(__xludf.DUMMYFUNCTION("""COMPUTED_VALUE"""),46197.575694444444)</f>
        <v>46197.57569</v>
      </c>
      <c r="E142" s="84">
        <f>IFERROR(__xludf.DUMMYFUNCTION("""COMPUTED_VALUE"""),46197.490386701385)</f>
        <v>46197.49039</v>
      </c>
      <c r="F142" s="84" t="str">
        <f>IFERROR(__xludf.DUMMYFUNCTION("""COMPUTED_VALUE"""),"Done")</f>
        <v>Done</v>
      </c>
      <c r="G142" s="76">
        <f>IFERROR(__xludf.DUMMYFUNCTION("""COMPUTED_VALUE"""),0.0)</f>
        <v>0</v>
      </c>
      <c r="H142" s="197" t="str">
        <f>IFERROR(__xludf.DUMMYFUNCTION("""COMPUTED_VALUE"""),"EMP0042 HULESHWAR KUMAR SAHU")</f>
        <v>EMP0042 HULESHWAR KUMAR SAHU</v>
      </c>
    </row>
    <row r="143">
      <c r="A143" s="195" t="str">
        <f>IFERROR(__xludf.DUMMYFUNCTION("""COMPUTED_VALUE"""),"Upload file, cross check and inform                               ")</f>
        <v>Upload file, cross check and inform                               </v>
      </c>
      <c r="B143" s="196">
        <f>IFERROR(__xludf.DUMMYFUNCTION("""COMPUTED_VALUE"""),5286.0)</f>
        <v>5286</v>
      </c>
      <c r="C143" s="55" t="str">
        <f>IFERROR(__xludf.DUMMYFUNCTION("""COMPUTED_VALUE"""),"2781")</f>
        <v>2781</v>
      </c>
      <c r="D143" s="84">
        <f>IFERROR(__xludf.DUMMYFUNCTION("""COMPUTED_VALUE"""),46198.47083333333)</f>
        <v>46198.47083</v>
      </c>
      <c r="E143" s="84">
        <f>IFERROR(__xludf.DUMMYFUNCTION("""COMPUTED_VALUE"""),46198.406896863424)</f>
        <v>46198.4069</v>
      </c>
      <c r="F143" s="84" t="str">
        <f>IFERROR(__xludf.DUMMYFUNCTION("""COMPUTED_VALUE"""),"Done")</f>
        <v>Done</v>
      </c>
      <c r="G143" s="76">
        <f>IFERROR(__xludf.DUMMYFUNCTION("""COMPUTED_VALUE"""),0.0)</f>
        <v>0</v>
      </c>
      <c r="H143" s="197" t="str">
        <f>IFERROR(__xludf.DUMMYFUNCTION("""COMPUTED_VALUE"""),"EMP5009 Rup Kumar Mandal")</f>
        <v>EMP5009 Rup Kumar Mandal</v>
      </c>
    </row>
    <row r="144">
      <c r="A144" s="189" t="str">
        <f>IFERROR(__xludf.DUMMYFUNCTION("""COMPUTED_VALUE"""),"Upload file, cross check and inform                               ")</f>
        <v>Upload file, cross check and inform                               </v>
      </c>
      <c r="B144" s="190">
        <f>IFERROR(__xludf.DUMMYFUNCTION("""COMPUTED_VALUE"""),5287.0)</f>
        <v>5287</v>
      </c>
      <c r="C144" s="191" t="str">
        <f>IFERROR(__xludf.DUMMYFUNCTION("""COMPUTED_VALUE"""),"TR REPORT")</f>
        <v>TR REPORT</v>
      </c>
      <c r="D144" s="192">
        <f>IFERROR(__xludf.DUMMYFUNCTION("""COMPUTED_VALUE"""),46198.805555555555)</f>
        <v>46198.80556</v>
      </c>
      <c r="E144" s="192">
        <f>IFERROR(__xludf.DUMMYFUNCTION("""COMPUTED_VALUE"""),46198.47339326389)</f>
        <v>46198.47339</v>
      </c>
      <c r="F144" s="192" t="str">
        <f>IFERROR(__xludf.DUMMYFUNCTION("""COMPUTED_VALUE"""),"Done")</f>
        <v>Done</v>
      </c>
      <c r="G144" s="183">
        <f>IFERROR(__xludf.DUMMYFUNCTION("""COMPUTED_VALUE"""),0.0)</f>
        <v>0</v>
      </c>
      <c r="H144" s="193" t="str">
        <f>IFERROR(__xludf.DUMMYFUNCTION("""COMPUTED_VALUE"""),"EMP0237 Swarnendu Chakraborty")</f>
        <v>EMP0237 Swarnendu Chakraborty</v>
      </c>
      <c r="I144" s="183"/>
    </row>
    <row r="145">
      <c r="A145" s="189" t="str">
        <f>IFERROR(__xludf.DUMMYFUNCTION("""COMPUTED_VALUE"""),"Upload file, cross check and inform                               ")</f>
        <v>Upload file, cross check and inform                               </v>
      </c>
      <c r="B145" s="190">
        <f>IFERROR(__xludf.DUMMYFUNCTION("""COMPUTED_VALUE"""),5288.0)</f>
        <v>5288</v>
      </c>
      <c r="C145" s="191" t="str">
        <f>IFERROR(__xludf.DUMMYFUNCTION("""COMPUTED_VALUE"""),"5coltrsem6sem_elective_back_")</f>
        <v>5coltrsem6sem_elective_back_</v>
      </c>
      <c r="D145" s="192">
        <f>IFERROR(__xludf.DUMMYFUNCTION("""COMPUTED_VALUE"""),46199.419444444444)</f>
        <v>46199.41944</v>
      </c>
      <c r="E145" s="192">
        <f>IFERROR(__xludf.DUMMYFUNCTION("""COMPUTED_VALUE"""),46197.628682511575)</f>
        <v>46197.62868</v>
      </c>
      <c r="F145" s="192" t="str">
        <f>IFERROR(__xludf.DUMMYFUNCTION("""COMPUTED_VALUE"""),"Done")</f>
        <v>Done</v>
      </c>
      <c r="G145" s="183">
        <f>IFERROR(__xludf.DUMMYFUNCTION("""COMPUTED_VALUE"""),0.0)</f>
        <v>0</v>
      </c>
      <c r="H145" s="193" t="str">
        <f>IFERROR(__xludf.DUMMYFUNCTION("""COMPUTED_VALUE"""),"EMP0042 HULESHWAR KUMAR SAHU")</f>
        <v>EMP0042 HULESHWAR KUMAR SAHU</v>
      </c>
      <c r="I145" s="183"/>
    </row>
    <row r="146">
      <c r="A146" s="189" t="str">
        <f>IFERROR(__xludf.DUMMYFUNCTION("""COMPUTED_VALUE"""),"Upload file, cross check and inform                               ")</f>
        <v>Upload file, cross check and inform                               </v>
      </c>
      <c r="B146" s="190">
        <f>IFERROR(__xludf.DUMMYFUNCTION("""COMPUTED_VALUE"""),5289.0)</f>
        <v>5289</v>
      </c>
      <c r="C146" s="191" t="str">
        <f>IFERROR(__xludf.DUMMYFUNCTION("""COMPUTED_VALUE"""),"Marksheet (D.PHARMA)")</f>
        <v>Marksheet (D.PHARMA)</v>
      </c>
      <c r="D146" s="192">
        <f>IFERROR(__xludf.DUMMYFUNCTION("""COMPUTED_VALUE"""),46199.427777777775)</f>
        <v>46199.42778</v>
      </c>
      <c r="E146" s="192">
        <f>IFERROR(__xludf.DUMMYFUNCTION("""COMPUTED_VALUE"""),46197.58779378472)</f>
        <v>46197.58779</v>
      </c>
      <c r="F146" s="192" t="str">
        <f>IFERROR(__xludf.DUMMYFUNCTION("""COMPUTED_VALUE"""),"Done")</f>
        <v>Done</v>
      </c>
      <c r="G146" s="183">
        <f>IFERROR(__xludf.DUMMYFUNCTION("""COMPUTED_VALUE"""),0.0)</f>
        <v>0</v>
      </c>
      <c r="H146" s="193" t="str">
        <f>IFERROR(__xludf.DUMMYFUNCTION("""COMPUTED_VALUE"""),"EMP0042 HULESHWAR KUMAR SAHU")</f>
        <v>EMP0042 HULESHWAR KUMAR SAHU</v>
      </c>
      <c r="I146" s="183"/>
    </row>
    <row r="147">
      <c r="A147" s="195" t="str">
        <f>IFERROR(__xludf.DUMMYFUNCTION("""COMPUTED_VALUE"""),"Upload file, cross check and inform                               ")</f>
        <v>Upload file, cross check and inform                               </v>
      </c>
      <c r="B147" s="196">
        <f>IFERROR(__xludf.DUMMYFUNCTION("""COMPUTED_VALUE"""),5290.0)</f>
        <v>5290</v>
      </c>
      <c r="C147" s="55" t="str">
        <f>IFERROR(__xludf.DUMMYFUNCTION("""COMPUTED_VALUE"""),"gradaecard4-btech")</f>
        <v>gradaecard4-btech</v>
      </c>
      <c r="D147" s="84">
        <f>IFERROR(__xludf.DUMMYFUNCTION("""COMPUTED_VALUE"""),46199.44236111111)</f>
        <v>46199.44236</v>
      </c>
      <c r="E147" s="84">
        <f>IFERROR(__xludf.DUMMYFUNCTION("""COMPUTED_VALUE"""),46197.80344268518)</f>
        <v>46197.80344</v>
      </c>
      <c r="F147" s="84" t="str">
        <f>IFERROR(__xludf.DUMMYFUNCTION("""COMPUTED_VALUE"""),"Done")</f>
        <v>Done</v>
      </c>
      <c r="G147" s="76">
        <f>IFERROR(__xludf.DUMMYFUNCTION("""COMPUTED_VALUE"""),0.0)</f>
        <v>0</v>
      </c>
      <c r="H147" s="197" t="str">
        <f>IFERROR(__xludf.DUMMYFUNCTION("""COMPUTED_VALUE"""),"EMP0042 HULESHWAR KUMAR SAHU")</f>
        <v>EMP0042 HULESHWAR KUMAR SAHU</v>
      </c>
      <c r="J147" s="173"/>
    </row>
    <row r="148">
      <c r="A148" s="189" t="str">
        <f>IFERROR(__xludf.DUMMYFUNCTION("""COMPUTED_VALUE"""),"Upload file, cross check and inform                               ")</f>
        <v>Upload file, cross check and inform                               </v>
      </c>
      <c r="B148" s="190">
        <f>IFERROR(__xludf.DUMMYFUNCTION("""COMPUTED_VALUE"""),5291.0)</f>
        <v>5291</v>
      </c>
      <c r="C148" s="191" t="str">
        <f>IFERROR(__xludf.DUMMYFUNCTION("""COMPUTED_VALUE"""),"Student wise form report")</f>
        <v>Student wise form report</v>
      </c>
      <c r="D148" s="192">
        <f>IFERROR(__xludf.DUMMYFUNCTION("""COMPUTED_VALUE"""),46199.45416666666)</f>
        <v>46199.45417</v>
      </c>
      <c r="E148" s="192">
        <f>IFERROR(__xludf.DUMMYFUNCTION("""COMPUTED_VALUE"""),46199.45408665509)</f>
        <v>46199.45409</v>
      </c>
      <c r="F148" s="192" t="str">
        <f>IFERROR(__xludf.DUMMYFUNCTION("""COMPUTED_VALUE"""),"Done")</f>
        <v>Done</v>
      </c>
      <c r="G148" s="183">
        <f>IFERROR(__xludf.DUMMYFUNCTION("""COMPUTED_VALUE"""),0.0)</f>
        <v>0</v>
      </c>
      <c r="H148" s="193" t="str">
        <f>IFERROR(__xludf.DUMMYFUNCTION("""COMPUTED_VALUE"""),"EMP0237 Swarnendu Chakraborty")</f>
        <v>EMP0237 Swarnendu Chakraborty</v>
      </c>
      <c r="I148" s="183"/>
      <c r="J148" s="173"/>
    </row>
    <row r="149">
      <c r="A149" s="195" t="str">
        <f>IFERROR(__xludf.DUMMYFUNCTION("""COMPUTED_VALUE"""),"Upload file, cross check and inform                               ")</f>
        <v>Upload file, cross check and inform                               </v>
      </c>
      <c r="B149" s="196">
        <f>IFERROR(__xludf.DUMMYFUNCTION("""COMPUTED_VALUE"""),5292.0)</f>
        <v>5292</v>
      </c>
      <c r="C149" s="55" t="str">
        <f>IFERROR(__xludf.DUMMYFUNCTION("""COMPUTED_VALUE"""),"SESSION WISE RESULT SUMMARY ")</f>
        <v>SESSION WISE RESULT SUMMARY </v>
      </c>
      <c r="D149" s="84">
        <f>IFERROR(__xludf.DUMMYFUNCTION("""COMPUTED_VALUE"""),46199.48263888889)</f>
        <v>46199.48264</v>
      </c>
      <c r="E149" s="84">
        <f>IFERROR(__xludf.DUMMYFUNCTION("""COMPUTED_VALUE"""),46199.453930138894)</f>
        <v>46199.45393</v>
      </c>
      <c r="F149" s="84" t="str">
        <f>IFERROR(__xludf.DUMMYFUNCTION("""COMPUTED_VALUE"""),"Done")</f>
        <v>Done</v>
      </c>
      <c r="G149" s="76">
        <f>IFERROR(__xludf.DUMMYFUNCTION("""COMPUTED_VALUE"""),0.0)</f>
        <v>0</v>
      </c>
      <c r="H149" s="197" t="str">
        <f>IFERROR(__xludf.DUMMYFUNCTION("""COMPUTED_VALUE"""),"EMP0237 Swarnendu Chakraborty")</f>
        <v>EMP0237 Swarnendu Chakraborty</v>
      </c>
    </row>
    <row r="150">
      <c r="A150" s="195" t="str">
        <f>IFERROR(__xludf.DUMMYFUNCTION("""COMPUTED_VALUE"""),"Upload file, cross check and inform                               ")</f>
        <v>Upload file, cross check and inform                               </v>
      </c>
      <c r="B150" s="196">
        <f>IFERROR(__xludf.DUMMYFUNCTION("""COMPUTED_VALUE"""),5293.0)</f>
        <v>5293</v>
      </c>
      <c r="C150" s="55" t="str">
        <f>IFERROR(__xludf.DUMMYFUNCTION("""COMPUTED_VALUE"""),"Analytics Deshbord report")</f>
        <v>Analytics Deshbord report</v>
      </c>
      <c r="D150" s="84">
        <f>IFERROR(__xludf.DUMMYFUNCTION("""COMPUTED_VALUE"""),46199.59722222222)</f>
        <v>46199.59722</v>
      </c>
      <c r="E150" s="84">
        <f>IFERROR(__xludf.DUMMYFUNCTION("""COMPUTED_VALUE"""),46199.45429936343)</f>
        <v>46199.4543</v>
      </c>
      <c r="F150" s="84" t="str">
        <f>IFERROR(__xludf.DUMMYFUNCTION("""COMPUTED_VALUE"""),"Done")</f>
        <v>Done</v>
      </c>
      <c r="G150" s="76">
        <f>IFERROR(__xludf.DUMMYFUNCTION("""COMPUTED_VALUE"""),0.0)</f>
        <v>0</v>
      </c>
      <c r="H150" s="197" t="str">
        <f>IFERROR(__xludf.DUMMYFUNCTION("""COMPUTED_VALUE"""),"EMP0237 Swarnendu Chakraborty")</f>
        <v>EMP0237 Swarnendu Chakraborty</v>
      </c>
      <c r="J150" s="173"/>
    </row>
    <row r="151">
      <c r="A151" s="195" t="str">
        <f>IFERROR(__xludf.DUMMYFUNCTION("""COMPUTED_VALUE"""),"Upload file, cross check and inform                               ")</f>
        <v>Upload file, cross check and inform                               </v>
      </c>
      <c r="B151" s="196">
        <f>IFERROR(__xludf.DUMMYFUNCTION("""COMPUTED_VALUE"""),5294.0)</f>
        <v>5294</v>
      </c>
      <c r="C151" s="55" t="str">
        <f>IFERROR(__xludf.DUMMYFUNCTION("""COMPUTED_VALUE"""),"TR MBA 4th sem( With division )")</f>
        <v>TR MBA 4th sem( With division )</v>
      </c>
      <c r="D151" s="84">
        <f>IFERROR(__xludf.DUMMYFUNCTION("""COMPUTED_VALUE"""),46199.79513888889)</f>
        <v>46199.79514</v>
      </c>
      <c r="E151" s="84">
        <f>IFERROR(__xludf.DUMMYFUNCTION("""COMPUTED_VALUE"""),46198.703975069446)</f>
        <v>46198.70398</v>
      </c>
      <c r="F151" s="84" t="str">
        <f>IFERROR(__xludf.DUMMYFUNCTION("""COMPUTED_VALUE"""),"Done")</f>
        <v>Done</v>
      </c>
      <c r="G151" s="76">
        <f>IFERROR(__xludf.DUMMYFUNCTION("""COMPUTED_VALUE"""),0.0)</f>
        <v>0</v>
      </c>
      <c r="H151" s="197" t="str">
        <f>IFERROR(__xludf.DUMMYFUNCTION("""COMPUTED_VALUE"""),"EMP0042 HULESHWAR KUMAR SAHU")</f>
        <v>EMP0042 HULESHWAR KUMAR SAHU</v>
      </c>
      <c r="J151" s="173"/>
    </row>
    <row r="152">
      <c r="A152" s="195" t="str">
        <f>IFERROR(__xludf.DUMMYFUNCTION("""COMPUTED_VALUE"""),"Upload file, cross check and inform                               ")</f>
        <v>Upload file, cross check and inform                               </v>
      </c>
      <c r="B152" s="196">
        <f>IFERROR(__xludf.DUMMYFUNCTION("""COMPUTED_VALUE"""),5295.0)</f>
        <v>5295</v>
      </c>
      <c r="C152" s="55" t="str">
        <f>IFERROR(__xludf.DUMMYFUNCTION("""COMPUTED_VALUE"""),"NAD DATA")</f>
        <v>NAD DATA</v>
      </c>
      <c r="D152" s="84">
        <f>IFERROR(__xludf.DUMMYFUNCTION("""COMPUTED_VALUE"""),46199.82152777778)</f>
        <v>46199.82153</v>
      </c>
      <c r="E152" s="84">
        <f>IFERROR(__xludf.DUMMYFUNCTION("""COMPUTED_VALUE"""),46199.61761650463)</f>
        <v>46199.61762</v>
      </c>
      <c r="F152" s="84" t="str">
        <f>IFERROR(__xludf.DUMMYFUNCTION("""COMPUTED_VALUE"""),"Done")</f>
        <v>Done</v>
      </c>
      <c r="G152" s="76">
        <f>IFERROR(__xludf.DUMMYFUNCTION("""COMPUTED_VALUE"""),0.0)</f>
        <v>0</v>
      </c>
      <c r="H152" s="197" t="str">
        <f>IFERROR(__xludf.DUMMYFUNCTION("""COMPUTED_VALUE"""),"EMP0237 Swarnendu Chakraborty")</f>
        <v>EMP0237 Swarnendu Chakraborty</v>
      </c>
      <c r="J152" s="173"/>
    </row>
    <row r="153">
      <c r="A153" s="195" t="str">
        <f>IFERROR(__xludf.DUMMYFUNCTION("""COMPUTED_VALUE"""),"Upload file, cross check and inform                               ")</f>
        <v>Upload file, cross check and inform                               </v>
      </c>
      <c r="B153" s="196">
        <f>IFERROR(__xludf.DUMMYFUNCTION("""COMPUTED_VALUE"""),5296.0)</f>
        <v>5296</v>
      </c>
      <c r="C153" s="55" t="str">
        <f>IFERROR(__xludf.DUMMYFUNCTION("""COMPUTED_VALUE"""),"ATTESTATION SHEET ")</f>
        <v>ATTESTATION SHEET </v>
      </c>
      <c r="D153" s="84">
        <f>IFERROR(__xludf.DUMMYFUNCTION("""COMPUTED_VALUE"""),46200.41805555555)</f>
        <v>46200.41806</v>
      </c>
      <c r="E153" s="84">
        <f>IFERROR(__xludf.DUMMYFUNCTION("""COMPUTED_VALUE"""),46199.46787864583)</f>
        <v>46199.46788</v>
      </c>
      <c r="F153" s="84" t="str">
        <f>IFERROR(__xludf.DUMMYFUNCTION("""COMPUTED_VALUE"""),"Done")</f>
        <v>Done</v>
      </c>
      <c r="G153" s="76">
        <f>IFERROR(__xludf.DUMMYFUNCTION("""COMPUTED_VALUE"""),0.0)</f>
        <v>0</v>
      </c>
      <c r="H153" s="197" t="str">
        <f>IFERROR(__xludf.DUMMYFUNCTION("""COMPUTED_VALUE"""),"EMP5009 Rup Kumar Mandal")</f>
        <v>EMP5009 Rup Kumar Mandal</v>
      </c>
      <c r="J153" s="173"/>
    </row>
    <row r="154">
      <c r="A154" s="189" t="str">
        <f>IFERROR(__xludf.DUMMYFUNCTION("""COMPUTED_VALUE"""),"Upload file, cross check and inform                               ")</f>
        <v>Upload file, cross check and inform                               </v>
      </c>
      <c r="B154" s="190">
        <f>IFERROR(__xludf.DUMMYFUNCTION("""COMPUTED_VALUE"""),5297.0)</f>
        <v>5297</v>
      </c>
      <c r="C154" s="191" t="str">
        <f>IFERROR(__xludf.DUMMYFUNCTION("""COMPUTED_VALUE"""),"NAD data ")</f>
        <v>NAD data </v>
      </c>
      <c r="D154" s="192">
        <f>IFERROR(__xludf.DUMMYFUNCTION("""COMPUTED_VALUE"""),46200.66111111111)</f>
        <v>46200.66111</v>
      </c>
      <c r="E154" s="192">
        <f>IFERROR(__xludf.DUMMYFUNCTION("""COMPUTED_VALUE"""),46199.4678828125)</f>
        <v>46199.46788</v>
      </c>
      <c r="F154" s="192" t="str">
        <f>IFERROR(__xludf.DUMMYFUNCTION("""COMPUTED_VALUE"""),"Done")</f>
        <v>Done</v>
      </c>
      <c r="G154" s="183">
        <f>IFERROR(__xludf.DUMMYFUNCTION("""COMPUTED_VALUE"""),0.0)</f>
        <v>0</v>
      </c>
      <c r="H154" s="193" t="str">
        <f>IFERROR(__xludf.DUMMYFUNCTION("""COMPUTED_VALUE"""),"EMP5009 Rup Kumar Mandal")</f>
        <v>EMP5009 Rup Kumar Mandal</v>
      </c>
      <c r="I154" s="183"/>
      <c r="J154" s="173"/>
    </row>
    <row r="155">
      <c r="A155" s="189" t="str">
        <f>IFERROR(__xludf.DUMMYFUNCTION("""COMPUTED_VALUE"""),"Upload file, cross check and inform                               ")</f>
        <v>Upload file, cross check and inform                               </v>
      </c>
      <c r="B155" s="190">
        <f>IFERROR(__xludf.DUMMYFUNCTION("""COMPUTED_VALUE"""),5298.0)</f>
        <v>5298</v>
      </c>
      <c r="C155" s="191" t="str">
        <f>IFERROR(__xludf.DUMMYFUNCTION("""COMPUTED_VALUE"""),"Attendance Sheet PG &amp; PHD")</f>
        <v>Attendance Sheet PG &amp; PHD</v>
      </c>
      <c r="D155" s="192">
        <f>IFERROR(__xludf.DUMMYFUNCTION("""COMPUTED_VALUE"""),46200.70277777778)</f>
        <v>46200.70278</v>
      </c>
      <c r="E155" s="192">
        <f>IFERROR(__xludf.DUMMYFUNCTION("""COMPUTED_VALUE"""),46200.4458821875)</f>
        <v>46200.44588</v>
      </c>
      <c r="F155" s="192" t="str">
        <f>IFERROR(__xludf.DUMMYFUNCTION("""COMPUTED_VALUE"""),"Done")</f>
        <v>Done</v>
      </c>
      <c r="G155" s="183">
        <f>IFERROR(__xludf.DUMMYFUNCTION("""COMPUTED_VALUE"""),0.0)</f>
        <v>0</v>
      </c>
      <c r="H155" s="193" t="str">
        <f>IFERROR(__xludf.DUMMYFUNCTION("""COMPUTED_VALUE"""),"EMP0021 Tamanna Dewangan")</f>
        <v>EMP0021 Tamanna Dewangan</v>
      </c>
      <c r="I155" s="183"/>
      <c r="J155" s="173"/>
    </row>
    <row r="156">
      <c r="A156" s="189" t="str">
        <f>IFERROR(__xludf.DUMMYFUNCTION("""COMPUTED_VALUE"""),"Upload file, cross check and inform                               ")</f>
        <v>Upload file, cross check and inform                               </v>
      </c>
      <c r="B156" s="190">
        <f>IFERROR(__xludf.DUMMYFUNCTION("""COMPUTED_VALUE"""),5299.0)</f>
        <v>5299</v>
      </c>
      <c r="C156" s="191" t="str">
        <f>IFERROR(__xludf.DUMMYFUNCTION("""COMPUTED_VALUE"""),"Summary For PG/PHD")</f>
        <v>Summary For PG/PHD</v>
      </c>
      <c r="D156" s="192">
        <f>IFERROR(__xludf.DUMMYFUNCTION("""COMPUTED_VALUE"""),46200.70416666666)</f>
        <v>46200.70417</v>
      </c>
      <c r="E156" s="192">
        <f>IFERROR(__xludf.DUMMYFUNCTION("""COMPUTED_VALUE"""),46200.44591270833)</f>
        <v>46200.44591</v>
      </c>
      <c r="F156" s="192" t="str">
        <f>IFERROR(__xludf.DUMMYFUNCTION("""COMPUTED_VALUE"""),"Done")</f>
        <v>Done</v>
      </c>
      <c r="G156" s="183">
        <f>IFERROR(__xludf.DUMMYFUNCTION("""COMPUTED_VALUE"""),0.0)</f>
        <v>0</v>
      </c>
      <c r="H156" s="193" t="str">
        <f>IFERROR(__xludf.DUMMYFUNCTION("""COMPUTED_VALUE"""),"EMP0021 Tamanna Dewangan")</f>
        <v>EMP0021 Tamanna Dewangan</v>
      </c>
      <c r="I156" s="183"/>
      <c r="J156" s="173"/>
    </row>
    <row r="157">
      <c r="A157" s="189" t="str">
        <f>IFERROR(__xludf.DUMMYFUNCTION("""COMPUTED_VALUE"""),"Upload file, cross check and inform                               ")</f>
        <v>Upload file, cross check and inform                               </v>
      </c>
      <c r="B157" s="190">
        <f>IFERROR(__xludf.DUMMYFUNCTION("""COMPUTED_VALUE"""),5300.0)</f>
        <v>5300</v>
      </c>
      <c r="C157" s="191" t="str">
        <f>IFERROR(__xludf.DUMMYFUNCTION("""COMPUTED_VALUE"""),"Cover Page")</f>
        <v>Cover Page</v>
      </c>
      <c r="D157" s="192">
        <f>IFERROR(__xludf.DUMMYFUNCTION("""COMPUTED_VALUE"""),46200.705555555556)</f>
        <v>46200.70556</v>
      </c>
      <c r="E157" s="192">
        <f>IFERROR(__xludf.DUMMYFUNCTION("""COMPUTED_VALUE"""),46200.44592774306)</f>
        <v>46200.44593</v>
      </c>
      <c r="F157" s="192" t="str">
        <f>IFERROR(__xludf.DUMMYFUNCTION("""COMPUTED_VALUE"""),"Done")</f>
        <v>Done</v>
      </c>
      <c r="G157" s="183">
        <f>IFERROR(__xludf.DUMMYFUNCTION("""COMPUTED_VALUE"""),0.0)</f>
        <v>0</v>
      </c>
      <c r="H157" s="193" t="str">
        <f>IFERROR(__xludf.DUMMYFUNCTION("""COMPUTED_VALUE"""),"EMP0021 Tamanna Dewangan")</f>
        <v>EMP0021 Tamanna Dewangan</v>
      </c>
      <c r="I157" s="183"/>
    </row>
    <row r="158">
      <c r="A158" s="189" t="str">
        <f>IFERROR(__xludf.DUMMYFUNCTION("""COMPUTED_VALUE"""),"Upload file, cross check and inform                               ")</f>
        <v>Upload file, cross check and inform                               </v>
      </c>
      <c r="B158" s="190">
        <f>IFERROR(__xludf.DUMMYFUNCTION("""COMPUTED_VALUE"""),5301.0)</f>
        <v>5301</v>
      </c>
      <c r="C158" s="191" t="str">
        <f>IFERROR(__xludf.DUMMYFUNCTION("""COMPUTED_VALUE"""),"Analysis report")</f>
        <v>Analysis report</v>
      </c>
      <c r="D158" s="192">
        <f>IFERROR(__xludf.DUMMYFUNCTION("""COMPUTED_VALUE"""),46200.711805555555)</f>
        <v>46200.71181</v>
      </c>
      <c r="E158" s="192">
        <f>IFERROR(__xludf.DUMMYFUNCTION("""COMPUTED_VALUE"""),46200.445983935184)</f>
        <v>46200.44598</v>
      </c>
      <c r="F158" s="192" t="str">
        <f>IFERROR(__xludf.DUMMYFUNCTION("""COMPUTED_VALUE"""),"Done")</f>
        <v>Done</v>
      </c>
      <c r="G158" s="183">
        <f>IFERROR(__xludf.DUMMYFUNCTION("""COMPUTED_VALUE"""),0.0)</f>
        <v>0</v>
      </c>
      <c r="H158" s="193" t="str">
        <f>IFERROR(__xludf.DUMMYFUNCTION("""COMPUTED_VALUE"""),"EMP0021 Tamanna Dewangan")</f>
        <v>EMP0021 Tamanna Dewangan</v>
      </c>
      <c r="I158" s="183"/>
    </row>
    <row r="159">
      <c r="A159" s="189" t="str">
        <f>IFERROR(__xludf.DUMMYFUNCTION("""COMPUTED_VALUE"""),"Upload file, cross check and inform                               ")</f>
        <v>Upload file, cross check and inform                               </v>
      </c>
      <c r="B159" s="190">
        <f>IFERROR(__xludf.DUMMYFUNCTION("""COMPUTED_VALUE"""),5302.0)</f>
        <v>5302</v>
      </c>
      <c r="C159" s="191" t="str">
        <f>IFERROR(__xludf.DUMMYFUNCTION("""COMPUTED_VALUE"""),"Analytics report")</f>
        <v>Analytics report</v>
      </c>
      <c r="D159" s="192">
        <f>IFERROR(__xludf.DUMMYFUNCTION("""COMPUTED_VALUE"""),46200.7125)</f>
        <v>46200.7125</v>
      </c>
      <c r="E159" s="192">
        <f>IFERROR(__xludf.DUMMYFUNCTION("""COMPUTED_VALUE"""),46200.44600545139)</f>
        <v>46200.44601</v>
      </c>
      <c r="F159" s="192" t="str">
        <f>IFERROR(__xludf.DUMMYFUNCTION("""COMPUTED_VALUE"""),"Done")</f>
        <v>Done</v>
      </c>
      <c r="G159" s="183">
        <f>IFERROR(__xludf.DUMMYFUNCTION("""COMPUTED_VALUE"""),0.0)</f>
        <v>0</v>
      </c>
      <c r="H159" s="193" t="str">
        <f>IFERROR(__xludf.DUMMYFUNCTION("""COMPUTED_VALUE"""),"EMP0021 Tamanna Dewangan")</f>
        <v>EMP0021 Tamanna Dewangan</v>
      </c>
      <c r="I159" s="183"/>
    </row>
    <row r="160">
      <c r="A160" s="189" t="str">
        <f>IFERROR(__xludf.DUMMYFUNCTION("""COMPUTED_VALUE"""),"Upload file, cross check and inform                               ")</f>
        <v>Upload file, cross check and inform                               </v>
      </c>
      <c r="B160" s="190">
        <f>IFERROR(__xludf.DUMMYFUNCTION("""COMPUTED_VALUE"""),5303.0)</f>
        <v>5303</v>
      </c>
      <c r="C160" s="191" t="str">
        <f>IFERROR(__xludf.DUMMYFUNCTION("""COMPUTED_VALUE"""),"otal Student and all matrix count mismatch Eg:999 College")</f>
        <v>otal Student and all matrix count mismatch Eg:999 College</v>
      </c>
      <c r="D160" s="192">
        <f>IFERROR(__xludf.DUMMYFUNCTION("""COMPUTED_VALUE"""),46200.71319444444)</f>
        <v>46200.71319</v>
      </c>
      <c r="E160" s="192">
        <f>IFERROR(__xludf.DUMMYFUNCTION("""COMPUTED_VALUE"""),46200.44779233796)</f>
        <v>46200.44779</v>
      </c>
      <c r="F160" s="192" t="str">
        <f>IFERROR(__xludf.DUMMYFUNCTION("""COMPUTED_VALUE"""),"Done")</f>
        <v>Done</v>
      </c>
      <c r="G160" s="183">
        <f>IFERROR(__xludf.DUMMYFUNCTION("""COMPUTED_VALUE"""),0.0)</f>
        <v>0</v>
      </c>
      <c r="H160" s="193" t="str">
        <f>IFERROR(__xludf.DUMMYFUNCTION("""COMPUTED_VALUE"""),"EMP0021 Tamanna Dewangan")</f>
        <v>EMP0021 Tamanna Dewangan</v>
      </c>
      <c r="I160" s="183"/>
      <c r="J160" s="173"/>
    </row>
    <row r="161">
      <c r="A161" s="195" t="str">
        <f>IFERROR(__xludf.DUMMYFUNCTION("""COMPUTED_VALUE"""),"Upload file, cross check and inform                               ")</f>
        <v>Upload file, cross check and inform                               </v>
      </c>
      <c r="B161" s="196">
        <f>IFERROR(__xludf.DUMMYFUNCTION("""COMPUTED_VALUE"""),5304.0)</f>
        <v>5304</v>
      </c>
      <c r="C161" s="55" t="str">
        <f>IFERROR(__xludf.DUMMYFUNCTION("""COMPUTED_VALUE"""),"otal Student and all matrix count mismatch Eg:999 College")</f>
        <v>otal Student and all matrix count mismatch Eg:999 College</v>
      </c>
      <c r="D161" s="84">
        <f>IFERROR(__xludf.DUMMYFUNCTION("""COMPUTED_VALUE"""),46200.714583333334)</f>
        <v>46200.71458</v>
      </c>
      <c r="E161" s="84">
        <f>IFERROR(__xludf.DUMMYFUNCTION("""COMPUTED_VALUE"""),46200.44780967593)</f>
        <v>46200.44781</v>
      </c>
      <c r="F161" s="84" t="str">
        <f>IFERROR(__xludf.DUMMYFUNCTION("""COMPUTED_VALUE"""),"Done")</f>
        <v>Done</v>
      </c>
      <c r="G161" s="76">
        <f>IFERROR(__xludf.DUMMYFUNCTION("""COMPUTED_VALUE"""),0.0)</f>
        <v>0</v>
      </c>
      <c r="H161" s="197" t="str">
        <f>IFERROR(__xludf.DUMMYFUNCTION("""COMPUTED_VALUE"""),"EMP0021 Tamanna Dewangan")</f>
        <v>EMP0021 Tamanna Dewangan</v>
      </c>
    </row>
    <row r="162">
      <c r="A162" s="189" t="str">
        <f>IFERROR(__xludf.DUMMYFUNCTION("""COMPUTED_VALUE"""),"Upload file, cross check and inform                               ")</f>
        <v>Upload file, cross check and inform                               </v>
      </c>
      <c r="B162" s="190">
        <f>IFERROR(__xludf.DUMMYFUNCTION("""COMPUTED_VALUE"""),5305.0)</f>
        <v>5305</v>
      </c>
      <c r="C162" s="191" t="str">
        <f>IFERROR(__xludf.DUMMYFUNCTION("""COMPUTED_VALUE"""),"fee details")</f>
        <v>fee details</v>
      </c>
      <c r="D162" s="192">
        <f>IFERROR(__xludf.DUMMYFUNCTION("""COMPUTED_VALUE"""),46200.71597222222)</f>
        <v>46200.71597</v>
      </c>
      <c r="E162" s="192">
        <f>IFERROR(__xludf.DUMMYFUNCTION("""COMPUTED_VALUE"""),46200.44786663194)</f>
        <v>46200.44787</v>
      </c>
      <c r="F162" s="192" t="str">
        <f>IFERROR(__xludf.DUMMYFUNCTION("""COMPUTED_VALUE"""),"Done")</f>
        <v>Done</v>
      </c>
      <c r="G162" s="183">
        <f>IFERROR(__xludf.DUMMYFUNCTION("""COMPUTED_VALUE"""),0.0)</f>
        <v>0</v>
      </c>
      <c r="H162" s="193" t="str">
        <f>IFERROR(__xludf.DUMMYFUNCTION("""COMPUTED_VALUE"""),"EMP0021 Tamanna Dewangan")</f>
        <v>EMP0021 Tamanna Dewangan</v>
      </c>
      <c r="I162" s="183"/>
      <c r="J162" s="173"/>
    </row>
    <row r="163">
      <c r="A163" s="195" t="str">
        <f>IFERROR(__xludf.DUMMYFUNCTION("""COMPUTED_VALUE"""),"Upload file, cross check and inform                               ")</f>
        <v>Upload file, cross check and inform                               </v>
      </c>
      <c r="B163" s="196">
        <f>IFERROR(__xludf.DUMMYFUNCTION("""COMPUTED_VALUE"""),5306.0)</f>
        <v>5306</v>
      </c>
      <c r="C163" s="55" t="str">
        <f>IFERROR(__xludf.DUMMYFUNCTION("""COMPUTED_VALUE"""),"DIGI LOKER Data new")</f>
        <v>DIGI LOKER Data new</v>
      </c>
      <c r="D163" s="84">
        <f>IFERROR(__xludf.DUMMYFUNCTION("""COMPUTED_VALUE"""),46200.76666666666)</f>
        <v>46200.76667</v>
      </c>
      <c r="E163" s="84">
        <f>IFERROR(__xludf.DUMMYFUNCTION("""COMPUTED_VALUE"""),46200.56258996527)</f>
        <v>46200.56259</v>
      </c>
      <c r="F163" s="84" t="str">
        <f>IFERROR(__xludf.DUMMYFUNCTION("""COMPUTED_VALUE"""),"Done")</f>
        <v>Done</v>
      </c>
      <c r="G163" s="76">
        <f>IFERROR(__xludf.DUMMYFUNCTION("""COMPUTED_VALUE"""),0.0)</f>
        <v>0</v>
      </c>
      <c r="H163" s="197" t="str">
        <f>IFERROR(__xludf.DUMMYFUNCTION("""COMPUTED_VALUE"""),"EMP5009 Rup Kumar Mandal")</f>
        <v>EMP5009 Rup Kumar Mandal</v>
      </c>
    </row>
    <row r="164">
      <c r="A164" s="195"/>
      <c r="B164" s="196"/>
      <c r="C164" s="55"/>
      <c r="D164" s="84"/>
      <c r="E164" s="84"/>
      <c r="F164" s="84"/>
      <c r="H164" s="197"/>
    </row>
    <row r="165">
      <c r="A165" s="195"/>
      <c r="B165" s="196"/>
      <c r="C165" s="55"/>
      <c r="D165" s="84"/>
      <c r="E165" s="84"/>
      <c r="F165" s="84"/>
      <c r="H165" s="197"/>
    </row>
    <row r="166">
      <c r="A166" s="189"/>
      <c r="B166" s="190"/>
      <c r="C166" s="191"/>
      <c r="D166" s="192"/>
      <c r="E166" s="192"/>
      <c r="F166" s="192"/>
      <c r="G166" s="183"/>
      <c r="H166" s="193"/>
      <c r="I166" s="183"/>
    </row>
    <row r="167">
      <c r="A167" s="195"/>
      <c r="B167" s="196"/>
      <c r="C167" s="55"/>
      <c r="D167" s="84"/>
      <c r="E167" s="84"/>
      <c r="F167" s="84"/>
      <c r="H167" s="197"/>
    </row>
    <row r="168">
      <c r="A168" s="195"/>
      <c r="B168" s="196"/>
      <c r="C168" s="55"/>
      <c r="D168" s="84"/>
      <c r="E168" s="84"/>
      <c r="F168" s="84"/>
      <c r="H168" s="197"/>
    </row>
    <row r="169">
      <c r="A169" s="195"/>
      <c r="B169" s="196"/>
      <c r="C169" s="55"/>
      <c r="D169" s="84"/>
      <c r="E169" s="84"/>
      <c r="F169" s="84"/>
      <c r="H169" s="197"/>
    </row>
    <row r="170">
      <c r="A170" s="195"/>
      <c r="B170" s="196"/>
      <c r="C170" s="55"/>
      <c r="D170" s="84"/>
      <c r="E170" s="84"/>
      <c r="F170" s="84"/>
      <c r="H170" s="197"/>
    </row>
    <row r="171">
      <c r="A171" s="195"/>
      <c r="B171" s="196"/>
      <c r="C171" s="55"/>
      <c r="D171" s="84"/>
      <c r="E171" s="84"/>
      <c r="F171" s="84"/>
      <c r="H171" s="197"/>
    </row>
    <row r="172">
      <c r="A172" s="195"/>
      <c r="B172" s="196"/>
      <c r="C172" s="55"/>
      <c r="D172" s="84"/>
      <c r="E172" s="84"/>
      <c r="F172" s="84"/>
      <c r="H172" s="197"/>
      <c r="J172" s="173"/>
    </row>
    <row r="173">
      <c r="A173" s="195"/>
      <c r="B173" s="196"/>
      <c r="C173" s="55"/>
      <c r="D173" s="84"/>
      <c r="E173" s="84"/>
      <c r="F173" s="84"/>
      <c r="H173" s="197"/>
    </row>
    <row r="174">
      <c r="A174" s="195"/>
      <c r="B174" s="196"/>
      <c r="C174" s="55"/>
      <c r="D174" s="84"/>
      <c r="E174" s="84"/>
      <c r="F174" s="84"/>
      <c r="H174" s="197"/>
    </row>
    <row r="175">
      <c r="A175" s="189"/>
      <c r="B175" s="190"/>
      <c r="C175" s="191"/>
      <c r="D175" s="192"/>
      <c r="E175" s="192"/>
      <c r="F175" s="192"/>
      <c r="G175" s="183"/>
      <c r="H175" s="193"/>
      <c r="I175" s="183"/>
    </row>
    <row r="176">
      <c r="A176" s="195"/>
      <c r="B176" s="196"/>
      <c r="C176" s="55"/>
      <c r="D176" s="84"/>
      <c r="E176" s="84"/>
      <c r="F176" s="84"/>
      <c r="H176" s="197"/>
    </row>
    <row r="177">
      <c r="A177" s="195"/>
      <c r="B177" s="196"/>
      <c r="C177" s="55"/>
      <c r="D177" s="84"/>
      <c r="E177" s="84"/>
      <c r="F177" s="84"/>
      <c r="H177" s="197"/>
    </row>
    <row r="178">
      <c r="A178" s="195"/>
      <c r="B178" s="196"/>
      <c r="C178" s="55"/>
      <c r="D178" s="84"/>
      <c r="E178" s="84"/>
      <c r="F178" s="84"/>
      <c r="H178" s="197"/>
    </row>
    <row r="179">
      <c r="A179" s="195"/>
      <c r="B179" s="196"/>
      <c r="C179" s="55"/>
      <c r="D179" s="84"/>
      <c r="E179" s="84"/>
      <c r="F179" s="84"/>
      <c r="H179" s="197"/>
    </row>
    <row r="180">
      <c r="A180" s="195"/>
      <c r="B180" s="196"/>
      <c r="C180" s="55"/>
      <c r="D180" s="84"/>
      <c r="E180" s="84"/>
      <c r="F180" s="84"/>
      <c r="H180" s="197"/>
    </row>
    <row r="181">
      <c r="A181" s="189"/>
      <c r="B181" s="190"/>
      <c r="C181" s="191"/>
      <c r="D181" s="192"/>
      <c r="E181" s="192"/>
      <c r="F181" s="192"/>
      <c r="G181" s="183"/>
      <c r="H181" s="193"/>
      <c r="I181" s="183"/>
    </row>
    <row r="182">
      <c r="A182" s="189"/>
      <c r="B182" s="190"/>
      <c r="C182" s="191"/>
      <c r="D182" s="192"/>
      <c r="E182" s="192"/>
      <c r="F182" s="192"/>
      <c r="G182" s="183"/>
      <c r="H182" s="193"/>
      <c r="I182" s="183"/>
      <c r="J182" s="173"/>
    </row>
    <row r="183">
      <c r="A183" s="195"/>
      <c r="B183" s="196"/>
      <c r="C183" s="55"/>
      <c r="D183" s="84"/>
      <c r="E183" s="84"/>
      <c r="F183" s="84"/>
      <c r="H183" s="197"/>
      <c r="J183" s="173"/>
    </row>
    <row r="184">
      <c r="A184" s="189"/>
      <c r="B184" s="190"/>
      <c r="C184" s="191"/>
      <c r="D184" s="192"/>
      <c r="E184" s="192"/>
      <c r="F184" s="192"/>
      <c r="G184" s="183"/>
      <c r="H184" s="193"/>
      <c r="I184" s="183"/>
      <c r="J184" s="173"/>
    </row>
    <row r="185">
      <c r="A185" s="189"/>
      <c r="B185" s="190"/>
      <c r="C185" s="191"/>
      <c r="D185" s="192"/>
      <c r="E185" s="192"/>
      <c r="F185" s="192"/>
      <c r="G185" s="183"/>
      <c r="H185" s="193"/>
      <c r="I185" s="183"/>
      <c r="J185" s="173"/>
    </row>
    <row r="186">
      <c r="A186" s="189"/>
      <c r="B186" s="190"/>
      <c r="C186" s="191"/>
      <c r="D186" s="192"/>
      <c r="E186" s="192"/>
      <c r="F186" s="192"/>
      <c r="G186" s="183"/>
      <c r="H186" s="193"/>
      <c r="I186" s="183"/>
    </row>
    <row r="187">
      <c r="A187" s="195"/>
      <c r="B187" s="196"/>
      <c r="C187" s="55"/>
      <c r="D187" s="84"/>
      <c r="E187" s="84"/>
      <c r="F187" s="84"/>
      <c r="H187" s="197"/>
      <c r="J187" s="173"/>
    </row>
    <row r="188">
      <c r="A188" s="195"/>
      <c r="B188" s="196"/>
      <c r="C188" s="55"/>
      <c r="D188" s="84"/>
      <c r="E188" s="84"/>
      <c r="F188" s="84"/>
      <c r="H188" s="197"/>
    </row>
    <row r="189">
      <c r="A189" s="189"/>
      <c r="B189" s="190"/>
      <c r="C189" s="191"/>
      <c r="D189" s="192"/>
      <c r="E189" s="192"/>
      <c r="F189" s="192"/>
      <c r="G189" s="183"/>
      <c r="H189" s="193"/>
      <c r="I189" s="183"/>
    </row>
    <row r="190">
      <c r="A190" s="195"/>
      <c r="B190" s="196"/>
      <c r="C190" s="55"/>
      <c r="D190" s="84"/>
      <c r="E190" s="84"/>
      <c r="F190" s="84"/>
      <c r="H190" s="197"/>
      <c r="J190" s="173"/>
    </row>
    <row r="191">
      <c r="A191" s="195"/>
      <c r="B191" s="196"/>
      <c r="C191" s="55"/>
      <c r="D191" s="84"/>
      <c r="E191" s="84"/>
      <c r="F191" s="84"/>
      <c r="H191" s="197"/>
    </row>
    <row r="192">
      <c r="A192" s="189"/>
      <c r="B192" s="190"/>
      <c r="C192" s="191"/>
      <c r="D192" s="192"/>
      <c r="E192" s="192"/>
      <c r="F192" s="192"/>
      <c r="G192" s="183"/>
      <c r="H192" s="193"/>
      <c r="I192" s="183"/>
    </row>
    <row r="193">
      <c r="A193" s="195"/>
      <c r="B193" s="196"/>
      <c r="C193" s="55"/>
      <c r="D193" s="84"/>
      <c r="E193" s="84"/>
      <c r="F193" s="84"/>
      <c r="H193" s="197"/>
    </row>
    <row r="194">
      <c r="A194" s="195"/>
      <c r="B194" s="196"/>
      <c r="C194" s="55"/>
      <c r="D194" s="84"/>
      <c r="E194" s="84"/>
      <c r="F194" s="84"/>
      <c r="H194" s="197"/>
    </row>
    <row r="195">
      <c r="A195" s="195"/>
      <c r="B195" s="196"/>
      <c r="C195" s="55"/>
      <c r="D195" s="84"/>
      <c r="E195" s="84"/>
      <c r="F195" s="84"/>
      <c r="H195" s="197"/>
    </row>
    <row r="196">
      <c r="A196" s="195"/>
      <c r="B196" s="196"/>
      <c r="C196" s="55"/>
      <c r="D196" s="84"/>
      <c r="E196" s="84"/>
      <c r="F196" s="84"/>
      <c r="H196" s="197"/>
    </row>
    <row r="197">
      <c r="A197" s="189"/>
      <c r="B197" s="190"/>
      <c r="C197" s="191"/>
      <c r="D197" s="192"/>
      <c r="E197" s="192"/>
      <c r="F197" s="192"/>
      <c r="G197" s="183"/>
      <c r="H197" s="193"/>
      <c r="I197" s="183"/>
      <c r="J197" s="173"/>
    </row>
    <row r="198">
      <c r="A198" s="189"/>
      <c r="B198" s="190"/>
      <c r="C198" s="191"/>
      <c r="D198" s="192"/>
      <c r="E198" s="192"/>
      <c r="F198" s="192"/>
      <c r="G198" s="183"/>
      <c r="H198" s="193"/>
      <c r="I198" s="183"/>
      <c r="J198" s="173"/>
    </row>
    <row r="199">
      <c r="A199" s="195"/>
      <c r="B199" s="196"/>
      <c r="C199" s="55"/>
      <c r="D199" s="84"/>
      <c r="E199" s="84"/>
      <c r="F199" s="84"/>
      <c r="H199" s="197"/>
    </row>
    <row r="200">
      <c r="A200" s="189"/>
      <c r="B200" s="190"/>
      <c r="C200" s="191"/>
      <c r="D200" s="192"/>
      <c r="E200" s="192"/>
      <c r="F200" s="192"/>
      <c r="G200" s="183"/>
      <c r="H200" s="193"/>
      <c r="I200" s="183"/>
      <c r="J200" s="173"/>
    </row>
    <row r="201">
      <c r="A201" s="195"/>
      <c r="B201" s="196"/>
      <c r="C201" s="55"/>
      <c r="D201" s="84"/>
      <c r="E201" s="84"/>
      <c r="F201" s="84"/>
      <c r="H201" s="197"/>
      <c r="J201" s="173"/>
    </row>
    <row r="202">
      <c r="A202" s="189"/>
      <c r="B202" s="190"/>
      <c r="C202" s="191"/>
      <c r="D202" s="192"/>
      <c r="E202" s="192"/>
      <c r="F202" s="192"/>
      <c r="G202" s="183"/>
      <c r="H202" s="193"/>
      <c r="I202" s="183"/>
      <c r="J202" s="173"/>
    </row>
    <row r="203">
      <c r="A203" s="189"/>
      <c r="B203" s="190"/>
      <c r="C203" s="191"/>
      <c r="D203" s="192"/>
      <c r="E203" s="192"/>
      <c r="F203" s="192"/>
      <c r="G203" s="183"/>
      <c r="H203" s="193"/>
      <c r="I203" s="183"/>
      <c r="J203" s="173"/>
    </row>
    <row r="204">
      <c r="A204" s="189"/>
      <c r="B204" s="190"/>
      <c r="C204" s="191"/>
      <c r="D204" s="192"/>
      <c r="E204" s="192"/>
      <c r="F204" s="192"/>
      <c r="G204" s="183"/>
      <c r="H204" s="193"/>
      <c r="I204" s="183"/>
      <c r="J204" s="173"/>
    </row>
    <row r="205">
      <c r="A205" s="195"/>
      <c r="B205" s="196"/>
      <c r="C205" s="55"/>
      <c r="D205" s="84"/>
      <c r="E205" s="84"/>
      <c r="F205" s="84"/>
      <c r="H205" s="197"/>
      <c r="J205" s="173"/>
    </row>
    <row r="206">
      <c r="A206" s="189"/>
      <c r="B206" s="190"/>
      <c r="C206" s="191"/>
      <c r="D206" s="192"/>
      <c r="E206" s="192"/>
      <c r="F206" s="192"/>
      <c r="G206" s="183"/>
      <c r="H206" s="193"/>
      <c r="I206" s="183"/>
      <c r="J206" s="173"/>
    </row>
    <row r="207">
      <c r="A207" s="189"/>
      <c r="B207" s="190"/>
      <c r="C207" s="191"/>
      <c r="D207" s="192"/>
      <c r="E207" s="192"/>
      <c r="F207" s="192"/>
      <c r="G207" s="183"/>
      <c r="H207" s="193"/>
      <c r="I207" s="183"/>
    </row>
    <row r="208">
      <c r="A208" s="189"/>
      <c r="B208" s="190"/>
      <c r="C208" s="191"/>
      <c r="D208" s="192"/>
      <c r="E208" s="192"/>
      <c r="F208" s="192"/>
      <c r="G208" s="183"/>
      <c r="H208" s="193"/>
      <c r="I208" s="183"/>
    </row>
    <row r="209">
      <c r="A209" s="189"/>
      <c r="B209" s="190"/>
      <c r="C209" s="191"/>
      <c r="D209" s="192"/>
      <c r="E209" s="192"/>
      <c r="F209" s="192"/>
      <c r="G209" s="183"/>
      <c r="H209" s="193"/>
      <c r="I209" s="183"/>
    </row>
    <row r="210">
      <c r="A210" s="195"/>
      <c r="B210" s="196"/>
      <c r="C210" s="55"/>
      <c r="D210" s="84"/>
      <c r="E210" s="84"/>
      <c r="F210" s="84"/>
      <c r="H210" s="197"/>
      <c r="J210" s="173"/>
    </row>
    <row r="211">
      <c r="A211" s="195"/>
      <c r="B211" s="196"/>
      <c r="C211" s="55"/>
      <c r="D211" s="84"/>
      <c r="E211" s="84"/>
      <c r="F211" s="84"/>
      <c r="H211" s="197"/>
    </row>
    <row r="212">
      <c r="A212" s="195"/>
      <c r="B212" s="196"/>
      <c r="C212" s="55"/>
      <c r="D212" s="84"/>
      <c r="E212" s="84"/>
      <c r="F212" s="84"/>
      <c r="H212" s="197"/>
      <c r="J212" s="173"/>
    </row>
    <row r="213">
      <c r="A213" s="189"/>
      <c r="B213" s="190"/>
      <c r="C213" s="191"/>
      <c r="D213" s="192"/>
      <c r="E213" s="192"/>
      <c r="F213" s="192"/>
      <c r="G213" s="183"/>
      <c r="H213" s="193"/>
      <c r="I213" s="183"/>
    </row>
    <row r="214">
      <c r="A214" s="189"/>
      <c r="B214" s="190"/>
      <c r="C214" s="191"/>
      <c r="D214" s="192"/>
      <c r="E214" s="192"/>
      <c r="F214" s="192"/>
      <c r="G214" s="183"/>
      <c r="H214" s="193"/>
      <c r="I214" s="183"/>
    </row>
    <row r="215">
      <c r="A215" s="189"/>
      <c r="B215" s="190"/>
      <c r="C215" s="191"/>
      <c r="D215" s="192"/>
      <c r="E215" s="192"/>
      <c r="F215" s="192"/>
      <c r="G215" s="183"/>
      <c r="H215" s="193"/>
      <c r="I215" s="183"/>
    </row>
    <row r="216">
      <c r="A216" s="195"/>
      <c r="B216" s="196"/>
      <c r="C216" s="55"/>
      <c r="D216" s="84"/>
      <c r="E216" s="84"/>
      <c r="F216" s="84"/>
      <c r="H216" s="197"/>
    </row>
    <row r="217">
      <c r="A217" s="189"/>
      <c r="B217" s="190"/>
      <c r="C217" s="191"/>
      <c r="D217" s="192"/>
      <c r="E217" s="192"/>
      <c r="F217" s="192"/>
      <c r="G217" s="183"/>
      <c r="H217" s="193"/>
      <c r="I217" s="183"/>
    </row>
    <row r="218">
      <c r="A218" s="195"/>
      <c r="B218" s="196"/>
      <c r="C218" s="55"/>
      <c r="D218" s="84"/>
      <c r="E218" s="84"/>
      <c r="F218" s="84"/>
      <c r="H218" s="197"/>
    </row>
    <row r="219">
      <c r="A219" s="195"/>
      <c r="B219" s="196"/>
      <c r="C219" s="55"/>
      <c r="D219" s="84"/>
      <c r="E219" s="84"/>
      <c r="F219" s="84"/>
      <c r="H219" s="197"/>
    </row>
    <row r="220">
      <c r="A220" s="195"/>
      <c r="B220" s="196"/>
      <c r="C220" s="55"/>
      <c r="D220" s="84"/>
      <c r="E220" s="84"/>
      <c r="F220" s="84"/>
      <c r="H220" s="197"/>
    </row>
    <row r="221">
      <c r="A221" s="195"/>
      <c r="B221" s="196"/>
      <c r="C221" s="55"/>
      <c r="D221" s="84"/>
      <c r="E221" s="84"/>
      <c r="F221" s="84"/>
      <c r="H221" s="197"/>
    </row>
    <row r="222">
      <c r="A222" s="195"/>
      <c r="B222" s="196"/>
      <c r="C222" s="55"/>
      <c r="D222" s="84"/>
      <c r="E222" s="84"/>
      <c r="F222" s="84"/>
      <c r="H222" s="197"/>
      <c r="J222" s="173"/>
    </row>
    <row r="223">
      <c r="A223" s="189"/>
      <c r="B223" s="190"/>
      <c r="C223" s="191"/>
      <c r="D223" s="192"/>
      <c r="E223" s="192"/>
      <c r="F223" s="192"/>
      <c r="G223" s="183"/>
      <c r="H223" s="193"/>
      <c r="I223" s="183"/>
    </row>
    <row r="224">
      <c r="A224" s="189"/>
      <c r="B224" s="190"/>
      <c r="C224" s="191"/>
      <c r="D224" s="192"/>
      <c r="E224" s="192"/>
      <c r="F224" s="192"/>
      <c r="G224" s="183"/>
      <c r="H224" s="193"/>
      <c r="I224" s="183"/>
    </row>
    <row r="225">
      <c r="A225" s="189"/>
      <c r="B225" s="190"/>
      <c r="C225" s="191"/>
      <c r="D225" s="192"/>
      <c r="E225" s="192"/>
      <c r="F225" s="192"/>
      <c r="G225" s="183"/>
      <c r="H225" s="193"/>
      <c r="I225" s="183"/>
    </row>
    <row r="226">
      <c r="A226" s="189"/>
      <c r="B226" s="190"/>
      <c r="C226" s="191"/>
      <c r="D226" s="192"/>
      <c r="E226" s="192"/>
      <c r="F226" s="192"/>
      <c r="G226" s="183"/>
      <c r="H226" s="193"/>
      <c r="I226" s="183"/>
    </row>
    <row r="227">
      <c r="A227" s="189"/>
      <c r="B227" s="190"/>
      <c r="C227" s="191"/>
      <c r="D227" s="192"/>
      <c r="E227" s="192"/>
      <c r="F227" s="192"/>
      <c r="G227" s="183"/>
      <c r="H227" s="193"/>
      <c r="I227" s="183"/>
    </row>
    <row r="228">
      <c r="A228" s="189"/>
      <c r="B228" s="190"/>
      <c r="C228" s="191"/>
      <c r="D228" s="192"/>
      <c r="E228" s="192"/>
      <c r="F228" s="192"/>
      <c r="G228" s="183"/>
      <c r="H228" s="193"/>
      <c r="I228" s="183"/>
    </row>
    <row r="229">
      <c r="A229" s="189"/>
      <c r="B229" s="190"/>
      <c r="C229" s="191"/>
      <c r="D229" s="192"/>
      <c r="E229" s="192"/>
      <c r="F229" s="192"/>
      <c r="G229" s="183"/>
      <c r="H229" s="193"/>
      <c r="I229" s="183"/>
    </row>
    <row r="230">
      <c r="A230" s="195"/>
      <c r="B230" s="196"/>
      <c r="C230" s="55"/>
      <c r="D230" s="84"/>
      <c r="E230" s="84"/>
      <c r="F230" s="84"/>
      <c r="H230" s="197"/>
    </row>
    <row r="231">
      <c r="A231" s="189"/>
      <c r="B231" s="190"/>
      <c r="C231" s="191"/>
      <c r="D231" s="192"/>
      <c r="E231" s="192"/>
      <c r="F231" s="192"/>
      <c r="G231" s="183"/>
      <c r="H231" s="193"/>
      <c r="I231" s="183"/>
    </row>
    <row r="232">
      <c r="A232" s="195"/>
      <c r="B232" s="196"/>
      <c r="C232" s="55"/>
      <c r="D232" s="84"/>
      <c r="E232" s="84"/>
      <c r="F232" s="84"/>
      <c r="H232" s="197"/>
      <c r="J232" s="173"/>
    </row>
    <row r="233">
      <c r="A233" s="195"/>
      <c r="B233" s="196"/>
      <c r="C233" s="55"/>
      <c r="D233" s="84"/>
      <c r="E233" s="84"/>
      <c r="F233" s="84"/>
      <c r="H233" s="197"/>
      <c r="J233" s="173"/>
    </row>
    <row r="234">
      <c r="A234" s="195"/>
      <c r="B234" s="196"/>
      <c r="C234" s="55"/>
      <c r="D234" s="84"/>
      <c r="E234" s="84"/>
      <c r="F234" s="84"/>
      <c r="H234" s="197"/>
      <c r="J234" s="173"/>
    </row>
    <row r="235">
      <c r="A235" s="195"/>
      <c r="B235" s="196"/>
      <c r="C235" s="55"/>
      <c r="D235" s="84"/>
      <c r="E235" s="84"/>
      <c r="F235" s="84"/>
      <c r="H235" s="197"/>
      <c r="J235" s="173"/>
    </row>
    <row r="236">
      <c r="A236" s="195"/>
      <c r="B236" s="196"/>
      <c r="C236" s="55"/>
      <c r="D236" s="84"/>
      <c r="E236" s="84"/>
      <c r="F236" s="84"/>
      <c r="H236" s="197"/>
    </row>
    <row r="237">
      <c r="A237" s="195"/>
      <c r="B237" s="196"/>
      <c r="C237" s="55"/>
      <c r="D237" s="84"/>
      <c r="E237" s="84"/>
      <c r="F237" s="84"/>
      <c r="H237" s="197"/>
    </row>
    <row r="238">
      <c r="A238" s="195"/>
      <c r="B238" s="196"/>
      <c r="C238" s="55"/>
      <c r="D238" s="84"/>
      <c r="E238" s="84"/>
      <c r="F238" s="84"/>
      <c r="H238" s="197"/>
    </row>
    <row r="239">
      <c r="A239" s="195"/>
      <c r="B239" s="196"/>
      <c r="C239" s="55"/>
      <c r="D239" s="84"/>
      <c r="E239" s="84"/>
      <c r="F239" s="84"/>
      <c r="H239" s="197"/>
      <c r="J239" s="173"/>
    </row>
    <row r="240">
      <c r="A240" s="195"/>
      <c r="B240" s="196"/>
      <c r="C240" s="55"/>
      <c r="D240" s="84"/>
      <c r="E240" s="84"/>
      <c r="F240" s="84"/>
      <c r="H240" s="197"/>
    </row>
    <row r="241">
      <c r="A241" s="195"/>
      <c r="B241" s="196"/>
      <c r="C241" s="55"/>
      <c r="D241" s="84"/>
      <c r="E241" s="84"/>
      <c r="F241" s="84"/>
      <c r="H241" s="197"/>
      <c r="J241" s="173"/>
    </row>
    <row r="242" ht="39.0" customHeight="1">
      <c r="A242" s="189"/>
      <c r="B242" s="190"/>
      <c r="C242" s="191"/>
      <c r="D242" s="192"/>
      <c r="E242" s="192"/>
      <c r="F242" s="222"/>
      <c r="G242" s="183"/>
      <c r="H242" s="193"/>
      <c r="I242" s="183"/>
    </row>
    <row r="243" ht="48.75" customHeight="1">
      <c r="A243" s="195"/>
      <c r="B243" s="196"/>
      <c r="C243" s="55"/>
      <c r="D243" s="84"/>
      <c r="E243" s="84"/>
      <c r="F243" s="84"/>
      <c r="H243" s="197"/>
      <c r="J243" s="173"/>
    </row>
    <row r="244" ht="35.25" customHeight="1">
      <c r="A244" s="189"/>
      <c r="B244" s="190"/>
      <c r="C244" s="191"/>
      <c r="D244" s="192"/>
      <c r="E244" s="192"/>
      <c r="F244" s="192"/>
      <c r="G244" s="183"/>
      <c r="H244" s="193"/>
      <c r="I244" s="183"/>
    </row>
    <row r="245">
      <c r="A245" s="189"/>
      <c r="B245" s="190"/>
      <c r="C245" s="191"/>
      <c r="D245" s="192"/>
      <c r="E245" s="192"/>
      <c r="F245" s="192"/>
      <c r="G245" s="183"/>
      <c r="H245" s="193"/>
      <c r="I245" s="183"/>
    </row>
    <row r="246">
      <c r="A246" s="189"/>
      <c r="B246" s="190"/>
      <c r="C246" s="191"/>
      <c r="D246" s="192"/>
      <c r="E246" s="192"/>
      <c r="F246" s="192"/>
      <c r="G246" s="183"/>
      <c r="H246" s="193"/>
      <c r="I246" s="183"/>
    </row>
    <row r="247">
      <c r="A247" s="195"/>
      <c r="B247" s="196"/>
      <c r="C247" s="55"/>
      <c r="D247" s="84"/>
      <c r="E247" s="84"/>
      <c r="F247" s="84"/>
      <c r="H247" s="197"/>
    </row>
    <row r="248">
      <c r="A248" s="195"/>
      <c r="B248" s="196"/>
      <c r="C248" s="55"/>
      <c r="D248" s="84"/>
      <c r="E248" s="84"/>
      <c r="F248" s="84"/>
      <c r="H248" s="197"/>
    </row>
    <row r="249">
      <c r="A249" s="189"/>
      <c r="B249" s="190"/>
      <c r="C249" s="191"/>
      <c r="D249" s="192"/>
      <c r="E249" s="192"/>
      <c r="F249" s="192"/>
      <c r="G249" s="183"/>
      <c r="H249" s="193"/>
      <c r="I249" s="183"/>
    </row>
    <row r="250">
      <c r="A250" s="195"/>
      <c r="B250" s="196"/>
      <c r="C250" s="55"/>
      <c r="D250" s="84"/>
      <c r="E250" s="84"/>
      <c r="F250" s="84"/>
      <c r="H250" s="197"/>
    </row>
    <row r="251">
      <c r="A251" s="195"/>
      <c r="B251" s="196"/>
      <c r="C251" s="55"/>
      <c r="D251" s="84"/>
      <c r="E251" s="84"/>
      <c r="F251" s="84"/>
      <c r="H251" s="197"/>
    </row>
    <row r="252">
      <c r="A252" s="189"/>
      <c r="B252" s="190"/>
      <c r="C252" s="191"/>
      <c r="D252" s="192"/>
      <c r="E252" s="192"/>
      <c r="F252" s="192"/>
      <c r="G252" s="183"/>
      <c r="H252" s="193"/>
      <c r="I252" s="183"/>
    </row>
    <row r="253">
      <c r="A253" s="195"/>
      <c r="B253" s="196"/>
      <c r="C253" s="55"/>
      <c r="D253" s="84"/>
      <c r="E253" s="84"/>
      <c r="F253" s="84"/>
      <c r="H253" s="197"/>
      <c r="J253" s="173"/>
    </row>
    <row r="254">
      <c r="A254" s="195"/>
      <c r="B254" s="196"/>
      <c r="C254" s="55"/>
      <c r="D254" s="84"/>
      <c r="E254" s="84"/>
      <c r="F254" s="84"/>
      <c r="H254" s="197"/>
    </row>
    <row r="255">
      <c r="A255" s="195"/>
      <c r="B255" s="196"/>
      <c r="C255" s="55"/>
      <c r="D255" s="84"/>
      <c r="E255" s="84"/>
      <c r="F255" s="84"/>
      <c r="H255" s="197"/>
      <c r="J255" s="173"/>
    </row>
    <row r="256">
      <c r="A256" s="195"/>
      <c r="B256" s="196"/>
      <c r="C256" s="55"/>
      <c r="D256" s="84"/>
      <c r="E256" s="84"/>
      <c r="F256" s="84"/>
      <c r="H256" s="197"/>
    </row>
    <row r="257">
      <c r="A257" s="189"/>
      <c r="B257" s="190"/>
      <c r="C257" s="191"/>
      <c r="D257" s="192"/>
      <c r="E257" s="192"/>
      <c r="F257" s="192"/>
      <c r="G257" s="183"/>
      <c r="H257" s="193"/>
      <c r="I257" s="183"/>
    </row>
    <row r="258">
      <c r="A258" s="189"/>
      <c r="B258" s="190"/>
      <c r="C258" s="191"/>
      <c r="D258" s="192"/>
      <c r="E258" s="192"/>
      <c r="F258" s="192"/>
      <c r="G258" s="183"/>
      <c r="H258" s="193"/>
      <c r="I258" s="183"/>
    </row>
    <row r="259">
      <c r="A259" s="195"/>
      <c r="B259" s="196"/>
      <c r="C259" s="55"/>
      <c r="D259" s="84"/>
      <c r="E259" s="84"/>
      <c r="F259" s="84"/>
      <c r="H259" s="197"/>
      <c r="J259" s="173"/>
    </row>
    <row r="260">
      <c r="A260" s="189"/>
      <c r="B260" s="190"/>
      <c r="C260" s="191"/>
      <c r="D260" s="192"/>
      <c r="E260" s="192"/>
      <c r="F260" s="192"/>
      <c r="G260" s="183"/>
      <c r="H260" s="193"/>
      <c r="I260" s="183"/>
    </row>
    <row r="261">
      <c r="A261" s="195"/>
      <c r="B261" s="196"/>
      <c r="C261" s="55"/>
      <c r="D261" s="84"/>
      <c r="E261" s="84"/>
      <c r="F261" s="84"/>
      <c r="H261" s="197"/>
      <c r="J261" s="173"/>
    </row>
    <row r="262">
      <c r="A262" s="189"/>
      <c r="B262" s="190"/>
      <c r="C262" s="191"/>
      <c r="D262" s="192"/>
      <c r="E262" s="192"/>
      <c r="F262" s="192"/>
      <c r="G262" s="183"/>
      <c r="H262" s="193"/>
      <c r="I262" s="183"/>
    </row>
    <row r="263">
      <c r="A263" s="189"/>
      <c r="B263" s="190"/>
      <c r="C263" s="191"/>
      <c r="D263" s="192"/>
      <c r="E263" s="192"/>
      <c r="F263" s="192"/>
      <c r="G263" s="183"/>
      <c r="H263" s="193"/>
      <c r="I263" s="183"/>
      <c r="J263" s="173"/>
    </row>
    <row r="264">
      <c r="A264" s="189"/>
      <c r="B264" s="190"/>
      <c r="C264" s="191"/>
      <c r="D264" s="192"/>
      <c r="E264" s="192"/>
      <c r="F264" s="192"/>
      <c r="G264" s="183"/>
      <c r="H264" s="193"/>
      <c r="I264" s="183"/>
    </row>
    <row r="265">
      <c r="A265" s="195"/>
      <c r="B265" s="196"/>
      <c r="C265" s="55"/>
      <c r="D265" s="84"/>
      <c r="E265" s="84"/>
      <c r="F265" s="84"/>
      <c r="H265" s="197"/>
      <c r="J265" s="173"/>
    </row>
    <row r="266">
      <c r="A266" s="189"/>
      <c r="B266" s="190"/>
      <c r="C266" s="191"/>
      <c r="D266" s="192"/>
      <c r="E266" s="192"/>
      <c r="F266" s="192"/>
      <c r="G266" s="183"/>
      <c r="H266" s="193"/>
      <c r="I266" s="183"/>
      <c r="J266" s="173"/>
    </row>
    <row r="267">
      <c r="A267" s="189"/>
      <c r="B267" s="190"/>
      <c r="C267" s="191"/>
      <c r="D267" s="192"/>
      <c r="E267" s="192"/>
      <c r="F267" s="192"/>
      <c r="G267" s="183"/>
      <c r="H267" s="193"/>
      <c r="I267" s="183"/>
    </row>
    <row r="268">
      <c r="A268" s="189"/>
      <c r="B268" s="190"/>
      <c r="C268" s="191"/>
      <c r="D268" s="192"/>
      <c r="E268" s="192"/>
      <c r="F268" s="192"/>
      <c r="G268" s="183"/>
      <c r="H268" s="193"/>
      <c r="I268" s="183"/>
      <c r="J268" s="173"/>
    </row>
    <row r="269">
      <c r="A269" s="189"/>
      <c r="B269" s="190"/>
      <c r="C269" s="191"/>
      <c r="D269" s="192"/>
      <c r="E269" s="192"/>
      <c r="F269" s="192"/>
      <c r="G269" s="183"/>
      <c r="H269" s="193"/>
      <c r="I269" s="183"/>
    </row>
    <row r="270">
      <c r="A270" s="195"/>
      <c r="B270" s="196"/>
      <c r="C270" s="55"/>
      <c r="D270" s="84"/>
      <c r="E270" s="84"/>
      <c r="F270" s="84"/>
      <c r="H270" s="197"/>
    </row>
    <row r="271">
      <c r="A271" s="195"/>
      <c r="B271" s="196"/>
      <c r="C271" s="55"/>
      <c r="D271" s="84"/>
      <c r="E271" s="84"/>
      <c r="F271" s="84"/>
      <c r="H271" s="197"/>
    </row>
    <row r="272">
      <c r="A272" s="195"/>
      <c r="B272" s="196"/>
      <c r="C272" s="55"/>
      <c r="D272" s="84"/>
      <c r="E272" s="84"/>
      <c r="F272" s="84"/>
      <c r="H272" s="197"/>
    </row>
    <row r="273">
      <c r="A273" s="189"/>
      <c r="B273" s="190"/>
      <c r="C273" s="191"/>
      <c r="D273" s="192"/>
      <c r="E273" s="192"/>
      <c r="F273" s="192"/>
      <c r="G273" s="183"/>
      <c r="H273" s="193"/>
      <c r="I273" s="183"/>
    </row>
    <row r="274">
      <c r="A274" s="189"/>
      <c r="B274" s="190"/>
      <c r="C274" s="191"/>
      <c r="D274" s="192"/>
      <c r="E274" s="192"/>
      <c r="F274" s="192"/>
      <c r="G274" s="183"/>
      <c r="H274" s="193"/>
      <c r="I274" s="183"/>
    </row>
    <row r="275">
      <c r="A275" s="189"/>
      <c r="B275" s="190"/>
      <c r="C275" s="191"/>
      <c r="D275" s="192"/>
      <c r="E275" s="192"/>
      <c r="F275" s="192"/>
      <c r="G275" s="183"/>
      <c r="H275" s="193"/>
      <c r="I275" s="183"/>
    </row>
    <row r="276">
      <c r="A276" s="195"/>
      <c r="B276" s="196"/>
      <c r="C276" s="55"/>
      <c r="D276" s="84"/>
      <c r="E276" s="84"/>
      <c r="F276" s="84"/>
      <c r="H276" s="197"/>
    </row>
    <row r="277">
      <c r="A277" s="189"/>
      <c r="B277" s="190"/>
      <c r="C277" s="191"/>
      <c r="D277" s="192"/>
      <c r="E277" s="192"/>
      <c r="F277" s="192"/>
      <c r="G277" s="183"/>
      <c r="H277" s="193"/>
      <c r="I277" s="183"/>
    </row>
    <row r="278">
      <c r="A278" s="195"/>
      <c r="B278" s="196"/>
      <c r="C278" s="55"/>
      <c r="D278" s="84"/>
      <c r="E278" s="84"/>
      <c r="F278" s="84"/>
      <c r="H278" s="197"/>
    </row>
    <row r="279">
      <c r="A279" s="195"/>
      <c r="B279" s="196"/>
      <c r="C279" s="55"/>
      <c r="D279" s="84"/>
      <c r="E279" s="84"/>
      <c r="F279" s="84"/>
      <c r="H279" s="197"/>
    </row>
    <row r="280">
      <c r="A280" s="195"/>
      <c r="B280" s="196"/>
      <c r="C280" s="55"/>
      <c r="D280" s="84"/>
      <c r="E280" s="84"/>
      <c r="F280" s="84"/>
      <c r="H280" s="197"/>
      <c r="J280" s="173"/>
    </row>
    <row r="281">
      <c r="A281" s="195"/>
      <c r="B281" s="196"/>
      <c r="C281" s="55"/>
      <c r="D281" s="84"/>
      <c r="E281" s="84"/>
      <c r="F281" s="84"/>
      <c r="H281" s="197"/>
      <c r="J281" s="173"/>
    </row>
    <row r="282">
      <c r="A282" s="195"/>
      <c r="B282" s="196"/>
      <c r="C282" s="55"/>
      <c r="D282" s="84"/>
      <c r="E282" s="84"/>
      <c r="F282" s="84"/>
      <c r="H282" s="197"/>
    </row>
    <row r="283">
      <c r="A283" s="189"/>
      <c r="B283" s="190"/>
      <c r="C283" s="191"/>
      <c r="D283" s="192"/>
      <c r="E283" s="192"/>
      <c r="F283" s="192"/>
      <c r="G283" s="183"/>
      <c r="H283" s="193"/>
      <c r="I283" s="183"/>
    </row>
    <row r="284">
      <c r="A284" s="189"/>
      <c r="B284" s="190"/>
      <c r="C284" s="191"/>
      <c r="D284" s="192"/>
      <c r="E284" s="192"/>
      <c r="F284" s="192"/>
      <c r="G284" s="183"/>
      <c r="H284" s="193"/>
      <c r="I284" s="183"/>
    </row>
    <row r="285">
      <c r="A285" s="189"/>
      <c r="B285" s="190"/>
      <c r="C285" s="191"/>
      <c r="D285" s="192"/>
      <c r="E285" s="192"/>
      <c r="F285" s="192"/>
      <c r="G285" s="183"/>
      <c r="H285" s="193"/>
      <c r="I285" s="183"/>
      <c r="J285" s="173"/>
    </row>
    <row r="286">
      <c r="A286" s="189"/>
      <c r="B286" s="190"/>
      <c r="C286" s="191"/>
      <c r="D286" s="192"/>
      <c r="E286" s="192"/>
      <c r="F286" s="192"/>
      <c r="G286" s="183"/>
      <c r="H286" s="193"/>
      <c r="I286" s="183"/>
    </row>
    <row r="287">
      <c r="A287" s="189"/>
      <c r="B287" s="190"/>
      <c r="C287" s="191"/>
      <c r="D287" s="192"/>
      <c r="E287" s="192"/>
      <c r="F287" s="192"/>
      <c r="G287" s="183"/>
      <c r="H287" s="193"/>
      <c r="I287" s="183"/>
      <c r="J287" s="173"/>
    </row>
    <row r="288">
      <c r="A288" s="189"/>
      <c r="B288" s="190"/>
      <c r="C288" s="191"/>
      <c r="D288" s="192"/>
      <c r="E288" s="192"/>
      <c r="F288" s="192"/>
      <c r="G288" s="183"/>
      <c r="H288" s="193"/>
      <c r="I288" s="183"/>
      <c r="J288" s="173"/>
    </row>
    <row r="289">
      <c r="A289" s="189"/>
      <c r="B289" s="190"/>
      <c r="C289" s="191"/>
      <c r="D289" s="192"/>
      <c r="E289" s="192"/>
      <c r="F289" s="192"/>
      <c r="G289" s="183"/>
      <c r="H289" s="193"/>
      <c r="I289" s="183"/>
    </row>
    <row r="290">
      <c r="A290" s="195"/>
      <c r="B290" s="196"/>
      <c r="C290" s="55"/>
      <c r="D290" s="84"/>
      <c r="E290" s="84"/>
      <c r="F290" s="84"/>
      <c r="H290" s="197"/>
    </row>
    <row r="291">
      <c r="A291" s="189"/>
      <c r="B291" s="190"/>
      <c r="C291" s="191"/>
      <c r="D291" s="192"/>
      <c r="E291" s="192"/>
      <c r="F291" s="192"/>
      <c r="G291" s="183"/>
      <c r="H291" s="193"/>
      <c r="I291" s="183"/>
      <c r="J291" s="173"/>
    </row>
    <row r="292">
      <c r="A292" s="195"/>
      <c r="B292" s="196"/>
      <c r="C292" s="55"/>
      <c r="D292" s="84"/>
      <c r="E292" s="84"/>
      <c r="F292" s="84"/>
      <c r="H292" s="197"/>
      <c r="J292" s="173"/>
    </row>
    <row r="293">
      <c r="A293" s="195"/>
      <c r="B293" s="196"/>
      <c r="C293" s="55"/>
      <c r="D293" s="84"/>
      <c r="E293" s="84"/>
      <c r="F293" s="84"/>
      <c r="H293" s="197"/>
    </row>
    <row r="294">
      <c r="A294" s="195"/>
      <c r="B294" s="196"/>
      <c r="C294" s="55"/>
      <c r="D294" s="84"/>
      <c r="E294" s="84"/>
      <c r="F294" s="84"/>
      <c r="H294" s="197"/>
    </row>
    <row r="295">
      <c r="A295" s="195"/>
      <c r="B295" s="196"/>
      <c r="C295" s="55"/>
      <c r="D295" s="84"/>
      <c r="E295" s="84"/>
      <c r="F295" s="84"/>
      <c r="H295" s="197"/>
      <c r="J295" s="173"/>
    </row>
    <row r="296">
      <c r="A296" s="195"/>
      <c r="B296" s="196"/>
      <c r="C296" s="55"/>
      <c r="D296" s="84"/>
      <c r="E296" s="84"/>
      <c r="F296" s="84"/>
      <c r="H296" s="197"/>
    </row>
    <row r="297">
      <c r="A297" s="195"/>
      <c r="B297" s="196"/>
      <c r="C297" s="55"/>
      <c r="D297" s="84"/>
      <c r="E297" s="84"/>
      <c r="F297" s="84"/>
      <c r="H297" s="197"/>
    </row>
    <row r="298">
      <c r="A298" s="189"/>
      <c r="B298" s="190"/>
      <c r="C298" s="191"/>
      <c r="D298" s="192"/>
      <c r="E298" s="192"/>
      <c r="F298" s="192"/>
      <c r="G298" s="183"/>
      <c r="H298" s="193"/>
      <c r="I298" s="183"/>
    </row>
    <row r="299">
      <c r="A299" s="195"/>
      <c r="B299" s="196"/>
      <c r="C299" s="55"/>
      <c r="D299" s="84"/>
      <c r="E299" s="84"/>
      <c r="F299" s="84"/>
      <c r="H299" s="197"/>
    </row>
    <row r="300">
      <c r="A300" s="189"/>
      <c r="B300" s="190"/>
      <c r="C300" s="191"/>
      <c r="D300" s="192"/>
      <c r="E300" s="192"/>
      <c r="F300" s="192"/>
      <c r="G300" s="183"/>
      <c r="H300" s="193"/>
      <c r="I300" s="183"/>
    </row>
    <row r="301">
      <c r="A301" s="195"/>
      <c r="B301" s="196"/>
      <c r="C301" s="55"/>
      <c r="D301" s="84"/>
      <c r="E301" s="84"/>
      <c r="F301" s="84"/>
      <c r="H301" s="197"/>
    </row>
    <row r="302">
      <c r="A302" s="189"/>
      <c r="B302" s="190"/>
      <c r="C302" s="191"/>
      <c r="D302" s="192"/>
      <c r="E302" s="192"/>
      <c r="F302" s="192"/>
      <c r="G302" s="183"/>
      <c r="H302" s="193"/>
      <c r="I302" s="183"/>
    </row>
    <row r="303">
      <c r="A303" s="195"/>
      <c r="B303" s="196"/>
      <c r="C303" s="55"/>
      <c r="D303" s="84"/>
      <c r="E303" s="84"/>
      <c r="F303" s="84"/>
      <c r="H303" s="197"/>
    </row>
    <row r="304">
      <c r="A304" s="195"/>
      <c r="B304" s="196"/>
      <c r="C304" s="55"/>
      <c r="D304" s="84"/>
      <c r="E304" s="84"/>
      <c r="F304" s="84"/>
      <c r="H304" s="197"/>
    </row>
    <row r="305">
      <c r="A305" s="195"/>
      <c r="B305" s="196"/>
      <c r="C305" s="55"/>
      <c r="D305" s="84"/>
      <c r="E305" s="84"/>
      <c r="F305" s="84"/>
      <c r="H305" s="197"/>
    </row>
    <row r="306">
      <c r="A306" s="195"/>
      <c r="B306" s="196"/>
      <c r="C306" s="55"/>
      <c r="D306" s="84"/>
      <c r="E306" s="84"/>
      <c r="F306" s="84"/>
      <c r="H306" s="197"/>
    </row>
    <row r="307">
      <c r="A307" s="195"/>
      <c r="B307" s="196"/>
      <c r="C307" s="55"/>
      <c r="D307" s="84"/>
      <c r="E307" s="84"/>
      <c r="F307" s="84"/>
      <c r="H307" s="197"/>
      <c r="J307" s="173"/>
    </row>
    <row r="308">
      <c r="A308" s="195"/>
      <c r="B308" s="196"/>
      <c r="C308" s="55"/>
      <c r="D308" s="84"/>
      <c r="E308" s="84"/>
      <c r="F308" s="84"/>
      <c r="H308" s="197"/>
    </row>
    <row r="309">
      <c r="A309" s="195"/>
      <c r="B309" s="196"/>
      <c r="C309" s="55"/>
      <c r="D309" s="84"/>
      <c r="E309" s="84"/>
      <c r="F309" s="84"/>
      <c r="H309" s="197"/>
    </row>
    <row r="310">
      <c r="A310" s="195"/>
      <c r="B310" s="196"/>
      <c r="C310" s="55"/>
      <c r="D310" s="84"/>
      <c r="E310" s="84"/>
      <c r="F310" s="84"/>
      <c r="H310" s="197"/>
    </row>
    <row r="311">
      <c r="A311" s="195"/>
      <c r="B311" s="196"/>
      <c r="C311" s="55"/>
      <c r="D311" s="84"/>
      <c r="E311" s="84"/>
      <c r="F311" s="84"/>
      <c r="H311" s="197"/>
    </row>
    <row r="312">
      <c r="A312" s="189"/>
      <c r="B312" s="190"/>
      <c r="C312" s="191"/>
      <c r="D312" s="192"/>
      <c r="E312" s="192"/>
      <c r="F312" s="192"/>
      <c r="G312" s="183"/>
      <c r="H312" s="193"/>
      <c r="I312" s="183"/>
      <c r="J312" s="173"/>
    </row>
    <row r="313">
      <c r="A313" s="195"/>
      <c r="B313" s="196"/>
      <c r="C313" s="55"/>
      <c r="D313" s="84"/>
      <c r="E313" s="84"/>
      <c r="F313" s="84"/>
      <c r="H313" s="197"/>
    </row>
    <row r="314">
      <c r="A314" s="189"/>
      <c r="B314" s="190"/>
      <c r="C314" s="191"/>
      <c r="D314" s="192"/>
      <c r="E314" s="192"/>
      <c r="F314" s="192"/>
      <c r="G314" s="183"/>
      <c r="H314" s="193"/>
      <c r="I314" s="183"/>
    </row>
    <row r="315">
      <c r="A315" s="195"/>
      <c r="B315" s="196"/>
      <c r="C315" s="55"/>
      <c r="D315" s="84"/>
      <c r="E315" s="84"/>
      <c r="F315" s="84"/>
      <c r="H315" s="197"/>
    </row>
    <row r="316">
      <c r="A316" s="195"/>
      <c r="B316" s="196"/>
      <c r="C316" s="55"/>
      <c r="D316" s="84"/>
      <c r="E316" s="84"/>
      <c r="F316" s="84"/>
      <c r="H316" s="197"/>
    </row>
    <row r="317">
      <c r="A317" s="195"/>
      <c r="B317" s="196"/>
      <c r="C317" s="55"/>
      <c r="D317" s="84"/>
      <c r="E317" s="84"/>
      <c r="F317" s="84"/>
      <c r="H317" s="197"/>
      <c r="J317" s="173"/>
    </row>
    <row r="318">
      <c r="A318" s="189"/>
      <c r="B318" s="190"/>
      <c r="C318" s="191"/>
      <c r="D318" s="192"/>
      <c r="E318" s="192"/>
      <c r="F318" s="192"/>
      <c r="G318" s="183"/>
      <c r="H318" s="193"/>
      <c r="I318" s="183"/>
    </row>
    <row r="319">
      <c r="A319" s="189"/>
      <c r="B319" s="190"/>
      <c r="C319" s="191"/>
      <c r="D319" s="192"/>
      <c r="E319" s="192"/>
      <c r="F319" s="192"/>
      <c r="G319" s="183"/>
      <c r="H319" s="193"/>
      <c r="I319" s="183"/>
    </row>
    <row r="320">
      <c r="A320" s="195"/>
      <c r="B320" s="196"/>
      <c r="C320" s="55"/>
      <c r="D320" s="84"/>
      <c r="E320" s="84"/>
      <c r="F320" s="84"/>
      <c r="H320" s="197"/>
    </row>
    <row r="321">
      <c r="A321" s="195"/>
      <c r="B321" s="196"/>
      <c r="C321" s="55"/>
      <c r="D321" s="84"/>
      <c r="E321" s="84"/>
      <c r="F321" s="84"/>
      <c r="H321" s="197"/>
    </row>
    <row r="322">
      <c r="A322" s="189"/>
      <c r="B322" s="190"/>
      <c r="C322" s="191"/>
      <c r="D322" s="192"/>
      <c r="E322" s="192"/>
      <c r="F322" s="192"/>
      <c r="G322" s="183"/>
      <c r="H322" s="193"/>
      <c r="I322" s="183"/>
      <c r="J322" s="173"/>
    </row>
    <row r="323">
      <c r="A323" s="195"/>
      <c r="B323" s="196"/>
      <c r="C323" s="55"/>
      <c r="D323" s="84"/>
      <c r="E323" s="84"/>
      <c r="F323" s="84"/>
      <c r="H323" s="197"/>
    </row>
    <row r="324">
      <c r="A324" s="189"/>
      <c r="B324" s="190"/>
      <c r="C324" s="191"/>
      <c r="D324" s="192"/>
      <c r="E324" s="192"/>
      <c r="F324" s="192"/>
      <c r="G324" s="183"/>
      <c r="H324" s="193"/>
      <c r="I324" s="183"/>
      <c r="J324" s="173"/>
    </row>
    <row r="325">
      <c r="A325" s="195"/>
      <c r="B325" s="196"/>
      <c r="C325" s="55"/>
      <c r="D325" s="84"/>
      <c r="E325" s="84"/>
      <c r="F325" s="84"/>
      <c r="H325" s="197"/>
      <c r="J325" s="173"/>
    </row>
    <row r="326">
      <c r="A326" s="189"/>
      <c r="B326" s="190"/>
      <c r="C326" s="191"/>
      <c r="D326" s="192"/>
      <c r="E326" s="192"/>
      <c r="F326" s="192"/>
      <c r="G326" s="183"/>
      <c r="H326" s="193"/>
      <c r="I326" s="183"/>
    </row>
    <row r="327">
      <c r="A327" s="195"/>
      <c r="B327" s="196"/>
      <c r="C327" s="55"/>
      <c r="D327" s="84"/>
      <c r="E327" s="84"/>
      <c r="F327" s="84"/>
      <c r="H327" s="197"/>
      <c r="J327" s="173"/>
    </row>
    <row r="328">
      <c r="A328" s="189"/>
      <c r="B328" s="190"/>
      <c r="C328" s="191"/>
      <c r="D328" s="192"/>
      <c r="E328" s="192"/>
      <c r="F328" s="192"/>
      <c r="G328" s="183"/>
      <c r="H328" s="193"/>
      <c r="I328" s="183"/>
    </row>
    <row r="329">
      <c r="A329" s="189"/>
      <c r="B329" s="190"/>
      <c r="C329" s="191"/>
      <c r="D329" s="192"/>
      <c r="E329" s="192"/>
      <c r="F329" s="192"/>
      <c r="G329" s="183"/>
      <c r="H329" s="193"/>
      <c r="I329" s="183"/>
      <c r="J329" s="173"/>
    </row>
    <row r="330">
      <c r="A330" s="195"/>
      <c r="B330" s="196"/>
      <c r="C330" s="55"/>
      <c r="D330" s="84"/>
      <c r="E330" s="84"/>
      <c r="F330" s="84"/>
      <c r="H330" s="197"/>
      <c r="J330" s="173"/>
    </row>
    <row r="331">
      <c r="A331" s="189"/>
      <c r="B331" s="190"/>
      <c r="C331" s="191"/>
      <c r="D331" s="192"/>
      <c r="E331" s="192"/>
      <c r="F331" s="192"/>
      <c r="G331" s="183"/>
      <c r="H331" s="193"/>
      <c r="I331" s="183"/>
    </row>
    <row r="332">
      <c r="A332" s="195"/>
      <c r="B332" s="196"/>
      <c r="C332" s="55"/>
      <c r="D332" s="84"/>
      <c r="E332" s="84"/>
      <c r="F332" s="84"/>
      <c r="H332" s="197"/>
    </row>
    <row r="333">
      <c r="A333" s="195"/>
      <c r="B333" s="196"/>
      <c r="C333" s="55"/>
      <c r="D333" s="84"/>
      <c r="E333" s="84"/>
      <c r="F333" s="84"/>
      <c r="H333" s="197"/>
      <c r="J333" s="173"/>
    </row>
    <row r="334">
      <c r="A334" s="195"/>
      <c r="B334" s="196"/>
      <c r="C334" s="55"/>
      <c r="D334" s="84"/>
      <c r="E334" s="84"/>
      <c r="F334" s="84"/>
      <c r="H334" s="197"/>
    </row>
    <row r="335">
      <c r="A335" s="195"/>
      <c r="B335" s="196"/>
      <c r="C335" s="55"/>
      <c r="D335" s="84"/>
      <c r="E335" s="84"/>
      <c r="F335" s="84"/>
      <c r="H335" s="197"/>
    </row>
    <row r="336">
      <c r="A336" s="195"/>
      <c r="B336" s="196"/>
      <c r="C336" s="55"/>
      <c r="D336" s="84"/>
      <c r="E336" s="84"/>
      <c r="F336" s="84"/>
      <c r="H336" s="197"/>
    </row>
    <row r="337">
      <c r="A337" s="195"/>
      <c r="B337" s="196"/>
      <c r="C337" s="55"/>
      <c r="D337" s="84"/>
      <c r="E337" s="84"/>
      <c r="F337" s="84"/>
      <c r="H337" s="197"/>
    </row>
    <row r="338">
      <c r="A338" s="195"/>
      <c r="B338" s="196"/>
      <c r="C338" s="55"/>
      <c r="D338" s="84"/>
      <c r="E338" s="84"/>
      <c r="F338" s="84"/>
      <c r="H338" s="197"/>
    </row>
    <row r="339">
      <c r="A339" s="195"/>
      <c r="B339" s="196"/>
      <c r="C339" s="55"/>
      <c r="D339" s="84"/>
      <c r="E339" s="84"/>
      <c r="F339" s="84"/>
      <c r="H339" s="197"/>
    </row>
    <row r="340">
      <c r="A340" s="195"/>
      <c r="B340" s="196"/>
      <c r="C340" s="55"/>
      <c r="D340" s="84"/>
      <c r="E340" s="84"/>
      <c r="F340" s="84"/>
      <c r="H340" s="197"/>
    </row>
    <row r="341">
      <c r="A341" s="195"/>
      <c r="B341" s="196"/>
      <c r="C341" s="55"/>
      <c r="D341" s="84"/>
      <c r="E341" s="84"/>
      <c r="F341" s="84"/>
      <c r="H341" s="197"/>
    </row>
    <row r="342">
      <c r="A342" s="195"/>
      <c r="B342" s="196"/>
      <c r="C342" s="55"/>
      <c r="D342" s="84"/>
      <c r="E342" s="84"/>
      <c r="F342" s="84"/>
      <c r="H342" s="197"/>
    </row>
    <row r="343">
      <c r="A343" s="189"/>
      <c r="B343" s="190"/>
      <c r="C343" s="191"/>
      <c r="D343" s="192"/>
      <c r="E343" s="192"/>
      <c r="F343" s="192"/>
      <c r="G343" s="183"/>
      <c r="H343" s="193"/>
      <c r="I343" s="183"/>
    </row>
    <row r="344">
      <c r="A344" s="189"/>
      <c r="B344" s="190"/>
      <c r="C344" s="191"/>
      <c r="D344" s="192"/>
      <c r="E344" s="192"/>
      <c r="F344" s="192"/>
      <c r="G344" s="183"/>
      <c r="H344" s="193"/>
      <c r="I344" s="183"/>
    </row>
    <row r="345">
      <c r="A345" s="195"/>
      <c r="B345" s="196"/>
      <c r="C345" s="55"/>
      <c r="D345" s="84"/>
      <c r="E345" s="84"/>
      <c r="F345" s="84"/>
      <c r="H345" s="197"/>
    </row>
    <row r="346">
      <c r="A346" s="195"/>
      <c r="B346" s="196"/>
      <c r="C346" s="55"/>
      <c r="D346" s="84"/>
      <c r="E346" s="84"/>
      <c r="F346" s="84"/>
      <c r="H346" s="197"/>
      <c r="J346" s="173"/>
    </row>
    <row r="347">
      <c r="A347" s="195"/>
      <c r="B347" s="196"/>
      <c r="C347" s="55"/>
      <c r="D347" s="84"/>
      <c r="E347" s="84"/>
      <c r="F347" s="84"/>
      <c r="H347" s="197"/>
    </row>
    <row r="348">
      <c r="A348" s="189"/>
      <c r="B348" s="190"/>
      <c r="C348" s="191"/>
      <c r="D348" s="192"/>
      <c r="E348" s="192"/>
      <c r="F348" s="192"/>
      <c r="G348" s="183"/>
      <c r="H348" s="193"/>
      <c r="I348" s="183"/>
    </row>
    <row r="349">
      <c r="A349" s="195"/>
      <c r="B349" s="196"/>
      <c r="C349" s="55"/>
      <c r="D349" s="84"/>
      <c r="E349" s="84"/>
      <c r="F349" s="84"/>
      <c r="H349" s="197"/>
    </row>
    <row r="350">
      <c r="A350" s="189"/>
      <c r="B350" s="190"/>
      <c r="C350" s="191"/>
      <c r="D350" s="192"/>
      <c r="E350" s="192"/>
      <c r="F350" s="192"/>
      <c r="G350" s="183"/>
      <c r="H350" s="193"/>
      <c r="I350" s="183"/>
    </row>
    <row r="351">
      <c r="A351" s="195"/>
      <c r="B351" s="196"/>
      <c r="C351" s="55"/>
      <c r="D351" s="84"/>
      <c r="E351" s="84"/>
      <c r="F351" s="84"/>
      <c r="H351" s="197"/>
    </row>
    <row r="352">
      <c r="A352" s="195"/>
      <c r="B352" s="196"/>
      <c r="C352" s="55"/>
      <c r="D352" s="84"/>
      <c r="E352" s="84"/>
      <c r="F352" s="84"/>
      <c r="H352" s="197"/>
      <c r="J352" s="173"/>
    </row>
    <row r="353">
      <c r="A353" s="189"/>
      <c r="B353" s="190"/>
      <c r="C353" s="191"/>
      <c r="D353" s="192"/>
      <c r="E353" s="192"/>
      <c r="F353" s="192"/>
      <c r="G353" s="183"/>
      <c r="H353" s="193"/>
      <c r="I353" s="183"/>
    </row>
    <row r="354">
      <c r="A354" s="195"/>
      <c r="B354" s="196"/>
      <c r="C354" s="55"/>
      <c r="D354" s="84"/>
      <c r="E354" s="84"/>
      <c r="F354" s="84"/>
      <c r="H354" s="197"/>
    </row>
    <row r="355">
      <c r="A355" s="189"/>
      <c r="B355" s="190"/>
      <c r="C355" s="191"/>
      <c r="D355" s="192"/>
      <c r="E355" s="192"/>
      <c r="F355" s="192"/>
      <c r="G355" s="183"/>
      <c r="H355" s="193"/>
      <c r="I355" s="183"/>
    </row>
    <row r="356">
      <c r="A356" s="189"/>
      <c r="B356" s="190"/>
      <c r="C356" s="191"/>
      <c r="D356" s="192"/>
      <c r="E356" s="192"/>
      <c r="F356" s="192"/>
      <c r="G356" s="183"/>
      <c r="H356" s="193"/>
      <c r="I356" s="183"/>
    </row>
    <row r="357">
      <c r="A357" s="195"/>
      <c r="B357" s="196"/>
      <c r="C357" s="55"/>
      <c r="D357" s="84"/>
      <c r="E357" s="84"/>
      <c r="F357" s="84"/>
      <c r="H357" s="197"/>
    </row>
    <row r="358">
      <c r="A358" s="195"/>
      <c r="B358" s="196"/>
      <c r="C358" s="55"/>
      <c r="D358" s="84"/>
      <c r="E358" s="84"/>
      <c r="F358" s="84"/>
      <c r="H358" s="197"/>
      <c r="J358" s="173"/>
    </row>
    <row r="359">
      <c r="A359" s="189"/>
      <c r="B359" s="190"/>
      <c r="C359" s="191"/>
      <c r="D359" s="192"/>
      <c r="E359" s="192"/>
      <c r="F359" s="192"/>
      <c r="G359" s="183"/>
      <c r="H359" s="193"/>
      <c r="I359" s="183"/>
    </row>
    <row r="360">
      <c r="A360" s="189"/>
      <c r="B360" s="190"/>
      <c r="C360" s="191"/>
      <c r="D360" s="192"/>
      <c r="E360" s="192"/>
      <c r="F360" s="192"/>
      <c r="G360" s="183"/>
      <c r="H360" s="193"/>
      <c r="I360" s="183"/>
    </row>
    <row r="361">
      <c r="A361" s="195"/>
      <c r="B361" s="196"/>
      <c r="C361" s="55"/>
      <c r="D361" s="84"/>
      <c r="E361" s="84"/>
      <c r="F361" s="84"/>
      <c r="H361" s="197"/>
    </row>
    <row r="362">
      <c r="A362" s="195"/>
      <c r="B362" s="196"/>
      <c r="C362" s="55"/>
      <c r="D362" s="84"/>
      <c r="E362" s="84"/>
      <c r="F362" s="84"/>
      <c r="H362" s="197"/>
      <c r="J362" s="173"/>
    </row>
    <row r="363">
      <c r="A363" s="189"/>
      <c r="B363" s="190"/>
      <c r="C363" s="191"/>
      <c r="D363" s="192"/>
      <c r="E363" s="192"/>
      <c r="F363" s="192"/>
      <c r="G363" s="183"/>
      <c r="H363" s="193"/>
      <c r="I363" s="183"/>
    </row>
    <row r="364">
      <c r="A364" s="195"/>
      <c r="B364" s="196"/>
      <c r="C364" s="55"/>
      <c r="D364" s="84"/>
      <c r="E364" s="84"/>
      <c r="F364" s="84"/>
      <c r="H364" s="197"/>
      <c r="J364" s="173"/>
    </row>
    <row r="365">
      <c r="A365" s="195"/>
      <c r="B365" s="196"/>
      <c r="C365" s="55"/>
      <c r="D365" s="84"/>
      <c r="E365" s="84"/>
      <c r="F365" s="84"/>
      <c r="H365" s="197"/>
      <c r="J365" s="173"/>
    </row>
    <row r="366">
      <c r="A366" s="195"/>
      <c r="B366" s="196"/>
      <c r="C366" s="55"/>
      <c r="D366" s="84"/>
      <c r="E366" s="84"/>
      <c r="F366" s="84"/>
      <c r="H366" s="197"/>
    </row>
    <row r="367">
      <c r="A367" s="195"/>
      <c r="B367" s="196"/>
      <c r="C367" s="55"/>
      <c r="D367" s="84"/>
      <c r="E367" s="84"/>
      <c r="F367" s="84"/>
      <c r="H367" s="197"/>
      <c r="J367" s="173"/>
    </row>
    <row r="368">
      <c r="A368" s="195"/>
      <c r="B368" s="196"/>
      <c r="C368" s="55"/>
      <c r="D368" s="84"/>
      <c r="E368" s="84"/>
      <c r="F368" s="84"/>
      <c r="H368" s="197"/>
    </row>
    <row r="369">
      <c r="A369" s="195"/>
      <c r="B369" s="196"/>
      <c r="C369" s="55"/>
      <c r="D369" s="84"/>
      <c r="E369" s="84"/>
      <c r="F369" s="84"/>
      <c r="H369" s="197"/>
      <c r="J369" s="173"/>
    </row>
    <row r="370">
      <c r="A370" s="195"/>
      <c r="B370" s="196"/>
      <c r="C370" s="55"/>
      <c r="D370" s="84"/>
      <c r="E370" s="84"/>
      <c r="F370" s="84"/>
      <c r="H370" s="197"/>
      <c r="J370" s="173"/>
    </row>
    <row r="371">
      <c r="A371" s="195"/>
      <c r="B371" s="196"/>
      <c r="C371" s="55"/>
      <c r="D371" s="84"/>
      <c r="E371" s="84"/>
      <c r="F371" s="84"/>
      <c r="H371" s="197"/>
    </row>
    <row r="372">
      <c r="A372" s="195"/>
      <c r="B372" s="196"/>
      <c r="C372" s="55"/>
      <c r="D372" s="84"/>
      <c r="E372" s="84"/>
      <c r="F372" s="84"/>
      <c r="H372" s="197"/>
    </row>
    <row r="373">
      <c r="A373" s="195"/>
      <c r="B373" s="196"/>
      <c r="C373" s="55"/>
      <c r="D373" s="84"/>
      <c r="E373" s="84"/>
      <c r="F373" s="84"/>
      <c r="H373" s="197"/>
      <c r="J373" s="173"/>
    </row>
    <row r="374">
      <c r="A374" s="195"/>
      <c r="B374" s="196"/>
      <c r="C374" s="55"/>
      <c r="D374" s="84"/>
      <c r="E374" s="84"/>
      <c r="F374" s="84"/>
      <c r="H374" s="197"/>
    </row>
    <row r="375">
      <c r="A375" s="189"/>
      <c r="B375" s="190"/>
      <c r="C375" s="191"/>
      <c r="D375" s="192"/>
      <c r="E375" s="192"/>
      <c r="F375" s="192"/>
      <c r="G375" s="183"/>
      <c r="H375" s="193"/>
      <c r="I375" s="183"/>
    </row>
    <row r="376">
      <c r="A376" s="195"/>
      <c r="B376" s="196"/>
      <c r="C376" s="55"/>
      <c r="D376" s="84"/>
      <c r="E376" s="84"/>
      <c r="F376" s="84"/>
      <c r="H376" s="197"/>
    </row>
    <row r="377">
      <c r="A377" s="195"/>
      <c r="B377" s="196"/>
      <c r="C377" s="55"/>
      <c r="D377" s="84"/>
      <c r="E377" s="84"/>
      <c r="F377" s="84"/>
      <c r="H377" s="197"/>
    </row>
    <row r="378">
      <c r="A378" s="195"/>
      <c r="B378" s="196"/>
      <c r="C378" s="55"/>
      <c r="D378" s="84"/>
      <c r="E378" s="84"/>
      <c r="F378" s="84"/>
      <c r="H378" s="197"/>
    </row>
    <row r="379">
      <c r="A379" s="195"/>
      <c r="B379" s="196"/>
      <c r="C379" s="55"/>
      <c r="D379" s="84"/>
      <c r="E379" s="84"/>
      <c r="F379" s="84"/>
      <c r="H379" s="197"/>
    </row>
    <row r="380">
      <c r="A380" s="189"/>
      <c r="B380" s="190"/>
      <c r="C380" s="191"/>
      <c r="D380" s="192"/>
      <c r="E380" s="192"/>
      <c r="F380" s="192"/>
      <c r="G380" s="183"/>
      <c r="H380" s="193"/>
      <c r="I380" s="183"/>
    </row>
    <row r="381">
      <c r="A381" s="195"/>
      <c r="B381" s="196"/>
      <c r="C381" s="55"/>
      <c r="D381" s="84"/>
      <c r="E381" s="84"/>
      <c r="F381" s="84"/>
      <c r="H381" s="197"/>
    </row>
    <row r="382">
      <c r="A382" s="195"/>
      <c r="B382" s="196"/>
      <c r="C382" s="55"/>
      <c r="D382" s="84"/>
      <c r="E382" s="84"/>
      <c r="F382" s="84"/>
      <c r="H382" s="197"/>
    </row>
    <row r="383">
      <c r="A383" s="195"/>
      <c r="B383" s="196"/>
      <c r="C383" s="55"/>
      <c r="D383" s="84"/>
      <c r="E383" s="84"/>
      <c r="F383" s="84"/>
      <c r="H383" s="197"/>
    </row>
    <row r="384">
      <c r="A384" s="195"/>
      <c r="B384" s="196"/>
      <c r="C384" s="55"/>
      <c r="D384" s="84"/>
      <c r="E384" s="84"/>
      <c r="F384" s="84"/>
      <c r="H384" s="197"/>
      <c r="J384" s="173"/>
    </row>
    <row r="385">
      <c r="A385" s="189"/>
      <c r="B385" s="190"/>
      <c r="C385" s="191"/>
      <c r="D385" s="192"/>
      <c r="E385" s="192"/>
      <c r="F385" s="192"/>
      <c r="G385" s="183"/>
      <c r="H385" s="193"/>
      <c r="I385" s="183"/>
    </row>
    <row r="386">
      <c r="A386" s="195"/>
      <c r="B386" s="196"/>
      <c r="C386" s="55"/>
      <c r="D386" s="84"/>
      <c r="E386" s="84"/>
      <c r="F386" s="84"/>
      <c r="H386" s="197"/>
    </row>
    <row r="387">
      <c r="A387" s="195"/>
      <c r="B387" s="196"/>
      <c r="C387" s="55"/>
      <c r="D387" s="84"/>
      <c r="E387" s="84"/>
      <c r="F387" s="84"/>
      <c r="H387" s="197"/>
    </row>
    <row r="388">
      <c r="A388" s="195"/>
      <c r="B388" s="196"/>
      <c r="C388" s="55"/>
      <c r="D388" s="84"/>
      <c r="E388" s="84"/>
      <c r="F388" s="84"/>
      <c r="H388" s="197"/>
    </row>
    <row r="389">
      <c r="A389" s="195"/>
      <c r="B389" s="196"/>
      <c r="C389" s="55"/>
      <c r="D389" s="84"/>
      <c r="E389" s="84"/>
      <c r="F389" s="84"/>
      <c r="H389" s="197"/>
    </row>
    <row r="390">
      <c r="A390" s="195"/>
      <c r="B390" s="196"/>
      <c r="C390" s="55"/>
      <c r="D390" s="84"/>
      <c r="E390" s="84"/>
      <c r="F390" s="84"/>
      <c r="H390" s="197"/>
      <c r="J390" s="173"/>
    </row>
    <row r="391">
      <c r="A391" s="189"/>
      <c r="B391" s="190"/>
      <c r="C391" s="191"/>
      <c r="D391" s="192"/>
      <c r="E391" s="192"/>
      <c r="F391" s="192"/>
      <c r="G391" s="183"/>
      <c r="H391" s="193"/>
      <c r="I391" s="183"/>
    </row>
    <row r="392">
      <c r="A392" s="195"/>
      <c r="B392" s="196"/>
      <c r="C392" s="55"/>
      <c r="D392" s="84"/>
      <c r="E392" s="84"/>
      <c r="F392" s="84"/>
      <c r="H392" s="197"/>
    </row>
    <row r="393">
      <c r="A393" s="195"/>
      <c r="B393" s="196"/>
      <c r="C393" s="55"/>
      <c r="D393" s="84"/>
      <c r="E393" s="84"/>
      <c r="F393" s="84"/>
      <c r="H393" s="197"/>
    </row>
    <row r="394">
      <c r="A394" s="189"/>
      <c r="B394" s="190"/>
      <c r="C394" s="191"/>
      <c r="D394" s="192"/>
      <c r="E394" s="192"/>
      <c r="F394" s="192"/>
      <c r="G394" s="183"/>
      <c r="H394" s="193"/>
      <c r="I394" s="183"/>
    </row>
    <row r="395">
      <c r="A395" s="195"/>
      <c r="B395" s="196"/>
      <c r="C395" s="55"/>
      <c r="D395" s="84"/>
      <c r="E395" s="84"/>
      <c r="F395" s="84"/>
      <c r="H395" s="197"/>
    </row>
    <row r="396">
      <c r="A396" s="195"/>
      <c r="B396" s="196"/>
      <c r="C396" s="55"/>
      <c r="D396" s="84"/>
      <c r="E396" s="84"/>
      <c r="F396" s="84"/>
      <c r="H396" s="197"/>
      <c r="J396" s="173"/>
    </row>
    <row r="397">
      <c r="A397" s="189"/>
      <c r="B397" s="190"/>
      <c r="C397" s="191"/>
      <c r="D397" s="192"/>
      <c r="E397" s="192"/>
      <c r="F397" s="192"/>
      <c r="G397" s="183"/>
      <c r="H397" s="193"/>
      <c r="I397" s="183"/>
    </row>
    <row r="398">
      <c r="A398" s="195"/>
      <c r="B398" s="196"/>
      <c r="C398" s="55"/>
      <c r="D398" s="84"/>
      <c r="E398" s="84"/>
      <c r="F398" s="84"/>
      <c r="H398" s="197"/>
      <c r="J398" s="173"/>
    </row>
    <row r="399">
      <c r="A399" s="189"/>
      <c r="B399" s="190"/>
      <c r="C399" s="191"/>
      <c r="D399" s="192"/>
      <c r="E399" s="192"/>
      <c r="F399" s="192"/>
      <c r="G399" s="183"/>
      <c r="H399" s="193"/>
      <c r="I399" s="183"/>
      <c r="J399" s="173"/>
    </row>
    <row r="400">
      <c r="A400" s="189"/>
      <c r="B400" s="190"/>
      <c r="C400" s="191"/>
      <c r="D400" s="192"/>
      <c r="E400" s="192"/>
      <c r="F400" s="192"/>
      <c r="G400" s="183"/>
      <c r="H400" s="193"/>
      <c r="I400" s="183"/>
      <c r="J400" s="173"/>
    </row>
    <row r="401">
      <c r="A401" s="195"/>
      <c r="B401" s="196"/>
      <c r="C401" s="55"/>
      <c r="D401" s="84"/>
      <c r="E401" s="84"/>
      <c r="F401" s="84"/>
      <c r="H401" s="197"/>
      <c r="J401" s="173"/>
    </row>
    <row r="402">
      <c r="A402" s="189"/>
      <c r="B402" s="190"/>
      <c r="C402" s="191"/>
      <c r="D402" s="192"/>
      <c r="E402" s="192"/>
      <c r="F402" s="192"/>
      <c r="G402" s="183"/>
      <c r="H402" s="193"/>
      <c r="I402" s="183"/>
      <c r="J402" s="173"/>
    </row>
    <row r="403">
      <c r="A403" s="195"/>
      <c r="B403" s="196"/>
      <c r="C403" s="55"/>
      <c r="D403" s="84"/>
      <c r="E403" s="84"/>
      <c r="F403" s="84"/>
      <c r="H403" s="197"/>
      <c r="J403" s="173"/>
    </row>
    <row r="404">
      <c r="A404" s="189"/>
      <c r="B404" s="190"/>
      <c r="C404" s="191"/>
      <c r="D404" s="192"/>
      <c r="E404" s="192"/>
      <c r="F404" s="192"/>
      <c r="G404" s="183"/>
      <c r="H404" s="193"/>
      <c r="I404" s="183"/>
      <c r="J404" s="173"/>
    </row>
    <row r="405">
      <c r="A405" s="189"/>
      <c r="B405" s="190"/>
      <c r="C405" s="191"/>
      <c r="D405" s="192"/>
      <c r="E405" s="192"/>
      <c r="F405" s="192"/>
      <c r="G405" s="183"/>
      <c r="H405" s="193"/>
      <c r="I405" s="183"/>
      <c r="J405" s="173"/>
    </row>
    <row r="406">
      <c r="A406" s="195"/>
      <c r="B406" s="196"/>
      <c r="C406" s="55"/>
      <c r="D406" s="84"/>
      <c r="E406" s="84"/>
      <c r="F406" s="84"/>
      <c r="H406" s="197"/>
      <c r="J406" s="173"/>
    </row>
    <row r="407">
      <c r="A407" s="195"/>
      <c r="B407" s="196"/>
      <c r="C407" s="55"/>
      <c r="D407" s="84"/>
      <c r="E407" s="84"/>
      <c r="F407" s="84"/>
      <c r="H407" s="197"/>
      <c r="J407" s="173"/>
    </row>
    <row r="408">
      <c r="A408" s="189"/>
      <c r="B408" s="190"/>
      <c r="C408" s="191"/>
      <c r="D408" s="192"/>
      <c r="E408" s="192"/>
      <c r="F408" s="192"/>
      <c r="G408" s="183"/>
      <c r="H408" s="193"/>
      <c r="I408" s="183"/>
      <c r="J408" s="173"/>
    </row>
    <row r="409">
      <c r="A409" s="195"/>
      <c r="B409" s="196"/>
      <c r="C409" s="55"/>
      <c r="D409" s="84"/>
      <c r="E409" s="84"/>
      <c r="F409" s="84"/>
      <c r="H409" s="197"/>
      <c r="J409" s="173"/>
    </row>
    <row r="410">
      <c r="A410" s="195"/>
      <c r="B410" s="196"/>
      <c r="C410" s="55"/>
      <c r="D410" s="84"/>
      <c r="E410" s="84"/>
      <c r="F410" s="84"/>
      <c r="H410" s="197"/>
      <c r="J410" s="173"/>
    </row>
    <row r="411">
      <c r="A411" s="195"/>
      <c r="B411" s="196"/>
      <c r="C411" s="55"/>
      <c r="D411" s="84"/>
      <c r="E411" s="84"/>
      <c r="F411" s="84"/>
      <c r="H411" s="197"/>
      <c r="J411" s="173"/>
    </row>
    <row r="412">
      <c r="A412" s="195"/>
      <c r="B412" s="196"/>
      <c r="C412" s="55"/>
      <c r="D412" s="84"/>
      <c r="E412" s="84"/>
      <c r="F412" s="84"/>
      <c r="H412" s="197"/>
      <c r="J412" s="173"/>
    </row>
    <row r="413">
      <c r="A413" s="195"/>
      <c r="B413" s="196"/>
      <c r="C413" s="55"/>
      <c r="D413" s="84"/>
      <c r="E413" s="84"/>
      <c r="F413" s="84"/>
      <c r="H413" s="197"/>
      <c r="J413" s="173"/>
    </row>
    <row r="414">
      <c r="A414" s="195"/>
      <c r="B414" s="196"/>
      <c r="C414" s="55"/>
      <c r="D414" s="84"/>
      <c r="E414" s="84"/>
      <c r="F414" s="84"/>
      <c r="H414" s="197"/>
      <c r="J414" s="173"/>
    </row>
    <row r="415">
      <c r="A415" s="195"/>
      <c r="B415" s="196"/>
      <c r="C415" s="55"/>
      <c r="D415" s="84"/>
      <c r="E415" s="84"/>
      <c r="F415" s="84"/>
      <c r="H415" s="197"/>
      <c r="J415" s="173"/>
    </row>
    <row r="416">
      <c r="A416" s="195"/>
      <c r="B416" s="196"/>
      <c r="C416" s="55"/>
      <c r="D416" s="84"/>
      <c r="E416" s="84"/>
      <c r="F416" s="84"/>
      <c r="H416" s="197"/>
      <c r="J416" s="173"/>
    </row>
    <row r="417">
      <c r="A417" s="195"/>
      <c r="B417" s="196"/>
      <c r="C417" s="55"/>
      <c r="D417" s="84"/>
      <c r="E417" s="84"/>
      <c r="F417" s="84"/>
      <c r="H417" s="197"/>
      <c r="J417" s="173"/>
    </row>
    <row r="418">
      <c r="A418" s="195"/>
      <c r="B418" s="196"/>
      <c r="C418" s="55"/>
      <c r="D418" s="84"/>
      <c r="E418" s="84"/>
      <c r="F418" s="84"/>
      <c r="H418" s="197"/>
      <c r="J418" s="173"/>
    </row>
    <row r="419">
      <c r="A419" s="195"/>
      <c r="B419" s="196"/>
      <c r="C419" s="55"/>
      <c r="D419" s="84"/>
      <c r="E419" s="84"/>
      <c r="F419" s="84"/>
      <c r="H419" s="197"/>
      <c r="J419" s="173"/>
    </row>
    <row r="420">
      <c r="A420" s="195"/>
      <c r="B420" s="196"/>
      <c r="C420" s="55"/>
      <c r="D420" s="84"/>
      <c r="E420" s="84"/>
      <c r="F420" s="84"/>
      <c r="H420" s="197"/>
      <c r="J420" s="173"/>
    </row>
    <row r="421">
      <c r="A421" s="189"/>
      <c r="B421" s="190"/>
      <c r="C421" s="191"/>
      <c r="D421" s="192"/>
      <c r="E421" s="192"/>
      <c r="F421" s="192"/>
      <c r="G421" s="183"/>
      <c r="H421" s="193"/>
      <c r="I421" s="183"/>
      <c r="J421" s="173"/>
    </row>
    <row r="422">
      <c r="A422" s="195"/>
      <c r="B422" s="196"/>
      <c r="C422" s="55"/>
      <c r="D422" s="84"/>
      <c r="E422" s="84"/>
      <c r="F422" s="84"/>
      <c r="H422" s="197"/>
      <c r="J422" s="173"/>
    </row>
    <row r="423">
      <c r="A423" s="195"/>
      <c r="B423" s="196"/>
      <c r="C423" s="55"/>
      <c r="D423" s="84"/>
      <c r="E423" s="84"/>
      <c r="F423" s="84"/>
      <c r="H423" s="197"/>
      <c r="J423" s="173"/>
    </row>
    <row r="424">
      <c r="A424" s="195"/>
      <c r="B424" s="196"/>
      <c r="C424" s="55"/>
      <c r="D424" s="84"/>
      <c r="E424" s="84"/>
      <c r="F424" s="84"/>
      <c r="H424" s="197"/>
      <c r="J424" s="173"/>
    </row>
    <row r="425">
      <c r="A425" s="195"/>
      <c r="B425" s="196"/>
      <c r="C425" s="55"/>
      <c r="D425" s="84"/>
      <c r="E425" s="84"/>
      <c r="F425" s="84"/>
      <c r="H425" s="197"/>
      <c r="J425" s="173"/>
    </row>
    <row r="426">
      <c r="A426" s="195"/>
      <c r="B426" s="196"/>
      <c r="C426" s="55"/>
      <c r="D426" s="84"/>
      <c r="E426" s="84"/>
      <c r="F426" s="84"/>
      <c r="H426" s="197"/>
      <c r="J426" s="173"/>
    </row>
    <row r="427">
      <c r="A427" s="189"/>
      <c r="B427" s="190"/>
      <c r="C427" s="191"/>
      <c r="D427" s="192"/>
      <c r="E427" s="192"/>
      <c r="F427" s="192"/>
      <c r="G427" s="183"/>
      <c r="H427" s="193"/>
      <c r="I427" s="183"/>
      <c r="J427" s="173"/>
    </row>
    <row r="428">
      <c r="A428" s="195"/>
      <c r="B428" s="196"/>
      <c r="C428" s="55"/>
      <c r="D428" s="84"/>
      <c r="E428" s="84"/>
      <c r="F428" s="84"/>
      <c r="H428" s="197"/>
      <c r="J428" s="173"/>
    </row>
    <row r="429">
      <c r="A429" s="195"/>
      <c r="B429" s="196"/>
      <c r="C429" s="55"/>
      <c r="D429" s="84"/>
      <c r="E429" s="84"/>
      <c r="F429" s="84"/>
      <c r="H429" s="197"/>
      <c r="J429" s="173"/>
    </row>
    <row r="430">
      <c r="A430" s="195"/>
      <c r="B430" s="196"/>
      <c r="C430" s="55"/>
      <c r="D430" s="84"/>
      <c r="E430" s="84"/>
      <c r="F430" s="84"/>
      <c r="H430" s="197"/>
      <c r="J430" s="173"/>
    </row>
    <row r="431">
      <c r="A431" s="195"/>
      <c r="B431" s="196"/>
      <c r="C431" s="55"/>
      <c r="D431" s="84"/>
      <c r="E431" s="84"/>
      <c r="F431" s="84"/>
      <c r="H431" s="197"/>
      <c r="J431" s="173"/>
    </row>
    <row r="432">
      <c r="A432" s="195"/>
      <c r="B432" s="196"/>
      <c r="C432" s="55"/>
      <c r="D432" s="84"/>
      <c r="E432" s="84"/>
      <c r="F432" s="84"/>
      <c r="H432" s="197"/>
      <c r="J432" s="173"/>
    </row>
    <row r="433">
      <c r="A433" s="189"/>
      <c r="B433" s="190"/>
      <c r="C433" s="191"/>
      <c r="D433" s="192"/>
      <c r="E433" s="192"/>
      <c r="F433" s="192"/>
      <c r="G433" s="183"/>
      <c r="H433" s="193"/>
      <c r="I433" s="183"/>
      <c r="J433" s="173"/>
    </row>
    <row r="434">
      <c r="A434" s="195"/>
      <c r="B434" s="196"/>
      <c r="C434" s="55"/>
      <c r="D434" s="84"/>
      <c r="E434" s="84"/>
      <c r="F434" s="84"/>
      <c r="H434" s="197"/>
      <c r="J434" s="173"/>
    </row>
    <row r="435">
      <c r="A435" s="195"/>
      <c r="B435" s="196"/>
      <c r="C435" s="55"/>
      <c r="D435" s="84"/>
      <c r="E435" s="84"/>
      <c r="F435" s="84"/>
      <c r="H435" s="197"/>
      <c r="J435" s="173"/>
    </row>
    <row r="436">
      <c r="A436" s="195"/>
      <c r="B436" s="196"/>
      <c r="C436" s="55"/>
      <c r="D436" s="84"/>
      <c r="E436" s="84"/>
      <c r="F436" s="84"/>
      <c r="H436" s="197"/>
      <c r="J436" s="173"/>
    </row>
    <row r="437">
      <c r="A437" s="195"/>
      <c r="B437" s="196"/>
      <c r="C437" s="55"/>
      <c r="D437" s="84"/>
      <c r="E437" s="84"/>
      <c r="F437" s="84"/>
      <c r="H437" s="197"/>
      <c r="J437" s="173"/>
    </row>
    <row r="438">
      <c r="A438" s="195"/>
      <c r="B438" s="196"/>
      <c r="C438" s="55"/>
      <c r="D438" s="84"/>
      <c r="E438" s="84"/>
      <c r="F438" s="84"/>
      <c r="H438" s="197"/>
      <c r="J438" s="173"/>
    </row>
    <row r="439">
      <c r="A439" s="195"/>
      <c r="B439" s="196"/>
      <c r="C439" s="55"/>
      <c r="D439" s="84"/>
      <c r="E439" s="84"/>
      <c r="F439" s="84"/>
      <c r="H439" s="197"/>
      <c r="J439" s="173"/>
    </row>
    <row r="440">
      <c r="A440" s="195"/>
      <c r="B440" s="196"/>
      <c r="C440" s="55"/>
      <c r="D440" s="84"/>
      <c r="E440" s="84"/>
      <c r="F440" s="84"/>
      <c r="H440" s="197"/>
      <c r="J440" s="173"/>
    </row>
    <row r="441">
      <c r="A441" s="189"/>
      <c r="B441" s="190"/>
      <c r="C441" s="191"/>
      <c r="D441" s="192"/>
      <c r="E441" s="192"/>
      <c r="F441" s="192"/>
      <c r="G441" s="183"/>
      <c r="H441" s="193"/>
      <c r="I441" s="183"/>
      <c r="J441" s="173"/>
    </row>
    <row r="442">
      <c r="A442" s="195"/>
      <c r="B442" s="196"/>
      <c r="C442" s="55"/>
      <c r="D442" s="84"/>
      <c r="E442" s="84"/>
      <c r="F442" s="84"/>
      <c r="H442" s="197"/>
      <c r="J442" s="173"/>
    </row>
    <row r="443">
      <c r="A443" s="195"/>
      <c r="B443" s="196"/>
      <c r="C443" s="55"/>
      <c r="D443" s="84"/>
      <c r="E443" s="84"/>
      <c r="F443" s="84"/>
      <c r="H443" s="197"/>
      <c r="J443" s="173"/>
    </row>
    <row r="444">
      <c r="A444" s="189"/>
      <c r="B444" s="190"/>
      <c r="C444" s="191"/>
      <c r="D444" s="192"/>
      <c r="E444" s="192"/>
      <c r="F444" s="192"/>
      <c r="G444" s="183"/>
      <c r="H444" s="193"/>
      <c r="I444" s="183"/>
      <c r="J444" s="173"/>
    </row>
    <row r="445">
      <c r="A445" s="195"/>
      <c r="B445" s="196"/>
      <c r="C445" s="55"/>
      <c r="D445" s="84"/>
      <c r="E445" s="84"/>
      <c r="F445" s="84"/>
      <c r="H445" s="197"/>
      <c r="J445" s="173"/>
    </row>
    <row r="446">
      <c r="A446" s="189"/>
      <c r="B446" s="190"/>
      <c r="C446" s="191"/>
      <c r="D446" s="192"/>
      <c r="E446" s="192"/>
      <c r="F446" s="192"/>
      <c r="G446" s="183"/>
      <c r="H446" s="193"/>
      <c r="I446" s="183"/>
      <c r="J446" s="173"/>
    </row>
    <row r="447">
      <c r="A447" s="189"/>
      <c r="B447" s="190"/>
      <c r="C447" s="191"/>
      <c r="D447" s="192"/>
      <c r="E447" s="192"/>
      <c r="F447" s="192"/>
      <c r="G447" s="183"/>
      <c r="H447" s="193"/>
      <c r="I447" s="183"/>
      <c r="J447" s="173"/>
    </row>
    <row r="448">
      <c r="A448" s="195"/>
      <c r="B448" s="196"/>
      <c r="C448" s="55"/>
      <c r="D448" s="84"/>
      <c r="E448" s="84"/>
      <c r="F448" s="84"/>
      <c r="H448" s="197"/>
      <c r="J448" s="173"/>
    </row>
    <row r="449">
      <c r="A449" s="189"/>
      <c r="B449" s="190"/>
      <c r="C449" s="191"/>
      <c r="D449" s="192"/>
      <c r="E449" s="192"/>
      <c r="F449" s="192"/>
      <c r="G449" s="183"/>
      <c r="H449" s="193"/>
      <c r="I449" s="183"/>
      <c r="J449" s="173"/>
    </row>
    <row r="450">
      <c r="A450" s="195"/>
      <c r="B450" s="196"/>
      <c r="C450" s="55"/>
      <c r="D450" s="84"/>
      <c r="E450" s="84"/>
      <c r="F450" s="84"/>
      <c r="H450" s="197"/>
      <c r="J450" s="173"/>
    </row>
    <row r="451">
      <c r="A451" s="189"/>
      <c r="B451" s="190"/>
      <c r="C451" s="191"/>
      <c r="D451" s="192"/>
      <c r="E451" s="192"/>
      <c r="F451" s="192"/>
      <c r="G451" s="183"/>
      <c r="H451" s="193"/>
      <c r="I451" s="183"/>
      <c r="J451" s="173"/>
    </row>
    <row r="452">
      <c r="A452" s="189"/>
      <c r="B452" s="190"/>
      <c r="C452" s="191"/>
      <c r="D452" s="192"/>
      <c r="E452" s="192"/>
      <c r="F452" s="192"/>
      <c r="G452" s="183"/>
      <c r="H452" s="193"/>
      <c r="I452" s="183"/>
      <c r="J452" s="173"/>
    </row>
    <row r="453">
      <c r="A453" s="195"/>
      <c r="B453" s="196"/>
      <c r="C453" s="55"/>
      <c r="D453" s="84"/>
      <c r="E453" s="84"/>
      <c r="F453" s="84"/>
      <c r="H453" s="197"/>
      <c r="J453" s="173"/>
    </row>
    <row r="454">
      <c r="A454" s="195"/>
      <c r="B454" s="196"/>
      <c r="C454" s="55"/>
      <c r="D454" s="84"/>
      <c r="E454" s="84"/>
      <c r="F454" s="84"/>
      <c r="H454" s="197"/>
      <c r="J454" s="173"/>
    </row>
    <row r="455">
      <c r="A455" s="189"/>
      <c r="B455" s="190"/>
      <c r="C455" s="191"/>
      <c r="D455" s="192"/>
      <c r="E455" s="192"/>
      <c r="F455" s="192"/>
      <c r="G455" s="183"/>
      <c r="H455" s="193"/>
      <c r="I455" s="183"/>
      <c r="J455" s="173"/>
    </row>
    <row r="456">
      <c r="A456" s="195"/>
      <c r="B456" s="196"/>
      <c r="C456" s="55"/>
      <c r="D456" s="84"/>
      <c r="E456" s="84"/>
      <c r="F456" s="84"/>
      <c r="H456" s="197"/>
      <c r="J456" s="173"/>
    </row>
    <row r="457">
      <c r="A457" s="195"/>
      <c r="B457" s="196"/>
      <c r="C457" s="55"/>
      <c r="D457" s="84"/>
      <c r="E457" s="84"/>
      <c r="F457" s="84"/>
      <c r="H457" s="197"/>
      <c r="J457" s="173"/>
    </row>
    <row r="458">
      <c r="A458" s="195"/>
      <c r="B458" s="196"/>
      <c r="C458" s="55"/>
      <c r="D458" s="84"/>
      <c r="E458" s="84"/>
      <c r="F458" s="84"/>
      <c r="H458" s="197"/>
      <c r="J458" s="173"/>
    </row>
    <row r="459">
      <c r="A459" s="195"/>
      <c r="B459" s="196"/>
      <c r="C459" s="55"/>
      <c r="D459" s="84"/>
      <c r="E459" s="84"/>
      <c r="F459" s="84"/>
      <c r="H459" s="197"/>
      <c r="J459" s="173"/>
    </row>
    <row r="460">
      <c r="A460" s="195"/>
      <c r="B460" s="196"/>
      <c r="C460" s="55"/>
      <c r="D460" s="84"/>
      <c r="E460" s="84"/>
      <c r="F460" s="84"/>
      <c r="H460" s="197"/>
      <c r="J460" s="173"/>
    </row>
    <row r="461">
      <c r="A461" s="195"/>
      <c r="B461" s="196"/>
      <c r="C461" s="55"/>
      <c r="D461" s="84"/>
      <c r="E461" s="84"/>
      <c r="F461" s="84"/>
      <c r="H461" s="197"/>
      <c r="J461" s="173"/>
    </row>
    <row r="462">
      <c r="A462" s="195"/>
      <c r="B462" s="196"/>
      <c r="C462" s="55"/>
      <c r="D462" s="84"/>
      <c r="E462" s="84"/>
      <c r="F462" s="84"/>
      <c r="H462" s="197"/>
      <c r="J462" s="173"/>
    </row>
    <row r="463">
      <c r="A463" s="195"/>
      <c r="B463" s="196"/>
      <c r="C463" s="55"/>
      <c r="D463" s="84"/>
      <c r="E463" s="84"/>
      <c r="F463" s="84"/>
      <c r="H463" s="197"/>
      <c r="J463" s="173"/>
    </row>
    <row r="464">
      <c r="A464" s="195"/>
      <c r="B464" s="196"/>
      <c r="C464" s="55"/>
      <c r="D464" s="84"/>
      <c r="E464" s="84"/>
      <c r="F464" s="84"/>
      <c r="H464" s="197"/>
      <c r="J464" s="173"/>
    </row>
    <row r="465">
      <c r="A465" s="195"/>
      <c r="B465" s="196"/>
      <c r="C465" s="55"/>
      <c r="D465" s="84"/>
      <c r="E465" s="84"/>
      <c r="F465" s="84"/>
      <c r="H465" s="197"/>
      <c r="J465" s="173"/>
    </row>
    <row r="466">
      <c r="A466" s="189"/>
      <c r="B466" s="190"/>
      <c r="C466" s="191"/>
      <c r="D466" s="192"/>
      <c r="E466" s="192"/>
      <c r="F466" s="192"/>
      <c r="G466" s="183"/>
      <c r="H466" s="193"/>
      <c r="I466" s="183"/>
      <c r="J466" s="173"/>
    </row>
    <row r="467">
      <c r="A467" s="195"/>
      <c r="B467" s="196"/>
      <c r="C467" s="55"/>
      <c r="D467" s="84"/>
      <c r="E467" s="84"/>
      <c r="F467" s="84"/>
      <c r="H467" s="197"/>
      <c r="J467" s="173"/>
    </row>
    <row r="468">
      <c r="A468" s="195"/>
      <c r="B468" s="196"/>
      <c r="C468" s="55"/>
      <c r="D468" s="84"/>
      <c r="E468" s="84"/>
      <c r="F468" s="84"/>
      <c r="H468" s="197"/>
      <c r="J468" s="173"/>
    </row>
    <row r="469">
      <c r="A469" s="195"/>
      <c r="B469" s="196"/>
      <c r="C469" s="55"/>
      <c r="D469" s="84"/>
      <c r="E469" s="84"/>
      <c r="F469" s="84"/>
      <c r="H469" s="197"/>
      <c r="J469" s="173"/>
    </row>
    <row r="470">
      <c r="A470" s="195"/>
      <c r="B470" s="196"/>
      <c r="C470" s="55"/>
      <c r="D470" s="84"/>
      <c r="E470" s="84"/>
      <c r="F470" s="84"/>
      <c r="H470" s="197"/>
      <c r="J470" s="173"/>
    </row>
    <row r="471">
      <c r="A471" s="195"/>
      <c r="B471" s="196"/>
      <c r="C471" s="55"/>
      <c r="D471" s="84"/>
      <c r="E471" s="84"/>
      <c r="F471" s="84"/>
      <c r="H471" s="197"/>
      <c r="J471" s="173"/>
    </row>
    <row r="472">
      <c r="A472" s="189"/>
      <c r="B472" s="190"/>
      <c r="C472" s="191"/>
      <c r="D472" s="192"/>
      <c r="E472" s="192"/>
      <c r="F472" s="192"/>
      <c r="G472" s="183"/>
      <c r="H472" s="193"/>
      <c r="I472" s="183"/>
      <c r="J472" s="173"/>
    </row>
    <row r="473">
      <c r="A473" s="195"/>
      <c r="B473" s="196"/>
      <c r="C473" s="55"/>
      <c r="D473" s="84"/>
      <c r="E473" s="84"/>
      <c r="F473" s="84"/>
      <c r="H473" s="197"/>
      <c r="J473" s="173"/>
    </row>
    <row r="474">
      <c r="A474" s="195"/>
      <c r="B474" s="196"/>
      <c r="C474" s="55"/>
      <c r="D474" s="84"/>
      <c r="E474" s="84"/>
      <c r="F474" s="84"/>
      <c r="H474" s="197"/>
      <c r="J474" s="173"/>
    </row>
    <row r="475">
      <c r="A475" s="195"/>
      <c r="B475" s="196"/>
      <c r="C475" s="55"/>
      <c r="D475" s="84"/>
      <c r="E475" s="84"/>
      <c r="F475" s="84"/>
      <c r="H475" s="197"/>
      <c r="J475" s="173"/>
    </row>
    <row r="476">
      <c r="A476" s="195"/>
      <c r="B476" s="196"/>
      <c r="C476" s="55"/>
      <c r="D476" s="84"/>
      <c r="E476" s="84"/>
      <c r="F476" s="84"/>
      <c r="H476" s="197"/>
      <c r="J476" s="173"/>
    </row>
    <row r="477">
      <c r="A477" s="195"/>
      <c r="B477" s="196"/>
      <c r="C477" s="55"/>
      <c r="D477" s="84"/>
      <c r="E477" s="84"/>
      <c r="F477" s="84"/>
      <c r="H477" s="197"/>
      <c r="J477" s="173"/>
    </row>
    <row r="478">
      <c r="A478" s="189"/>
      <c r="B478" s="190"/>
      <c r="C478" s="191"/>
      <c r="D478" s="192"/>
      <c r="E478" s="192"/>
      <c r="F478" s="192"/>
      <c r="G478" s="183"/>
      <c r="H478" s="193"/>
      <c r="I478" s="183"/>
      <c r="J478" s="173"/>
    </row>
    <row r="479">
      <c r="A479" s="195"/>
      <c r="B479" s="196"/>
      <c r="C479" s="55"/>
      <c r="D479" s="84"/>
      <c r="E479" s="84"/>
      <c r="F479" s="84"/>
      <c r="H479" s="197"/>
      <c r="J479" s="173"/>
    </row>
    <row r="480">
      <c r="A480" s="195"/>
      <c r="B480" s="196"/>
      <c r="C480" s="55"/>
      <c r="D480" s="84"/>
      <c r="E480" s="84"/>
      <c r="F480" s="84"/>
      <c r="H480" s="197"/>
      <c r="J480" s="173"/>
    </row>
    <row r="481">
      <c r="A481" s="195"/>
      <c r="B481" s="196"/>
      <c r="C481" s="55"/>
      <c r="D481" s="84"/>
      <c r="E481" s="84"/>
      <c r="F481" s="84"/>
      <c r="H481" s="197"/>
      <c r="J481" s="173"/>
    </row>
    <row r="482">
      <c r="A482" s="195"/>
      <c r="B482" s="196"/>
      <c r="C482" s="55"/>
      <c r="D482" s="84"/>
      <c r="E482" s="84"/>
      <c r="F482" s="84"/>
      <c r="H482" s="197"/>
      <c r="J482" s="173"/>
    </row>
    <row r="483">
      <c r="A483" s="195"/>
      <c r="B483" s="196"/>
      <c r="C483" s="55"/>
      <c r="D483" s="84"/>
      <c r="E483" s="84"/>
      <c r="F483" s="84"/>
      <c r="H483" s="197"/>
      <c r="J483" s="173"/>
    </row>
    <row r="484">
      <c r="A484" s="189"/>
      <c r="B484" s="190"/>
      <c r="C484" s="191"/>
      <c r="D484" s="192"/>
      <c r="E484" s="192"/>
      <c r="F484" s="192"/>
      <c r="G484" s="183"/>
      <c r="H484" s="193"/>
      <c r="I484" s="183"/>
      <c r="J484" s="173"/>
    </row>
    <row r="485">
      <c r="A485" s="195"/>
      <c r="B485" s="196"/>
      <c r="C485" s="55"/>
      <c r="D485" s="84"/>
      <c r="E485" s="84"/>
      <c r="F485" s="84"/>
      <c r="H485" s="197"/>
      <c r="J485" s="173"/>
    </row>
    <row r="486">
      <c r="A486" s="195"/>
      <c r="B486" s="196"/>
      <c r="C486" s="55"/>
      <c r="D486" s="84"/>
      <c r="E486" s="84"/>
      <c r="F486" s="84"/>
      <c r="H486" s="197"/>
      <c r="J486" s="173"/>
    </row>
    <row r="487">
      <c r="A487" s="189"/>
      <c r="B487" s="190"/>
      <c r="C487" s="191"/>
      <c r="D487" s="192"/>
      <c r="E487" s="192"/>
      <c r="F487" s="192"/>
      <c r="G487" s="183"/>
      <c r="H487" s="193"/>
      <c r="I487" s="183"/>
      <c r="J487" s="173"/>
    </row>
    <row r="488">
      <c r="A488" s="189"/>
      <c r="B488" s="190"/>
      <c r="C488" s="191"/>
      <c r="D488" s="192"/>
      <c r="E488" s="192"/>
      <c r="F488" s="192"/>
      <c r="G488" s="183"/>
      <c r="H488" s="193"/>
      <c r="I488" s="183"/>
      <c r="J488" s="173"/>
    </row>
    <row r="489">
      <c r="A489" s="189"/>
      <c r="B489" s="190"/>
      <c r="C489" s="191"/>
      <c r="D489" s="192"/>
      <c r="E489" s="192"/>
      <c r="F489" s="192"/>
      <c r="G489" s="183"/>
      <c r="H489" s="193"/>
      <c r="I489" s="183"/>
      <c r="J489" s="173"/>
    </row>
    <row r="490">
      <c r="A490" s="189"/>
      <c r="B490" s="190"/>
      <c r="C490" s="191"/>
      <c r="D490" s="192"/>
      <c r="E490" s="192"/>
      <c r="F490" s="192"/>
      <c r="G490" s="183"/>
      <c r="H490" s="193"/>
      <c r="I490" s="183"/>
      <c r="J490" s="173"/>
    </row>
    <row r="491">
      <c r="A491" s="189"/>
      <c r="B491" s="190"/>
      <c r="C491" s="191"/>
      <c r="D491" s="192"/>
      <c r="E491" s="192"/>
      <c r="F491" s="192"/>
      <c r="G491" s="183"/>
      <c r="H491" s="193"/>
      <c r="I491" s="183"/>
      <c r="J491" s="173"/>
    </row>
    <row r="492">
      <c r="A492" s="189"/>
      <c r="B492" s="190"/>
      <c r="C492" s="191"/>
      <c r="D492" s="192"/>
      <c r="E492" s="192"/>
      <c r="F492" s="192"/>
      <c r="G492" s="183"/>
      <c r="H492" s="193"/>
      <c r="I492" s="183"/>
      <c r="J492" s="173"/>
    </row>
    <row r="493">
      <c r="A493" s="189"/>
      <c r="B493" s="190"/>
      <c r="C493" s="191"/>
      <c r="D493" s="192"/>
      <c r="E493" s="192"/>
      <c r="F493" s="192"/>
      <c r="G493" s="183"/>
      <c r="H493" s="193"/>
      <c r="I493" s="183"/>
      <c r="J493" s="173"/>
    </row>
    <row r="494">
      <c r="A494" s="189"/>
      <c r="B494" s="190"/>
      <c r="C494" s="191"/>
      <c r="D494" s="192"/>
      <c r="E494" s="192"/>
      <c r="F494" s="192"/>
      <c r="G494" s="183"/>
      <c r="H494" s="193"/>
      <c r="I494" s="183"/>
      <c r="J494" s="173"/>
    </row>
    <row r="495">
      <c r="A495" s="189"/>
      <c r="B495" s="190"/>
      <c r="C495" s="191"/>
      <c r="D495" s="192"/>
      <c r="E495" s="192"/>
      <c r="F495" s="192"/>
      <c r="G495" s="183"/>
      <c r="H495" s="193"/>
      <c r="I495" s="183"/>
      <c r="J495" s="173"/>
    </row>
    <row r="496">
      <c r="A496" s="189"/>
      <c r="B496" s="190"/>
      <c r="C496" s="191"/>
      <c r="D496" s="192"/>
      <c r="E496" s="192"/>
      <c r="F496" s="192"/>
      <c r="G496" s="183"/>
      <c r="H496" s="193"/>
      <c r="I496" s="183"/>
      <c r="J496" s="173"/>
    </row>
    <row r="497">
      <c r="A497" s="189"/>
      <c r="B497" s="190"/>
      <c r="C497" s="191"/>
      <c r="D497" s="192"/>
      <c r="E497" s="192"/>
      <c r="F497" s="192"/>
      <c r="G497" s="183"/>
      <c r="H497" s="193"/>
      <c r="I497" s="183"/>
      <c r="J497" s="173"/>
    </row>
    <row r="498">
      <c r="A498" s="189"/>
      <c r="B498" s="190"/>
      <c r="C498" s="191"/>
      <c r="D498" s="192"/>
      <c r="E498" s="192"/>
      <c r="F498" s="192"/>
      <c r="G498" s="183"/>
      <c r="H498" s="193"/>
      <c r="I498" s="183"/>
      <c r="J498" s="173"/>
    </row>
    <row r="499">
      <c r="A499" s="189"/>
      <c r="B499" s="190"/>
      <c r="C499" s="191"/>
      <c r="D499" s="192"/>
      <c r="E499" s="192"/>
      <c r="F499" s="192"/>
      <c r="G499" s="183"/>
      <c r="H499" s="193"/>
      <c r="I499" s="183"/>
      <c r="J499" s="173"/>
    </row>
    <row r="500">
      <c r="A500" s="189"/>
      <c r="B500" s="190"/>
      <c r="C500" s="191"/>
      <c r="D500" s="192"/>
      <c r="E500" s="192"/>
      <c r="F500" s="192"/>
      <c r="G500" s="183"/>
      <c r="H500" s="193"/>
      <c r="I500" s="183"/>
      <c r="J500" s="173"/>
    </row>
    <row r="501">
      <c r="A501" s="189"/>
      <c r="B501" s="190"/>
      <c r="C501" s="191"/>
      <c r="D501" s="192"/>
      <c r="E501" s="192"/>
      <c r="F501" s="192"/>
      <c r="G501" s="183"/>
      <c r="H501" s="193"/>
      <c r="I501" s="183"/>
      <c r="J501" s="173"/>
    </row>
    <row r="502">
      <c r="A502" s="189"/>
      <c r="B502" s="190"/>
      <c r="C502" s="191"/>
      <c r="D502" s="192"/>
      <c r="E502" s="192"/>
      <c r="F502" s="192"/>
      <c r="G502" s="183"/>
      <c r="H502" s="193"/>
      <c r="I502" s="183"/>
      <c r="J502" s="173"/>
    </row>
    <row r="503">
      <c r="A503" s="189"/>
      <c r="B503" s="190"/>
      <c r="C503" s="191"/>
      <c r="D503" s="192"/>
      <c r="E503" s="192"/>
      <c r="F503" s="192"/>
      <c r="G503" s="183"/>
      <c r="H503" s="193"/>
      <c r="I503" s="183"/>
      <c r="J503" s="173"/>
    </row>
    <row r="504">
      <c r="A504" s="189"/>
      <c r="B504" s="190"/>
      <c r="C504" s="191"/>
      <c r="D504" s="192"/>
      <c r="E504" s="192"/>
      <c r="F504" s="192"/>
      <c r="G504" s="183"/>
      <c r="H504" s="193"/>
      <c r="I504" s="183"/>
      <c r="J504" s="173"/>
    </row>
    <row r="505">
      <c r="A505" s="189"/>
      <c r="B505" s="190"/>
      <c r="C505" s="191"/>
      <c r="D505" s="192"/>
      <c r="E505" s="192"/>
      <c r="F505" s="192"/>
      <c r="G505" s="183"/>
      <c r="H505" s="193"/>
      <c r="I505" s="183"/>
      <c r="J505" s="173"/>
    </row>
    <row r="506">
      <c r="A506" s="189"/>
      <c r="B506" s="190"/>
      <c r="C506" s="191"/>
      <c r="D506" s="192"/>
      <c r="E506" s="192"/>
      <c r="F506" s="192"/>
      <c r="G506" s="183"/>
      <c r="H506" s="193"/>
      <c r="I506" s="183"/>
      <c r="J506" s="173"/>
    </row>
    <row r="507">
      <c r="A507" s="189"/>
      <c r="B507" s="190"/>
      <c r="C507" s="191"/>
      <c r="D507" s="192"/>
      <c r="E507" s="192"/>
      <c r="F507" s="192"/>
      <c r="G507" s="183"/>
      <c r="H507" s="193"/>
      <c r="I507" s="183"/>
      <c r="J507" s="173"/>
    </row>
    <row r="508">
      <c r="A508" s="189"/>
      <c r="B508" s="190"/>
      <c r="C508" s="191"/>
      <c r="D508" s="192"/>
      <c r="E508" s="192"/>
      <c r="F508" s="192"/>
      <c r="G508" s="183"/>
      <c r="H508" s="193"/>
      <c r="I508" s="183"/>
      <c r="J508" s="173"/>
    </row>
    <row r="509">
      <c r="A509" s="189"/>
      <c r="B509" s="190"/>
      <c r="C509" s="191"/>
      <c r="D509" s="192"/>
      <c r="E509" s="192"/>
      <c r="F509" s="192"/>
      <c r="G509" s="183"/>
      <c r="H509" s="193"/>
      <c r="I509" s="183"/>
      <c r="J509" s="173"/>
    </row>
    <row r="510">
      <c r="A510" s="189"/>
      <c r="B510" s="190"/>
      <c r="C510" s="191"/>
      <c r="D510" s="192"/>
      <c r="E510" s="192"/>
      <c r="F510" s="192"/>
      <c r="G510" s="183"/>
      <c r="H510" s="193"/>
      <c r="I510" s="183"/>
      <c r="J510" s="173"/>
    </row>
    <row r="511">
      <c r="A511" s="189"/>
      <c r="B511" s="190"/>
      <c r="C511" s="191"/>
      <c r="D511" s="192"/>
      <c r="E511" s="192"/>
      <c r="F511" s="192"/>
      <c r="G511" s="183"/>
      <c r="H511" s="193"/>
      <c r="I511" s="183"/>
      <c r="J511" s="173"/>
    </row>
    <row r="512">
      <c r="A512" s="189"/>
      <c r="B512" s="190"/>
      <c r="C512" s="191"/>
      <c r="D512" s="192"/>
      <c r="E512" s="192"/>
      <c r="F512" s="192"/>
      <c r="G512" s="183"/>
      <c r="H512" s="193"/>
      <c r="I512" s="183"/>
      <c r="J512" s="173"/>
    </row>
    <row r="513">
      <c r="A513" s="189"/>
      <c r="B513" s="190"/>
      <c r="C513" s="191"/>
      <c r="D513" s="192"/>
      <c r="E513" s="192"/>
      <c r="F513" s="192"/>
      <c r="G513" s="183"/>
      <c r="H513" s="193"/>
      <c r="I513" s="183"/>
      <c r="J513" s="173"/>
    </row>
    <row r="514">
      <c r="A514" s="189"/>
      <c r="B514" s="190"/>
      <c r="C514" s="191"/>
      <c r="D514" s="192"/>
      <c r="E514" s="192"/>
      <c r="F514" s="192"/>
      <c r="G514" s="183"/>
      <c r="H514" s="193"/>
      <c r="I514" s="183"/>
      <c r="J514" s="173"/>
    </row>
    <row r="515">
      <c r="A515" s="189"/>
      <c r="B515" s="190"/>
      <c r="C515" s="191"/>
      <c r="D515" s="192"/>
      <c r="E515" s="192"/>
      <c r="F515" s="192"/>
      <c r="G515" s="183"/>
      <c r="H515" s="193"/>
      <c r="I515" s="183"/>
      <c r="J515" s="173"/>
    </row>
    <row r="516">
      <c r="A516" s="189"/>
      <c r="B516" s="190"/>
      <c r="C516" s="191"/>
      <c r="D516" s="192"/>
      <c r="E516" s="192"/>
      <c r="F516" s="192"/>
      <c r="G516" s="183"/>
      <c r="H516" s="193"/>
      <c r="I516" s="183"/>
      <c r="J516" s="173"/>
    </row>
    <row r="517">
      <c r="A517" s="189"/>
      <c r="B517" s="190"/>
      <c r="C517" s="191"/>
      <c r="D517" s="192"/>
      <c r="E517" s="192"/>
      <c r="F517" s="192"/>
      <c r="G517" s="183"/>
      <c r="H517" s="193"/>
      <c r="I517" s="183"/>
      <c r="J517" s="173"/>
    </row>
    <row r="518">
      <c r="A518" s="189"/>
      <c r="B518" s="190"/>
      <c r="C518" s="191"/>
      <c r="D518" s="192"/>
      <c r="E518" s="192"/>
      <c r="F518" s="192"/>
      <c r="G518" s="183"/>
      <c r="H518" s="193"/>
      <c r="I518" s="183"/>
      <c r="J518" s="173"/>
    </row>
    <row r="519">
      <c r="A519" s="189"/>
      <c r="B519" s="190"/>
      <c r="C519" s="191"/>
      <c r="D519" s="192"/>
      <c r="E519" s="192"/>
      <c r="F519" s="192"/>
      <c r="G519" s="183"/>
      <c r="H519" s="193"/>
      <c r="I519" s="183"/>
      <c r="J519" s="173"/>
    </row>
    <row r="520">
      <c r="A520" s="189"/>
      <c r="B520" s="190"/>
      <c r="C520" s="191"/>
      <c r="D520" s="192"/>
      <c r="E520" s="192"/>
      <c r="F520" s="192"/>
      <c r="G520" s="183"/>
      <c r="H520" s="193"/>
      <c r="I520" s="183"/>
      <c r="J520" s="173"/>
    </row>
    <row r="521">
      <c r="A521" s="189"/>
      <c r="B521" s="190"/>
      <c r="C521" s="191"/>
      <c r="D521" s="192"/>
      <c r="E521" s="192"/>
      <c r="F521" s="192"/>
      <c r="G521" s="183"/>
      <c r="H521" s="193"/>
      <c r="I521" s="183"/>
      <c r="J521" s="173"/>
    </row>
    <row r="522">
      <c r="A522" s="189"/>
      <c r="B522" s="190"/>
      <c r="C522" s="191"/>
      <c r="D522" s="192"/>
      <c r="E522" s="192"/>
      <c r="F522" s="192"/>
      <c r="G522" s="183"/>
      <c r="H522" s="193"/>
      <c r="I522" s="183"/>
      <c r="J522" s="173"/>
    </row>
    <row r="523">
      <c r="A523" s="189"/>
      <c r="B523" s="190"/>
      <c r="C523" s="191"/>
      <c r="D523" s="192"/>
      <c r="E523" s="192"/>
      <c r="F523" s="192"/>
      <c r="G523" s="183"/>
      <c r="H523" s="193"/>
      <c r="I523" s="183"/>
      <c r="J523" s="173"/>
    </row>
    <row r="524">
      <c r="A524" s="189"/>
      <c r="B524" s="190"/>
      <c r="C524" s="191"/>
      <c r="D524" s="192"/>
      <c r="E524" s="192"/>
      <c r="F524" s="192"/>
      <c r="G524" s="183"/>
      <c r="H524" s="193"/>
      <c r="I524" s="183"/>
      <c r="J524" s="173"/>
    </row>
    <row r="525">
      <c r="A525" s="189"/>
      <c r="B525" s="190"/>
      <c r="C525" s="191"/>
      <c r="D525" s="192"/>
      <c r="E525" s="192"/>
      <c r="F525" s="192"/>
      <c r="G525" s="183"/>
      <c r="H525" s="193"/>
      <c r="I525" s="183"/>
      <c r="J525" s="173"/>
    </row>
    <row r="526">
      <c r="A526" s="189"/>
      <c r="B526" s="190"/>
      <c r="C526" s="191"/>
      <c r="D526" s="192"/>
      <c r="E526" s="192"/>
      <c r="F526" s="192"/>
      <c r="G526" s="183"/>
      <c r="H526" s="193"/>
      <c r="I526" s="183"/>
      <c r="J526" s="173"/>
    </row>
    <row r="527">
      <c r="A527" s="189"/>
      <c r="B527" s="190"/>
      <c r="C527" s="191"/>
      <c r="D527" s="192"/>
      <c r="E527" s="192"/>
      <c r="F527" s="192"/>
      <c r="G527" s="183"/>
      <c r="H527" s="193"/>
      <c r="I527" s="183"/>
      <c r="J527" s="173"/>
    </row>
    <row r="528">
      <c r="A528" s="189"/>
      <c r="B528" s="190"/>
      <c r="C528" s="191"/>
      <c r="D528" s="192"/>
      <c r="E528" s="192"/>
      <c r="F528" s="192"/>
      <c r="G528" s="183"/>
      <c r="H528" s="193"/>
      <c r="I528" s="183"/>
      <c r="J528" s="173"/>
    </row>
    <row r="529">
      <c r="A529" s="189"/>
      <c r="B529" s="190"/>
      <c r="C529" s="191"/>
      <c r="D529" s="192"/>
      <c r="E529" s="192"/>
      <c r="F529" s="192"/>
      <c r="G529" s="183"/>
      <c r="H529" s="193"/>
      <c r="I529" s="183"/>
      <c r="J529" s="173"/>
    </row>
    <row r="530">
      <c r="A530" s="189"/>
      <c r="B530" s="190"/>
      <c r="C530" s="191"/>
      <c r="D530" s="192"/>
      <c r="E530" s="192"/>
      <c r="F530" s="192"/>
      <c r="G530" s="183"/>
      <c r="H530" s="193"/>
      <c r="I530" s="183"/>
      <c r="J530" s="173"/>
    </row>
    <row r="531">
      <c r="A531" s="189"/>
      <c r="B531" s="190"/>
      <c r="C531" s="191"/>
      <c r="D531" s="192"/>
      <c r="E531" s="192"/>
      <c r="F531" s="192"/>
      <c r="G531" s="183"/>
      <c r="H531" s="193"/>
      <c r="I531" s="183"/>
      <c r="J531" s="173"/>
    </row>
    <row r="532">
      <c r="A532" s="189"/>
      <c r="B532" s="190"/>
      <c r="C532" s="191"/>
      <c r="D532" s="192"/>
      <c r="E532" s="192"/>
      <c r="F532" s="192"/>
      <c r="G532" s="183"/>
      <c r="H532" s="193"/>
      <c r="I532" s="183"/>
      <c r="J532" s="173"/>
    </row>
    <row r="533">
      <c r="A533" s="189"/>
      <c r="B533" s="190"/>
      <c r="C533" s="191"/>
      <c r="D533" s="192"/>
      <c r="E533" s="192"/>
      <c r="F533" s="192"/>
      <c r="G533" s="183"/>
      <c r="H533" s="193"/>
      <c r="I533" s="183"/>
      <c r="J533" s="173"/>
    </row>
    <row r="534">
      <c r="A534" s="189"/>
      <c r="B534" s="190"/>
      <c r="C534" s="191"/>
      <c r="D534" s="192"/>
      <c r="E534" s="192"/>
      <c r="F534" s="192"/>
      <c r="G534" s="183"/>
      <c r="H534" s="193"/>
      <c r="I534" s="183"/>
      <c r="J534" s="173"/>
    </row>
    <row r="535">
      <c r="A535" s="189"/>
      <c r="B535" s="190"/>
      <c r="C535" s="191"/>
      <c r="D535" s="192"/>
      <c r="E535" s="192"/>
      <c r="F535" s="192"/>
      <c r="G535" s="183"/>
      <c r="H535" s="193"/>
      <c r="I535" s="183"/>
      <c r="J535" s="173"/>
    </row>
    <row r="536">
      <c r="A536" s="189"/>
      <c r="B536" s="190"/>
      <c r="C536" s="191"/>
      <c r="D536" s="192"/>
      <c r="E536" s="192"/>
      <c r="F536" s="192"/>
      <c r="G536" s="183"/>
      <c r="H536" s="193"/>
      <c r="I536" s="183"/>
      <c r="J536" s="173"/>
    </row>
    <row r="537">
      <c r="A537" s="189"/>
      <c r="B537" s="190"/>
      <c r="C537" s="191"/>
      <c r="D537" s="192"/>
      <c r="E537" s="192"/>
      <c r="F537" s="192"/>
      <c r="G537" s="183"/>
      <c r="H537" s="193"/>
      <c r="I537" s="183"/>
      <c r="J537" s="173"/>
    </row>
    <row r="538">
      <c r="A538" s="189"/>
      <c r="B538" s="190"/>
      <c r="C538" s="191"/>
      <c r="D538" s="192"/>
      <c r="E538" s="192"/>
      <c r="F538" s="192"/>
      <c r="G538" s="183"/>
      <c r="H538" s="193"/>
      <c r="I538" s="183"/>
      <c r="J538" s="173"/>
    </row>
    <row r="539">
      <c r="A539" s="189"/>
      <c r="B539" s="190"/>
      <c r="C539" s="191"/>
      <c r="D539" s="192"/>
      <c r="E539" s="192"/>
      <c r="F539" s="192"/>
      <c r="G539" s="183"/>
      <c r="H539" s="193"/>
      <c r="I539" s="183"/>
      <c r="J539" s="173"/>
    </row>
    <row r="540">
      <c r="A540" s="189"/>
      <c r="B540" s="190"/>
      <c r="C540" s="191"/>
      <c r="D540" s="192"/>
      <c r="E540" s="192"/>
      <c r="F540" s="192"/>
      <c r="G540" s="183"/>
      <c r="H540" s="193"/>
      <c r="I540" s="183"/>
      <c r="J540" s="173"/>
    </row>
    <row r="541">
      <c r="A541" s="189"/>
      <c r="B541" s="190"/>
      <c r="C541" s="191"/>
      <c r="D541" s="192"/>
      <c r="E541" s="192"/>
      <c r="F541" s="192"/>
      <c r="G541" s="183"/>
      <c r="H541" s="193"/>
      <c r="I541" s="183"/>
      <c r="J541" s="173"/>
    </row>
    <row r="542">
      <c r="A542" s="189"/>
      <c r="B542" s="190"/>
      <c r="C542" s="191"/>
      <c r="D542" s="192"/>
      <c r="E542" s="192"/>
      <c r="F542" s="192"/>
      <c r="G542" s="183"/>
      <c r="H542" s="193"/>
      <c r="I542" s="183"/>
      <c r="J542" s="173"/>
    </row>
    <row r="543">
      <c r="A543" s="189"/>
      <c r="B543" s="190"/>
      <c r="C543" s="191"/>
      <c r="D543" s="192"/>
      <c r="E543" s="192"/>
      <c r="F543" s="192"/>
      <c r="G543" s="183"/>
      <c r="H543" s="193"/>
      <c r="I543" s="183"/>
      <c r="J543" s="173"/>
    </row>
    <row r="544">
      <c r="A544" s="189"/>
      <c r="B544" s="190"/>
      <c r="C544" s="191"/>
      <c r="D544" s="192"/>
      <c r="E544" s="192"/>
      <c r="F544" s="192"/>
      <c r="G544" s="183"/>
      <c r="H544" s="193"/>
      <c r="I544" s="183"/>
      <c r="J544" s="173"/>
    </row>
    <row r="545">
      <c r="A545" s="189"/>
      <c r="B545" s="190"/>
      <c r="C545" s="191"/>
      <c r="D545" s="192"/>
      <c r="E545" s="192"/>
      <c r="F545" s="192"/>
      <c r="G545" s="183"/>
      <c r="H545" s="193"/>
      <c r="I545" s="183"/>
      <c r="J545" s="173"/>
    </row>
    <row r="546">
      <c r="A546" s="189"/>
      <c r="B546" s="190"/>
      <c r="C546" s="191"/>
      <c r="D546" s="192"/>
      <c r="E546" s="192"/>
      <c r="F546" s="192"/>
      <c r="G546" s="183"/>
      <c r="H546" s="193"/>
      <c r="I546" s="183"/>
      <c r="J546" s="173"/>
    </row>
    <row r="547">
      <c r="A547" s="189"/>
      <c r="B547" s="190"/>
      <c r="C547" s="191"/>
      <c r="D547" s="192"/>
      <c r="E547" s="192"/>
      <c r="F547" s="192"/>
      <c r="G547" s="183"/>
      <c r="H547" s="193"/>
      <c r="I547" s="183"/>
      <c r="J547" s="173"/>
    </row>
    <row r="548">
      <c r="A548" s="189"/>
      <c r="B548" s="190"/>
      <c r="C548" s="191"/>
      <c r="D548" s="192"/>
      <c r="E548" s="192"/>
      <c r="F548" s="192"/>
      <c r="G548" s="183"/>
      <c r="H548" s="193"/>
      <c r="I548" s="183"/>
      <c r="J548" s="173"/>
    </row>
    <row r="549">
      <c r="A549" s="189"/>
      <c r="B549" s="190"/>
      <c r="C549" s="191"/>
      <c r="D549" s="192"/>
      <c r="E549" s="192"/>
      <c r="F549" s="192"/>
      <c r="G549" s="183"/>
      <c r="H549" s="193"/>
      <c r="I549" s="183"/>
      <c r="J549" s="173"/>
    </row>
    <row r="550">
      <c r="A550" s="189"/>
      <c r="B550" s="190"/>
      <c r="C550" s="191"/>
      <c r="D550" s="192"/>
      <c r="E550" s="192"/>
      <c r="F550" s="192"/>
      <c r="G550" s="183"/>
      <c r="H550" s="193"/>
      <c r="I550" s="183"/>
      <c r="J550" s="173"/>
    </row>
    <row r="551">
      <c r="A551" s="189"/>
      <c r="B551" s="190"/>
      <c r="C551" s="191"/>
      <c r="D551" s="192"/>
      <c r="E551" s="192"/>
      <c r="F551" s="192"/>
      <c r="G551" s="183"/>
      <c r="H551" s="193"/>
      <c r="I551" s="183"/>
      <c r="J551" s="173"/>
    </row>
    <row r="552">
      <c r="A552" s="189"/>
      <c r="B552" s="190"/>
      <c r="C552" s="191"/>
      <c r="D552" s="192"/>
      <c r="E552" s="192"/>
      <c r="F552" s="192"/>
      <c r="G552" s="183"/>
      <c r="H552" s="193"/>
      <c r="I552" s="183"/>
      <c r="J552" s="173"/>
    </row>
    <row r="553">
      <c r="A553" s="189"/>
      <c r="B553" s="190"/>
      <c r="C553" s="191"/>
      <c r="D553" s="192"/>
      <c r="E553" s="192"/>
      <c r="F553" s="192"/>
      <c r="G553" s="183"/>
      <c r="H553" s="193"/>
      <c r="I553" s="183"/>
      <c r="J553" s="173"/>
    </row>
    <row r="554">
      <c r="A554" s="189"/>
      <c r="B554" s="190"/>
      <c r="C554" s="191"/>
      <c r="D554" s="192"/>
      <c r="E554" s="192"/>
      <c r="F554" s="192"/>
      <c r="G554" s="183"/>
      <c r="H554" s="193"/>
      <c r="I554" s="183"/>
      <c r="J554" s="173"/>
    </row>
    <row r="555">
      <c r="A555" s="189"/>
      <c r="B555" s="190"/>
      <c r="C555" s="191"/>
      <c r="D555" s="192"/>
      <c r="E555" s="192"/>
      <c r="F555" s="192"/>
      <c r="G555" s="183"/>
      <c r="H555" s="193"/>
      <c r="I555" s="183"/>
      <c r="J555" s="173"/>
    </row>
    <row r="556">
      <c r="A556" s="189"/>
      <c r="B556" s="190"/>
      <c r="C556" s="191"/>
      <c r="D556" s="192"/>
      <c r="E556" s="192"/>
      <c r="F556" s="192"/>
      <c r="G556" s="183"/>
      <c r="H556" s="193"/>
      <c r="I556" s="183"/>
      <c r="J556" s="173"/>
    </row>
    <row r="557">
      <c r="A557" s="189"/>
      <c r="B557" s="190"/>
      <c r="C557" s="191"/>
      <c r="D557" s="192"/>
      <c r="E557" s="192"/>
      <c r="F557" s="192"/>
      <c r="G557" s="183"/>
      <c r="H557" s="193"/>
      <c r="I557" s="183"/>
      <c r="J557" s="173"/>
    </row>
    <row r="558">
      <c r="A558" s="189"/>
      <c r="B558" s="190"/>
      <c r="C558" s="191"/>
      <c r="D558" s="192"/>
      <c r="E558" s="192"/>
      <c r="F558" s="192"/>
      <c r="G558" s="183"/>
      <c r="H558" s="193"/>
      <c r="I558" s="183"/>
      <c r="J558" s="173"/>
    </row>
    <row r="559">
      <c r="A559" s="189"/>
      <c r="B559" s="190"/>
      <c r="C559" s="191"/>
      <c r="D559" s="192"/>
      <c r="E559" s="192"/>
      <c r="F559" s="192"/>
      <c r="G559" s="183"/>
      <c r="H559" s="193"/>
      <c r="I559" s="183"/>
      <c r="J559" s="173"/>
    </row>
    <row r="560">
      <c r="A560" s="189"/>
      <c r="B560" s="190"/>
      <c r="C560" s="191"/>
      <c r="D560" s="192"/>
      <c r="E560" s="192"/>
      <c r="F560" s="192"/>
      <c r="G560" s="183"/>
      <c r="H560" s="193"/>
      <c r="I560" s="183"/>
      <c r="J560" s="173"/>
    </row>
    <row r="561">
      <c r="A561" s="189"/>
      <c r="B561" s="190"/>
      <c r="C561" s="191"/>
      <c r="D561" s="192"/>
      <c r="E561" s="192"/>
      <c r="F561" s="192"/>
      <c r="G561" s="183"/>
      <c r="H561" s="193"/>
      <c r="I561" s="183"/>
      <c r="J561" s="173"/>
    </row>
    <row r="562">
      <c r="A562" s="189"/>
      <c r="B562" s="190"/>
      <c r="C562" s="191"/>
      <c r="D562" s="192"/>
      <c r="E562" s="192"/>
      <c r="F562" s="192"/>
      <c r="G562" s="183"/>
      <c r="H562" s="193"/>
      <c r="I562" s="183"/>
      <c r="J562" s="173"/>
    </row>
    <row r="563">
      <c r="A563" s="189"/>
      <c r="B563" s="190"/>
      <c r="C563" s="191"/>
      <c r="D563" s="192"/>
      <c r="E563" s="192"/>
      <c r="F563" s="192"/>
      <c r="G563" s="183"/>
      <c r="H563" s="193"/>
      <c r="I563" s="183"/>
      <c r="J563" s="173"/>
    </row>
    <row r="564">
      <c r="A564" s="189"/>
      <c r="B564" s="190"/>
      <c r="C564" s="191"/>
      <c r="D564" s="192"/>
      <c r="E564" s="192"/>
      <c r="F564" s="192"/>
      <c r="G564" s="183"/>
      <c r="H564" s="193"/>
      <c r="I564" s="183"/>
      <c r="J564" s="173"/>
    </row>
    <row r="565">
      <c r="A565" s="189"/>
      <c r="B565" s="190"/>
      <c r="C565" s="191"/>
      <c r="D565" s="192"/>
      <c r="E565" s="192"/>
      <c r="F565" s="192"/>
      <c r="G565" s="183"/>
      <c r="H565" s="193"/>
      <c r="I565" s="183"/>
      <c r="J565" s="173"/>
    </row>
    <row r="566">
      <c r="A566" s="189"/>
      <c r="B566" s="190"/>
      <c r="C566" s="191"/>
      <c r="D566" s="192"/>
      <c r="E566" s="192"/>
      <c r="F566" s="192"/>
      <c r="G566" s="183"/>
      <c r="H566" s="193"/>
      <c r="I566" s="183"/>
      <c r="J566" s="173"/>
    </row>
    <row r="567">
      <c r="A567" s="189"/>
      <c r="B567" s="190"/>
      <c r="C567" s="191"/>
      <c r="D567" s="192"/>
      <c r="E567" s="192"/>
      <c r="F567" s="192"/>
      <c r="G567" s="183"/>
      <c r="H567" s="193"/>
      <c r="I567" s="183"/>
      <c r="J567" s="173"/>
    </row>
    <row r="568">
      <c r="A568" s="189"/>
      <c r="B568" s="190"/>
      <c r="C568" s="191"/>
      <c r="D568" s="192"/>
      <c r="E568" s="192"/>
      <c r="F568" s="192"/>
      <c r="G568" s="183"/>
      <c r="H568" s="193"/>
      <c r="I568" s="183"/>
      <c r="J568" s="173"/>
    </row>
    <row r="569">
      <c r="A569" s="189"/>
      <c r="B569" s="190"/>
      <c r="C569" s="191"/>
      <c r="D569" s="192"/>
      <c r="E569" s="192"/>
      <c r="F569" s="192"/>
      <c r="G569" s="183"/>
      <c r="H569" s="193"/>
      <c r="I569" s="183"/>
      <c r="J569" s="173"/>
    </row>
    <row r="570">
      <c r="A570" s="189"/>
      <c r="B570" s="190"/>
      <c r="C570" s="191"/>
      <c r="D570" s="192"/>
      <c r="E570" s="192"/>
      <c r="F570" s="192"/>
      <c r="G570" s="183"/>
      <c r="H570" s="193"/>
      <c r="I570" s="183"/>
      <c r="J570" s="173"/>
    </row>
    <row r="571">
      <c r="A571" s="189"/>
      <c r="B571" s="190"/>
      <c r="C571" s="191"/>
      <c r="D571" s="192"/>
      <c r="E571" s="192"/>
      <c r="F571" s="192"/>
      <c r="G571" s="183"/>
      <c r="H571" s="193"/>
      <c r="I571" s="183"/>
      <c r="J571" s="173"/>
    </row>
    <row r="572">
      <c r="A572" s="189"/>
      <c r="B572" s="190"/>
      <c r="C572" s="191"/>
      <c r="D572" s="192"/>
      <c r="E572" s="192"/>
      <c r="F572" s="192"/>
      <c r="G572" s="183"/>
      <c r="H572" s="193"/>
      <c r="I572" s="183"/>
      <c r="J572" s="173"/>
    </row>
    <row r="573">
      <c r="A573" s="189"/>
      <c r="B573" s="190"/>
      <c r="C573" s="191"/>
      <c r="D573" s="192"/>
      <c r="E573" s="192"/>
      <c r="F573" s="192"/>
      <c r="G573" s="183"/>
      <c r="H573" s="193"/>
      <c r="I573" s="183"/>
      <c r="J573" s="173"/>
    </row>
    <row r="574">
      <c r="A574" s="189"/>
      <c r="B574" s="190"/>
      <c r="C574" s="191"/>
      <c r="D574" s="192"/>
      <c r="E574" s="192"/>
      <c r="F574" s="192"/>
      <c r="G574" s="183"/>
      <c r="H574" s="193"/>
      <c r="I574" s="183"/>
      <c r="J574" s="173"/>
    </row>
    <row r="575">
      <c r="A575" s="189"/>
      <c r="B575" s="190"/>
      <c r="C575" s="191"/>
      <c r="D575" s="192"/>
      <c r="E575" s="192"/>
      <c r="F575" s="192"/>
      <c r="G575" s="183"/>
      <c r="H575" s="193"/>
      <c r="I575" s="183"/>
      <c r="J575" s="173"/>
    </row>
    <row r="576">
      <c r="A576" s="189"/>
      <c r="B576" s="190"/>
      <c r="C576" s="191"/>
      <c r="D576" s="192"/>
      <c r="E576" s="192"/>
      <c r="F576" s="192"/>
      <c r="G576" s="183"/>
      <c r="H576" s="193"/>
      <c r="I576" s="183"/>
      <c r="J576" s="173"/>
    </row>
    <row r="577">
      <c r="A577" s="189"/>
      <c r="B577" s="190"/>
      <c r="C577" s="191"/>
      <c r="D577" s="192"/>
      <c r="E577" s="192"/>
      <c r="F577" s="192"/>
      <c r="G577" s="183"/>
      <c r="H577" s="193"/>
      <c r="I577" s="183"/>
      <c r="J577" s="173"/>
    </row>
    <row r="578">
      <c r="A578" s="189"/>
      <c r="B578" s="190"/>
      <c r="C578" s="191"/>
      <c r="D578" s="192"/>
      <c r="E578" s="192"/>
      <c r="F578" s="192"/>
      <c r="G578" s="183"/>
      <c r="H578" s="193"/>
      <c r="I578" s="183"/>
      <c r="J578" s="173"/>
    </row>
    <row r="579">
      <c r="A579" s="189"/>
      <c r="B579" s="190"/>
      <c r="C579" s="191"/>
      <c r="D579" s="192"/>
      <c r="E579" s="192"/>
      <c r="F579" s="192"/>
      <c r="G579" s="183"/>
      <c r="H579" s="193"/>
      <c r="I579" s="183"/>
      <c r="J579" s="173"/>
    </row>
    <row r="580">
      <c r="A580" s="189"/>
      <c r="B580" s="190"/>
      <c r="C580" s="191"/>
      <c r="D580" s="192"/>
      <c r="E580" s="192"/>
      <c r="F580" s="192"/>
      <c r="G580" s="183"/>
      <c r="H580" s="193"/>
      <c r="I580" s="183"/>
      <c r="J580" s="173"/>
    </row>
    <row r="581">
      <c r="A581" s="189"/>
      <c r="B581" s="190"/>
      <c r="C581" s="191"/>
      <c r="D581" s="192"/>
      <c r="E581" s="192"/>
      <c r="F581" s="192"/>
      <c r="G581" s="183"/>
      <c r="H581" s="193"/>
      <c r="I581" s="183"/>
      <c r="J581" s="173"/>
    </row>
    <row r="582">
      <c r="A582" s="189"/>
      <c r="B582" s="190"/>
      <c r="C582" s="191"/>
      <c r="D582" s="192"/>
      <c r="E582" s="192"/>
      <c r="F582" s="192"/>
      <c r="G582" s="183"/>
      <c r="H582" s="193"/>
      <c r="I582" s="183"/>
      <c r="J582" s="173"/>
    </row>
    <row r="583">
      <c r="A583" s="189"/>
      <c r="B583" s="190"/>
      <c r="C583" s="191"/>
      <c r="D583" s="192"/>
      <c r="E583" s="192"/>
      <c r="F583" s="192"/>
      <c r="G583" s="183"/>
      <c r="H583" s="193"/>
      <c r="I583" s="183"/>
      <c r="J583" s="173"/>
    </row>
    <row r="584">
      <c r="A584" s="189"/>
      <c r="B584" s="190"/>
      <c r="C584" s="191"/>
      <c r="D584" s="192"/>
      <c r="E584" s="192"/>
      <c r="F584" s="192"/>
      <c r="G584" s="183"/>
      <c r="H584" s="193"/>
      <c r="I584" s="183"/>
      <c r="J584" s="173"/>
    </row>
    <row r="585">
      <c r="A585" s="189"/>
      <c r="B585" s="190"/>
      <c r="C585" s="191"/>
      <c r="D585" s="192"/>
      <c r="E585" s="192"/>
      <c r="F585" s="192"/>
      <c r="G585" s="183"/>
      <c r="H585" s="193"/>
      <c r="I585" s="183"/>
      <c r="J585" s="173"/>
    </row>
    <row r="586">
      <c r="A586" s="189"/>
      <c r="B586" s="190"/>
      <c r="C586" s="191"/>
      <c r="D586" s="192"/>
      <c r="E586" s="192"/>
      <c r="F586" s="192"/>
      <c r="G586" s="183"/>
      <c r="H586" s="193"/>
      <c r="I586" s="183"/>
      <c r="J586" s="173"/>
    </row>
    <row r="587">
      <c r="A587" s="189"/>
      <c r="B587" s="190"/>
      <c r="C587" s="191"/>
      <c r="D587" s="192"/>
      <c r="E587" s="192"/>
      <c r="F587" s="192"/>
      <c r="G587" s="183"/>
      <c r="H587" s="193"/>
      <c r="I587" s="183"/>
      <c r="J587" s="173"/>
    </row>
    <row r="588">
      <c r="A588" s="189"/>
      <c r="B588" s="190"/>
      <c r="C588" s="191"/>
      <c r="D588" s="192"/>
      <c r="E588" s="192"/>
      <c r="F588" s="192"/>
      <c r="G588" s="183"/>
      <c r="H588" s="193"/>
      <c r="I588" s="183"/>
      <c r="J588" s="173"/>
    </row>
    <row r="589">
      <c r="A589" s="189"/>
      <c r="B589" s="190"/>
      <c r="C589" s="191"/>
      <c r="D589" s="192"/>
      <c r="E589" s="192"/>
      <c r="F589" s="192"/>
      <c r="G589" s="183"/>
      <c r="H589" s="193"/>
      <c r="I589" s="183"/>
      <c r="J589" s="173"/>
    </row>
    <row r="590">
      <c r="A590" s="189"/>
      <c r="B590" s="190"/>
      <c r="C590" s="191"/>
      <c r="D590" s="192"/>
      <c r="E590" s="192"/>
      <c r="F590" s="192"/>
      <c r="G590" s="183"/>
      <c r="H590" s="193"/>
      <c r="I590" s="183"/>
      <c r="J590" s="173"/>
    </row>
    <row r="591">
      <c r="A591" s="189"/>
      <c r="B591" s="190"/>
      <c r="C591" s="191"/>
      <c r="D591" s="192"/>
      <c r="E591" s="192"/>
      <c r="F591" s="192"/>
      <c r="G591" s="183"/>
      <c r="H591" s="193"/>
      <c r="I591" s="183"/>
      <c r="J591" s="173"/>
    </row>
    <row r="592">
      <c r="A592" s="189"/>
      <c r="B592" s="190"/>
      <c r="C592" s="191"/>
      <c r="D592" s="192"/>
      <c r="E592" s="192"/>
      <c r="F592" s="192"/>
      <c r="G592" s="183"/>
      <c r="H592" s="193"/>
      <c r="I592" s="183"/>
      <c r="J592" s="173"/>
    </row>
    <row r="593">
      <c r="A593" s="189"/>
      <c r="B593" s="190"/>
      <c r="C593" s="191"/>
      <c r="D593" s="192"/>
      <c r="E593" s="192"/>
      <c r="F593" s="192"/>
      <c r="G593" s="183"/>
      <c r="H593" s="193"/>
      <c r="I593" s="183"/>
      <c r="J593" s="173"/>
    </row>
    <row r="594">
      <c r="A594" s="189"/>
      <c r="B594" s="190"/>
      <c r="C594" s="191"/>
      <c r="D594" s="192"/>
      <c r="E594" s="192"/>
      <c r="F594" s="192"/>
      <c r="G594" s="183"/>
      <c r="H594" s="193"/>
      <c r="I594" s="183"/>
      <c r="J594" s="173"/>
    </row>
    <row r="595">
      <c r="A595" s="189"/>
      <c r="B595" s="190"/>
      <c r="C595" s="191"/>
      <c r="D595" s="192"/>
      <c r="E595" s="192"/>
      <c r="F595" s="192"/>
      <c r="G595" s="183"/>
      <c r="H595" s="193"/>
      <c r="I595" s="183"/>
      <c r="J595" s="173"/>
    </row>
    <row r="596">
      <c r="A596" s="189"/>
      <c r="B596" s="190"/>
      <c r="C596" s="191"/>
      <c r="D596" s="192"/>
      <c r="E596" s="192"/>
      <c r="F596" s="192"/>
      <c r="G596" s="183"/>
      <c r="H596" s="193"/>
      <c r="I596" s="183"/>
      <c r="J596" s="173"/>
    </row>
    <row r="597">
      <c r="A597" s="189"/>
      <c r="B597" s="190"/>
      <c r="C597" s="191"/>
      <c r="D597" s="192"/>
      <c r="E597" s="192"/>
      <c r="F597" s="192"/>
      <c r="G597" s="183"/>
      <c r="H597" s="193"/>
      <c r="I597" s="183"/>
      <c r="J597" s="173"/>
    </row>
    <row r="598">
      <c r="A598" s="189"/>
      <c r="B598" s="190"/>
      <c r="C598" s="191"/>
      <c r="D598" s="192"/>
      <c r="E598" s="192"/>
      <c r="F598" s="192"/>
      <c r="G598" s="183"/>
      <c r="H598" s="193"/>
      <c r="I598" s="183"/>
      <c r="J598" s="173"/>
    </row>
    <row r="599">
      <c r="A599" s="189"/>
      <c r="B599" s="190"/>
      <c r="C599" s="191"/>
      <c r="D599" s="192"/>
      <c r="E599" s="192"/>
      <c r="F599" s="192"/>
      <c r="G599" s="183"/>
      <c r="H599" s="193"/>
      <c r="I599" s="183"/>
      <c r="J599" s="173"/>
    </row>
    <row r="600">
      <c r="A600" s="189"/>
      <c r="B600" s="190"/>
      <c r="C600" s="191"/>
      <c r="D600" s="192"/>
      <c r="E600" s="192"/>
      <c r="F600" s="192"/>
      <c r="G600" s="183"/>
      <c r="H600" s="193"/>
      <c r="I600" s="183"/>
      <c r="J600" s="173"/>
    </row>
    <row r="601">
      <c r="A601" s="189"/>
      <c r="B601" s="190"/>
      <c r="C601" s="191"/>
      <c r="D601" s="192"/>
      <c r="E601" s="192"/>
      <c r="F601" s="192"/>
      <c r="G601" s="183"/>
      <c r="H601" s="193"/>
      <c r="I601" s="183"/>
      <c r="J601" s="173"/>
    </row>
    <row r="602">
      <c r="A602" s="189"/>
      <c r="B602" s="190"/>
      <c r="C602" s="191"/>
      <c r="D602" s="192"/>
      <c r="E602" s="192"/>
      <c r="F602" s="192"/>
      <c r="G602" s="183"/>
      <c r="H602" s="193"/>
      <c r="I602" s="183"/>
      <c r="J602" s="173"/>
    </row>
    <row r="603">
      <c r="A603" s="189"/>
      <c r="B603" s="190"/>
      <c r="C603" s="191"/>
      <c r="D603" s="192"/>
      <c r="E603" s="192"/>
      <c r="F603" s="192"/>
      <c r="G603" s="183"/>
      <c r="H603" s="193"/>
      <c r="I603" s="183"/>
      <c r="J603" s="173"/>
    </row>
    <row r="604">
      <c r="A604" s="189"/>
      <c r="B604" s="190"/>
      <c r="C604" s="191"/>
      <c r="D604" s="192"/>
      <c r="E604" s="192"/>
      <c r="F604" s="192"/>
      <c r="G604" s="183"/>
      <c r="H604" s="193"/>
      <c r="I604" s="183"/>
      <c r="J604" s="173"/>
    </row>
    <row r="605">
      <c r="A605" s="189"/>
      <c r="B605" s="190"/>
      <c r="C605" s="191"/>
      <c r="D605" s="192"/>
      <c r="E605" s="192"/>
      <c r="F605" s="192"/>
      <c r="G605" s="183"/>
      <c r="H605" s="193"/>
      <c r="I605" s="183"/>
      <c r="J605" s="173"/>
    </row>
    <row r="606">
      <c r="A606" s="189"/>
      <c r="B606" s="190"/>
      <c r="C606" s="191"/>
      <c r="D606" s="192"/>
      <c r="E606" s="192"/>
      <c r="F606" s="192"/>
      <c r="G606" s="183"/>
      <c r="H606" s="193"/>
      <c r="I606" s="183"/>
      <c r="J606" s="173"/>
    </row>
    <row r="607">
      <c r="A607" s="189"/>
      <c r="B607" s="190"/>
      <c r="C607" s="191"/>
      <c r="D607" s="192"/>
      <c r="E607" s="192"/>
      <c r="F607" s="192"/>
      <c r="G607" s="183"/>
      <c r="H607" s="193"/>
      <c r="I607" s="183"/>
      <c r="J607" s="173"/>
    </row>
    <row r="608">
      <c r="A608" s="189"/>
      <c r="B608" s="190"/>
      <c r="C608" s="191"/>
      <c r="D608" s="192"/>
      <c r="E608" s="192"/>
      <c r="F608" s="192"/>
      <c r="G608" s="183"/>
      <c r="H608" s="193"/>
      <c r="I608" s="183"/>
      <c r="J608" s="173"/>
    </row>
    <row r="609">
      <c r="A609" s="189"/>
      <c r="B609" s="190"/>
      <c r="C609" s="191"/>
      <c r="D609" s="192"/>
      <c r="E609" s="192"/>
      <c r="F609" s="192"/>
      <c r="G609" s="183"/>
      <c r="H609" s="193"/>
      <c r="I609" s="183"/>
      <c r="J609" s="173"/>
    </row>
    <row r="610">
      <c r="A610" s="189"/>
      <c r="B610" s="190"/>
      <c r="C610" s="191"/>
      <c r="D610" s="192"/>
      <c r="E610" s="192"/>
      <c r="F610" s="192"/>
      <c r="G610" s="183"/>
      <c r="H610" s="193"/>
      <c r="I610" s="183"/>
      <c r="J610" s="173"/>
    </row>
    <row r="611">
      <c r="A611" s="189"/>
      <c r="B611" s="190"/>
      <c r="C611" s="191"/>
      <c r="D611" s="192"/>
      <c r="E611" s="192"/>
      <c r="F611" s="192"/>
      <c r="G611" s="183"/>
      <c r="H611" s="193"/>
      <c r="I611" s="183"/>
      <c r="J611" s="173"/>
    </row>
    <row r="612">
      <c r="A612" s="189"/>
      <c r="B612" s="190"/>
      <c r="C612" s="191"/>
      <c r="D612" s="192"/>
      <c r="E612" s="192"/>
      <c r="F612" s="192"/>
      <c r="G612" s="183"/>
      <c r="H612" s="193"/>
      <c r="I612" s="183"/>
      <c r="J612" s="173"/>
    </row>
    <row r="613">
      <c r="A613" s="189"/>
      <c r="B613" s="190"/>
      <c r="C613" s="191"/>
      <c r="D613" s="192"/>
      <c r="E613" s="192"/>
      <c r="F613" s="192"/>
      <c r="G613" s="183"/>
      <c r="H613" s="193"/>
      <c r="I613" s="183"/>
      <c r="J613" s="173"/>
    </row>
    <row r="614">
      <c r="A614" s="189"/>
      <c r="B614" s="190"/>
      <c r="C614" s="191"/>
      <c r="D614" s="192"/>
      <c r="E614" s="192"/>
      <c r="F614" s="192"/>
      <c r="G614" s="183"/>
      <c r="H614" s="193"/>
      <c r="I614" s="183"/>
      <c r="J614" s="173"/>
    </row>
    <row r="615">
      <c r="A615" s="189"/>
      <c r="B615" s="190"/>
      <c r="C615" s="191"/>
      <c r="D615" s="192"/>
      <c r="E615" s="192"/>
      <c r="F615" s="192"/>
      <c r="G615" s="183"/>
      <c r="H615" s="193"/>
      <c r="I615" s="183"/>
      <c r="J615" s="173"/>
    </row>
    <row r="616">
      <c r="A616" s="189"/>
      <c r="B616" s="190"/>
      <c r="C616" s="191"/>
      <c r="D616" s="192"/>
      <c r="E616" s="192"/>
      <c r="F616" s="192"/>
      <c r="G616" s="183"/>
      <c r="H616" s="193"/>
      <c r="I616" s="183"/>
      <c r="J616" s="173"/>
    </row>
    <row r="617">
      <c r="A617" s="189"/>
      <c r="B617" s="190"/>
      <c r="C617" s="191"/>
      <c r="D617" s="192"/>
      <c r="E617" s="192"/>
      <c r="F617" s="192"/>
      <c r="G617" s="183"/>
      <c r="H617" s="193"/>
      <c r="I617" s="183"/>
      <c r="J617" s="173"/>
    </row>
    <row r="618">
      <c r="A618" s="189"/>
      <c r="B618" s="190"/>
      <c r="C618" s="191"/>
      <c r="D618" s="192"/>
      <c r="E618" s="192"/>
      <c r="F618" s="192"/>
      <c r="G618" s="183"/>
      <c r="H618" s="193"/>
      <c r="I618" s="183"/>
      <c r="J618" s="173"/>
    </row>
    <row r="619">
      <c r="A619" s="189"/>
      <c r="B619" s="190"/>
      <c r="C619" s="191"/>
      <c r="D619" s="192"/>
      <c r="E619" s="192"/>
      <c r="F619" s="192"/>
      <c r="G619" s="183"/>
      <c r="H619" s="193"/>
      <c r="I619" s="183"/>
      <c r="J619" s="173"/>
    </row>
    <row r="620">
      <c r="A620" s="189"/>
      <c r="B620" s="190"/>
      <c r="C620" s="191"/>
      <c r="D620" s="192"/>
      <c r="E620" s="192"/>
      <c r="F620" s="192"/>
      <c r="G620" s="183"/>
      <c r="H620" s="193"/>
      <c r="I620" s="183"/>
      <c r="J620" s="173"/>
    </row>
    <row r="621">
      <c r="A621" s="189"/>
      <c r="B621" s="190"/>
      <c r="C621" s="191"/>
      <c r="D621" s="192"/>
      <c r="E621" s="192"/>
      <c r="F621" s="192"/>
      <c r="G621" s="183"/>
      <c r="H621" s="193"/>
      <c r="I621" s="183"/>
      <c r="J621" s="173"/>
    </row>
    <row r="622">
      <c r="A622" s="189"/>
      <c r="B622" s="190"/>
      <c r="C622" s="191"/>
      <c r="D622" s="192"/>
      <c r="E622" s="192"/>
      <c r="F622" s="192"/>
      <c r="G622" s="183"/>
      <c r="H622" s="193"/>
      <c r="I622" s="183"/>
      <c r="J622" s="173"/>
    </row>
    <row r="623">
      <c r="A623" s="189"/>
      <c r="B623" s="190"/>
      <c r="C623" s="191"/>
      <c r="D623" s="192"/>
      <c r="E623" s="192"/>
      <c r="F623" s="192"/>
      <c r="G623" s="183"/>
      <c r="H623" s="193"/>
      <c r="I623" s="183"/>
      <c r="J623" s="173"/>
    </row>
    <row r="624">
      <c r="A624" s="189"/>
      <c r="B624" s="190"/>
      <c r="C624" s="191"/>
      <c r="D624" s="192"/>
      <c r="E624" s="192"/>
      <c r="F624" s="192"/>
      <c r="G624" s="183"/>
      <c r="H624" s="193"/>
      <c r="I624" s="183"/>
      <c r="J624" s="173"/>
    </row>
    <row r="625">
      <c r="A625" s="189"/>
      <c r="B625" s="190"/>
      <c r="C625" s="191"/>
      <c r="D625" s="192"/>
      <c r="E625" s="192"/>
      <c r="F625" s="192"/>
      <c r="G625" s="183"/>
      <c r="H625" s="193"/>
      <c r="I625" s="183"/>
      <c r="J625" s="173"/>
    </row>
    <row r="626">
      <c r="A626" s="189"/>
      <c r="B626" s="190"/>
      <c r="C626" s="191"/>
      <c r="D626" s="192"/>
      <c r="E626" s="192"/>
      <c r="F626" s="192"/>
      <c r="G626" s="183"/>
      <c r="H626" s="193"/>
      <c r="I626" s="183"/>
      <c r="J626" s="173"/>
    </row>
    <row r="627">
      <c r="A627" s="189"/>
      <c r="B627" s="190"/>
      <c r="C627" s="191"/>
      <c r="D627" s="192"/>
      <c r="E627" s="192"/>
      <c r="F627" s="192"/>
      <c r="G627" s="183"/>
      <c r="H627" s="193"/>
      <c r="I627" s="183"/>
      <c r="J627" s="173"/>
    </row>
    <row r="628">
      <c r="A628" s="189"/>
      <c r="B628" s="190"/>
      <c r="C628" s="191"/>
      <c r="D628" s="192"/>
      <c r="E628" s="192"/>
      <c r="F628" s="192"/>
      <c r="G628" s="183"/>
      <c r="H628" s="193"/>
      <c r="I628" s="183"/>
      <c r="J628" s="173"/>
    </row>
    <row r="629">
      <c r="A629" s="189"/>
      <c r="B629" s="190"/>
      <c r="C629" s="191"/>
      <c r="D629" s="192"/>
      <c r="E629" s="192"/>
      <c r="F629" s="192"/>
      <c r="G629" s="183"/>
      <c r="H629" s="193"/>
      <c r="I629" s="183"/>
      <c r="J629" s="173"/>
    </row>
    <row r="630">
      <c r="A630" s="189"/>
      <c r="B630" s="190"/>
      <c r="C630" s="191"/>
      <c r="D630" s="192"/>
      <c r="E630" s="192"/>
      <c r="F630" s="192"/>
      <c r="G630" s="183"/>
      <c r="H630" s="193"/>
      <c r="I630" s="183"/>
      <c r="J630" s="173"/>
    </row>
    <row r="631">
      <c r="A631" s="189"/>
      <c r="B631" s="190"/>
      <c r="C631" s="191"/>
      <c r="D631" s="192"/>
      <c r="E631" s="192"/>
      <c r="F631" s="192"/>
      <c r="G631" s="183"/>
      <c r="H631" s="193"/>
      <c r="I631" s="183"/>
      <c r="J631" s="173"/>
    </row>
    <row r="632">
      <c r="A632" s="189"/>
      <c r="B632" s="190"/>
      <c r="C632" s="191"/>
      <c r="D632" s="192"/>
      <c r="E632" s="192"/>
      <c r="F632" s="192"/>
      <c r="G632" s="183"/>
      <c r="H632" s="193"/>
      <c r="I632" s="183"/>
      <c r="J632" s="173"/>
    </row>
    <row r="633">
      <c r="A633" s="189"/>
      <c r="B633" s="190"/>
      <c r="C633" s="191"/>
      <c r="D633" s="192"/>
      <c r="E633" s="192"/>
      <c r="F633" s="192"/>
      <c r="G633" s="183"/>
      <c r="H633" s="193"/>
      <c r="I633" s="183"/>
      <c r="J633" s="173"/>
    </row>
    <row r="634">
      <c r="A634" s="189"/>
      <c r="B634" s="190"/>
      <c r="C634" s="191"/>
      <c r="D634" s="192"/>
      <c r="E634" s="192"/>
      <c r="F634" s="192"/>
      <c r="G634" s="183"/>
      <c r="H634" s="193"/>
      <c r="I634" s="183"/>
      <c r="J634" s="173"/>
    </row>
    <row r="635">
      <c r="A635" s="189"/>
      <c r="B635" s="190"/>
      <c r="C635" s="191"/>
      <c r="D635" s="192"/>
      <c r="E635" s="192"/>
      <c r="F635" s="192"/>
      <c r="G635" s="183"/>
      <c r="H635" s="193"/>
      <c r="I635" s="183"/>
      <c r="J635" s="173"/>
    </row>
    <row r="636">
      <c r="A636" s="189"/>
      <c r="B636" s="190"/>
      <c r="C636" s="191"/>
      <c r="D636" s="192"/>
      <c r="E636" s="192"/>
      <c r="F636" s="192"/>
      <c r="G636" s="183"/>
      <c r="H636" s="193"/>
      <c r="I636" s="183"/>
      <c r="J636" s="173"/>
    </row>
    <row r="637">
      <c r="A637" s="189"/>
      <c r="B637" s="190"/>
      <c r="C637" s="191"/>
      <c r="D637" s="192"/>
      <c r="E637" s="192"/>
      <c r="F637" s="192"/>
      <c r="G637" s="183"/>
      <c r="H637" s="193"/>
      <c r="I637" s="183"/>
      <c r="J637" s="173"/>
    </row>
    <row r="638">
      <c r="A638" s="189"/>
      <c r="B638" s="190"/>
      <c r="C638" s="191"/>
      <c r="D638" s="192"/>
      <c r="E638" s="192"/>
      <c r="F638" s="192"/>
      <c r="G638" s="183"/>
      <c r="H638" s="193"/>
      <c r="I638" s="183"/>
      <c r="J638" s="173"/>
    </row>
    <row r="639">
      <c r="A639" s="189"/>
      <c r="B639" s="190"/>
      <c r="C639" s="191"/>
      <c r="D639" s="192"/>
      <c r="E639" s="192"/>
      <c r="F639" s="192"/>
      <c r="G639" s="183"/>
      <c r="H639" s="193"/>
      <c r="I639" s="183"/>
      <c r="J639" s="173"/>
    </row>
    <row r="640">
      <c r="A640" s="189"/>
      <c r="B640" s="190"/>
      <c r="C640" s="191"/>
      <c r="D640" s="192"/>
      <c r="E640" s="192"/>
      <c r="F640" s="192"/>
      <c r="G640" s="183"/>
      <c r="H640" s="193"/>
      <c r="I640" s="183"/>
      <c r="J640" s="173"/>
    </row>
    <row r="641">
      <c r="A641" s="189"/>
      <c r="B641" s="190"/>
      <c r="C641" s="191"/>
      <c r="D641" s="192"/>
      <c r="E641" s="192"/>
      <c r="F641" s="192"/>
      <c r="G641" s="183"/>
      <c r="H641" s="193"/>
      <c r="I641" s="183"/>
      <c r="J641" s="173"/>
    </row>
    <row r="642">
      <c r="A642" s="189"/>
      <c r="B642" s="190"/>
      <c r="C642" s="191"/>
      <c r="D642" s="192"/>
      <c r="E642" s="192"/>
      <c r="F642" s="192"/>
      <c r="G642" s="183"/>
      <c r="H642" s="193"/>
      <c r="I642" s="183"/>
      <c r="J642" s="173"/>
    </row>
    <row r="643">
      <c r="A643" s="189"/>
      <c r="B643" s="190"/>
      <c r="C643" s="191"/>
      <c r="D643" s="192"/>
      <c r="E643" s="192"/>
      <c r="F643" s="192"/>
      <c r="G643" s="183"/>
      <c r="H643" s="193"/>
      <c r="I643" s="183"/>
      <c r="J643" s="173"/>
    </row>
    <row r="644">
      <c r="A644" s="189"/>
      <c r="B644" s="190"/>
      <c r="C644" s="191"/>
      <c r="D644" s="192"/>
      <c r="E644" s="192"/>
      <c r="F644" s="192"/>
      <c r="G644" s="183"/>
      <c r="H644" s="193"/>
      <c r="I644" s="183"/>
      <c r="J644" s="173"/>
    </row>
    <row r="645">
      <c r="A645" s="189"/>
      <c r="B645" s="190"/>
      <c r="C645" s="191"/>
      <c r="D645" s="192"/>
      <c r="E645" s="192"/>
      <c r="F645" s="192"/>
      <c r="G645" s="183"/>
      <c r="H645" s="193"/>
      <c r="I645" s="183"/>
      <c r="J645" s="173"/>
    </row>
    <row r="646">
      <c r="A646" s="189"/>
      <c r="B646" s="190"/>
      <c r="C646" s="191"/>
      <c r="D646" s="192"/>
      <c r="E646" s="192"/>
      <c r="F646" s="192"/>
      <c r="G646" s="183"/>
      <c r="H646" s="193"/>
      <c r="I646" s="183"/>
      <c r="J646" s="173"/>
    </row>
    <row r="647">
      <c r="A647" s="189"/>
      <c r="B647" s="190"/>
      <c r="C647" s="191"/>
      <c r="D647" s="192"/>
      <c r="E647" s="192"/>
      <c r="F647" s="192"/>
      <c r="G647" s="183"/>
      <c r="H647" s="193"/>
      <c r="I647" s="183"/>
      <c r="J647" s="173"/>
    </row>
    <row r="648">
      <c r="A648" s="189"/>
      <c r="B648" s="190"/>
      <c r="C648" s="191"/>
      <c r="D648" s="192"/>
      <c r="E648" s="192"/>
      <c r="F648" s="192"/>
      <c r="G648" s="183"/>
      <c r="H648" s="193"/>
      <c r="I648" s="183"/>
      <c r="J648" s="173"/>
    </row>
    <row r="649">
      <c r="A649" s="189"/>
      <c r="B649" s="190"/>
      <c r="C649" s="191"/>
      <c r="D649" s="192"/>
      <c r="E649" s="192"/>
      <c r="F649" s="192"/>
      <c r="G649" s="183"/>
      <c r="H649" s="193"/>
      <c r="I649" s="183"/>
      <c r="J649" s="173"/>
    </row>
    <row r="650">
      <c r="A650" s="189"/>
      <c r="B650" s="190"/>
      <c r="C650" s="191"/>
      <c r="D650" s="192"/>
      <c r="E650" s="192"/>
      <c r="F650" s="192"/>
      <c r="G650" s="183"/>
      <c r="H650" s="193"/>
      <c r="I650" s="183"/>
      <c r="J650" s="173"/>
    </row>
    <row r="651">
      <c r="A651" s="189"/>
      <c r="B651" s="190"/>
      <c r="C651" s="191"/>
      <c r="D651" s="192"/>
      <c r="E651" s="192"/>
      <c r="F651" s="192"/>
      <c r="G651" s="183"/>
      <c r="H651" s="193"/>
      <c r="I651" s="183"/>
      <c r="J651" s="173"/>
    </row>
    <row r="652">
      <c r="A652" s="189"/>
      <c r="B652" s="190"/>
      <c r="C652" s="191"/>
      <c r="D652" s="192"/>
      <c r="E652" s="192"/>
      <c r="F652" s="192"/>
      <c r="G652" s="183"/>
      <c r="H652" s="193"/>
      <c r="I652" s="183"/>
      <c r="J652" s="173"/>
    </row>
    <row r="653">
      <c r="A653" s="189"/>
      <c r="B653" s="190"/>
      <c r="C653" s="191"/>
      <c r="D653" s="192"/>
      <c r="E653" s="192"/>
      <c r="F653" s="192"/>
      <c r="G653" s="183"/>
      <c r="H653" s="193"/>
      <c r="I653" s="183"/>
      <c r="J653" s="173"/>
    </row>
    <row r="654">
      <c r="A654" s="189"/>
      <c r="B654" s="190"/>
      <c r="C654" s="191"/>
      <c r="D654" s="192"/>
      <c r="E654" s="192"/>
      <c r="F654" s="192"/>
      <c r="G654" s="183"/>
      <c r="H654" s="193"/>
      <c r="I654" s="183"/>
      <c r="J654" s="173"/>
    </row>
    <row r="655">
      <c r="A655" s="189"/>
      <c r="B655" s="190"/>
      <c r="C655" s="191"/>
      <c r="D655" s="192"/>
      <c r="E655" s="192"/>
      <c r="F655" s="192"/>
      <c r="G655" s="183"/>
      <c r="H655" s="193"/>
      <c r="I655" s="183"/>
      <c r="J655" s="173"/>
    </row>
    <row r="656">
      <c r="A656" s="189"/>
      <c r="B656" s="190"/>
      <c r="C656" s="191"/>
      <c r="D656" s="192"/>
      <c r="E656" s="192"/>
      <c r="F656" s="192"/>
      <c r="G656" s="183"/>
      <c r="H656" s="193"/>
      <c r="I656" s="183"/>
      <c r="J656" s="173"/>
    </row>
    <row r="657">
      <c r="A657" s="189"/>
      <c r="B657" s="190"/>
      <c r="C657" s="191"/>
      <c r="D657" s="192"/>
      <c r="E657" s="192"/>
      <c r="F657" s="192"/>
      <c r="G657" s="183"/>
      <c r="H657" s="193"/>
      <c r="I657" s="183"/>
      <c r="J657" s="173"/>
    </row>
    <row r="658">
      <c r="A658" s="189"/>
      <c r="B658" s="190"/>
      <c r="C658" s="191"/>
      <c r="D658" s="192"/>
      <c r="E658" s="192"/>
      <c r="F658" s="192"/>
      <c r="G658" s="183"/>
      <c r="H658" s="193"/>
      <c r="I658" s="183"/>
      <c r="J658" s="173"/>
    </row>
    <row r="659">
      <c r="A659" s="189"/>
      <c r="B659" s="190"/>
      <c r="C659" s="191"/>
      <c r="D659" s="192"/>
      <c r="E659" s="192"/>
      <c r="F659" s="192"/>
      <c r="G659" s="183"/>
      <c r="H659" s="193"/>
      <c r="I659" s="183"/>
      <c r="J659" s="173"/>
    </row>
    <row r="660">
      <c r="A660" s="189"/>
      <c r="B660" s="190"/>
      <c r="C660" s="191"/>
      <c r="D660" s="192"/>
      <c r="E660" s="192"/>
      <c r="F660" s="192"/>
      <c r="G660" s="183"/>
      <c r="H660" s="193"/>
      <c r="I660" s="183"/>
      <c r="J660" s="173"/>
    </row>
    <row r="661">
      <c r="A661" s="189"/>
      <c r="B661" s="190"/>
      <c r="C661" s="191"/>
      <c r="D661" s="192"/>
      <c r="E661" s="192"/>
      <c r="F661" s="192"/>
      <c r="G661" s="183"/>
      <c r="H661" s="193"/>
      <c r="I661" s="183"/>
      <c r="J661" s="173"/>
    </row>
    <row r="662">
      <c r="A662" s="189"/>
      <c r="B662" s="190"/>
      <c r="C662" s="191"/>
      <c r="D662" s="192"/>
      <c r="E662" s="192"/>
      <c r="F662" s="192"/>
      <c r="G662" s="183"/>
      <c r="H662" s="193"/>
      <c r="I662" s="183"/>
      <c r="J662" s="173"/>
    </row>
    <row r="663">
      <c r="A663" s="189"/>
      <c r="B663" s="190"/>
      <c r="C663" s="191"/>
      <c r="D663" s="192"/>
      <c r="E663" s="192"/>
      <c r="F663" s="192"/>
      <c r="G663" s="183"/>
      <c r="H663" s="193"/>
      <c r="I663" s="183"/>
      <c r="J663" s="173"/>
    </row>
    <row r="664">
      <c r="A664" s="189"/>
      <c r="B664" s="190"/>
      <c r="C664" s="191"/>
      <c r="D664" s="192"/>
      <c r="E664" s="192"/>
      <c r="F664" s="192"/>
      <c r="G664" s="183"/>
      <c r="H664" s="193"/>
      <c r="I664" s="183"/>
      <c r="J664" s="173"/>
    </row>
    <row r="665">
      <c r="A665" s="189"/>
      <c r="B665" s="190"/>
      <c r="C665" s="191"/>
      <c r="D665" s="192"/>
      <c r="E665" s="192"/>
      <c r="F665" s="192"/>
      <c r="G665" s="183"/>
      <c r="H665" s="193"/>
      <c r="I665" s="183"/>
      <c r="J665" s="173"/>
    </row>
    <row r="666">
      <c r="A666" s="189"/>
      <c r="B666" s="190"/>
      <c r="C666" s="191"/>
      <c r="D666" s="192"/>
      <c r="E666" s="192"/>
      <c r="F666" s="192"/>
      <c r="G666" s="183"/>
      <c r="H666" s="193"/>
      <c r="I666" s="183"/>
      <c r="J666" s="173"/>
    </row>
    <row r="667">
      <c r="A667" s="189"/>
      <c r="B667" s="190"/>
      <c r="C667" s="191"/>
      <c r="D667" s="192"/>
      <c r="E667" s="192"/>
      <c r="F667" s="192"/>
      <c r="G667" s="183"/>
      <c r="H667" s="193"/>
      <c r="I667" s="183"/>
      <c r="J667" s="173"/>
    </row>
    <row r="668">
      <c r="A668" s="189"/>
      <c r="B668" s="190"/>
      <c r="C668" s="191"/>
      <c r="D668" s="192"/>
      <c r="E668" s="192"/>
      <c r="F668" s="192"/>
      <c r="G668" s="183"/>
      <c r="H668" s="193"/>
      <c r="I668" s="183"/>
      <c r="J668" s="173"/>
    </row>
    <row r="669">
      <c r="A669" s="189"/>
      <c r="B669" s="190"/>
      <c r="C669" s="191"/>
      <c r="D669" s="192"/>
      <c r="E669" s="192"/>
      <c r="F669" s="192"/>
      <c r="G669" s="183"/>
      <c r="H669" s="193"/>
      <c r="I669" s="183"/>
      <c r="J669" s="173"/>
    </row>
    <row r="670">
      <c r="A670" s="189"/>
      <c r="B670" s="190"/>
      <c r="C670" s="191"/>
      <c r="D670" s="192"/>
      <c r="E670" s="192"/>
      <c r="F670" s="192"/>
      <c r="G670" s="183"/>
      <c r="H670" s="193"/>
      <c r="I670" s="183"/>
      <c r="J670" s="173"/>
    </row>
    <row r="671">
      <c r="A671" s="189"/>
      <c r="B671" s="190"/>
      <c r="C671" s="191"/>
      <c r="D671" s="192"/>
      <c r="E671" s="192"/>
      <c r="F671" s="192"/>
      <c r="G671" s="183"/>
      <c r="H671" s="193"/>
      <c r="I671" s="183"/>
      <c r="J671" s="173"/>
    </row>
    <row r="672">
      <c r="A672" s="189"/>
      <c r="B672" s="190"/>
      <c r="C672" s="191"/>
      <c r="D672" s="192"/>
      <c r="E672" s="192"/>
      <c r="F672" s="192"/>
      <c r="G672" s="183"/>
      <c r="H672" s="193"/>
      <c r="I672" s="183"/>
      <c r="J672" s="173"/>
    </row>
    <row r="673">
      <c r="A673" s="189"/>
      <c r="B673" s="190"/>
      <c r="C673" s="191"/>
      <c r="D673" s="192"/>
      <c r="E673" s="192"/>
      <c r="F673" s="192"/>
      <c r="G673" s="183"/>
      <c r="H673" s="193"/>
      <c r="I673" s="183"/>
      <c r="J673" s="173"/>
    </row>
    <row r="674">
      <c r="A674" s="189"/>
      <c r="B674" s="190"/>
      <c r="C674" s="191"/>
      <c r="D674" s="192"/>
      <c r="E674" s="192"/>
      <c r="F674" s="192"/>
      <c r="G674" s="183"/>
      <c r="H674" s="193"/>
      <c r="I674" s="183"/>
      <c r="J674" s="173"/>
    </row>
    <row r="675">
      <c r="A675" s="189"/>
      <c r="B675" s="190"/>
      <c r="C675" s="191"/>
      <c r="D675" s="192"/>
      <c r="E675" s="192"/>
      <c r="F675" s="192"/>
      <c r="G675" s="183"/>
      <c r="H675" s="193"/>
      <c r="I675" s="183"/>
      <c r="J675" s="173"/>
    </row>
    <row r="676">
      <c r="A676" s="189"/>
      <c r="B676" s="190"/>
      <c r="C676" s="191"/>
      <c r="D676" s="192"/>
      <c r="E676" s="192"/>
      <c r="F676" s="192"/>
      <c r="G676" s="183"/>
      <c r="H676" s="193"/>
      <c r="I676" s="183"/>
      <c r="J676" s="173"/>
    </row>
    <row r="677">
      <c r="A677" s="189"/>
      <c r="B677" s="190"/>
      <c r="C677" s="191"/>
      <c r="D677" s="192"/>
      <c r="E677" s="192"/>
      <c r="F677" s="192"/>
      <c r="G677" s="183"/>
      <c r="H677" s="193"/>
      <c r="I677" s="183"/>
      <c r="J677" s="173"/>
    </row>
    <row r="678">
      <c r="A678" s="189"/>
      <c r="B678" s="190"/>
      <c r="C678" s="191"/>
      <c r="D678" s="192"/>
      <c r="E678" s="192"/>
      <c r="F678" s="192"/>
      <c r="G678" s="183"/>
      <c r="H678" s="193"/>
      <c r="I678" s="183"/>
      <c r="J678" s="173"/>
    </row>
    <row r="679">
      <c r="A679" s="189"/>
      <c r="B679" s="190"/>
      <c r="C679" s="191"/>
      <c r="D679" s="192"/>
      <c r="E679" s="192"/>
      <c r="F679" s="192"/>
      <c r="G679" s="183"/>
      <c r="H679" s="193"/>
      <c r="I679" s="183"/>
      <c r="J679" s="173"/>
    </row>
    <row r="680">
      <c r="A680" s="189"/>
      <c r="B680" s="190"/>
      <c r="C680" s="191"/>
      <c r="D680" s="192"/>
      <c r="E680" s="192"/>
      <c r="F680" s="192"/>
      <c r="G680" s="183"/>
      <c r="H680" s="193"/>
      <c r="I680" s="183"/>
      <c r="J680" s="173"/>
    </row>
    <row r="681">
      <c r="A681" s="189"/>
      <c r="B681" s="190"/>
      <c r="C681" s="191"/>
      <c r="D681" s="192"/>
      <c r="E681" s="192"/>
      <c r="F681" s="192"/>
      <c r="G681" s="183"/>
      <c r="H681" s="193"/>
      <c r="I681" s="183"/>
      <c r="J681" s="173"/>
    </row>
    <row r="682">
      <c r="A682" s="189"/>
      <c r="B682" s="190"/>
      <c r="C682" s="191"/>
      <c r="D682" s="192"/>
      <c r="E682" s="192"/>
      <c r="F682" s="192"/>
      <c r="G682" s="183"/>
      <c r="H682" s="193"/>
      <c r="I682" s="183"/>
      <c r="J682" s="173"/>
    </row>
    <row r="683">
      <c r="A683" s="189"/>
      <c r="B683" s="190"/>
      <c r="C683" s="191"/>
      <c r="D683" s="192"/>
      <c r="E683" s="192"/>
      <c r="F683" s="192"/>
      <c r="G683" s="183"/>
      <c r="H683" s="193"/>
      <c r="I683" s="183"/>
      <c r="J683" s="173"/>
    </row>
    <row r="684">
      <c r="A684" s="189"/>
      <c r="B684" s="190"/>
      <c r="C684" s="191"/>
      <c r="D684" s="192"/>
      <c r="E684" s="192"/>
      <c r="F684" s="192"/>
      <c r="G684" s="183"/>
      <c r="H684" s="193"/>
      <c r="I684" s="183"/>
      <c r="J684" s="173"/>
    </row>
    <row r="685">
      <c r="A685" s="189"/>
      <c r="B685" s="190"/>
      <c r="C685" s="191"/>
      <c r="D685" s="192"/>
      <c r="E685" s="192"/>
      <c r="F685" s="192"/>
      <c r="G685" s="183"/>
      <c r="H685" s="193"/>
      <c r="I685" s="183"/>
      <c r="J685" s="173"/>
    </row>
    <row r="686">
      <c r="A686" s="189"/>
      <c r="B686" s="190"/>
      <c r="C686" s="191"/>
      <c r="D686" s="192"/>
      <c r="E686" s="192"/>
      <c r="F686" s="192"/>
      <c r="G686" s="183"/>
      <c r="H686" s="193"/>
      <c r="I686" s="183"/>
      <c r="J686" s="173"/>
    </row>
    <row r="687">
      <c r="A687" s="189"/>
      <c r="B687" s="190"/>
      <c r="C687" s="191"/>
      <c r="D687" s="192"/>
      <c r="E687" s="192"/>
      <c r="F687" s="192"/>
      <c r="G687" s="183"/>
      <c r="H687" s="193"/>
      <c r="I687" s="183"/>
      <c r="J687" s="173"/>
    </row>
    <row r="688">
      <c r="A688" s="189"/>
      <c r="B688" s="190"/>
      <c r="C688" s="191"/>
      <c r="D688" s="192"/>
      <c r="E688" s="192"/>
      <c r="F688" s="192"/>
      <c r="G688" s="183"/>
      <c r="H688" s="193"/>
      <c r="I688" s="183"/>
      <c r="J688" s="173"/>
    </row>
    <row r="689">
      <c r="A689" s="189"/>
      <c r="B689" s="190"/>
      <c r="C689" s="191"/>
      <c r="D689" s="192"/>
      <c r="E689" s="192"/>
      <c r="F689" s="192"/>
      <c r="G689" s="183"/>
      <c r="H689" s="193"/>
      <c r="I689" s="183"/>
      <c r="J689" s="173"/>
    </row>
    <row r="690">
      <c r="A690" s="189"/>
      <c r="B690" s="190"/>
      <c r="C690" s="191"/>
      <c r="D690" s="192"/>
      <c r="E690" s="192"/>
      <c r="F690" s="192"/>
      <c r="G690" s="183"/>
      <c r="H690" s="193"/>
      <c r="I690" s="183"/>
      <c r="J690" s="173"/>
    </row>
    <row r="691">
      <c r="A691" s="189"/>
      <c r="B691" s="190"/>
      <c r="C691" s="191"/>
      <c r="D691" s="192"/>
      <c r="E691" s="192"/>
      <c r="F691" s="192"/>
      <c r="G691" s="183"/>
      <c r="H691" s="193"/>
      <c r="I691" s="183"/>
      <c r="J691" s="173"/>
    </row>
    <row r="692">
      <c r="A692" s="189"/>
      <c r="B692" s="190"/>
      <c r="C692" s="191"/>
      <c r="D692" s="192"/>
      <c r="E692" s="192"/>
      <c r="F692" s="192"/>
      <c r="G692" s="183"/>
      <c r="H692" s="193"/>
      <c r="I692" s="183"/>
      <c r="J692" s="173"/>
    </row>
    <row r="693">
      <c r="A693" s="189"/>
      <c r="B693" s="190"/>
      <c r="C693" s="191"/>
      <c r="D693" s="192"/>
      <c r="E693" s="192"/>
      <c r="F693" s="192"/>
      <c r="G693" s="183"/>
      <c r="H693" s="193"/>
      <c r="I693" s="183"/>
      <c r="J693" s="173"/>
    </row>
    <row r="694">
      <c r="A694" s="189"/>
      <c r="B694" s="190"/>
      <c r="C694" s="191"/>
      <c r="D694" s="192"/>
      <c r="E694" s="192"/>
      <c r="F694" s="192"/>
      <c r="G694" s="183"/>
      <c r="H694" s="193"/>
      <c r="I694" s="183"/>
      <c r="J694" s="173"/>
    </row>
    <row r="695">
      <c r="A695" s="189"/>
      <c r="B695" s="190"/>
      <c r="C695" s="191"/>
      <c r="D695" s="192"/>
      <c r="E695" s="192"/>
      <c r="F695" s="192"/>
      <c r="G695" s="183"/>
      <c r="H695" s="193"/>
      <c r="I695" s="183"/>
      <c r="J695" s="173"/>
    </row>
    <row r="696">
      <c r="A696" s="189"/>
      <c r="B696" s="190"/>
      <c r="C696" s="191"/>
      <c r="D696" s="192"/>
      <c r="E696" s="192"/>
      <c r="F696" s="192"/>
      <c r="G696" s="183"/>
      <c r="H696" s="193"/>
      <c r="I696" s="183"/>
      <c r="J696" s="173"/>
    </row>
    <row r="697">
      <c r="A697" s="189"/>
      <c r="B697" s="190"/>
      <c r="C697" s="191"/>
      <c r="D697" s="192"/>
      <c r="E697" s="192"/>
      <c r="F697" s="192"/>
      <c r="G697" s="183"/>
      <c r="H697" s="193"/>
      <c r="I697" s="183"/>
      <c r="J697" s="173"/>
    </row>
    <row r="698">
      <c r="A698" s="189"/>
      <c r="B698" s="190"/>
      <c r="C698" s="191"/>
      <c r="D698" s="192"/>
      <c r="E698" s="192"/>
      <c r="F698" s="192"/>
      <c r="G698" s="183"/>
      <c r="H698" s="193"/>
      <c r="I698" s="183"/>
      <c r="J698" s="173"/>
    </row>
    <row r="699">
      <c r="A699" s="189"/>
      <c r="B699" s="190"/>
      <c r="C699" s="191"/>
      <c r="D699" s="192"/>
      <c r="E699" s="192"/>
      <c r="F699" s="192"/>
      <c r="G699" s="183"/>
      <c r="H699" s="193"/>
      <c r="I699" s="183"/>
      <c r="J699" s="173"/>
    </row>
    <row r="700">
      <c r="A700" s="189"/>
      <c r="B700" s="190"/>
      <c r="C700" s="191"/>
      <c r="D700" s="192"/>
      <c r="E700" s="192"/>
      <c r="F700" s="192"/>
      <c r="G700" s="183"/>
      <c r="H700" s="193"/>
      <c r="I700" s="183"/>
      <c r="J700" s="173"/>
    </row>
    <row r="701">
      <c r="A701" s="189"/>
      <c r="B701" s="190"/>
      <c r="C701" s="191"/>
      <c r="D701" s="192"/>
      <c r="E701" s="192"/>
      <c r="F701" s="192"/>
      <c r="G701" s="183"/>
      <c r="H701" s="193"/>
      <c r="I701" s="183"/>
      <c r="J701" s="173"/>
    </row>
    <row r="702">
      <c r="A702" s="189"/>
      <c r="B702" s="190"/>
      <c r="C702" s="191"/>
      <c r="D702" s="192"/>
      <c r="E702" s="192"/>
      <c r="F702" s="192"/>
      <c r="G702" s="183"/>
      <c r="H702" s="193"/>
      <c r="I702" s="183"/>
      <c r="J702" s="173"/>
    </row>
    <row r="703">
      <c r="A703" s="189"/>
      <c r="B703" s="190"/>
      <c r="C703" s="191"/>
      <c r="D703" s="192"/>
      <c r="E703" s="192"/>
      <c r="F703" s="192"/>
      <c r="G703" s="183"/>
      <c r="H703" s="193"/>
      <c r="I703" s="183"/>
      <c r="J703" s="173"/>
    </row>
    <row r="704">
      <c r="A704" s="189"/>
      <c r="B704" s="190"/>
      <c r="C704" s="191"/>
      <c r="D704" s="192"/>
      <c r="E704" s="192"/>
      <c r="F704" s="192"/>
      <c r="G704" s="183"/>
      <c r="H704" s="193"/>
      <c r="I704" s="183"/>
      <c r="J704" s="173"/>
    </row>
    <row r="705">
      <c r="A705" s="189"/>
      <c r="B705" s="190"/>
      <c r="C705" s="191"/>
      <c r="D705" s="192"/>
      <c r="E705" s="192"/>
      <c r="F705" s="192"/>
      <c r="G705" s="183"/>
      <c r="H705" s="193"/>
      <c r="I705" s="183"/>
      <c r="J705" s="173"/>
    </row>
    <row r="706">
      <c r="A706" s="189"/>
      <c r="B706" s="190"/>
      <c r="C706" s="191"/>
      <c r="D706" s="192"/>
      <c r="E706" s="192"/>
      <c r="F706" s="192"/>
      <c r="G706" s="183"/>
      <c r="H706" s="193"/>
      <c r="I706" s="183"/>
      <c r="J706" s="173"/>
    </row>
    <row r="707">
      <c r="A707" s="189"/>
      <c r="B707" s="190"/>
      <c r="C707" s="191"/>
      <c r="D707" s="192"/>
      <c r="E707" s="192"/>
      <c r="F707" s="192"/>
      <c r="G707" s="183"/>
      <c r="H707" s="193"/>
      <c r="I707" s="183"/>
      <c r="J707" s="173"/>
    </row>
    <row r="708">
      <c r="A708" s="189"/>
      <c r="B708" s="190"/>
      <c r="C708" s="191"/>
      <c r="D708" s="192"/>
      <c r="E708" s="192"/>
      <c r="F708" s="192"/>
      <c r="G708" s="183"/>
      <c r="H708" s="193"/>
      <c r="I708" s="183"/>
      <c r="J708" s="173"/>
    </row>
    <row r="709">
      <c r="A709" s="189"/>
      <c r="B709" s="190"/>
      <c r="C709" s="191"/>
      <c r="D709" s="192"/>
      <c r="E709" s="192"/>
      <c r="F709" s="192"/>
      <c r="G709" s="183"/>
      <c r="H709" s="193"/>
      <c r="I709" s="183"/>
      <c r="J709" s="173"/>
    </row>
    <row r="710">
      <c r="A710" s="189"/>
      <c r="B710" s="190"/>
      <c r="C710" s="191"/>
      <c r="D710" s="192"/>
      <c r="E710" s="192"/>
      <c r="F710" s="192"/>
      <c r="G710" s="183"/>
      <c r="H710" s="193"/>
      <c r="I710" s="183"/>
      <c r="J710" s="173"/>
    </row>
    <row r="711">
      <c r="A711" s="189"/>
      <c r="B711" s="190"/>
      <c r="C711" s="191"/>
      <c r="D711" s="192"/>
      <c r="E711" s="192"/>
      <c r="F711" s="192"/>
      <c r="G711" s="183"/>
      <c r="H711" s="193"/>
      <c r="I711" s="183"/>
      <c r="J711" s="173"/>
    </row>
    <row r="712">
      <c r="A712" s="189"/>
      <c r="B712" s="190"/>
      <c r="C712" s="191"/>
      <c r="D712" s="192"/>
      <c r="E712" s="192"/>
      <c r="F712" s="192"/>
      <c r="G712" s="183"/>
      <c r="H712" s="193"/>
      <c r="I712" s="183"/>
      <c r="J712" s="173"/>
    </row>
    <row r="713">
      <c r="A713" s="189"/>
      <c r="B713" s="190"/>
      <c r="C713" s="191"/>
      <c r="D713" s="192"/>
      <c r="E713" s="192"/>
      <c r="F713" s="192"/>
      <c r="G713" s="183"/>
      <c r="H713" s="193"/>
      <c r="I713" s="183"/>
      <c r="J713" s="173"/>
    </row>
    <row r="714">
      <c r="A714" s="189"/>
      <c r="B714" s="190"/>
      <c r="C714" s="191"/>
      <c r="D714" s="192"/>
      <c r="E714" s="192"/>
      <c r="F714" s="192"/>
      <c r="G714" s="183"/>
      <c r="H714" s="193"/>
      <c r="I714" s="183"/>
      <c r="J714" s="173"/>
    </row>
    <row r="715">
      <c r="A715" s="189"/>
      <c r="B715" s="190"/>
      <c r="C715" s="191"/>
      <c r="D715" s="192"/>
      <c r="E715" s="192"/>
      <c r="F715" s="192"/>
      <c r="G715" s="183"/>
      <c r="H715" s="193"/>
      <c r="I715" s="183"/>
      <c r="J715" s="173"/>
    </row>
    <row r="716">
      <c r="A716" s="189"/>
      <c r="B716" s="190"/>
      <c r="C716" s="191"/>
      <c r="D716" s="192"/>
      <c r="E716" s="192"/>
      <c r="F716" s="192"/>
      <c r="G716" s="183"/>
      <c r="H716" s="193"/>
      <c r="I716" s="183"/>
      <c r="J716" s="173"/>
    </row>
    <row r="717">
      <c r="A717" s="189"/>
      <c r="B717" s="190"/>
      <c r="C717" s="191"/>
      <c r="D717" s="192"/>
      <c r="E717" s="192"/>
      <c r="F717" s="192"/>
      <c r="G717" s="183"/>
      <c r="H717" s="193"/>
      <c r="I717" s="183"/>
      <c r="J717" s="173"/>
    </row>
    <row r="718">
      <c r="A718" s="189"/>
      <c r="B718" s="190"/>
      <c r="C718" s="191"/>
      <c r="D718" s="192"/>
      <c r="E718" s="192"/>
      <c r="F718" s="192"/>
      <c r="G718" s="183"/>
      <c r="H718" s="193"/>
      <c r="I718" s="183"/>
      <c r="J718" s="173"/>
    </row>
    <row r="719">
      <c r="A719" s="189"/>
      <c r="B719" s="190"/>
      <c r="C719" s="191"/>
      <c r="D719" s="192"/>
      <c r="E719" s="192"/>
      <c r="F719" s="192"/>
      <c r="G719" s="183"/>
      <c r="H719" s="193"/>
      <c r="I719" s="183"/>
      <c r="J719" s="173"/>
    </row>
    <row r="720">
      <c r="A720" s="189"/>
      <c r="B720" s="190"/>
      <c r="C720" s="191"/>
      <c r="D720" s="192"/>
      <c r="E720" s="192"/>
      <c r="F720" s="192"/>
      <c r="G720" s="183"/>
      <c r="H720" s="193"/>
      <c r="I720" s="183"/>
      <c r="J720" s="173"/>
    </row>
    <row r="721">
      <c r="A721" s="189"/>
      <c r="B721" s="190"/>
      <c r="C721" s="191"/>
      <c r="D721" s="192"/>
      <c r="E721" s="192"/>
      <c r="F721" s="192"/>
      <c r="G721" s="183"/>
      <c r="H721" s="193"/>
      <c r="I721" s="183"/>
      <c r="J721" s="173"/>
    </row>
    <row r="722">
      <c r="A722" s="189"/>
      <c r="B722" s="190"/>
      <c r="C722" s="191"/>
      <c r="D722" s="192"/>
      <c r="E722" s="192"/>
      <c r="F722" s="192"/>
      <c r="G722" s="183"/>
      <c r="H722" s="193"/>
      <c r="I722" s="183"/>
      <c r="J722" s="173"/>
    </row>
    <row r="723">
      <c r="A723" s="189"/>
      <c r="B723" s="190"/>
      <c r="C723" s="191"/>
      <c r="D723" s="192"/>
      <c r="E723" s="192"/>
      <c r="F723" s="192"/>
      <c r="G723" s="183"/>
      <c r="H723" s="193"/>
      <c r="I723" s="183"/>
      <c r="J723" s="173"/>
    </row>
    <row r="724">
      <c r="A724" s="189"/>
      <c r="B724" s="190"/>
      <c r="C724" s="191"/>
      <c r="D724" s="192"/>
      <c r="E724" s="192"/>
      <c r="F724" s="192"/>
      <c r="G724" s="183"/>
      <c r="H724" s="193"/>
      <c r="I724" s="183"/>
      <c r="J724" s="173"/>
    </row>
    <row r="725">
      <c r="A725" s="189"/>
      <c r="B725" s="190"/>
      <c r="C725" s="191"/>
      <c r="D725" s="192"/>
      <c r="E725" s="192"/>
      <c r="F725" s="192"/>
      <c r="G725" s="183"/>
      <c r="H725" s="193"/>
      <c r="I725" s="183"/>
      <c r="J725" s="173"/>
    </row>
    <row r="726">
      <c r="A726" s="189"/>
      <c r="B726" s="190"/>
      <c r="C726" s="191"/>
      <c r="D726" s="192"/>
      <c r="E726" s="192"/>
      <c r="F726" s="192"/>
      <c r="G726" s="183"/>
      <c r="H726" s="193"/>
      <c r="I726" s="183"/>
      <c r="J726" s="173"/>
    </row>
    <row r="727">
      <c r="A727" s="189"/>
      <c r="B727" s="190"/>
      <c r="C727" s="191"/>
      <c r="D727" s="192"/>
      <c r="E727" s="192"/>
      <c r="F727" s="192"/>
      <c r="G727" s="183"/>
      <c r="H727" s="193"/>
      <c r="I727" s="183"/>
      <c r="J727" s="173"/>
    </row>
    <row r="728">
      <c r="A728" s="189"/>
      <c r="B728" s="190"/>
      <c r="C728" s="191"/>
      <c r="D728" s="192"/>
      <c r="E728" s="192"/>
      <c r="F728" s="192"/>
      <c r="G728" s="183"/>
      <c r="H728" s="193"/>
      <c r="I728" s="183"/>
      <c r="J728" s="173"/>
    </row>
    <row r="729">
      <c r="A729" s="189"/>
      <c r="B729" s="190"/>
      <c r="C729" s="191"/>
      <c r="D729" s="192"/>
      <c r="E729" s="192"/>
      <c r="F729" s="192"/>
      <c r="G729" s="183"/>
      <c r="H729" s="193"/>
      <c r="I729" s="183"/>
      <c r="J729" s="173"/>
    </row>
    <row r="730">
      <c r="A730" s="189"/>
      <c r="B730" s="190"/>
      <c r="C730" s="191"/>
      <c r="D730" s="192"/>
      <c r="E730" s="192"/>
      <c r="F730" s="192"/>
      <c r="G730" s="183"/>
      <c r="H730" s="193"/>
      <c r="I730" s="183"/>
      <c r="J730" s="173"/>
    </row>
    <row r="731">
      <c r="A731" s="189"/>
      <c r="B731" s="190"/>
      <c r="C731" s="191"/>
      <c r="D731" s="192"/>
      <c r="E731" s="192"/>
      <c r="F731" s="192"/>
      <c r="G731" s="183"/>
      <c r="H731" s="193"/>
      <c r="I731" s="183"/>
      <c r="J731" s="173"/>
    </row>
    <row r="732">
      <c r="A732" s="189"/>
      <c r="B732" s="190"/>
      <c r="C732" s="191"/>
      <c r="D732" s="192"/>
      <c r="E732" s="192"/>
      <c r="F732" s="192"/>
      <c r="G732" s="183"/>
      <c r="H732" s="193"/>
      <c r="I732" s="183"/>
      <c r="J732" s="173"/>
    </row>
    <row r="733">
      <c r="A733" s="189"/>
      <c r="B733" s="190"/>
      <c r="C733" s="191"/>
      <c r="D733" s="192"/>
      <c r="E733" s="192"/>
      <c r="F733" s="192"/>
      <c r="G733" s="183"/>
      <c r="H733" s="193"/>
      <c r="I733" s="183"/>
      <c r="J733" s="173"/>
    </row>
    <row r="734">
      <c r="A734" s="189"/>
      <c r="B734" s="190"/>
      <c r="C734" s="191"/>
      <c r="D734" s="192"/>
      <c r="E734" s="192"/>
      <c r="F734" s="192"/>
      <c r="G734" s="183"/>
      <c r="H734" s="193"/>
      <c r="I734" s="183"/>
      <c r="J734" s="173"/>
    </row>
    <row r="735">
      <c r="A735" s="189"/>
      <c r="B735" s="190"/>
      <c r="C735" s="191"/>
      <c r="D735" s="192"/>
      <c r="E735" s="192"/>
      <c r="F735" s="192"/>
      <c r="G735" s="183"/>
      <c r="H735" s="193"/>
      <c r="I735" s="183"/>
      <c r="J735" s="173"/>
    </row>
    <row r="736">
      <c r="A736" s="189"/>
      <c r="B736" s="190"/>
      <c r="C736" s="191"/>
      <c r="D736" s="192"/>
      <c r="E736" s="192"/>
      <c r="F736" s="192"/>
      <c r="G736" s="183"/>
      <c r="H736" s="193"/>
      <c r="I736" s="183"/>
      <c r="J736" s="173"/>
    </row>
    <row r="737">
      <c r="A737" s="189"/>
      <c r="B737" s="190"/>
      <c r="C737" s="191"/>
      <c r="D737" s="192"/>
      <c r="E737" s="192"/>
      <c r="F737" s="192"/>
      <c r="G737" s="183"/>
      <c r="H737" s="193"/>
      <c r="I737" s="183"/>
      <c r="J737" s="173"/>
    </row>
    <row r="738">
      <c r="A738" s="189"/>
      <c r="B738" s="190"/>
      <c r="C738" s="191"/>
      <c r="D738" s="192"/>
      <c r="E738" s="192"/>
      <c r="F738" s="192"/>
      <c r="G738" s="183"/>
      <c r="H738" s="193"/>
      <c r="I738" s="183"/>
      <c r="J738" s="173"/>
    </row>
    <row r="739">
      <c r="A739" s="189"/>
      <c r="B739" s="190"/>
      <c r="C739" s="191"/>
      <c r="D739" s="192"/>
      <c r="E739" s="192"/>
      <c r="F739" s="192"/>
      <c r="G739" s="183"/>
      <c r="H739" s="193"/>
      <c r="I739" s="183"/>
      <c r="J739" s="173"/>
    </row>
    <row r="740">
      <c r="A740" s="189"/>
      <c r="B740" s="190"/>
      <c r="C740" s="191"/>
      <c r="D740" s="192"/>
      <c r="E740" s="192"/>
      <c r="F740" s="192"/>
      <c r="G740" s="183"/>
      <c r="H740" s="193"/>
      <c r="I740" s="183"/>
      <c r="J740" s="173"/>
    </row>
    <row r="741">
      <c r="A741" s="189"/>
      <c r="B741" s="190"/>
      <c r="C741" s="191"/>
      <c r="D741" s="192"/>
      <c r="E741" s="192"/>
      <c r="F741" s="192"/>
      <c r="G741" s="183"/>
      <c r="H741" s="193"/>
      <c r="I741" s="183"/>
      <c r="J741" s="173"/>
    </row>
    <row r="742">
      <c r="A742" s="189"/>
      <c r="B742" s="190"/>
      <c r="C742" s="191"/>
      <c r="D742" s="192"/>
      <c r="E742" s="192"/>
      <c r="F742" s="192"/>
      <c r="G742" s="183"/>
      <c r="H742" s="193"/>
      <c r="I742" s="183"/>
      <c r="J742" s="173"/>
    </row>
    <row r="743">
      <c r="A743" s="189"/>
      <c r="B743" s="190"/>
      <c r="C743" s="191"/>
      <c r="D743" s="192"/>
      <c r="E743" s="192"/>
      <c r="F743" s="192"/>
      <c r="G743" s="183"/>
      <c r="H743" s="193"/>
      <c r="I743" s="183"/>
      <c r="J743" s="173"/>
    </row>
    <row r="744">
      <c r="A744" s="189"/>
      <c r="B744" s="190"/>
      <c r="C744" s="191"/>
      <c r="D744" s="192"/>
      <c r="E744" s="192"/>
      <c r="F744" s="192"/>
      <c r="G744" s="183"/>
      <c r="H744" s="193"/>
      <c r="I744" s="183"/>
      <c r="J744" s="173"/>
    </row>
    <row r="745">
      <c r="A745" s="189"/>
      <c r="B745" s="190"/>
      <c r="C745" s="191"/>
      <c r="D745" s="192"/>
      <c r="E745" s="192"/>
      <c r="F745" s="192"/>
      <c r="G745" s="183"/>
      <c r="H745" s="193"/>
      <c r="I745" s="183"/>
      <c r="J745" s="173"/>
    </row>
    <row r="746">
      <c r="A746" s="189"/>
      <c r="B746" s="190"/>
      <c r="C746" s="191"/>
      <c r="D746" s="192"/>
      <c r="E746" s="192"/>
      <c r="F746" s="192"/>
      <c r="G746" s="183"/>
      <c r="H746" s="193"/>
      <c r="I746" s="183"/>
      <c r="J746" s="173"/>
    </row>
    <row r="747">
      <c r="A747" s="189"/>
      <c r="B747" s="190"/>
      <c r="C747" s="191"/>
      <c r="D747" s="192"/>
      <c r="E747" s="192"/>
      <c r="F747" s="192"/>
      <c r="G747" s="183"/>
      <c r="H747" s="193"/>
      <c r="I747" s="183"/>
      <c r="J747" s="173"/>
    </row>
    <row r="748">
      <c r="A748" s="189"/>
      <c r="B748" s="190"/>
      <c r="C748" s="191"/>
      <c r="D748" s="192"/>
      <c r="E748" s="192"/>
      <c r="F748" s="192"/>
      <c r="G748" s="183"/>
      <c r="H748" s="193"/>
      <c r="I748" s="183"/>
      <c r="J748" s="173"/>
    </row>
    <row r="749">
      <c r="A749" s="189"/>
      <c r="B749" s="190"/>
      <c r="C749" s="191"/>
      <c r="D749" s="192"/>
      <c r="E749" s="192"/>
      <c r="F749" s="192"/>
      <c r="G749" s="183"/>
      <c r="H749" s="193"/>
      <c r="I749" s="183"/>
      <c r="J749" s="173"/>
    </row>
    <row r="750">
      <c r="A750" s="189"/>
      <c r="B750" s="190"/>
      <c r="C750" s="191"/>
      <c r="D750" s="192"/>
      <c r="E750" s="192"/>
      <c r="F750" s="192"/>
      <c r="G750" s="183"/>
      <c r="H750" s="193"/>
      <c r="I750" s="183"/>
      <c r="J750" s="173"/>
    </row>
    <row r="751">
      <c r="A751" s="189"/>
      <c r="B751" s="190"/>
      <c r="C751" s="191"/>
      <c r="D751" s="192"/>
      <c r="E751" s="192"/>
      <c r="F751" s="192"/>
      <c r="G751" s="183"/>
      <c r="H751" s="193"/>
      <c r="I751" s="183"/>
      <c r="J751" s="173"/>
    </row>
    <row r="752">
      <c r="A752" s="189"/>
      <c r="B752" s="190"/>
      <c r="C752" s="191"/>
      <c r="D752" s="192"/>
      <c r="E752" s="192"/>
      <c r="F752" s="192"/>
      <c r="G752" s="183"/>
      <c r="H752" s="193"/>
      <c r="I752" s="183"/>
      <c r="J752" s="173"/>
    </row>
    <row r="753">
      <c r="A753" s="189"/>
      <c r="B753" s="190"/>
      <c r="C753" s="191"/>
      <c r="D753" s="192"/>
      <c r="E753" s="192"/>
      <c r="F753" s="192"/>
      <c r="G753" s="183"/>
      <c r="H753" s="193"/>
      <c r="I753" s="183"/>
      <c r="J753" s="173"/>
    </row>
    <row r="754">
      <c r="A754" s="189"/>
      <c r="B754" s="190"/>
      <c r="C754" s="191"/>
      <c r="D754" s="192"/>
      <c r="E754" s="192"/>
      <c r="F754" s="192"/>
      <c r="G754" s="183"/>
      <c r="H754" s="193"/>
      <c r="I754" s="183"/>
      <c r="J754" s="173"/>
    </row>
    <row r="755">
      <c r="A755" s="189"/>
      <c r="B755" s="190"/>
      <c r="C755" s="191"/>
      <c r="D755" s="192"/>
      <c r="E755" s="192"/>
      <c r="F755" s="192"/>
      <c r="G755" s="183"/>
      <c r="H755" s="193"/>
      <c r="I755" s="183"/>
      <c r="J755" s="173"/>
    </row>
    <row r="756">
      <c r="A756" s="189"/>
      <c r="B756" s="190"/>
      <c r="C756" s="191"/>
      <c r="D756" s="192"/>
      <c r="E756" s="192"/>
      <c r="F756" s="192"/>
      <c r="G756" s="183"/>
      <c r="H756" s="193"/>
      <c r="I756" s="183"/>
      <c r="J756" s="173"/>
    </row>
    <row r="757">
      <c r="A757" s="189"/>
      <c r="B757" s="190"/>
      <c r="C757" s="191"/>
      <c r="D757" s="192"/>
      <c r="E757" s="192"/>
      <c r="F757" s="192"/>
      <c r="G757" s="183"/>
      <c r="H757" s="193"/>
      <c r="I757" s="183"/>
      <c r="J757" s="173"/>
    </row>
    <row r="758">
      <c r="A758" s="189"/>
      <c r="B758" s="190"/>
      <c r="C758" s="191"/>
      <c r="D758" s="192"/>
      <c r="E758" s="192"/>
      <c r="F758" s="192"/>
      <c r="G758" s="183"/>
      <c r="H758" s="193"/>
      <c r="I758" s="183"/>
      <c r="J758" s="173"/>
    </row>
    <row r="759">
      <c r="A759" s="189"/>
      <c r="B759" s="190"/>
      <c r="C759" s="191"/>
      <c r="D759" s="192"/>
      <c r="E759" s="192"/>
      <c r="F759" s="192"/>
      <c r="G759" s="183"/>
      <c r="H759" s="193"/>
      <c r="I759" s="183"/>
      <c r="J759" s="173"/>
    </row>
    <row r="760">
      <c r="A760" s="189"/>
      <c r="B760" s="190"/>
      <c r="C760" s="191"/>
      <c r="D760" s="192"/>
      <c r="E760" s="192"/>
      <c r="F760" s="192"/>
      <c r="G760" s="183"/>
      <c r="H760" s="193"/>
      <c r="I760" s="183"/>
      <c r="J760" s="173"/>
    </row>
    <row r="761">
      <c r="A761" s="189"/>
      <c r="B761" s="190"/>
      <c r="C761" s="191"/>
      <c r="D761" s="192"/>
      <c r="E761" s="192"/>
      <c r="F761" s="192"/>
      <c r="G761" s="183"/>
      <c r="H761" s="193"/>
      <c r="I761" s="183"/>
      <c r="J761" s="173"/>
    </row>
    <row r="762">
      <c r="A762" s="189"/>
      <c r="B762" s="190"/>
      <c r="C762" s="191"/>
      <c r="D762" s="192"/>
      <c r="E762" s="192"/>
      <c r="F762" s="192"/>
      <c r="G762" s="183"/>
      <c r="H762" s="193"/>
      <c r="I762" s="183"/>
      <c r="J762" s="173"/>
    </row>
    <row r="763">
      <c r="A763" s="189"/>
      <c r="B763" s="190"/>
      <c r="C763" s="191"/>
      <c r="D763" s="192"/>
      <c r="E763" s="192"/>
      <c r="F763" s="192"/>
      <c r="G763" s="183"/>
      <c r="H763" s="193"/>
      <c r="I763" s="183"/>
      <c r="J763" s="173"/>
    </row>
    <row r="764">
      <c r="A764" s="189"/>
      <c r="B764" s="190"/>
      <c r="C764" s="191"/>
      <c r="D764" s="192"/>
      <c r="E764" s="192"/>
      <c r="F764" s="192"/>
      <c r="G764" s="183"/>
      <c r="H764" s="193"/>
      <c r="I764" s="183"/>
      <c r="J764" s="173"/>
    </row>
    <row r="765">
      <c r="A765" s="189"/>
      <c r="B765" s="190"/>
      <c r="C765" s="191"/>
      <c r="D765" s="192"/>
      <c r="E765" s="192"/>
      <c r="F765" s="192"/>
      <c r="G765" s="183"/>
      <c r="H765" s="193"/>
      <c r="I765" s="183"/>
      <c r="J765" s="173"/>
    </row>
    <row r="766">
      <c r="A766" s="189"/>
      <c r="B766" s="190"/>
      <c r="C766" s="191"/>
      <c r="D766" s="192"/>
      <c r="E766" s="192"/>
      <c r="F766" s="192"/>
      <c r="G766" s="183"/>
      <c r="H766" s="193"/>
      <c r="I766" s="183"/>
      <c r="J766" s="173"/>
    </row>
    <row r="767">
      <c r="A767" s="189"/>
      <c r="B767" s="190"/>
      <c r="C767" s="191"/>
      <c r="D767" s="192"/>
      <c r="E767" s="192"/>
      <c r="F767" s="192"/>
      <c r="G767" s="183"/>
      <c r="H767" s="193"/>
      <c r="I767" s="183"/>
      <c r="J767" s="173"/>
    </row>
    <row r="768">
      <c r="A768" s="189"/>
      <c r="B768" s="190"/>
      <c r="C768" s="191"/>
      <c r="D768" s="192"/>
      <c r="E768" s="192"/>
      <c r="F768" s="192"/>
      <c r="G768" s="183"/>
      <c r="H768" s="193"/>
      <c r="I768" s="183"/>
      <c r="J768" s="173"/>
    </row>
    <row r="769">
      <c r="A769" s="189"/>
      <c r="B769" s="190"/>
      <c r="C769" s="191"/>
      <c r="D769" s="192"/>
      <c r="E769" s="192"/>
      <c r="F769" s="192"/>
      <c r="G769" s="183"/>
      <c r="H769" s="193"/>
      <c r="I769" s="183"/>
      <c r="J769" s="173"/>
    </row>
    <row r="770">
      <c r="A770" s="189"/>
      <c r="B770" s="190"/>
      <c r="C770" s="191"/>
      <c r="D770" s="192"/>
      <c r="E770" s="192"/>
      <c r="F770" s="192"/>
      <c r="G770" s="183"/>
      <c r="H770" s="193"/>
      <c r="I770" s="183"/>
      <c r="J770" s="173"/>
    </row>
    <row r="771">
      <c r="A771" s="189"/>
      <c r="B771" s="190"/>
      <c r="C771" s="191"/>
      <c r="D771" s="192"/>
      <c r="E771" s="192"/>
      <c r="F771" s="192"/>
      <c r="G771" s="183"/>
      <c r="H771" s="193"/>
      <c r="I771" s="183"/>
      <c r="J771" s="173"/>
    </row>
    <row r="772">
      <c r="A772" s="189"/>
      <c r="B772" s="190"/>
      <c r="C772" s="191"/>
      <c r="D772" s="192"/>
      <c r="E772" s="192"/>
      <c r="F772" s="192"/>
      <c r="G772" s="183"/>
      <c r="H772" s="193"/>
      <c r="I772" s="183"/>
      <c r="J772" s="173"/>
    </row>
    <row r="773">
      <c r="A773" s="189"/>
      <c r="B773" s="190"/>
      <c r="C773" s="191"/>
      <c r="D773" s="192"/>
      <c r="E773" s="192"/>
      <c r="F773" s="192"/>
      <c r="G773" s="183"/>
      <c r="H773" s="193"/>
      <c r="I773" s="183"/>
      <c r="J773" s="173"/>
    </row>
    <row r="774">
      <c r="A774" s="189"/>
      <c r="B774" s="190"/>
      <c r="C774" s="191"/>
      <c r="D774" s="192"/>
      <c r="E774" s="192"/>
      <c r="F774" s="192"/>
      <c r="G774" s="183"/>
      <c r="H774" s="193"/>
      <c r="I774" s="183"/>
      <c r="J774" s="173"/>
    </row>
    <row r="775">
      <c r="A775" s="189"/>
      <c r="B775" s="190"/>
      <c r="C775" s="191"/>
      <c r="D775" s="192"/>
      <c r="E775" s="192"/>
      <c r="F775" s="192"/>
      <c r="G775" s="183"/>
      <c r="H775" s="193"/>
      <c r="I775" s="183"/>
      <c r="J775" s="173"/>
    </row>
    <row r="776">
      <c r="A776" s="189"/>
      <c r="B776" s="190"/>
      <c r="C776" s="191"/>
      <c r="D776" s="192"/>
      <c r="E776" s="192"/>
      <c r="F776" s="192"/>
      <c r="G776" s="183"/>
      <c r="H776" s="193"/>
      <c r="I776" s="183"/>
      <c r="J776" s="173"/>
    </row>
    <row r="777">
      <c r="A777" s="189"/>
      <c r="B777" s="190"/>
      <c r="C777" s="191"/>
      <c r="D777" s="192"/>
      <c r="E777" s="192"/>
      <c r="F777" s="192"/>
      <c r="G777" s="183"/>
      <c r="H777" s="193"/>
      <c r="I777" s="183"/>
      <c r="J777" s="173"/>
    </row>
    <row r="778">
      <c r="A778" s="189"/>
      <c r="B778" s="190"/>
      <c r="C778" s="191"/>
      <c r="D778" s="192"/>
      <c r="E778" s="192"/>
      <c r="F778" s="192"/>
      <c r="G778" s="183"/>
      <c r="H778" s="193"/>
      <c r="I778" s="183"/>
      <c r="J778" s="173"/>
    </row>
    <row r="779">
      <c r="A779" s="189"/>
      <c r="B779" s="190"/>
      <c r="C779" s="191"/>
      <c r="D779" s="192"/>
      <c r="E779" s="192"/>
      <c r="F779" s="192"/>
      <c r="G779" s="183"/>
      <c r="H779" s="193"/>
      <c r="I779" s="183"/>
      <c r="J779" s="173"/>
    </row>
    <row r="780">
      <c r="A780" s="189"/>
      <c r="B780" s="190"/>
      <c r="C780" s="191"/>
      <c r="D780" s="192"/>
      <c r="E780" s="192"/>
      <c r="F780" s="192"/>
      <c r="G780" s="183"/>
      <c r="H780" s="193"/>
      <c r="I780" s="183"/>
      <c r="J780" s="173"/>
    </row>
    <row r="781">
      <c r="A781" s="189"/>
      <c r="B781" s="190"/>
      <c r="C781" s="191"/>
      <c r="D781" s="192"/>
      <c r="E781" s="192"/>
      <c r="F781" s="192"/>
      <c r="G781" s="183"/>
      <c r="H781" s="193"/>
      <c r="I781" s="183"/>
      <c r="J781" s="173"/>
    </row>
    <row r="782">
      <c r="A782" s="189"/>
      <c r="B782" s="190"/>
      <c r="C782" s="191"/>
      <c r="D782" s="192"/>
      <c r="E782" s="192"/>
      <c r="F782" s="192"/>
      <c r="G782" s="183"/>
      <c r="H782" s="193"/>
      <c r="I782" s="183"/>
      <c r="J782" s="173"/>
    </row>
    <row r="783">
      <c r="A783" s="189"/>
      <c r="B783" s="190"/>
      <c r="C783" s="191"/>
      <c r="D783" s="192"/>
      <c r="E783" s="192"/>
      <c r="F783" s="192"/>
      <c r="G783" s="183"/>
      <c r="H783" s="193"/>
      <c r="I783" s="183"/>
      <c r="J783" s="173"/>
    </row>
    <row r="784">
      <c r="A784" s="189"/>
      <c r="B784" s="190"/>
      <c r="C784" s="191"/>
      <c r="D784" s="192"/>
      <c r="E784" s="192"/>
      <c r="F784" s="192"/>
      <c r="G784" s="183"/>
      <c r="H784" s="193"/>
      <c r="I784" s="183"/>
      <c r="J784" s="173"/>
    </row>
    <row r="785">
      <c r="A785" s="189"/>
      <c r="B785" s="190"/>
      <c r="C785" s="191"/>
      <c r="D785" s="192"/>
      <c r="E785" s="192"/>
      <c r="F785" s="192"/>
      <c r="G785" s="183"/>
      <c r="H785" s="193"/>
      <c r="I785" s="183"/>
      <c r="J785" s="173"/>
    </row>
    <row r="786">
      <c r="A786" s="189"/>
      <c r="B786" s="190"/>
      <c r="C786" s="191"/>
      <c r="D786" s="192"/>
      <c r="E786" s="192"/>
      <c r="F786" s="192"/>
      <c r="G786" s="183"/>
      <c r="H786" s="193"/>
      <c r="I786" s="183"/>
      <c r="J786" s="173"/>
    </row>
    <row r="787">
      <c r="A787" s="189"/>
      <c r="B787" s="190"/>
      <c r="C787" s="191"/>
      <c r="D787" s="192"/>
      <c r="E787" s="192"/>
      <c r="F787" s="192"/>
      <c r="G787" s="183"/>
      <c r="H787" s="193"/>
      <c r="I787" s="183"/>
      <c r="J787" s="173"/>
    </row>
    <row r="788">
      <c r="A788" s="189"/>
      <c r="B788" s="190"/>
      <c r="C788" s="191"/>
      <c r="D788" s="192"/>
      <c r="E788" s="192"/>
      <c r="F788" s="192"/>
      <c r="G788" s="183"/>
      <c r="H788" s="193"/>
      <c r="I788" s="183"/>
      <c r="J788" s="173"/>
    </row>
    <row r="789">
      <c r="A789" s="189"/>
      <c r="B789" s="190"/>
      <c r="C789" s="191"/>
      <c r="D789" s="192"/>
      <c r="E789" s="192"/>
      <c r="F789" s="192"/>
      <c r="G789" s="183"/>
      <c r="H789" s="193"/>
      <c r="I789" s="183"/>
      <c r="J789" s="173"/>
    </row>
    <row r="790">
      <c r="A790" s="189"/>
      <c r="B790" s="190"/>
      <c r="C790" s="191"/>
      <c r="D790" s="192"/>
      <c r="E790" s="192"/>
      <c r="F790" s="192"/>
      <c r="G790" s="183"/>
      <c r="H790" s="193"/>
      <c r="I790" s="183"/>
      <c r="J790" s="173"/>
    </row>
    <row r="791">
      <c r="A791" s="189"/>
      <c r="B791" s="190"/>
      <c r="C791" s="191"/>
      <c r="D791" s="192"/>
      <c r="E791" s="192"/>
      <c r="F791" s="192"/>
      <c r="G791" s="183"/>
      <c r="H791" s="193"/>
      <c r="I791" s="183"/>
      <c r="J791" s="173"/>
    </row>
    <row r="792">
      <c r="A792" s="189"/>
      <c r="B792" s="190"/>
      <c r="C792" s="191"/>
      <c r="D792" s="192"/>
      <c r="E792" s="192"/>
      <c r="F792" s="192"/>
      <c r="G792" s="183"/>
      <c r="H792" s="193"/>
      <c r="I792" s="183"/>
      <c r="J792" s="173"/>
    </row>
    <row r="793">
      <c r="A793" s="189"/>
      <c r="B793" s="190"/>
      <c r="C793" s="191"/>
      <c r="D793" s="192"/>
      <c r="E793" s="192"/>
      <c r="F793" s="192"/>
      <c r="G793" s="183"/>
      <c r="H793" s="193"/>
      <c r="I793" s="183"/>
      <c r="J793" s="173"/>
    </row>
    <row r="794">
      <c r="A794" s="189"/>
      <c r="B794" s="190"/>
      <c r="C794" s="191"/>
      <c r="D794" s="192"/>
      <c r="E794" s="192"/>
      <c r="F794" s="192"/>
      <c r="G794" s="183"/>
      <c r="H794" s="193"/>
      <c r="I794" s="183"/>
      <c r="J794" s="173"/>
    </row>
    <row r="795">
      <c r="A795" s="189"/>
      <c r="B795" s="190"/>
      <c r="C795" s="191"/>
      <c r="D795" s="192"/>
      <c r="E795" s="192"/>
      <c r="F795" s="192"/>
      <c r="G795" s="183"/>
      <c r="H795" s="193"/>
      <c r="I795" s="183"/>
      <c r="J795" s="173"/>
    </row>
    <row r="796">
      <c r="A796" s="189"/>
      <c r="B796" s="190"/>
      <c r="C796" s="191"/>
      <c r="D796" s="192"/>
      <c r="E796" s="192"/>
      <c r="F796" s="192"/>
      <c r="G796" s="183"/>
      <c r="H796" s="193"/>
      <c r="I796" s="183"/>
      <c r="J796" s="173"/>
    </row>
    <row r="797">
      <c r="A797" s="189"/>
      <c r="B797" s="190"/>
      <c r="C797" s="191"/>
      <c r="D797" s="192"/>
      <c r="E797" s="192"/>
      <c r="F797" s="192"/>
      <c r="G797" s="183"/>
      <c r="H797" s="193"/>
      <c r="I797" s="183"/>
      <c r="J797" s="173"/>
    </row>
    <row r="798">
      <c r="A798" s="189"/>
      <c r="B798" s="190"/>
      <c r="C798" s="191"/>
      <c r="D798" s="192"/>
      <c r="E798" s="192"/>
      <c r="F798" s="192"/>
      <c r="G798" s="183"/>
      <c r="H798" s="193"/>
      <c r="I798" s="183"/>
      <c r="J798" s="173"/>
    </row>
    <row r="799">
      <c r="A799" s="189"/>
      <c r="B799" s="190"/>
      <c r="C799" s="191"/>
      <c r="D799" s="192"/>
      <c r="E799" s="192"/>
      <c r="F799" s="192"/>
      <c r="G799" s="183"/>
      <c r="H799" s="193"/>
      <c r="I799" s="183"/>
      <c r="J799" s="173"/>
    </row>
    <row r="800">
      <c r="A800" s="189"/>
      <c r="B800" s="190"/>
      <c r="C800" s="191"/>
      <c r="D800" s="192"/>
      <c r="E800" s="192"/>
      <c r="F800" s="192"/>
      <c r="G800" s="183"/>
      <c r="H800" s="193"/>
      <c r="I800" s="183"/>
      <c r="J800" s="173"/>
    </row>
    <row r="801">
      <c r="A801" s="189"/>
      <c r="B801" s="190"/>
      <c r="C801" s="191"/>
      <c r="D801" s="192"/>
      <c r="E801" s="192"/>
      <c r="F801" s="192"/>
      <c r="G801" s="183"/>
      <c r="H801" s="193"/>
      <c r="I801" s="183"/>
      <c r="J801" s="173"/>
    </row>
    <row r="802">
      <c r="A802" s="189"/>
      <c r="B802" s="190"/>
      <c r="C802" s="191"/>
      <c r="D802" s="192"/>
      <c r="E802" s="192"/>
      <c r="F802" s="192"/>
      <c r="G802" s="183"/>
      <c r="H802" s="193"/>
      <c r="I802" s="183"/>
      <c r="J802" s="173"/>
    </row>
    <row r="803">
      <c r="A803" s="189"/>
      <c r="B803" s="190"/>
      <c r="C803" s="191"/>
      <c r="D803" s="192"/>
      <c r="E803" s="192"/>
      <c r="F803" s="192"/>
      <c r="G803" s="183"/>
      <c r="H803" s="193"/>
      <c r="I803" s="183"/>
      <c r="J803" s="173"/>
    </row>
    <row r="804">
      <c r="A804" s="189"/>
      <c r="B804" s="190"/>
      <c r="C804" s="191"/>
      <c r="D804" s="192"/>
      <c r="E804" s="192"/>
      <c r="F804" s="192"/>
      <c r="G804" s="183"/>
      <c r="H804" s="193"/>
      <c r="I804" s="183"/>
      <c r="J804" s="173"/>
    </row>
    <row r="805">
      <c r="A805" s="189"/>
      <c r="B805" s="190"/>
      <c r="C805" s="191"/>
      <c r="D805" s="192"/>
      <c r="E805" s="192"/>
      <c r="F805" s="192"/>
      <c r="G805" s="183"/>
      <c r="H805" s="193"/>
      <c r="I805" s="183"/>
      <c r="J805" s="173"/>
    </row>
    <row r="806">
      <c r="A806" s="189"/>
      <c r="B806" s="190"/>
      <c r="C806" s="191"/>
      <c r="D806" s="192"/>
      <c r="E806" s="192"/>
      <c r="F806" s="192"/>
      <c r="G806" s="183"/>
      <c r="H806" s="193"/>
      <c r="I806" s="183"/>
      <c r="J806" s="173"/>
    </row>
    <row r="807">
      <c r="A807" s="189"/>
      <c r="B807" s="190"/>
      <c r="C807" s="191"/>
      <c r="D807" s="192"/>
      <c r="E807" s="192"/>
      <c r="F807" s="192"/>
      <c r="G807" s="183"/>
      <c r="H807" s="193"/>
      <c r="I807" s="183"/>
      <c r="J807" s="173"/>
    </row>
    <row r="808">
      <c r="A808" s="189"/>
      <c r="B808" s="190"/>
      <c r="C808" s="191"/>
      <c r="D808" s="192"/>
      <c r="E808" s="192"/>
      <c r="F808" s="192"/>
      <c r="G808" s="183"/>
      <c r="H808" s="193"/>
      <c r="I808" s="183"/>
      <c r="J808" s="173"/>
    </row>
    <row r="809">
      <c r="A809" s="189"/>
      <c r="B809" s="190"/>
      <c r="C809" s="191"/>
      <c r="D809" s="192"/>
      <c r="E809" s="192"/>
      <c r="F809" s="192"/>
      <c r="G809" s="183"/>
      <c r="H809" s="193"/>
      <c r="I809" s="183"/>
      <c r="J809" s="173"/>
    </row>
    <row r="810">
      <c r="A810" s="189"/>
      <c r="B810" s="190"/>
      <c r="C810" s="191"/>
      <c r="D810" s="192"/>
      <c r="E810" s="192"/>
      <c r="F810" s="192"/>
      <c r="G810" s="183"/>
      <c r="H810" s="193"/>
      <c r="I810" s="183"/>
      <c r="J810" s="173"/>
    </row>
    <row r="811">
      <c r="A811" s="189"/>
      <c r="B811" s="190"/>
      <c r="C811" s="191"/>
      <c r="D811" s="192"/>
      <c r="E811" s="192"/>
      <c r="F811" s="192"/>
      <c r="G811" s="183"/>
      <c r="H811" s="193"/>
      <c r="I811" s="183"/>
      <c r="J811" s="173"/>
    </row>
    <row r="812">
      <c r="A812" s="189"/>
      <c r="B812" s="190"/>
      <c r="C812" s="191"/>
      <c r="D812" s="192"/>
      <c r="E812" s="192"/>
      <c r="F812" s="192"/>
      <c r="G812" s="183"/>
      <c r="H812" s="193"/>
      <c r="I812" s="183"/>
      <c r="J812" s="173"/>
    </row>
    <row r="813">
      <c r="A813" s="189"/>
      <c r="B813" s="190"/>
      <c r="C813" s="191"/>
      <c r="D813" s="192"/>
      <c r="E813" s="192"/>
      <c r="F813" s="192"/>
      <c r="G813" s="183"/>
      <c r="H813" s="193"/>
      <c r="I813" s="183"/>
      <c r="J813" s="173"/>
    </row>
    <row r="814">
      <c r="A814" s="189"/>
      <c r="B814" s="190"/>
      <c r="C814" s="191"/>
      <c r="D814" s="192"/>
      <c r="E814" s="192"/>
      <c r="F814" s="192"/>
      <c r="G814" s="183"/>
      <c r="H814" s="193"/>
      <c r="I814" s="183"/>
      <c r="J814" s="173"/>
    </row>
    <row r="815">
      <c r="A815" s="189"/>
      <c r="B815" s="190"/>
      <c r="C815" s="191"/>
      <c r="D815" s="192"/>
      <c r="E815" s="192"/>
      <c r="F815" s="192"/>
      <c r="G815" s="183"/>
      <c r="H815" s="193"/>
      <c r="I815" s="183"/>
      <c r="J815" s="173"/>
    </row>
    <row r="816">
      <c r="A816" s="189"/>
      <c r="B816" s="190"/>
      <c r="C816" s="191"/>
      <c r="D816" s="192"/>
      <c r="E816" s="192"/>
      <c r="F816" s="192"/>
      <c r="G816" s="183"/>
      <c r="H816" s="193"/>
      <c r="I816" s="183"/>
      <c r="J816" s="173"/>
    </row>
    <row r="817">
      <c r="A817" s="189"/>
      <c r="B817" s="190"/>
      <c r="C817" s="191"/>
      <c r="D817" s="192"/>
      <c r="E817" s="192"/>
      <c r="F817" s="192"/>
      <c r="G817" s="183"/>
      <c r="H817" s="193"/>
      <c r="I817" s="183"/>
      <c r="J817" s="173"/>
    </row>
    <row r="818">
      <c r="A818" s="189"/>
      <c r="B818" s="190"/>
      <c r="C818" s="191"/>
      <c r="D818" s="192"/>
      <c r="E818" s="192"/>
      <c r="F818" s="192"/>
      <c r="G818" s="183"/>
      <c r="H818" s="193"/>
      <c r="I818" s="183"/>
      <c r="J818" s="173"/>
    </row>
    <row r="819">
      <c r="A819" s="189"/>
      <c r="B819" s="190"/>
      <c r="C819" s="191"/>
      <c r="D819" s="192"/>
      <c r="E819" s="192"/>
      <c r="F819" s="192"/>
      <c r="G819" s="183"/>
      <c r="H819" s="193"/>
      <c r="I819" s="183"/>
      <c r="J819" s="173"/>
    </row>
    <row r="820">
      <c r="A820" s="189"/>
      <c r="B820" s="190"/>
      <c r="C820" s="191"/>
      <c r="D820" s="192"/>
      <c r="E820" s="192"/>
      <c r="F820" s="192"/>
      <c r="G820" s="183"/>
      <c r="H820" s="193"/>
      <c r="I820" s="183"/>
      <c r="J820" s="173"/>
    </row>
    <row r="821">
      <c r="A821" s="189"/>
      <c r="B821" s="190"/>
      <c r="C821" s="191"/>
      <c r="D821" s="192"/>
      <c r="E821" s="192"/>
      <c r="F821" s="192"/>
      <c r="G821" s="183"/>
      <c r="H821" s="193"/>
      <c r="I821" s="183"/>
      <c r="J821" s="173"/>
    </row>
    <row r="822">
      <c r="A822" s="189"/>
      <c r="B822" s="190"/>
      <c r="C822" s="191"/>
      <c r="D822" s="192"/>
      <c r="E822" s="192"/>
      <c r="F822" s="192"/>
      <c r="G822" s="183"/>
      <c r="H822" s="193"/>
      <c r="I822" s="183"/>
      <c r="J822" s="173"/>
    </row>
    <row r="823">
      <c r="A823" s="189"/>
      <c r="B823" s="190"/>
      <c r="C823" s="191"/>
      <c r="D823" s="192"/>
      <c r="E823" s="192"/>
      <c r="F823" s="192"/>
      <c r="G823" s="183"/>
      <c r="H823" s="193"/>
      <c r="I823" s="183"/>
      <c r="J823" s="173"/>
    </row>
    <row r="824">
      <c r="A824" s="189"/>
      <c r="B824" s="190"/>
      <c r="C824" s="191"/>
      <c r="D824" s="192"/>
      <c r="E824" s="192"/>
      <c r="F824" s="192"/>
      <c r="G824" s="183"/>
      <c r="H824" s="193"/>
      <c r="I824" s="183"/>
      <c r="J824" s="173"/>
    </row>
    <row r="825">
      <c r="A825" s="189"/>
      <c r="B825" s="190"/>
      <c r="C825" s="191"/>
      <c r="D825" s="192"/>
      <c r="E825" s="192"/>
      <c r="F825" s="192"/>
      <c r="G825" s="183"/>
      <c r="H825" s="193"/>
      <c r="I825" s="183"/>
      <c r="J825" s="173"/>
    </row>
    <row r="826">
      <c r="A826" s="189"/>
      <c r="B826" s="190"/>
      <c r="C826" s="191"/>
      <c r="D826" s="192"/>
      <c r="E826" s="192"/>
      <c r="F826" s="192"/>
      <c r="G826" s="183"/>
      <c r="H826" s="193"/>
      <c r="I826" s="183"/>
      <c r="J826" s="173"/>
    </row>
    <row r="827">
      <c r="A827" s="189"/>
      <c r="B827" s="190"/>
      <c r="C827" s="191"/>
      <c r="D827" s="192"/>
      <c r="E827" s="192"/>
      <c r="F827" s="192"/>
      <c r="G827" s="183"/>
      <c r="H827" s="193"/>
      <c r="I827" s="183"/>
      <c r="J827" s="173"/>
    </row>
    <row r="828">
      <c r="A828" s="189"/>
      <c r="B828" s="190"/>
      <c r="C828" s="191"/>
      <c r="D828" s="192"/>
      <c r="E828" s="192"/>
      <c r="F828" s="192"/>
      <c r="G828" s="183"/>
      <c r="H828" s="193"/>
      <c r="I828" s="183"/>
      <c r="J828" s="173"/>
    </row>
    <row r="829">
      <c r="A829" s="189"/>
      <c r="B829" s="190"/>
      <c r="C829" s="191"/>
      <c r="D829" s="192"/>
      <c r="E829" s="192"/>
      <c r="F829" s="192"/>
      <c r="G829" s="183"/>
      <c r="H829" s="193"/>
      <c r="I829" s="183"/>
      <c r="J829" s="173"/>
    </row>
    <row r="830">
      <c r="A830" s="189"/>
      <c r="B830" s="190"/>
      <c r="C830" s="191"/>
      <c r="D830" s="192"/>
      <c r="E830" s="192"/>
      <c r="F830" s="192"/>
      <c r="G830" s="183"/>
      <c r="H830" s="193"/>
      <c r="I830" s="183"/>
      <c r="J830" s="173"/>
    </row>
    <row r="831">
      <c r="A831" s="189"/>
      <c r="B831" s="190"/>
      <c r="C831" s="191"/>
      <c r="D831" s="192"/>
      <c r="E831" s="192"/>
      <c r="F831" s="192"/>
      <c r="G831" s="183"/>
      <c r="H831" s="193"/>
      <c r="I831" s="183"/>
      <c r="J831" s="173"/>
    </row>
    <row r="832">
      <c r="A832" s="189"/>
      <c r="B832" s="190"/>
      <c r="C832" s="191"/>
      <c r="D832" s="192"/>
      <c r="E832" s="192"/>
      <c r="F832" s="192"/>
      <c r="G832" s="183"/>
      <c r="H832" s="193"/>
      <c r="I832" s="183"/>
      <c r="J832" s="173"/>
    </row>
    <row r="833">
      <c r="A833" s="189"/>
      <c r="B833" s="190"/>
      <c r="C833" s="191"/>
      <c r="D833" s="192"/>
      <c r="E833" s="192"/>
      <c r="F833" s="192"/>
      <c r="G833" s="183"/>
      <c r="H833" s="193"/>
      <c r="I833" s="183"/>
      <c r="J833" s="173"/>
    </row>
    <row r="834">
      <c r="A834" s="189"/>
      <c r="B834" s="190"/>
      <c r="C834" s="191"/>
      <c r="D834" s="192"/>
      <c r="E834" s="192"/>
      <c r="F834" s="192"/>
      <c r="G834" s="183"/>
      <c r="H834" s="193"/>
      <c r="I834" s="183"/>
      <c r="J834" s="173"/>
    </row>
    <row r="835">
      <c r="A835" s="189"/>
      <c r="B835" s="190"/>
      <c r="C835" s="191"/>
      <c r="D835" s="192"/>
      <c r="E835" s="192"/>
      <c r="F835" s="192"/>
      <c r="G835" s="183"/>
      <c r="H835" s="193"/>
      <c r="I835" s="183"/>
      <c r="J835" s="173"/>
    </row>
    <row r="836">
      <c r="A836" s="189"/>
      <c r="B836" s="190"/>
      <c r="C836" s="191"/>
      <c r="D836" s="192"/>
      <c r="E836" s="192"/>
      <c r="F836" s="192"/>
      <c r="G836" s="183"/>
      <c r="H836" s="193"/>
      <c r="I836" s="183"/>
      <c r="J836" s="173"/>
    </row>
    <row r="837">
      <c r="A837" s="189"/>
      <c r="B837" s="190"/>
      <c r="C837" s="191"/>
      <c r="D837" s="192"/>
      <c r="E837" s="192"/>
      <c r="F837" s="192"/>
      <c r="G837" s="183"/>
      <c r="H837" s="193"/>
      <c r="I837" s="183"/>
      <c r="J837" s="173"/>
    </row>
    <row r="838">
      <c r="A838" s="189"/>
      <c r="B838" s="190"/>
      <c r="C838" s="191"/>
      <c r="D838" s="192"/>
      <c r="E838" s="192"/>
      <c r="F838" s="192"/>
      <c r="G838" s="183"/>
      <c r="H838" s="193"/>
      <c r="I838" s="183"/>
      <c r="J838" s="173"/>
    </row>
    <row r="839">
      <c r="A839" s="189"/>
      <c r="B839" s="190"/>
      <c r="C839" s="191"/>
      <c r="D839" s="192"/>
      <c r="E839" s="192"/>
      <c r="F839" s="192"/>
      <c r="G839" s="183"/>
      <c r="H839" s="193"/>
      <c r="I839" s="183"/>
      <c r="J839" s="173"/>
    </row>
    <row r="840">
      <c r="A840" s="189"/>
      <c r="B840" s="190"/>
      <c r="C840" s="191"/>
      <c r="D840" s="192"/>
      <c r="E840" s="192"/>
      <c r="F840" s="192"/>
      <c r="G840" s="183"/>
      <c r="H840" s="193"/>
      <c r="I840" s="183"/>
      <c r="J840" s="173"/>
    </row>
    <row r="841">
      <c r="A841" s="189"/>
      <c r="B841" s="190"/>
      <c r="C841" s="191"/>
      <c r="D841" s="192"/>
      <c r="E841" s="192"/>
      <c r="F841" s="192"/>
      <c r="G841" s="183"/>
      <c r="H841" s="193"/>
      <c r="I841" s="183"/>
      <c r="J841" s="173"/>
    </row>
    <row r="842">
      <c r="A842" s="189"/>
      <c r="B842" s="190"/>
      <c r="C842" s="191"/>
      <c r="D842" s="192"/>
      <c r="E842" s="192"/>
      <c r="F842" s="192"/>
      <c r="G842" s="183"/>
      <c r="H842" s="193"/>
      <c r="I842" s="183"/>
      <c r="J842" s="173"/>
    </row>
    <row r="843">
      <c r="A843" s="189"/>
      <c r="B843" s="190"/>
      <c r="C843" s="191"/>
      <c r="D843" s="192"/>
      <c r="E843" s="192"/>
      <c r="F843" s="192"/>
      <c r="G843" s="183"/>
      <c r="H843" s="193"/>
      <c r="I843" s="183"/>
      <c r="J843" s="173"/>
    </row>
    <row r="844">
      <c r="A844" s="189"/>
      <c r="B844" s="190"/>
      <c r="C844" s="191"/>
      <c r="D844" s="192"/>
      <c r="E844" s="192"/>
      <c r="F844" s="192"/>
      <c r="G844" s="183"/>
      <c r="H844" s="193"/>
      <c r="I844" s="183"/>
      <c r="J844" s="173"/>
    </row>
    <row r="845">
      <c r="A845" s="189"/>
      <c r="B845" s="190"/>
      <c r="C845" s="191"/>
      <c r="D845" s="192"/>
      <c r="E845" s="192"/>
      <c r="F845" s="192"/>
      <c r="G845" s="183"/>
      <c r="H845" s="193"/>
      <c r="I845" s="183"/>
      <c r="J845" s="173"/>
    </row>
    <row r="846">
      <c r="A846" s="189"/>
      <c r="B846" s="190"/>
      <c r="C846" s="191"/>
      <c r="D846" s="192"/>
      <c r="E846" s="192"/>
      <c r="F846" s="192"/>
      <c r="G846" s="183"/>
      <c r="H846" s="193"/>
      <c r="I846" s="183"/>
      <c r="J846" s="173"/>
    </row>
    <row r="847">
      <c r="A847" s="189"/>
      <c r="B847" s="190"/>
      <c r="C847" s="191"/>
      <c r="D847" s="192"/>
      <c r="E847" s="192"/>
      <c r="F847" s="192"/>
      <c r="G847" s="183"/>
      <c r="H847" s="193"/>
      <c r="I847" s="183"/>
      <c r="J847" s="173"/>
    </row>
    <row r="848">
      <c r="A848" s="189"/>
      <c r="B848" s="190"/>
      <c r="C848" s="191"/>
      <c r="D848" s="192"/>
      <c r="E848" s="192"/>
      <c r="F848" s="192"/>
      <c r="G848" s="183"/>
      <c r="H848" s="193"/>
      <c r="I848" s="183"/>
      <c r="J848" s="173"/>
    </row>
    <row r="849">
      <c r="A849" s="189"/>
      <c r="B849" s="190"/>
      <c r="C849" s="191"/>
      <c r="D849" s="192"/>
      <c r="E849" s="192"/>
      <c r="F849" s="192"/>
      <c r="G849" s="183"/>
      <c r="H849" s="193"/>
      <c r="I849" s="183"/>
      <c r="J849" s="173"/>
    </row>
    <row r="850">
      <c r="A850" s="189"/>
      <c r="B850" s="190"/>
      <c r="C850" s="191"/>
      <c r="D850" s="192"/>
      <c r="E850" s="192"/>
      <c r="F850" s="192"/>
      <c r="G850" s="183"/>
      <c r="H850" s="193"/>
      <c r="I850" s="183"/>
      <c r="J850" s="173"/>
    </row>
    <row r="851">
      <c r="A851" s="189"/>
      <c r="B851" s="190"/>
      <c r="C851" s="191"/>
      <c r="D851" s="192"/>
      <c r="E851" s="192"/>
      <c r="F851" s="192"/>
      <c r="G851" s="183"/>
      <c r="H851" s="193"/>
      <c r="I851" s="183"/>
      <c r="J851" s="173"/>
    </row>
    <row r="852">
      <c r="A852" s="189"/>
      <c r="B852" s="190"/>
      <c r="C852" s="191"/>
      <c r="D852" s="192"/>
      <c r="E852" s="192"/>
      <c r="F852" s="192"/>
      <c r="G852" s="183"/>
      <c r="H852" s="193"/>
      <c r="I852" s="183"/>
      <c r="J852" s="173"/>
    </row>
    <row r="853">
      <c r="A853" s="189"/>
      <c r="B853" s="190"/>
      <c r="C853" s="191"/>
      <c r="D853" s="192"/>
      <c r="E853" s="192"/>
      <c r="F853" s="192"/>
      <c r="G853" s="183"/>
      <c r="H853" s="193"/>
      <c r="I853" s="183"/>
      <c r="J853" s="173"/>
    </row>
    <row r="854">
      <c r="A854" s="189"/>
      <c r="B854" s="190"/>
      <c r="C854" s="191"/>
      <c r="D854" s="192"/>
      <c r="E854" s="192"/>
      <c r="F854" s="192"/>
      <c r="G854" s="183"/>
      <c r="H854" s="193"/>
      <c r="I854" s="183"/>
      <c r="J854" s="173"/>
    </row>
    <row r="855">
      <c r="A855" s="189"/>
      <c r="B855" s="190"/>
      <c r="C855" s="191"/>
      <c r="D855" s="192"/>
      <c r="E855" s="192"/>
      <c r="F855" s="192"/>
      <c r="G855" s="183"/>
      <c r="H855" s="193"/>
      <c r="I855" s="183"/>
      <c r="J855" s="173"/>
    </row>
    <row r="856">
      <c r="A856" s="189"/>
      <c r="B856" s="190"/>
      <c r="C856" s="191"/>
      <c r="D856" s="192"/>
      <c r="E856" s="192"/>
      <c r="F856" s="192"/>
      <c r="G856" s="183"/>
      <c r="H856" s="193"/>
      <c r="I856" s="183"/>
      <c r="J856" s="173"/>
    </row>
    <row r="857">
      <c r="A857" s="189"/>
      <c r="B857" s="190"/>
      <c r="C857" s="191"/>
      <c r="D857" s="192"/>
      <c r="E857" s="192"/>
      <c r="F857" s="192"/>
      <c r="G857" s="183"/>
      <c r="H857" s="193"/>
      <c r="I857" s="183"/>
      <c r="J857" s="173"/>
    </row>
    <row r="858">
      <c r="A858" s="189"/>
      <c r="B858" s="190"/>
      <c r="C858" s="191"/>
      <c r="D858" s="192"/>
      <c r="E858" s="192"/>
      <c r="F858" s="192"/>
      <c r="G858" s="183"/>
      <c r="H858" s="193"/>
      <c r="I858" s="183"/>
      <c r="J858" s="173"/>
    </row>
    <row r="859">
      <c r="A859" s="189"/>
      <c r="B859" s="190"/>
      <c r="C859" s="191"/>
      <c r="D859" s="192"/>
      <c r="E859" s="192"/>
      <c r="F859" s="192"/>
      <c r="G859" s="183"/>
      <c r="H859" s="193"/>
      <c r="I859" s="183"/>
      <c r="J859" s="173"/>
    </row>
    <row r="860">
      <c r="A860" s="189"/>
      <c r="B860" s="190"/>
      <c r="C860" s="191"/>
      <c r="D860" s="192"/>
      <c r="E860" s="192"/>
      <c r="F860" s="192"/>
      <c r="G860" s="183"/>
      <c r="H860" s="193"/>
      <c r="I860" s="183"/>
      <c r="J860" s="173"/>
    </row>
    <row r="861">
      <c r="A861" s="189"/>
      <c r="B861" s="190"/>
      <c r="C861" s="191"/>
      <c r="D861" s="192"/>
      <c r="E861" s="192"/>
      <c r="F861" s="192"/>
      <c r="G861" s="183"/>
      <c r="H861" s="193"/>
      <c r="I861" s="183"/>
      <c r="J861" s="173"/>
    </row>
    <row r="862">
      <c r="A862" s="189"/>
      <c r="B862" s="190"/>
      <c r="C862" s="191"/>
      <c r="D862" s="192"/>
      <c r="E862" s="192"/>
      <c r="F862" s="192"/>
      <c r="G862" s="183"/>
      <c r="H862" s="193"/>
      <c r="I862" s="183"/>
      <c r="J862" s="173"/>
    </row>
    <row r="863">
      <c r="A863" s="189"/>
      <c r="B863" s="190"/>
      <c r="C863" s="191"/>
      <c r="D863" s="192"/>
      <c r="E863" s="192"/>
      <c r="F863" s="192"/>
      <c r="G863" s="183"/>
      <c r="H863" s="193"/>
      <c r="I863" s="183"/>
      <c r="J863" s="173"/>
    </row>
    <row r="864">
      <c r="A864" s="189"/>
      <c r="B864" s="190"/>
      <c r="C864" s="191"/>
      <c r="D864" s="192"/>
      <c r="E864" s="192"/>
      <c r="F864" s="192"/>
      <c r="G864" s="183"/>
      <c r="H864" s="193"/>
      <c r="I864" s="183"/>
      <c r="J864" s="173"/>
    </row>
    <row r="865">
      <c r="A865" s="189"/>
      <c r="B865" s="190"/>
      <c r="C865" s="191"/>
      <c r="D865" s="192"/>
      <c r="E865" s="192"/>
      <c r="F865" s="192"/>
      <c r="G865" s="183"/>
      <c r="H865" s="193"/>
      <c r="I865" s="183"/>
      <c r="J865" s="173"/>
    </row>
    <row r="866">
      <c r="A866" s="189"/>
      <c r="B866" s="190"/>
      <c r="C866" s="191"/>
      <c r="D866" s="192"/>
      <c r="E866" s="192"/>
      <c r="F866" s="192"/>
      <c r="G866" s="183"/>
      <c r="H866" s="193"/>
      <c r="I866" s="183"/>
      <c r="J866" s="173"/>
    </row>
    <row r="867">
      <c r="A867" s="189"/>
      <c r="B867" s="190"/>
      <c r="C867" s="191"/>
      <c r="D867" s="192"/>
      <c r="E867" s="192"/>
      <c r="F867" s="192"/>
      <c r="G867" s="183"/>
      <c r="H867" s="193"/>
      <c r="I867" s="183"/>
      <c r="J867" s="173"/>
    </row>
    <row r="868">
      <c r="A868" s="189"/>
      <c r="B868" s="190"/>
      <c r="C868" s="191"/>
      <c r="D868" s="192"/>
      <c r="E868" s="192"/>
      <c r="F868" s="192"/>
      <c r="G868" s="183"/>
      <c r="H868" s="193"/>
      <c r="I868" s="183"/>
      <c r="J868" s="173"/>
    </row>
    <row r="869">
      <c r="A869" s="189"/>
      <c r="B869" s="190"/>
      <c r="C869" s="191"/>
      <c r="D869" s="192"/>
      <c r="E869" s="192"/>
      <c r="F869" s="192"/>
      <c r="G869" s="183"/>
      <c r="H869" s="193"/>
      <c r="I869" s="183"/>
      <c r="J869" s="173"/>
    </row>
    <row r="870">
      <c r="A870" s="189"/>
      <c r="B870" s="190"/>
      <c r="C870" s="191"/>
      <c r="D870" s="192"/>
      <c r="E870" s="192"/>
      <c r="F870" s="192"/>
      <c r="G870" s="183"/>
      <c r="H870" s="193"/>
      <c r="I870" s="183"/>
      <c r="J870" s="173"/>
    </row>
    <row r="871">
      <c r="A871" s="189"/>
      <c r="B871" s="190"/>
      <c r="C871" s="191"/>
      <c r="D871" s="192"/>
      <c r="E871" s="192"/>
      <c r="F871" s="192"/>
      <c r="G871" s="183"/>
      <c r="H871" s="193"/>
      <c r="I871" s="183"/>
      <c r="J871" s="173"/>
    </row>
    <row r="872">
      <c r="A872" s="189"/>
      <c r="B872" s="190"/>
      <c r="C872" s="191"/>
      <c r="D872" s="192"/>
      <c r="E872" s="192"/>
      <c r="F872" s="192"/>
      <c r="G872" s="183"/>
      <c r="H872" s="193"/>
      <c r="I872" s="183"/>
      <c r="J872" s="173"/>
    </row>
    <row r="873">
      <c r="A873" s="189"/>
      <c r="B873" s="190"/>
      <c r="C873" s="191"/>
      <c r="D873" s="192"/>
      <c r="E873" s="192"/>
      <c r="F873" s="192"/>
      <c r="G873" s="183"/>
      <c r="H873" s="193"/>
      <c r="I873" s="183"/>
      <c r="J873" s="173"/>
    </row>
    <row r="874">
      <c r="A874" s="189"/>
      <c r="B874" s="190"/>
      <c r="C874" s="191"/>
      <c r="D874" s="192"/>
      <c r="E874" s="192"/>
      <c r="F874" s="192"/>
      <c r="G874" s="183"/>
      <c r="H874" s="193"/>
      <c r="I874" s="183"/>
      <c r="J874" s="173"/>
    </row>
    <row r="875">
      <c r="A875" s="189"/>
      <c r="B875" s="190"/>
      <c r="C875" s="191"/>
      <c r="D875" s="192"/>
      <c r="E875" s="192"/>
      <c r="F875" s="192"/>
      <c r="G875" s="183"/>
      <c r="H875" s="193"/>
      <c r="I875" s="183"/>
      <c r="J875" s="173"/>
    </row>
    <row r="876">
      <c r="A876" s="189"/>
      <c r="B876" s="190"/>
      <c r="C876" s="191"/>
      <c r="D876" s="192"/>
      <c r="E876" s="192"/>
      <c r="F876" s="192"/>
      <c r="G876" s="183"/>
      <c r="H876" s="193"/>
      <c r="I876" s="183"/>
      <c r="J876" s="173"/>
    </row>
    <row r="877">
      <c r="A877" s="189"/>
      <c r="B877" s="190"/>
      <c r="C877" s="191"/>
      <c r="D877" s="192"/>
      <c r="E877" s="192"/>
      <c r="F877" s="192"/>
      <c r="G877" s="183"/>
      <c r="H877" s="193"/>
      <c r="I877" s="183"/>
      <c r="J877" s="173"/>
    </row>
    <row r="878">
      <c r="A878" s="189"/>
      <c r="B878" s="190"/>
      <c r="C878" s="191"/>
      <c r="D878" s="192"/>
      <c r="E878" s="192"/>
      <c r="F878" s="192"/>
      <c r="G878" s="183"/>
      <c r="H878" s="193"/>
      <c r="I878" s="183"/>
      <c r="J878" s="173"/>
    </row>
    <row r="879">
      <c r="A879" s="189"/>
      <c r="B879" s="190"/>
      <c r="C879" s="191"/>
      <c r="D879" s="192"/>
      <c r="E879" s="192"/>
      <c r="F879" s="192"/>
      <c r="G879" s="183"/>
      <c r="H879" s="193"/>
      <c r="I879" s="183"/>
      <c r="J879" s="173"/>
    </row>
    <row r="880">
      <c r="A880" s="189"/>
      <c r="B880" s="190"/>
      <c r="C880" s="191"/>
      <c r="D880" s="192"/>
      <c r="E880" s="192"/>
      <c r="F880" s="192"/>
      <c r="G880" s="183"/>
      <c r="H880" s="193"/>
      <c r="I880" s="183"/>
      <c r="J880" s="173"/>
    </row>
    <row r="881">
      <c r="A881" s="189"/>
      <c r="B881" s="190"/>
      <c r="C881" s="191"/>
      <c r="D881" s="192"/>
      <c r="E881" s="192"/>
      <c r="F881" s="192"/>
      <c r="G881" s="183"/>
      <c r="H881" s="193"/>
      <c r="I881" s="183"/>
      <c r="J881" s="173"/>
    </row>
    <row r="882">
      <c r="A882" s="189"/>
      <c r="B882" s="190"/>
      <c r="C882" s="191"/>
      <c r="D882" s="192"/>
      <c r="E882" s="192"/>
      <c r="F882" s="192"/>
      <c r="G882" s="183"/>
      <c r="H882" s="193"/>
      <c r="I882" s="183"/>
      <c r="J882" s="173"/>
    </row>
    <row r="883">
      <c r="A883" s="189"/>
      <c r="B883" s="190"/>
      <c r="C883" s="191"/>
      <c r="D883" s="192"/>
      <c r="E883" s="192"/>
      <c r="F883" s="192"/>
      <c r="G883" s="183"/>
      <c r="H883" s="193"/>
      <c r="I883" s="183"/>
      <c r="J883" s="173"/>
    </row>
    <row r="884">
      <c r="A884" s="189"/>
      <c r="B884" s="190"/>
      <c r="C884" s="191"/>
      <c r="D884" s="192"/>
      <c r="E884" s="192"/>
      <c r="F884" s="192"/>
      <c r="G884" s="183"/>
      <c r="H884" s="193"/>
      <c r="I884" s="183"/>
      <c r="J884" s="173"/>
    </row>
    <row r="885">
      <c r="A885" s="189"/>
      <c r="B885" s="190"/>
      <c r="C885" s="191"/>
      <c r="D885" s="192"/>
      <c r="E885" s="192"/>
      <c r="F885" s="192"/>
      <c r="G885" s="183"/>
      <c r="H885" s="193"/>
      <c r="I885" s="183"/>
      <c r="J885" s="173"/>
    </row>
    <row r="886">
      <c r="A886" s="189"/>
      <c r="B886" s="190"/>
      <c r="C886" s="191"/>
      <c r="D886" s="192"/>
      <c r="E886" s="192"/>
      <c r="F886" s="192"/>
      <c r="G886" s="183"/>
      <c r="H886" s="193"/>
      <c r="I886" s="183"/>
      <c r="J886" s="173"/>
    </row>
    <row r="887">
      <c r="A887" s="189"/>
      <c r="B887" s="190"/>
      <c r="C887" s="191"/>
      <c r="D887" s="192"/>
      <c r="E887" s="192"/>
      <c r="F887" s="192"/>
      <c r="G887" s="183"/>
      <c r="H887" s="193"/>
      <c r="I887" s="183"/>
      <c r="J887" s="173"/>
    </row>
    <row r="888">
      <c r="A888" s="189"/>
      <c r="B888" s="190"/>
      <c r="C888" s="191"/>
      <c r="D888" s="192"/>
      <c r="E888" s="192"/>
      <c r="F888" s="192"/>
      <c r="G888" s="183"/>
      <c r="H888" s="193"/>
      <c r="I888" s="183"/>
      <c r="J888" s="173"/>
    </row>
    <row r="889">
      <c r="A889" s="189"/>
      <c r="B889" s="190"/>
      <c r="C889" s="191"/>
      <c r="D889" s="192"/>
      <c r="E889" s="192"/>
      <c r="F889" s="192"/>
      <c r="G889" s="183"/>
      <c r="H889" s="193"/>
      <c r="I889" s="183"/>
      <c r="J889" s="173"/>
    </row>
    <row r="890">
      <c r="A890" s="189"/>
      <c r="B890" s="190"/>
      <c r="C890" s="191"/>
      <c r="D890" s="192"/>
      <c r="E890" s="192"/>
      <c r="F890" s="192"/>
      <c r="G890" s="183"/>
      <c r="H890" s="193"/>
      <c r="I890" s="183"/>
      <c r="J890" s="173"/>
    </row>
    <row r="891">
      <c r="A891" s="189"/>
      <c r="B891" s="190"/>
      <c r="C891" s="191"/>
      <c r="D891" s="192"/>
      <c r="E891" s="192"/>
      <c r="F891" s="192"/>
      <c r="G891" s="183"/>
      <c r="H891" s="193"/>
      <c r="I891" s="183"/>
      <c r="J891" s="173"/>
    </row>
    <row r="892">
      <c r="A892" s="189"/>
      <c r="B892" s="190"/>
      <c r="C892" s="191"/>
      <c r="D892" s="192"/>
      <c r="E892" s="192"/>
      <c r="F892" s="192"/>
      <c r="G892" s="183"/>
      <c r="H892" s="193"/>
      <c r="I892" s="183"/>
      <c r="J892" s="173"/>
    </row>
    <row r="893">
      <c r="A893" s="189"/>
      <c r="B893" s="190"/>
      <c r="C893" s="191"/>
      <c r="D893" s="192"/>
      <c r="E893" s="192"/>
      <c r="F893" s="192"/>
      <c r="G893" s="183"/>
      <c r="H893" s="193"/>
      <c r="I893" s="183"/>
      <c r="J893" s="173"/>
    </row>
    <row r="894">
      <c r="A894" s="189"/>
      <c r="B894" s="190"/>
      <c r="C894" s="191"/>
      <c r="D894" s="192"/>
      <c r="E894" s="192"/>
      <c r="F894" s="192"/>
      <c r="G894" s="183"/>
      <c r="H894" s="193"/>
      <c r="I894" s="183"/>
      <c r="J894" s="173"/>
    </row>
    <row r="895">
      <c r="A895" s="189"/>
      <c r="B895" s="190"/>
      <c r="C895" s="191"/>
      <c r="D895" s="192"/>
      <c r="E895" s="192"/>
      <c r="F895" s="192"/>
      <c r="G895" s="183"/>
      <c r="H895" s="193"/>
      <c r="I895" s="183"/>
      <c r="J895" s="173"/>
    </row>
    <row r="896">
      <c r="A896" s="189"/>
      <c r="B896" s="190"/>
      <c r="C896" s="191"/>
      <c r="D896" s="192"/>
      <c r="E896" s="192"/>
      <c r="F896" s="192"/>
      <c r="G896" s="183"/>
      <c r="H896" s="193"/>
      <c r="I896" s="183"/>
      <c r="J896" s="173"/>
    </row>
    <row r="897">
      <c r="A897" s="189"/>
      <c r="B897" s="190"/>
      <c r="C897" s="191"/>
      <c r="D897" s="192"/>
      <c r="E897" s="192"/>
      <c r="F897" s="192"/>
      <c r="G897" s="183"/>
      <c r="H897" s="193"/>
      <c r="I897" s="183"/>
      <c r="J897" s="173"/>
    </row>
    <row r="898">
      <c r="A898" s="189"/>
      <c r="B898" s="190"/>
      <c r="C898" s="191"/>
      <c r="D898" s="192"/>
      <c r="E898" s="192"/>
      <c r="F898" s="192"/>
      <c r="G898" s="183"/>
      <c r="H898" s="193"/>
      <c r="I898" s="183"/>
      <c r="J898" s="173"/>
    </row>
    <row r="899">
      <c r="A899" s="189"/>
      <c r="B899" s="190"/>
      <c r="C899" s="191"/>
      <c r="D899" s="192"/>
      <c r="E899" s="192"/>
      <c r="F899" s="192"/>
      <c r="G899" s="183"/>
      <c r="H899" s="193"/>
      <c r="I899" s="183"/>
      <c r="J899" s="173"/>
    </row>
    <row r="900">
      <c r="A900" s="189"/>
      <c r="B900" s="190"/>
      <c r="C900" s="191"/>
      <c r="D900" s="192"/>
      <c r="E900" s="192"/>
      <c r="F900" s="192"/>
      <c r="G900" s="183"/>
      <c r="H900" s="193"/>
      <c r="I900" s="183"/>
      <c r="J900" s="173"/>
    </row>
    <row r="901">
      <c r="A901" s="189"/>
      <c r="B901" s="190"/>
      <c r="C901" s="191"/>
      <c r="D901" s="192"/>
      <c r="E901" s="192"/>
      <c r="F901" s="192"/>
      <c r="G901" s="183"/>
      <c r="H901" s="193"/>
      <c r="I901" s="183"/>
      <c r="J901" s="173"/>
    </row>
    <row r="902">
      <c r="A902" s="189"/>
      <c r="B902" s="190"/>
      <c r="C902" s="191"/>
      <c r="D902" s="192"/>
      <c r="E902" s="192"/>
      <c r="F902" s="192"/>
      <c r="G902" s="183"/>
      <c r="H902" s="193"/>
      <c r="I902" s="183"/>
      <c r="J902" s="173"/>
    </row>
    <row r="903">
      <c r="A903" s="189"/>
      <c r="B903" s="190"/>
      <c r="C903" s="191"/>
      <c r="D903" s="192"/>
      <c r="E903" s="192"/>
      <c r="F903" s="192"/>
      <c r="G903" s="183"/>
      <c r="H903" s="193"/>
      <c r="I903" s="183"/>
      <c r="J903" s="173"/>
    </row>
    <row r="904">
      <c r="A904" s="189"/>
      <c r="B904" s="190"/>
      <c r="C904" s="191"/>
      <c r="D904" s="192"/>
      <c r="E904" s="192"/>
      <c r="F904" s="192"/>
      <c r="G904" s="183"/>
      <c r="H904" s="193"/>
      <c r="I904" s="183"/>
      <c r="J904" s="173"/>
    </row>
    <row r="905">
      <c r="A905" s="189"/>
      <c r="B905" s="190"/>
      <c r="C905" s="191"/>
      <c r="D905" s="192"/>
      <c r="E905" s="192"/>
      <c r="F905" s="192"/>
      <c r="G905" s="183"/>
      <c r="H905" s="193"/>
      <c r="I905" s="183"/>
      <c r="J905" s="173"/>
    </row>
    <row r="906">
      <c r="A906" s="189"/>
      <c r="B906" s="190"/>
      <c r="C906" s="191"/>
      <c r="D906" s="192"/>
      <c r="E906" s="192"/>
      <c r="F906" s="192"/>
      <c r="G906" s="183"/>
      <c r="H906" s="193"/>
      <c r="I906" s="183"/>
      <c r="J906" s="173"/>
    </row>
    <row r="907">
      <c r="A907" s="189"/>
      <c r="B907" s="190"/>
      <c r="C907" s="191"/>
      <c r="D907" s="192"/>
      <c r="E907" s="192"/>
      <c r="F907" s="192"/>
      <c r="G907" s="183"/>
      <c r="H907" s="193"/>
      <c r="I907" s="183"/>
      <c r="J907" s="173"/>
    </row>
    <row r="908">
      <c r="A908" s="189"/>
      <c r="B908" s="190"/>
      <c r="C908" s="191"/>
      <c r="D908" s="192"/>
      <c r="E908" s="192"/>
      <c r="F908" s="192"/>
      <c r="G908" s="183"/>
      <c r="H908" s="193"/>
      <c r="I908" s="183"/>
      <c r="J908" s="173"/>
    </row>
    <row r="909">
      <c r="A909" s="189"/>
      <c r="B909" s="190"/>
      <c r="C909" s="191"/>
      <c r="D909" s="192"/>
      <c r="E909" s="192"/>
      <c r="F909" s="192"/>
      <c r="G909" s="183"/>
      <c r="H909" s="193"/>
      <c r="I909" s="183"/>
      <c r="J909" s="173"/>
    </row>
    <row r="910">
      <c r="A910" s="189"/>
      <c r="B910" s="190"/>
      <c r="C910" s="191"/>
      <c r="D910" s="192"/>
      <c r="E910" s="192"/>
      <c r="F910" s="192"/>
      <c r="G910" s="183"/>
      <c r="H910" s="193"/>
      <c r="I910" s="183"/>
      <c r="J910" s="173"/>
    </row>
    <row r="911">
      <c r="A911" s="189"/>
      <c r="B911" s="190"/>
      <c r="C911" s="191"/>
      <c r="D911" s="192"/>
      <c r="E911" s="192"/>
      <c r="F911" s="192"/>
      <c r="G911" s="183"/>
      <c r="H911" s="193"/>
      <c r="I911" s="183"/>
      <c r="J911" s="173"/>
    </row>
    <row r="912">
      <c r="A912" s="189"/>
      <c r="B912" s="190"/>
      <c r="C912" s="191"/>
      <c r="D912" s="192"/>
      <c r="E912" s="192"/>
      <c r="F912" s="192"/>
      <c r="G912" s="183"/>
      <c r="H912" s="193"/>
      <c r="I912" s="183"/>
      <c r="J912" s="173"/>
    </row>
    <row r="913">
      <c r="A913" s="189"/>
      <c r="B913" s="190"/>
      <c r="C913" s="191"/>
      <c r="D913" s="192"/>
      <c r="E913" s="192"/>
      <c r="F913" s="192"/>
      <c r="G913" s="183"/>
      <c r="H913" s="193"/>
      <c r="I913" s="183"/>
      <c r="J913" s="173"/>
    </row>
    <row r="914">
      <c r="A914" s="189"/>
      <c r="B914" s="190"/>
      <c r="C914" s="191"/>
      <c r="D914" s="192"/>
      <c r="E914" s="192"/>
      <c r="F914" s="192"/>
      <c r="G914" s="183"/>
      <c r="H914" s="193"/>
      <c r="I914" s="183"/>
      <c r="J914" s="173"/>
    </row>
    <row r="915">
      <c r="A915" s="189"/>
      <c r="B915" s="190"/>
      <c r="C915" s="191"/>
      <c r="D915" s="192"/>
      <c r="E915" s="192"/>
      <c r="F915" s="192"/>
      <c r="G915" s="183"/>
      <c r="H915" s="193"/>
      <c r="I915" s="183"/>
      <c r="J915" s="173"/>
    </row>
    <row r="916">
      <c r="A916" s="189"/>
      <c r="B916" s="190"/>
      <c r="C916" s="191"/>
      <c r="D916" s="192"/>
      <c r="E916" s="192"/>
      <c r="F916" s="192"/>
      <c r="G916" s="183"/>
      <c r="H916" s="193"/>
      <c r="I916" s="183"/>
      <c r="J916" s="173"/>
    </row>
    <row r="917">
      <c r="A917" s="189"/>
      <c r="B917" s="190"/>
      <c r="C917" s="191"/>
      <c r="D917" s="192"/>
      <c r="E917" s="192"/>
      <c r="F917" s="192"/>
      <c r="G917" s="183"/>
      <c r="H917" s="193"/>
      <c r="I917" s="183"/>
      <c r="J917" s="173"/>
    </row>
    <row r="918">
      <c r="A918" s="189"/>
      <c r="B918" s="190"/>
      <c r="C918" s="191"/>
      <c r="D918" s="192"/>
      <c r="E918" s="192"/>
      <c r="F918" s="192"/>
      <c r="G918" s="183"/>
      <c r="H918" s="193"/>
      <c r="I918" s="183"/>
      <c r="J918" s="173"/>
    </row>
    <row r="919">
      <c r="A919" s="189"/>
      <c r="B919" s="190"/>
      <c r="C919" s="191"/>
      <c r="D919" s="192"/>
      <c r="E919" s="192"/>
      <c r="F919" s="192"/>
      <c r="G919" s="183"/>
      <c r="H919" s="193"/>
      <c r="I919" s="183"/>
      <c r="J919" s="173"/>
    </row>
    <row r="920">
      <c r="A920" s="189"/>
      <c r="B920" s="190"/>
      <c r="C920" s="191"/>
      <c r="D920" s="192"/>
      <c r="E920" s="192"/>
      <c r="F920" s="192"/>
      <c r="G920" s="183"/>
      <c r="H920" s="193"/>
      <c r="I920" s="183"/>
      <c r="J920" s="173"/>
    </row>
    <row r="921">
      <c r="A921" s="189"/>
      <c r="B921" s="190"/>
      <c r="C921" s="191"/>
      <c r="D921" s="192"/>
      <c r="E921" s="192"/>
      <c r="F921" s="192"/>
      <c r="G921" s="183"/>
      <c r="H921" s="193"/>
      <c r="I921" s="183"/>
      <c r="J921" s="173"/>
    </row>
    <row r="922">
      <c r="A922" s="189"/>
      <c r="B922" s="190"/>
      <c r="C922" s="191"/>
      <c r="D922" s="192"/>
      <c r="E922" s="192"/>
      <c r="F922" s="192"/>
      <c r="G922" s="183"/>
      <c r="H922" s="193"/>
      <c r="I922" s="183"/>
      <c r="J922" s="173"/>
    </row>
    <row r="923">
      <c r="A923" s="189"/>
      <c r="B923" s="190"/>
      <c r="C923" s="191"/>
      <c r="D923" s="192"/>
      <c r="E923" s="192"/>
      <c r="F923" s="192"/>
      <c r="G923" s="183"/>
      <c r="H923" s="193"/>
      <c r="I923" s="183"/>
      <c r="J923" s="173"/>
    </row>
    <row r="924">
      <c r="A924" s="189"/>
      <c r="B924" s="190"/>
      <c r="C924" s="191"/>
      <c r="D924" s="192"/>
      <c r="E924" s="192"/>
      <c r="F924" s="192"/>
      <c r="G924" s="183"/>
      <c r="H924" s="193"/>
      <c r="I924" s="183"/>
      <c r="J924" s="173"/>
    </row>
    <row r="925">
      <c r="A925" s="189"/>
      <c r="B925" s="190"/>
      <c r="C925" s="191"/>
      <c r="D925" s="192"/>
      <c r="E925" s="192"/>
      <c r="F925" s="192"/>
      <c r="G925" s="183"/>
      <c r="H925" s="193"/>
      <c r="I925" s="183"/>
      <c r="J925" s="173"/>
    </row>
    <row r="926">
      <c r="A926" s="189"/>
      <c r="B926" s="190"/>
      <c r="C926" s="191"/>
      <c r="D926" s="192"/>
      <c r="E926" s="192"/>
      <c r="F926" s="192"/>
      <c r="G926" s="183"/>
      <c r="H926" s="193"/>
      <c r="I926" s="183"/>
      <c r="J926" s="173"/>
    </row>
    <row r="927">
      <c r="A927" s="189"/>
      <c r="B927" s="190"/>
      <c r="C927" s="191"/>
      <c r="D927" s="192"/>
      <c r="E927" s="192"/>
      <c r="F927" s="192"/>
      <c r="G927" s="183"/>
      <c r="H927" s="193"/>
      <c r="I927" s="183"/>
      <c r="J927" s="173"/>
    </row>
    <row r="928">
      <c r="A928" s="189"/>
      <c r="B928" s="190"/>
      <c r="C928" s="191"/>
      <c r="D928" s="192"/>
      <c r="E928" s="192"/>
      <c r="F928" s="192"/>
      <c r="G928" s="183"/>
      <c r="H928" s="193"/>
      <c r="I928" s="183"/>
      <c r="J928" s="173"/>
    </row>
    <row r="929">
      <c r="A929" s="189"/>
      <c r="B929" s="190"/>
      <c r="C929" s="191"/>
      <c r="D929" s="192"/>
      <c r="E929" s="192"/>
      <c r="F929" s="192"/>
      <c r="G929" s="183"/>
      <c r="H929" s="193"/>
      <c r="I929" s="183"/>
      <c r="J929" s="173"/>
    </row>
    <row r="930">
      <c r="A930" s="189"/>
      <c r="B930" s="190"/>
      <c r="C930" s="191"/>
      <c r="D930" s="192"/>
      <c r="E930" s="192"/>
      <c r="F930" s="192"/>
      <c r="G930" s="183"/>
      <c r="H930" s="193"/>
      <c r="I930" s="183"/>
      <c r="J930" s="173"/>
    </row>
    <row r="931">
      <c r="A931" s="189"/>
      <c r="B931" s="190"/>
      <c r="C931" s="191"/>
      <c r="D931" s="192"/>
      <c r="E931" s="192"/>
      <c r="F931" s="192"/>
      <c r="G931" s="183"/>
      <c r="H931" s="193"/>
      <c r="I931" s="183"/>
      <c r="J931" s="173"/>
    </row>
    <row r="932">
      <c r="A932" s="189"/>
      <c r="B932" s="190"/>
      <c r="C932" s="191"/>
      <c r="D932" s="192"/>
      <c r="E932" s="192"/>
      <c r="F932" s="192"/>
      <c r="G932" s="183"/>
      <c r="H932" s="193"/>
      <c r="I932" s="183"/>
      <c r="J932" s="173"/>
    </row>
    <row r="933">
      <c r="A933" s="189"/>
      <c r="B933" s="190"/>
      <c r="C933" s="191"/>
      <c r="D933" s="192"/>
      <c r="E933" s="192"/>
      <c r="F933" s="192"/>
      <c r="G933" s="183"/>
      <c r="H933" s="193"/>
      <c r="I933" s="183"/>
      <c r="J933" s="173"/>
    </row>
    <row r="934">
      <c r="A934" s="189"/>
      <c r="B934" s="190"/>
      <c r="C934" s="191"/>
      <c r="D934" s="192"/>
      <c r="E934" s="192"/>
      <c r="F934" s="192"/>
      <c r="G934" s="183"/>
      <c r="H934" s="193"/>
      <c r="I934" s="183"/>
      <c r="J934" s="173"/>
    </row>
    <row r="935">
      <c r="A935" s="189"/>
      <c r="B935" s="190"/>
      <c r="C935" s="191"/>
      <c r="D935" s="192"/>
      <c r="E935" s="192"/>
      <c r="F935" s="192"/>
      <c r="G935" s="183"/>
      <c r="H935" s="193"/>
      <c r="I935" s="183"/>
      <c r="J935" s="173"/>
    </row>
    <row r="936">
      <c r="A936" s="189"/>
      <c r="B936" s="190"/>
      <c r="C936" s="191"/>
      <c r="D936" s="192"/>
      <c r="E936" s="192"/>
      <c r="F936" s="192"/>
      <c r="G936" s="183"/>
      <c r="H936" s="193"/>
      <c r="I936" s="183"/>
      <c r="J936" s="173"/>
    </row>
    <row r="937">
      <c r="A937" s="189"/>
      <c r="B937" s="190"/>
      <c r="C937" s="191"/>
      <c r="D937" s="192"/>
      <c r="E937" s="192"/>
      <c r="F937" s="192"/>
      <c r="G937" s="183"/>
      <c r="H937" s="193"/>
      <c r="I937" s="183"/>
      <c r="J937" s="173"/>
    </row>
    <row r="938">
      <c r="A938" s="189"/>
      <c r="B938" s="190"/>
      <c r="C938" s="191"/>
      <c r="D938" s="192"/>
      <c r="E938" s="192"/>
      <c r="F938" s="192"/>
      <c r="G938" s="183"/>
      <c r="H938" s="193"/>
      <c r="I938" s="183"/>
      <c r="J938" s="173"/>
    </row>
    <row r="939">
      <c r="A939" s="189"/>
      <c r="B939" s="190"/>
      <c r="C939" s="191"/>
      <c r="D939" s="192"/>
      <c r="E939" s="192"/>
      <c r="F939" s="192"/>
      <c r="G939" s="183"/>
      <c r="H939" s="193"/>
      <c r="I939" s="183"/>
      <c r="J939" s="173"/>
    </row>
    <row r="940">
      <c r="A940" s="189"/>
      <c r="B940" s="190"/>
      <c r="C940" s="191"/>
      <c r="D940" s="192"/>
      <c r="E940" s="192"/>
      <c r="F940" s="192"/>
      <c r="G940" s="183"/>
      <c r="H940" s="193"/>
      <c r="I940" s="183"/>
      <c r="J940" s="173"/>
    </row>
    <row r="941">
      <c r="A941" s="189"/>
      <c r="B941" s="190"/>
      <c r="C941" s="191"/>
      <c r="D941" s="192"/>
      <c r="E941" s="192"/>
      <c r="F941" s="192"/>
      <c r="G941" s="183"/>
      <c r="H941" s="193"/>
      <c r="I941" s="183"/>
      <c r="J941" s="173"/>
    </row>
    <row r="942">
      <c r="A942" s="189"/>
      <c r="B942" s="190"/>
      <c r="C942" s="191"/>
      <c r="D942" s="192"/>
      <c r="E942" s="192"/>
      <c r="F942" s="192"/>
      <c r="G942" s="183"/>
      <c r="H942" s="193"/>
      <c r="I942" s="183"/>
      <c r="J942" s="173"/>
    </row>
    <row r="943">
      <c r="A943" s="189"/>
      <c r="B943" s="190"/>
      <c r="C943" s="191"/>
      <c r="D943" s="192"/>
      <c r="E943" s="192"/>
      <c r="F943" s="192"/>
      <c r="G943" s="183"/>
      <c r="H943" s="193"/>
      <c r="I943" s="183"/>
      <c r="J943" s="173"/>
    </row>
    <row r="944">
      <c r="A944" s="189"/>
      <c r="B944" s="190"/>
      <c r="C944" s="191"/>
      <c r="D944" s="192"/>
      <c r="E944" s="192"/>
      <c r="F944" s="192"/>
      <c r="G944" s="183"/>
      <c r="H944" s="193"/>
      <c r="I944" s="183"/>
      <c r="J944" s="173"/>
    </row>
    <row r="945">
      <c r="A945" s="189"/>
      <c r="B945" s="190"/>
      <c r="C945" s="191"/>
      <c r="D945" s="192"/>
      <c r="E945" s="192"/>
      <c r="F945" s="192"/>
      <c r="G945" s="183"/>
      <c r="H945" s="193"/>
      <c r="I945" s="183"/>
      <c r="J945" s="173"/>
    </row>
    <row r="946">
      <c r="A946" s="189"/>
      <c r="B946" s="190"/>
      <c r="C946" s="191"/>
      <c r="D946" s="192"/>
      <c r="E946" s="192"/>
      <c r="F946" s="192"/>
      <c r="G946" s="183"/>
      <c r="H946" s="193"/>
      <c r="I946" s="183"/>
      <c r="J946" s="173"/>
    </row>
    <row r="947">
      <c r="A947" s="189"/>
      <c r="B947" s="190"/>
      <c r="C947" s="191"/>
      <c r="D947" s="192"/>
      <c r="E947" s="192"/>
      <c r="F947" s="192"/>
      <c r="G947" s="183"/>
      <c r="H947" s="193"/>
      <c r="I947" s="183"/>
      <c r="J947" s="173"/>
    </row>
    <row r="948">
      <c r="A948" s="189"/>
      <c r="B948" s="190"/>
      <c r="C948" s="191"/>
      <c r="D948" s="192"/>
      <c r="E948" s="192"/>
      <c r="F948" s="192"/>
      <c r="G948" s="183"/>
      <c r="H948" s="193"/>
      <c r="I948" s="183"/>
      <c r="J948" s="173"/>
    </row>
    <row r="949">
      <c r="A949" s="189"/>
      <c r="B949" s="190"/>
      <c r="C949" s="191"/>
      <c r="D949" s="192"/>
      <c r="E949" s="192"/>
      <c r="F949" s="192"/>
      <c r="G949" s="183"/>
      <c r="H949" s="193"/>
      <c r="I949" s="183"/>
      <c r="J949" s="173"/>
    </row>
    <row r="950">
      <c r="A950" s="189"/>
      <c r="B950" s="190"/>
      <c r="C950" s="191"/>
      <c r="D950" s="192"/>
      <c r="E950" s="192"/>
      <c r="F950" s="192"/>
      <c r="G950" s="183"/>
      <c r="H950" s="193"/>
      <c r="I950" s="183"/>
      <c r="J950" s="173"/>
    </row>
    <row r="951">
      <c r="A951" s="189"/>
      <c r="B951" s="190"/>
      <c r="C951" s="191"/>
      <c r="D951" s="192"/>
      <c r="E951" s="192"/>
      <c r="F951" s="192"/>
      <c r="G951" s="183"/>
      <c r="H951" s="193"/>
      <c r="I951" s="183"/>
      <c r="J951" s="173"/>
    </row>
    <row r="952">
      <c r="A952" s="189"/>
      <c r="B952" s="190"/>
      <c r="C952" s="191"/>
      <c r="D952" s="192"/>
      <c r="E952" s="192"/>
      <c r="F952" s="192"/>
      <c r="G952" s="183"/>
      <c r="H952" s="193"/>
      <c r="I952" s="183"/>
      <c r="J952" s="173"/>
    </row>
    <row r="953">
      <c r="A953" s="189"/>
      <c r="B953" s="190"/>
      <c r="C953" s="191"/>
      <c r="D953" s="192"/>
      <c r="E953" s="192"/>
      <c r="F953" s="192"/>
      <c r="G953" s="183"/>
      <c r="H953" s="193"/>
      <c r="I953" s="183"/>
      <c r="J953" s="173"/>
    </row>
    <row r="954">
      <c r="A954" s="189"/>
      <c r="B954" s="190"/>
      <c r="C954" s="191"/>
      <c r="D954" s="192"/>
      <c r="E954" s="192"/>
      <c r="F954" s="192"/>
      <c r="G954" s="183"/>
      <c r="H954" s="193"/>
      <c r="I954" s="183"/>
      <c r="J954" s="173"/>
    </row>
    <row r="955">
      <c r="A955" s="189"/>
      <c r="B955" s="190"/>
      <c r="C955" s="191"/>
      <c r="D955" s="192"/>
      <c r="E955" s="192"/>
      <c r="F955" s="192"/>
      <c r="G955" s="183"/>
      <c r="H955" s="193"/>
      <c r="I955" s="183"/>
      <c r="J955" s="173"/>
    </row>
    <row r="956">
      <c r="A956" s="189"/>
      <c r="B956" s="190"/>
      <c r="C956" s="191"/>
      <c r="D956" s="192"/>
      <c r="E956" s="192"/>
      <c r="F956" s="192"/>
      <c r="G956" s="183"/>
      <c r="H956" s="193"/>
      <c r="I956" s="183"/>
      <c r="J956" s="173"/>
    </row>
    <row r="957">
      <c r="A957" s="189"/>
      <c r="B957" s="190"/>
      <c r="C957" s="191"/>
      <c r="D957" s="192"/>
      <c r="E957" s="192"/>
      <c r="F957" s="192"/>
      <c r="G957" s="183"/>
      <c r="H957" s="193"/>
      <c r="I957" s="183"/>
      <c r="J957" s="173"/>
    </row>
    <row r="958">
      <c r="A958" s="189"/>
      <c r="B958" s="190"/>
      <c r="C958" s="191"/>
      <c r="D958" s="192"/>
      <c r="E958" s="192"/>
      <c r="F958" s="192"/>
      <c r="G958" s="183"/>
      <c r="H958" s="193"/>
      <c r="I958" s="183"/>
      <c r="J958" s="173"/>
    </row>
    <row r="959">
      <c r="A959" s="189"/>
      <c r="B959" s="190"/>
      <c r="C959" s="191"/>
      <c r="D959" s="192"/>
      <c r="E959" s="192"/>
      <c r="F959" s="192"/>
      <c r="G959" s="183"/>
      <c r="H959" s="193"/>
      <c r="I959" s="183"/>
      <c r="J959" s="173"/>
    </row>
    <row r="960">
      <c r="A960" s="189"/>
      <c r="B960" s="190"/>
      <c r="C960" s="191"/>
      <c r="D960" s="192"/>
      <c r="E960" s="192"/>
      <c r="F960" s="192"/>
      <c r="G960" s="183"/>
      <c r="H960" s="193"/>
      <c r="I960" s="183"/>
      <c r="J960" s="173"/>
    </row>
    <row r="961">
      <c r="A961" s="189"/>
      <c r="B961" s="190"/>
      <c r="C961" s="191"/>
      <c r="D961" s="192"/>
      <c r="E961" s="192"/>
      <c r="F961" s="192"/>
      <c r="G961" s="183"/>
      <c r="H961" s="193"/>
      <c r="I961" s="183"/>
      <c r="J961" s="173"/>
    </row>
    <row r="962">
      <c r="A962" s="189"/>
      <c r="B962" s="190"/>
      <c r="C962" s="191"/>
      <c r="D962" s="192"/>
      <c r="E962" s="192"/>
      <c r="F962" s="192"/>
      <c r="G962" s="183"/>
      <c r="H962" s="193"/>
      <c r="I962" s="183"/>
      <c r="J962" s="173"/>
    </row>
    <row r="963">
      <c r="A963" s="189"/>
      <c r="B963" s="190"/>
      <c r="C963" s="191"/>
      <c r="D963" s="192"/>
      <c r="E963" s="192"/>
      <c r="F963" s="192"/>
      <c r="G963" s="183"/>
      <c r="H963" s="193"/>
      <c r="I963" s="183"/>
      <c r="J963" s="173"/>
    </row>
    <row r="964">
      <c r="A964" s="189"/>
      <c r="B964" s="190"/>
      <c r="C964" s="191"/>
      <c r="D964" s="192"/>
      <c r="E964" s="192"/>
      <c r="F964" s="192"/>
      <c r="G964" s="183"/>
      <c r="H964" s="193"/>
      <c r="I964" s="183"/>
      <c r="J964" s="173"/>
    </row>
    <row r="965">
      <c r="A965" s="189"/>
      <c r="B965" s="190"/>
      <c r="C965" s="191"/>
      <c r="D965" s="192"/>
      <c r="E965" s="192"/>
      <c r="F965" s="192"/>
      <c r="G965" s="183"/>
      <c r="H965" s="193"/>
      <c r="I965" s="183"/>
      <c r="J965" s="173"/>
    </row>
    <row r="966">
      <c r="A966" s="189"/>
      <c r="B966" s="190"/>
      <c r="C966" s="191"/>
      <c r="D966" s="192"/>
      <c r="E966" s="192"/>
      <c r="F966" s="192"/>
      <c r="G966" s="183"/>
      <c r="H966" s="193"/>
      <c r="I966" s="183"/>
      <c r="J966" s="173"/>
    </row>
    <row r="967">
      <c r="A967" s="189"/>
      <c r="B967" s="190"/>
      <c r="C967" s="191"/>
      <c r="D967" s="192"/>
      <c r="E967" s="192"/>
      <c r="F967" s="192"/>
      <c r="G967" s="183"/>
      <c r="H967" s="193"/>
      <c r="I967" s="183"/>
      <c r="J967" s="173"/>
    </row>
    <row r="968">
      <c r="A968" s="189"/>
      <c r="B968" s="190"/>
      <c r="C968" s="191"/>
      <c r="D968" s="192"/>
      <c r="E968" s="192"/>
      <c r="F968" s="192"/>
      <c r="G968" s="183"/>
      <c r="H968" s="193"/>
      <c r="I968" s="183"/>
      <c r="J968" s="173"/>
    </row>
    <row r="969">
      <c r="A969" s="189"/>
      <c r="B969" s="190"/>
      <c r="C969" s="191"/>
      <c r="D969" s="192"/>
      <c r="E969" s="192"/>
      <c r="F969" s="192"/>
      <c r="G969" s="183"/>
      <c r="H969" s="193"/>
      <c r="I969" s="183"/>
      <c r="J969" s="173"/>
    </row>
    <row r="970">
      <c r="A970" s="189"/>
      <c r="B970" s="190"/>
      <c r="C970" s="191"/>
      <c r="D970" s="192"/>
      <c r="E970" s="192"/>
      <c r="F970" s="192"/>
      <c r="G970" s="183"/>
      <c r="H970" s="193"/>
      <c r="I970" s="183"/>
      <c r="J970" s="173"/>
    </row>
    <row r="971">
      <c r="A971" s="189"/>
      <c r="B971" s="190"/>
      <c r="C971" s="191"/>
      <c r="D971" s="192"/>
      <c r="E971" s="192"/>
      <c r="F971" s="192"/>
      <c r="G971" s="183"/>
      <c r="H971" s="193"/>
      <c r="I971" s="183"/>
      <c r="J971" s="173"/>
    </row>
    <row r="972">
      <c r="A972" s="189"/>
      <c r="B972" s="190"/>
      <c r="C972" s="191"/>
      <c r="D972" s="192"/>
      <c r="E972" s="192"/>
      <c r="F972" s="192"/>
      <c r="G972" s="183"/>
      <c r="H972" s="193"/>
      <c r="I972" s="183"/>
      <c r="J972" s="173"/>
    </row>
    <row r="973">
      <c r="A973" s="189"/>
      <c r="B973" s="190"/>
      <c r="C973" s="191"/>
      <c r="D973" s="192"/>
      <c r="E973" s="192"/>
      <c r="F973" s="192"/>
      <c r="G973" s="183"/>
      <c r="H973" s="193"/>
      <c r="I973" s="183"/>
      <c r="J973" s="173"/>
    </row>
    <row r="974">
      <c r="A974" s="189"/>
      <c r="B974" s="190"/>
      <c r="C974" s="191"/>
      <c r="D974" s="192"/>
      <c r="E974" s="192"/>
      <c r="F974" s="192"/>
      <c r="G974" s="183"/>
      <c r="H974" s="193"/>
      <c r="I974" s="183"/>
      <c r="J974" s="173"/>
    </row>
    <row r="975">
      <c r="A975" s="189"/>
      <c r="B975" s="190"/>
      <c r="C975" s="191"/>
      <c r="D975" s="192"/>
      <c r="E975" s="192"/>
      <c r="F975" s="192"/>
      <c r="G975" s="183"/>
      <c r="H975" s="193"/>
      <c r="I975" s="183"/>
      <c r="J975" s="173"/>
    </row>
    <row r="976">
      <c r="A976" s="189"/>
      <c r="B976" s="190"/>
      <c r="C976" s="191"/>
      <c r="D976" s="192"/>
      <c r="E976" s="192"/>
      <c r="F976" s="192"/>
      <c r="G976" s="183"/>
      <c r="H976" s="193"/>
      <c r="I976" s="183"/>
      <c r="J976" s="173"/>
    </row>
    <row r="977">
      <c r="A977" s="189"/>
      <c r="B977" s="190"/>
      <c r="C977" s="191"/>
      <c r="D977" s="192"/>
      <c r="E977" s="192"/>
      <c r="F977" s="192"/>
      <c r="G977" s="183"/>
      <c r="H977" s="193"/>
      <c r="I977" s="183"/>
      <c r="J977" s="173"/>
    </row>
    <row r="978">
      <c r="A978" s="189"/>
      <c r="B978" s="190"/>
      <c r="C978" s="191"/>
      <c r="D978" s="192"/>
      <c r="E978" s="192"/>
      <c r="F978" s="192"/>
      <c r="G978" s="183"/>
      <c r="H978" s="193"/>
      <c r="I978" s="183"/>
      <c r="J978" s="173"/>
    </row>
    <row r="979">
      <c r="A979" s="189"/>
      <c r="B979" s="190"/>
      <c r="C979" s="191"/>
      <c r="D979" s="192"/>
      <c r="E979" s="192"/>
      <c r="F979" s="192"/>
      <c r="G979" s="183"/>
      <c r="H979" s="193"/>
      <c r="I979" s="183"/>
      <c r="J979" s="173"/>
    </row>
    <row r="980">
      <c r="A980" s="189"/>
      <c r="B980" s="190"/>
      <c r="C980" s="191"/>
      <c r="D980" s="192"/>
      <c r="E980" s="192"/>
      <c r="F980" s="192"/>
      <c r="G980" s="183"/>
      <c r="H980" s="193"/>
      <c r="I980" s="183"/>
      <c r="J980" s="173"/>
    </row>
    <row r="981">
      <c r="A981" s="189"/>
      <c r="B981" s="190"/>
      <c r="C981" s="191"/>
      <c r="D981" s="192"/>
      <c r="E981" s="192"/>
      <c r="F981" s="192"/>
      <c r="G981" s="183"/>
      <c r="H981" s="193"/>
      <c r="I981" s="183"/>
      <c r="J981" s="173"/>
    </row>
    <row r="982">
      <c r="A982" s="189"/>
      <c r="B982" s="190"/>
      <c r="C982" s="191"/>
      <c r="D982" s="192"/>
      <c r="E982" s="192"/>
      <c r="F982" s="192"/>
      <c r="G982" s="183"/>
      <c r="H982" s="193"/>
      <c r="I982" s="183"/>
      <c r="J982" s="173"/>
    </row>
    <row r="983">
      <c r="A983" s="189"/>
      <c r="B983" s="190"/>
      <c r="C983" s="191"/>
      <c r="D983" s="192"/>
      <c r="E983" s="192"/>
      <c r="F983" s="192"/>
      <c r="G983" s="183"/>
      <c r="H983" s="193"/>
      <c r="I983" s="183"/>
      <c r="J983" s="173"/>
    </row>
    <row r="984">
      <c r="A984" s="189"/>
      <c r="B984" s="190"/>
      <c r="C984" s="191"/>
      <c r="D984" s="192"/>
      <c r="E984" s="192"/>
      <c r="F984" s="192"/>
      <c r="G984" s="183"/>
      <c r="H984" s="193"/>
      <c r="I984" s="183"/>
      <c r="J984" s="173"/>
    </row>
    <row r="985">
      <c r="A985" s="189"/>
      <c r="B985" s="190"/>
      <c r="C985" s="191"/>
      <c r="D985" s="192"/>
      <c r="E985" s="192"/>
      <c r="F985" s="192"/>
      <c r="G985" s="183"/>
      <c r="H985" s="193"/>
      <c r="I985" s="183"/>
      <c r="J985" s="173"/>
    </row>
    <row r="986">
      <c r="A986" s="189"/>
      <c r="B986" s="190"/>
      <c r="C986" s="191"/>
      <c r="D986" s="192"/>
      <c r="E986" s="192"/>
      <c r="F986" s="192"/>
      <c r="G986" s="183"/>
      <c r="H986" s="193"/>
      <c r="I986" s="183"/>
      <c r="J986" s="173"/>
    </row>
    <row r="987">
      <c r="A987" s="189"/>
      <c r="B987" s="190"/>
      <c r="C987" s="191"/>
      <c r="D987" s="192"/>
      <c r="E987" s="192"/>
      <c r="F987" s="192"/>
      <c r="G987" s="183"/>
      <c r="H987" s="193"/>
      <c r="I987" s="183"/>
      <c r="J987" s="173"/>
    </row>
    <row r="988">
      <c r="A988" s="189"/>
      <c r="B988" s="190"/>
      <c r="C988" s="191"/>
      <c r="D988" s="192"/>
      <c r="E988" s="192"/>
      <c r="F988" s="192"/>
      <c r="G988" s="183"/>
      <c r="H988" s="193"/>
      <c r="I988" s="183"/>
      <c r="J988" s="173"/>
    </row>
    <row r="989">
      <c r="A989" s="189"/>
      <c r="B989" s="190"/>
      <c r="C989" s="191"/>
      <c r="D989" s="192"/>
      <c r="E989" s="192"/>
      <c r="F989" s="192"/>
      <c r="G989" s="183"/>
      <c r="H989" s="193"/>
      <c r="I989" s="183"/>
      <c r="J989" s="173"/>
    </row>
    <row r="990">
      <c r="A990" s="189"/>
      <c r="B990" s="190"/>
      <c r="C990" s="191"/>
      <c r="D990" s="192"/>
      <c r="E990" s="192"/>
      <c r="F990" s="192"/>
      <c r="G990" s="183"/>
      <c r="H990" s="193"/>
      <c r="I990" s="183"/>
      <c r="J990" s="173"/>
    </row>
    <row r="991">
      <c r="A991" s="189"/>
      <c r="B991" s="190"/>
      <c r="C991" s="191"/>
      <c r="D991" s="192"/>
      <c r="E991" s="192"/>
      <c r="F991" s="192"/>
      <c r="G991" s="183"/>
      <c r="H991" s="193"/>
      <c r="I991" s="183"/>
      <c r="J991" s="173"/>
    </row>
    <row r="992">
      <c r="A992" s="189"/>
      <c r="B992" s="190"/>
      <c r="C992" s="191"/>
      <c r="D992" s="192"/>
      <c r="E992" s="192"/>
      <c r="F992" s="192"/>
      <c r="G992" s="183"/>
      <c r="H992" s="193"/>
      <c r="I992" s="183"/>
      <c r="J992" s="173"/>
    </row>
    <row r="993">
      <c r="A993" s="189"/>
      <c r="B993" s="190"/>
      <c r="C993" s="191"/>
      <c r="D993" s="192"/>
      <c r="E993" s="192"/>
      <c r="F993" s="192"/>
      <c r="G993" s="183"/>
      <c r="H993" s="193"/>
      <c r="I993" s="183"/>
      <c r="J993" s="173"/>
    </row>
    <row r="994">
      <c r="A994" s="189"/>
      <c r="B994" s="190"/>
      <c r="C994" s="191"/>
      <c r="D994" s="192"/>
      <c r="E994" s="192"/>
      <c r="F994" s="192"/>
      <c r="G994" s="183"/>
      <c r="H994" s="193"/>
      <c r="I994" s="183"/>
      <c r="J994" s="173"/>
    </row>
    <row r="995">
      <c r="A995" s="189"/>
      <c r="B995" s="190"/>
      <c r="C995" s="191"/>
      <c r="D995" s="192"/>
      <c r="E995" s="192"/>
      <c r="F995" s="192"/>
      <c r="G995" s="183"/>
      <c r="H995" s="193"/>
      <c r="I995" s="183"/>
      <c r="J995" s="173"/>
    </row>
    <row r="996">
      <c r="A996" s="189"/>
      <c r="B996" s="190"/>
      <c r="C996" s="191"/>
      <c r="D996" s="192"/>
      <c r="E996" s="192"/>
      <c r="F996" s="192"/>
      <c r="G996" s="183"/>
      <c r="H996" s="193"/>
      <c r="I996" s="183"/>
      <c r="J996" s="173"/>
    </row>
    <row r="997">
      <c r="A997" s="189"/>
      <c r="B997" s="190"/>
      <c r="C997" s="191"/>
      <c r="D997" s="192"/>
      <c r="E997" s="192"/>
      <c r="F997" s="192"/>
      <c r="G997" s="183"/>
      <c r="H997" s="193"/>
      <c r="I997" s="183"/>
      <c r="J997" s="173"/>
    </row>
    <row r="998">
      <c r="A998" s="189"/>
      <c r="B998" s="190"/>
      <c r="C998" s="191"/>
      <c r="D998" s="192"/>
      <c r="E998" s="192"/>
      <c r="F998" s="192"/>
      <c r="G998" s="183"/>
      <c r="H998" s="193"/>
      <c r="I998" s="183"/>
      <c r="J998" s="173"/>
    </row>
    <row r="999">
      <c r="A999" s="189"/>
      <c r="B999" s="190"/>
      <c r="C999" s="191"/>
      <c r="D999" s="192"/>
      <c r="E999" s="192"/>
      <c r="F999" s="192"/>
      <c r="G999" s="183"/>
      <c r="H999" s="193"/>
      <c r="I999" s="183"/>
      <c r="J999" s="173"/>
    </row>
    <row r="1000">
      <c r="A1000" s="189"/>
      <c r="B1000" s="190"/>
      <c r="C1000" s="191"/>
      <c r="D1000" s="192"/>
      <c r="E1000" s="192"/>
      <c r="F1000" s="192"/>
      <c r="G1000" s="183"/>
      <c r="H1000" s="193"/>
      <c r="I1000" s="183"/>
      <c r="J1000" s="173"/>
    </row>
    <row r="1001">
      <c r="A1001" s="189"/>
      <c r="B1001" s="190"/>
      <c r="C1001" s="191"/>
      <c r="D1001" s="192"/>
      <c r="E1001" s="192"/>
      <c r="F1001" s="192"/>
      <c r="G1001" s="183"/>
      <c r="H1001" s="193"/>
      <c r="I1001" s="183"/>
      <c r="J1001" s="173"/>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1" width="24.13"/>
    <col customWidth="1" min="2" max="2" width="14.63"/>
    <col customWidth="1" min="3" max="3" width="13.38"/>
    <col customWidth="1" min="4" max="4" width="14.13"/>
  </cols>
  <sheetData>
    <row r="1">
      <c r="A1" s="170" t="s">
        <v>8</v>
      </c>
      <c r="B1" s="171" t="s">
        <v>2502</v>
      </c>
      <c r="C1" s="171" t="s">
        <v>2495</v>
      </c>
      <c r="D1" s="170" t="s">
        <v>2478</v>
      </c>
      <c r="E1" s="170" t="s">
        <v>2503</v>
      </c>
      <c r="F1" s="170" t="s">
        <v>2480</v>
      </c>
    </row>
    <row r="2" ht="28.5" customHeight="1"/>
    <row r="3" ht="38.25" customHeight="1">
      <c r="A3" s="198" t="s">
        <v>2498</v>
      </c>
      <c r="B3" s="151">
        <f>IFERROR(__xludf.DUMMYFUNCTION("ifna(query(misadS,""select count(F) where  H&lt;&gt; 'Cancelled' and J = '""&amp;A3&amp;""' label count(F) ''"",1),0)"),0.0)</f>
        <v>0</v>
      </c>
      <c r="C3" s="152">
        <f>IFERROR(__xludf.DUMMYFUNCTION("ifna(query(misadS,""select count(G) where  H&lt;&gt; 'Cancelled' and  J = '""&amp;A3&amp;""' label count(G) ''""),0)"),0.0)</f>
        <v>0</v>
      </c>
      <c r="D3" s="154">
        <f t="shared" ref="D3:D7" si="1">if(B3&gt;0,(B3-C3)/B3*-1,0)</f>
        <v>0</v>
      </c>
      <c r="E3" s="152">
        <f>IFERROR(__xludf.DUMMYFUNCTION("ifna(query(misadS,""select count(G) where G&lt;=F  and H&lt;&gt; 'Cancelled' and  J= '""&amp;A3&amp;""' label count(G) ''""),0)"),0.0)</f>
        <v>0</v>
      </c>
      <c r="F3" s="154">
        <f t="shared" ref="F3:F7" si="2">if(C3&gt;0,(C3-E3)/C3*-1,0)</f>
        <v>0</v>
      </c>
    </row>
    <row r="4" ht="38.25" customHeight="1">
      <c r="A4" s="198" t="s">
        <v>72</v>
      </c>
      <c r="B4" s="151">
        <f>IFERROR(__xludf.DUMMYFUNCTION("ifna(query(misadS,""select count(F) where  H&lt;&gt; 'Cancelled' and J = '""&amp;A4&amp;""' label count(F) ''"",1),0)"),0.0)</f>
        <v>0</v>
      </c>
      <c r="C4" s="152">
        <f>IFERROR(__xludf.DUMMYFUNCTION("ifna(query(misadS,""select count(G) where  H&lt;&gt; 'Cancelled' and  J = '""&amp;A4&amp;""' label count(G) ''""),0)"),0.0)</f>
        <v>0</v>
      </c>
      <c r="D4" s="154">
        <f t="shared" si="1"/>
        <v>0</v>
      </c>
      <c r="E4" s="152">
        <f>IFERROR(__xludf.DUMMYFUNCTION("ifna(query(misadS,""select count(G) where G&lt;=F  and H&lt;&gt; 'Cancelled' and  J= '""&amp;A4&amp;""' label count(G) ''""),0)"),0.0)</f>
        <v>0</v>
      </c>
      <c r="F4" s="154">
        <f t="shared" si="2"/>
        <v>0</v>
      </c>
    </row>
    <row r="5" ht="38.25" customHeight="1">
      <c r="A5" s="198" t="s">
        <v>15</v>
      </c>
      <c r="B5" s="151">
        <f>IFERROR(__xludf.DUMMYFUNCTION("ifna(query(misadS,""select count(F) where  H&lt;&gt; 'Cancelled' and J = '""&amp;A5&amp;""' label count(F) ''"",1),0)"),0.0)</f>
        <v>0</v>
      </c>
      <c r="C5" s="152">
        <f>IFERROR(__xludf.DUMMYFUNCTION("ifna(query(misadS,""select count(G) where  H&lt;&gt; 'Cancelled' and  J = '""&amp;A5&amp;""' label count(G) ''""),0)"),0.0)</f>
        <v>0</v>
      </c>
      <c r="D5" s="154">
        <f t="shared" si="1"/>
        <v>0</v>
      </c>
      <c r="E5" s="152">
        <f>IFERROR(__xludf.DUMMYFUNCTION("ifna(query(misadS,""select count(G) where G&lt;=F  and H&lt;&gt; 'Cancelled' and  J= '""&amp;A5&amp;""' label count(G) ''""),0)"),0.0)</f>
        <v>0</v>
      </c>
      <c r="F5" s="154">
        <f t="shared" si="2"/>
        <v>0</v>
      </c>
    </row>
    <row r="6" ht="38.25" customHeight="1">
      <c r="A6" s="198" t="s">
        <v>61</v>
      </c>
      <c r="B6" s="151">
        <f>IFERROR(__xludf.DUMMYFUNCTION("ifna(query(misadS,""select count(F) where  H&lt;&gt; 'Cancelled' and J = '""&amp;A6&amp;""' label count(F) ''"",1),0)"),0.0)</f>
        <v>0</v>
      </c>
      <c r="C6" s="152">
        <f>IFERROR(__xludf.DUMMYFUNCTION("ifna(query(misadS,""select count(G) where  H&lt;&gt; 'Cancelled' and  J = '""&amp;A6&amp;""' label count(G) ''""),0)"),0.0)</f>
        <v>0</v>
      </c>
      <c r="D6" s="154">
        <f t="shared" si="1"/>
        <v>0</v>
      </c>
      <c r="E6" s="152">
        <f>IFERROR(__xludf.DUMMYFUNCTION("ifna(query(misadS,""select count(G) where G&lt;=F  and H&lt;&gt; 'Cancelled' and  J= '""&amp;A6&amp;""' label count(G) ''""),0)"),0.0)</f>
        <v>0</v>
      </c>
      <c r="F6" s="154">
        <f t="shared" si="2"/>
        <v>0</v>
      </c>
    </row>
    <row r="7" ht="38.25" customHeight="1">
      <c r="A7" s="198" t="s">
        <v>2504</v>
      </c>
      <c r="B7" s="143">
        <f t="shared" ref="B7:C7" si="3">SUM(B3:B6)</f>
        <v>0</v>
      </c>
      <c r="C7" s="143">
        <f t="shared" si="3"/>
        <v>0</v>
      </c>
      <c r="D7" s="199">
        <f t="shared" si="1"/>
        <v>0</v>
      </c>
      <c r="E7" s="143">
        <f>SUM(E3:E6)</f>
        <v>0</v>
      </c>
      <c r="F7" s="199">
        <f t="shared" si="2"/>
        <v>0</v>
      </c>
    </row>
    <row r="8" ht="33.0" customHeight="1">
      <c r="A8" s="200" t="s">
        <v>2505</v>
      </c>
      <c r="B8" s="201">
        <f t="shared" ref="B8:C8" si="4">sum(B$3:B$6)/count(B$3:B$6)</f>
        <v>0</v>
      </c>
      <c r="C8" s="201">
        <f t="shared" si="4"/>
        <v>0</v>
      </c>
      <c r="D8" s="202">
        <f>sum(D$3:D$8)/count(D$3:D$8)</f>
        <v>0</v>
      </c>
      <c r="E8" s="201">
        <f t="shared" ref="E8:F8" si="5">sum(E$3:E$6)/count(E$3:E$6)</f>
        <v>0</v>
      </c>
      <c r="F8" s="202">
        <f t="shared" si="5"/>
        <v>0</v>
      </c>
    </row>
  </sheetData>
  <mergeCells count="6">
    <mergeCell ref="A1:A2"/>
    <mergeCell ref="B1:B2"/>
    <mergeCell ref="C1:C2"/>
    <mergeCell ref="D1:D2"/>
    <mergeCell ref="E1:E2"/>
    <mergeCell ref="F1:F2"/>
  </mergeCells>
  <conditionalFormatting sqref="D3:D20 F3:F20">
    <cfRule type="expression" dxfId="1" priority="1">
      <formula>D3&lt;0</formula>
    </cfRule>
  </conditionalFormatting>
  <conditionalFormatting sqref="F3:F6">
    <cfRule type="expression" dxfId="1" priority="2">
      <formula>F3&lt;0</formula>
    </cfRule>
  </conditionalFormatting>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203" t="s">
        <v>2474</v>
      </c>
      <c r="B1" s="204" t="s">
        <v>2506</v>
      </c>
      <c r="C1" s="204" t="s">
        <v>2507</v>
      </c>
      <c r="D1" s="204" t="s">
        <v>2508</v>
      </c>
      <c r="E1" s="204" t="s">
        <v>2509</v>
      </c>
      <c r="F1" s="204" t="s">
        <v>2510</v>
      </c>
      <c r="G1" s="205" t="s">
        <v>2475</v>
      </c>
      <c r="H1" s="205" t="s">
        <v>2511</v>
      </c>
      <c r="I1" s="205" t="s">
        <v>2512</v>
      </c>
      <c r="J1" s="206" t="s">
        <v>2513</v>
      </c>
    </row>
    <row r="2">
      <c r="A2" s="207">
        <f>IFERROR(__xludf.DUMMYFUNCTION("IMPORTRANGE(""1OZKYEbOI_vkdGm8yj6WutsfrvOIIhpeRBlQ5e9Ga3QI"",""W MASTER!A3:J"")"),46111.99916666667)</f>
        <v>46111.99917</v>
      </c>
      <c r="B2" s="208">
        <f>IFERROR(__xludf.DUMMYFUNCTION("""COMPUTED_VALUE"""),46112.99916666667)</f>
        <v>46112.99917</v>
      </c>
      <c r="C2" s="208">
        <f>IFERROR(__xludf.DUMMYFUNCTION("""COMPUTED_VALUE"""),46113.99916666667)</f>
        <v>46113.99917</v>
      </c>
      <c r="D2" s="208">
        <f>IFERROR(__xludf.DUMMYFUNCTION("""COMPUTED_VALUE"""),46114.99916666667)</f>
        <v>46114.99917</v>
      </c>
      <c r="E2" s="208">
        <f>IFERROR(__xludf.DUMMYFUNCTION("""COMPUTED_VALUE"""),46115.99916666667)</f>
        <v>46115.99917</v>
      </c>
      <c r="F2" s="208">
        <f>IFERROR(__xludf.DUMMYFUNCTION("""COMPUTED_VALUE"""),46116.99916666667)</f>
        <v>46116.99917</v>
      </c>
      <c r="G2" s="208">
        <f>IFERROR(__xludf.DUMMYFUNCTION("""COMPUTED_VALUE"""),46117.99916666667)</f>
        <v>46117.99917</v>
      </c>
      <c r="H2" s="209" t="str">
        <f>IFERROR(__xludf.DUMMYFUNCTION("""COMPUTED_VALUE"""),"W 1")</f>
        <v>W 1</v>
      </c>
      <c r="I2" s="210">
        <f>IFERROR(__xludf.DUMMYFUNCTION("""COMPUTED_VALUE"""),1.0)</f>
        <v>1</v>
      </c>
      <c r="J2" s="156" t="str">
        <f>IFERROR(__xludf.DUMMYFUNCTION("""COMPUTED_VALUE"""),"CW- 1")</f>
        <v>CW- 1</v>
      </c>
    </row>
    <row r="3">
      <c r="A3" s="211">
        <f>IFERROR(__xludf.DUMMYFUNCTION("""COMPUTED_VALUE"""),46118.99916666667)</f>
        <v>46118.99917</v>
      </c>
      <c r="B3" s="212">
        <f>IFERROR(__xludf.DUMMYFUNCTION("""COMPUTED_VALUE"""),46119.99916666667)</f>
        <v>46119.99917</v>
      </c>
      <c r="C3" s="212">
        <f>IFERROR(__xludf.DUMMYFUNCTION("""COMPUTED_VALUE"""),46120.99916666667)</f>
        <v>46120.99917</v>
      </c>
      <c r="D3" s="212">
        <f>IFERROR(__xludf.DUMMYFUNCTION("""COMPUTED_VALUE"""),46121.99916666667)</f>
        <v>46121.99917</v>
      </c>
      <c r="E3" s="212">
        <f>IFERROR(__xludf.DUMMYFUNCTION("""COMPUTED_VALUE"""),46122.99916666667)</f>
        <v>46122.99917</v>
      </c>
      <c r="F3" s="212">
        <f>IFERROR(__xludf.DUMMYFUNCTION("""COMPUTED_VALUE"""),46123.99916666667)</f>
        <v>46123.99917</v>
      </c>
      <c r="G3" s="212">
        <f>IFERROR(__xludf.DUMMYFUNCTION("""COMPUTED_VALUE"""),46124.99916666667)</f>
        <v>46124.99917</v>
      </c>
      <c r="H3" s="209" t="str">
        <f>IFERROR(__xludf.DUMMYFUNCTION("""COMPUTED_VALUE"""),"W 2")</f>
        <v>W 2</v>
      </c>
      <c r="I3" s="210">
        <f>IFERROR(__xludf.DUMMYFUNCTION("""COMPUTED_VALUE"""),2.0)</f>
        <v>2</v>
      </c>
      <c r="J3" s="156" t="str">
        <f>IFERROR(__xludf.DUMMYFUNCTION("""COMPUTED_VALUE"""),"CW- 2")</f>
        <v>CW- 2</v>
      </c>
    </row>
    <row r="4">
      <c r="A4" s="211">
        <f>IFERROR(__xludf.DUMMYFUNCTION("""COMPUTED_VALUE"""),46125.99916666667)</f>
        <v>46125.99917</v>
      </c>
      <c r="B4" s="212">
        <f>IFERROR(__xludf.DUMMYFUNCTION("""COMPUTED_VALUE"""),46126.99916666667)</f>
        <v>46126.99917</v>
      </c>
      <c r="C4" s="212">
        <f>IFERROR(__xludf.DUMMYFUNCTION("""COMPUTED_VALUE"""),46127.99916666667)</f>
        <v>46127.99917</v>
      </c>
      <c r="D4" s="212">
        <f>IFERROR(__xludf.DUMMYFUNCTION("""COMPUTED_VALUE"""),46128.99916666667)</f>
        <v>46128.99917</v>
      </c>
      <c r="E4" s="212">
        <f>IFERROR(__xludf.DUMMYFUNCTION("""COMPUTED_VALUE"""),46129.99916666667)</f>
        <v>46129.99917</v>
      </c>
      <c r="F4" s="212">
        <f>IFERROR(__xludf.DUMMYFUNCTION("""COMPUTED_VALUE"""),46130.99916666667)</f>
        <v>46130.99917</v>
      </c>
      <c r="G4" s="212">
        <f>IFERROR(__xludf.DUMMYFUNCTION("""COMPUTED_VALUE"""),46131.99916666667)</f>
        <v>46131.99917</v>
      </c>
      <c r="H4" s="209" t="str">
        <f>IFERROR(__xludf.DUMMYFUNCTION("""COMPUTED_VALUE"""),"W 3")</f>
        <v>W 3</v>
      </c>
      <c r="I4" s="210">
        <f>IFERROR(__xludf.DUMMYFUNCTION("""COMPUTED_VALUE"""),3.0)</f>
        <v>3</v>
      </c>
      <c r="J4" s="156" t="str">
        <f>IFERROR(__xludf.DUMMYFUNCTION("""COMPUTED_VALUE"""),"CW- 3")</f>
        <v>CW- 3</v>
      </c>
    </row>
    <row r="5">
      <c r="A5" s="211">
        <f>IFERROR(__xludf.DUMMYFUNCTION("""COMPUTED_VALUE"""),46132.99916666667)</f>
        <v>46132.99917</v>
      </c>
      <c r="B5" s="212">
        <f>IFERROR(__xludf.DUMMYFUNCTION("""COMPUTED_VALUE"""),46133.99916666667)</f>
        <v>46133.99917</v>
      </c>
      <c r="C5" s="212">
        <f>IFERROR(__xludf.DUMMYFUNCTION("""COMPUTED_VALUE"""),46134.99916666667)</f>
        <v>46134.99917</v>
      </c>
      <c r="D5" s="212">
        <f>IFERROR(__xludf.DUMMYFUNCTION("""COMPUTED_VALUE"""),46135.99916666667)</f>
        <v>46135.99917</v>
      </c>
      <c r="E5" s="212">
        <f>IFERROR(__xludf.DUMMYFUNCTION("""COMPUTED_VALUE"""),46136.99916666667)</f>
        <v>46136.99917</v>
      </c>
      <c r="F5" s="212">
        <f>IFERROR(__xludf.DUMMYFUNCTION("""COMPUTED_VALUE"""),46137.99916666667)</f>
        <v>46137.99917</v>
      </c>
      <c r="G5" s="212">
        <f>IFERROR(__xludf.DUMMYFUNCTION("""COMPUTED_VALUE"""),46138.99916666667)</f>
        <v>46138.99917</v>
      </c>
      <c r="H5" s="209" t="str">
        <f>IFERROR(__xludf.DUMMYFUNCTION("""COMPUTED_VALUE"""),"W 4")</f>
        <v>W 4</v>
      </c>
      <c r="I5" s="210">
        <f>IFERROR(__xludf.DUMMYFUNCTION("""COMPUTED_VALUE"""),4.0)</f>
        <v>4</v>
      </c>
      <c r="J5" s="156" t="str">
        <f>IFERROR(__xludf.DUMMYFUNCTION("""COMPUTED_VALUE"""),"CW- 4")</f>
        <v>CW- 4</v>
      </c>
    </row>
    <row r="6">
      <c r="A6" s="211">
        <f>IFERROR(__xludf.DUMMYFUNCTION("""COMPUTED_VALUE"""),46139.99916666667)</f>
        <v>46139.99917</v>
      </c>
      <c r="B6" s="212">
        <f>IFERROR(__xludf.DUMMYFUNCTION("""COMPUTED_VALUE"""),46140.99916666667)</f>
        <v>46140.99917</v>
      </c>
      <c r="C6" s="212">
        <f>IFERROR(__xludf.DUMMYFUNCTION("""COMPUTED_VALUE"""),46141.99916666667)</f>
        <v>46141.99917</v>
      </c>
      <c r="D6" s="212">
        <f>IFERROR(__xludf.DUMMYFUNCTION("""COMPUTED_VALUE"""),46142.99916666667)</f>
        <v>46142.99917</v>
      </c>
      <c r="E6" s="212">
        <f>IFERROR(__xludf.DUMMYFUNCTION("""COMPUTED_VALUE"""),46143.99916666667)</f>
        <v>46143.99917</v>
      </c>
      <c r="F6" s="212">
        <f>IFERROR(__xludf.DUMMYFUNCTION("""COMPUTED_VALUE"""),46144.99916666667)</f>
        <v>46144.99917</v>
      </c>
      <c r="G6" s="212">
        <f>IFERROR(__xludf.DUMMYFUNCTION("""COMPUTED_VALUE"""),46145.99916666667)</f>
        <v>46145.99917</v>
      </c>
      <c r="H6" s="209" t="str">
        <f>IFERROR(__xludf.DUMMYFUNCTION("""COMPUTED_VALUE"""),"W 5")</f>
        <v>W 5</v>
      </c>
      <c r="I6" s="210">
        <f>IFERROR(__xludf.DUMMYFUNCTION("""COMPUTED_VALUE"""),5.0)</f>
        <v>5</v>
      </c>
      <c r="J6" s="156" t="str">
        <f>IFERROR(__xludf.DUMMYFUNCTION("""COMPUTED_VALUE"""),"CW- 5")</f>
        <v>CW- 5</v>
      </c>
    </row>
    <row r="7">
      <c r="A7" s="211">
        <f>IFERROR(__xludf.DUMMYFUNCTION("""COMPUTED_VALUE"""),46146.99916666667)</f>
        <v>46146.99917</v>
      </c>
      <c r="B7" s="212">
        <f>IFERROR(__xludf.DUMMYFUNCTION("""COMPUTED_VALUE"""),46147.99916666667)</f>
        <v>46147.99917</v>
      </c>
      <c r="C7" s="212">
        <f>IFERROR(__xludf.DUMMYFUNCTION("""COMPUTED_VALUE"""),46148.99916666667)</f>
        <v>46148.99917</v>
      </c>
      <c r="D7" s="212">
        <f>IFERROR(__xludf.DUMMYFUNCTION("""COMPUTED_VALUE"""),46149.99916666667)</f>
        <v>46149.99917</v>
      </c>
      <c r="E7" s="212">
        <f>IFERROR(__xludf.DUMMYFUNCTION("""COMPUTED_VALUE"""),46150.99916666667)</f>
        <v>46150.99917</v>
      </c>
      <c r="F7" s="212">
        <f>IFERROR(__xludf.DUMMYFUNCTION("""COMPUTED_VALUE"""),46151.99916666667)</f>
        <v>46151.99917</v>
      </c>
      <c r="G7" s="212">
        <f>IFERROR(__xludf.DUMMYFUNCTION("""COMPUTED_VALUE"""),46152.99916666667)</f>
        <v>46152.99917</v>
      </c>
      <c r="H7" s="209" t="str">
        <f>IFERROR(__xludf.DUMMYFUNCTION("""COMPUTED_VALUE"""),"W 6")</f>
        <v>W 6</v>
      </c>
      <c r="I7" s="210">
        <f>IFERROR(__xludf.DUMMYFUNCTION("""COMPUTED_VALUE"""),6.0)</f>
        <v>6</v>
      </c>
      <c r="J7" s="156" t="str">
        <f>IFERROR(__xludf.DUMMYFUNCTION("""COMPUTED_VALUE"""),"CW- 6")</f>
        <v>CW- 6</v>
      </c>
    </row>
    <row r="8">
      <c r="A8" s="211">
        <f>IFERROR(__xludf.DUMMYFUNCTION("""COMPUTED_VALUE"""),46153.99916666667)</f>
        <v>46153.99917</v>
      </c>
      <c r="B8" s="212">
        <f>IFERROR(__xludf.DUMMYFUNCTION("""COMPUTED_VALUE"""),46154.99916666667)</f>
        <v>46154.99917</v>
      </c>
      <c r="C8" s="212">
        <f>IFERROR(__xludf.DUMMYFUNCTION("""COMPUTED_VALUE"""),46155.99916666667)</f>
        <v>46155.99917</v>
      </c>
      <c r="D8" s="212">
        <f>IFERROR(__xludf.DUMMYFUNCTION("""COMPUTED_VALUE"""),46156.99916666667)</f>
        <v>46156.99917</v>
      </c>
      <c r="E8" s="212">
        <f>IFERROR(__xludf.DUMMYFUNCTION("""COMPUTED_VALUE"""),46157.99916666667)</f>
        <v>46157.99917</v>
      </c>
      <c r="F8" s="212">
        <f>IFERROR(__xludf.DUMMYFUNCTION("""COMPUTED_VALUE"""),46158.99916666667)</f>
        <v>46158.99917</v>
      </c>
      <c r="G8" s="212">
        <f>IFERROR(__xludf.DUMMYFUNCTION("""COMPUTED_VALUE"""),46159.99916666667)</f>
        <v>46159.99917</v>
      </c>
      <c r="H8" s="209" t="str">
        <f>IFERROR(__xludf.DUMMYFUNCTION("""COMPUTED_VALUE"""),"W 7")</f>
        <v>W 7</v>
      </c>
      <c r="I8" s="210">
        <f>IFERROR(__xludf.DUMMYFUNCTION("""COMPUTED_VALUE"""),7.0)</f>
        <v>7</v>
      </c>
      <c r="J8" s="156" t="str">
        <f>IFERROR(__xludf.DUMMYFUNCTION("""COMPUTED_VALUE"""),"CW- 7")</f>
        <v>CW- 7</v>
      </c>
    </row>
    <row r="9">
      <c r="A9" s="211">
        <f>IFERROR(__xludf.DUMMYFUNCTION("""COMPUTED_VALUE"""),46160.99916666667)</f>
        <v>46160.99917</v>
      </c>
      <c r="B9" s="212">
        <f>IFERROR(__xludf.DUMMYFUNCTION("""COMPUTED_VALUE"""),46161.99916666667)</f>
        <v>46161.99917</v>
      </c>
      <c r="C9" s="212">
        <f>IFERROR(__xludf.DUMMYFUNCTION("""COMPUTED_VALUE"""),46162.99916666667)</f>
        <v>46162.99917</v>
      </c>
      <c r="D9" s="212">
        <f>IFERROR(__xludf.DUMMYFUNCTION("""COMPUTED_VALUE"""),46163.99916666667)</f>
        <v>46163.99917</v>
      </c>
      <c r="E9" s="212">
        <f>IFERROR(__xludf.DUMMYFUNCTION("""COMPUTED_VALUE"""),46164.99916666667)</f>
        <v>46164.99917</v>
      </c>
      <c r="F9" s="212">
        <f>IFERROR(__xludf.DUMMYFUNCTION("""COMPUTED_VALUE"""),46165.99916666667)</f>
        <v>46165.99917</v>
      </c>
      <c r="G9" s="212">
        <f>IFERROR(__xludf.DUMMYFUNCTION("""COMPUTED_VALUE"""),46166.99916666667)</f>
        <v>46166.99917</v>
      </c>
      <c r="H9" s="209" t="str">
        <f>IFERROR(__xludf.DUMMYFUNCTION("""COMPUTED_VALUE"""),"W 8")</f>
        <v>W 8</v>
      </c>
      <c r="I9" s="210">
        <f>IFERROR(__xludf.DUMMYFUNCTION("""COMPUTED_VALUE"""),8.0)</f>
        <v>8</v>
      </c>
      <c r="J9" s="156" t="str">
        <f>IFERROR(__xludf.DUMMYFUNCTION("""COMPUTED_VALUE"""),"CW- 8")</f>
        <v>CW- 8</v>
      </c>
    </row>
    <row r="10">
      <c r="A10" s="211">
        <f>IFERROR(__xludf.DUMMYFUNCTION("""COMPUTED_VALUE"""),46167.99916666667)</f>
        <v>46167.99917</v>
      </c>
      <c r="B10" s="212">
        <f>IFERROR(__xludf.DUMMYFUNCTION("""COMPUTED_VALUE"""),46168.99916666667)</f>
        <v>46168.99917</v>
      </c>
      <c r="C10" s="212">
        <f>IFERROR(__xludf.DUMMYFUNCTION("""COMPUTED_VALUE"""),46169.99916666667)</f>
        <v>46169.99917</v>
      </c>
      <c r="D10" s="212">
        <f>IFERROR(__xludf.DUMMYFUNCTION("""COMPUTED_VALUE"""),46170.99916666667)</f>
        <v>46170.99917</v>
      </c>
      <c r="E10" s="212">
        <f>IFERROR(__xludf.DUMMYFUNCTION("""COMPUTED_VALUE"""),46171.99916666667)</f>
        <v>46171.99917</v>
      </c>
      <c r="F10" s="212">
        <f>IFERROR(__xludf.DUMMYFUNCTION("""COMPUTED_VALUE"""),46172.99916666667)</f>
        <v>46172.99917</v>
      </c>
      <c r="G10" s="212">
        <f>IFERROR(__xludf.DUMMYFUNCTION("""COMPUTED_VALUE"""),46173.99916666667)</f>
        <v>46173.99917</v>
      </c>
      <c r="H10" s="209" t="str">
        <f>IFERROR(__xludf.DUMMYFUNCTION("""COMPUTED_VALUE"""),"W 9")</f>
        <v>W 9</v>
      </c>
      <c r="I10" s="210">
        <f>IFERROR(__xludf.DUMMYFUNCTION("""COMPUTED_VALUE"""),9.0)</f>
        <v>9</v>
      </c>
      <c r="J10" s="156" t="str">
        <f>IFERROR(__xludf.DUMMYFUNCTION("""COMPUTED_VALUE"""),"CW- 9")</f>
        <v>CW- 9</v>
      </c>
    </row>
    <row r="11">
      <c r="A11" s="211">
        <f>IFERROR(__xludf.DUMMYFUNCTION("""COMPUTED_VALUE"""),46174.99916666667)</f>
        <v>46174.99917</v>
      </c>
      <c r="B11" s="212">
        <f>IFERROR(__xludf.DUMMYFUNCTION("""COMPUTED_VALUE"""),46175.99916666667)</f>
        <v>46175.99917</v>
      </c>
      <c r="C11" s="212">
        <f>IFERROR(__xludf.DUMMYFUNCTION("""COMPUTED_VALUE"""),46176.99916666667)</f>
        <v>46176.99917</v>
      </c>
      <c r="D11" s="212">
        <f>IFERROR(__xludf.DUMMYFUNCTION("""COMPUTED_VALUE"""),46177.99916666667)</f>
        <v>46177.99917</v>
      </c>
      <c r="E11" s="212">
        <f>IFERROR(__xludf.DUMMYFUNCTION("""COMPUTED_VALUE"""),46178.99916666667)</f>
        <v>46178.99917</v>
      </c>
      <c r="F11" s="212">
        <f>IFERROR(__xludf.DUMMYFUNCTION("""COMPUTED_VALUE"""),46179.99916666667)</f>
        <v>46179.99917</v>
      </c>
      <c r="G11" s="212">
        <f>IFERROR(__xludf.DUMMYFUNCTION("""COMPUTED_VALUE"""),46180.99916666667)</f>
        <v>46180.99917</v>
      </c>
      <c r="H11" s="209" t="str">
        <f>IFERROR(__xludf.DUMMYFUNCTION("""COMPUTED_VALUE"""),"W 10")</f>
        <v>W 10</v>
      </c>
      <c r="I11" s="210">
        <f>IFERROR(__xludf.DUMMYFUNCTION("""COMPUTED_VALUE"""),10.0)</f>
        <v>10</v>
      </c>
      <c r="J11" s="156" t="str">
        <f>IFERROR(__xludf.DUMMYFUNCTION("""COMPUTED_VALUE"""),"CW- 10")</f>
        <v>CW- 10</v>
      </c>
    </row>
    <row r="12">
      <c r="A12" s="211">
        <f>IFERROR(__xludf.DUMMYFUNCTION("""COMPUTED_VALUE"""),46181.99916666667)</f>
        <v>46181.99917</v>
      </c>
      <c r="B12" s="212">
        <f>IFERROR(__xludf.DUMMYFUNCTION("""COMPUTED_VALUE"""),46182.99916666667)</f>
        <v>46182.99917</v>
      </c>
      <c r="C12" s="212">
        <f>IFERROR(__xludf.DUMMYFUNCTION("""COMPUTED_VALUE"""),46183.99916666667)</f>
        <v>46183.99917</v>
      </c>
      <c r="D12" s="212">
        <f>IFERROR(__xludf.DUMMYFUNCTION("""COMPUTED_VALUE"""),46184.99916666667)</f>
        <v>46184.99917</v>
      </c>
      <c r="E12" s="212">
        <f>IFERROR(__xludf.DUMMYFUNCTION("""COMPUTED_VALUE"""),46185.99916666667)</f>
        <v>46185.99917</v>
      </c>
      <c r="F12" s="212">
        <f>IFERROR(__xludf.DUMMYFUNCTION("""COMPUTED_VALUE"""),46186.99916666667)</f>
        <v>46186.99917</v>
      </c>
      <c r="G12" s="212">
        <f>IFERROR(__xludf.DUMMYFUNCTION("""COMPUTED_VALUE"""),46187.99916666667)</f>
        <v>46187.99917</v>
      </c>
      <c r="H12" s="209" t="str">
        <f>IFERROR(__xludf.DUMMYFUNCTION("""COMPUTED_VALUE"""),"W 11")</f>
        <v>W 11</v>
      </c>
      <c r="I12" s="210">
        <f>IFERROR(__xludf.DUMMYFUNCTION("""COMPUTED_VALUE"""),11.0)</f>
        <v>11</v>
      </c>
      <c r="J12" s="156" t="str">
        <f>IFERROR(__xludf.DUMMYFUNCTION("""COMPUTED_VALUE"""),"CW- 11")</f>
        <v>CW- 11</v>
      </c>
    </row>
    <row r="13">
      <c r="A13" s="211">
        <f>IFERROR(__xludf.DUMMYFUNCTION("""COMPUTED_VALUE"""),46188.99916666667)</f>
        <v>46188.99917</v>
      </c>
      <c r="B13" s="212">
        <f>IFERROR(__xludf.DUMMYFUNCTION("""COMPUTED_VALUE"""),46189.99916666667)</f>
        <v>46189.99917</v>
      </c>
      <c r="C13" s="212">
        <f>IFERROR(__xludf.DUMMYFUNCTION("""COMPUTED_VALUE"""),46190.99916666667)</f>
        <v>46190.99917</v>
      </c>
      <c r="D13" s="212">
        <f>IFERROR(__xludf.DUMMYFUNCTION("""COMPUTED_VALUE"""),46191.99916666667)</f>
        <v>46191.99917</v>
      </c>
      <c r="E13" s="212">
        <f>IFERROR(__xludf.DUMMYFUNCTION("""COMPUTED_VALUE"""),46192.99916666667)</f>
        <v>46192.99917</v>
      </c>
      <c r="F13" s="212">
        <f>IFERROR(__xludf.DUMMYFUNCTION("""COMPUTED_VALUE"""),46193.99916666667)</f>
        <v>46193.99917</v>
      </c>
      <c r="G13" s="212">
        <f>IFERROR(__xludf.DUMMYFUNCTION("""COMPUTED_VALUE"""),46194.99916666667)</f>
        <v>46194.99917</v>
      </c>
      <c r="H13" s="209" t="str">
        <f>IFERROR(__xludf.DUMMYFUNCTION("""COMPUTED_VALUE"""),"W 12")</f>
        <v>W 12</v>
      </c>
      <c r="I13" s="210">
        <f>IFERROR(__xludf.DUMMYFUNCTION("""COMPUTED_VALUE"""),12.0)</f>
        <v>12</v>
      </c>
      <c r="J13" s="156" t="str">
        <f>IFERROR(__xludf.DUMMYFUNCTION("""COMPUTED_VALUE"""),"CW- 12")</f>
        <v>CW- 12</v>
      </c>
    </row>
    <row r="14">
      <c r="A14" s="211">
        <f>IFERROR(__xludf.DUMMYFUNCTION("""COMPUTED_VALUE"""),46195.99916666667)</f>
        <v>46195.99917</v>
      </c>
      <c r="B14" s="212">
        <f>IFERROR(__xludf.DUMMYFUNCTION("""COMPUTED_VALUE"""),46196.99916666667)</f>
        <v>46196.99917</v>
      </c>
      <c r="C14" s="212">
        <f>IFERROR(__xludf.DUMMYFUNCTION("""COMPUTED_VALUE"""),46197.99916666667)</f>
        <v>46197.99917</v>
      </c>
      <c r="D14" s="212">
        <f>IFERROR(__xludf.DUMMYFUNCTION("""COMPUTED_VALUE"""),46198.99916666667)</f>
        <v>46198.99917</v>
      </c>
      <c r="E14" s="212">
        <f>IFERROR(__xludf.DUMMYFUNCTION("""COMPUTED_VALUE"""),46199.99916666667)</f>
        <v>46199.99917</v>
      </c>
      <c r="F14" s="212">
        <f>IFERROR(__xludf.DUMMYFUNCTION("""COMPUTED_VALUE"""),46200.99916666667)</f>
        <v>46200.99917</v>
      </c>
      <c r="G14" s="212">
        <f>IFERROR(__xludf.DUMMYFUNCTION("""COMPUTED_VALUE"""),46201.99916666667)</f>
        <v>46201.99917</v>
      </c>
      <c r="H14" s="209" t="str">
        <f>IFERROR(__xludf.DUMMYFUNCTION("""COMPUTED_VALUE"""),"W 13")</f>
        <v>W 13</v>
      </c>
      <c r="I14" s="210">
        <f>IFERROR(__xludf.DUMMYFUNCTION("""COMPUTED_VALUE"""),13.0)</f>
        <v>13</v>
      </c>
      <c r="J14" s="156" t="str">
        <f>IFERROR(__xludf.DUMMYFUNCTION("""COMPUTED_VALUE"""),"CW- 13")</f>
        <v>CW- 13</v>
      </c>
    </row>
    <row r="15">
      <c r="A15" s="211">
        <f>IFERROR(__xludf.DUMMYFUNCTION("""COMPUTED_VALUE"""),46202.99916666667)</f>
        <v>46202.99917</v>
      </c>
      <c r="B15" s="212">
        <f>IFERROR(__xludf.DUMMYFUNCTION("""COMPUTED_VALUE"""),46203.99916666667)</f>
        <v>46203.99917</v>
      </c>
      <c r="C15" s="212">
        <f>IFERROR(__xludf.DUMMYFUNCTION("""COMPUTED_VALUE"""),46204.99916666667)</f>
        <v>46204.99917</v>
      </c>
      <c r="D15" s="212">
        <f>IFERROR(__xludf.DUMMYFUNCTION("""COMPUTED_VALUE"""),46205.99916666667)</f>
        <v>46205.99917</v>
      </c>
      <c r="E15" s="212">
        <f>IFERROR(__xludf.DUMMYFUNCTION("""COMPUTED_VALUE"""),46206.99916666667)</f>
        <v>46206.99917</v>
      </c>
      <c r="F15" s="212">
        <f>IFERROR(__xludf.DUMMYFUNCTION("""COMPUTED_VALUE"""),46207.99916666667)</f>
        <v>46207.99917</v>
      </c>
      <c r="G15" s="212">
        <f>IFERROR(__xludf.DUMMYFUNCTION("""COMPUTED_VALUE"""),46208.99916666667)</f>
        <v>46208.99917</v>
      </c>
      <c r="H15" s="209" t="str">
        <f>IFERROR(__xludf.DUMMYFUNCTION("""COMPUTED_VALUE"""),"W 14")</f>
        <v>W 14</v>
      </c>
      <c r="I15" s="210">
        <f>IFERROR(__xludf.DUMMYFUNCTION("""COMPUTED_VALUE"""),14.0)</f>
        <v>14</v>
      </c>
      <c r="J15" s="156" t="str">
        <f>IFERROR(__xludf.DUMMYFUNCTION("""COMPUTED_VALUE"""),"CW- 14")</f>
        <v>CW- 14</v>
      </c>
    </row>
    <row r="16">
      <c r="A16" s="211">
        <f>IFERROR(__xludf.DUMMYFUNCTION("""COMPUTED_VALUE"""),46209.99916666667)</f>
        <v>46209.99917</v>
      </c>
      <c r="B16" s="212">
        <f>IFERROR(__xludf.DUMMYFUNCTION("""COMPUTED_VALUE"""),46210.99916666667)</f>
        <v>46210.99917</v>
      </c>
      <c r="C16" s="212">
        <f>IFERROR(__xludf.DUMMYFUNCTION("""COMPUTED_VALUE"""),46211.99916666667)</f>
        <v>46211.99917</v>
      </c>
      <c r="D16" s="212">
        <f>IFERROR(__xludf.DUMMYFUNCTION("""COMPUTED_VALUE"""),46212.99916666667)</f>
        <v>46212.99917</v>
      </c>
      <c r="E16" s="212">
        <f>IFERROR(__xludf.DUMMYFUNCTION("""COMPUTED_VALUE"""),46213.99916666667)</f>
        <v>46213.99917</v>
      </c>
      <c r="F16" s="212">
        <f>IFERROR(__xludf.DUMMYFUNCTION("""COMPUTED_VALUE"""),46214.99916666667)</f>
        <v>46214.99917</v>
      </c>
      <c r="G16" s="212">
        <f>IFERROR(__xludf.DUMMYFUNCTION("""COMPUTED_VALUE"""),46215.99916666667)</f>
        <v>46215.99917</v>
      </c>
      <c r="H16" s="209" t="str">
        <f>IFERROR(__xludf.DUMMYFUNCTION("""COMPUTED_VALUE"""),"W 15")</f>
        <v>W 15</v>
      </c>
      <c r="I16" s="210">
        <f>IFERROR(__xludf.DUMMYFUNCTION("""COMPUTED_VALUE"""),15.0)</f>
        <v>15</v>
      </c>
      <c r="J16" s="156" t="str">
        <f>IFERROR(__xludf.DUMMYFUNCTION("""COMPUTED_VALUE"""),"CW- 15")</f>
        <v>CW- 15</v>
      </c>
    </row>
    <row r="17">
      <c r="A17" s="211">
        <f>IFERROR(__xludf.DUMMYFUNCTION("""COMPUTED_VALUE"""),46216.99916666667)</f>
        <v>46216.99917</v>
      </c>
      <c r="B17" s="212">
        <f>IFERROR(__xludf.DUMMYFUNCTION("""COMPUTED_VALUE"""),46217.99916666667)</f>
        <v>46217.99917</v>
      </c>
      <c r="C17" s="212">
        <f>IFERROR(__xludf.DUMMYFUNCTION("""COMPUTED_VALUE"""),46218.99916666667)</f>
        <v>46218.99917</v>
      </c>
      <c r="D17" s="212">
        <f>IFERROR(__xludf.DUMMYFUNCTION("""COMPUTED_VALUE"""),46219.99916666667)</f>
        <v>46219.99917</v>
      </c>
      <c r="E17" s="212">
        <f>IFERROR(__xludf.DUMMYFUNCTION("""COMPUTED_VALUE"""),46220.99916666667)</f>
        <v>46220.99917</v>
      </c>
      <c r="F17" s="212">
        <f>IFERROR(__xludf.DUMMYFUNCTION("""COMPUTED_VALUE"""),46221.99916666667)</f>
        <v>46221.99917</v>
      </c>
      <c r="G17" s="212">
        <f>IFERROR(__xludf.DUMMYFUNCTION("""COMPUTED_VALUE"""),46222.99916666667)</f>
        <v>46222.99917</v>
      </c>
      <c r="H17" s="209" t="str">
        <f>IFERROR(__xludf.DUMMYFUNCTION("""COMPUTED_VALUE"""),"W 16")</f>
        <v>W 16</v>
      </c>
      <c r="I17" s="210">
        <f>IFERROR(__xludf.DUMMYFUNCTION("""COMPUTED_VALUE"""),16.0)</f>
        <v>16</v>
      </c>
      <c r="J17" s="156" t="str">
        <f>IFERROR(__xludf.DUMMYFUNCTION("""COMPUTED_VALUE"""),"CW- 16")</f>
        <v>CW- 16</v>
      </c>
    </row>
    <row r="18">
      <c r="A18" s="211">
        <f>IFERROR(__xludf.DUMMYFUNCTION("""COMPUTED_VALUE"""),46223.99916666667)</f>
        <v>46223.99917</v>
      </c>
      <c r="B18" s="212">
        <f>IFERROR(__xludf.DUMMYFUNCTION("""COMPUTED_VALUE"""),46224.99916666667)</f>
        <v>46224.99917</v>
      </c>
      <c r="C18" s="212">
        <f>IFERROR(__xludf.DUMMYFUNCTION("""COMPUTED_VALUE"""),46225.99916666667)</f>
        <v>46225.99917</v>
      </c>
      <c r="D18" s="212">
        <f>IFERROR(__xludf.DUMMYFUNCTION("""COMPUTED_VALUE"""),46226.99916666667)</f>
        <v>46226.99917</v>
      </c>
      <c r="E18" s="212">
        <f>IFERROR(__xludf.DUMMYFUNCTION("""COMPUTED_VALUE"""),46227.99916666667)</f>
        <v>46227.99917</v>
      </c>
      <c r="F18" s="212">
        <f>IFERROR(__xludf.DUMMYFUNCTION("""COMPUTED_VALUE"""),46228.99916666667)</f>
        <v>46228.99917</v>
      </c>
      <c r="G18" s="212">
        <f>IFERROR(__xludf.DUMMYFUNCTION("""COMPUTED_VALUE"""),46229.99916666667)</f>
        <v>46229.99917</v>
      </c>
      <c r="H18" s="209" t="str">
        <f>IFERROR(__xludf.DUMMYFUNCTION("""COMPUTED_VALUE"""),"W 17")</f>
        <v>W 17</v>
      </c>
      <c r="I18" s="210">
        <f>IFERROR(__xludf.DUMMYFUNCTION("""COMPUTED_VALUE"""),17.0)</f>
        <v>17</v>
      </c>
      <c r="J18" s="156" t="str">
        <f>IFERROR(__xludf.DUMMYFUNCTION("""COMPUTED_VALUE"""),"CW- 17")</f>
        <v>CW- 17</v>
      </c>
    </row>
    <row r="19">
      <c r="A19" s="211">
        <f>IFERROR(__xludf.DUMMYFUNCTION("""COMPUTED_VALUE"""),46230.99916666667)</f>
        <v>46230.99917</v>
      </c>
      <c r="B19" s="212">
        <f>IFERROR(__xludf.DUMMYFUNCTION("""COMPUTED_VALUE"""),46231.99916666667)</f>
        <v>46231.99917</v>
      </c>
      <c r="C19" s="212">
        <f>IFERROR(__xludf.DUMMYFUNCTION("""COMPUTED_VALUE"""),46232.99916666667)</f>
        <v>46232.99917</v>
      </c>
      <c r="D19" s="212">
        <f>IFERROR(__xludf.DUMMYFUNCTION("""COMPUTED_VALUE"""),46233.99916666667)</f>
        <v>46233.99917</v>
      </c>
      <c r="E19" s="212">
        <f>IFERROR(__xludf.DUMMYFUNCTION("""COMPUTED_VALUE"""),46234.99916666667)</f>
        <v>46234.99917</v>
      </c>
      <c r="F19" s="212">
        <f>IFERROR(__xludf.DUMMYFUNCTION("""COMPUTED_VALUE"""),46235.99916666667)</f>
        <v>46235.99917</v>
      </c>
      <c r="G19" s="212">
        <f>IFERROR(__xludf.DUMMYFUNCTION("""COMPUTED_VALUE"""),46236.99916666667)</f>
        <v>46236.99917</v>
      </c>
      <c r="H19" s="209" t="str">
        <f>IFERROR(__xludf.DUMMYFUNCTION("""COMPUTED_VALUE"""),"W 18")</f>
        <v>W 18</v>
      </c>
      <c r="I19" s="210">
        <f>IFERROR(__xludf.DUMMYFUNCTION("""COMPUTED_VALUE"""),18.0)</f>
        <v>18</v>
      </c>
      <c r="J19" s="156" t="str">
        <f>IFERROR(__xludf.DUMMYFUNCTION("""COMPUTED_VALUE"""),"CW- 18")</f>
        <v>CW- 18</v>
      </c>
    </row>
    <row r="20">
      <c r="A20" s="211">
        <f>IFERROR(__xludf.DUMMYFUNCTION("""COMPUTED_VALUE"""),46237.99916666667)</f>
        <v>46237.99917</v>
      </c>
      <c r="B20" s="212">
        <f>IFERROR(__xludf.DUMMYFUNCTION("""COMPUTED_VALUE"""),46238.99916666667)</f>
        <v>46238.99917</v>
      </c>
      <c r="C20" s="212">
        <f>IFERROR(__xludf.DUMMYFUNCTION("""COMPUTED_VALUE"""),46239.99916666667)</f>
        <v>46239.99917</v>
      </c>
      <c r="D20" s="212">
        <f>IFERROR(__xludf.DUMMYFUNCTION("""COMPUTED_VALUE"""),46240.99916666667)</f>
        <v>46240.99917</v>
      </c>
      <c r="E20" s="212">
        <f>IFERROR(__xludf.DUMMYFUNCTION("""COMPUTED_VALUE"""),46241.99916666667)</f>
        <v>46241.99917</v>
      </c>
      <c r="F20" s="212">
        <f>IFERROR(__xludf.DUMMYFUNCTION("""COMPUTED_VALUE"""),46242.99916666667)</f>
        <v>46242.99917</v>
      </c>
      <c r="G20" s="212">
        <f>IFERROR(__xludf.DUMMYFUNCTION("""COMPUTED_VALUE"""),46243.99916666667)</f>
        <v>46243.99917</v>
      </c>
      <c r="H20" s="209" t="str">
        <f>IFERROR(__xludf.DUMMYFUNCTION("""COMPUTED_VALUE"""),"W 19")</f>
        <v>W 19</v>
      </c>
      <c r="I20" s="210">
        <f>IFERROR(__xludf.DUMMYFUNCTION("""COMPUTED_VALUE"""),19.0)</f>
        <v>19</v>
      </c>
      <c r="J20" s="156" t="str">
        <f>IFERROR(__xludf.DUMMYFUNCTION("""COMPUTED_VALUE"""),"CW- 19")</f>
        <v>CW- 19</v>
      </c>
    </row>
    <row r="21">
      <c r="A21" s="211">
        <f>IFERROR(__xludf.DUMMYFUNCTION("""COMPUTED_VALUE"""),46244.99916666667)</f>
        <v>46244.99917</v>
      </c>
      <c r="B21" s="212">
        <f>IFERROR(__xludf.DUMMYFUNCTION("""COMPUTED_VALUE"""),46245.99916666667)</f>
        <v>46245.99917</v>
      </c>
      <c r="C21" s="212">
        <f>IFERROR(__xludf.DUMMYFUNCTION("""COMPUTED_VALUE"""),46246.99916666667)</f>
        <v>46246.99917</v>
      </c>
      <c r="D21" s="212">
        <f>IFERROR(__xludf.DUMMYFUNCTION("""COMPUTED_VALUE"""),46247.99916666667)</f>
        <v>46247.99917</v>
      </c>
      <c r="E21" s="212">
        <f>IFERROR(__xludf.DUMMYFUNCTION("""COMPUTED_VALUE"""),46248.99916666667)</f>
        <v>46248.99917</v>
      </c>
      <c r="F21" s="212">
        <f>IFERROR(__xludf.DUMMYFUNCTION("""COMPUTED_VALUE"""),46249.99916666667)</f>
        <v>46249.99917</v>
      </c>
      <c r="G21" s="212">
        <f>IFERROR(__xludf.DUMMYFUNCTION("""COMPUTED_VALUE"""),46250.99916666667)</f>
        <v>46250.99917</v>
      </c>
      <c r="H21" s="209" t="str">
        <f>IFERROR(__xludf.DUMMYFUNCTION("""COMPUTED_VALUE"""),"W 20")</f>
        <v>W 20</v>
      </c>
      <c r="I21" s="210">
        <f>IFERROR(__xludf.DUMMYFUNCTION("""COMPUTED_VALUE"""),20.0)</f>
        <v>20</v>
      </c>
      <c r="J21" s="156" t="str">
        <f>IFERROR(__xludf.DUMMYFUNCTION("""COMPUTED_VALUE"""),"CW- 20")</f>
        <v>CW- 20</v>
      </c>
    </row>
    <row r="22">
      <c r="A22" s="211">
        <f>IFERROR(__xludf.DUMMYFUNCTION("""COMPUTED_VALUE"""),46251.99916666667)</f>
        <v>46251.99917</v>
      </c>
      <c r="B22" s="212">
        <f>IFERROR(__xludf.DUMMYFUNCTION("""COMPUTED_VALUE"""),46252.99916666667)</f>
        <v>46252.99917</v>
      </c>
      <c r="C22" s="212">
        <f>IFERROR(__xludf.DUMMYFUNCTION("""COMPUTED_VALUE"""),46253.99916666667)</f>
        <v>46253.99917</v>
      </c>
      <c r="D22" s="212">
        <f>IFERROR(__xludf.DUMMYFUNCTION("""COMPUTED_VALUE"""),46254.99916666667)</f>
        <v>46254.99917</v>
      </c>
      <c r="E22" s="212">
        <f>IFERROR(__xludf.DUMMYFUNCTION("""COMPUTED_VALUE"""),46255.99916666667)</f>
        <v>46255.99917</v>
      </c>
      <c r="F22" s="212">
        <f>IFERROR(__xludf.DUMMYFUNCTION("""COMPUTED_VALUE"""),46256.99916666667)</f>
        <v>46256.99917</v>
      </c>
      <c r="G22" s="212">
        <f>IFERROR(__xludf.DUMMYFUNCTION("""COMPUTED_VALUE"""),46257.99916666667)</f>
        <v>46257.99917</v>
      </c>
      <c r="H22" s="209" t="str">
        <f>IFERROR(__xludf.DUMMYFUNCTION("""COMPUTED_VALUE"""),"W 21")</f>
        <v>W 21</v>
      </c>
      <c r="I22" s="210">
        <f>IFERROR(__xludf.DUMMYFUNCTION("""COMPUTED_VALUE"""),21.0)</f>
        <v>21</v>
      </c>
      <c r="J22" s="156" t="str">
        <f>IFERROR(__xludf.DUMMYFUNCTION("""COMPUTED_VALUE"""),"CW- 21")</f>
        <v>CW- 21</v>
      </c>
    </row>
    <row r="23">
      <c r="A23" s="211">
        <f>IFERROR(__xludf.DUMMYFUNCTION("""COMPUTED_VALUE"""),46258.99916666667)</f>
        <v>46258.99917</v>
      </c>
      <c r="B23" s="212">
        <f>IFERROR(__xludf.DUMMYFUNCTION("""COMPUTED_VALUE"""),46259.99916666667)</f>
        <v>46259.99917</v>
      </c>
      <c r="C23" s="212">
        <f>IFERROR(__xludf.DUMMYFUNCTION("""COMPUTED_VALUE"""),46260.99916666667)</f>
        <v>46260.99917</v>
      </c>
      <c r="D23" s="212">
        <f>IFERROR(__xludf.DUMMYFUNCTION("""COMPUTED_VALUE"""),46261.99916666667)</f>
        <v>46261.99917</v>
      </c>
      <c r="E23" s="212">
        <f>IFERROR(__xludf.DUMMYFUNCTION("""COMPUTED_VALUE"""),46262.99916666667)</f>
        <v>46262.99917</v>
      </c>
      <c r="F23" s="212">
        <f>IFERROR(__xludf.DUMMYFUNCTION("""COMPUTED_VALUE"""),46263.99916666667)</f>
        <v>46263.99917</v>
      </c>
      <c r="G23" s="212">
        <f>IFERROR(__xludf.DUMMYFUNCTION("""COMPUTED_VALUE"""),46264.99916666667)</f>
        <v>46264.99917</v>
      </c>
      <c r="H23" s="209" t="str">
        <f>IFERROR(__xludf.DUMMYFUNCTION("""COMPUTED_VALUE"""),"W 22")</f>
        <v>W 22</v>
      </c>
      <c r="I23" s="210">
        <f>IFERROR(__xludf.DUMMYFUNCTION("""COMPUTED_VALUE"""),22.0)</f>
        <v>22</v>
      </c>
      <c r="J23" s="156" t="str">
        <f>IFERROR(__xludf.DUMMYFUNCTION("""COMPUTED_VALUE"""),"CW- 22")</f>
        <v>CW- 22</v>
      </c>
    </row>
    <row r="24">
      <c r="A24" s="211">
        <f>IFERROR(__xludf.DUMMYFUNCTION("""COMPUTED_VALUE"""),46265.99916666667)</f>
        <v>46265.99917</v>
      </c>
      <c r="B24" s="212">
        <f>IFERROR(__xludf.DUMMYFUNCTION("""COMPUTED_VALUE"""),46266.99916666667)</f>
        <v>46266.99917</v>
      </c>
      <c r="C24" s="212">
        <f>IFERROR(__xludf.DUMMYFUNCTION("""COMPUTED_VALUE"""),46267.99916666667)</f>
        <v>46267.99917</v>
      </c>
      <c r="D24" s="212">
        <f>IFERROR(__xludf.DUMMYFUNCTION("""COMPUTED_VALUE"""),46268.99916666667)</f>
        <v>46268.99917</v>
      </c>
      <c r="E24" s="212">
        <f>IFERROR(__xludf.DUMMYFUNCTION("""COMPUTED_VALUE"""),46269.99916666667)</f>
        <v>46269.99917</v>
      </c>
      <c r="F24" s="212">
        <f>IFERROR(__xludf.DUMMYFUNCTION("""COMPUTED_VALUE"""),46270.99916666667)</f>
        <v>46270.99917</v>
      </c>
      <c r="G24" s="212">
        <f>IFERROR(__xludf.DUMMYFUNCTION("""COMPUTED_VALUE"""),46271.99916666667)</f>
        <v>46271.99917</v>
      </c>
      <c r="H24" s="209" t="str">
        <f>IFERROR(__xludf.DUMMYFUNCTION("""COMPUTED_VALUE"""),"W 23")</f>
        <v>W 23</v>
      </c>
      <c r="I24" s="210">
        <f>IFERROR(__xludf.DUMMYFUNCTION("""COMPUTED_VALUE"""),23.0)</f>
        <v>23</v>
      </c>
      <c r="J24" s="156" t="str">
        <f>IFERROR(__xludf.DUMMYFUNCTION("""COMPUTED_VALUE"""),"CW- 23")</f>
        <v>CW- 23</v>
      </c>
    </row>
    <row r="25">
      <c r="A25" s="211">
        <f>IFERROR(__xludf.DUMMYFUNCTION("""COMPUTED_VALUE"""),46272.99916666667)</f>
        <v>46272.99917</v>
      </c>
      <c r="B25" s="212">
        <f>IFERROR(__xludf.DUMMYFUNCTION("""COMPUTED_VALUE"""),46273.99916666667)</f>
        <v>46273.99917</v>
      </c>
      <c r="C25" s="212">
        <f>IFERROR(__xludf.DUMMYFUNCTION("""COMPUTED_VALUE"""),46274.99916666667)</f>
        <v>46274.99917</v>
      </c>
      <c r="D25" s="212">
        <f>IFERROR(__xludf.DUMMYFUNCTION("""COMPUTED_VALUE"""),46275.99916666667)</f>
        <v>46275.99917</v>
      </c>
      <c r="E25" s="212">
        <f>IFERROR(__xludf.DUMMYFUNCTION("""COMPUTED_VALUE"""),46276.99916666667)</f>
        <v>46276.99917</v>
      </c>
      <c r="F25" s="212">
        <f>IFERROR(__xludf.DUMMYFUNCTION("""COMPUTED_VALUE"""),46277.99916666667)</f>
        <v>46277.99917</v>
      </c>
      <c r="G25" s="212">
        <f>IFERROR(__xludf.DUMMYFUNCTION("""COMPUTED_VALUE"""),46278.99916666667)</f>
        <v>46278.99917</v>
      </c>
      <c r="H25" s="209" t="str">
        <f>IFERROR(__xludf.DUMMYFUNCTION("""COMPUTED_VALUE"""),"W 24")</f>
        <v>W 24</v>
      </c>
      <c r="I25" s="210">
        <f>IFERROR(__xludf.DUMMYFUNCTION("""COMPUTED_VALUE"""),24.0)</f>
        <v>24</v>
      </c>
      <c r="J25" s="156" t="str">
        <f>IFERROR(__xludf.DUMMYFUNCTION("""COMPUTED_VALUE"""),"CW- 24")</f>
        <v>CW- 24</v>
      </c>
    </row>
    <row r="26">
      <c r="A26" s="211">
        <f>IFERROR(__xludf.DUMMYFUNCTION("""COMPUTED_VALUE"""),46279.99916666667)</f>
        <v>46279.99917</v>
      </c>
      <c r="B26" s="212">
        <f>IFERROR(__xludf.DUMMYFUNCTION("""COMPUTED_VALUE"""),46280.99916666667)</f>
        <v>46280.99917</v>
      </c>
      <c r="C26" s="212">
        <f>IFERROR(__xludf.DUMMYFUNCTION("""COMPUTED_VALUE"""),46281.99916666667)</f>
        <v>46281.99917</v>
      </c>
      <c r="D26" s="212">
        <f>IFERROR(__xludf.DUMMYFUNCTION("""COMPUTED_VALUE"""),46282.99916666667)</f>
        <v>46282.99917</v>
      </c>
      <c r="E26" s="212">
        <f>IFERROR(__xludf.DUMMYFUNCTION("""COMPUTED_VALUE"""),46283.99916666667)</f>
        <v>46283.99917</v>
      </c>
      <c r="F26" s="212">
        <f>IFERROR(__xludf.DUMMYFUNCTION("""COMPUTED_VALUE"""),46284.99916666667)</f>
        <v>46284.99917</v>
      </c>
      <c r="G26" s="212">
        <f>IFERROR(__xludf.DUMMYFUNCTION("""COMPUTED_VALUE"""),46285.99916666667)</f>
        <v>46285.99917</v>
      </c>
      <c r="H26" s="209" t="str">
        <f>IFERROR(__xludf.DUMMYFUNCTION("""COMPUTED_VALUE"""),"W 25")</f>
        <v>W 25</v>
      </c>
      <c r="I26" s="210">
        <f>IFERROR(__xludf.DUMMYFUNCTION("""COMPUTED_VALUE"""),25.0)</f>
        <v>25</v>
      </c>
      <c r="J26" s="156" t="str">
        <f>IFERROR(__xludf.DUMMYFUNCTION("""COMPUTED_VALUE"""),"CW- 25")</f>
        <v>CW- 25</v>
      </c>
    </row>
    <row r="27">
      <c r="A27" s="211">
        <f>IFERROR(__xludf.DUMMYFUNCTION("""COMPUTED_VALUE"""),46286.99916666667)</f>
        <v>46286.99917</v>
      </c>
      <c r="B27" s="212">
        <f>IFERROR(__xludf.DUMMYFUNCTION("""COMPUTED_VALUE"""),46287.99916666667)</f>
        <v>46287.99917</v>
      </c>
      <c r="C27" s="212">
        <f>IFERROR(__xludf.DUMMYFUNCTION("""COMPUTED_VALUE"""),46288.99916666667)</f>
        <v>46288.99917</v>
      </c>
      <c r="D27" s="212">
        <f>IFERROR(__xludf.DUMMYFUNCTION("""COMPUTED_VALUE"""),46289.99916666667)</f>
        <v>46289.99917</v>
      </c>
      <c r="E27" s="212">
        <f>IFERROR(__xludf.DUMMYFUNCTION("""COMPUTED_VALUE"""),46290.99916666667)</f>
        <v>46290.99917</v>
      </c>
      <c r="F27" s="212">
        <f>IFERROR(__xludf.DUMMYFUNCTION("""COMPUTED_VALUE"""),46291.99916666667)</f>
        <v>46291.99917</v>
      </c>
      <c r="G27" s="212">
        <f>IFERROR(__xludf.DUMMYFUNCTION("""COMPUTED_VALUE"""),46292.99916666667)</f>
        <v>46292.99917</v>
      </c>
      <c r="H27" s="209" t="str">
        <f>IFERROR(__xludf.DUMMYFUNCTION("""COMPUTED_VALUE"""),"W 26")</f>
        <v>W 26</v>
      </c>
      <c r="I27" s="210">
        <f>IFERROR(__xludf.DUMMYFUNCTION("""COMPUTED_VALUE"""),26.0)</f>
        <v>26</v>
      </c>
      <c r="J27" s="156" t="str">
        <f>IFERROR(__xludf.DUMMYFUNCTION("""COMPUTED_VALUE"""),"CW- 26")</f>
        <v>CW- 26</v>
      </c>
    </row>
    <row r="28">
      <c r="A28" s="211">
        <f>IFERROR(__xludf.DUMMYFUNCTION("""COMPUTED_VALUE"""),46293.99916666667)</f>
        <v>46293.99917</v>
      </c>
      <c r="B28" s="212">
        <f>IFERROR(__xludf.DUMMYFUNCTION("""COMPUTED_VALUE"""),46294.99916666667)</f>
        <v>46294.99917</v>
      </c>
      <c r="C28" s="212">
        <f>IFERROR(__xludf.DUMMYFUNCTION("""COMPUTED_VALUE"""),46295.99916666667)</f>
        <v>46295.99917</v>
      </c>
      <c r="D28" s="212">
        <f>IFERROR(__xludf.DUMMYFUNCTION("""COMPUTED_VALUE"""),46296.99916666667)</f>
        <v>46296.99917</v>
      </c>
      <c r="E28" s="212">
        <f>IFERROR(__xludf.DUMMYFUNCTION("""COMPUTED_VALUE"""),46297.99916666667)</f>
        <v>46297.99917</v>
      </c>
      <c r="F28" s="212">
        <f>IFERROR(__xludf.DUMMYFUNCTION("""COMPUTED_VALUE"""),46298.99916666667)</f>
        <v>46298.99917</v>
      </c>
      <c r="G28" s="212">
        <f>IFERROR(__xludf.DUMMYFUNCTION("""COMPUTED_VALUE"""),46299.99916666667)</f>
        <v>46299.99917</v>
      </c>
      <c r="H28" s="209" t="str">
        <f>IFERROR(__xludf.DUMMYFUNCTION("""COMPUTED_VALUE"""),"W 27")</f>
        <v>W 27</v>
      </c>
      <c r="I28" s="210">
        <f>IFERROR(__xludf.DUMMYFUNCTION("""COMPUTED_VALUE"""),27.0)</f>
        <v>27</v>
      </c>
      <c r="J28" s="156" t="str">
        <f>IFERROR(__xludf.DUMMYFUNCTION("""COMPUTED_VALUE"""),"CW- 27")</f>
        <v>CW- 27</v>
      </c>
    </row>
    <row r="29">
      <c r="A29" s="211">
        <f>IFERROR(__xludf.DUMMYFUNCTION("""COMPUTED_VALUE"""),46300.99916666667)</f>
        <v>46300.99917</v>
      </c>
      <c r="B29" s="212">
        <f>IFERROR(__xludf.DUMMYFUNCTION("""COMPUTED_VALUE"""),46301.99916666667)</f>
        <v>46301.99917</v>
      </c>
      <c r="C29" s="212">
        <f>IFERROR(__xludf.DUMMYFUNCTION("""COMPUTED_VALUE"""),46302.99916666667)</f>
        <v>46302.99917</v>
      </c>
      <c r="D29" s="212">
        <f>IFERROR(__xludf.DUMMYFUNCTION("""COMPUTED_VALUE"""),46303.99916666667)</f>
        <v>46303.99917</v>
      </c>
      <c r="E29" s="212">
        <f>IFERROR(__xludf.DUMMYFUNCTION("""COMPUTED_VALUE"""),46304.99916666667)</f>
        <v>46304.99917</v>
      </c>
      <c r="F29" s="212">
        <f>IFERROR(__xludf.DUMMYFUNCTION("""COMPUTED_VALUE"""),46305.99916666667)</f>
        <v>46305.99917</v>
      </c>
      <c r="G29" s="212">
        <f>IFERROR(__xludf.DUMMYFUNCTION("""COMPUTED_VALUE"""),46306.99916666667)</f>
        <v>46306.99917</v>
      </c>
      <c r="H29" s="209" t="str">
        <f>IFERROR(__xludf.DUMMYFUNCTION("""COMPUTED_VALUE"""),"W 28")</f>
        <v>W 28</v>
      </c>
      <c r="I29" s="210">
        <f>IFERROR(__xludf.DUMMYFUNCTION("""COMPUTED_VALUE"""),28.0)</f>
        <v>28</v>
      </c>
      <c r="J29" s="156" t="str">
        <f>IFERROR(__xludf.DUMMYFUNCTION("""COMPUTED_VALUE"""),"CW- 28")</f>
        <v>CW- 28</v>
      </c>
    </row>
    <row r="30">
      <c r="A30" s="211">
        <f>IFERROR(__xludf.DUMMYFUNCTION("""COMPUTED_VALUE"""),46307.99916666667)</f>
        <v>46307.99917</v>
      </c>
      <c r="B30" s="212">
        <f>IFERROR(__xludf.DUMMYFUNCTION("""COMPUTED_VALUE"""),46308.99916666667)</f>
        <v>46308.99917</v>
      </c>
      <c r="C30" s="212">
        <f>IFERROR(__xludf.DUMMYFUNCTION("""COMPUTED_VALUE"""),46309.99916666667)</f>
        <v>46309.99917</v>
      </c>
      <c r="D30" s="212">
        <f>IFERROR(__xludf.DUMMYFUNCTION("""COMPUTED_VALUE"""),46310.99916666667)</f>
        <v>46310.99917</v>
      </c>
      <c r="E30" s="212">
        <f>IFERROR(__xludf.DUMMYFUNCTION("""COMPUTED_VALUE"""),46311.99916666667)</f>
        <v>46311.99917</v>
      </c>
      <c r="F30" s="212">
        <f>IFERROR(__xludf.DUMMYFUNCTION("""COMPUTED_VALUE"""),46312.99916666667)</f>
        <v>46312.99917</v>
      </c>
      <c r="G30" s="212">
        <f>IFERROR(__xludf.DUMMYFUNCTION("""COMPUTED_VALUE"""),46313.99916666667)</f>
        <v>46313.99917</v>
      </c>
      <c r="H30" s="209" t="str">
        <f>IFERROR(__xludf.DUMMYFUNCTION("""COMPUTED_VALUE"""),"W 29")</f>
        <v>W 29</v>
      </c>
      <c r="I30" s="210">
        <f>IFERROR(__xludf.DUMMYFUNCTION("""COMPUTED_VALUE"""),29.0)</f>
        <v>29</v>
      </c>
      <c r="J30" s="156" t="str">
        <f>IFERROR(__xludf.DUMMYFUNCTION("""COMPUTED_VALUE"""),"CW- 29")</f>
        <v>CW- 29</v>
      </c>
    </row>
    <row r="31">
      <c r="A31" s="211">
        <f>IFERROR(__xludf.DUMMYFUNCTION("""COMPUTED_VALUE"""),46314.99916666667)</f>
        <v>46314.99917</v>
      </c>
      <c r="B31" s="212">
        <f>IFERROR(__xludf.DUMMYFUNCTION("""COMPUTED_VALUE"""),46315.99916666667)</f>
        <v>46315.99917</v>
      </c>
      <c r="C31" s="212">
        <f>IFERROR(__xludf.DUMMYFUNCTION("""COMPUTED_VALUE"""),46316.99916666667)</f>
        <v>46316.99917</v>
      </c>
      <c r="D31" s="212">
        <f>IFERROR(__xludf.DUMMYFUNCTION("""COMPUTED_VALUE"""),46317.99916666667)</f>
        <v>46317.99917</v>
      </c>
      <c r="E31" s="212">
        <f>IFERROR(__xludf.DUMMYFUNCTION("""COMPUTED_VALUE"""),46318.99916666667)</f>
        <v>46318.99917</v>
      </c>
      <c r="F31" s="212">
        <f>IFERROR(__xludf.DUMMYFUNCTION("""COMPUTED_VALUE"""),46319.99916666667)</f>
        <v>46319.99917</v>
      </c>
      <c r="G31" s="212">
        <f>IFERROR(__xludf.DUMMYFUNCTION("""COMPUTED_VALUE"""),46320.99916666667)</f>
        <v>46320.99917</v>
      </c>
      <c r="H31" s="209" t="str">
        <f>IFERROR(__xludf.DUMMYFUNCTION("""COMPUTED_VALUE"""),"W 30")</f>
        <v>W 30</v>
      </c>
      <c r="I31" s="210">
        <f>IFERROR(__xludf.DUMMYFUNCTION("""COMPUTED_VALUE"""),30.0)</f>
        <v>30</v>
      </c>
      <c r="J31" s="156" t="str">
        <f>IFERROR(__xludf.DUMMYFUNCTION("""COMPUTED_VALUE"""),"CW- 30")</f>
        <v>CW- 30</v>
      </c>
    </row>
    <row r="32">
      <c r="A32" s="211">
        <f>IFERROR(__xludf.DUMMYFUNCTION("""COMPUTED_VALUE"""),46321.99916666667)</f>
        <v>46321.99917</v>
      </c>
      <c r="B32" s="212">
        <f>IFERROR(__xludf.DUMMYFUNCTION("""COMPUTED_VALUE"""),46322.99916666667)</f>
        <v>46322.99917</v>
      </c>
      <c r="C32" s="212">
        <f>IFERROR(__xludf.DUMMYFUNCTION("""COMPUTED_VALUE"""),46323.99916666667)</f>
        <v>46323.99917</v>
      </c>
      <c r="D32" s="212">
        <f>IFERROR(__xludf.DUMMYFUNCTION("""COMPUTED_VALUE"""),46324.99916666667)</f>
        <v>46324.99917</v>
      </c>
      <c r="E32" s="212">
        <f>IFERROR(__xludf.DUMMYFUNCTION("""COMPUTED_VALUE"""),46325.99916666667)</f>
        <v>46325.99917</v>
      </c>
      <c r="F32" s="212">
        <f>IFERROR(__xludf.DUMMYFUNCTION("""COMPUTED_VALUE"""),46326.99916666667)</f>
        <v>46326.99917</v>
      </c>
      <c r="G32" s="212">
        <f>IFERROR(__xludf.DUMMYFUNCTION("""COMPUTED_VALUE"""),46327.99916666667)</f>
        <v>46327.99917</v>
      </c>
      <c r="H32" s="209" t="str">
        <f>IFERROR(__xludf.DUMMYFUNCTION("""COMPUTED_VALUE"""),"W 31")</f>
        <v>W 31</v>
      </c>
      <c r="I32" s="210">
        <f>IFERROR(__xludf.DUMMYFUNCTION("""COMPUTED_VALUE"""),31.0)</f>
        <v>31</v>
      </c>
      <c r="J32" s="156" t="str">
        <f>IFERROR(__xludf.DUMMYFUNCTION("""COMPUTED_VALUE"""),"CW- 31")</f>
        <v>CW- 31</v>
      </c>
    </row>
    <row r="33">
      <c r="A33" s="211">
        <f>IFERROR(__xludf.DUMMYFUNCTION("""COMPUTED_VALUE"""),46328.99916666667)</f>
        <v>46328.99917</v>
      </c>
      <c r="B33" s="212">
        <f>IFERROR(__xludf.DUMMYFUNCTION("""COMPUTED_VALUE"""),46329.99916666667)</f>
        <v>46329.99917</v>
      </c>
      <c r="C33" s="212">
        <f>IFERROR(__xludf.DUMMYFUNCTION("""COMPUTED_VALUE"""),46330.99916666667)</f>
        <v>46330.99917</v>
      </c>
      <c r="D33" s="212">
        <f>IFERROR(__xludf.DUMMYFUNCTION("""COMPUTED_VALUE"""),46331.99916666667)</f>
        <v>46331.99917</v>
      </c>
      <c r="E33" s="212">
        <f>IFERROR(__xludf.DUMMYFUNCTION("""COMPUTED_VALUE"""),46332.99916666667)</f>
        <v>46332.99917</v>
      </c>
      <c r="F33" s="212">
        <f>IFERROR(__xludf.DUMMYFUNCTION("""COMPUTED_VALUE"""),46333.99916666667)</f>
        <v>46333.99917</v>
      </c>
      <c r="G33" s="212">
        <f>IFERROR(__xludf.DUMMYFUNCTION("""COMPUTED_VALUE"""),46334.99916666667)</f>
        <v>46334.99917</v>
      </c>
      <c r="H33" s="209" t="str">
        <f>IFERROR(__xludf.DUMMYFUNCTION("""COMPUTED_VALUE"""),"W 32")</f>
        <v>W 32</v>
      </c>
      <c r="I33" s="210">
        <f>IFERROR(__xludf.DUMMYFUNCTION("""COMPUTED_VALUE"""),32.0)</f>
        <v>32</v>
      </c>
      <c r="J33" s="156" t="str">
        <f>IFERROR(__xludf.DUMMYFUNCTION("""COMPUTED_VALUE"""),"CW- 32")</f>
        <v>CW- 32</v>
      </c>
    </row>
    <row r="34">
      <c r="A34" s="211">
        <f>IFERROR(__xludf.DUMMYFUNCTION("""COMPUTED_VALUE"""),46335.99916666667)</f>
        <v>46335.99917</v>
      </c>
      <c r="B34" s="212">
        <f>IFERROR(__xludf.DUMMYFUNCTION("""COMPUTED_VALUE"""),46336.99916666667)</f>
        <v>46336.99917</v>
      </c>
      <c r="C34" s="212">
        <f>IFERROR(__xludf.DUMMYFUNCTION("""COMPUTED_VALUE"""),46337.99916666667)</f>
        <v>46337.99917</v>
      </c>
      <c r="D34" s="212">
        <f>IFERROR(__xludf.DUMMYFUNCTION("""COMPUTED_VALUE"""),46338.99916666667)</f>
        <v>46338.99917</v>
      </c>
      <c r="E34" s="212">
        <f>IFERROR(__xludf.DUMMYFUNCTION("""COMPUTED_VALUE"""),46339.99916666667)</f>
        <v>46339.99917</v>
      </c>
      <c r="F34" s="212">
        <f>IFERROR(__xludf.DUMMYFUNCTION("""COMPUTED_VALUE"""),46340.99916666667)</f>
        <v>46340.99917</v>
      </c>
      <c r="G34" s="212">
        <f>IFERROR(__xludf.DUMMYFUNCTION("""COMPUTED_VALUE"""),46341.99916666667)</f>
        <v>46341.99917</v>
      </c>
      <c r="H34" s="209" t="str">
        <f>IFERROR(__xludf.DUMMYFUNCTION("""COMPUTED_VALUE"""),"W 33")</f>
        <v>W 33</v>
      </c>
      <c r="I34" s="210">
        <f>IFERROR(__xludf.DUMMYFUNCTION("""COMPUTED_VALUE"""),33.0)</f>
        <v>33</v>
      </c>
      <c r="J34" s="156" t="str">
        <f>IFERROR(__xludf.DUMMYFUNCTION("""COMPUTED_VALUE"""),"CW- 33")</f>
        <v>CW- 33</v>
      </c>
    </row>
    <row r="35">
      <c r="A35" s="211">
        <f>IFERROR(__xludf.DUMMYFUNCTION("""COMPUTED_VALUE"""),46342.99916666667)</f>
        <v>46342.99917</v>
      </c>
      <c r="B35" s="212">
        <f>IFERROR(__xludf.DUMMYFUNCTION("""COMPUTED_VALUE"""),46343.99916666667)</f>
        <v>46343.99917</v>
      </c>
      <c r="C35" s="212">
        <f>IFERROR(__xludf.DUMMYFUNCTION("""COMPUTED_VALUE"""),46344.99916666667)</f>
        <v>46344.99917</v>
      </c>
      <c r="D35" s="212">
        <f>IFERROR(__xludf.DUMMYFUNCTION("""COMPUTED_VALUE"""),46345.99916666667)</f>
        <v>46345.99917</v>
      </c>
      <c r="E35" s="212">
        <f>IFERROR(__xludf.DUMMYFUNCTION("""COMPUTED_VALUE"""),46346.99916666667)</f>
        <v>46346.99917</v>
      </c>
      <c r="F35" s="212">
        <f>IFERROR(__xludf.DUMMYFUNCTION("""COMPUTED_VALUE"""),46347.99916666667)</f>
        <v>46347.99917</v>
      </c>
      <c r="G35" s="212">
        <f>IFERROR(__xludf.DUMMYFUNCTION("""COMPUTED_VALUE"""),46348.99916666667)</f>
        <v>46348.99917</v>
      </c>
      <c r="H35" s="209" t="str">
        <f>IFERROR(__xludf.DUMMYFUNCTION("""COMPUTED_VALUE"""),"W 34")</f>
        <v>W 34</v>
      </c>
      <c r="I35" s="210">
        <f>IFERROR(__xludf.DUMMYFUNCTION("""COMPUTED_VALUE"""),34.0)</f>
        <v>34</v>
      </c>
      <c r="J35" s="156" t="str">
        <f>IFERROR(__xludf.DUMMYFUNCTION("""COMPUTED_VALUE"""),"CW- 34")</f>
        <v>CW- 34</v>
      </c>
    </row>
    <row r="36">
      <c r="A36" s="211">
        <f>IFERROR(__xludf.DUMMYFUNCTION("""COMPUTED_VALUE"""),46349.99916666667)</f>
        <v>46349.99917</v>
      </c>
      <c r="B36" s="212">
        <f>IFERROR(__xludf.DUMMYFUNCTION("""COMPUTED_VALUE"""),46350.99916666667)</f>
        <v>46350.99917</v>
      </c>
      <c r="C36" s="212">
        <f>IFERROR(__xludf.DUMMYFUNCTION("""COMPUTED_VALUE"""),46351.99916666667)</f>
        <v>46351.99917</v>
      </c>
      <c r="D36" s="212">
        <f>IFERROR(__xludf.DUMMYFUNCTION("""COMPUTED_VALUE"""),46352.99916666667)</f>
        <v>46352.99917</v>
      </c>
      <c r="E36" s="212">
        <f>IFERROR(__xludf.DUMMYFUNCTION("""COMPUTED_VALUE"""),46353.99916666667)</f>
        <v>46353.99917</v>
      </c>
      <c r="F36" s="212">
        <f>IFERROR(__xludf.DUMMYFUNCTION("""COMPUTED_VALUE"""),46354.99916666667)</f>
        <v>46354.99917</v>
      </c>
      <c r="G36" s="212">
        <f>IFERROR(__xludf.DUMMYFUNCTION("""COMPUTED_VALUE"""),46355.99916666667)</f>
        <v>46355.99917</v>
      </c>
      <c r="H36" s="209" t="str">
        <f>IFERROR(__xludf.DUMMYFUNCTION("""COMPUTED_VALUE"""),"W 35")</f>
        <v>W 35</v>
      </c>
      <c r="I36" s="210">
        <f>IFERROR(__xludf.DUMMYFUNCTION("""COMPUTED_VALUE"""),35.0)</f>
        <v>35</v>
      </c>
      <c r="J36" s="156" t="str">
        <f>IFERROR(__xludf.DUMMYFUNCTION("""COMPUTED_VALUE"""),"CW- 35")</f>
        <v>CW- 35</v>
      </c>
    </row>
    <row r="37">
      <c r="A37" s="211">
        <f>IFERROR(__xludf.DUMMYFUNCTION("""COMPUTED_VALUE"""),46356.99916666667)</f>
        <v>46356.99917</v>
      </c>
      <c r="B37" s="212">
        <f>IFERROR(__xludf.DUMMYFUNCTION("""COMPUTED_VALUE"""),46357.99916666667)</f>
        <v>46357.99917</v>
      </c>
      <c r="C37" s="212">
        <f>IFERROR(__xludf.DUMMYFUNCTION("""COMPUTED_VALUE"""),46358.99916666667)</f>
        <v>46358.99917</v>
      </c>
      <c r="D37" s="212">
        <f>IFERROR(__xludf.DUMMYFUNCTION("""COMPUTED_VALUE"""),46359.99916666667)</f>
        <v>46359.99917</v>
      </c>
      <c r="E37" s="212">
        <f>IFERROR(__xludf.DUMMYFUNCTION("""COMPUTED_VALUE"""),46360.99916666667)</f>
        <v>46360.99917</v>
      </c>
      <c r="F37" s="212">
        <f>IFERROR(__xludf.DUMMYFUNCTION("""COMPUTED_VALUE"""),46361.99916666667)</f>
        <v>46361.99917</v>
      </c>
      <c r="G37" s="212">
        <f>IFERROR(__xludf.DUMMYFUNCTION("""COMPUTED_VALUE"""),46362.99916666667)</f>
        <v>46362.99917</v>
      </c>
      <c r="H37" s="209" t="str">
        <f>IFERROR(__xludf.DUMMYFUNCTION("""COMPUTED_VALUE"""),"W 36")</f>
        <v>W 36</v>
      </c>
      <c r="I37" s="210">
        <f>IFERROR(__xludf.DUMMYFUNCTION("""COMPUTED_VALUE"""),36.0)</f>
        <v>36</v>
      </c>
      <c r="J37" s="156" t="str">
        <f>IFERROR(__xludf.DUMMYFUNCTION("""COMPUTED_VALUE"""),"CW- 36")</f>
        <v>CW- 36</v>
      </c>
    </row>
    <row r="38">
      <c r="A38" s="211">
        <f>IFERROR(__xludf.DUMMYFUNCTION("""COMPUTED_VALUE"""),46363.99916666667)</f>
        <v>46363.99917</v>
      </c>
      <c r="B38" s="212">
        <f>IFERROR(__xludf.DUMMYFUNCTION("""COMPUTED_VALUE"""),46364.99916666667)</f>
        <v>46364.99917</v>
      </c>
      <c r="C38" s="212">
        <f>IFERROR(__xludf.DUMMYFUNCTION("""COMPUTED_VALUE"""),46365.99916666667)</f>
        <v>46365.99917</v>
      </c>
      <c r="D38" s="212">
        <f>IFERROR(__xludf.DUMMYFUNCTION("""COMPUTED_VALUE"""),46366.99916666667)</f>
        <v>46366.99917</v>
      </c>
      <c r="E38" s="212">
        <f>IFERROR(__xludf.DUMMYFUNCTION("""COMPUTED_VALUE"""),46367.99916666667)</f>
        <v>46367.99917</v>
      </c>
      <c r="F38" s="212">
        <f>IFERROR(__xludf.DUMMYFUNCTION("""COMPUTED_VALUE"""),46368.99916666667)</f>
        <v>46368.99917</v>
      </c>
      <c r="G38" s="212">
        <f>IFERROR(__xludf.DUMMYFUNCTION("""COMPUTED_VALUE"""),46369.99916666667)</f>
        <v>46369.99917</v>
      </c>
      <c r="H38" s="209" t="str">
        <f>IFERROR(__xludf.DUMMYFUNCTION("""COMPUTED_VALUE"""),"W 37")</f>
        <v>W 37</v>
      </c>
      <c r="I38" s="210">
        <f>IFERROR(__xludf.DUMMYFUNCTION("""COMPUTED_VALUE"""),37.0)</f>
        <v>37</v>
      </c>
      <c r="J38" s="156" t="str">
        <f>IFERROR(__xludf.DUMMYFUNCTION("""COMPUTED_VALUE"""),"CW- 37")</f>
        <v>CW- 37</v>
      </c>
    </row>
    <row r="39">
      <c r="A39" s="211">
        <f>IFERROR(__xludf.DUMMYFUNCTION("""COMPUTED_VALUE"""),46370.99916666667)</f>
        <v>46370.99917</v>
      </c>
      <c r="B39" s="212">
        <f>IFERROR(__xludf.DUMMYFUNCTION("""COMPUTED_VALUE"""),46371.99916666667)</f>
        <v>46371.99917</v>
      </c>
      <c r="C39" s="212">
        <f>IFERROR(__xludf.DUMMYFUNCTION("""COMPUTED_VALUE"""),46372.99916666667)</f>
        <v>46372.99917</v>
      </c>
      <c r="D39" s="212">
        <f>IFERROR(__xludf.DUMMYFUNCTION("""COMPUTED_VALUE"""),46373.99916666667)</f>
        <v>46373.99917</v>
      </c>
      <c r="E39" s="212">
        <f>IFERROR(__xludf.DUMMYFUNCTION("""COMPUTED_VALUE"""),46374.99916666667)</f>
        <v>46374.99917</v>
      </c>
      <c r="F39" s="212">
        <f>IFERROR(__xludf.DUMMYFUNCTION("""COMPUTED_VALUE"""),46375.99916666667)</f>
        <v>46375.99917</v>
      </c>
      <c r="G39" s="212">
        <f>IFERROR(__xludf.DUMMYFUNCTION("""COMPUTED_VALUE"""),46376.99916666667)</f>
        <v>46376.99917</v>
      </c>
      <c r="H39" s="209" t="str">
        <f>IFERROR(__xludf.DUMMYFUNCTION("""COMPUTED_VALUE"""),"W 38")</f>
        <v>W 38</v>
      </c>
      <c r="I39" s="210">
        <f>IFERROR(__xludf.DUMMYFUNCTION("""COMPUTED_VALUE"""),38.0)</f>
        <v>38</v>
      </c>
      <c r="J39" s="156" t="str">
        <f>IFERROR(__xludf.DUMMYFUNCTION("""COMPUTED_VALUE"""),"CW- 38")</f>
        <v>CW- 38</v>
      </c>
    </row>
    <row r="40">
      <c r="A40" s="211">
        <f>IFERROR(__xludf.DUMMYFUNCTION("""COMPUTED_VALUE"""),46377.99916666667)</f>
        <v>46377.99917</v>
      </c>
      <c r="B40" s="212">
        <f>IFERROR(__xludf.DUMMYFUNCTION("""COMPUTED_VALUE"""),46378.99916666667)</f>
        <v>46378.99917</v>
      </c>
      <c r="C40" s="212">
        <f>IFERROR(__xludf.DUMMYFUNCTION("""COMPUTED_VALUE"""),46379.99916666667)</f>
        <v>46379.99917</v>
      </c>
      <c r="D40" s="212">
        <f>IFERROR(__xludf.DUMMYFUNCTION("""COMPUTED_VALUE"""),46380.99916666667)</f>
        <v>46380.99917</v>
      </c>
      <c r="E40" s="212">
        <f>IFERROR(__xludf.DUMMYFUNCTION("""COMPUTED_VALUE"""),46381.99916666667)</f>
        <v>46381.99917</v>
      </c>
      <c r="F40" s="212">
        <f>IFERROR(__xludf.DUMMYFUNCTION("""COMPUTED_VALUE"""),46382.99916666667)</f>
        <v>46382.99917</v>
      </c>
      <c r="G40" s="212">
        <f>IFERROR(__xludf.DUMMYFUNCTION("""COMPUTED_VALUE"""),46383.99916666667)</f>
        <v>46383.99917</v>
      </c>
      <c r="H40" s="209" t="str">
        <f>IFERROR(__xludf.DUMMYFUNCTION("""COMPUTED_VALUE"""),"W 39")</f>
        <v>W 39</v>
      </c>
      <c r="I40" s="210">
        <f>IFERROR(__xludf.DUMMYFUNCTION("""COMPUTED_VALUE"""),39.0)</f>
        <v>39</v>
      </c>
      <c r="J40" s="156" t="str">
        <f>IFERROR(__xludf.DUMMYFUNCTION("""COMPUTED_VALUE"""),"CW- 39")</f>
        <v>CW- 39</v>
      </c>
    </row>
    <row r="41">
      <c r="A41" s="211">
        <f>IFERROR(__xludf.DUMMYFUNCTION("""COMPUTED_VALUE"""),46384.99916666667)</f>
        <v>46384.99917</v>
      </c>
      <c r="B41" s="212">
        <f>IFERROR(__xludf.DUMMYFUNCTION("""COMPUTED_VALUE"""),46385.99916666667)</f>
        <v>46385.99917</v>
      </c>
      <c r="C41" s="212">
        <f>IFERROR(__xludf.DUMMYFUNCTION("""COMPUTED_VALUE"""),46386.99916666667)</f>
        <v>46386.99917</v>
      </c>
      <c r="D41" s="212">
        <f>IFERROR(__xludf.DUMMYFUNCTION("""COMPUTED_VALUE"""),46387.99916666667)</f>
        <v>46387.99917</v>
      </c>
      <c r="E41" s="212">
        <f>IFERROR(__xludf.DUMMYFUNCTION("""COMPUTED_VALUE"""),46388.99916666667)</f>
        <v>46388.99917</v>
      </c>
      <c r="F41" s="212">
        <f>IFERROR(__xludf.DUMMYFUNCTION("""COMPUTED_VALUE"""),46389.99916666667)</f>
        <v>46389.99917</v>
      </c>
      <c r="G41" s="212">
        <f>IFERROR(__xludf.DUMMYFUNCTION("""COMPUTED_VALUE"""),46390.99916666667)</f>
        <v>46390.99917</v>
      </c>
      <c r="H41" s="209" t="str">
        <f>IFERROR(__xludf.DUMMYFUNCTION("""COMPUTED_VALUE"""),"W 40")</f>
        <v>W 40</v>
      </c>
      <c r="I41" s="210">
        <f>IFERROR(__xludf.DUMMYFUNCTION("""COMPUTED_VALUE"""),40.0)</f>
        <v>40</v>
      </c>
      <c r="J41" s="156" t="str">
        <f>IFERROR(__xludf.DUMMYFUNCTION("""COMPUTED_VALUE"""),"CW- 40")</f>
        <v>CW- 40</v>
      </c>
    </row>
    <row r="42">
      <c r="A42" s="211">
        <f>IFERROR(__xludf.DUMMYFUNCTION("""COMPUTED_VALUE"""),46391.99916666667)</f>
        <v>46391.99917</v>
      </c>
      <c r="B42" s="212">
        <f>IFERROR(__xludf.DUMMYFUNCTION("""COMPUTED_VALUE"""),46392.99916666667)</f>
        <v>46392.99917</v>
      </c>
      <c r="C42" s="212">
        <f>IFERROR(__xludf.DUMMYFUNCTION("""COMPUTED_VALUE"""),46393.99916666667)</f>
        <v>46393.99917</v>
      </c>
      <c r="D42" s="212">
        <f>IFERROR(__xludf.DUMMYFUNCTION("""COMPUTED_VALUE"""),46394.99916666667)</f>
        <v>46394.99917</v>
      </c>
      <c r="E42" s="212">
        <f>IFERROR(__xludf.DUMMYFUNCTION("""COMPUTED_VALUE"""),46395.99916666667)</f>
        <v>46395.99917</v>
      </c>
      <c r="F42" s="212">
        <f>IFERROR(__xludf.DUMMYFUNCTION("""COMPUTED_VALUE"""),46396.99916666667)</f>
        <v>46396.99917</v>
      </c>
      <c r="G42" s="212">
        <f>IFERROR(__xludf.DUMMYFUNCTION("""COMPUTED_VALUE"""),46397.99916666667)</f>
        <v>46397.99917</v>
      </c>
      <c r="H42" s="209" t="str">
        <f>IFERROR(__xludf.DUMMYFUNCTION("""COMPUTED_VALUE"""),"W 41")</f>
        <v>W 41</v>
      </c>
      <c r="I42" s="210">
        <f>IFERROR(__xludf.DUMMYFUNCTION("""COMPUTED_VALUE"""),41.0)</f>
        <v>41</v>
      </c>
      <c r="J42" s="156" t="str">
        <f>IFERROR(__xludf.DUMMYFUNCTION("""COMPUTED_VALUE"""),"CW- 41")</f>
        <v>CW- 41</v>
      </c>
    </row>
    <row r="43">
      <c r="A43" s="211">
        <f>IFERROR(__xludf.DUMMYFUNCTION("""COMPUTED_VALUE"""),46398.99916666667)</f>
        <v>46398.99917</v>
      </c>
      <c r="B43" s="212">
        <f>IFERROR(__xludf.DUMMYFUNCTION("""COMPUTED_VALUE"""),46399.99916666667)</f>
        <v>46399.99917</v>
      </c>
      <c r="C43" s="212">
        <f>IFERROR(__xludf.DUMMYFUNCTION("""COMPUTED_VALUE"""),46400.99916666667)</f>
        <v>46400.99917</v>
      </c>
      <c r="D43" s="212">
        <f>IFERROR(__xludf.DUMMYFUNCTION("""COMPUTED_VALUE"""),46401.99916666667)</f>
        <v>46401.99917</v>
      </c>
      <c r="E43" s="212">
        <f>IFERROR(__xludf.DUMMYFUNCTION("""COMPUTED_VALUE"""),46402.99916666667)</f>
        <v>46402.99917</v>
      </c>
      <c r="F43" s="212">
        <f>IFERROR(__xludf.DUMMYFUNCTION("""COMPUTED_VALUE"""),46403.99916666667)</f>
        <v>46403.99917</v>
      </c>
      <c r="G43" s="212">
        <f>IFERROR(__xludf.DUMMYFUNCTION("""COMPUTED_VALUE"""),46404.99916666667)</f>
        <v>46404.99917</v>
      </c>
      <c r="H43" s="209" t="str">
        <f>IFERROR(__xludf.DUMMYFUNCTION("""COMPUTED_VALUE"""),"W 42")</f>
        <v>W 42</v>
      </c>
      <c r="I43" s="210">
        <f>IFERROR(__xludf.DUMMYFUNCTION("""COMPUTED_VALUE"""),42.0)</f>
        <v>42</v>
      </c>
      <c r="J43" s="156" t="str">
        <f>IFERROR(__xludf.DUMMYFUNCTION("""COMPUTED_VALUE"""),"CW- 42")</f>
        <v>CW- 42</v>
      </c>
    </row>
    <row r="44">
      <c r="A44" s="211">
        <f>IFERROR(__xludf.DUMMYFUNCTION("""COMPUTED_VALUE"""),46405.99916666667)</f>
        <v>46405.99917</v>
      </c>
      <c r="B44" s="212">
        <f>IFERROR(__xludf.DUMMYFUNCTION("""COMPUTED_VALUE"""),46406.99916666667)</f>
        <v>46406.99917</v>
      </c>
      <c r="C44" s="212">
        <f>IFERROR(__xludf.DUMMYFUNCTION("""COMPUTED_VALUE"""),46407.99916666667)</f>
        <v>46407.99917</v>
      </c>
      <c r="D44" s="212">
        <f>IFERROR(__xludf.DUMMYFUNCTION("""COMPUTED_VALUE"""),46408.99916666667)</f>
        <v>46408.99917</v>
      </c>
      <c r="E44" s="212">
        <f>IFERROR(__xludf.DUMMYFUNCTION("""COMPUTED_VALUE"""),46409.99916666667)</f>
        <v>46409.99917</v>
      </c>
      <c r="F44" s="212">
        <f>IFERROR(__xludf.DUMMYFUNCTION("""COMPUTED_VALUE"""),46410.99916666667)</f>
        <v>46410.99917</v>
      </c>
      <c r="G44" s="212">
        <f>IFERROR(__xludf.DUMMYFUNCTION("""COMPUTED_VALUE"""),46411.99916666667)</f>
        <v>46411.99917</v>
      </c>
      <c r="H44" s="209" t="str">
        <f>IFERROR(__xludf.DUMMYFUNCTION("""COMPUTED_VALUE"""),"W 43")</f>
        <v>W 43</v>
      </c>
      <c r="I44" s="210">
        <f>IFERROR(__xludf.DUMMYFUNCTION("""COMPUTED_VALUE"""),43.0)</f>
        <v>43</v>
      </c>
      <c r="J44" s="156" t="str">
        <f>IFERROR(__xludf.DUMMYFUNCTION("""COMPUTED_VALUE"""),"CW- 43")</f>
        <v>CW- 43</v>
      </c>
    </row>
    <row r="45">
      <c r="A45" s="211">
        <f>IFERROR(__xludf.DUMMYFUNCTION("""COMPUTED_VALUE"""),46412.99916666667)</f>
        <v>46412.99917</v>
      </c>
      <c r="B45" s="212">
        <f>IFERROR(__xludf.DUMMYFUNCTION("""COMPUTED_VALUE"""),46413.99916666667)</f>
        <v>46413.99917</v>
      </c>
      <c r="C45" s="212">
        <f>IFERROR(__xludf.DUMMYFUNCTION("""COMPUTED_VALUE"""),46414.99916666667)</f>
        <v>46414.99917</v>
      </c>
      <c r="D45" s="212">
        <f>IFERROR(__xludf.DUMMYFUNCTION("""COMPUTED_VALUE"""),46415.99916666667)</f>
        <v>46415.99917</v>
      </c>
      <c r="E45" s="212">
        <f>IFERROR(__xludf.DUMMYFUNCTION("""COMPUTED_VALUE"""),46416.99916666667)</f>
        <v>46416.99917</v>
      </c>
      <c r="F45" s="212">
        <f>IFERROR(__xludf.DUMMYFUNCTION("""COMPUTED_VALUE"""),46417.99916666667)</f>
        <v>46417.99917</v>
      </c>
      <c r="G45" s="212">
        <f>IFERROR(__xludf.DUMMYFUNCTION("""COMPUTED_VALUE"""),46418.99916666667)</f>
        <v>46418.99917</v>
      </c>
      <c r="H45" s="209" t="str">
        <f>IFERROR(__xludf.DUMMYFUNCTION("""COMPUTED_VALUE"""),"W 44")</f>
        <v>W 44</v>
      </c>
      <c r="I45" s="210">
        <f>IFERROR(__xludf.DUMMYFUNCTION("""COMPUTED_VALUE"""),44.0)</f>
        <v>44</v>
      </c>
      <c r="J45" s="156" t="str">
        <f>IFERROR(__xludf.DUMMYFUNCTION("""COMPUTED_VALUE"""),"CW- 44")</f>
        <v>CW- 44</v>
      </c>
    </row>
    <row r="46">
      <c r="A46" s="211">
        <f>IFERROR(__xludf.DUMMYFUNCTION("""COMPUTED_VALUE"""),46419.99916666667)</f>
        <v>46419.99917</v>
      </c>
      <c r="B46" s="212">
        <f>IFERROR(__xludf.DUMMYFUNCTION("""COMPUTED_VALUE"""),46420.99916666667)</f>
        <v>46420.99917</v>
      </c>
      <c r="C46" s="212">
        <f>IFERROR(__xludf.DUMMYFUNCTION("""COMPUTED_VALUE"""),46421.99916666667)</f>
        <v>46421.99917</v>
      </c>
      <c r="D46" s="212">
        <f>IFERROR(__xludf.DUMMYFUNCTION("""COMPUTED_VALUE"""),46422.99916666667)</f>
        <v>46422.99917</v>
      </c>
      <c r="E46" s="212">
        <f>IFERROR(__xludf.DUMMYFUNCTION("""COMPUTED_VALUE"""),46423.99916666667)</f>
        <v>46423.99917</v>
      </c>
      <c r="F46" s="212">
        <f>IFERROR(__xludf.DUMMYFUNCTION("""COMPUTED_VALUE"""),46424.99916666667)</f>
        <v>46424.99917</v>
      </c>
      <c r="G46" s="212">
        <f>IFERROR(__xludf.DUMMYFUNCTION("""COMPUTED_VALUE"""),46425.99916666667)</f>
        <v>46425.99917</v>
      </c>
      <c r="H46" s="209" t="str">
        <f>IFERROR(__xludf.DUMMYFUNCTION("""COMPUTED_VALUE"""),"W 45")</f>
        <v>W 45</v>
      </c>
      <c r="I46" s="210">
        <f>IFERROR(__xludf.DUMMYFUNCTION("""COMPUTED_VALUE"""),45.0)</f>
        <v>45</v>
      </c>
      <c r="J46" s="156" t="str">
        <f>IFERROR(__xludf.DUMMYFUNCTION("""COMPUTED_VALUE"""),"CW- 45")</f>
        <v>CW- 45</v>
      </c>
    </row>
    <row r="47">
      <c r="A47" s="211">
        <f>IFERROR(__xludf.DUMMYFUNCTION("""COMPUTED_VALUE"""),46426.99916666667)</f>
        <v>46426.99917</v>
      </c>
      <c r="B47" s="212">
        <f>IFERROR(__xludf.DUMMYFUNCTION("""COMPUTED_VALUE"""),46427.99916666667)</f>
        <v>46427.99917</v>
      </c>
      <c r="C47" s="212">
        <f>IFERROR(__xludf.DUMMYFUNCTION("""COMPUTED_VALUE"""),46428.99916666667)</f>
        <v>46428.99917</v>
      </c>
      <c r="D47" s="212">
        <f>IFERROR(__xludf.DUMMYFUNCTION("""COMPUTED_VALUE"""),46429.99916666667)</f>
        <v>46429.99917</v>
      </c>
      <c r="E47" s="212">
        <f>IFERROR(__xludf.DUMMYFUNCTION("""COMPUTED_VALUE"""),46430.99916666667)</f>
        <v>46430.99917</v>
      </c>
      <c r="F47" s="212">
        <f>IFERROR(__xludf.DUMMYFUNCTION("""COMPUTED_VALUE"""),46431.99916666667)</f>
        <v>46431.99917</v>
      </c>
      <c r="G47" s="212">
        <f>IFERROR(__xludf.DUMMYFUNCTION("""COMPUTED_VALUE"""),46432.99916666667)</f>
        <v>46432.99917</v>
      </c>
      <c r="H47" s="209" t="str">
        <f>IFERROR(__xludf.DUMMYFUNCTION("""COMPUTED_VALUE"""),"W 46")</f>
        <v>W 46</v>
      </c>
      <c r="I47" s="210">
        <f>IFERROR(__xludf.DUMMYFUNCTION("""COMPUTED_VALUE"""),46.0)</f>
        <v>46</v>
      </c>
      <c r="J47" s="156" t="str">
        <f>IFERROR(__xludf.DUMMYFUNCTION("""COMPUTED_VALUE"""),"CW- 46")</f>
        <v>CW- 46</v>
      </c>
    </row>
    <row r="48">
      <c r="A48" s="211">
        <f>IFERROR(__xludf.DUMMYFUNCTION("""COMPUTED_VALUE"""),46433.99916666667)</f>
        <v>46433.99917</v>
      </c>
      <c r="B48" s="212">
        <f>IFERROR(__xludf.DUMMYFUNCTION("""COMPUTED_VALUE"""),46434.99916666667)</f>
        <v>46434.99917</v>
      </c>
      <c r="C48" s="212">
        <f>IFERROR(__xludf.DUMMYFUNCTION("""COMPUTED_VALUE"""),46435.99916666667)</f>
        <v>46435.99917</v>
      </c>
      <c r="D48" s="212">
        <f>IFERROR(__xludf.DUMMYFUNCTION("""COMPUTED_VALUE"""),46436.99916666667)</f>
        <v>46436.99917</v>
      </c>
      <c r="E48" s="212">
        <f>IFERROR(__xludf.DUMMYFUNCTION("""COMPUTED_VALUE"""),46437.99916666667)</f>
        <v>46437.99917</v>
      </c>
      <c r="F48" s="212">
        <f>IFERROR(__xludf.DUMMYFUNCTION("""COMPUTED_VALUE"""),46438.99916666667)</f>
        <v>46438.99917</v>
      </c>
      <c r="G48" s="212">
        <f>IFERROR(__xludf.DUMMYFUNCTION("""COMPUTED_VALUE"""),46439.99916666667)</f>
        <v>46439.99917</v>
      </c>
      <c r="H48" s="209" t="str">
        <f>IFERROR(__xludf.DUMMYFUNCTION("""COMPUTED_VALUE"""),"W 47")</f>
        <v>W 47</v>
      </c>
      <c r="I48" s="210">
        <f>IFERROR(__xludf.DUMMYFUNCTION("""COMPUTED_VALUE"""),47.0)</f>
        <v>47</v>
      </c>
      <c r="J48" s="156" t="str">
        <f>IFERROR(__xludf.DUMMYFUNCTION("""COMPUTED_VALUE"""),"CW- 47")</f>
        <v>CW- 47</v>
      </c>
    </row>
    <row r="49">
      <c r="A49" s="211">
        <f>IFERROR(__xludf.DUMMYFUNCTION("""COMPUTED_VALUE"""),46440.99916666667)</f>
        <v>46440.99917</v>
      </c>
      <c r="B49" s="212">
        <f>IFERROR(__xludf.DUMMYFUNCTION("""COMPUTED_VALUE"""),46441.99916666667)</f>
        <v>46441.99917</v>
      </c>
      <c r="C49" s="212">
        <f>IFERROR(__xludf.DUMMYFUNCTION("""COMPUTED_VALUE"""),46442.99916666667)</f>
        <v>46442.99917</v>
      </c>
      <c r="D49" s="212">
        <f>IFERROR(__xludf.DUMMYFUNCTION("""COMPUTED_VALUE"""),46443.99916666667)</f>
        <v>46443.99917</v>
      </c>
      <c r="E49" s="212">
        <f>IFERROR(__xludf.DUMMYFUNCTION("""COMPUTED_VALUE"""),46444.99916666667)</f>
        <v>46444.99917</v>
      </c>
      <c r="F49" s="212">
        <f>IFERROR(__xludf.DUMMYFUNCTION("""COMPUTED_VALUE"""),46445.99916666667)</f>
        <v>46445.99917</v>
      </c>
      <c r="G49" s="212">
        <f>IFERROR(__xludf.DUMMYFUNCTION("""COMPUTED_VALUE"""),46446.99916666667)</f>
        <v>46446.99917</v>
      </c>
      <c r="H49" s="209" t="str">
        <f>IFERROR(__xludf.DUMMYFUNCTION("""COMPUTED_VALUE"""),"W 48")</f>
        <v>W 48</v>
      </c>
      <c r="I49" s="210">
        <f>IFERROR(__xludf.DUMMYFUNCTION("""COMPUTED_VALUE"""),48.0)</f>
        <v>48</v>
      </c>
      <c r="J49" s="156" t="str">
        <f>IFERROR(__xludf.DUMMYFUNCTION("""COMPUTED_VALUE"""),"CW- 48")</f>
        <v>CW- 48</v>
      </c>
    </row>
    <row r="50">
      <c r="A50" s="211">
        <f>IFERROR(__xludf.DUMMYFUNCTION("""COMPUTED_VALUE"""),46447.99916666667)</f>
        <v>46447.99917</v>
      </c>
      <c r="B50" s="212">
        <f>IFERROR(__xludf.DUMMYFUNCTION("""COMPUTED_VALUE"""),46448.99916666667)</f>
        <v>46448.99917</v>
      </c>
      <c r="C50" s="212">
        <f>IFERROR(__xludf.DUMMYFUNCTION("""COMPUTED_VALUE"""),46449.99916666667)</f>
        <v>46449.99917</v>
      </c>
      <c r="D50" s="212">
        <f>IFERROR(__xludf.DUMMYFUNCTION("""COMPUTED_VALUE"""),46450.99916666667)</f>
        <v>46450.99917</v>
      </c>
      <c r="E50" s="212">
        <f>IFERROR(__xludf.DUMMYFUNCTION("""COMPUTED_VALUE"""),46451.99916666667)</f>
        <v>46451.99917</v>
      </c>
      <c r="F50" s="212">
        <f>IFERROR(__xludf.DUMMYFUNCTION("""COMPUTED_VALUE"""),46452.99916666667)</f>
        <v>46452.99917</v>
      </c>
      <c r="G50" s="212">
        <f>IFERROR(__xludf.DUMMYFUNCTION("""COMPUTED_VALUE"""),46453.99916666667)</f>
        <v>46453.99917</v>
      </c>
      <c r="H50" s="209" t="str">
        <f>IFERROR(__xludf.DUMMYFUNCTION("""COMPUTED_VALUE"""),"W 49")</f>
        <v>W 49</v>
      </c>
      <c r="I50" s="210">
        <f>IFERROR(__xludf.DUMMYFUNCTION("""COMPUTED_VALUE"""),49.0)</f>
        <v>49</v>
      </c>
      <c r="J50" s="156" t="str">
        <f>IFERROR(__xludf.DUMMYFUNCTION("""COMPUTED_VALUE"""),"CW- 49")</f>
        <v>CW- 49</v>
      </c>
    </row>
    <row r="51">
      <c r="A51" s="211">
        <f>IFERROR(__xludf.DUMMYFUNCTION("""COMPUTED_VALUE"""),46454.99916666667)</f>
        <v>46454.99917</v>
      </c>
      <c r="B51" s="212">
        <f>IFERROR(__xludf.DUMMYFUNCTION("""COMPUTED_VALUE"""),46455.99916666667)</f>
        <v>46455.99917</v>
      </c>
      <c r="C51" s="212">
        <f>IFERROR(__xludf.DUMMYFUNCTION("""COMPUTED_VALUE"""),46456.99916666667)</f>
        <v>46456.99917</v>
      </c>
      <c r="D51" s="212">
        <f>IFERROR(__xludf.DUMMYFUNCTION("""COMPUTED_VALUE"""),46457.99916666667)</f>
        <v>46457.99917</v>
      </c>
      <c r="E51" s="212">
        <f>IFERROR(__xludf.DUMMYFUNCTION("""COMPUTED_VALUE"""),46458.99916666667)</f>
        <v>46458.99917</v>
      </c>
      <c r="F51" s="212">
        <f>IFERROR(__xludf.DUMMYFUNCTION("""COMPUTED_VALUE"""),46459.99916666667)</f>
        <v>46459.99917</v>
      </c>
      <c r="G51" s="212">
        <f>IFERROR(__xludf.DUMMYFUNCTION("""COMPUTED_VALUE"""),46460.99916666667)</f>
        <v>46460.99917</v>
      </c>
      <c r="H51" s="209" t="str">
        <f>IFERROR(__xludf.DUMMYFUNCTION("""COMPUTED_VALUE"""),"W 50")</f>
        <v>W 50</v>
      </c>
      <c r="I51" s="210">
        <f>IFERROR(__xludf.DUMMYFUNCTION("""COMPUTED_VALUE"""),50.0)</f>
        <v>50</v>
      </c>
      <c r="J51" s="156" t="str">
        <f>IFERROR(__xludf.DUMMYFUNCTION("""COMPUTED_VALUE"""),"CW- 50")</f>
        <v>CW- 50</v>
      </c>
    </row>
    <row r="52">
      <c r="A52" s="211">
        <f>IFERROR(__xludf.DUMMYFUNCTION("""COMPUTED_VALUE"""),46461.99916666667)</f>
        <v>46461.99917</v>
      </c>
      <c r="B52" s="212">
        <f>IFERROR(__xludf.DUMMYFUNCTION("""COMPUTED_VALUE"""),46462.99916666667)</f>
        <v>46462.99917</v>
      </c>
      <c r="C52" s="212">
        <f>IFERROR(__xludf.DUMMYFUNCTION("""COMPUTED_VALUE"""),46463.99916666667)</f>
        <v>46463.99917</v>
      </c>
      <c r="D52" s="212">
        <f>IFERROR(__xludf.DUMMYFUNCTION("""COMPUTED_VALUE"""),46464.99916666667)</f>
        <v>46464.99917</v>
      </c>
      <c r="E52" s="212">
        <f>IFERROR(__xludf.DUMMYFUNCTION("""COMPUTED_VALUE"""),46465.99916666667)</f>
        <v>46465.99917</v>
      </c>
      <c r="F52" s="212">
        <f>IFERROR(__xludf.DUMMYFUNCTION("""COMPUTED_VALUE"""),46466.99916666667)</f>
        <v>46466.99917</v>
      </c>
      <c r="G52" s="212">
        <f>IFERROR(__xludf.DUMMYFUNCTION("""COMPUTED_VALUE"""),46467.99916666667)</f>
        <v>46467.99917</v>
      </c>
      <c r="H52" s="209" t="str">
        <f>IFERROR(__xludf.DUMMYFUNCTION("""COMPUTED_VALUE"""),"W 51")</f>
        <v>W 51</v>
      </c>
      <c r="I52" s="210">
        <f>IFERROR(__xludf.DUMMYFUNCTION("""COMPUTED_VALUE"""),51.0)</f>
        <v>51</v>
      </c>
      <c r="J52" s="156" t="str">
        <f>IFERROR(__xludf.DUMMYFUNCTION("""COMPUTED_VALUE"""),"CW- 51")</f>
        <v>CW- 51</v>
      </c>
    </row>
    <row r="53">
      <c r="A53" s="211">
        <f>IFERROR(__xludf.DUMMYFUNCTION("""COMPUTED_VALUE"""),46468.99916666667)</f>
        <v>46468.99917</v>
      </c>
      <c r="B53" s="212">
        <f>IFERROR(__xludf.DUMMYFUNCTION("""COMPUTED_VALUE"""),46469.99916666667)</f>
        <v>46469.99917</v>
      </c>
      <c r="C53" s="212">
        <f>IFERROR(__xludf.DUMMYFUNCTION("""COMPUTED_VALUE"""),46470.99916666667)</f>
        <v>46470.99917</v>
      </c>
      <c r="D53" s="212">
        <f>IFERROR(__xludf.DUMMYFUNCTION("""COMPUTED_VALUE"""),46471.99916666667)</f>
        <v>46471.99917</v>
      </c>
      <c r="E53" s="212">
        <f>IFERROR(__xludf.DUMMYFUNCTION("""COMPUTED_VALUE"""),46472.99916666667)</f>
        <v>46472.99917</v>
      </c>
      <c r="F53" s="212">
        <f>IFERROR(__xludf.DUMMYFUNCTION("""COMPUTED_VALUE"""),46473.99916666667)</f>
        <v>46473.99917</v>
      </c>
      <c r="G53" s="212">
        <f>IFERROR(__xludf.DUMMYFUNCTION("""COMPUTED_VALUE"""),46474.99916666667)</f>
        <v>46474.99917</v>
      </c>
      <c r="H53" s="209" t="str">
        <f>IFERROR(__xludf.DUMMYFUNCTION("""COMPUTED_VALUE"""),"W 52")</f>
        <v>W 52</v>
      </c>
      <c r="I53" s="210">
        <f>IFERROR(__xludf.DUMMYFUNCTION("""COMPUTED_VALUE"""),52.0)</f>
        <v>52</v>
      </c>
      <c r="J53" s="156" t="str">
        <f>IFERROR(__xludf.DUMMYFUNCTION("""COMPUTED_VALUE"""),"CW- 52")</f>
        <v>CW- 52</v>
      </c>
    </row>
    <row r="54">
      <c r="A54" s="76"/>
      <c r="B54" s="76"/>
      <c r="C54" s="76"/>
      <c r="D54" s="76"/>
      <c r="E54" s="76"/>
      <c r="F54" s="76"/>
      <c r="G54" s="76"/>
      <c r="H54" s="76"/>
      <c r="I54" s="76"/>
      <c r="J54" s="213"/>
    </row>
    <row r="55">
      <c r="A55" s="76"/>
      <c r="B55" s="76"/>
      <c r="C55" s="76"/>
      <c r="D55" s="76"/>
      <c r="E55" s="76"/>
      <c r="F55" s="76"/>
      <c r="G55" s="76"/>
      <c r="H55" s="76"/>
      <c r="I55" s="76"/>
      <c r="J55" s="213"/>
    </row>
    <row r="56">
      <c r="A56" s="76"/>
      <c r="B56" s="76"/>
      <c r="C56" s="76"/>
      <c r="D56" s="76"/>
      <c r="E56" s="76"/>
      <c r="F56" s="76"/>
      <c r="G56" s="76"/>
      <c r="H56" s="76"/>
      <c r="I56" s="76"/>
      <c r="J56" s="213"/>
    </row>
    <row r="57">
      <c r="A57" s="76"/>
      <c r="B57" s="76"/>
      <c r="C57" s="76"/>
      <c r="D57" s="76"/>
      <c r="E57" s="76"/>
      <c r="F57" s="76"/>
      <c r="G57" s="76"/>
      <c r="H57" s="76"/>
      <c r="I57" s="76"/>
      <c r="J57" s="213"/>
    </row>
    <row r="58">
      <c r="A58" s="76"/>
      <c r="B58" s="76"/>
      <c r="C58" s="76"/>
      <c r="D58" s="76"/>
      <c r="E58" s="76"/>
      <c r="F58" s="76"/>
      <c r="G58" s="76"/>
      <c r="H58" s="76"/>
      <c r="I58" s="76"/>
      <c r="J58" s="213"/>
    </row>
    <row r="59">
      <c r="A59" s="76"/>
      <c r="B59" s="76"/>
      <c r="C59" s="76"/>
      <c r="D59" s="76"/>
      <c r="E59" s="76"/>
      <c r="F59" s="76"/>
      <c r="G59" s="76"/>
      <c r="H59" s="76"/>
      <c r="I59" s="76"/>
      <c r="J59" s="213"/>
    </row>
    <row r="60">
      <c r="A60" s="76"/>
      <c r="B60" s="76"/>
      <c r="C60" s="76"/>
      <c r="D60" s="76"/>
      <c r="E60" s="76"/>
      <c r="F60" s="76"/>
      <c r="G60" s="76"/>
      <c r="H60" s="76"/>
      <c r="I60" s="76"/>
      <c r="J60" s="213"/>
    </row>
    <row r="61">
      <c r="A61" s="76"/>
      <c r="B61" s="76"/>
      <c r="C61" s="76"/>
      <c r="D61" s="76"/>
      <c r="E61" s="76"/>
      <c r="F61" s="76"/>
      <c r="G61" s="76"/>
      <c r="H61" s="76"/>
      <c r="I61" s="76"/>
      <c r="J61" s="213"/>
    </row>
    <row r="62">
      <c r="A62" s="76"/>
      <c r="B62" s="76"/>
      <c r="C62" s="76"/>
      <c r="D62" s="76"/>
      <c r="E62" s="76"/>
      <c r="F62" s="76"/>
      <c r="G62" s="76"/>
      <c r="H62" s="76"/>
      <c r="I62" s="76"/>
      <c r="J62" s="213"/>
    </row>
    <row r="63">
      <c r="A63" s="76"/>
      <c r="B63" s="76"/>
      <c r="C63" s="76"/>
      <c r="D63" s="76"/>
      <c r="E63" s="76"/>
      <c r="F63" s="76"/>
      <c r="G63" s="76"/>
      <c r="H63" s="76"/>
      <c r="I63" s="76"/>
      <c r="J63" s="213"/>
    </row>
    <row r="64">
      <c r="A64" s="76"/>
      <c r="B64" s="76"/>
      <c r="C64" s="76"/>
      <c r="D64" s="76"/>
      <c r="E64" s="76"/>
      <c r="F64" s="76"/>
      <c r="G64" s="76"/>
      <c r="H64" s="76"/>
      <c r="I64" s="76"/>
      <c r="J64" s="213"/>
    </row>
    <row r="65">
      <c r="A65" s="76"/>
      <c r="B65" s="76"/>
      <c r="C65" s="76"/>
      <c r="D65" s="76"/>
      <c r="E65" s="76"/>
      <c r="F65" s="76"/>
      <c r="G65" s="76"/>
      <c r="H65" s="76"/>
      <c r="I65" s="76"/>
      <c r="J65" s="213"/>
    </row>
    <row r="66">
      <c r="A66" s="76"/>
      <c r="B66" s="76"/>
      <c r="C66" s="76"/>
      <c r="D66" s="76"/>
      <c r="E66" s="76"/>
      <c r="F66" s="76"/>
      <c r="G66" s="76"/>
      <c r="H66" s="76"/>
      <c r="I66" s="76"/>
      <c r="J66" s="213"/>
    </row>
    <row r="67">
      <c r="A67" s="76"/>
      <c r="B67" s="76"/>
      <c r="C67" s="76"/>
      <c r="D67" s="76"/>
      <c r="E67" s="76"/>
      <c r="F67" s="76"/>
      <c r="G67" s="76"/>
      <c r="H67" s="76"/>
      <c r="I67" s="76"/>
      <c r="J67" s="213"/>
    </row>
    <row r="68">
      <c r="A68" s="76"/>
      <c r="B68" s="76"/>
      <c r="C68" s="76"/>
      <c r="D68" s="76"/>
      <c r="E68" s="76"/>
      <c r="F68" s="76"/>
      <c r="G68" s="76"/>
      <c r="H68" s="76"/>
      <c r="I68" s="76"/>
      <c r="J68" s="213"/>
    </row>
    <row r="69">
      <c r="A69" s="76"/>
      <c r="B69" s="76"/>
      <c r="C69" s="76"/>
      <c r="D69" s="76"/>
      <c r="E69" s="76"/>
      <c r="F69" s="76"/>
      <c r="G69" s="76"/>
      <c r="H69" s="76"/>
      <c r="I69" s="76"/>
      <c r="J69" s="213"/>
    </row>
    <row r="70">
      <c r="A70" s="76"/>
      <c r="B70" s="76"/>
      <c r="C70" s="76"/>
      <c r="D70" s="76"/>
      <c r="E70" s="76"/>
      <c r="F70" s="76"/>
      <c r="G70" s="76"/>
      <c r="H70" s="76"/>
      <c r="I70" s="76"/>
      <c r="J70" s="213"/>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outlineLevelCol="1"/>
  <cols>
    <col collapsed="1" min="6" max="6" width="12.63"/>
    <col hidden="1" min="7" max="9" width="12.63" outlineLevel="1"/>
    <col customWidth="1" min="11" max="11" width="6.75"/>
    <col customWidth="1" min="12" max="21" width="7.75"/>
    <col customWidth="1" hidden="1" min="22" max="27" width="7.75"/>
    <col customWidth="1" min="28" max="29" width="7.75"/>
    <col customWidth="1" min="30" max="30" width="9.75"/>
    <col customWidth="1" min="31" max="31" width="10.75"/>
    <col customWidth="1" min="32" max="32" width="10.88"/>
    <col customWidth="1" min="33" max="33" width="10.75"/>
    <col customWidth="1" min="34" max="34" width="9.25"/>
  </cols>
  <sheetData>
    <row r="1" ht="24.0" customHeight="1">
      <c r="A1" s="214" t="s">
        <v>2</v>
      </c>
      <c r="B1" s="214" t="s">
        <v>2514</v>
      </c>
      <c r="C1" s="214" t="s">
        <v>2515</v>
      </c>
      <c r="D1" s="214" t="s">
        <v>2516</v>
      </c>
      <c r="E1" s="214" t="s">
        <v>2517</v>
      </c>
      <c r="F1" s="214" t="s">
        <v>2518</v>
      </c>
      <c r="G1" s="214" t="s">
        <v>2519</v>
      </c>
      <c r="H1" s="214" t="s">
        <v>2520</v>
      </c>
      <c r="I1" s="214" t="s">
        <v>2521</v>
      </c>
      <c r="J1" s="214" t="s">
        <v>32</v>
      </c>
      <c r="L1" s="215" t="s">
        <v>2514</v>
      </c>
      <c r="M1" s="21"/>
      <c r="N1" s="215" t="s">
        <v>2515</v>
      </c>
      <c r="O1" s="21"/>
      <c r="P1" s="215" t="s">
        <v>2516</v>
      </c>
      <c r="Q1" s="21"/>
      <c r="R1" s="215" t="s">
        <v>2517</v>
      </c>
      <c r="S1" s="21"/>
      <c r="T1" s="215" t="s">
        <v>2518</v>
      </c>
      <c r="U1" s="21"/>
      <c r="V1" s="215" t="s">
        <v>2519</v>
      </c>
      <c r="W1" s="21"/>
      <c r="X1" s="215" t="s">
        <v>2520</v>
      </c>
      <c r="Y1" s="21"/>
      <c r="Z1" s="215" t="s">
        <v>2521</v>
      </c>
      <c r="AA1" s="21"/>
      <c r="AB1" s="215" t="s">
        <v>32</v>
      </c>
      <c r="AC1" s="21"/>
      <c r="AD1" s="170" t="s">
        <v>2493</v>
      </c>
      <c r="AE1" s="170" t="s">
        <v>2494</v>
      </c>
      <c r="AF1" s="170" t="s">
        <v>2495</v>
      </c>
      <c r="AG1" s="170" t="s">
        <v>2496</v>
      </c>
      <c r="AH1" s="170" t="s">
        <v>2497</v>
      </c>
    </row>
    <row r="2" ht="26.25" customHeight="1">
      <c r="A2" s="3"/>
      <c r="B2" s="3"/>
      <c r="C2" s="3"/>
      <c r="D2" s="3"/>
      <c r="E2" s="3"/>
      <c r="F2" s="3"/>
      <c r="G2" s="3"/>
      <c r="H2" s="3"/>
      <c r="I2" s="3"/>
      <c r="L2" s="216">
        <v>0.16666666666666666</v>
      </c>
      <c r="M2" s="21"/>
      <c r="N2" s="216">
        <v>0.006944444445833333</v>
      </c>
      <c r="O2" s="21"/>
      <c r="P2" s="216">
        <v>0.10416666666666667</v>
      </c>
      <c r="Q2" s="21"/>
      <c r="R2" s="217">
        <v>1.0</v>
      </c>
      <c r="S2" s="21"/>
      <c r="T2" s="216">
        <v>0.041666666666666664</v>
      </c>
      <c r="U2" s="21"/>
      <c r="V2" s="216"/>
      <c r="W2" s="21"/>
      <c r="X2" s="216"/>
      <c r="Y2" s="21"/>
      <c r="Z2" s="216"/>
      <c r="AA2" s="21"/>
      <c r="AB2" s="218">
        <f>L2+N2+P2+R2+T2+V2+X2+Z2</f>
        <v>1.319444444</v>
      </c>
      <c r="AC2" s="21"/>
    </row>
    <row r="3" ht="29.25" customHeight="1">
      <c r="A3" s="3"/>
      <c r="B3" s="3"/>
      <c r="C3" s="3"/>
      <c r="D3" s="3"/>
      <c r="E3" s="3"/>
      <c r="F3" s="3"/>
      <c r="G3" s="3"/>
      <c r="H3" s="3"/>
      <c r="I3" s="3"/>
      <c r="L3" s="219" t="s">
        <v>2522</v>
      </c>
      <c r="M3" s="219" t="s">
        <v>2523</v>
      </c>
      <c r="N3" s="220" t="s">
        <v>2522</v>
      </c>
      <c r="O3" s="220" t="s">
        <v>2523</v>
      </c>
      <c r="P3" s="219" t="s">
        <v>2522</v>
      </c>
      <c r="Q3" s="219" t="s">
        <v>2523</v>
      </c>
      <c r="R3" s="220" t="s">
        <v>2522</v>
      </c>
      <c r="S3" s="220" t="s">
        <v>2523</v>
      </c>
      <c r="T3" s="219" t="s">
        <v>2522</v>
      </c>
      <c r="U3" s="219" t="s">
        <v>2523</v>
      </c>
      <c r="V3" s="220" t="s">
        <v>2523</v>
      </c>
      <c r="W3" s="220" t="s">
        <v>2522</v>
      </c>
      <c r="X3" s="219" t="s">
        <v>2523</v>
      </c>
      <c r="Y3" s="219" t="s">
        <v>2522</v>
      </c>
      <c r="Z3" s="220" t="s">
        <v>2523</v>
      </c>
      <c r="AA3" s="220" t="s">
        <v>2522</v>
      </c>
      <c r="AB3" s="219" t="s">
        <v>2522</v>
      </c>
      <c r="AC3" s="219" t="s">
        <v>2523</v>
      </c>
      <c r="AD3" s="76">
        <f>COUNTIFS('Demo Sheet FMS_148'!$B$9:$B4250,"&lt;&gt;",'Demo Sheet FMS_148'!$AJ$9:$AJ4250,"Done")</f>
        <v>485</v>
      </c>
      <c r="AE3" s="173">
        <f>SUMIFS('Demo Sheet FMS_148'!$AH$9:$AH4250,'Demo Sheet FMS_148'!$AJ$9:$AJ4250,"Done")-SUMIFS('Demo Sheet FMS_148'!$M$9:$M4250,'Demo Sheet FMS_148'!$AJ$9:$AJ4250,"Done")</f>
        <v>816.1879378</v>
      </c>
      <c r="AF3" s="173">
        <f>SUMIFS('Demo Sheet FMS_148'!$AI$9:$AI4250,'Demo Sheet FMS_148'!$AJ$9:$AJ4250,"Done")-SUMIFS('Demo Sheet FMS_148'!$M$9:$M4250,'Demo Sheet FMS_148'!$AJ$9:$AJ4250,"Done")</f>
        <v>270.7936852</v>
      </c>
      <c r="AG3" s="173">
        <f>AE3/AD3</f>
        <v>1.682861727</v>
      </c>
      <c r="AH3" s="173">
        <f>AF3/AD3</f>
        <v>0.5583374953</v>
      </c>
    </row>
    <row r="4" ht="31.5" customHeight="1">
      <c r="A4" s="3"/>
      <c r="B4" s="3"/>
      <c r="C4" s="3"/>
      <c r="D4" s="3"/>
      <c r="E4" s="3"/>
      <c r="F4" s="3"/>
      <c r="G4" s="3"/>
      <c r="H4" s="3"/>
      <c r="I4" s="3"/>
      <c r="L4" s="221">
        <f>MINIFS($B$6:$B4250,$B6:$B4250,"&gt;0",$B6:$B4250,"&lt;="&amp;$L$2)</f>
        <v>0.002545370378</v>
      </c>
      <c r="M4" s="221">
        <f>MAXIFS($B$6:$B4250,$B6:$B4250,"&gt;0",$B6:$B4250,"&lt;="&amp;$L$2)</f>
        <v>0.1665422106</v>
      </c>
      <c r="N4" s="111">
        <f>MINIFS($C$6:$C4250,$C6:$C4250,"&gt;0",$C$6:$C4250,"&lt;="&amp;$N$2)</f>
        <v>0</v>
      </c>
      <c r="O4" s="111">
        <f>MAXIFS($C$6:$C4250,$C6:$C4250,"&gt;0",$C$6:$C4250,"&lt;="&amp;$N$2)</f>
        <v>0</v>
      </c>
      <c r="P4" s="111">
        <f>MINIFS($D$6:$D4250,$D6:$D4250,"&gt;0",$D6:$D4250,"&lt;="&amp;$P$2)</f>
        <v>0.004120543977</v>
      </c>
      <c r="Q4" s="111">
        <f>MAXIFS($D$6:$D4250,$D6:$D4250,"&gt;0",$D$6:$D4250,"&lt;="&amp;$P$2)</f>
        <v>0.1037669792</v>
      </c>
      <c r="R4" s="111">
        <f>MINIFS($E$6:$E4250,$E6:$E4250,"&gt;0",$E6:$E4250,"&lt;="&amp;$R$2)</f>
        <v>0.001145833332</v>
      </c>
      <c r="S4" s="111">
        <f>MAXIFS($E$6:$E4250,$E6:$E4250,"&gt;0",$E6:$E4250,"&lt;="&amp;$R$2)</f>
        <v>0.9993506481</v>
      </c>
      <c r="T4" s="111">
        <f>MINIFS($F$6:$F4250,$F6:$F4250,"&gt;0",$F6:$F4250,"&lt;="&amp;$T$2)</f>
        <v>0.00008001156675</v>
      </c>
      <c r="U4" s="111">
        <f>MAXIFS($F$6:$F4250,$F6:$F4250,"&gt;0",$F6:$F4250,"&lt;="&amp;$T$2)</f>
        <v>0.03997216435</v>
      </c>
      <c r="V4" s="111">
        <f>MINIFS($G$6:$G4250,$G6:$G4250,"&gt;0",$G6:$G4250,"&lt;="&amp;$T$2)</f>
        <v>0</v>
      </c>
      <c r="W4" s="111">
        <f>MAXIFS($G$6:$G4250,$G6:$G4250,"&gt;0",$G6:$G4250,"&lt;="&amp;$T$2)</f>
        <v>0</v>
      </c>
      <c r="X4" s="111">
        <f>MINIFS($H$6:$H4250,$H6:$H4250,"&gt;0",$H6:$H4250,"&lt;="&amp;$X$2)</f>
        <v>0</v>
      </c>
      <c r="Y4" s="111">
        <f>MAXIFS($H$6:$H4250,$H6:$H4250,"&gt;0",$H6:$H4250,"&lt;="&amp;$X$2)</f>
        <v>0</v>
      </c>
      <c r="Z4" s="111">
        <f>MINIFS($I$6:$I4250,$I6:$I4250,"&gt;0",$I6:$I4250,"&lt;="&amp;$Z$2)</f>
        <v>0</v>
      </c>
      <c r="AA4" s="111">
        <f>MAXIFS($I$6:$I4250,$I6:$I4250,"&gt;0",$I6:$I4250,"&lt;="&amp;$Z$2)</f>
        <v>0</v>
      </c>
      <c r="AB4" s="223">
        <f>MINIFS($J$6:$J4250,$J$6:$J4250,"&gt;0",$J$6:$J4250,"&lt;="&amp;$AB$2)</f>
        <v>0.09937749999</v>
      </c>
      <c r="AC4" s="223">
        <f>MAXIFS($J$6:$J4250,$J$6:$J4250,"&gt;0",$J$6:$J4250,"&lt;="&amp;$AB$2)</f>
        <v>1.310243924</v>
      </c>
    </row>
    <row r="5">
      <c r="A5" s="3"/>
      <c r="B5" s="3"/>
      <c r="C5" s="3"/>
      <c r="D5" s="3"/>
      <c r="E5" s="3"/>
      <c r="F5" s="3"/>
      <c r="G5" s="3"/>
      <c r="H5" s="3"/>
      <c r="I5" s="3"/>
      <c r="L5" s="158"/>
      <c r="M5" s="158"/>
      <c r="N5" s="158"/>
      <c r="O5" s="158"/>
      <c r="P5" s="158"/>
      <c r="Q5" s="158"/>
      <c r="R5" s="158"/>
      <c r="S5" s="158"/>
      <c r="T5" s="158"/>
      <c r="U5" s="158"/>
      <c r="V5" s="158"/>
      <c r="W5" s="158"/>
      <c r="X5" s="158"/>
      <c r="Y5" s="158"/>
      <c r="Z5" s="158"/>
      <c r="AA5" s="88"/>
      <c r="AB5" s="88"/>
      <c r="AC5" s="88"/>
    </row>
    <row r="6">
      <c r="A6" s="224">
        <f t="array" ref="A6:A910">INDEX('Demo Sheet FMS_148'!A9:A4250,0)</f>
        <v>4960</v>
      </c>
      <c r="B6" s="224">
        <f t="array" ref="B6:B910">if('Demo Sheet FMS_148'!$B$9:$B4250&lt;&gt;"",if('Demo Sheet FMS_148'!$O$9:$O4250="Done",('Demo Sheet FMS_148'!$M$9:$M4250-'Demo Sheet FMS_148'!$N$9:$N4250),"Cancelled"),"")</f>
        <v>0.1133771643</v>
      </c>
      <c r="C6" s="224">
        <f t="array" ref="C6:C910">if('Demo Sheet FMS_148'!$B$9:$B4250&lt;&gt;"",if('Demo Sheet FMS_148'!$U$9:$U4250="Done",('Demo Sheet FMS_148'!$S$9:$S4250-'Demo Sheet FMS_148'!$T$9:$T4250),"Cancelled"),"")</f>
        <v>0.1197715278</v>
      </c>
      <c r="D6" s="224">
        <f t="array" ref="D6:D910">if('Demo Sheet FMS_148'!$B$9:$B4250&lt;&gt;"",if('Demo Sheet FMS_148'!$Z$9:$Z4250="Done",('Demo Sheet FMS_148'!$X$9:$X4250-'Demo Sheet FMS_148'!$Y$9:$Y4250),"Cancelled"),"")</f>
        <v>0.7861104398</v>
      </c>
      <c r="E6" s="224">
        <f t="array" ref="E6:E910">if('Demo Sheet FMS_148'!$B$9:$B4250&lt;&gt;"",if('Demo Sheet FMS_148'!$AE$9:$AE4250="Done",('Demo Sheet FMS_148'!$AC$9:$AC4250-'Demo Sheet FMS_148'!$AD$9:$AD4250),"Cancelled"),"")</f>
        <v>2.724429525</v>
      </c>
      <c r="F6" s="224">
        <f t="array" ref="F6:F910">if('Demo Sheet FMS_148'!$B$9:$B4250&lt;&gt;"",if('Demo Sheet FMS_148'!$AJ$9:$AJ4250="Done",('Demo Sheet FMS_148'!$AH$9:$AH4250-'Demo Sheet FMS_148'!$AI$9:$AI4250),"Cancelled"),"")</f>
        <v>2.766032951</v>
      </c>
      <c r="G6" s="224" t="str">
        <f t="array" ref="G6">if('FMS149'!$B$9:$B4250&lt;&gt;"",if('FMS149'!$AS$9:$AS4250="Done",('FMS149'!$AQ$9:$AQ4250-'FMS149'!$AR$9:$AR4250),"Cancelled"),"")</f>
        <v>#REF!</v>
      </c>
      <c r="H6" s="224" t="str">
        <f t="array" ref="H6">if('FMS149'!$B$9:$B4250&lt;&gt;"",if('FMS149'!$AS$9:$AS4250="Done",('FMS149'!$AQ$9:$AQ4250-'FMS149'!$AR$9:$AR4250),"Cancelled"),"")</f>
        <v>#REF!</v>
      </c>
      <c r="I6" s="224" t="str">
        <f t="array" ref="I6">if('FMS149'!$B$9:$B4250&lt;&gt;"",if('FMS149'!$AX$9:$AX4250="Done",('FMS149'!$AV$9:$AV4250-'FMS149'!$AW$9:$AW4250),"Cancelled"),"")</f>
        <v>#REF!</v>
      </c>
      <c r="J6" s="224">
        <f t="shared" ref="J6:J1004" si="1">if($B6&lt;&gt;"",sum($B6:$F6),"")</f>
        <v>6.509721609</v>
      </c>
    </row>
    <row r="7">
      <c r="A7" s="76">
        <v>4961.0</v>
      </c>
      <c r="B7" s="76" t="s">
        <v>2524</v>
      </c>
      <c r="C7" s="76" t="s">
        <v>2524</v>
      </c>
      <c r="D7" s="76" t="s">
        <v>2524</v>
      </c>
      <c r="E7" s="76">
        <v>1.750709201391146</v>
      </c>
      <c r="F7" s="76" t="s">
        <v>2524</v>
      </c>
      <c r="J7" s="225">
        <f t="shared" si="1"/>
        <v>1.750709201</v>
      </c>
    </row>
    <row r="8">
      <c r="A8" s="76">
        <v>4962.0</v>
      </c>
      <c r="B8" s="76" t="s">
        <v>2524</v>
      </c>
      <c r="C8" s="76" t="s">
        <v>2524</v>
      </c>
      <c r="D8" s="76" t="s">
        <v>2524</v>
      </c>
      <c r="E8" s="76">
        <v>1.8585030787071446</v>
      </c>
      <c r="F8" s="76" t="s">
        <v>2524</v>
      </c>
      <c r="J8" s="225">
        <f t="shared" si="1"/>
        <v>1.858503079</v>
      </c>
    </row>
    <row r="9">
      <c r="A9" s="76">
        <v>4963.0</v>
      </c>
      <c r="B9" s="76" t="s">
        <v>2524</v>
      </c>
      <c r="C9" s="76" t="s">
        <v>2524</v>
      </c>
      <c r="D9" s="76" t="s">
        <v>2524</v>
      </c>
      <c r="E9" s="76">
        <v>2.8356003009248525</v>
      </c>
      <c r="F9" s="76" t="s">
        <v>2524</v>
      </c>
      <c r="J9" s="225">
        <f t="shared" si="1"/>
        <v>2.835600301</v>
      </c>
    </row>
    <row r="10">
      <c r="A10" s="76">
        <v>4964.0</v>
      </c>
      <c r="B10" s="76" t="s">
        <v>2524</v>
      </c>
      <c r="C10" s="76" t="s">
        <v>2524</v>
      </c>
      <c r="D10" s="76" t="s">
        <v>2524</v>
      </c>
      <c r="E10" s="76">
        <v>2.796448865745333</v>
      </c>
      <c r="F10" s="76" t="s">
        <v>2524</v>
      </c>
      <c r="J10" s="225">
        <f t="shared" si="1"/>
        <v>2.796448866</v>
      </c>
    </row>
    <row r="11" ht="27.0" customHeight="1">
      <c r="A11" s="76">
        <v>4965.0</v>
      </c>
      <c r="B11" s="76" t="s">
        <v>2524</v>
      </c>
      <c r="C11" s="76" t="s">
        <v>2524</v>
      </c>
      <c r="D11" s="76" t="s">
        <v>2524</v>
      </c>
      <c r="E11" s="76">
        <v>1.0895987384283217</v>
      </c>
      <c r="F11" s="76" t="s">
        <v>2524</v>
      </c>
      <c r="J11" s="225">
        <f t="shared" si="1"/>
        <v>1.089598738</v>
      </c>
      <c r="M11" s="173"/>
      <c r="N11" s="173"/>
      <c r="O11" s="173"/>
      <c r="P11" s="173"/>
    </row>
    <row r="12">
      <c r="A12" s="76">
        <v>4966.0</v>
      </c>
      <c r="B12" s="76">
        <v>0.7371765624920954</v>
      </c>
      <c r="C12" s="76">
        <v>0.7439489699027035</v>
      </c>
      <c r="D12" s="76">
        <v>0.8374925347161479</v>
      </c>
      <c r="E12" s="76">
        <v>0.8859634606487816</v>
      </c>
      <c r="F12" s="76">
        <v>0.9275266319382354</v>
      </c>
      <c r="J12" s="225">
        <f t="shared" si="1"/>
        <v>4.13210816</v>
      </c>
    </row>
    <row r="13">
      <c r="A13" s="76">
        <v>4967.0</v>
      </c>
      <c r="B13" s="76">
        <v>0.7392378009244567</v>
      </c>
      <c r="C13" s="76">
        <v>0.7460099074014579</v>
      </c>
      <c r="D13" s="76">
        <v>0.8395758680489962</v>
      </c>
      <c r="E13" s="76">
        <v>0.888026006949076</v>
      </c>
      <c r="F13" s="76">
        <v>0.9296308912016684</v>
      </c>
      <c r="J13" s="225">
        <f t="shared" si="1"/>
        <v>4.142480475</v>
      </c>
    </row>
    <row r="14">
      <c r="A14" s="76">
        <v>4968.0</v>
      </c>
      <c r="B14" s="76">
        <v>0.15008616898558103</v>
      </c>
      <c r="C14" s="76">
        <v>0.15694012731546536</v>
      </c>
      <c r="D14" s="76">
        <v>0.26101506943814456</v>
      </c>
      <c r="E14" s="76">
        <v>1.2389075231476454</v>
      </c>
      <c r="F14" s="76">
        <v>1.280531793978298</v>
      </c>
      <c r="J14" s="225">
        <f t="shared" si="1"/>
        <v>3.087480683</v>
      </c>
    </row>
    <row r="15">
      <c r="A15" s="76">
        <v>4969.0</v>
      </c>
      <c r="B15" s="76">
        <v>0.16535119212494465</v>
      </c>
      <c r="C15" s="76">
        <v>0.17215240740188165</v>
      </c>
      <c r="D15" s="76">
        <v>0.10308736110891914</v>
      </c>
      <c r="E15" s="76">
        <v>2.103014317130146</v>
      </c>
      <c r="F15" s="76">
        <v>2.1446218749988475</v>
      </c>
      <c r="J15" s="225">
        <f t="shared" si="1"/>
        <v>4.688227153</v>
      </c>
    </row>
    <row r="16">
      <c r="A16" s="76">
        <v>4970.0</v>
      </c>
      <c r="B16" s="76">
        <v>0.7471262152830604</v>
      </c>
      <c r="C16" s="76">
        <v>0.7538789814789197</v>
      </c>
      <c r="D16" s="76">
        <v>0.8577515740762465</v>
      </c>
      <c r="E16" s="76">
        <v>2.1447669907356612</v>
      </c>
      <c r="F16" s="76">
        <v>2.186347777773335</v>
      </c>
      <c r="J16" s="225">
        <f t="shared" si="1"/>
        <v>6.689871539</v>
      </c>
    </row>
    <row r="17">
      <c r="A17" s="76">
        <v>4971.0</v>
      </c>
      <c r="B17" s="76">
        <v>0.10819800925673917</v>
      </c>
      <c r="C17" s="76">
        <v>0.11506134259252576</v>
      </c>
      <c r="D17" s="76">
        <v>0.21866347221657634</v>
      </c>
      <c r="E17" s="76">
        <v>2.187683680553164</v>
      </c>
      <c r="F17" s="76">
        <v>2.177885289347614</v>
      </c>
      <c r="J17" s="225">
        <f t="shared" si="1"/>
        <v>4.807491794</v>
      </c>
    </row>
    <row r="18">
      <c r="A18" s="76">
        <v>4972.0</v>
      </c>
      <c r="B18" s="76">
        <v>0.16627733795758104</v>
      </c>
      <c r="C18" s="76">
        <v>0.17303956017713062</v>
      </c>
      <c r="D18" s="76">
        <v>0.27663099536584923</v>
      </c>
      <c r="E18" s="76">
        <v>2.2127991782399477</v>
      </c>
      <c r="F18" s="76">
        <v>2.254407476852066</v>
      </c>
      <c r="J18" s="225">
        <f t="shared" si="1"/>
        <v>5.083154549</v>
      </c>
    </row>
    <row r="19">
      <c r="A19" s="76">
        <v>4973.0</v>
      </c>
      <c r="B19" s="76">
        <v>0.1610525578726083</v>
      </c>
      <c r="C19" s="76">
        <v>0.1678297569451388</v>
      </c>
      <c r="D19" s="76">
        <v>0.27185774305689847</v>
      </c>
      <c r="E19" s="76">
        <v>0.09760283565265127</v>
      </c>
      <c r="F19" s="76">
        <v>0.0899235763863544</v>
      </c>
      <c r="J19" s="225">
        <f t="shared" si="1"/>
        <v>0.7882664699</v>
      </c>
    </row>
    <row r="20">
      <c r="A20" s="76">
        <v>4974.0</v>
      </c>
      <c r="B20" s="76">
        <v>0.14373405092192115</v>
      </c>
      <c r="C20" s="76">
        <v>0.1504976736032404</v>
      </c>
      <c r="D20" s="76">
        <v>0.10242295137868496</v>
      </c>
      <c r="E20" s="76">
        <v>0.0011458333319751546</v>
      </c>
      <c r="F20" s="76">
        <v>0.03997216434800066</v>
      </c>
      <c r="J20" s="225">
        <f t="shared" si="1"/>
        <v>0.4377726736</v>
      </c>
    </row>
    <row r="21">
      <c r="A21" s="76">
        <v>4975.0</v>
      </c>
      <c r="B21" s="76">
        <v>0.08116174768656492</v>
      </c>
      <c r="C21" s="76">
        <v>0.08774987269134726</v>
      </c>
      <c r="D21" s="76">
        <v>0.14080331018340075</v>
      </c>
      <c r="E21" s="76">
        <v>0.2722146064770641</v>
      </c>
      <c r="F21" s="76">
        <v>0.8971785185131012</v>
      </c>
      <c r="J21" s="225">
        <f t="shared" si="1"/>
        <v>1.479108056</v>
      </c>
    </row>
    <row r="22">
      <c r="A22" s="76">
        <v>4976.0</v>
      </c>
      <c r="B22" s="76">
        <v>0.08429732638614951</v>
      </c>
      <c r="C22" s="76">
        <v>0.09088409721880453</v>
      </c>
      <c r="D22" s="76">
        <v>0.19098562499129912</v>
      </c>
      <c r="E22" s="76">
        <v>1.1905598611047026</v>
      </c>
      <c r="F22" s="76">
        <v>1.8154884490650147</v>
      </c>
      <c r="J22" s="225">
        <f t="shared" si="1"/>
        <v>3.372215359</v>
      </c>
    </row>
    <row r="23">
      <c r="A23" s="76">
        <v>4977.0</v>
      </c>
      <c r="B23" s="76">
        <v>0.15728515046066605</v>
      </c>
      <c r="C23" s="76">
        <v>0.16407175925996853</v>
      </c>
      <c r="D23" s="76">
        <v>0.2681880324089434</v>
      </c>
      <c r="E23" s="76">
        <v>0.34924512731231516</v>
      </c>
      <c r="F23" s="76">
        <v>0.9741848611083697</v>
      </c>
      <c r="J23" s="225">
        <f t="shared" si="1"/>
        <v>1.912974931</v>
      </c>
    </row>
    <row r="24">
      <c r="A24" s="76">
        <v>4978.0</v>
      </c>
      <c r="B24" s="76">
        <v>0.1222870717610931</v>
      </c>
      <c r="C24" s="76">
        <v>-0.023352025462372694</v>
      </c>
      <c r="D24" s="76">
        <v>0.6845742824079935</v>
      </c>
      <c r="E24" s="76">
        <v>0.9172151736129308</v>
      </c>
      <c r="F24" s="76">
        <v>0.9588466087952838</v>
      </c>
      <c r="J24" s="225">
        <f t="shared" si="1"/>
        <v>2.659571111</v>
      </c>
    </row>
    <row r="25">
      <c r="A25" s="76">
        <v>4979.0</v>
      </c>
      <c r="B25" s="76">
        <v>0.2934801041628816</v>
      </c>
      <c r="C25" s="76">
        <v>0.3000986805491266</v>
      </c>
      <c r="D25" s="76">
        <v>0.007823506944987457</v>
      </c>
      <c r="E25" s="76">
        <v>1.0077417361098924</v>
      </c>
      <c r="F25" s="76">
        <v>1.0493585300937411</v>
      </c>
      <c r="J25" s="225">
        <f t="shared" si="1"/>
        <v>2.658502558</v>
      </c>
    </row>
    <row r="26">
      <c r="A26" s="76">
        <v>4980.0</v>
      </c>
      <c r="B26" s="76">
        <v>0.15957836806046544</v>
      </c>
      <c r="C26" s="76">
        <v>0.16640275462850695</v>
      </c>
      <c r="D26" s="76">
        <v>0.681900428244262</v>
      </c>
      <c r="E26" s="76">
        <v>1.0420487384326407</v>
      </c>
      <c r="F26" s="76">
        <v>1.083663993056689</v>
      </c>
      <c r="J26" s="225">
        <f t="shared" si="1"/>
        <v>3.133594282</v>
      </c>
    </row>
    <row r="27">
      <c r="A27" s="76">
        <v>4981.0</v>
      </c>
      <c r="B27" s="76">
        <v>0.1637131134266383</v>
      </c>
      <c r="C27" s="76">
        <v>0.17047190972516546</v>
      </c>
      <c r="D27" s="76">
        <v>0.6862379166632309</v>
      </c>
      <c r="E27" s="76">
        <v>1.686186006947537</v>
      </c>
      <c r="F27" s="76">
        <v>1.7278191666700877</v>
      </c>
      <c r="J27" s="225">
        <f t="shared" si="1"/>
        <v>4.434428113</v>
      </c>
    </row>
    <row r="28">
      <c r="A28" s="76">
        <v>4982.0</v>
      </c>
      <c r="B28" s="76">
        <v>0.7121368171356153</v>
      </c>
      <c r="C28" s="76">
        <v>0.7189790162083227</v>
      </c>
      <c r="D28" s="76">
        <v>0.16706309028086253</v>
      </c>
      <c r="E28" s="76">
        <v>1.0017215972256963</v>
      </c>
      <c r="F28" s="76">
        <v>1.0433196643498377</v>
      </c>
      <c r="J28" s="225">
        <f t="shared" si="1"/>
        <v>3.643220185</v>
      </c>
    </row>
    <row r="29">
      <c r="A29" s="76">
        <v>4983.0</v>
      </c>
      <c r="B29" s="76">
        <v>0.13039947916695382</v>
      </c>
      <c r="C29" s="76">
        <v>0.13728151620307472</v>
      </c>
      <c r="D29" s="76">
        <v>0.24140579860977596</v>
      </c>
      <c r="E29" s="76">
        <v>1.2413390972214984</v>
      </c>
      <c r="F29" s="76">
        <v>0.29104453702893807</v>
      </c>
      <c r="J29" s="225">
        <f t="shared" si="1"/>
        <v>2.041470428</v>
      </c>
    </row>
    <row r="30">
      <c r="A30" s="76">
        <v>4984.0</v>
      </c>
      <c r="B30" s="76">
        <v>0.05962451388768386</v>
      </c>
      <c r="C30" s="76">
        <v>0.06646186342550209</v>
      </c>
      <c r="D30" s="76">
        <v>0.7325443402805831</v>
      </c>
      <c r="E30" s="76">
        <v>1.7052065856478293</v>
      </c>
      <c r="F30" s="76">
        <v>1.7468379976853612</v>
      </c>
      <c r="J30" s="225">
        <f t="shared" si="1"/>
        <v>4.310675301</v>
      </c>
    </row>
    <row r="31">
      <c r="A31" s="76">
        <v>4985.0</v>
      </c>
      <c r="B31" s="76">
        <v>0.09551156249654014</v>
      </c>
      <c r="C31" s="76">
        <v>0.07834054397972068</v>
      </c>
      <c r="D31" s="76">
        <v>0.18238939814909827</v>
      </c>
      <c r="E31" s="76">
        <v>0.29358190972561715</v>
      </c>
      <c r="F31" s="76">
        <v>0.2599490162101574</v>
      </c>
      <c r="J31" s="225">
        <f t="shared" si="1"/>
        <v>0.9097724306</v>
      </c>
    </row>
    <row r="32">
      <c r="A32" s="76">
        <v>4986.0</v>
      </c>
      <c r="B32" s="76">
        <v>0.0962893171235919</v>
      </c>
      <c r="C32" s="76">
        <v>0.07915174768277211</v>
      </c>
      <c r="D32" s="76">
        <v>0.1832006018521497</v>
      </c>
      <c r="E32" s="76">
        <v>0.29425651620840654</v>
      </c>
      <c r="F32" s="76">
        <v>0.260635949067364</v>
      </c>
      <c r="J32" s="225">
        <f t="shared" si="1"/>
        <v>0.9135341319</v>
      </c>
    </row>
    <row r="33">
      <c r="A33" s="76">
        <v>4987.0</v>
      </c>
      <c r="B33" s="76">
        <v>0.09693722221709322</v>
      </c>
      <c r="C33" s="76">
        <v>0.07980701389169553</v>
      </c>
      <c r="D33" s="76">
        <v>0.1838612152787391</v>
      </c>
      <c r="E33" s="76">
        <v>0.2949451736130868</v>
      </c>
      <c r="F33" s="76">
        <v>0.26132525462890044</v>
      </c>
      <c r="J33" s="225">
        <f t="shared" si="1"/>
        <v>0.9168758796</v>
      </c>
    </row>
    <row r="34">
      <c r="A34" s="76">
        <v>4988.0</v>
      </c>
      <c r="B34" s="76">
        <v>0.09758041665918427</v>
      </c>
      <c r="C34" s="76">
        <v>0.08046774305694271</v>
      </c>
      <c r="D34" s="76">
        <v>0.18446202546329005</v>
      </c>
      <c r="E34" s="76">
        <v>0.29561371527961455</v>
      </c>
      <c r="F34" s="76">
        <v>0.2620155092663481</v>
      </c>
      <c r="J34" s="225">
        <f t="shared" si="1"/>
        <v>0.9201394097</v>
      </c>
    </row>
    <row r="35">
      <c r="A35" s="76">
        <v>4989.0</v>
      </c>
      <c r="B35" s="76">
        <v>0.16582776620634831</v>
      </c>
      <c r="C35" s="76">
        <v>0.14884861111204373</v>
      </c>
      <c r="D35" s="76">
        <v>0.2528758217522409</v>
      </c>
      <c r="E35" s="76">
        <v>0.36435915509355254</v>
      </c>
      <c r="F35" s="76">
        <v>0.7873065740714082</v>
      </c>
      <c r="J35" s="225">
        <f t="shared" si="1"/>
        <v>1.719217928</v>
      </c>
    </row>
    <row r="36">
      <c r="A36" s="76">
        <v>4990.0</v>
      </c>
      <c r="B36" s="76">
        <v>0.13867520833446179</v>
      </c>
      <c r="C36" s="76">
        <v>0.14553104166407138</v>
      </c>
      <c r="D36" s="76">
        <v>0.14269783564668614</v>
      </c>
      <c r="E36" s="76">
        <v>1.1425120833300753</v>
      </c>
      <c r="F36" s="76">
        <v>1.6946607523132116</v>
      </c>
      <c r="J36" s="225">
        <f t="shared" si="1"/>
        <v>3.264076921</v>
      </c>
    </row>
    <row r="37">
      <c r="A37" s="76">
        <v>4991.0</v>
      </c>
      <c r="B37" s="76">
        <v>0.15346876157127554</v>
      </c>
      <c r="C37" s="76">
        <v>0.1603485300875036</v>
      </c>
      <c r="D37" s="76">
        <v>0.7737208912003553</v>
      </c>
      <c r="E37" s="76">
        <v>1.6885427430534037</v>
      </c>
      <c r="F37" s="76">
        <v>1.7301337152748602</v>
      </c>
      <c r="J37" s="225">
        <f t="shared" si="1"/>
        <v>4.506214641</v>
      </c>
    </row>
    <row r="38">
      <c r="A38" s="76">
        <v>4992.0</v>
      </c>
      <c r="B38" s="76">
        <v>0.14328274304716615</v>
      </c>
      <c r="C38" s="76">
        <v>0.14207271990017034</v>
      </c>
      <c r="D38" s="76">
        <v>0.07462405092519475</v>
      </c>
      <c r="E38" s="76">
        <v>1.0727748611097923</v>
      </c>
      <c r="F38" s="76">
        <v>1.114414895833761</v>
      </c>
      <c r="J38" s="225">
        <f t="shared" si="1"/>
        <v>2.547169271</v>
      </c>
    </row>
    <row r="39">
      <c r="A39" s="76">
        <v>4993.0</v>
      </c>
      <c r="B39" s="76">
        <v>0.7268838194504497</v>
      </c>
      <c r="C39" s="76">
        <v>0.7337557638966246</v>
      </c>
      <c r="D39" s="76">
        <v>0.8378817245393293</v>
      </c>
      <c r="E39" s="76">
        <v>1.8378464004636044</v>
      </c>
      <c r="F39" s="76">
        <v>1.1737256828710088</v>
      </c>
      <c r="J39" s="225">
        <f t="shared" si="1"/>
        <v>5.310093391</v>
      </c>
    </row>
    <row r="40">
      <c r="A40" s="76">
        <v>4994.0</v>
      </c>
      <c r="B40" s="76">
        <v>0.734496296296129</v>
      </c>
      <c r="C40" s="76">
        <v>0.7413880439853529</v>
      </c>
      <c r="D40" s="76">
        <v>0.8455206134240143</v>
      </c>
      <c r="E40" s="76">
        <v>1.8454852893555653</v>
      </c>
      <c r="F40" s="76">
        <v>1.181362546303717</v>
      </c>
      <c r="J40" s="225">
        <f t="shared" si="1"/>
        <v>5.348252789</v>
      </c>
    </row>
    <row r="41">
      <c r="A41" s="76">
        <v>4995.0</v>
      </c>
      <c r="B41" s="76">
        <v>0.13552230323693948</v>
      </c>
      <c r="C41" s="76">
        <v>0.14239145832834765</v>
      </c>
      <c r="D41" s="76">
        <v>0.24649740740278503</v>
      </c>
      <c r="E41" s="76">
        <v>1.2145502777784714</v>
      </c>
      <c r="F41" s="76">
        <v>1.256031458331563</v>
      </c>
      <c r="J41" s="225">
        <f t="shared" si="1"/>
        <v>2.994992905</v>
      </c>
    </row>
    <row r="42">
      <c r="A42" s="76">
        <v>4996.0</v>
      </c>
      <c r="B42" s="76">
        <v>0.147280972210865</v>
      </c>
      <c r="C42" s="76">
        <v>0.15411538194166496</v>
      </c>
      <c r="D42" s="76">
        <v>0.2582374536941643</v>
      </c>
      <c r="E42" s="76">
        <v>1.1311325810165727</v>
      </c>
      <c r="F42" s="76">
        <v>2.0300734374977765</v>
      </c>
      <c r="J42" s="225">
        <f t="shared" si="1"/>
        <v>3.720839826</v>
      </c>
    </row>
    <row r="43">
      <c r="A43" s="76">
        <v>4997.0</v>
      </c>
      <c r="B43" s="76">
        <v>0.12653135416621808</v>
      </c>
      <c r="C43" s="76">
        <v>0.1333693749984377</v>
      </c>
      <c r="D43" s="76">
        <v>0.23750407407351304</v>
      </c>
      <c r="E43" s="76">
        <v>1.1638139004644472</v>
      </c>
      <c r="F43" s="76">
        <v>2.788792083330918</v>
      </c>
      <c r="J43" s="225">
        <f t="shared" si="1"/>
        <v>4.450010787</v>
      </c>
    </row>
    <row r="44">
      <c r="A44" s="76">
        <v>4998.0</v>
      </c>
      <c r="B44" s="76">
        <v>0.12824328703572974</v>
      </c>
      <c r="C44" s="76">
        <v>0.13505061342584668</v>
      </c>
      <c r="D44" s="76">
        <v>0.23917275462736143</v>
      </c>
      <c r="E44" s="76">
        <v>2.0232446180525585</v>
      </c>
      <c r="F44" s="76">
        <v>2.064715162028733</v>
      </c>
      <c r="J44" s="225">
        <f t="shared" si="1"/>
        <v>4.590426435</v>
      </c>
    </row>
    <row r="45">
      <c r="A45" s="76">
        <v>4999.0</v>
      </c>
      <c r="B45" s="76">
        <v>0.7187394097127253</v>
      </c>
      <c r="C45" s="76">
        <v>0.8623853124954621</v>
      </c>
      <c r="D45" s="76">
        <v>0.6209754166629864</v>
      </c>
      <c r="E45" s="76">
        <v>0.07524091435334412</v>
      </c>
      <c r="F45" s="76">
        <v>0.11638033564668149</v>
      </c>
      <c r="J45" s="225">
        <f t="shared" si="1"/>
        <v>2.393721389</v>
      </c>
    </row>
    <row r="46">
      <c r="A46" s="76">
        <v>5000.0</v>
      </c>
      <c r="B46" s="76">
        <v>0.7286001041720738</v>
      </c>
      <c r="C46" s="76">
        <v>0.735461238422431</v>
      </c>
      <c r="D46" s="76">
        <v>0.8123489351855824</v>
      </c>
      <c r="E46" s="76">
        <v>0.14188061342429137</v>
      </c>
      <c r="F46" s="76">
        <v>0.1830220949050272</v>
      </c>
      <c r="J46" s="225">
        <f t="shared" si="1"/>
        <v>2.601312986</v>
      </c>
    </row>
    <row r="47">
      <c r="A47" s="76">
        <v>5001.0</v>
      </c>
      <c r="B47" s="76">
        <v>0.10404359953827225</v>
      </c>
      <c r="C47" s="76">
        <v>0.11091356481483672</v>
      </c>
      <c r="D47" s="76">
        <v>0.21495636573672527</v>
      </c>
      <c r="E47" s="76">
        <v>2.1996141319468734</v>
      </c>
      <c r="F47" s="76">
        <v>2.2412685879608034</v>
      </c>
      <c r="J47" s="225">
        <f t="shared" si="1"/>
        <v>4.87079625</v>
      </c>
    </row>
    <row r="48">
      <c r="A48" s="76">
        <v>5002.0</v>
      </c>
      <c r="B48" s="76">
        <v>0.015783796297910158</v>
      </c>
      <c r="C48" s="76">
        <v>0.02253923611715436</v>
      </c>
      <c r="D48" s="76">
        <v>0.026861493061005604</v>
      </c>
      <c r="E48" s="76">
        <v>0.014212962960300501</v>
      </c>
      <c r="F48" s="76">
        <v>0.05547453703911742</v>
      </c>
      <c r="J48" s="225">
        <f t="shared" si="1"/>
        <v>0.1348720255</v>
      </c>
    </row>
    <row r="49">
      <c r="A49" s="76">
        <v>5003.0</v>
      </c>
      <c r="B49" s="76">
        <v>0.015761192131321877</v>
      </c>
      <c r="C49" s="76">
        <v>0.02250001157517545</v>
      </c>
      <c r="D49" s="76">
        <v>0.02683743055240484</v>
      </c>
      <c r="E49" s="76">
        <v>0.014155092590954155</v>
      </c>
      <c r="F49" s="76">
        <v>0.05545138888555812</v>
      </c>
      <c r="J49" s="225">
        <f t="shared" si="1"/>
        <v>0.1347051157</v>
      </c>
    </row>
    <row r="50">
      <c r="A50" s="76">
        <v>5004.0</v>
      </c>
      <c r="B50" s="76">
        <v>0.14821827546256827</v>
      </c>
      <c r="C50" s="76">
        <v>0.15509744213341037</v>
      </c>
      <c r="D50" s="76">
        <v>0.2592201157458476</v>
      </c>
      <c r="E50" s="76">
        <v>1.0334634837854537</v>
      </c>
      <c r="F50" s="76">
        <v>0.006807835648942273</v>
      </c>
      <c r="J50" s="225">
        <f t="shared" si="1"/>
        <v>1.602807153</v>
      </c>
    </row>
    <row r="51">
      <c r="A51" s="76">
        <v>5005.0</v>
      </c>
      <c r="B51" s="76">
        <v>0.10775847222248558</v>
      </c>
      <c r="C51" s="76">
        <v>0.11451462962577352</v>
      </c>
      <c r="D51" s="76">
        <v>0.8221424537041457</v>
      </c>
      <c r="E51" s="76">
        <v>1.736294247682963</v>
      </c>
      <c r="F51" s="76">
        <v>1.7779408680507913</v>
      </c>
      <c r="J51" s="225">
        <f t="shared" si="1"/>
        <v>4.558650671</v>
      </c>
    </row>
    <row r="52">
      <c r="A52" s="76">
        <v>5006.0</v>
      </c>
      <c r="B52" s="76">
        <v>0.6877759259295999</v>
      </c>
      <c r="C52" s="76">
        <v>0.6943305439926917</v>
      </c>
      <c r="D52" s="76">
        <v>0.079424155097513</v>
      </c>
      <c r="E52" s="76">
        <v>1.0794086805617553</v>
      </c>
      <c r="F52" s="76">
        <v>1.1210325462961919</v>
      </c>
      <c r="J52" s="225">
        <f t="shared" si="1"/>
        <v>3.661971852</v>
      </c>
    </row>
    <row r="53">
      <c r="A53" s="76">
        <v>5007.0</v>
      </c>
      <c r="B53" s="76">
        <v>0.6891386921342928</v>
      </c>
      <c r="C53" s="76">
        <v>0.6956872685186681</v>
      </c>
      <c r="D53" s="76">
        <v>0.018831018518540077</v>
      </c>
      <c r="E53" s="76">
        <v>0.9759406018565642</v>
      </c>
      <c r="F53" s="76">
        <v>0.8153488078678492</v>
      </c>
      <c r="J53" s="225">
        <f t="shared" si="1"/>
        <v>3.194946389</v>
      </c>
    </row>
    <row r="54">
      <c r="A54" s="76">
        <v>5008.0</v>
      </c>
      <c r="B54" s="76">
        <v>0.6912164236127865</v>
      </c>
      <c r="C54" s="76">
        <v>0.6977727662015241</v>
      </c>
      <c r="D54" s="76">
        <v>0.020879629628325347</v>
      </c>
      <c r="E54" s="76">
        <v>0.12790487268648576</v>
      </c>
      <c r="F54" s="76">
        <v>0.012744062492856756</v>
      </c>
      <c r="J54" s="225">
        <f t="shared" si="1"/>
        <v>1.550517755</v>
      </c>
    </row>
    <row r="55">
      <c r="A55" s="76">
        <v>5009.0</v>
      </c>
      <c r="B55" s="76">
        <v>0.6946669560202281</v>
      </c>
      <c r="C55" s="76">
        <v>0.7012197800941067</v>
      </c>
      <c r="D55" s="76">
        <v>0.024340277777810115</v>
      </c>
      <c r="E55" s="76">
        <v>0.13153090278501622</v>
      </c>
      <c r="F55" s="76">
        <v>0.17317319444555324</v>
      </c>
      <c r="J55" s="225">
        <f t="shared" si="1"/>
        <v>1.724931111</v>
      </c>
    </row>
    <row r="56">
      <c r="A56" s="76">
        <v>5010.0</v>
      </c>
      <c r="B56" s="76">
        <v>0.6967135648228577</v>
      </c>
      <c r="C56" s="76">
        <v>0.7032779976871097</v>
      </c>
      <c r="D56" s="76">
        <v>0.026400462964375038</v>
      </c>
      <c r="E56" s="76">
        <v>0.7857531944537186</v>
      </c>
      <c r="F56" s="76">
        <v>0.8274014120397624</v>
      </c>
      <c r="J56" s="225">
        <f t="shared" si="1"/>
        <v>3.039546632</v>
      </c>
    </row>
    <row r="57">
      <c r="A57" s="76">
        <v>5011.0</v>
      </c>
      <c r="B57" s="76">
        <v>0.142577662030817</v>
      </c>
      <c r="C57" s="76">
        <v>0.14946733795659384</v>
      </c>
      <c r="D57" s="76">
        <v>0.2536122106394032</v>
      </c>
      <c r="E57" s="76">
        <v>1.2535669791686814</v>
      </c>
      <c r="F57" s="76">
        <v>1.0125691203647875</v>
      </c>
      <c r="J57" s="225">
        <f t="shared" si="1"/>
        <v>2.81179331</v>
      </c>
    </row>
    <row r="58">
      <c r="A58" s="76">
        <v>5012.0</v>
      </c>
      <c r="B58" s="76">
        <v>0.027578831017308403</v>
      </c>
      <c r="C58" s="76">
        <v>0.034419849536789116</v>
      </c>
      <c r="D58" s="76">
        <v>0.13851997684832895</v>
      </c>
      <c r="E58" s="76">
        <v>0.978996747682686</v>
      </c>
      <c r="F58" s="76">
        <v>1.0205868402699707</v>
      </c>
      <c r="J58" s="225">
        <f t="shared" si="1"/>
        <v>2.200102245</v>
      </c>
    </row>
    <row r="59">
      <c r="A59" s="76">
        <v>5013.0</v>
      </c>
      <c r="B59" s="76">
        <v>0.15465391203179024</v>
      </c>
      <c r="C59" s="76">
        <v>0.1614144791601575</v>
      </c>
      <c r="D59" s="76">
        <v>0.827992164355237</v>
      </c>
      <c r="E59" s="76">
        <v>3.7549657754643704</v>
      </c>
      <c r="F59" s="76">
        <v>3.796609548611741</v>
      </c>
      <c r="J59" s="225">
        <f t="shared" si="1"/>
        <v>8.69563588</v>
      </c>
    </row>
    <row r="60">
      <c r="A60" s="76">
        <v>5014.0</v>
      </c>
      <c r="B60" s="76">
        <v>0.005891203705687076</v>
      </c>
      <c r="C60" s="76">
        <v>-0.2991761805533315</v>
      </c>
      <c r="D60" s="76">
        <v>-0.19503751157026272</v>
      </c>
      <c r="E60" s="76">
        <v>2.8039699884175207</v>
      </c>
      <c r="F60" s="76">
        <v>-0.03195971065724734</v>
      </c>
      <c r="J60" s="225">
        <f t="shared" si="1"/>
        <v>2.283687789</v>
      </c>
    </row>
    <row r="61">
      <c r="A61" s="76">
        <v>5015.0</v>
      </c>
      <c r="B61" s="76">
        <v>0.1610135648152209</v>
      </c>
      <c r="C61" s="76">
        <v>0.8333292824099772</v>
      </c>
      <c r="D61" s="76">
        <v>0.14931168981274823</v>
      </c>
      <c r="E61" s="76">
        <v>1.009354687499581</v>
      </c>
      <c r="F61" s="76">
        <v>1.050995833327761</v>
      </c>
      <c r="J61" s="225">
        <f t="shared" si="1"/>
        <v>3.204005058</v>
      </c>
    </row>
    <row r="62">
      <c r="A62" s="76">
        <v>5016.0</v>
      </c>
      <c r="B62" s="76">
        <v>2.7480268634244567</v>
      </c>
      <c r="C62" s="76">
        <v>2.754789363425516</v>
      </c>
      <c r="D62" s="76">
        <v>2.8589061342572677</v>
      </c>
      <c r="E62" s="76">
        <v>0.14487393519084435</v>
      </c>
      <c r="F62" s="76">
        <v>0.186471585649997</v>
      </c>
      <c r="J62" s="225">
        <f t="shared" si="1"/>
        <v>8.693067882</v>
      </c>
    </row>
    <row r="63">
      <c r="A63" s="76">
        <v>5017.0</v>
      </c>
      <c r="B63" s="76">
        <v>2.7418626851867884</v>
      </c>
      <c r="C63" s="76">
        <v>2.748669525462901</v>
      </c>
      <c r="D63" s="76">
        <v>2.8527864467614563</v>
      </c>
      <c r="E63" s="76">
        <v>0.9401661226875149</v>
      </c>
      <c r="F63" s="76">
        <v>0.2190991435199976</v>
      </c>
      <c r="J63" s="225">
        <f t="shared" si="1"/>
        <v>9.502583924</v>
      </c>
    </row>
    <row r="64">
      <c r="A64" s="76">
        <v>5018.0</v>
      </c>
      <c r="B64" s="76">
        <v>0.15500600694213063</v>
      </c>
      <c r="C64" s="76">
        <v>0.16180560184875503</v>
      </c>
      <c r="D64" s="76">
        <v>0.8353965740752756</v>
      </c>
      <c r="E64" s="76">
        <v>1.8353313425905071</v>
      </c>
      <c r="F64" s="76">
        <v>1.828291354169778</v>
      </c>
      <c r="J64" s="225">
        <f t="shared" si="1"/>
        <v>4.81583088</v>
      </c>
    </row>
    <row r="65">
      <c r="A65" s="76">
        <v>5019.0</v>
      </c>
      <c r="B65" s="76">
        <v>0.09538925925880903</v>
      </c>
      <c r="C65" s="76">
        <v>0.7193870486080414</v>
      </c>
      <c r="D65" s="76">
        <v>0.8233479745322256</v>
      </c>
      <c r="E65" s="76">
        <v>1.8222681828701752</v>
      </c>
      <c r="F65" s="76">
        <v>0.9039725694383378</v>
      </c>
      <c r="J65" s="225">
        <f t="shared" si="1"/>
        <v>4.364365035</v>
      </c>
    </row>
    <row r="66">
      <c r="A66" s="76">
        <v>5020.0</v>
      </c>
      <c r="B66" s="76">
        <v>0.7340012152781128</v>
      </c>
      <c r="C66" s="76">
        <v>0.7401135879699723</v>
      </c>
      <c r="D66" s="76">
        <v>0.8441601273152628</v>
      </c>
      <c r="E66" s="76">
        <v>1.8430885532361572</v>
      </c>
      <c r="F66" s="76">
        <v>0.13623344906955026</v>
      </c>
      <c r="J66" s="225">
        <f t="shared" si="1"/>
        <v>4.297596933</v>
      </c>
    </row>
    <row r="67">
      <c r="A67" s="76">
        <v>5021.0</v>
      </c>
      <c r="B67" s="76">
        <v>0.7472851851853193</v>
      </c>
      <c r="C67" s="76">
        <v>0.7541625000012573</v>
      </c>
      <c r="D67" s="76">
        <v>0.7756864814800792</v>
      </c>
      <c r="E67" s="76">
        <v>1.0283620486079599</v>
      </c>
      <c r="F67" s="76">
        <v>0.933455243051867</v>
      </c>
      <c r="J67" s="225">
        <f t="shared" si="1"/>
        <v>4.238951458</v>
      </c>
    </row>
    <row r="68">
      <c r="A68" s="76">
        <v>5022.0</v>
      </c>
      <c r="B68" s="76">
        <v>0.1445006365684094</v>
      </c>
      <c r="C68" s="76">
        <v>0.1512831944419304</v>
      </c>
      <c r="D68" s="76">
        <v>0.10376697916217381</v>
      </c>
      <c r="E68" s="76">
        <v>1.143029108796327</v>
      </c>
      <c r="F68" s="76">
        <v>1.1846529398171697</v>
      </c>
      <c r="J68" s="225">
        <f t="shared" si="1"/>
        <v>2.727232859</v>
      </c>
    </row>
    <row r="69">
      <c r="A69" s="76">
        <v>5023.0</v>
      </c>
      <c r="B69" s="76">
        <v>0.1629299652777263</v>
      </c>
      <c r="C69" s="76">
        <v>0.169804560187913</v>
      </c>
      <c r="D69" s="76">
        <v>0.8359611342675635</v>
      </c>
      <c r="E69" s="76">
        <v>1.8097823379721376</v>
      </c>
      <c r="F69" s="76">
        <v>1.8513959027768578</v>
      </c>
      <c r="J69" s="225">
        <f t="shared" si="1"/>
        <v>4.8298739</v>
      </c>
    </row>
    <row r="70">
      <c r="A70" s="76">
        <v>5024.0</v>
      </c>
      <c r="B70" s="76">
        <v>0.11939376156806247</v>
      </c>
      <c r="C70" s="76">
        <v>0.1264914467537892</v>
      </c>
      <c r="D70" s="76">
        <v>0.7925917708416819</v>
      </c>
      <c r="E70" s="76">
        <v>1.7204515162084135</v>
      </c>
      <c r="F70" s="76">
        <v>1.7620761574071366</v>
      </c>
      <c r="J70" s="225">
        <f t="shared" si="1"/>
        <v>4.521004653</v>
      </c>
    </row>
    <row r="71">
      <c r="A71" s="76">
        <v>5025.0</v>
      </c>
      <c r="B71" s="76">
        <v>0.7043847337990883</v>
      </c>
      <c r="C71" s="76">
        <v>0.711128321760043</v>
      </c>
      <c r="D71" s="76">
        <v>0.8151539930549916</v>
      </c>
      <c r="E71" s="76">
        <v>1.095246550925367</v>
      </c>
      <c r="F71" s="76">
        <v>1.1368490856475546</v>
      </c>
      <c r="J71" s="225">
        <f t="shared" si="1"/>
        <v>4.462762685</v>
      </c>
    </row>
    <row r="72">
      <c r="A72" s="76">
        <v>5026.0</v>
      </c>
      <c r="B72" s="76">
        <v>0.7120049074073904</v>
      </c>
      <c r="C72" s="76">
        <v>0.7187484953756211</v>
      </c>
      <c r="D72" s="76">
        <v>0.8227797106519574</v>
      </c>
      <c r="E72" s="76">
        <v>1.1028694212873233</v>
      </c>
      <c r="F72" s="76">
        <v>1.1444738541613333</v>
      </c>
      <c r="J72" s="225">
        <f t="shared" si="1"/>
        <v>4.500876389</v>
      </c>
    </row>
    <row r="73">
      <c r="A73" s="76">
        <v>5027.0</v>
      </c>
      <c r="B73" s="76">
        <v>0.1600368171275477</v>
      </c>
      <c r="C73" s="76">
        <v>0.16664501157356426</v>
      </c>
      <c r="D73" s="76">
        <v>0.17453247684898088</v>
      </c>
      <c r="E73" s="76">
        <v>0.14291094907093793</v>
      </c>
      <c r="F73" s="76">
        <v>0.21561342592030996</v>
      </c>
      <c r="J73" s="225">
        <f t="shared" si="1"/>
        <v>0.8597386805</v>
      </c>
    </row>
    <row r="74">
      <c r="A74" s="76">
        <v>5028.0</v>
      </c>
      <c r="B74" s="76">
        <v>0.08714878471801057</v>
      </c>
      <c r="C74" s="76">
        <v>0.09377758101618383</v>
      </c>
      <c r="D74" s="76">
        <v>0.19783877314330311</v>
      </c>
      <c r="E74" s="76">
        <v>0.16688070601958316</v>
      </c>
      <c r="F74" s="76">
        <v>0.23922453703562496</v>
      </c>
      <c r="J74" s="225">
        <f t="shared" si="1"/>
        <v>0.7848703819</v>
      </c>
    </row>
    <row r="75">
      <c r="A75" s="76">
        <v>5029.0</v>
      </c>
      <c r="B75" s="76">
        <v>0.09185587962565478</v>
      </c>
      <c r="C75" s="76">
        <v>0.09851053240709007</v>
      </c>
      <c r="D75" s="76">
        <v>0.20256881944078486</v>
      </c>
      <c r="E75" s="76">
        <v>0.20241898148378823</v>
      </c>
      <c r="F75" s="76">
        <v>0.24408564814802958</v>
      </c>
      <c r="J75" s="225">
        <f t="shared" si="1"/>
        <v>0.8394398611</v>
      </c>
    </row>
    <row r="76">
      <c r="A76" s="76">
        <v>5030.0</v>
      </c>
      <c r="B76" s="76">
        <v>0.1150788773156819</v>
      </c>
      <c r="C76" s="76">
        <v>0.12173870370315854</v>
      </c>
      <c r="D76" s="76">
        <v>0.22579693287116243</v>
      </c>
      <c r="E76" s="76">
        <v>0.09393927083146991</v>
      </c>
      <c r="F76" s="76">
        <v>0.8503356481451192</v>
      </c>
      <c r="J76" s="225">
        <f t="shared" si="1"/>
        <v>1.406889433</v>
      </c>
    </row>
    <row r="77">
      <c r="A77" s="76">
        <v>5031.0</v>
      </c>
      <c r="B77" s="76">
        <v>0.15237944444379536</v>
      </c>
      <c r="C77" s="76">
        <v>0.15902876157633727</v>
      </c>
      <c r="D77" s="76">
        <v>0.8668857986049261</v>
      </c>
      <c r="E77" s="76">
        <v>0.7352256018421031</v>
      </c>
      <c r="F77" s="76">
        <v>0.9086689814721467</v>
      </c>
      <c r="J77" s="225">
        <f t="shared" si="1"/>
        <v>2.822188588</v>
      </c>
    </row>
    <row r="78">
      <c r="A78" s="76">
        <v>5032.0</v>
      </c>
      <c r="B78" s="76">
        <v>0.08533001157047693</v>
      </c>
      <c r="C78" s="76">
        <v>0.12377306712733116</v>
      </c>
      <c r="D78" s="76">
        <v>0.2279397337915725</v>
      </c>
      <c r="E78" s="76">
        <v>1.1386178587927134</v>
      </c>
      <c r="F78" s="76">
        <v>2.7636031828733394</v>
      </c>
      <c r="J78" s="225">
        <f t="shared" si="1"/>
        <v>4.339263854</v>
      </c>
    </row>
    <row r="79">
      <c r="A79" s="76">
        <v>5033.0</v>
      </c>
      <c r="B79" s="76">
        <v>0.6404511805521906</v>
      </c>
      <c r="C79" s="76">
        <v>0.6405659722222481</v>
      </c>
      <c r="D79" s="76">
        <v>0.7448017361093662</v>
      </c>
      <c r="E79" s="76">
        <v>0.8250969907385297</v>
      </c>
      <c r="F79" s="76">
        <v>0.8666953703650506</v>
      </c>
      <c r="J79" s="225">
        <f t="shared" si="1"/>
        <v>3.71761125</v>
      </c>
    </row>
    <row r="80">
      <c r="A80" s="76">
        <v>5034.0</v>
      </c>
      <c r="B80" s="76">
        <v>0.6717011805521906</v>
      </c>
      <c r="C80" s="76">
        <v>0.6717872222216101</v>
      </c>
      <c r="D80" s="76">
        <v>0.7758994097239338</v>
      </c>
      <c r="E80" s="76">
        <v>1.8849643981448025</v>
      </c>
      <c r="F80" s="76">
        <v>1.9266165161971003</v>
      </c>
      <c r="J80" s="225">
        <f t="shared" si="1"/>
        <v>5.930968727</v>
      </c>
    </row>
    <row r="81">
      <c r="A81" s="76">
        <v>5035.0</v>
      </c>
      <c r="B81" s="76">
        <v>0.16405435184424277</v>
      </c>
      <c r="C81" s="76">
        <v>0.17092313657485647</v>
      </c>
      <c r="D81" s="76">
        <v>0.1316391203654348</v>
      </c>
      <c r="E81" s="76">
        <v>2.0723786111047957</v>
      </c>
      <c r="F81" s="76">
        <v>2.114023136564356</v>
      </c>
      <c r="J81" s="225">
        <f t="shared" si="1"/>
        <v>4.653018356</v>
      </c>
    </row>
    <row r="82">
      <c r="A82" s="76">
        <v>5036.0</v>
      </c>
      <c r="B82" s="76">
        <v>0.13668089120619697</v>
      </c>
      <c r="C82" s="76">
        <v>0.14357929398829583</v>
      </c>
      <c r="D82" s="76">
        <v>0.15655540509760613</v>
      </c>
      <c r="E82" s="76">
        <v>1.0682211458261008</v>
      </c>
      <c r="F82" s="76">
        <v>1.1098368749953806</v>
      </c>
      <c r="J82" s="225">
        <f t="shared" si="1"/>
        <v>2.614873611</v>
      </c>
    </row>
    <row r="83">
      <c r="A83" s="76">
        <v>5037.0</v>
      </c>
      <c r="B83" s="76">
        <v>0.15588202545040986</v>
      </c>
      <c r="C83" s="76">
        <v>0.16277952546079177</v>
      </c>
      <c r="D83" s="76">
        <v>0.17583074073627358</v>
      </c>
      <c r="E83" s="76">
        <v>2.1146387152693933</v>
      </c>
      <c r="F83" s="76">
        <v>2.7396207060155575</v>
      </c>
      <c r="J83" s="225">
        <f t="shared" si="1"/>
        <v>5.348751713</v>
      </c>
    </row>
    <row r="84">
      <c r="A84" s="76">
        <v>5038.0</v>
      </c>
      <c r="B84" s="76">
        <v>0.16303688656626036</v>
      </c>
      <c r="C84" s="76">
        <v>0.16991762731049675</v>
      </c>
      <c r="D84" s="76">
        <v>0.19278523147659143</v>
      </c>
      <c r="E84" s="76">
        <v>2.1311538657391793</v>
      </c>
      <c r="F84" s="76">
        <v>2.7561292013924685</v>
      </c>
      <c r="J84" s="225">
        <f t="shared" si="1"/>
        <v>5.413022812</v>
      </c>
    </row>
    <row r="85">
      <c r="A85" s="76">
        <v>5039.0</v>
      </c>
      <c r="B85" s="76">
        <v>0.08695339120458812</v>
      </c>
      <c r="C85" s="76">
        <v>0.09376589120074641</v>
      </c>
      <c r="D85" s="76">
        <v>0.1976991087940405</v>
      </c>
      <c r="E85" s="76">
        <v>2.135865416668821</v>
      </c>
      <c r="F85" s="76">
        <v>2.7608229629622656</v>
      </c>
      <c r="J85" s="225">
        <f t="shared" si="1"/>
        <v>5.275106771</v>
      </c>
    </row>
    <row r="86">
      <c r="A86" s="76">
        <v>5040.0</v>
      </c>
      <c r="B86" s="76">
        <v>1.824863252310024</v>
      </c>
      <c r="C86" s="76">
        <v>1.8316583680498297</v>
      </c>
      <c r="D86" s="76">
        <v>1.93548277777154</v>
      </c>
      <c r="E86" s="76">
        <v>2.10122388889431</v>
      </c>
      <c r="F86" s="76">
        <v>2.1426991666594404</v>
      </c>
      <c r="J86" s="225">
        <f t="shared" si="1"/>
        <v>9.835927454</v>
      </c>
    </row>
    <row r="87">
      <c r="A87" s="76">
        <v>5041.0</v>
      </c>
      <c r="B87" s="76">
        <v>1.8255017708361265</v>
      </c>
      <c r="C87" s="76">
        <v>1.832347569448757</v>
      </c>
      <c r="D87" s="76">
        <v>1.9361706018462428</v>
      </c>
      <c r="E87" s="76">
        <v>2.0188132754701655</v>
      </c>
      <c r="F87" s="76">
        <v>2.060444861112046</v>
      </c>
      <c r="J87" s="225">
        <f t="shared" si="1"/>
        <v>9.673278079</v>
      </c>
    </row>
    <row r="88">
      <c r="A88" s="76">
        <v>5042.0</v>
      </c>
      <c r="B88" s="76">
        <v>1.8263964236102765</v>
      </c>
      <c r="C88" s="76">
        <v>1.8332838078713394</v>
      </c>
      <c r="D88" s="76">
        <v>1.9372370833298191</v>
      </c>
      <c r="E88" s="76">
        <v>2.019887013892003</v>
      </c>
      <c r="F88" s="76">
        <v>2.0615128935169196</v>
      </c>
      <c r="J88" s="225">
        <f t="shared" si="1"/>
        <v>9.678317222</v>
      </c>
    </row>
    <row r="89">
      <c r="A89" s="76">
        <v>5043.0</v>
      </c>
      <c r="B89" s="76">
        <v>1.8297930787011865</v>
      </c>
      <c r="C89" s="76">
        <v>1.8366404398184386</v>
      </c>
      <c r="D89" s="76">
        <v>1.940708912035916</v>
      </c>
      <c r="E89" s="76">
        <v>2.9329348842584295</v>
      </c>
      <c r="F89" s="76">
        <v>2.9745941087967367</v>
      </c>
      <c r="J89" s="225">
        <f t="shared" si="1"/>
        <v>11.51467142</v>
      </c>
    </row>
    <row r="90">
      <c r="A90" s="76">
        <v>5044.0</v>
      </c>
      <c r="B90" s="76">
        <v>0.14421549767575925</v>
      </c>
      <c r="C90" s="76">
        <v>0.15107020833238494</v>
      </c>
      <c r="D90" s="76">
        <v>0.2551908333261963</v>
      </c>
      <c r="E90" s="76">
        <v>1.2548279976836056</v>
      </c>
      <c r="F90" s="76">
        <v>0.9790511458340916</v>
      </c>
      <c r="J90" s="225">
        <f t="shared" si="1"/>
        <v>2.784355683</v>
      </c>
    </row>
    <row r="91">
      <c r="A91" s="76">
        <v>5045.0</v>
      </c>
      <c r="B91" s="76">
        <v>0.10032853009033715</v>
      </c>
      <c r="C91" s="76">
        <v>0.106931724541937</v>
      </c>
      <c r="D91" s="76">
        <v>0.7732995023106923</v>
      </c>
      <c r="E91" s="76">
        <v>0.867225115733163</v>
      </c>
      <c r="F91" s="76">
        <v>0.9087849189745612</v>
      </c>
      <c r="J91" s="225">
        <f t="shared" si="1"/>
        <v>2.756569792</v>
      </c>
    </row>
    <row r="92">
      <c r="A92" s="76">
        <v>5046.0</v>
      </c>
      <c r="B92" s="76">
        <v>0.15004831017722609</v>
      </c>
      <c r="C92" s="76">
        <v>0.15670059027615935</v>
      </c>
      <c r="D92" s="76">
        <v>0.864271724538412</v>
      </c>
      <c r="E92" s="76">
        <v>0.9581708333353163</v>
      </c>
      <c r="F92" s="76">
        <v>0.9997571412022808</v>
      </c>
      <c r="J92" s="225">
        <f t="shared" si="1"/>
        <v>3.1289486</v>
      </c>
    </row>
    <row r="93">
      <c r="A93" s="76">
        <v>5047.0</v>
      </c>
      <c r="B93" s="76">
        <v>0.15119612268608762</v>
      </c>
      <c r="C93" s="76">
        <v>0.15784682870435063</v>
      </c>
      <c r="D93" s="76">
        <v>0.8656606134245521</v>
      </c>
      <c r="E93" s="76">
        <v>0.9595538657449652</v>
      </c>
      <c r="F93" s="76">
        <v>1.0011384490717319</v>
      </c>
      <c r="J93" s="225">
        <f t="shared" si="1"/>
        <v>3.13539588</v>
      </c>
    </row>
    <row r="94">
      <c r="A94" s="76">
        <v>5048.0</v>
      </c>
      <c r="B94" s="76">
        <v>0.1519374421259272</v>
      </c>
      <c r="C94" s="76">
        <v>0.15856743055337574</v>
      </c>
      <c r="D94" s="76">
        <v>0.8663534722290933</v>
      </c>
      <c r="E94" s="76">
        <v>0.9602483101916732</v>
      </c>
      <c r="F94" s="76">
        <v>1.0018254513925058</v>
      </c>
      <c r="J94" s="225">
        <f t="shared" si="1"/>
        <v>3.138932106</v>
      </c>
    </row>
    <row r="95">
      <c r="A95" s="76">
        <v>5049.0</v>
      </c>
      <c r="B95" s="76">
        <v>0.15318831017793855</v>
      </c>
      <c r="C95" s="76">
        <v>0.15980585647776024</v>
      </c>
      <c r="D95" s="76">
        <v>0.8677423611152335</v>
      </c>
      <c r="E95" s="76">
        <v>0.9616371990778134</v>
      </c>
      <c r="F95" s="76">
        <v>1.0032082523102872</v>
      </c>
      <c r="J95" s="225">
        <f t="shared" si="1"/>
        <v>3.145581979</v>
      </c>
    </row>
    <row r="96">
      <c r="A96" s="76">
        <v>5050.0</v>
      </c>
      <c r="B96" s="76">
        <v>0.745270694453211</v>
      </c>
      <c r="C96" s="76">
        <v>0.6724555902837892</v>
      </c>
      <c r="D96" s="76">
        <v>0.7765682407407439</v>
      </c>
      <c r="E96" s="76">
        <v>1.0164983101858525</v>
      </c>
      <c r="F96" s="76">
        <v>1.0580585648058332</v>
      </c>
      <c r="J96" s="225">
        <f t="shared" si="1"/>
        <v>4.2688514</v>
      </c>
    </row>
    <row r="97">
      <c r="A97" s="76">
        <v>5051.0</v>
      </c>
      <c r="B97" s="76">
        <v>0.16287751157506136</v>
      </c>
      <c r="C97" s="76">
        <v>0.169750254630344</v>
      </c>
      <c r="D97" s="76">
        <v>0.27383834490319714</v>
      </c>
      <c r="E97" s="76">
        <v>1.2005938773145317</v>
      </c>
      <c r="F97" s="76">
        <v>0.3456109027756611</v>
      </c>
      <c r="J97" s="225">
        <f t="shared" si="1"/>
        <v>2.152670891</v>
      </c>
    </row>
    <row r="98">
      <c r="A98" s="76">
        <v>5052.0</v>
      </c>
      <c r="B98" s="76">
        <v>0.16544351851916872</v>
      </c>
      <c r="C98" s="76">
        <v>0.1723319907396217</v>
      </c>
      <c r="D98" s="76">
        <v>0.27646280091721565</v>
      </c>
      <c r="E98" s="76">
        <v>1.2032731134313508</v>
      </c>
      <c r="F98" s="76">
        <v>0.3483712036977522</v>
      </c>
      <c r="J98" s="225">
        <f t="shared" si="1"/>
        <v>2.165882627</v>
      </c>
    </row>
    <row r="99">
      <c r="A99" s="76">
        <v>5053.0</v>
      </c>
      <c r="B99" s="76">
        <v>0.1612846643474768</v>
      </c>
      <c r="C99" s="76">
        <v>0.16816621527686948</v>
      </c>
      <c r="D99" s="76">
        <v>0.23263690972089535</v>
      </c>
      <c r="E99" s="76">
        <v>1.2319894212996587</v>
      </c>
      <c r="F99" s="76">
        <v>1.2701646064888337</v>
      </c>
      <c r="J99" s="225">
        <f t="shared" si="1"/>
        <v>3.064241817</v>
      </c>
    </row>
    <row r="100">
      <c r="A100" s="76">
        <v>5054.0</v>
      </c>
      <c r="B100" s="76">
        <v>0.16530171296471963</v>
      </c>
      <c r="C100" s="76">
        <v>0.17218412036891095</v>
      </c>
      <c r="D100" s="76">
        <v>0.2725299652738613</v>
      </c>
      <c r="E100" s="76">
        <v>1.2724528240723885</v>
      </c>
      <c r="F100" s="76">
        <v>1.8974089930488844</v>
      </c>
      <c r="J100" s="225">
        <f t="shared" si="1"/>
        <v>3.779877616</v>
      </c>
    </row>
    <row r="101">
      <c r="A101" s="76">
        <v>5055.0</v>
      </c>
      <c r="B101" s="76">
        <v>0.14009465277194977</v>
      </c>
      <c r="C101" s="76">
        <v>0.14700627313868608</v>
      </c>
      <c r="D101" s="76">
        <v>0.2510871874910663</v>
      </c>
      <c r="E101" s="76">
        <v>0.15718750000087311</v>
      </c>
      <c r="F101" s="76">
        <v>0.07382633101951797</v>
      </c>
      <c r="J101" s="225">
        <f t="shared" si="1"/>
        <v>0.7692019444</v>
      </c>
    </row>
    <row r="102">
      <c r="A102" s="76">
        <v>5056.0</v>
      </c>
      <c r="B102" s="76">
        <v>0.14976671296608401</v>
      </c>
      <c r="C102" s="76">
        <v>0.15625768518657424</v>
      </c>
      <c r="D102" s="76">
        <v>0.25993085648224223</v>
      </c>
      <c r="E102" s="76">
        <v>1.2439530671326793</v>
      </c>
      <c r="F102" s="76">
        <v>1.868899398141366</v>
      </c>
      <c r="J102" s="225">
        <f t="shared" si="1"/>
        <v>3.67880772</v>
      </c>
    </row>
    <row r="103">
      <c r="A103" s="76">
        <v>5057.0</v>
      </c>
      <c r="B103" s="76">
        <v>0.15119528934155824</v>
      </c>
      <c r="C103" s="76">
        <v>0.1577744907408487</v>
      </c>
      <c r="D103" s="76">
        <v>0.26146962962229736</v>
      </c>
      <c r="E103" s="76">
        <v>1.2454435069375904</v>
      </c>
      <c r="F103" s="76">
        <v>1.870405798603315</v>
      </c>
      <c r="J103" s="225">
        <f t="shared" si="1"/>
        <v>3.686288715</v>
      </c>
    </row>
    <row r="104">
      <c r="A104" s="76">
        <v>5058.0</v>
      </c>
      <c r="B104" s="76">
        <v>0.1519694097150932</v>
      </c>
      <c r="C104" s="76">
        <v>0.15864887731004274</v>
      </c>
      <c r="D104" s="76">
        <v>0.26233212961960817</v>
      </c>
      <c r="E104" s="76">
        <v>1.1362012847239384</v>
      </c>
      <c r="F104" s="76">
        <v>1.7611903472206905</v>
      </c>
      <c r="J104" s="225">
        <f t="shared" si="1"/>
        <v>3.470342049</v>
      </c>
    </row>
    <row r="105">
      <c r="A105" s="76">
        <v>5059.0</v>
      </c>
      <c r="B105" s="76">
        <v>0.6599012615697575</v>
      </c>
      <c r="C105" s="76">
        <v>0.6664320023119217</v>
      </c>
      <c r="D105" s="76">
        <v>0.7705250694343704</v>
      </c>
      <c r="E105" s="76">
        <v>0.11971607638406567</v>
      </c>
      <c r="F105" s="76">
        <v>0.16136732637824025</v>
      </c>
      <c r="J105" s="225">
        <f t="shared" si="1"/>
        <v>2.377941736</v>
      </c>
    </row>
    <row r="106">
      <c r="A106" s="76">
        <v>5060.0</v>
      </c>
      <c r="B106" s="76">
        <v>0.6619845949026057</v>
      </c>
      <c r="C106" s="76">
        <v>0.66851533564477</v>
      </c>
      <c r="D106" s="76">
        <v>0.7726084027672186</v>
      </c>
      <c r="E106" s="76">
        <v>0.12183885416015983</v>
      </c>
      <c r="F106" s="76">
        <v>0.1634367592560011</v>
      </c>
      <c r="J106" s="225">
        <f t="shared" si="1"/>
        <v>2.388383947</v>
      </c>
    </row>
    <row r="107">
      <c r="A107" s="76">
        <v>5061.0</v>
      </c>
      <c r="B107" s="76">
        <v>0.687679039350769</v>
      </c>
      <c r="C107" s="76">
        <v>0.6942097800929332</v>
      </c>
      <c r="D107" s="76">
        <v>0.7983028472153819</v>
      </c>
      <c r="E107" s="76">
        <v>0.1475028009226662</v>
      </c>
      <c r="F107" s="76">
        <v>0.1891132175878738</v>
      </c>
      <c r="J107" s="225">
        <f t="shared" si="1"/>
        <v>2.516807685</v>
      </c>
    </row>
    <row r="108">
      <c r="A108" s="76">
        <v>5062.0</v>
      </c>
      <c r="B108" s="76">
        <v>0.7001790393551346</v>
      </c>
      <c r="C108" s="76">
        <v>0.7067097800972988</v>
      </c>
      <c r="D108" s="76">
        <v>0.8108097222284414</v>
      </c>
      <c r="E108" s="76">
        <v>0.7533986458365689</v>
      </c>
      <c r="F108" s="76">
        <v>0.7950016898175818</v>
      </c>
      <c r="J108" s="225">
        <f t="shared" si="1"/>
        <v>3.766098877</v>
      </c>
    </row>
    <row r="109">
      <c r="A109" s="76">
        <v>5063.0</v>
      </c>
      <c r="B109" s="76">
        <v>0.7019341782506672</v>
      </c>
      <c r="C109" s="76">
        <v>0.70947438658186</v>
      </c>
      <c r="D109" s="76">
        <v>0.8129209375038045</v>
      </c>
      <c r="E109" s="76">
        <v>1.1423557060261373</v>
      </c>
      <c r="F109" s="76">
        <v>1.1839925694512203</v>
      </c>
      <c r="J109" s="225">
        <f t="shared" si="1"/>
        <v>4.550677778</v>
      </c>
    </row>
    <row r="110">
      <c r="A110" s="76">
        <v>5064.0</v>
      </c>
      <c r="B110" s="76">
        <v>0.7036141319404123</v>
      </c>
      <c r="C110" s="76">
        <v>0.7101592476901715</v>
      </c>
      <c r="D110" s="76">
        <v>0.813565347219992</v>
      </c>
      <c r="E110" s="76">
        <v>1.1430401041652658</v>
      </c>
      <c r="F110" s="76">
        <v>1.1846710763857118</v>
      </c>
      <c r="J110" s="225">
        <f t="shared" si="1"/>
        <v>4.555049907</v>
      </c>
    </row>
    <row r="111">
      <c r="A111" s="76">
        <v>5065.0</v>
      </c>
      <c r="B111" s="76">
        <v>0.12667679398145992</v>
      </c>
      <c r="C111" s="76">
        <v>0.1335322800950962</v>
      </c>
      <c r="D111" s="76">
        <v>0.8413579861080507</v>
      </c>
      <c r="E111" s="76">
        <v>1.0174820138854557</v>
      </c>
      <c r="F111" s="76">
        <v>1.0590502893464873</v>
      </c>
      <c r="J111" s="225">
        <f t="shared" si="1"/>
        <v>3.178099363</v>
      </c>
    </row>
    <row r="112">
      <c r="A112" s="76">
        <v>5066.0</v>
      </c>
      <c r="B112" s="76">
        <v>0.1890993749984773</v>
      </c>
      <c r="C112" s="76">
        <v>0.1305069212903618</v>
      </c>
      <c r="D112" s="76">
        <v>0.6894260648186901</v>
      </c>
      <c r="E112" s="76">
        <v>1.0382836805583793</v>
      </c>
      <c r="F112" s="76">
        <v>1.0798598495384795</v>
      </c>
      <c r="J112" s="225">
        <f t="shared" si="1"/>
        <v>3.127175891</v>
      </c>
    </row>
    <row r="113">
      <c r="A113" s="76">
        <v>5067.0</v>
      </c>
      <c r="B113" s="76">
        <v>0.7463772685223375</v>
      </c>
      <c r="C113" s="76">
        <v>0.7530792708348599</v>
      </c>
      <c r="D113" s="76">
        <v>0.823091215272143</v>
      </c>
      <c r="E113" s="76">
        <v>1.7497992708304082</v>
      </c>
      <c r="F113" s="76">
        <v>1.791230231479858</v>
      </c>
      <c r="J113" s="225">
        <f t="shared" si="1"/>
        <v>5.863577257</v>
      </c>
    </row>
    <row r="114">
      <c r="A114" s="76">
        <v>5068.0</v>
      </c>
      <c r="B114" s="76">
        <v>0.747604131945991</v>
      </c>
      <c r="C114" s="76">
        <v>0.7544029629571014</v>
      </c>
      <c r="D114" s="76">
        <v>0.8244763657348813</v>
      </c>
      <c r="E114" s="76">
        <v>1.7511584722305997</v>
      </c>
      <c r="F114" s="76">
        <v>1.7926028009242145</v>
      </c>
      <c r="J114" s="225">
        <f t="shared" si="1"/>
        <v>5.870244734</v>
      </c>
    </row>
    <row r="115">
      <c r="A115" s="76">
        <v>5069.0</v>
      </c>
      <c r="B115" s="76">
        <v>0.12357707175397081</v>
      </c>
      <c r="C115" s="76">
        <v>0.13023374999465887</v>
      </c>
      <c r="D115" s="76">
        <v>0.23435939814226003</v>
      </c>
      <c r="E115" s="76">
        <v>1.2332811574087827</v>
      </c>
      <c r="F115" s="76">
        <v>1.096017511568789</v>
      </c>
      <c r="J115" s="225">
        <f t="shared" si="1"/>
        <v>2.817468889</v>
      </c>
    </row>
    <row r="116">
      <c r="A116" s="76">
        <v>5070.0</v>
      </c>
      <c r="B116" s="76">
        <v>0.12980990739742992</v>
      </c>
      <c r="C116" s="76">
        <v>0.13644533563638106</v>
      </c>
      <c r="D116" s="76">
        <v>0.24056092592218192</v>
      </c>
      <c r="E116" s="76">
        <v>1.2395311574073276</v>
      </c>
      <c r="F116" s="76">
        <v>1.1069308449077653</v>
      </c>
      <c r="J116" s="225">
        <f t="shared" si="1"/>
        <v>2.853278171</v>
      </c>
    </row>
    <row r="117">
      <c r="A117" s="76">
        <v>5071.0</v>
      </c>
      <c r="B117" s="76">
        <v>0.13360842592373956</v>
      </c>
      <c r="C117" s="76">
        <v>0.14025042823777767</v>
      </c>
      <c r="D117" s="76">
        <v>0.10763489583041519</v>
      </c>
      <c r="E117" s="76">
        <v>1.2436909490716062</v>
      </c>
      <c r="F117" s="76">
        <v>1.1110764351760736</v>
      </c>
      <c r="J117" s="225">
        <f t="shared" si="1"/>
        <v>2.736261134</v>
      </c>
    </row>
    <row r="118">
      <c r="A118" s="76">
        <v>5072.0</v>
      </c>
      <c r="B118" s="76">
        <v>0.1661318518454209</v>
      </c>
      <c r="C118" s="76">
        <v>0.17253489582799375</v>
      </c>
      <c r="D118" s="76">
        <v>0.16938560184644302</v>
      </c>
      <c r="E118" s="76">
        <v>1.1313847222190816</v>
      </c>
      <c r="F118" s="76">
        <v>2.756343067121634</v>
      </c>
      <c r="J118" s="225">
        <f t="shared" si="1"/>
        <v>4.395780139</v>
      </c>
    </row>
    <row r="119">
      <c r="A119" s="76">
        <v>5073.0</v>
      </c>
      <c r="B119" s="76">
        <v>0.07161015045858221</v>
      </c>
      <c r="C119" s="76">
        <v>0.07830270833801478</v>
      </c>
      <c r="D119" s="76">
        <v>0.7861280555516714</v>
      </c>
      <c r="E119" s="76">
        <v>2.747974780089862</v>
      </c>
      <c r="F119" s="76">
        <v>2.789618217590032</v>
      </c>
      <c r="J119" s="225">
        <f t="shared" si="1"/>
        <v>6.473633912</v>
      </c>
    </row>
    <row r="120">
      <c r="A120" s="76">
        <v>5074.0</v>
      </c>
      <c r="B120" s="76">
        <v>0.13070989583502524</v>
      </c>
      <c r="C120" s="76">
        <v>0.1376081712951418</v>
      </c>
      <c r="D120" s="76">
        <v>0.8028543287073262</v>
      </c>
      <c r="E120" s="76">
        <v>2.8026223958368064</v>
      </c>
      <c r="F120" s="76">
        <v>2.8442522685218137</v>
      </c>
      <c r="J120" s="225">
        <f t="shared" si="1"/>
        <v>6.71804706</v>
      </c>
    </row>
    <row r="121">
      <c r="A121" s="76">
        <v>5075.0</v>
      </c>
      <c r="B121" s="76">
        <v>1.8074542476824718</v>
      </c>
      <c r="C121" s="76">
        <v>1.8141876273148227</v>
      </c>
      <c r="D121" s="76">
        <v>1.882133298611734</v>
      </c>
      <c r="E121" s="76">
        <v>1.1591636921293684</v>
      </c>
      <c r="F121" s="76">
        <v>1.2008018865744816</v>
      </c>
      <c r="J121" s="225">
        <f t="shared" si="1"/>
        <v>7.863740752</v>
      </c>
    </row>
    <row r="122">
      <c r="A122" s="76">
        <v>5076.0</v>
      </c>
      <c r="B122" s="76">
        <v>0.15912321759242332</v>
      </c>
      <c r="C122" s="76">
        <v>0.166024953701708</v>
      </c>
      <c r="D122" s="76">
        <v>0.27010962962231133</v>
      </c>
      <c r="E122" s="76">
        <v>0.9960260879597627</v>
      </c>
      <c r="F122" s="76">
        <v>1.03766315971734</v>
      </c>
      <c r="J122" s="225">
        <f t="shared" si="1"/>
        <v>2.628947049</v>
      </c>
    </row>
    <row r="123">
      <c r="A123" s="76">
        <v>5077.0</v>
      </c>
      <c r="B123" s="76">
        <v>0.15434377314522862</v>
      </c>
      <c r="C123" s="76">
        <v>0.7788639351783786</v>
      </c>
      <c r="D123" s="76">
        <v>0.7934642013860866</v>
      </c>
      <c r="E123" s="76">
        <v>1.0705686111105024</v>
      </c>
      <c r="F123" s="76">
        <v>1.1122090393473627</v>
      </c>
      <c r="J123" s="225">
        <f t="shared" si="1"/>
        <v>3.90944956</v>
      </c>
    </row>
    <row r="124">
      <c r="A124" s="76">
        <v>5078.0</v>
      </c>
      <c r="B124" s="76">
        <v>0.7252191435181885</v>
      </c>
      <c r="C124" s="76">
        <v>0.7317951851873659</v>
      </c>
      <c r="D124" s="76">
        <v>0.8357903703727061</v>
      </c>
      <c r="E124" s="76">
        <v>1.038603692126344</v>
      </c>
      <c r="F124" s="76">
        <v>1.0799980671217781</v>
      </c>
      <c r="J124" s="225">
        <f t="shared" si="1"/>
        <v>4.411406458</v>
      </c>
    </row>
    <row r="125">
      <c r="A125" s="76">
        <v>5079.0</v>
      </c>
      <c r="B125" s="76">
        <v>0.725836249999702</v>
      </c>
      <c r="C125" s="76">
        <v>0.7324526273223455</v>
      </c>
      <c r="D125" s="76">
        <v>0.836464606487425</v>
      </c>
      <c r="E125" s="76">
        <v>1.1133117939825752</v>
      </c>
      <c r="F125" s="76">
        <v>1.1549206365743885</v>
      </c>
      <c r="J125" s="225">
        <f t="shared" si="1"/>
        <v>4.562985914</v>
      </c>
    </row>
    <row r="126">
      <c r="A126" s="76">
        <v>5080.0</v>
      </c>
      <c r="B126" s="76">
        <v>0.7272037500006263</v>
      </c>
      <c r="C126" s="76">
        <v>0.7338201041711727</v>
      </c>
      <c r="D126" s="76">
        <v>0.8378244097184506</v>
      </c>
      <c r="E126" s="76">
        <v>1.1146770023187855</v>
      </c>
      <c r="F126" s="76">
        <v>1.1562985648197355</v>
      </c>
      <c r="J126" s="225">
        <f t="shared" si="1"/>
        <v>4.569823831</v>
      </c>
    </row>
    <row r="127">
      <c r="A127" s="76">
        <v>5081.0</v>
      </c>
      <c r="B127" s="76">
        <v>0.15465304397366708</v>
      </c>
      <c r="C127" s="76">
        <v>0.16151150462974329</v>
      </c>
      <c r="D127" s="76">
        <v>0.26564310184767237</v>
      </c>
      <c r="E127" s="76">
        <v>1.1380450115757412</v>
      </c>
      <c r="F127" s="76">
        <v>1.1172852546224021</v>
      </c>
      <c r="J127" s="225">
        <f t="shared" si="1"/>
        <v>2.837137917</v>
      </c>
    </row>
    <row r="128">
      <c r="A128" s="76">
        <v>5082.0</v>
      </c>
      <c r="B128" s="76">
        <v>0.15670840277743991</v>
      </c>
      <c r="C128" s="76">
        <v>0.0366385069428361</v>
      </c>
      <c r="D128" s="76">
        <v>0.14072453703556675</v>
      </c>
      <c r="E128" s="76">
        <v>1.141108194446133</v>
      </c>
      <c r="F128" s="76">
        <v>0.17128913194028428</v>
      </c>
      <c r="J128" s="225">
        <f t="shared" si="1"/>
        <v>1.646468773</v>
      </c>
    </row>
    <row r="129">
      <c r="A129" s="76">
        <v>5083.0</v>
      </c>
      <c r="B129" s="76">
        <v>0.11869480324094184</v>
      </c>
      <c r="C129" s="76">
        <v>0.12554969907796476</v>
      </c>
      <c r="D129" s="76">
        <v>0.2296594907384133</v>
      </c>
      <c r="E129" s="76">
        <v>1.1723368171296897</v>
      </c>
      <c r="F129" s="76">
        <v>1.137716203702439</v>
      </c>
      <c r="J129" s="225">
        <f t="shared" si="1"/>
        <v>2.783957014</v>
      </c>
    </row>
    <row r="130">
      <c r="A130" s="76">
        <v>5084.0</v>
      </c>
      <c r="B130" s="76">
        <v>0.06557384259212995</v>
      </c>
      <c r="C130" s="76">
        <v>0.07274307870102348</v>
      </c>
      <c r="D130" s="76">
        <v>0.1765769675912452</v>
      </c>
      <c r="E130" s="76">
        <v>1.1764858333335724</v>
      </c>
      <c r="F130" s="76">
        <v>1.1418626620288705</v>
      </c>
      <c r="J130" s="225">
        <f t="shared" si="1"/>
        <v>2.633242384</v>
      </c>
    </row>
    <row r="131">
      <c r="A131" s="76">
        <v>5085.0</v>
      </c>
      <c r="B131" s="76">
        <v>0.1433422916670679</v>
      </c>
      <c r="C131" s="76">
        <v>0.15017943286511581</v>
      </c>
      <c r="D131" s="76">
        <v>0.25427246527397074</v>
      </c>
      <c r="E131" s="76">
        <v>1.1972992476876243</v>
      </c>
      <c r="F131" s="76">
        <v>1.746007696761808</v>
      </c>
      <c r="J131" s="225">
        <f t="shared" si="1"/>
        <v>3.491101134</v>
      </c>
    </row>
    <row r="132">
      <c r="A132" s="76">
        <v>5086.0</v>
      </c>
      <c r="B132" s="76">
        <v>0.7426247800831334</v>
      </c>
      <c r="C132" s="76">
        <v>0.7496381481469143</v>
      </c>
      <c r="D132" s="76">
        <v>0.853647777774313</v>
      </c>
      <c r="E132" s="76">
        <v>1.7972408101850306</v>
      </c>
      <c r="F132" s="76">
        <v>1.8388491087898728</v>
      </c>
      <c r="J132" s="225">
        <f t="shared" si="1"/>
        <v>5.982000625</v>
      </c>
    </row>
    <row r="133">
      <c r="A133" s="76">
        <v>5087.0</v>
      </c>
      <c r="B133" s="76">
        <v>0.7468670949165244</v>
      </c>
      <c r="C133" s="76">
        <v>0.753756585654628</v>
      </c>
      <c r="D133" s="76">
        <v>0.8578691666698433</v>
      </c>
      <c r="E133" s="76">
        <v>1.8118185300918412</v>
      </c>
      <c r="F133" s="76">
        <v>1.8533933796279598</v>
      </c>
      <c r="J133" s="225">
        <f t="shared" si="1"/>
        <v>6.023704757</v>
      </c>
    </row>
    <row r="134">
      <c r="A134" s="76">
        <v>5088.0</v>
      </c>
      <c r="B134" s="76">
        <v>0.05580297452979721</v>
      </c>
      <c r="C134" s="76">
        <v>0.0625279282394331</v>
      </c>
      <c r="D134" s="76">
        <v>0.14607614582200767</v>
      </c>
      <c r="E134" s="76">
        <v>1.0575551504662144</v>
      </c>
      <c r="F134" s="76">
        <v>1.098287118053122</v>
      </c>
      <c r="J134" s="225">
        <f t="shared" si="1"/>
        <v>2.420249317</v>
      </c>
    </row>
    <row r="135">
      <c r="A135" s="76">
        <v>5089.0</v>
      </c>
      <c r="B135" s="76">
        <v>0.07974856480723247</v>
      </c>
      <c r="C135" s="76">
        <v>0.08644604166329373</v>
      </c>
      <c r="D135" s="76">
        <v>0.17002493055042578</v>
      </c>
      <c r="E135" s="76">
        <v>1.0818404398160055</v>
      </c>
      <c r="F135" s="76">
        <v>1.7059033101832028</v>
      </c>
      <c r="J135" s="225">
        <f t="shared" si="1"/>
        <v>3.123963287</v>
      </c>
    </row>
    <row r="136">
      <c r="A136" s="76">
        <v>5090.0</v>
      </c>
      <c r="B136" s="76">
        <v>0.7364522106508957</v>
      </c>
      <c r="C136" s="76">
        <v>0.7434942129621049</v>
      </c>
      <c r="D136" s="76">
        <v>0.8471124652787694</v>
      </c>
      <c r="E136" s="76">
        <v>1.1590846180552035</v>
      </c>
      <c r="F136" s="76">
        <v>1.2006511458312161</v>
      </c>
      <c r="J136" s="225">
        <f t="shared" si="1"/>
        <v>4.686794653</v>
      </c>
    </row>
    <row r="137">
      <c r="A137" s="76">
        <v>5091.0</v>
      </c>
      <c r="B137" s="76">
        <v>0.7453545486132498</v>
      </c>
      <c r="C137" s="76">
        <v>0.7522318750052364</v>
      </c>
      <c r="D137" s="76">
        <v>0.856122800927551</v>
      </c>
      <c r="E137" s="76">
        <v>1.8334895370426239</v>
      </c>
      <c r="F137" s="76">
        <v>1.856499594905472</v>
      </c>
      <c r="J137" s="225">
        <f t="shared" si="1"/>
        <v>6.043698356</v>
      </c>
    </row>
    <row r="138">
      <c r="A138" s="76">
        <v>5092.0</v>
      </c>
      <c r="B138" s="76">
        <v>0.7459266782461782</v>
      </c>
      <c r="C138" s="76">
        <v>0.7527990972303087</v>
      </c>
      <c r="D138" s="76">
        <v>0.856797800930508</v>
      </c>
      <c r="E138" s="76">
        <v>1.8156192592650768</v>
      </c>
      <c r="F138" s="76">
        <v>1.8572360763937468</v>
      </c>
      <c r="J138" s="225">
        <f t="shared" si="1"/>
        <v>6.028378912</v>
      </c>
    </row>
    <row r="139">
      <c r="A139" s="76">
        <v>5093.0</v>
      </c>
      <c r="B139" s="76">
        <v>0.05831288193439832</v>
      </c>
      <c r="C139" s="76">
        <v>0.06467751156742452</v>
      </c>
      <c r="D139" s="76">
        <v>0.1687763425798039</v>
      </c>
      <c r="E139" s="76">
        <v>1.0629667245302699</v>
      </c>
      <c r="F139" s="76">
        <v>1.6878723379559233</v>
      </c>
      <c r="J139" s="225">
        <f t="shared" si="1"/>
        <v>3.042605799</v>
      </c>
    </row>
    <row r="140">
      <c r="A140" s="76">
        <v>5094.0</v>
      </c>
      <c r="B140" s="76">
        <v>0.09286881944717607</v>
      </c>
      <c r="C140" s="76">
        <v>0.09924824074550997</v>
      </c>
      <c r="D140" s="76">
        <v>0.8070591898067505</v>
      </c>
      <c r="E140" s="76">
        <v>0.9927785416584811</v>
      </c>
      <c r="F140" s="76">
        <v>1.0344232754578115</v>
      </c>
      <c r="J140" s="225">
        <f t="shared" si="1"/>
        <v>3.026378067</v>
      </c>
    </row>
    <row r="141">
      <c r="A141" s="76">
        <v>5095.0</v>
      </c>
      <c r="B141" s="76">
        <v>0.16648824074218282</v>
      </c>
      <c r="C141" s="76">
        <v>0.17338138888590038</v>
      </c>
      <c r="D141" s="76">
        <v>0.881186469909153</v>
      </c>
      <c r="E141" s="76">
        <v>1.7761296527751256</v>
      </c>
      <c r="F141" s="76">
        <v>0.7686297569380258</v>
      </c>
      <c r="J141" s="225">
        <f t="shared" si="1"/>
        <v>3.765815509</v>
      </c>
    </row>
    <row r="142">
      <c r="A142" s="76">
        <v>5096.0</v>
      </c>
      <c r="B142" s="76">
        <v>0.1251009722109302</v>
      </c>
      <c r="C142" s="76">
        <v>0.13182226851495216</v>
      </c>
      <c r="D142" s="76">
        <v>0.8381644097244134</v>
      </c>
      <c r="E142" s="76">
        <v>1.7706255555531243</v>
      </c>
      <c r="F142" s="76">
        <v>1.8121863425913034</v>
      </c>
      <c r="J142" s="225">
        <f t="shared" si="1"/>
        <v>4.677899549</v>
      </c>
    </row>
    <row r="143">
      <c r="A143" s="76">
        <v>5097.0</v>
      </c>
      <c r="B143" s="76">
        <v>0.13591107638785616</v>
      </c>
      <c r="C143" s="76">
        <v>0.14257206018373836</v>
      </c>
      <c r="D143" s="76">
        <v>0.7825924074059003</v>
      </c>
      <c r="E143" s="76">
        <v>2.7823099652741803</v>
      </c>
      <c r="F143" s="76">
        <v>2.8239007523079636</v>
      </c>
      <c r="J143" s="225">
        <f t="shared" si="1"/>
        <v>6.667286262</v>
      </c>
    </row>
    <row r="144">
      <c r="A144" s="76">
        <v>5098.0</v>
      </c>
      <c r="B144" s="76">
        <v>0.7249798611082952</v>
      </c>
      <c r="C144" s="76">
        <v>0.7317223032441689</v>
      </c>
      <c r="D144" s="76">
        <v>0.8357976620391128</v>
      </c>
      <c r="E144" s="76">
        <v>1.8357107870324398</v>
      </c>
      <c r="F144" s="76">
        <v>1.8641080092493212</v>
      </c>
      <c r="J144" s="225">
        <f t="shared" si="1"/>
        <v>5.992318623</v>
      </c>
    </row>
    <row r="145">
      <c r="A145" s="76">
        <v>5099.0</v>
      </c>
      <c r="B145" s="76">
        <v>0.7256493865788798</v>
      </c>
      <c r="C145" s="76">
        <v>0.7323856134316884</v>
      </c>
      <c r="D145" s="76">
        <v>0.836471319438715</v>
      </c>
      <c r="E145" s="76">
        <v>1.836384444446594</v>
      </c>
      <c r="F145" s="76">
        <v>1.864787592588982</v>
      </c>
      <c r="J145" s="225">
        <f t="shared" si="1"/>
        <v>5.995678356</v>
      </c>
    </row>
    <row r="146">
      <c r="A146" s="76">
        <v>5100.0</v>
      </c>
      <c r="B146" s="76">
        <v>0.6538641087900032</v>
      </c>
      <c r="C146" s="76">
        <v>0.6600703819422051</v>
      </c>
      <c r="D146" s="76">
        <v>0.7642081365702325</v>
      </c>
      <c r="E146" s="76">
        <v>1.7630087731449748</v>
      </c>
      <c r="F146" s="76">
        <v>1.1594295138784219</v>
      </c>
      <c r="J146" s="225">
        <f t="shared" si="1"/>
        <v>5.000580914</v>
      </c>
    </row>
    <row r="147">
      <c r="A147" s="76">
        <v>5101.0</v>
      </c>
      <c r="B147" s="76">
        <v>0.11248138888186077</v>
      </c>
      <c r="C147" s="76">
        <v>0.11932263888593297</v>
      </c>
      <c r="D147" s="76">
        <v>0.8271499999973457</v>
      </c>
      <c r="E147" s="76">
        <v>0.9272645486125839</v>
      </c>
      <c r="F147" s="76">
        <v>0.9688957754551666</v>
      </c>
      <c r="J147" s="225">
        <f t="shared" si="1"/>
        <v>2.955114352</v>
      </c>
    </row>
    <row r="148">
      <c r="A148" s="76">
        <v>5102.0</v>
      </c>
      <c r="B148" s="76">
        <v>0.15731109953048872</v>
      </c>
      <c r="C148" s="76">
        <v>0.16175217592535773</v>
      </c>
      <c r="D148" s="76">
        <v>0.24561071758944308</v>
      </c>
      <c r="E148" s="76">
        <v>0.3233742129668826</v>
      </c>
      <c r="F148" s="76">
        <v>0.364997673612379</v>
      </c>
      <c r="J148" s="225">
        <f t="shared" si="1"/>
        <v>1.25304588</v>
      </c>
    </row>
    <row r="149">
      <c r="A149" s="76">
        <v>5103.0</v>
      </c>
      <c r="B149" s="76">
        <v>0.152883159724297</v>
      </c>
      <c r="C149" s="76">
        <v>0.15977785879658768</v>
      </c>
      <c r="D149" s="76">
        <v>0.26389663193549495</v>
      </c>
      <c r="E149" s="76">
        <v>1.1792657986152335</v>
      </c>
      <c r="F149" s="76">
        <v>1.2208100115749403</v>
      </c>
      <c r="J149" s="225">
        <f t="shared" si="1"/>
        <v>2.976633461</v>
      </c>
    </row>
    <row r="150">
      <c r="A150" s="76">
        <v>5104.0</v>
      </c>
      <c r="B150" s="76">
        <v>0.13068483795359498</v>
      </c>
      <c r="C150" s="76">
        <v>0.13730114582722308</v>
      </c>
      <c r="D150" s="76">
        <v>0.09865315972274402</v>
      </c>
      <c r="E150" s="76">
        <v>0.9369097222224809</v>
      </c>
      <c r="F150" s="76">
        <v>1.0527611111028818</v>
      </c>
      <c r="J150" s="225">
        <f t="shared" si="1"/>
        <v>2.356309977</v>
      </c>
    </row>
    <row r="151">
      <c r="A151" s="76">
        <v>5105.0</v>
      </c>
      <c r="B151" s="76">
        <v>0.12912067129218485</v>
      </c>
      <c r="C151" s="76">
        <v>0.13589189814956626</v>
      </c>
      <c r="D151" s="76">
        <v>0.24001912036328577</v>
      </c>
      <c r="E151" s="76">
        <v>1.0726086921349633</v>
      </c>
      <c r="F151" s="76">
        <v>1.1138993402782944</v>
      </c>
      <c r="J151" s="225">
        <f t="shared" si="1"/>
        <v>2.691539722</v>
      </c>
    </row>
    <row r="152">
      <c r="A152" s="76">
        <v>5106.0</v>
      </c>
      <c r="B152" s="76">
        <v>0.13292444444232387</v>
      </c>
      <c r="C152" s="76">
        <v>0.13976425925648073</v>
      </c>
      <c r="D152" s="76">
        <v>0.8476778124968405</v>
      </c>
      <c r="E152" s="76">
        <v>0.02711730323790107</v>
      </c>
      <c r="F152" s="76">
        <v>0.015484166659007315</v>
      </c>
      <c r="J152" s="225">
        <f t="shared" si="1"/>
        <v>1.162967986</v>
      </c>
    </row>
    <row r="153">
      <c r="A153" s="76">
        <v>5107.0</v>
      </c>
      <c r="B153" s="76">
        <v>0.13503890045831213</v>
      </c>
      <c r="C153" s="76">
        <v>0.14191849536291556</v>
      </c>
      <c r="D153" s="76">
        <v>0.8497450694412692</v>
      </c>
      <c r="E153" s="76">
        <v>0.029171643509471323</v>
      </c>
      <c r="F153" s="76">
        <v>0.01755847221647855</v>
      </c>
      <c r="J153" s="225">
        <f t="shared" si="1"/>
        <v>1.173432581</v>
      </c>
    </row>
    <row r="154">
      <c r="A154" s="76">
        <v>5108.0</v>
      </c>
      <c r="B154" s="76">
        <v>0.06463296295987675</v>
      </c>
      <c r="C154" s="76">
        <v>0.07146086805732921</v>
      </c>
      <c r="D154" s="76">
        <v>0.17557614582619863</v>
      </c>
      <c r="E154" s="76">
        <v>0.9708780787041178</v>
      </c>
      <c r="F154" s="76">
        <v>0.9663361458369764</v>
      </c>
      <c r="J154" s="225">
        <f t="shared" si="1"/>
        <v>2.248884201</v>
      </c>
    </row>
    <row r="155">
      <c r="A155" s="76">
        <v>5109.0</v>
      </c>
      <c r="B155" s="76">
        <v>0.06602932870009681</v>
      </c>
      <c r="C155" s="76">
        <v>0.07290883101813961</v>
      </c>
      <c r="D155" s="76">
        <v>0.17698815972107695</v>
      </c>
      <c r="E155" s="76">
        <v>0.9722898148102104</v>
      </c>
      <c r="F155" s="76">
        <v>0.9676531828663428</v>
      </c>
      <c r="J155" s="225">
        <f t="shared" si="1"/>
        <v>2.255869317</v>
      </c>
    </row>
    <row r="156">
      <c r="A156" s="76">
        <v>5110.0</v>
      </c>
      <c r="B156" s="76">
        <v>0.7441308912093518</v>
      </c>
      <c r="C156" s="76">
        <v>0.750923101855733</v>
      </c>
      <c r="D156" s="76">
        <v>0.7508353356461157</v>
      </c>
      <c r="E156" s="76">
        <v>1.1213549305612105</v>
      </c>
      <c r="F156" s="76">
        <v>1.162624016200425</v>
      </c>
      <c r="J156" s="225">
        <f t="shared" si="1"/>
        <v>4.529868275</v>
      </c>
    </row>
    <row r="157">
      <c r="A157" s="76">
        <v>5111.0</v>
      </c>
      <c r="B157" s="76">
        <v>0.732176064811938</v>
      </c>
      <c r="C157" s="76">
        <v>0.739080682869826</v>
      </c>
      <c r="D157" s="76">
        <v>0.8432136342526064</v>
      </c>
      <c r="E157" s="76">
        <v>1.213434074066754</v>
      </c>
      <c r="F157" s="76">
        <v>0.24783745370223187</v>
      </c>
      <c r="J157" s="225">
        <f t="shared" si="1"/>
        <v>3.77574191</v>
      </c>
    </row>
    <row r="158">
      <c r="A158" s="76">
        <v>5112.0</v>
      </c>
      <c r="B158" s="76">
        <v>0.6988475000034668</v>
      </c>
      <c r="C158" s="76">
        <v>0.7057141782424878</v>
      </c>
      <c r="D158" s="76">
        <v>0.8098460416658781</v>
      </c>
      <c r="E158" s="76">
        <v>0.9599403125030221</v>
      </c>
      <c r="F158" s="76">
        <v>0.1773720717537799</v>
      </c>
      <c r="J158" s="225">
        <f t="shared" si="1"/>
        <v>3.351720104</v>
      </c>
    </row>
    <row r="159">
      <c r="A159" s="76">
        <v>5113.0</v>
      </c>
      <c r="B159" s="76">
        <v>0.0738299999939045</v>
      </c>
      <c r="C159" s="76">
        <v>0.08068542823457392</v>
      </c>
      <c r="D159" s="76">
        <v>0.18479135416419012</v>
      </c>
      <c r="E159" s="76">
        <v>1.131311666671536</v>
      </c>
      <c r="F159" s="76">
        <v>1.1729584143540706</v>
      </c>
      <c r="J159" s="225">
        <f t="shared" si="1"/>
        <v>2.643576863</v>
      </c>
    </row>
    <row r="160">
      <c r="A160" s="76">
        <v>5114.0</v>
      </c>
      <c r="B160" s="76">
        <v>0.06566545139503432</v>
      </c>
      <c r="C160" s="76">
        <v>0.07280167824501405</v>
      </c>
      <c r="D160" s="76">
        <v>0.17686282407521503</v>
      </c>
      <c r="E160" s="76">
        <v>0.949566493050952</v>
      </c>
      <c r="F160" s="76">
        <v>0.24384297453798354</v>
      </c>
      <c r="J160" s="225">
        <f t="shared" si="1"/>
        <v>1.508739421</v>
      </c>
    </row>
    <row r="161">
      <c r="A161" s="76">
        <v>5115.0</v>
      </c>
      <c r="B161" s="76">
        <v>0.13243103009153856</v>
      </c>
      <c r="C161" s="76">
        <v>0.1480725694418652</v>
      </c>
      <c r="D161" s="76">
        <v>0.25217290509317536</v>
      </c>
      <c r="E161" s="76">
        <v>1.0162938773137284</v>
      </c>
      <c r="F161" s="76">
        <v>1.6411164814853691</v>
      </c>
      <c r="J161" s="225">
        <f t="shared" si="1"/>
        <v>3.190086863</v>
      </c>
    </row>
    <row r="162">
      <c r="A162" s="76">
        <v>5116.0</v>
      </c>
      <c r="B162" s="76">
        <v>0.13576084491069196</v>
      </c>
      <c r="C162" s="76">
        <v>0.15152747685351642</v>
      </c>
      <c r="D162" s="76">
        <v>0.2556274768503499</v>
      </c>
      <c r="E162" s="76">
        <v>1.019766099532717</v>
      </c>
      <c r="F162" s="76">
        <v>1.6446586226811633</v>
      </c>
      <c r="J162" s="225">
        <f t="shared" si="1"/>
        <v>3.207340521</v>
      </c>
    </row>
    <row r="163">
      <c r="A163" s="76">
        <v>5117.0</v>
      </c>
      <c r="B163" s="76">
        <v>0.14755796295503387</v>
      </c>
      <c r="C163" s="76">
        <v>0.15443678240990266</v>
      </c>
      <c r="D163" s="76">
        <v>0.8624642361100996</v>
      </c>
      <c r="E163" s="76">
        <v>1.7155828356480924</v>
      </c>
      <c r="F163" s="76">
        <v>1.7571586226840736</v>
      </c>
      <c r="J163" s="225">
        <f t="shared" si="1"/>
        <v>4.63720044</v>
      </c>
    </row>
    <row r="164">
      <c r="A164" s="76">
        <v>5118.0</v>
      </c>
      <c r="B164" s="76">
        <v>0.15257196759193903</v>
      </c>
      <c r="C164" s="76">
        <v>0.15939157408138271</v>
      </c>
      <c r="D164" s="76">
        <v>0.8673997800869984</v>
      </c>
      <c r="E164" s="76">
        <v>1.743476018520596</v>
      </c>
      <c r="F164" s="76">
        <v>1.7851157986006</v>
      </c>
      <c r="J164" s="225">
        <f t="shared" si="1"/>
        <v>4.707955139</v>
      </c>
    </row>
    <row r="165">
      <c r="A165" s="76">
        <v>5119.0</v>
      </c>
      <c r="B165" s="76">
        <v>0.15966556713101454</v>
      </c>
      <c r="C165" s="76">
        <v>0.16642119212338002</v>
      </c>
      <c r="D165" s="76">
        <v>0.2705622916619177</v>
      </c>
      <c r="E165" s="76">
        <v>0.3801417823997326</v>
      </c>
      <c r="F165" s="76">
        <v>2.0051149421269656</v>
      </c>
      <c r="J165" s="225">
        <f t="shared" si="1"/>
        <v>2.981905775</v>
      </c>
    </row>
    <row r="166">
      <c r="A166" s="76">
        <v>5120.0</v>
      </c>
      <c r="B166" s="76">
        <v>0.16119273147342028</v>
      </c>
      <c r="C166" s="76">
        <v>0.16802718749386258</v>
      </c>
      <c r="D166" s="76">
        <v>0.2721675231368863</v>
      </c>
      <c r="E166" s="76">
        <v>0.38912413194339024</v>
      </c>
      <c r="F166" s="76">
        <v>2.014087453702814</v>
      </c>
      <c r="J166" s="225">
        <f t="shared" si="1"/>
        <v>3.004599028</v>
      </c>
    </row>
    <row r="167">
      <c r="A167" s="76">
        <v>5121.0</v>
      </c>
      <c r="B167" s="76">
        <v>0.16338226851803483</v>
      </c>
      <c r="C167" s="76">
        <v>0.15180087963381084</v>
      </c>
      <c r="D167" s="76">
        <v>0.2558778703751159</v>
      </c>
      <c r="E167" s="76">
        <v>0.39219809027417796</v>
      </c>
      <c r="F167" s="76">
        <v>1.7059056828657049</v>
      </c>
      <c r="J167" s="225">
        <f t="shared" si="1"/>
        <v>2.669164792</v>
      </c>
    </row>
    <row r="168">
      <c r="A168" s="76">
        <v>5122.0</v>
      </c>
      <c r="B168" s="76">
        <v>0.16170209491247078</v>
      </c>
      <c r="C168" s="76">
        <v>0.1684465509315487</v>
      </c>
      <c r="D168" s="76">
        <v>0.27238375000160886</v>
      </c>
      <c r="E168" s="76">
        <v>0.40814377314382</v>
      </c>
      <c r="F168" s="76">
        <v>1.7219007638850599</v>
      </c>
      <c r="J168" s="225">
        <f t="shared" si="1"/>
        <v>2.732576933</v>
      </c>
    </row>
    <row r="169">
      <c r="A169" s="76">
        <v>5123.0</v>
      </c>
      <c r="B169" s="76">
        <v>0.14134374999412103</v>
      </c>
      <c r="C169" s="76">
        <v>0.14824171295913402</v>
      </c>
      <c r="D169" s="76">
        <v>0.25236934026906965</v>
      </c>
      <c r="E169" s="76">
        <v>0.01830498842173256</v>
      </c>
      <c r="F169" s="76">
        <v>0.02323432869889075</v>
      </c>
      <c r="J169" s="225">
        <f t="shared" si="1"/>
        <v>0.5834941203</v>
      </c>
    </row>
    <row r="170">
      <c r="A170" s="76">
        <v>5124.0</v>
      </c>
      <c r="B170" s="76">
        <v>0.08815347222116543</v>
      </c>
      <c r="C170" s="76">
        <v>0.09500364583072951</v>
      </c>
      <c r="D170" s="76">
        <v>0.19903192129277159</v>
      </c>
      <c r="E170" s="76">
        <v>1.0472692361072404</v>
      </c>
      <c r="F170" s="76">
        <v>1.6722419675934361</v>
      </c>
      <c r="J170" s="225">
        <f t="shared" si="1"/>
        <v>3.101700243</v>
      </c>
    </row>
    <row r="171">
      <c r="A171" s="76">
        <v>5125.0</v>
      </c>
      <c r="B171" s="76">
        <v>0.7282654050941346</v>
      </c>
      <c r="C171" s="76">
        <v>0.7349783333411324</v>
      </c>
      <c r="D171" s="76">
        <v>0.839038125006482</v>
      </c>
      <c r="E171" s="76">
        <v>1.1776019675962743</v>
      </c>
      <c r="F171" s="76">
        <v>1.0363265856503858</v>
      </c>
      <c r="J171" s="225">
        <f t="shared" si="1"/>
        <v>4.516210417</v>
      </c>
    </row>
    <row r="172">
      <c r="A172" s="76">
        <v>5126.0</v>
      </c>
      <c r="B172" s="76">
        <v>0.7289336805552011</v>
      </c>
      <c r="C172" s="76">
        <v>0.7356515624996973</v>
      </c>
      <c r="D172" s="76">
        <v>0.8397138194486615</v>
      </c>
      <c r="E172" s="76">
        <v>1.1782808101852424</v>
      </c>
      <c r="F172" s="76">
        <v>1.0369842129584868</v>
      </c>
      <c r="J172" s="225">
        <f t="shared" si="1"/>
        <v>4.519564086</v>
      </c>
    </row>
    <row r="173">
      <c r="A173" s="76">
        <v>5127.0</v>
      </c>
      <c r="B173" s="76">
        <v>0.15961747685651062</v>
      </c>
      <c r="C173" s="76">
        <v>0.16644797453773208</v>
      </c>
      <c r="D173" s="76">
        <v>0.2705376273152069</v>
      </c>
      <c r="E173" s="76">
        <v>0.36343468749691965</v>
      </c>
      <c r="F173" s="76">
        <v>0.9883460532364552</v>
      </c>
      <c r="J173" s="225">
        <f t="shared" si="1"/>
        <v>1.948383819</v>
      </c>
    </row>
    <row r="174">
      <c r="A174" s="76">
        <v>5128.0</v>
      </c>
      <c r="B174" s="76">
        <v>0.09390915508993203</v>
      </c>
      <c r="C174" s="76">
        <v>0.10079252313880716</v>
      </c>
      <c r="D174" s="76">
        <v>0.20485533563623903</v>
      </c>
      <c r="E174" s="76">
        <v>1.2040799537062412</v>
      </c>
      <c r="F174" s="76">
        <v>2.8096829976857407</v>
      </c>
      <c r="J174" s="225">
        <f t="shared" si="1"/>
        <v>4.413319965</v>
      </c>
    </row>
    <row r="175">
      <c r="A175" s="76">
        <v>5129.0</v>
      </c>
      <c r="B175" s="76">
        <v>0.16624927082739305</v>
      </c>
      <c r="C175" s="76">
        <v>0.17312656249850988</v>
      </c>
      <c r="D175" s="76">
        <v>0.8812777662096778</v>
      </c>
      <c r="E175" s="76">
        <v>2.8811074884288246</v>
      </c>
      <c r="F175" s="76">
        <v>2.735597152779519</v>
      </c>
      <c r="J175" s="225">
        <f t="shared" si="1"/>
        <v>6.837358241</v>
      </c>
    </row>
    <row r="176">
      <c r="A176" s="76">
        <v>5130.0</v>
      </c>
      <c r="B176" s="76">
        <v>0.14479119212774094</v>
      </c>
      <c r="C176" s="76">
        <v>0.1516139351806487</v>
      </c>
      <c r="D176" s="76">
        <v>0.8598471180594061</v>
      </c>
      <c r="E176" s="76">
        <v>2.723859039353556</v>
      </c>
      <c r="F176" s="76">
        <v>0.14301054397947155</v>
      </c>
      <c r="J176" s="225">
        <f t="shared" si="1"/>
        <v>4.023121829</v>
      </c>
    </row>
    <row r="177">
      <c r="A177" s="76">
        <v>5131.0</v>
      </c>
      <c r="B177" s="76">
        <v>0.6771554976876359</v>
      </c>
      <c r="C177" s="76">
        <v>0.6839759027789114</v>
      </c>
      <c r="D177" s="76">
        <v>0.7879551736114081</v>
      </c>
      <c r="E177" s="76">
        <v>1.9543546527784201</v>
      </c>
      <c r="F177" s="76">
        <v>0.1832184375016368</v>
      </c>
      <c r="J177" s="225">
        <f t="shared" si="1"/>
        <v>4.286659664</v>
      </c>
    </row>
    <row r="178">
      <c r="A178" s="76">
        <v>5132.0</v>
      </c>
      <c r="B178" s="76">
        <v>0.07987819443951594</v>
      </c>
      <c r="C178" s="76">
        <v>0.08660635416163132</v>
      </c>
      <c r="D178" s="76">
        <v>0.1907298958321917</v>
      </c>
      <c r="E178" s="76">
        <v>2.1549775115709053</v>
      </c>
      <c r="F178" s="76">
        <v>0.3407108333267388</v>
      </c>
      <c r="J178" s="225">
        <f t="shared" si="1"/>
        <v>2.852902789</v>
      </c>
    </row>
    <row r="179">
      <c r="A179" s="76">
        <v>5133.0</v>
      </c>
      <c r="B179" s="76">
        <v>0.11258813657332212</v>
      </c>
      <c r="C179" s="76">
        <v>0.11929089120530989</v>
      </c>
      <c r="D179" s="76">
        <v>0.22337585647619562</v>
      </c>
      <c r="E179" s="76">
        <v>2.187580578698544</v>
      </c>
      <c r="F179" s="76">
        <v>2.714856655089534</v>
      </c>
      <c r="J179" s="225">
        <f t="shared" si="1"/>
        <v>5.357692118</v>
      </c>
    </row>
    <row r="180">
      <c r="A180" s="76">
        <v>5134.0</v>
      </c>
      <c r="B180" s="76">
        <v>0.15454527777910698</v>
      </c>
      <c r="C180" s="76">
        <v>0.16144901620282326</v>
      </c>
      <c r="D180" s="76">
        <v>1.8694545138860121</v>
      </c>
      <c r="E180" s="76">
        <v>2.834078449071967</v>
      </c>
      <c r="F180" s="76">
        <v>2.77321593749366</v>
      </c>
      <c r="J180" s="225">
        <f t="shared" si="1"/>
        <v>7.792743194</v>
      </c>
    </row>
    <row r="181">
      <c r="A181" s="76">
        <v>5135.0</v>
      </c>
      <c r="B181" s="76">
        <v>0.15849984953092644</v>
      </c>
      <c r="C181" s="76">
        <v>0.16541488424991257</v>
      </c>
      <c r="D181" s="76">
        <v>0.8235067129644449</v>
      </c>
      <c r="E181" s="76">
        <v>1.8140234837992466</v>
      </c>
      <c r="F181" s="76">
        <v>1.8556570717555587</v>
      </c>
      <c r="J181" s="225">
        <f t="shared" si="1"/>
        <v>4.817102002</v>
      </c>
    </row>
    <row r="182">
      <c r="A182" s="76">
        <v>5136.0</v>
      </c>
      <c r="B182" s="76">
        <v>0.7220880671229679</v>
      </c>
      <c r="C182" s="76">
        <v>0.728978773142444</v>
      </c>
      <c r="D182" s="76">
        <v>0.833278391197382</v>
      </c>
      <c r="E182" s="76">
        <v>1.7990614930604352</v>
      </c>
      <c r="F182" s="76">
        <v>1.8405208912008675</v>
      </c>
      <c r="J182" s="225">
        <f t="shared" si="1"/>
        <v>5.923927616</v>
      </c>
    </row>
    <row r="183">
      <c r="A183" s="76">
        <v>5137.0</v>
      </c>
      <c r="B183" s="76">
        <v>0.7180222222305019</v>
      </c>
      <c r="C183" s="76">
        <v>0.7249000578740379</v>
      </c>
      <c r="D183" s="76">
        <v>0.8290050347204669</v>
      </c>
      <c r="E183" s="76">
        <v>1.8288398263830459</v>
      </c>
      <c r="F183" s="76">
        <v>1.8621507523130276</v>
      </c>
      <c r="J183" s="225">
        <f t="shared" si="1"/>
        <v>5.962917894</v>
      </c>
    </row>
    <row r="184">
      <c r="A184" s="76">
        <v>5138.0</v>
      </c>
      <c r="B184" s="76">
        <v>0.15406763888313435</v>
      </c>
      <c r="C184" s="76">
        <v>0.16095550925820135</v>
      </c>
      <c r="D184" s="76">
        <v>0.2514527661987813</v>
      </c>
      <c r="E184" s="76">
        <v>1.1993834837994655</v>
      </c>
      <c r="F184" s="76">
        <v>1.2409964351900271</v>
      </c>
      <c r="J184" s="225">
        <f t="shared" si="1"/>
        <v>3.006855833</v>
      </c>
    </row>
    <row r="185">
      <c r="A185" s="76">
        <v>5139.0</v>
      </c>
      <c r="B185" s="76">
        <v>0.0828838888919563</v>
      </c>
      <c r="C185" s="76">
        <v>0.08971284722792916</v>
      </c>
      <c r="D185" s="76">
        <v>0.1938226388883777</v>
      </c>
      <c r="E185" s="76">
        <v>1.064464062503248</v>
      </c>
      <c r="F185" s="76">
        <v>0.04326655092154397</v>
      </c>
      <c r="J185" s="225">
        <f t="shared" si="1"/>
        <v>1.474149988</v>
      </c>
    </row>
    <row r="186">
      <c r="A186" s="76">
        <v>5140.0</v>
      </c>
      <c r="B186" s="76">
        <v>0.7306243402781547</v>
      </c>
      <c r="C186" s="76">
        <v>0.7374774652780616</v>
      </c>
      <c r="D186" s="76">
        <v>0.7936771874956321</v>
      </c>
      <c r="E186" s="76">
        <v>1.7936726388870738</v>
      </c>
      <c r="F186" s="76">
        <v>1.8233553703685175</v>
      </c>
      <c r="J186" s="225">
        <f t="shared" si="1"/>
        <v>5.878807002</v>
      </c>
    </row>
    <row r="187">
      <c r="A187" s="76">
        <v>5141.0</v>
      </c>
      <c r="B187" s="76">
        <v>0.4779946412090794</v>
      </c>
      <c r="C187" s="76">
        <v>0.4845446180552244</v>
      </c>
      <c r="D187" s="76">
        <v>0.05389568287500879</v>
      </c>
      <c r="E187" s="76">
        <v>1.053854733800108</v>
      </c>
      <c r="F187" s="76">
        <v>1.0954362499978743</v>
      </c>
      <c r="J187" s="225">
        <f t="shared" si="1"/>
        <v>3.165725926</v>
      </c>
    </row>
    <row r="188">
      <c r="A188" s="76">
        <v>5142.0</v>
      </c>
      <c r="B188" s="76">
        <v>0.5085235532387742</v>
      </c>
      <c r="C188" s="76">
        <v>0.5150564814830432</v>
      </c>
      <c r="D188" s="76">
        <v>0.08443100694421446</v>
      </c>
      <c r="E188" s="76">
        <v>1.084391712960496</v>
      </c>
      <c r="F188" s="76">
        <v>1.125970509252511</v>
      </c>
      <c r="J188" s="225">
        <f t="shared" si="1"/>
        <v>3.318373264</v>
      </c>
    </row>
    <row r="189">
      <c r="A189" s="76">
        <v>5143.0</v>
      </c>
      <c r="B189" s="76">
        <v>0.031527557875961065</v>
      </c>
      <c r="C189" s="76">
        <v>0.03840398148895474</v>
      </c>
      <c r="D189" s="76">
        <v>0.14253918981557945</v>
      </c>
      <c r="E189" s="76">
        <v>2.074503020841803</v>
      </c>
      <c r="F189" s="76">
        <v>2.116130578709999</v>
      </c>
      <c r="J189" s="225">
        <f t="shared" si="1"/>
        <v>4.403104329</v>
      </c>
    </row>
    <row r="190">
      <c r="A190" s="76">
        <v>5144.0</v>
      </c>
      <c r="B190" s="76">
        <v>0.03222200231539318</v>
      </c>
      <c r="C190" s="76">
        <v>-0.0055731249958625995</v>
      </c>
      <c r="D190" s="76">
        <v>0.09859354166837875</v>
      </c>
      <c r="E190" s="76">
        <v>2.075191226846073</v>
      </c>
      <c r="F190" s="76">
        <v>2.1168054629597464</v>
      </c>
      <c r="J190" s="225">
        <f t="shared" si="1"/>
        <v>4.317239109</v>
      </c>
    </row>
    <row r="191">
      <c r="A191" s="76">
        <v>5145.0</v>
      </c>
      <c r="B191" s="76">
        <v>0.15683935184642905</v>
      </c>
      <c r="C191" s="76">
        <v>0.1637200115728774</v>
      </c>
      <c r="D191" s="76">
        <v>1.871484421302739</v>
      </c>
      <c r="E191" s="76">
        <v>2.8714443981589284</v>
      </c>
      <c r="F191" s="76">
        <v>1.0949485763921984</v>
      </c>
      <c r="J191" s="225">
        <f t="shared" si="1"/>
        <v>6.158436759</v>
      </c>
    </row>
    <row r="192">
      <c r="A192" s="76">
        <v>5146.0</v>
      </c>
      <c r="B192" s="76">
        <v>0.1582660185158602</v>
      </c>
      <c r="C192" s="76">
        <v>0.16514667824230855</v>
      </c>
      <c r="D192" s="76">
        <v>1.8728663773144945</v>
      </c>
      <c r="E192" s="76">
        <v>2.8728215046357946</v>
      </c>
      <c r="F192" s="76">
        <v>1.0963305439800024</v>
      </c>
      <c r="J192" s="225">
        <f t="shared" si="1"/>
        <v>6.165431123</v>
      </c>
    </row>
    <row r="193">
      <c r="A193" s="76">
        <v>5147.0</v>
      </c>
      <c r="B193" s="76">
        <v>0.012923425922053866</v>
      </c>
      <c r="C193" s="76">
        <v>0.01978086805320345</v>
      </c>
      <c r="D193" s="76">
        <v>0.09940910879231524</v>
      </c>
      <c r="E193" s="76">
        <v>1.0993300810150686</v>
      </c>
      <c r="F193" s="76">
        <v>1.1409597800811753</v>
      </c>
      <c r="J193" s="225">
        <f t="shared" si="1"/>
        <v>2.372403264</v>
      </c>
    </row>
    <row r="194">
      <c r="A194" s="76">
        <v>5148.0</v>
      </c>
      <c r="B194" s="76">
        <v>0.008483460653224029</v>
      </c>
      <c r="C194" s="76">
        <v>0.015404756944917608</v>
      </c>
      <c r="D194" s="76">
        <v>0.07779638889041962</v>
      </c>
      <c r="E194" s="76">
        <v>1.0774532407376682</v>
      </c>
      <c r="F194" s="76">
        <v>0.17222690971539123</v>
      </c>
      <c r="J194" s="225">
        <f t="shared" si="1"/>
        <v>1.351364757</v>
      </c>
    </row>
    <row r="195">
      <c r="A195" s="76">
        <v>5149.0</v>
      </c>
      <c r="B195" s="76">
        <v>0.14710155092325294</v>
      </c>
      <c r="C195" s="76">
        <v>0.15395440972497454</v>
      </c>
      <c r="D195" s="76">
        <v>0.8617399189824937</v>
      </c>
      <c r="E195" s="76">
        <v>1.8539755324090947</v>
      </c>
      <c r="F195" s="76">
        <v>1.895594907400664</v>
      </c>
      <c r="J195" s="225">
        <f t="shared" si="1"/>
        <v>4.912366319</v>
      </c>
    </row>
    <row r="196">
      <c r="A196" s="76">
        <v>5150.0</v>
      </c>
      <c r="B196" s="76">
        <v>0.15010953703313135</v>
      </c>
      <c r="C196" s="76">
        <v>0.1569063541610376</v>
      </c>
      <c r="D196" s="76">
        <v>0.8651960069400957</v>
      </c>
      <c r="E196" s="76">
        <v>1.0109367129552993</v>
      </c>
      <c r="F196" s="76">
        <v>0.07670728008815786</v>
      </c>
      <c r="J196" s="225">
        <f t="shared" si="1"/>
        <v>2.259855891</v>
      </c>
    </row>
    <row r="197">
      <c r="A197" s="76">
        <v>5151.0</v>
      </c>
      <c r="B197" s="76">
        <v>0.014548611106874887</v>
      </c>
      <c r="C197" s="76">
        <v>0.021400462959718425</v>
      </c>
      <c r="D197" s="76">
        <v>0.042222175921779126</v>
      </c>
      <c r="E197" s="76">
        <v>1.0411658217562945</v>
      </c>
      <c r="F197" s="76">
        <v>1.08268857638177</v>
      </c>
      <c r="J197" s="225">
        <f t="shared" si="1"/>
        <v>2.202025648</v>
      </c>
    </row>
    <row r="198">
      <c r="A198" s="76">
        <v>5152.0</v>
      </c>
      <c r="B198" s="76">
        <v>0.7453692592607695</v>
      </c>
      <c r="C198" s="76">
        <v>0.7521684375024051</v>
      </c>
      <c r="D198" s="76">
        <v>0.8548812847220688</v>
      </c>
      <c r="E198" s="76">
        <v>1.7762292939805775</v>
      </c>
      <c r="F198" s="76">
        <v>1.8177930902747903</v>
      </c>
      <c r="J198" s="225">
        <f t="shared" si="1"/>
        <v>5.946441366</v>
      </c>
    </row>
    <row r="199">
      <c r="A199" s="76">
        <v>5153.0</v>
      </c>
      <c r="B199" s="76">
        <v>0.7474176967589301</v>
      </c>
      <c r="C199" s="76">
        <v>0.7542500810159254</v>
      </c>
      <c r="D199" s="76">
        <v>0.8570885879598791</v>
      </c>
      <c r="E199" s="76">
        <v>1.7783112384204287</v>
      </c>
      <c r="F199" s="76">
        <v>1.819882604162558</v>
      </c>
      <c r="J199" s="225">
        <f t="shared" si="1"/>
        <v>5.956950208</v>
      </c>
    </row>
    <row r="200">
      <c r="A200" s="76">
        <v>5154.0</v>
      </c>
      <c r="B200" s="76">
        <v>0.7340201851839083</v>
      </c>
      <c r="C200" s="76">
        <v>0.7408344097202644</v>
      </c>
      <c r="D200" s="76">
        <v>0.09779622684436617</v>
      </c>
      <c r="E200" s="76">
        <v>0.8852687152830185</v>
      </c>
      <c r="F200" s="76">
        <v>0.9267698032417684</v>
      </c>
      <c r="J200" s="225">
        <f t="shared" si="1"/>
        <v>3.38468934</v>
      </c>
    </row>
    <row r="201">
      <c r="A201" s="76">
        <v>5155.0</v>
      </c>
      <c r="B201" s="76">
        <v>0.7357548263898934</v>
      </c>
      <c r="C201" s="76">
        <v>0.7425723495398415</v>
      </c>
      <c r="D201" s="76">
        <v>0.09916699073801283</v>
      </c>
      <c r="E201" s="76">
        <v>1.0968382638893672</v>
      </c>
      <c r="F201" s="76">
        <v>0.8024645486075315</v>
      </c>
      <c r="J201" s="225">
        <f t="shared" si="1"/>
        <v>3.476796979</v>
      </c>
    </row>
    <row r="202">
      <c r="A202" s="76">
        <v>5156.0</v>
      </c>
      <c r="B202" s="76">
        <v>0.1572506134325522</v>
      </c>
      <c r="C202" s="76">
        <v>0.16412395834049676</v>
      </c>
      <c r="D202" s="76">
        <v>0.2679676736079273</v>
      </c>
      <c r="E202" s="76">
        <v>0.32706979166687233</v>
      </c>
      <c r="F202" s="76">
        <v>0.36868920138658723</v>
      </c>
      <c r="J202" s="225">
        <f t="shared" si="1"/>
        <v>1.285101238</v>
      </c>
    </row>
    <row r="203">
      <c r="A203" s="76">
        <v>5157.0</v>
      </c>
      <c r="B203" s="76">
        <v>0.1548855439759791</v>
      </c>
      <c r="C203" s="76">
        <v>0.16123978009272832</v>
      </c>
      <c r="D203" s="76">
        <v>1.8086094444515766</v>
      </c>
      <c r="E203" s="76">
        <v>1.027683553242241</v>
      </c>
      <c r="F203" s="76">
        <v>0.05815421296574641</v>
      </c>
      <c r="J203" s="225">
        <f t="shared" si="1"/>
        <v>3.210572535</v>
      </c>
    </row>
    <row r="204">
      <c r="A204" s="76">
        <v>5158.0</v>
      </c>
      <c r="B204" s="76">
        <v>0.15776447916141478</v>
      </c>
      <c r="C204" s="76">
        <v>0.16411871527816402</v>
      </c>
      <c r="D204" s="76">
        <v>1.811387222231133</v>
      </c>
      <c r="E204" s="76">
        <v>1.0304513888913789</v>
      </c>
      <c r="F204" s="76">
        <v>0.03077480324282078</v>
      </c>
      <c r="J204" s="225">
        <f t="shared" si="1"/>
        <v>3.194496609</v>
      </c>
    </row>
    <row r="205">
      <c r="A205" s="76">
        <v>5159.0</v>
      </c>
      <c r="B205" s="76">
        <v>0.15876283564284677</v>
      </c>
      <c r="C205" s="76">
        <v>0.1651191782366368</v>
      </c>
      <c r="D205" s="76">
        <v>1.812768287039944</v>
      </c>
      <c r="E205" s="76">
        <v>1.031885555559711</v>
      </c>
      <c r="F205" s="76">
        <v>0.062293263887113426</v>
      </c>
      <c r="J205" s="225">
        <f t="shared" si="1"/>
        <v>3.23082912</v>
      </c>
    </row>
    <row r="206">
      <c r="A206" s="76">
        <v>5160.0</v>
      </c>
      <c r="B206" s="76">
        <v>0.16034341434715316</v>
      </c>
      <c r="C206" s="76">
        <v>0.16671498842333676</v>
      </c>
      <c r="D206" s="76">
        <v>1.8141571759333601</v>
      </c>
      <c r="E206" s="76">
        <v>1.0331662037133356</v>
      </c>
      <c r="F206" s="76">
        <v>0.033446030094637536</v>
      </c>
      <c r="J206" s="225">
        <f t="shared" si="1"/>
        <v>3.207827813</v>
      </c>
    </row>
    <row r="207">
      <c r="A207" s="76">
        <v>5161.0</v>
      </c>
      <c r="B207" s="76">
        <v>0.16131291666533798</v>
      </c>
      <c r="C207" s="76">
        <v>0.16767422453995096</v>
      </c>
      <c r="D207" s="76">
        <v>1.8148403472223436</v>
      </c>
      <c r="E207" s="76">
        <v>1.033829351850727</v>
      </c>
      <c r="F207" s="76">
        <v>0.0643595254587126</v>
      </c>
      <c r="J207" s="225">
        <f t="shared" si="1"/>
        <v>3.242016366</v>
      </c>
    </row>
    <row r="208">
      <c r="A208" s="76">
        <v>5162.0</v>
      </c>
      <c r="B208" s="76">
        <v>0.09373565972055076</v>
      </c>
      <c r="C208" s="76">
        <v>0.10057223380135838</v>
      </c>
      <c r="D208" s="76">
        <v>0.2046598148153862</v>
      </c>
      <c r="E208" s="76">
        <v>1.2044037152736564</v>
      </c>
      <c r="F208" s="76">
        <v>1.829343773140863</v>
      </c>
      <c r="J208" s="225">
        <f t="shared" si="1"/>
        <v>3.432715197</v>
      </c>
    </row>
    <row r="209">
      <c r="A209" s="76">
        <v>5163.0</v>
      </c>
      <c r="B209" s="76">
        <v>0.7472112615796505</v>
      </c>
      <c r="C209" s="76">
        <v>0.754050347226439</v>
      </c>
      <c r="D209" s="76">
        <v>0.8572207175966469</v>
      </c>
      <c r="E209" s="76">
        <v>1.778027997686877</v>
      </c>
      <c r="F209" s="76">
        <v>1.1420811458301614</v>
      </c>
      <c r="J209" s="225">
        <f t="shared" si="1"/>
        <v>5.27859147</v>
      </c>
    </row>
    <row r="210">
      <c r="A210" s="76">
        <v>5164.0</v>
      </c>
      <c r="B210" s="76">
        <v>0.7470178819421562</v>
      </c>
      <c r="C210" s="76">
        <v>0.7538724074111087</v>
      </c>
      <c r="D210" s="76">
        <v>0.8578925694382633</v>
      </c>
      <c r="E210" s="76">
        <v>1.842526099542738</v>
      </c>
      <c r="F210" s="76">
        <v>1.820260324071569</v>
      </c>
      <c r="J210" s="225">
        <f t="shared" si="1"/>
        <v>6.021569282</v>
      </c>
    </row>
    <row r="211">
      <c r="A211" s="76">
        <v>5165.0</v>
      </c>
      <c r="B211" s="76">
        <v>0.7482037615773152</v>
      </c>
      <c r="C211" s="76">
        <v>0.7553896412064205</v>
      </c>
      <c r="D211" s="76">
        <v>0.8595928472204832</v>
      </c>
      <c r="E211" s="76">
        <v>1.7953092592651956</v>
      </c>
      <c r="F211" s="76">
        <v>1.1590363310169778</v>
      </c>
      <c r="J211" s="225">
        <f t="shared" si="1"/>
        <v>5.31753184</v>
      </c>
    </row>
    <row r="212">
      <c r="A212" s="76">
        <v>5166.0</v>
      </c>
      <c r="B212" s="76">
        <v>0.13642254628939554</v>
      </c>
      <c r="C212" s="76">
        <v>0.14329395833192393</v>
      </c>
      <c r="D212" s="76">
        <v>0.22071953702834435</v>
      </c>
      <c r="E212" s="76">
        <v>0.08818807870557066</v>
      </c>
      <c r="F212" s="76">
        <v>0.12982495369942626</v>
      </c>
      <c r="J212" s="225">
        <f t="shared" si="1"/>
        <v>0.7184490741</v>
      </c>
    </row>
    <row r="213">
      <c r="A213" s="76">
        <v>5167.0</v>
      </c>
      <c r="B213" s="76">
        <v>0.1661829166696407</v>
      </c>
      <c r="C213" s="76">
        <v>0.17306733795703622</v>
      </c>
      <c r="D213" s="76">
        <v>0.27714481481234543</v>
      </c>
      <c r="E213" s="76">
        <v>1.0920986226774403</v>
      </c>
      <c r="F213" s="76">
        <v>1.7161650578709668</v>
      </c>
      <c r="J213" s="225">
        <f t="shared" si="1"/>
        <v>3.42465875</v>
      </c>
    </row>
    <row r="214">
      <c r="A214" s="76">
        <v>5168.0</v>
      </c>
      <c r="B214" s="76">
        <v>0.0851280092538218</v>
      </c>
      <c r="C214" s="76">
        <v>0.09199377315235324</v>
      </c>
      <c r="D214" s="76">
        <v>0.19609451388532761</v>
      </c>
      <c r="E214" s="76">
        <v>0.1582807986123953</v>
      </c>
      <c r="F214" s="76">
        <v>0.005180300926440395</v>
      </c>
      <c r="J214" s="225">
        <f t="shared" si="1"/>
        <v>0.5366773958</v>
      </c>
    </row>
    <row r="215">
      <c r="A215" s="76">
        <v>5169.0</v>
      </c>
      <c r="B215" s="76">
        <v>0.1070503009177628</v>
      </c>
      <c r="C215" s="76">
        <v>0.11390811342425877</v>
      </c>
      <c r="D215" s="76">
        <v>0.822137511568144</v>
      </c>
      <c r="E215" s="76">
        <v>1.821908171288669</v>
      </c>
      <c r="F215" s="76">
        <v>1.8626703124973574</v>
      </c>
      <c r="J215" s="225">
        <f t="shared" si="1"/>
        <v>4.72767441</v>
      </c>
    </row>
    <row r="216">
      <c r="A216" s="76">
        <v>5170.0</v>
      </c>
      <c r="B216" s="76">
        <v>0.014888287034409586</v>
      </c>
      <c r="C216" s="76">
        <v>0.02177868055878207</v>
      </c>
      <c r="D216" s="76">
        <v>0.12587787037045928</v>
      </c>
      <c r="E216" s="76">
        <v>0.9343520254624309</v>
      </c>
      <c r="F216" s="76">
        <v>0.9759931828739354</v>
      </c>
      <c r="J216" s="225">
        <f t="shared" si="1"/>
        <v>2.072890046</v>
      </c>
    </row>
    <row r="217">
      <c r="A217" s="76">
        <v>5171.0</v>
      </c>
      <c r="B217" s="76">
        <v>0.031419826387718786</v>
      </c>
      <c r="C217" s="76">
        <v>0.03820638889737893</v>
      </c>
      <c r="D217" s="76">
        <v>0.14232418981555384</v>
      </c>
      <c r="E217" s="76">
        <v>0.8724661342566833</v>
      </c>
      <c r="F217" s="76">
        <v>0.9140876388773904</v>
      </c>
      <c r="J217" s="225">
        <f t="shared" si="1"/>
        <v>1.998504178</v>
      </c>
    </row>
    <row r="218">
      <c r="A218" s="76">
        <v>5172.0</v>
      </c>
      <c r="B218" s="76">
        <v>0.10555026619840646</v>
      </c>
      <c r="C218" s="76">
        <v>0.11227015045733424</v>
      </c>
      <c r="D218" s="76">
        <v>0.21625439813942648</v>
      </c>
      <c r="E218" s="76">
        <v>0.25096978009241866</v>
      </c>
      <c r="F218" s="76">
        <v>0.2925898611138109</v>
      </c>
      <c r="J218" s="225">
        <f t="shared" si="1"/>
        <v>0.977634456</v>
      </c>
    </row>
    <row r="219">
      <c r="A219" s="76">
        <v>5173.0</v>
      </c>
      <c r="B219" s="76">
        <v>0.1367618981457781</v>
      </c>
      <c r="C219" s="76">
        <v>0.14357211805327097</v>
      </c>
      <c r="D219" s="76">
        <v>0.24732914351625368</v>
      </c>
      <c r="E219" s="76">
        <v>1.1535515393479727</v>
      </c>
      <c r="F219" s="76">
        <v>1.7784630439782632</v>
      </c>
      <c r="J219" s="225">
        <f t="shared" si="1"/>
        <v>3.459677743</v>
      </c>
    </row>
    <row r="220">
      <c r="A220" s="76">
        <v>5174.0</v>
      </c>
      <c r="B220" s="76">
        <v>0.1505040740739787</v>
      </c>
      <c r="C220" s="76">
        <v>0.1573290740707307</v>
      </c>
      <c r="D220" s="76">
        <v>0.26111540508281905</v>
      </c>
      <c r="E220" s="76">
        <v>1.1667310648117564</v>
      </c>
      <c r="F220" s="76">
        <v>0.9964177314759581</v>
      </c>
      <c r="J220" s="225">
        <f t="shared" si="1"/>
        <v>2.73209735</v>
      </c>
    </row>
    <row r="221">
      <c r="A221" s="76">
        <v>5175.0</v>
      </c>
      <c r="B221" s="76">
        <v>0.15961958333355142</v>
      </c>
      <c r="C221" s="76">
        <v>0.16649708333716262</v>
      </c>
      <c r="D221" s="76">
        <v>0.2704257870282163</v>
      </c>
      <c r="E221" s="76">
        <v>0.33906951388780726</v>
      </c>
      <c r="F221" s="76">
        <v>0.964041481485765</v>
      </c>
      <c r="J221" s="225">
        <f t="shared" si="1"/>
        <v>1.899653449</v>
      </c>
    </row>
    <row r="222">
      <c r="A222" s="76">
        <v>5176.0</v>
      </c>
      <c r="B222" s="76">
        <v>0.15968471064115874</v>
      </c>
      <c r="C222" s="76">
        <v>0.16654440971615259</v>
      </c>
      <c r="D222" s="76">
        <v>0.2706575347110629</v>
      </c>
      <c r="E222" s="76">
        <v>1.1765085416627699</v>
      </c>
      <c r="F222" s="76">
        <v>1.8013606134263682</v>
      </c>
      <c r="J222" s="225">
        <f t="shared" si="1"/>
        <v>3.57475581</v>
      </c>
    </row>
    <row r="223">
      <c r="A223" s="76">
        <v>5177.0</v>
      </c>
      <c r="B223" s="76">
        <v>0.7324892129618092</v>
      </c>
      <c r="C223" s="76">
        <v>0.7392914236115757</v>
      </c>
      <c r="D223" s="76">
        <v>0.8434239236012218</v>
      </c>
      <c r="E223" s="76">
        <v>1.745542337957886</v>
      </c>
      <c r="F223" s="76">
        <v>1.1627298610983416</v>
      </c>
      <c r="J223" s="225">
        <f t="shared" si="1"/>
        <v>5.223476759</v>
      </c>
    </row>
    <row r="224">
      <c r="A224" s="76">
        <v>5178.0</v>
      </c>
      <c r="B224" s="76">
        <v>0.7338687731462414</v>
      </c>
      <c r="C224" s="76">
        <v>0.7406706944457255</v>
      </c>
      <c r="D224" s="76">
        <v>0.10016891203849809</v>
      </c>
      <c r="E224" s="76">
        <v>1.7469687962948228</v>
      </c>
      <c r="F224" s="76">
        <v>1.1641034374915762</v>
      </c>
      <c r="J224" s="225">
        <f t="shared" si="1"/>
        <v>4.485780613</v>
      </c>
    </row>
    <row r="225">
      <c r="A225" s="76">
        <v>5179.0</v>
      </c>
      <c r="B225" s="76">
        <v>0.7087878125021234</v>
      </c>
      <c r="C225" s="76">
        <v>0.7156632986079785</v>
      </c>
      <c r="D225" s="76">
        <v>0.8197990393528016</v>
      </c>
      <c r="E225" s="76">
        <v>1.7582198495365446</v>
      </c>
      <c r="F225" s="76">
        <v>1.7998572453652741</v>
      </c>
      <c r="J225" s="225">
        <f t="shared" si="1"/>
        <v>5.802327245</v>
      </c>
    </row>
    <row r="226">
      <c r="A226" s="76">
        <v>5180.0</v>
      </c>
      <c r="B226" s="76">
        <v>0.7076984259256278</v>
      </c>
      <c r="C226" s="76">
        <v>0.714508472228772</v>
      </c>
      <c r="D226" s="76">
        <v>0.8186024421302136</v>
      </c>
      <c r="E226" s="76">
        <v>1.818560752311896</v>
      </c>
      <c r="F226" s="76">
        <v>1.2355741319406661</v>
      </c>
      <c r="J226" s="225">
        <f t="shared" si="1"/>
        <v>5.294944225</v>
      </c>
    </row>
    <row r="227">
      <c r="A227" s="76">
        <v>5181.0</v>
      </c>
      <c r="B227" s="76">
        <v>0.736494918979588</v>
      </c>
      <c r="C227" s="76">
        <v>0.7433813773168367</v>
      </c>
      <c r="D227" s="76">
        <v>0.8474766898143571</v>
      </c>
      <c r="E227" s="76">
        <v>1.8473788888877607</v>
      </c>
      <c r="F227" s="76">
        <v>1.8887279050904908</v>
      </c>
      <c r="J227" s="225">
        <f t="shared" si="1"/>
        <v>6.06345978</v>
      </c>
    </row>
    <row r="228">
      <c r="A228" s="76">
        <v>5182.0</v>
      </c>
      <c r="B228" s="76">
        <v>0.0628142361092614</v>
      </c>
      <c r="C228" s="76">
        <v>0.06967804398300359</v>
      </c>
      <c r="D228" s="76">
        <v>0.17374694444151828</v>
      </c>
      <c r="E228" s="76">
        <v>0.04182376157405088</v>
      </c>
      <c r="F228" s="76">
        <v>0.08345780092349742</v>
      </c>
      <c r="J228" s="225">
        <f t="shared" si="1"/>
        <v>0.431520787</v>
      </c>
    </row>
    <row r="229">
      <c r="A229" s="76">
        <v>5183.0</v>
      </c>
      <c r="B229" s="76">
        <v>0.062033946756855585</v>
      </c>
      <c r="C229" s="76">
        <v>0.06887811342312489</v>
      </c>
      <c r="D229" s="76">
        <v>0.7767678587915725</v>
      </c>
      <c r="E229" s="76">
        <v>2.776593877315463</v>
      </c>
      <c r="F229" s="76">
        <v>2.8181999884254765</v>
      </c>
      <c r="J229" s="225">
        <f t="shared" si="1"/>
        <v>6.502473785</v>
      </c>
    </row>
    <row r="230">
      <c r="A230" s="76">
        <v>5184.0</v>
      </c>
      <c r="B230" s="76">
        <v>0.13940578703477513</v>
      </c>
      <c r="C230" s="76">
        <v>0.7637130555522162</v>
      </c>
      <c r="D230" s="76">
        <v>0.8677185069391271</v>
      </c>
      <c r="E230" s="76">
        <v>2.0973589814748266</v>
      </c>
      <c r="F230" s="76">
        <v>2.138936238421593</v>
      </c>
      <c r="J230" s="225">
        <f t="shared" si="1"/>
        <v>6.007132569</v>
      </c>
    </row>
    <row r="231">
      <c r="A231" s="76">
        <v>5185.0</v>
      </c>
      <c r="B231" s="76">
        <v>0.14108050925278803</v>
      </c>
      <c r="C231" s="76">
        <v>0.7651019444383564</v>
      </c>
      <c r="D231" s="76">
        <v>0.8691072222136427</v>
      </c>
      <c r="E231" s="76">
        <v>2.0987311805583886</v>
      </c>
      <c r="F231" s="76">
        <v>2.140325127315009</v>
      </c>
      <c r="J231" s="225">
        <f t="shared" si="1"/>
        <v>6.014345984</v>
      </c>
    </row>
    <row r="232">
      <c r="A232" s="76">
        <v>5186.0</v>
      </c>
      <c r="B232" s="76">
        <v>0.1416337615737575</v>
      </c>
      <c r="C232" s="76">
        <v>0.7657963888850645</v>
      </c>
      <c r="D232" s="76">
        <v>0.8698016666603507</v>
      </c>
      <c r="E232" s="76">
        <v>2.0660318518494023</v>
      </c>
      <c r="F232" s="76">
        <v>2.141019571754441</v>
      </c>
      <c r="J232" s="225">
        <f t="shared" si="1"/>
        <v>5.984283241</v>
      </c>
    </row>
    <row r="233">
      <c r="A233" s="76">
        <v>5187.0</v>
      </c>
      <c r="B233" s="76">
        <v>0.7285745486151427</v>
      </c>
      <c r="C233" s="76">
        <v>0.7352408333317726</v>
      </c>
      <c r="D233" s="76">
        <v>0.8392461111070588</v>
      </c>
      <c r="E233" s="76">
        <v>2.035469131937134</v>
      </c>
      <c r="F233" s="76">
        <v>2.1104559837913257</v>
      </c>
      <c r="J233" s="225">
        <f t="shared" si="1"/>
        <v>6.448986609</v>
      </c>
    </row>
    <row r="234">
      <c r="A234" s="76">
        <v>5188.0</v>
      </c>
      <c r="B234" s="76">
        <v>0.730657881947991</v>
      </c>
      <c r="C234" s="76">
        <v>0.7373104745347518</v>
      </c>
      <c r="D234" s="76">
        <v>0.8413294444399071</v>
      </c>
      <c r="E234" s="76">
        <v>2.0709354745340534</v>
      </c>
      <c r="F234" s="76">
        <v>2.112539317124174</v>
      </c>
      <c r="J234" s="225">
        <f t="shared" si="1"/>
        <v>6.492772593</v>
      </c>
    </row>
    <row r="235">
      <c r="A235" s="76">
        <v>5189.0</v>
      </c>
      <c r="B235" s="76">
        <v>0.7327412152808392</v>
      </c>
      <c r="C235" s="76">
        <v>0.7393638773137354</v>
      </c>
      <c r="D235" s="76">
        <v>0.8434127777727554</v>
      </c>
      <c r="E235" s="76">
        <v>2.039616388887225</v>
      </c>
      <c r="F235" s="76">
        <v>2.1146226504570222</v>
      </c>
      <c r="J235" s="225">
        <f t="shared" si="1"/>
        <v>6.46975691</v>
      </c>
    </row>
    <row r="236">
      <c r="A236" s="76">
        <v>5190.0</v>
      </c>
      <c r="B236" s="76">
        <v>0.739670034723531</v>
      </c>
      <c r="C236" s="76">
        <v>0.7463014930544887</v>
      </c>
      <c r="D236" s="76">
        <v>0.8503572222180082</v>
      </c>
      <c r="E236" s="76">
        <v>2.046550520833989</v>
      </c>
      <c r="F236" s="76">
        <v>2.121558946753794</v>
      </c>
      <c r="J236" s="225">
        <f t="shared" si="1"/>
        <v>6.504438218</v>
      </c>
    </row>
    <row r="237">
      <c r="A237" s="76">
        <v>5191.0</v>
      </c>
      <c r="B237" s="76">
        <v>0.7410504629588104</v>
      </c>
      <c r="C237" s="76">
        <v>0.7477098958261195</v>
      </c>
      <c r="D237" s="76">
        <v>0.8517461111041484</v>
      </c>
      <c r="E237" s="76">
        <v>2.0479335763811832</v>
      </c>
      <c r="F237" s="76">
        <v>2.122947835639934</v>
      </c>
      <c r="J237" s="225">
        <f t="shared" si="1"/>
        <v>6.511387882</v>
      </c>
    </row>
    <row r="238">
      <c r="A238" s="76">
        <v>5192.0</v>
      </c>
      <c r="B238" s="76">
        <v>0.7424306134271319</v>
      </c>
      <c r="C238" s="76">
        <v>0.7490349074141704</v>
      </c>
      <c r="D238" s="76">
        <v>0.8531086342554772</v>
      </c>
      <c r="E238" s="76">
        <v>2.049263009263086</v>
      </c>
      <c r="F238" s="76">
        <v>2.124328518511902</v>
      </c>
      <c r="J238" s="225">
        <f t="shared" si="1"/>
        <v>6.518165683</v>
      </c>
    </row>
    <row r="239">
      <c r="A239" s="76">
        <v>5193.0</v>
      </c>
      <c r="B239" s="76">
        <v>0.7149823148138239</v>
      </c>
      <c r="C239" s="76">
        <v>0.7215513888950227</v>
      </c>
      <c r="D239" s="76">
        <v>0.8132851041664253</v>
      </c>
      <c r="E239" s="76">
        <v>2.813227696758986</v>
      </c>
      <c r="F239" s="76">
        <v>2.8548604513853206</v>
      </c>
      <c r="J239" s="225">
        <f t="shared" si="1"/>
        <v>7.917906956</v>
      </c>
    </row>
    <row r="240">
      <c r="A240" s="76">
        <v>5194.0</v>
      </c>
      <c r="B240" s="76">
        <v>0.723298761578917</v>
      </c>
      <c r="C240" s="76">
        <v>0.7298330439880374</v>
      </c>
      <c r="D240" s="76">
        <v>0.8207672800926957</v>
      </c>
      <c r="E240" s="76">
        <v>2.0818578472171794</v>
      </c>
      <c r="F240" s="76">
        <v>0.18906861110008322</v>
      </c>
      <c r="J240" s="225">
        <f t="shared" si="1"/>
        <v>4.544825544</v>
      </c>
    </row>
    <row r="241">
      <c r="A241" s="76">
        <v>5195.0</v>
      </c>
      <c r="B241" s="76">
        <v>0.7315946527814958</v>
      </c>
      <c r="C241" s="76">
        <v>0.7381805092663853</v>
      </c>
      <c r="D241" s="76">
        <v>0.8290867824107409</v>
      </c>
      <c r="E241" s="76">
        <v>2.090131678240141</v>
      </c>
      <c r="F241" s="76">
        <v>0.197381412035611</v>
      </c>
      <c r="J241" s="225">
        <f t="shared" si="1"/>
        <v>4.586375035</v>
      </c>
    </row>
    <row r="242">
      <c r="A242" s="76">
        <v>5196.0</v>
      </c>
      <c r="B242" s="76">
        <v>0.09205946759175276</v>
      </c>
      <c r="C242" s="76">
        <v>0.09894232638907852</v>
      </c>
      <c r="D242" s="76">
        <v>0.20308967592427507</v>
      </c>
      <c r="E242" s="76">
        <v>2.2029903819493484</v>
      </c>
      <c r="F242" s="76">
        <v>2.244607511573122</v>
      </c>
      <c r="J242" s="225">
        <f t="shared" si="1"/>
        <v>4.841689363</v>
      </c>
    </row>
    <row r="243">
      <c r="A243" s="76">
        <v>5197.0</v>
      </c>
      <c r="B243" s="76">
        <v>1.7989589004646405</v>
      </c>
      <c r="C243" s="76">
        <v>1.8058214236079948</v>
      </c>
      <c r="D243" s="76">
        <v>1.9099000925853034</v>
      </c>
      <c r="E243" s="76">
        <v>2.897742974535504</v>
      </c>
      <c r="F243" s="76">
        <v>2.939382430551632</v>
      </c>
      <c r="J243" s="225">
        <f t="shared" si="1"/>
        <v>11.35180582</v>
      </c>
    </row>
    <row r="244">
      <c r="A244" s="76">
        <v>5198.0</v>
      </c>
      <c r="B244" s="76">
        <v>0.11890017361292848</v>
      </c>
      <c r="C244" s="76">
        <v>0.12577269675966818</v>
      </c>
      <c r="D244" s="76">
        <v>0.22991821758478181</v>
      </c>
      <c r="E244" s="76">
        <v>1.2297715277745738</v>
      </c>
      <c r="F244" s="76">
        <v>0.8174990277693723</v>
      </c>
      <c r="J244" s="225">
        <f t="shared" si="1"/>
        <v>2.521861644</v>
      </c>
    </row>
    <row r="245">
      <c r="A245" s="76">
        <v>5199.0</v>
      </c>
      <c r="B245" s="76">
        <v>0.7266747337998822</v>
      </c>
      <c r="C245" s="76">
        <v>0.7323757291669608</v>
      </c>
      <c r="D245" s="76">
        <v>0.5572048495378112</v>
      </c>
      <c r="E245" s="76">
        <v>0.05577486110269092</v>
      </c>
      <c r="F245" s="76">
        <v>0.047623611106246244</v>
      </c>
      <c r="J245" s="225">
        <f t="shared" si="1"/>
        <v>2.119653785</v>
      </c>
    </row>
    <row r="246">
      <c r="A246" s="76">
        <v>5200.0</v>
      </c>
      <c r="B246" s="76">
        <v>0.7356797338070464</v>
      </c>
      <c r="C246" s="76">
        <v>0.7414542476908537</v>
      </c>
      <c r="D246" s="76">
        <v>0.8455450000037672</v>
      </c>
      <c r="E246" s="76">
        <v>1.1292745486134663</v>
      </c>
      <c r="F246" s="76">
        <v>1.1707708796238876</v>
      </c>
      <c r="J246" s="225">
        <f t="shared" si="1"/>
        <v>4.62272441</v>
      </c>
    </row>
    <row r="247">
      <c r="A247" s="76">
        <v>5201.0</v>
      </c>
      <c r="B247" s="76">
        <v>0.7461316435219487</v>
      </c>
      <c r="C247" s="76">
        <v>0.751870914355095</v>
      </c>
      <c r="D247" s="76">
        <v>0.8559562500013271</v>
      </c>
      <c r="E247" s="76">
        <v>1.1396912152849836</v>
      </c>
      <c r="F247" s="76">
        <v>1.1811812500018277</v>
      </c>
      <c r="J247" s="225">
        <f t="shared" si="1"/>
        <v>4.674831273</v>
      </c>
    </row>
    <row r="248">
      <c r="A248" s="76">
        <v>5202.0</v>
      </c>
      <c r="B248" s="76">
        <v>0.748214976854797</v>
      </c>
      <c r="C248" s="76">
        <v>0.7539491898205597</v>
      </c>
      <c r="D248" s="76">
        <v>0.8580306712974561</v>
      </c>
      <c r="E248" s="76">
        <v>1.141767974542745</v>
      </c>
      <c r="F248" s="76">
        <v>1.183264583334676</v>
      </c>
      <c r="J248" s="225">
        <f t="shared" si="1"/>
        <v>4.685227396</v>
      </c>
    </row>
    <row r="249">
      <c r="A249" s="76">
        <v>5203.0</v>
      </c>
      <c r="B249" s="76">
        <v>0.7451760648182244</v>
      </c>
      <c r="C249" s="76">
        <v>0.7520694907434518</v>
      </c>
      <c r="D249" s="76">
        <v>0.8561976388955372</v>
      </c>
      <c r="E249" s="76">
        <v>1.1514901967675542</v>
      </c>
      <c r="F249" s="76">
        <v>1.1929799189820187</v>
      </c>
      <c r="J249" s="225">
        <f t="shared" si="1"/>
        <v>4.69791331</v>
      </c>
    </row>
    <row r="250">
      <c r="A250" s="76">
        <v>5204.0</v>
      </c>
      <c r="B250" s="76">
        <v>0.0850239699066151</v>
      </c>
      <c r="C250" s="76">
        <v>0.09189093749591848</v>
      </c>
      <c r="D250" s="76">
        <v>0.19590412036632188</v>
      </c>
      <c r="E250" s="76">
        <v>1.1958247337970533</v>
      </c>
      <c r="F250" s="76">
        <v>0.9033888773119543</v>
      </c>
      <c r="J250" s="225">
        <f t="shared" si="1"/>
        <v>2.472032639</v>
      </c>
    </row>
    <row r="251">
      <c r="A251" s="76">
        <v>5205.0</v>
      </c>
      <c r="B251" s="76">
        <v>0.08571841435332317</v>
      </c>
      <c r="C251" s="76">
        <v>0.0925651504585403</v>
      </c>
      <c r="D251" s="76">
        <v>0.19659856481302995</v>
      </c>
      <c r="E251" s="76">
        <v>1.1965191782364855</v>
      </c>
      <c r="F251" s="76">
        <v>0.23897263888648013</v>
      </c>
      <c r="J251" s="225">
        <f t="shared" si="1"/>
        <v>1.810373947</v>
      </c>
    </row>
    <row r="252">
      <c r="A252" s="76">
        <v>5206.0</v>
      </c>
      <c r="B252" s="76">
        <v>0.08709751157584833</v>
      </c>
      <c r="C252" s="76">
        <v>0.0939540393446805</v>
      </c>
      <c r="D252" s="76">
        <v>0.19797607638611225</v>
      </c>
      <c r="E252" s="76">
        <v>1.1979034490796039</v>
      </c>
      <c r="F252" s="76">
        <v>0.9054610763923847</v>
      </c>
      <c r="J252" s="225">
        <f t="shared" si="1"/>
        <v>2.482392153</v>
      </c>
    </row>
    <row r="253">
      <c r="A253" s="76">
        <v>5207.0</v>
      </c>
      <c r="B253" s="76">
        <v>0.7440502661993378</v>
      </c>
      <c r="C253" s="76">
        <v>0.7508589699064032</v>
      </c>
      <c r="D253" s="76">
        <v>0.8549988078666502</v>
      </c>
      <c r="E253" s="76">
        <v>1.7610551967663923</v>
      </c>
      <c r="F253" s="76">
        <v>1.1375762615716667</v>
      </c>
      <c r="J253" s="225">
        <f t="shared" si="1"/>
        <v>5.248539502</v>
      </c>
    </row>
    <row r="254">
      <c r="A254" s="76">
        <v>5208.0</v>
      </c>
      <c r="B254" s="76">
        <v>0.1395685300885816</v>
      </c>
      <c r="C254" s="76">
        <v>0.14643575231457362</v>
      </c>
      <c r="D254" s="76">
        <v>0.25047105323756114</v>
      </c>
      <c r="E254" s="76">
        <v>0.992179618049704</v>
      </c>
      <c r="F254" s="76">
        <v>0.1589548495321651</v>
      </c>
      <c r="J254" s="225">
        <f t="shared" si="1"/>
        <v>1.687609803</v>
      </c>
    </row>
    <row r="255">
      <c r="A255" s="76">
        <v>5209.0</v>
      </c>
      <c r="B255" s="76">
        <v>0.0809136921307072</v>
      </c>
      <c r="C255" s="76">
        <v>0.08772668981691822</v>
      </c>
      <c r="D255" s="76">
        <v>0.7730989583360497</v>
      </c>
      <c r="E255" s="76">
        <v>0.9579394212996704</v>
      </c>
      <c r="F255" s="76">
        <v>0.9995375462967786</v>
      </c>
      <c r="J255" s="225">
        <f t="shared" si="1"/>
        <v>2.899216308</v>
      </c>
    </row>
    <row r="256">
      <c r="A256" s="76">
        <v>5210.0</v>
      </c>
      <c r="B256" s="76">
        <v>0.7410494791693054</v>
      </c>
      <c r="C256" s="76">
        <v>0.747660810193338</v>
      </c>
      <c r="D256" s="76">
        <v>0.8293334143527318</v>
      </c>
      <c r="E256" s="76">
        <v>1.8292307754672947</v>
      </c>
      <c r="F256" s="76">
        <v>1.87082598379493</v>
      </c>
      <c r="J256" s="225">
        <f t="shared" si="1"/>
        <v>6.018100463</v>
      </c>
    </row>
    <row r="257">
      <c r="A257" s="76">
        <v>5211.0</v>
      </c>
      <c r="B257" s="76">
        <v>0.7424510648197611</v>
      </c>
      <c r="C257" s="76">
        <v>0.7492214120429708</v>
      </c>
      <c r="D257" s="76">
        <v>0.8307065046319622</v>
      </c>
      <c r="E257" s="76">
        <v>1.796447037042526</v>
      </c>
      <c r="F257" s="76">
        <v>1.8380798495345516</v>
      </c>
      <c r="J257" s="225">
        <f t="shared" si="1"/>
        <v>5.956905868</v>
      </c>
    </row>
    <row r="258">
      <c r="A258" s="76">
        <v>5212.0</v>
      </c>
      <c r="B258" s="76">
        <v>0.1146323495413526</v>
      </c>
      <c r="C258" s="76">
        <v>0.12147093750536442</v>
      </c>
      <c r="D258" s="76">
        <v>0.22559914351586485</v>
      </c>
      <c r="E258" s="76">
        <v>1.143785960644891</v>
      </c>
      <c r="F258" s="76">
        <v>1.7687493749981513</v>
      </c>
      <c r="J258" s="225">
        <f t="shared" si="1"/>
        <v>3.374237766</v>
      </c>
    </row>
    <row r="259">
      <c r="A259" s="76">
        <v>5213.0</v>
      </c>
      <c r="B259" s="76">
        <v>0.11736983796436107</v>
      </c>
      <c r="C259" s="76">
        <v>0.12394781250623055</v>
      </c>
      <c r="D259" s="76">
        <v>0.7360447337996447</v>
      </c>
      <c r="E259" s="76">
        <v>1.7359001041695592</v>
      </c>
      <c r="F259" s="76">
        <v>1.8319438194448594</v>
      </c>
      <c r="J259" s="225">
        <f t="shared" si="1"/>
        <v>4.545206308</v>
      </c>
    </row>
    <row r="260">
      <c r="A260" s="76">
        <v>5214.0</v>
      </c>
      <c r="B260" s="76">
        <v>0.11834340277709998</v>
      </c>
      <c r="C260" s="76">
        <v>0.12494153935404029</v>
      </c>
      <c r="D260" s="76">
        <v>0.7367391782463528</v>
      </c>
      <c r="E260" s="76">
        <v>1.7365894907416077</v>
      </c>
      <c r="F260" s="76">
        <v>0.03362239583657356</v>
      </c>
      <c r="J260" s="225">
        <f t="shared" si="1"/>
        <v>2.750236007</v>
      </c>
    </row>
    <row r="261">
      <c r="A261" s="76">
        <v>5215.0</v>
      </c>
      <c r="B261" s="76">
        <v>0.11822646990185603</v>
      </c>
      <c r="C261" s="76">
        <v>0.12570325231354218</v>
      </c>
      <c r="D261" s="76">
        <v>0.7374305092598661</v>
      </c>
      <c r="E261" s="76">
        <v>0.799328692133713</v>
      </c>
      <c r="F261" s="76">
        <v>0.03429920139024034</v>
      </c>
      <c r="J261" s="225">
        <f t="shared" si="1"/>
        <v>1.814988125</v>
      </c>
    </row>
    <row r="262">
      <c r="A262" s="76">
        <v>5216.0</v>
      </c>
      <c r="B262" s="76">
        <v>0.14982354166568257</v>
      </c>
      <c r="C262" s="76">
        <v>0.1563871759281028</v>
      </c>
      <c r="D262" s="76">
        <v>0.8096527314846753</v>
      </c>
      <c r="E262" s="76">
        <v>0.8717029976905906</v>
      </c>
      <c r="F262" s="76">
        <v>0.9133240509254392</v>
      </c>
      <c r="J262" s="225">
        <f t="shared" si="1"/>
        <v>2.900890498</v>
      </c>
    </row>
    <row r="263">
      <c r="A263" s="76">
        <v>5217.0</v>
      </c>
      <c r="B263" s="76">
        <v>0.7307438194402494</v>
      </c>
      <c r="C263" s="76">
        <v>0.7375046643501264</v>
      </c>
      <c r="D263" s="76">
        <v>0.8415917361126048</v>
      </c>
      <c r="E263" s="76">
        <v>1.841426087958098</v>
      </c>
      <c r="F263" s="76">
        <v>0.1384453124992433</v>
      </c>
      <c r="J263" s="225">
        <f t="shared" si="1"/>
        <v>4.28971162</v>
      </c>
    </row>
    <row r="264">
      <c r="A264" s="76">
        <v>5218.0</v>
      </c>
      <c r="B264" s="76">
        <v>0.7335215972198057</v>
      </c>
      <c r="C264" s="76">
        <v>0.7402824421296827</v>
      </c>
      <c r="D264" s="76">
        <v>0.8443695138921612</v>
      </c>
      <c r="E264" s="76">
        <v>1.8442001736111706</v>
      </c>
      <c r="F264" s="76">
        <v>0.14120778934739064</v>
      </c>
      <c r="J264" s="225">
        <f t="shared" si="1"/>
        <v>4.303581516</v>
      </c>
    </row>
    <row r="265">
      <c r="A265" s="76">
        <v>5219.0</v>
      </c>
      <c r="B265" s="76">
        <v>0.7355742939835181</v>
      </c>
      <c r="C265" s="76">
        <v>0.74236072916392</v>
      </c>
      <c r="D265" s="76">
        <v>0.846449259261135</v>
      </c>
      <c r="E265" s="76">
        <v>1.8462733796259272</v>
      </c>
      <c r="F265" s="76">
        <v>0.14329282406833954</v>
      </c>
      <c r="J265" s="225">
        <f t="shared" si="1"/>
        <v>4.313950486</v>
      </c>
    </row>
    <row r="266">
      <c r="A266" s="76">
        <v>5220.0</v>
      </c>
      <c r="B266" s="76">
        <v>0.08043790509691462</v>
      </c>
      <c r="C266" s="76">
        <v>0.08733407407999039</v>
      </c>
      <c r="D266" s="76">
        <v>0.19148204861267004</v>
      </c>
      <c r="E266" s="76">
        <v>0.18072443287383066</v>
      </c>
      <c r="F266" s="76">
        <v>0.2223629050931777</v>
      </c>
      <c r="J266" s="225">
        <f t="shared" si="1"/>
        <v>0.7623413658</v>
      </c>
    </row>
    <row r="267">
      <c r="A267" s="76">
        <v>5221.0</v>
      </c>
      <c r="B267" s="76">
        <v>0.15649131943791872</v>
      </c>
      <c r="C267" s="76">
        <v>0.16335365740087582</v>
      </c>
      <c r="D267" s="76">
        <v>0.2674493865633849</v>
      </c>
      <c r="E267" s="76">
        <v>0.2751136226943345</v>
      </c>
      <c r="F267" s="76">
        <v>0.3166114004634437</v>
      </c>
      <c r="J267" s="225">
        <f t="shared" si="1"/>
        <v>1.179019387</v>
      </c>
    </row>
    <row r="268">
      <c r="A268" s="76">
        <v>5222.0</v>
      </c>
      <c r="B268" s="76">
        <v>0.1336611342485412</v>
      </c>
      <c r="C268" s="76">
        <v>0.14052195601107087</v>
      </c>
      <c r="D268" s="76">
        <v>0.24465849536500173</v>
      </c>
      <c r="E268" s="76">
        <v>0.29034055556257954</v>
      </c>
      <c r="F268" s="76">
        <v>0.34299450231628725</v>
      </c>
      <c r="J268" s="225">
        <f t="shared" si="1"/>
        <v>1.152176644</v>
      </c>
    </row>
    <row r="269">
      <c r="A269" s="76">
        <v>5223.0</v>
      </c>
      <c r="B269" s="76">
        <v>0.1487858333348413</v>
      </c>
      <c r="C269" s="76">
        <v>0.15564192129386356</v>
      </c>
      <c r="D269" s="76">
        <v>0.863507013884373</v>
      </c>
      <c r="E269" s="76">
        <v>2.7885620023153024</v>
      </c>
      <c r="F269" s="76">
        <v>2.830194780086458</v>
      </c>
      <c r="J269" s="225">
        <f t="shared" si="1"/>
        <v>6.786691551</v>
      </c>
    </row>
    <row r="270">
      <c r="A270" s="76">
        <v>5224.0</v>
      </c>
      <c r="B270" s="76">
        <v>0.6978180787045858</v>
      </c>
      <c r="C270" s="76">
        <v>0.7046712962910533</v>
      </c>
      <c r="D270" s="76">
        <v>0.808790138886252</v>
      </c>
      <c r="E270" s="76">
        <v>0.011620370365562849</v>
      </c>
      <c r="F270" s="76">
        <v>0.053032407398859505</v>
      </c>
      <c r="J270" s="225">
        <f t="shared" si="1"/>
        <v>2.275932292</v>
      </c>
    </row>
    <row r="271">
      <c r="A271" s="76">
        <v>5225.0</v>
      </c>
      <c r="B271" s="76">
        <v>0.03335703702759929</v>
      </c>
      <c r="C271" s="76">
        <v>-0.08533884260396007</v>
      </c>
      <c r="D271" s="76">
        <v>0.018700636566791218</v>
      </c>
      <c r="E271" s="76">
        <v>0.2937953819418908</v>
      </c>
      <c r="F271" s="76">
        <v>0.33542319443949964</v>
      </c>
      <c r="J271" s="225">
        <f t="shared" si="1"/>
        <v>0.5959374074</v>
      </c>
    </row>
    <row r="272">
      <c r="A272" s="76">
        <v>5226.0</v>
      </c>
      <c r="B272" s="76">
        <v>0.05682001156674232</v>
      </c>
      <c r="C272" s="76">
        <v>-0.0618971643561963</v>
      </c>
      <c r="D272" s="76">
        <v>0.04213831017841585</v>
      </c>
      <c r="E272" s="76">
        <v>0.1208064467573422</v>
      </c>
      <c r="F272" s="76">
        <v>0.16244770833145594</v>
      </c>
      <c r="J272" s="225">
        <f t="shared" si="1"/>
        <v>0.3203153125</v>
      </c>
    </row>
    <row r="273">
      <c r="A273" s="76">
        <v>5227.0</v>
      </c>
      <c r="B273" s="76">
        <v>0.15638346064224606</v>
      </c>
      <c r="C273" s="76">
        <v>0.16320612268464174</v>
      </c>
      <c r="D273" s="76">
        <v>0.870964895839279</v>
      </c>
      <c r="E273" s="76">
        <v>1.8709301273120218</v>
      </c>
      <c r="F273" s="76">
        <v>1.9028772800957086</v>
      </c>
      <c r="J273" s="225">
        <f t="shared" si="1"/>
        <v>4.964361887</v>
      </c>
    </row>
    <row r="274">
      <c r="A274" s="76">
        <v>5228.0</v>
      </c>
      <c r="B274" s="76">
        <v>0.7434114120333106</v>
      </c>
      <c r="C274" s="76">
        <v>0.7502049652684946</v>
      </c>
      <c r="D274" s="76">
        <v>0.8543443171220133</v>
      </c>
      <c r="E274" s="76">
        <v>0.9850160532369046</v>
      </c>
      <c r="F274" s="76">
        <v>1.0266556134229177</v>
      </c>
      <c r="J274" s="225">
        <f t="shared" si="1"/>
        <v>4.359632361</v>
      </c>
    </row>
    <row r="275">
      <c r="A275" s="76">
        <v>5229.0</v>
      </c>
      <c r="B275" s="76">
        <v>0.7461906944372458</v>
      </c>
      <c r="C275" s="76">
        <v>0.7529753356429865</v>
      </c>
      <c r="D275" s="76">
        <v>0.8571068171295337</v>
      </c>
      <c r="E275" s="76">
        <v>0.06256840278365416</v>
      </c>
      <c r="F275" s="76">
        <v>0.10418922454118729</v>
      </c>
      <c r="J275" s="225">
        <f t="shared" si="1"/>
        <v>2.523030475</v>
      </c>
    </row>
    <row r="276">
      <c r="A276" s="76">
        <v>5230.0</v>
      </c>
      <c r="B276" s="76">
        <v>0.15468824074196164</v>
      </c>
      <c r="C276" s="76">
        <v>0.16159384259663057</v>
      </c>
      <c r="D276" s="76">
        <v>0.2656718981525046</v>
      </c>
      <c r="E276" s="76">
        <v>0.08674403934855945</v>
      </c>
      <c r="F276" s="76">
        <v>0.12837999999464955</v>
      </c>
      <c r="J276" s="225">
        <f t="shared" si="1"/>
        <v>0.7970780208</v>
      </c>
    </row>
    <row r="277">
      <c r="A277" s="76">
        <v>5231.0</v>
      </c>
      <c r="B277" s="76">
        <v>0.6974564699048642</v>
      </c>
      <c r="C277" s="76">
        <v>0.704100115741312</v>
      </c>
      <c r="D277" s="76">
        <v>0.8081859953672392</v>
      </c>
      <c r="E277" s="76">
        <v>1.7590356712971698</v>
      </c>
      <c r="F277" s="76">
        <v>1.800519456010079</v>
      </c>
      <c r="J277" s="225">
        <f t="shared" si="1"/>
        <v>5.769297708</v>
      </c>
    </row>
    <row r="278">
      <c r="A278" s="76">
        <v>5232.0</v>
      </c>
      <c r="B278" s="76">
        <v>0.7001565740793012</v>
      </c>
      <c r="C278" s="76">
        <v>0.7068629398199846</v>
      </c>
      <c r="D278" s="76">
        <v>0.8109471296265838</v>
      </c>
      <c r="E278" s="76">
        <v>1.7617250115727074</v>
      </c>
      <c r="F278" s="76">
        <v>1.8032773958329926</v>
      </c>
      <c r="J278" s="225">
        <f t="shared" si="1"/>
        <v>5.782969051</v>
      </c>
    </row>
    <row r="279">
      <c r="A279" s="76">
        <v>5233.0</v>
      </c>
      <c r="B279" s="76">
        <v>0.7076919212922803</v>
      </c>
      <c r="C279" s="76">
        <v>0.714476886576449</v>
      </c>
      <c r="D279" s="76">
        <v>0.8185660532326438</v>
      </c>
      <c r="E279" s="76">
        <v>1.0936116898083128</v>
      </c>
      <c r="F279" s="76">
        <v>1.1352542939785053</v>
      </c>
      <c r="J279" s="225">
        <f t="shared" si="1"/>
        <v>4.469600845</v>
      </c>
    </row>
    <row r="280">
      <c r="A280" s="76">
        <v>5234.0</v>
      </c>
      <c r="B280" s="76">
        <v>0.12647177083272254</v>
      </c>
      <c r="C280" s="76">
        <v>0.13332486110448372</v>
      </c>
      <c r="D280" s="76">
        <v>0.8078403124964098</v>
      </c>
      <c r="E280" s="76">
        <v>0.9717137962943525</v>
      </c>
      <c r="F280" s="76">
        <v>1.0133628703624709</v>
      </c>
      <c r="J280" s="225">
        <f t="shared" si="1"/>
        <v>3.052713611</v>
      </c>
    </row>
    <row r="281">
      <c r="A281" s="76">
        <v>5235.0</v>
      </c>
      <c r="B281" s="76">
        <v>0.13385187499807216</v>
      </c>
      <c r="C281" s="76">
        <v>0.14075824073370313</v>
      </c>
      <c r="D281" s="76">
        <v>0.1427098611020483</v>
      </c>
      <c r="E281" s="76">
        <v>0.2981364930528798</v>
      </c>
      <c r="F281" s="76">
        <v>0.12063410879636649</v>
      </c>
      <c r="J281" s="225">
        <f t="shared" si="1"/>
        <v>0.8360905787</v>
      </c>
    </row>
    <row r="282">
      <c r="A282" s="76">
        <v>5236.0</v>
      </c>
      <c r="B282" s="76">
        <v>0.703295694445842</v>
      </c>
      <c r="C282" s="76">
        <v>0.710143495372904</v>
      </c>
      <c r="D282" s="76">
        <v>0.8138626388827106</v>
      </c>
      <c r="E282" s="76">
        <v>2.081401747680502</v>
      </c>
      <c r="F282" s="76">
        <v>0.12092358795780456</v>
      </c>
      <c r="J282" s="225">
        <f t="shared" si="1"/>
        <v>4.429627164</v>
      </c>
    </row>
    <row r="283">
      <c r="A283" s="76">
        <v>5237.0</v>
      </c>
      <c r="B283" s="76">
        <v>0.7067505439772503</v>
      </c>
      <c r="C283" s="76">
        <v>0.7135971643510857</v>
      </c>
      <c r="D283" s="76">
        <v>0.8173173611066886</v>
      </c>
      <c r="E283" s="76">
        <v>1.8508112152849208</v>
      </c>
      <c r="F283" s="76">
        <v>0.12444731481082272</v>
      </c>
      <c r="J283" s="225">
        <f t="shared" si="1"/>
        <v>4.2129236</v>
      </c>
    </row>
    <row r="284">
      <c r="A284" s="76">
        <v>5238.0</v>
      </c>
      <c r="B284" s="76">
        <v>1.7384123495357926</v>
      </c>
      <c r="C284" s="76">
        <v>1.7453112731454894</v>
      </c>
      <c r="D284" s="76">
        <v>1.84946140046668</v>
      </c>
      <c r="E284" s="76">
        <v>2.8494223263915046</v>
      </c>
      <c r="F284" s="76">
        <v>1.123024398140842</v>
      </c>
      <c r="J284" s="225">
        <f t="shared" si="1"/>
        <v>9.305631748</v>
      </c>
    </row>
    <row r="285">
      <c r="A285" s="76">
        <v>5239.0</v>
      </c>
      <c r="B285" s="76">
        <v>0.7404265393488458</v>
      </c>
      <c r="C285" s="76">
        <v>0.016208576380449813</v>
      </c>
      <c r="D285" s="76">
        <v>0.16200070600461913</v>
      </c>
      <c r="E285" s="76">
        <v>1.161874826393614</v>
      </c>
      <c r="F285" s="76">
        <v>0.9349790624983143</v>
      </c>
      <c r="J285" s="225">
        <f t="shared" si="1"/>
        <v>3.015489711</v>
      </c>
    </row>
    <row r="286">
      <c r="A286" s="76">
        <v>5240.0</v>
      </c>
      <c r="B286" s="76">
        <v>0.03718315971491393</v>
      </c>
      <c r="C286" s="76">
        <v>0.043974606473057065</v>
      </c>
      <c r="D286" s="76">
        <v>0.14809918981336523</v>
      </c>
      <c r="E286" s="76">
        <v>1.1479778240754968</v>
      </c>
      <c r="F286" s="76">
        <v>1.1738948726851959</v>
      </c>
      <c r="J286" s="225">
        <f t="shared" si="1"/>
        <v>2.551129653</v>
      </c>
    </row>
    <row r="287">
      <c r="A287" s="76">
        <v>5241.0</v>
      </c>
      <c r="B287" s="76">
        <v>0.07755962962983176</v>
      </c>
      <c r="C287" s="76">
        <v>0.08435750000353437</v>
      </c>
      <c r="D287" s="76">
        <v>0.7505028125015087</v>
      </c>
      <c r="E287" s="76">
        <v>0.6682331481497386</v>
      </c>
      <c r="F287" s="76">
        <v>0.04570094907103339</v>
      </c>
      <c r="J287" s="225">
        <f t="shared" si="1"/>
        <v>1.626354039</v>
      </c>
    </row>
    <row r="288">
      <c r="A288" s="76">
        <v>5242.0</v>
      </c>
      <c r="B288" s="76">
        <v>0.7034160995317507</v>
      </c>
      <c r="C288" s="76">
        <v>0.7102624537074007</v>
      </c>
      <c r="D288" s="76">
        <v>0.8143676736071939</v>
      </c>
      <c r="E288" s="76">
        <v>1.7911388773136423</v>
      </c>
      <c r="F288" s="76">
        <v>1.8328071296273265</v>
      </c>
      <c r="J288" s="225">
        <f t="shared" si="1"/>
        <v>5.851992234</v>
      </c>
    </row>
    <row r="289">
      <c r="A289" s="76">
        <v>5243.0</v>
      </c>
      <c r="B289" s="76">
        <v>0.15232256944000255</v>
      </c>
      <c r="C289" s="76">
        <v>0.15922722222603625</v>
      </c>
      <c r="D289" s="76">
        <v>0.2633457060146611</v>
      </c>
      <c r="E289" s="76">
        <v>1.2629779050912475</v>
      </c>
      <c r="F289" s="76">
        <v>1.304601365736744</v>
      </c>
      <c r="J289" s="225">
        <f t="shared" si="1"/>
        <v>3.142474769</v>
      </c>
    </row>
    <row r="290">
      <c r="A290" s="76">
        <v>5244.0</v>
      </c>
      <c r="B290" s="76">
        <v>0.10857178240257781</v>
      </c>
      <c r="C290" s="76">
        <v>0.11525361111125676</v>
      </c>
      <c r="D290" s="76">
        <v>-0.7217355902830604</v>
      </c>
      <c r="E290" s="76">
        <v>0.2778757870401023</v>
      </c>
      <c r="F290" s="76">
        <v>0.3194119097170187</v>
      </c>
      <c r="J290" s="225">
        <f t="shared" si="1"/>
        <v>0.09937749999</v>
      </c>
    </row>
    <row r="291">
      <c r="A291" s="76">
        <v>5245.0</v>
      </c>
      <c r="B291" s="76">
        <v>0.10960024304949911</v>
      </c>
      <c r="C291" s="76">
        <v>0.11628253471280914</v>
      </c>
      <c r="D291" s="76">
        <v>0.02433256943913875</v>
      </c>
      <c r="E291" s="76">
        <v>1.0242929398154956</v>
      </c>
      <c r="F291" s="76">
        <v>1.0659235879647895</v>
      </c>
      <c r="J291" s="225">
        <f t="shared" si="1"/>
        <v>2.340431875</v>
      </c>
    </row>
    <row r="292">
      <c r="A292" s="76">
        <v>5246.0</v>
      </c>
      <c r="B292" s="76">
        <v>0.12153260417107958</v>
      </c>
      <c r="C292" s="76">
        <v>0.12821739583159797</v>
      </c>
      <c r="D292" s="76">
        <v>-4.461805583559908E-4</v>
      </c>
      <c r="E292" s="76">
        <v>0.9993506481478107</v>
      </c>
      <c r="F292" s="76">
        <v>1.6243221527765854</v>
      </c>
      <c r="J292" s="225">
        <f t="shared" si="1"/>
        <v>2.87297662</v>
      </c>
    </row>
    <row r="293">
      <c r="A293" s="76">
        <v>5247.0</v>
      </c>
      <c r="B293" s="76">
        <v>-0.026988912039087154</v>
      </c>
      <c r="C293" s="76">
        <v>-0.02017732639069436</v>
      </c>
      <c r="D293" s="76">
        <v>0.6506563078655745</v>
      </c>
      <c r="E293" s="76">
        <v>1.6506062268526875</v>
      </c>
      <c r="F293" s="76">
        <v>0.0026272800896549597</v>
      </c>
      <c r="J293" s="225">
        <f t="shared" si="1"/>
        <v>2.256723576</v>
      </c>
    </row>
    <row r="294">
      <c r="A294" s="76">
        <v>5248.0</v>
      </c>
      <c r="B294" s="76">
        <v>0.009757442123373039</v>
      </c>
      <c r="C294" s="76">
        <v>0.016576296293351334</v>
      </c>
      <c r="D294" s="76">
        <v>0.6874417245417135</v>
      </c>
      <c r="E294" s="76">
        <v>1.6873905555621604</v>
      </c>
      <c r="F294" s="76">
        <v>0.03950675926171243</v>
      </c>
      <c r="J294" s="225">
        <f t="shared" si="1"/>
        <v>2.440672778</v>
      </c>
    </row>
    <row r="295">
      <c r="A295" s="76">
        <v>5249.0</v>
      </c>
      <c r="B295" s="76">
        <v>0.06978380787040805</v>
      </c>
      <c r="C295" s="76">
        <v>0.0766073958366178</v>
      </c>
      <c r="D295" s="76">
        <v>0.7428782870410942</v>
      </c>
      <c r="E295" s="76">
        <v>0.6812662152806297</v>
      </c>
      <c r="F295" s="76">
        <v>0.15956018518772908</v>
      </c>
      <c r="J295" s="225">
        <f t="shared" si="1"/>
        <v>1.730095891</v>
      </c>
    </row>
    <row r="296">
      <c r="A296" s="76">
        <v>5250.0</v>
      </c>
      <c r="B296" s="76">
        <v>0.033891932864207774</v>
      </c>
      <c r="C296" s="76">
        <v>0.04033869212435093</v>
      </c>
      <c r="D296" s="76">
        <v>0.6233043750107754</v>
      </c>
      <c r="E296" s="76">
        <v>0.6819390625023516</v>
      </c>
      <c r="F296" s="76">
        <v>5.092592618893832E-4</v>
      </c>
      <c r="J296" s="225">
        <f t="shared" si="1"/>
        <v>1.379983322</v>
      </c>
    </row>
    <row r="297">
      <c r="A297" s="76">
        <v>5251.0</v>
      </c>
      <c r="B297" s="76">
        <v>0.7333103124983609</v>
      </c>
      <c r="C297" s="76">
        <v>0.7401232638876536</v>
      </c>
      <c r="D297" s="76">
        <v>0.8442605324089527</v>
      </c>
      <c r="E297" s="76">
        <v>0.051921168982516974</v>
      </c>
      <c r="F297" s="76">
        <v>0.014013622676429804</v>
      </c>
      <c r="J297" s="225">
        <f t="shared" si="1"/>
        <v>2.3836289</v>
      </c>
    </row>
    <row r="298">
      <c r="A298" s="76">
        <v>5252.0</v>
      </c>
      <c r="B298" s="76">
        <v>0.15561200231604744</v>
      </c>
      <c r="C298" s="76">
        <v>0.16247895832930226</v>
      </c>
      <c r="D298" s="76">
        <v>0.2666251041664509</v>
      </c>
      <c r="E298" s="76">
        <v>0.2649747453760938</v>
      </c>
      <c r="F298" s="76">
        <v>0.3065571412007557</v>
      </c>
      <c r="J298" s="225">
        <f t="shared" si="1"/>
        <v>1.156247951</v>
      </c>
    </row>
    <row r="299">
      <c r="A299" s="76">
        <v>5253.0</v>
      </c>
      <c r="B299" s="76">
        <v>0.16547624998929678</v>
      </c>
      <c r="C299" s="76">
        <v>0.12293042823148426</v>
      </c>
      <c r="D299" s="76">
        <v>0.9339889467592002</v>
      </c>
      <c r="E299" s="76">
        <v>0.9238723495291197</v>
      </c>
      <c r="F299" s="76">
        <v>0.047510717588011175</v>
      </c>
      <c r="J299" s="225">
        <f t="shared" si="1"/>
        <v>2.193778692</v>
      </c>
    </row>
    <row r="300">
      <c r="A300" s="76">
        <v>5254.0</v>
      </c>
      <c r="B300" s="76">
        <v>0.11990640045405598</v>
      </c>
      <c r="C300" s="76">
        <v>0.12622851851483574</v>
      </c>
      <c r="D300" s="76">
        <v>0.9369517824015929</v>
      </c>
      <c r="E300" s="76">
        <v>0.9273302083238377</v>
      </c>
      <c r="F300" s="76">
        <v>0.05096385415527038</v>
      </c>
      <c r="J300" s="225">
        <f t="shared" si="1"/>
        <v>2.161380764</v>
      </c>
    </row>
    <row r="301">
      <c r="A301" s="76">
        <v>5255.0</v>
      </c>
      <c r="B301" s="76">
        <v>0.12217085647716885</v>
      </c>
      <c r="C301" s="76">
        <v>0.1285123495326843</v>
      </c>
      <c r="D301" s="76">
        <v>0.9398702430480625</v>
      </c>
      <c r="E301" s="76">
        <v>0.9281217129610013</v>
      </c>
      <c r="F301" s="76">
        <v>0.0537215624935925</v>
      </c>
      <c r="J301" s="225">
        <f t="shared" si="1"/>
        <v>2.172396725</v>
      </c>
    </row>
    <row r="302">
      <c r="A302" s="76">
        <v>5256.0</v>
      </c>
      <c r="B302" s="76">
        <v>0.12529137731326045</v>
      </c>
      <c r="C302" s="76">
        <v>0.13162537036987487</v>
      </c>
      <c r="D302" s="76">
        <v>0.9426279166655149</v>
      </c>
      <c r="E302" s="76">
        <v>0.9308801620354643</v>
      </c>
      <c r="F302" s="76">
        <v>0.05647420138120651</v>
      </c>
      <c r="J302" s="225">
        <f t="shared" si="1"/>
        <v>2.186899028</v>
      </c>
    </row>
    <row r="303">
      <c r="A303" s="76">
        <v>5257.0</v>
      </c>
      <c r="B303" s="76">
        <v>0.12925957176048541</v>
      </c>
      <c r="C303" s="76">
        <v>0.13559359953796957</v>
      </c>
      <c r="D303" s="76">
        <v>0.9467715277787647</v>
      </c>
      <c r="E303" s="76">
        <v>0.9349081712935003</v>
      </c>
      <c r="F303" s="76">
        <v>0.06062423611001577</v>
      </c>
      <c r="J303" s="225">
        <f t="shared" si="1"/>
        <v>2.207157106</v>
      </c>
    </row>
    <row r="304">
      <c r="A304" s="76">
        <v>5258.0</v>
      </c>
      <c r="B304" s="76">
        <v>0.13252644675958436</v>
      </c>
      <c r="C304" s="76">
        <v>0.13885590277641313</v>
      </c>
      <c r="D304" s="76">
        <v>0.9502200115748565</v>
      </c>
      <c r="E304" s="76">
        <v>0.9384935763882822</v>
      </c>
      <c r="F304" s="76">
        <v>0.06407608796143904</v>
      </c>
      <c r="J304" s="225">
        <f t="shared" si="1"/>
        <v>2.224172025</v>
      </c>
    </row>
    <row r="305">
      <c r="A305" s="76">
        <v>5259.0</v>
      </c>
      <c r="B305" s="76">
        <v>0.13549824074289063</v>
      </c>
      <c r="C305" s="76">
        <v>0.1418229976843577</v>
      </c>
      <c r="D305" s="76">
        <v>0.9113004861064837</v>
      </c>
      <c r="E305" s="76">
        <v>0.89958797453437</v>
      </c>
      <c r="F305" s="76">
        <v>0.02516638888482703</v>
      </c>
      <c r="J305" s="225">
        <f t="shared" si="1"/>
        <v>2.113376088</v>
      </c>
    </row>
    <row r="306">
      <c r="A306" s="76">
        <v>5260.0</v>
      </c>
      <c r="B306" s="76">
        <v>0.09742839120008284</v>
      </c>
      <c r="C306" s="76">
        <v>0.10417195601621643</v>
      </c>
      <c r="D306" s="76">
        <v>0.20821062499453546</v>
      </c>
      <c r="E306" s="76">
        <v>1.153314722214418</v>
      </c>
      <c r="F306" s="76">
        <v>1.1949135185132036</v>
      </c>
      <c r="J306" s="225">
        <f t="shared" si="1"/>
        <v>2.758039213</v>
      </c>
    </row>
    <row r="307">
      <c r="A307" s="76">
        <v>5261.0</v>
      </c>
      <c r="B307" s="76">
        <v>0.16319079860841157</v>
      </c>
      <c r="C307" s="76">
        <v>0.16996394675516058</v>
      </c>
      <c r="D307" s="76">
        <v>0.27399968749523396</v>
      </c>
      <c r="E307" s="76">
        <v>1.2192710416711634</v>
      </c>
      <c r="F307" s="76">
        <v>1.2608609953749692</v>
      </c>
      <c r="J307" s="225">
        <f t="shared" si="1"/>
        <v>3.08728647</v>
      </c>
    </row>
    <row r="308">
      <c r="A308" s="76">
        <v>5262.0</v>
      </c>
      <c r="B308" s="76">
        <v>0.138301249993674</v>
      </c>
      <c r="C308" s="76">
        <v>0.14141759258927777</v>
      </c>
      <c r="D308" s="76">
        <v>0.2081785995324026</v>
      </c>
      <c r="E308" s="76">
        <v>0.19323260416422272</v>
      </c>
      <c r="F308" s="76">
        <v>0.23480738425860181</v>
      </c>
      <c r="J308" s="225">
        <f t="shared" si="1"/>
        <v>0.9159374305</v>
      </c>
    </row>
    <row r="309">
      <c r="A309" s="76">
        <v>5263.0</v>
      </c>
      <c r="B309" s="76">
        <v>0.1390617361103068</v>
      </c>
      <c r="C309" s="76">
        <v>0.1421855439839419</v>
      </c>
      <c r="D309" s="76">
        <v>0.20893814814189682</v>
      </c>
      <c r="E309" s="76">
        <v>0.19388434028223855</v>
      </c>
      <c r="F309" s="76">
        <v>0.23547872685594484</v>
      </c>
      <c r="J309" s="225">
        <f t="shared" si="1"/>
        <v>0.9195484954</v>
      </c>
    </row>
    <row r="310">
      <c r="A310" s="76">
        <v>5264.0</v>
      </c>
      <c r="B310" s="76">
        <v>0.14088056713080732</v>
      </c>
      <c r="C310" s="76">
        <v>0.14407377314637415</v>
      </c>
      <c r="D310" s="76">
        <v>0.21083570601331303</v>
      </c>
      <c r="E310" s="76">
        <v>0.9173574305605143</v>
      </c>
      <c r="F310" s="76">
        <v>0.2375178587899427</v>
      </c>
      <c r="J310" s="225">
        <f t="shared" si="1"/>
        <v>1.650665336</v>
      </c>
    </row>
    <row r="311">
      <c r="A311" s="76">
        <v>5265.0</v>
      </c>
      <c r="B311" s="76">
        <v>0.139521932862408</v>
      </c>
      <c r="C311" s="76">
        <v>0.14631609953357838</v>
      </c>
      <c r="D311" s="76">
        <v>0.21307790508581093</v>
      </c>
      <c r="E311" s="76">
        <v>0.9194279398143408</v>
      </c>
      <c r="F311" s="76">
        <v>0.23957848379359348</v>
      </c>
      <c r="J311" s="225">
        <f t="shared" si="1"/>
        <v>1.657922361</v>
      </c>
    </row>
    <row r="312">
      <c r="A312" s="76">
        <v>5266.0</v>
      </c>
      <c r="B312" s="76">
        <v>0.1424242939829128</v>
      </c>
      <c r="C312" s="76">
        <v>0.14931899305520346</v>
      </c>
      <c r="D312" s="76">
        <v>0.851453124996624</v>
      </c>
      <c r="E312" s="76">
        <v>1.8514248148130719</v>
      </c>
      <c r="F312" s="76">
        <v>1.89307103009196</v>
      </c>
      <c r="J312" s="225">
        <f t="shared" si="1"/>
        <v>4.887692257</v>
      </c>
    </row>
    <row r="313">
      <c r="A313" s="76">
        <v>5267.0</v>
      </c>
      <c r="B313" s="76">
        <v>0.6239378240716178</v>
      </c>
      <c r="C313" s="76">
        <v>0.6308276388881495</v>
      </c>
      <c r="D313" s="76">
        <v>0.7349423032355844</v>
      </c>
      <c r="E313" s="76">
        <v>1.734917604160728</v>
      </c>
      <c r="F313" s="76">
        <v>1.0506882754561957</v>
      </c>
      <c r="J313" s="225">
        <f t="shared" si="1"/>
        <v>4.775313646</v>
      </c>
    </row>
    <row r="314">
      <c r="A314" s="76">
        <v>5268.0</v>
      </c>
      <c r="B314" s="76">
        <v>0.13837224536837311</v>
      </c>
      <c r="C314" s="76">
        <v>0.14517973379406612</v>
      </c>
      <c r="D314" s="76">
        <v>0.24934640045830747</v>
      </c>
      <c r="E314" s="76">
        <v>1.0492156018517562</v>
      </c>
      <c r="F314" s="76">
        <v>0.2802782407379709</v>
      </c>
      <c r="J314" s="225">
        <f t="shared" si="1"/>
        <v>1.862392222</v>
      </c>
    </row>
    <row r="315">
      <c r="A315" s="76">
        <v>5269.0</v>
      </c>
      <c r="B315" s="76">
        <v>0.05998020833794726</v>
      </c>
      <c r="C315" s="76">
        <v>0.06673359953856561</v>
      </c>
      <c r="D315" s="76">
        <v>0.02032407407386927</v>
      </c>
      <c r="E315" s="76">
        <v>0.936713495371805</v>
      </c>
      <c r="F315" s="76">
        <v>0.9782526504641282</v>
      </c>
      <c r="J315" s="225">
        <f t="shared" si="1"/>
        <v>2.062004028</v>
      </c>
    </row>
    <row r="316">
      <c r="A316" s="76">
        <v>5270.0</v>
      </c>
      <c r="B316" s="76">
        <v>0.09468677083350485</v>
      </c>
      <c r="C316" s="76">
        <v>0.1014506249994156</v>
      </c>
      <c r="D316" s="76">
        <v>0.013380717588006519</v>
      </c>
      <c r="E316" s="76">
        <v>0.8250854513898958</v>
      </c>
      <c r="F316" s="76">
        <v>0.8666829050853266</v>
      </c>
      <c r="J316" s="225">
        <f t="shared" si="1"/>
        <v>1.90128647</v>
      </c>
    </row>
    <row r="317">
      <c r="A317" s="76">
        <v>5271.0</v>
      </c>
      <c r="B317" s="76">
        <v>0.1657045370375272</v>
      </c>
      <c r="C317" s="76">
        <v>0.17261520833562827</v>
      </c>
      <c r="D317" s="76">
        <v>0.27676230324141216</v>
      </c>
      <c r="E317" s="76">
        <v>1.2763131481478922</v>
      </c>
      <c r="F317" s="76">
        <v>0.19123342591774417</v>
      </c>
      <c r="J317" s="225">
        <f t="shared" si="1"/>
        <v>2.082628623</v>
      </c>
    </row>
    <row r="318">
      <c r="A318" s="76">
        <v>5272.0</v>
      </c>
      <c r="B318" s="76">
        <v>0.16387385417328915</v>
      </c>
      <c r="C318" s="76">
        <v>0.17070467592566274</v>
      </c>
      <c r="D318" s="76">
        <v>0.2746233101861435</v>
      </c>
      <c r="E318" s="76">
        <v>1.2631225810109754</v>
      </c>
      <c r="F318" s="76">
        <v>1.8880810648115585</v>
      </c>
      <c r="J318" s="225">
        <f t="shared" si="1"/>
        <v>3.760405486</v>
      </c>
    </row>
    <row r="319">
      <c r="A319" s="76">
        <v>5273.0</v>
      </c>
      <c r="B319" s="76">
        <v>0.15682431712775724</v>
      </c>
      <c r="C319" s="76">
        <v>0.16368315972067649</v>
      </c>
      <c r="D319" s="76">
        <v>0.24266787036322057</v>
      </c>
      <c r="E319" s="76">
        <v>1.242605914347223</v>
      </c>
      <c r="F319" s="76">
        <v>1.81429473379103</v>
      </c>
      <c r="J319" s="225">
        <f t="shared" si="1"/>
        <v>3.620075995</v>
      </c>
    </row>
    <row r="320">
      <c r="A320" s="76">
        <v>5274.0</v>
      </c>
      <c r="B320" s="76">
        <v>0.16402393518364988</v>
      </c>
      <c r="C320" s="76">
        <v>0.17086311342427507</v>
      </c>
      <c r="D320" s="76">
        <v>0.8788584837966482</v>
      </c>
      <c r="E320" s="76">
        <v>2.826293252313917</v>
      </c>
      <c r="F320" s="76">
        <v>2.8679241087957053</v>
      </c>
      <c r="J320" s="225">
        <f t="shared" si="1"/>
        <v>6.907962894</v>
      </c>
    </row>
    <row r="321">
      <c r="A321" s="76">
        <v>5275.0</v>
      </c>
      <c r="B321" s="76">
        <v>0.6989266898090136</v>
      </c>
      <c r="C321" s="76">
        <v>0.7057159027681337</v>
      </c>
      <c r="D321" s="76">
        <v>0.8097930324001936</v>
      </c>
      <c r="E321" s="76">
        <v>2.770085659722099</v>
      </c>
      <c r="F321" s="76">
        <v>2.8116901504618</v>
      </c>
      <c r="J321" s="225">
        <f t="shared" si="1"/>
        <v>7.796211435</v>
      </c>
    </row>
    <row r="322">
      <c r="A322" s="76">
        <v>5276.0</v>
      </c>
      <c r="B322" s="76">
        <v>0.7252892129690736</v>
      </c>
      <c r="C322" s="76">
        <v>0.7320793634280562</v>
      </c>
      <c r="D322" s="76">
        <v>0.8361570254637627</v>
      </c>
      <c r="E322" s="76">
        <v>2.796458437500405</v>
      </c>
      <c r="F322" s="76">
        <v>2.8380549768480705</v>
      </c>
      <c r="J322" s="225">
        <f t="shared" si="1"/>
        <v>7.928039016</v>
      </c>
    </row>
    <row r="323">
      <c r="A323" s="76">
        <v>5277.0</v>
      </c>
      <c r="B323" s="76">
        <v>0.15464734953275183</v>
      </c>
      <c r="C323" s="76">
        <v>0.161446296289796</v>
      </c>
      <c r="D323" s="76">
        <v>0.2655519675827236</v>
      </c>
      <c r="E323" s="76">
        <v>2.1702650231454754</v>
      </c>
      <c r="F323" s="76">
        <v>0.9664260879580979</v>
      </c>
      <c r="J323" s="225">
        <f t="shared" si="1"/>
        <v>3.718336725</v>
      </c>
    </row>
    <row r="324">
      <c r="A324" s="76">
        <v>5278.0</v>
      </c>
      <c r="B324" s="76">
        <v>0.07499144676694414</v>
      </c>
      <c r="C324" s="76">
        <v>0.08187479167099809</v>
      </c>
      <c r="D324" s="76">
        <v>1.7897556481402717</v>
      </c>
      <c r="E324" s="76">
        <v>2.7897094675863627</v>
      </c>
      <c r="F324" s="76">
        <v>1.0024917245318647</v>
      </c>
      <c r="J324" s="225">
        <f t="shared" si="1"/>
        <v>5.738823079</v>
      </c>
    </row>
    <row r="325">
      <c r="A325" s="76">
        <v>5279.0</v>
      </c>
      <c r="B325" s="76">
        <v>0.129424085644132</v>
      </c>
      <c r="C325" s="76">
        <v>1.7536876273152302</v>
      </c>
      <c r="D325" s="76">
        <v>1.8576533796222066</v>
      </c>
      <c r="E325" s="76">
        <v>1.0547238541621482</v>
      </c>
      <c r="F325" s="76">
        <v>1.0962818287007394</v>
      </c>
      <c r="J325" s="225">
        <f t="shared" si="1"/>
        <v>5.891770775</v>
      </c>
    </row>
    <row r="326">
      <c r="A326" s="76">
        <v>5280.0</v>
      </c>
      <c r="B326" s="76">
        <v>0.13021883101464482</v>
      </c>
      <c r="C326" s="76">
        <v>1.7543210879593971</v>
      </c>
      <c r="D326" s="76">
        <v>1.8583240740699694</v>
      </c>
      <c r="E326" s="76">
        <v>1.0554003356446628</v>
      </c>
      <c r="F326" s="76">
        <v>1.0969428124953993</v>
      </c>
      <c r="J326" s="225">
        <f t="shared" si="1"/>
        <v>5.895207141</v>
      </c>
    </row>
    <row r="327">
      <c r="A327" s="76">
        <v>5281.0</v>
      </c>
      <c r="B327" s="76">
        <v>0.13105951388570247</v>
      </c>
      <c r="C327" s="76">
        <v>1.754965324078512</v>
      </c>
      <c r="D327" s="76">
        <v>1.8589859953644918</v>
      </c>
      <c r="E327" s="76">
        <v>1.0560689120320603</v>
      </c>
      <c r="F327" s="76">
        <v>1.0976098611063207</v>
      </c>
      <c r="J327" s="225">
        <f t="shared" si="1"/>
        <v>5.898689606</v>
      </c>
    </row>
    <row r="328">
      <c r="A328" s="76">
        <v>5282.0</v>
      </c>
      <c r="B328" s="76">
        <v>0.07315543981530936</v>
      </c>
      <c r="C328" s="76">
        <v>0.07997053240251262</v>
      </c>
      <c r="D328" s="76">
        <v>0.18406508101179497</v>
      </c>
      <c r="E328" s="76">
        <v>0.2421211574037443</v>
      </c>
      <c r="F328" s="76">
        <v>0.6488787036942085</v>
      </c>
      <c r="J328" s="225">
        <f t="shared" si="1"/>
        <v>1.228190914</v>
      </c>
    </row>
    <row r="329">
      <c r="A329" s="76">
        <v>5283.0</v>
      </c>
      <c r="B329" s="76">
        <v>0.07408850693900604</v>
      </c>
      <c r="C329" s="76">
        <v>0.08088947916257894</v>
      </c>
      <c r="D329" s="76">
        <v>0.18497574073262513</v>
      </c>
      <c r="E329" s="76">
        <v>0.24279792823654134</v>
      </c>
      <c r="F329" s="76">
        <v>0.6495731481409166</v>
      </c>
      <c r="J329" s="225">
        <f t="shared" si="1"/>
        <v>1.232324803</v>
      </c>
    </row>
    <row r="330">
      <c r="A330" s="76">
        <v>5284.0</v>
      </c>
      <c r="B330" s="76">
        <v>0.0995867592500872</v>
      </c>
      <c r="C330" s="76">
        <v>0.10633156249241438</v>
      </c>
      <c r="D330" s="76">
        <v>0.7347218750001048</v>
      </c>
      <c r="E330" s="76">
        <v>0.7543859837969649</v>
      </c>
      <c r="F330" s="76">
        <v>0.7960081249912037</v>
      </c>
      <c r="J330" s="225">
        <f t="shared" si="1"/>
        <v>2.491034306</v>
      </c>
    </row>
    <row r="331">
      <c r="A331" s="76">
        <v>5285.0</v>
      </c>
      <c r="B331" s="76">
        <v>0.7046643402718473</v>
      </c>
      <c r="C331" s="76">
        <v>0.7113660416653147</v>
      </c>
      <c r="D331" s="76">
        <v>0.7361617939750431</v>
      </c>
      <c r="E331" s="76">
        <v>0.04370574074710021</v>
      </c>
      <c r="F331" s="76">
        <v>0.08530774305108935</v>
      </c>
      <c r="J331" s="225">
        <f t="shared" si="1"/>
        <v>2.28120566</v>
      </c>
    </row>
    <row r="332">
      <c r="A332" s="76">
        <v>5286.0</v>
      </c>
      <c r="B332" s="76">
        <v>-0.02204484954563668</v>
      </c>
      <c r="C332" s="76">
        <v>-0.015166574077738915</v>
      </c>
      <c r="D332" s="76">
        <v>0.6511258911996265</v>
      </c>
      <c r="E332" s="76">
        <v>0.022319571755360812</v>
      </c>
      <c r="F332" s="76">
        <v>0.06393646990181878</v>
      </c>
      <c r="J332" s="225">
        <f t="shared" si="1"/>
        <v>0.7001705092</v>
      </c>
    </row>
    <row r="333">
      <c r="A333" s="76">
        <v>5287.0</v>
      </c>
      <c r="B333" s="76">
        <v>0.16336142361251405</v>
      </c>
      <c r="C333" s="76">
        <v>0.17015820601955056</v>
      </c>
      <c r="D333" s="76">
        <v>0.20291435185208684</v>
      </c>
      <c r="E333" s="76">
        <v>0.29052689814852783</v>
      </c>
      <c r="F333" s="76">
        <v>0.33216229166282574</v>
      </c>
      <c r="J333" s="225">
        <f t="shared" si="1"/>
        <v>1.159123171</v>
      </c>
    </row>
    <row r="334">
      <c r="A334" s="76">
        <v>5288.0</v>
      </c>
      <c r="B334" s="76">
        <v>0.16556289351865416</v>
      </c>
      <c r="C334" s="76">
        <v>0.17223173611273523</v>
      </c>
      <c r="D334" s="76">
        <v>0.27635166666004807</v>
      </c>
      <c r="E334" s="76">
        <v>1.1657883680600207</v>
      </c>
      <c r="F334" s="76">
        <v>1.790761932868918</v>
      </c>
      <c r="J334" s="225">
        <f t="shared" si="1"/>
        <v>3.570696597</v>
      </c>
    </row>
    <row r="335">
      <c r="A335" s="76">
        <v>5289.0</v>
      </c>
      <c r="B335" s="76">
        <v>0.1467672685175785</v>
      </c>
      <c r="C335" s="76">
        <v>0.1535603124939371</v>
      </c>
      <c r="D335" s="76">
        <v>0.25762898147513624</v>
      </c>
      <c r="E335" s="76">
        <v>1.2151084953657119</v>
      </c>
      <c r="F335" s="76">
        <v>1.8399839930498274</v>
      </c>
      <c r="J335" s="225">
        <f t="shared" si="1"/>
        <v>3.613049051</v>
      </c>
    </row>
    <row r="336">
      <c r="A336" s="76">
        <v>5290.0</v>
      </c>
      <c r="B336" s="76">
        <v>0.16099994212709134</v>
      </c>
      <c r="C336" s="76">
        <v>0.16781050925055752</v>
      </c>
      <c r="D336" s="76">
        <v>0.27187871526984964</v>
      </c>
      <c r="E336" s="76">
        <v>1.0139554745328496</v>
      </c>
      <c r="F336" s="76">
        <v>1.638918425924203</v>
      </c>
      <c r="J336" s="225">
        <f t="shared" si="1"/>
        <v>3.253563067</v>
      </c>
    </row>
    <row r="337">
      <c r="A337" s="76">
        <v>5291.0</v>
      </c>
      <c r="B337" s="76">
        <v>0.1574432870329474</v>
      </c>
      <c r="C337" s="76">
        <v>0.16417208332859445</v>
      </c>
      <c r="D337" s="76">
        <v>0.268222766200779</v>
      </c>
      <c r="E337" s="76">
        <v>0.33050539351825137</v>
      </c>
      <c r="F337" s="76">
        <v>8.001156675163656E-5</v>
      </c>
      <c r="J337" s="225">
        <f t="shared" si="1"/>
        <v>0.9204235416</v>
      </c>
    </row>
    <row r="338">
      <c r="A338" s="76">
        <v>5292.0</v>
      </c>
      <c r="B338" s="76">
        <v>0.16479302082734648</v>
      </c>
      <c r="C338" s="76">
        <v>0.17152739583252696</v>
      </c>
      <c r="D338" s="76">
        <v>0.8793560185149545</v>
      </c>
      <c r="E338" s="76">
        <v>-0.012868981488281861</v>
      </c>
      <c r="F338" s="76">
        <v>0.02870874999644002</v>
      </c>
      <c r="J338" s="225">
        <f t="shared" si="1"/>
        <v>1.231516204</v>
      </c>
    </row>
    <row r="339">
      <c r="A339" s="76">
        <v>5293.0</v>
      </c>
      <c r="B339" s="76">
        <v>0.6411343981526443</v>
      </c>
      <c r="C339" s="76">
        <v>0.6478779166645836</v>
      </c>
      <c r="D339" s="76">
        <v>0.0825898842595052</v>
      </c>
      <c r="E339" s="76">
        <v>0.10128424768481636</v>
      </c>
      <c r="F339" s="76">
        <v>0.14292285879491828</v>
      </c>
      <c r="J339" s="225">
        <f t="shared" si="1"/>
        <v>1.615809306</v>
      </c>
    </row>
    <row r="340">
      <c r="A340" s="76">
        <v>5294.0</v>
      </c>
      <c r="B340" s="76">
        <v>0.1662916087952908</v>
      </c>
      <c r="C340" s="76">
        <v>0.17316924768238096</v>
      </c>
      <c r="D340" s="76">
        <v>0.2773110300913686</v>
      </c>
      <c r="E340" s="76">
        <v>1.0495658680520137</v>
      </c>
      <c r="F340" s="76">
        <v>1.0911638194374973</v>
      </c>
      <c r="J340" s="225">
        <f t="shared" si="1"/>
        <v>2.757501574</v>
      </c>
    </row>
    <row r="341">
      <c r="A341" s="76">
        <v>5295.0</v>
      </c>
      <c r="B341" s="76">
        <v>0.0633895717546693</v>
      </c>
      <c r="C341" s="76">
        <v>0.07021975694078719</v>
      </c>
      <c r="D341" s="76">
        <v>0.1743613310100045</v>
      </c>
      <c r="E341" s="76">
        <v>0.16228140046587214</v>
      </c>
      <c r="F341" s="76">
        <v>0.20391127314360347</v>
      </c>
      <c r="J341" s="225">
        <f t="shared" si="1"/>
        <v>0.6741633333</v>
      </c>
    </row>
    <row r="342">
      <c r="A342" s="76">
        <v>5296.0</v>
      </c>
      <c r="B342" s="76">
        <v>0.07628335648041684</v>
      </c>
      <c r="C342" s="76">
        <v>0.08311354166653473</v>
      </c>
      <c r="D342" s="76">
        <v>0.18725511573575204</v>
      </c>
      <c r="E342" s="76">
        <v>0.32520833332819166</v>
      </c>
      <c r="F342" s="76">
        <v>0.9501769097187207</v>
      </c>
      <c r="J342" s="225">
        <f t="shared" si="1"/>
        <v>1.622037257</v>
      </c>
    </row>
    <row r="343">
      <c r="A343" s="76">
        <v>5297.0</v>
      </c>
      <c r="B343" s="76">
        <v>0.7460550694377162</v>
      </c>
      <c r="C343" s="76">
        <v>0.7529630208373419</v>
      </c>
      <c r="D343" s="76">
        <v>0.857083217590116</v>
      </c>
      <c r="E343" s="76">
        <v>1.1515899189835181</v>
      </c>
      <c r="F343" s="76">
        <v>1.1932282986090286</v>
      </c>
      <c r="J343" s="225">
        <f t="shared" si="1"/>
        <v>4.700919525</v>
      </c>
    </row>
    <row r="344">
      <c r="A344" s="76">
        <v>5298.0</v>
      </c>
      <c r="B344" s="76">
        <v>0.7476857638830552</v>
      </c>
      <c r="C344" s="76">
        <v>0.7545180092565715</v>
      </c>
      <c r="D344" s="76">
        <v>0.8575174999932642</v>
      </c>
      <c r="E344" s="76">
        <v>1.8574060763930902</v>
      </c>
      <c r="F344" s="76">
        <v>0.256895590275235</v>
      </c>
      <c r="J344" s="225">
        <f t="shared" si="1"/>
        <v>4.47402294</v>
      </c>
    </row>
    <row r="345">
      <c r="A345" s="76">
        <v>5299.0</v>
      </c>
      <c r="B345" s="76">
        <v>0.7490392476829584</v>
      </c>
      <c r="C345" s="76">
        <v>0.7559429976827232</v>
      </c>
      <c r="D345" s="76">
        <v>0.8588718750033877</v>
      </c>
      <c r="E345" s="76">
        <v>1.8587719907445717</v>
      </c>
      <c r="F345" s="76">
        <v>0.25825395833089715</v>
      </c>
      <c r="J345" s="225">
        <f t="shared" si="1"/>
        <v>4.480880069</v>
      </c>
    </row>
    <row r="346">
      <c r="A346" s="76">
        <v>5300.0</v>
      </c>
      <c r="B346" s="76">
        <v>0.7493045370356413</v>
      </c>
      <c r="C346" s="76">
        <v>0.7561878240740043</v>
      </c>
      <c r="D346" s="76">
        <v>0.8602430671307957</v>
      </c>
      <c r="E346" s="76">
        <v>1.8601114120392594</v>
      </c>
      <c r="F346" s="76">
        <v>0.25962781249836553</v>
      </c>
      <c r="J346" s="225">
        <f t="shared" si="1"/>
        <v>4.485474653</v>
      </c>
    </row>
    <row r="347">
      <c r="A347" s="76">
        <v>5301.0</v>
      </c>
      <c r="B347" s="76">
        <v>0.17734503471729113</v>
      </c>
      <c r="C347" s="76">
        <v>0.18403429398313165</v>
      </c>
      <c r="D347" s="76">
        <v>0.28807067128946073</v>
      </c>
      <c r="E347" s="76">
        <v>1.2879119907374843</v>
      </c>
      <c r="F347" s="76">
        <v>0.2658216203635675</v>
      </c>
      <c r="J347" s="225">
        <f t="shared" si="1"/>
        <v>2.203183611</v>
      </c>
    </row>
    <row r="348">
      <c r="A348" s="76">
        <v>5302.0</v>
      </c>
      <c r="B348" s="76">
        <v>0.1780043749968172</v>
      </c>
      <c r="C348" s="76">
        <v>0.18470348379923962</v>
      </c>
      <c r="D348" s="76">
        <v>0.28873232638579793</v>
      </c>
      <c r="E348" s="76">
        <v>1.2885620833330904</v>
      </c>
      <c r="F348" s="76">
        <v>0.2664945486030774</v>
      </c>
      <c r="J348" s="225">
        <f t="shared" si="1"/>
        <v>2.206496817</v>
      </c>
    </row>
    <row r="349">
      <c r="A349" s="76">
        <v>5303.0</v>
      </c>
      <c r="B349" s="76">
        <v>0.1786421064825845</v>
      </c>
      <c r="C349" s="76">
        <v>0.1853614120336715</v>
      </c>
      <c r="D349" s="76">
        <v>0.28938579861278413</v>
      </c>
      <c r="E349" s="76">
        <v>1.28922539352061</v>
      </c>
      <c r="F349" s="76">
        <v>0.2654021064809058</v>
      </c>
      <c r="J349" s="225">
        <f t="shared" si="1"/>
        <v>2.208016817</v>
      </c>
    </row>
    <row r="350">
      <c r="A350" s="76">
        <v>5304.0</v>
      </c>
      <c r="B350" s="76">
        <v>0.1792598263855325</v>
      </c>
      <c r="C350" s="76">
        <v>0.18598516203201143</v>
      </c>
      <c r="D350" s="76">
        <v>0.29001277777570067</v>
      </c>
      <c r="E350" s="76">
        <v>1.2899473032375681</v>
      </c>
      <c r="F350" s="76">
        <v>0.26677365740033565</v>
      </c>
      <c r="J350" s="225">
        <f t="shared" si="1"/>
        <v>2.211978727</v>
      </c>
    </row>
    <row r="351">
      <c r="A351" s="76">
        <v>5305.0</v>
      </c>
      <c r="B351" s="76">
        <v>0.18061319443950197</v>
      </c>
      <c r="C351" s="76">
        <v>0.18733593749493593</v>
      </c>
      <c r="D351" s="76">
        <v>0.29143976851628395</v>
      </c>
      <c r="E351" s="76">
        <v>1.291294768518128</v>
      </c>
      <c r="F351" s="76">
        <v>0.26810559027217096</v>
      </c>
      <c r="J351" s="225">
        <f t="shared" si="1"/>
        <v>2.218789259</v>
      </c>
    </row>
    <row r="352">
      <c r="A352" s="76">
        <v>5306.0</v>
      </c>
      <c r="B352" s="76">
        <v>0.14694390045769978</v>
      </c>
      <c r="C352" s="76">
        <v>0.15382215277350042</v>
      </c>
      <c r="D352" s="76">
        <v>0.2579680208291393</v>
      </c>
      <c r="E352" s="76">
        <v>0.16246107639744878</v>
      </c>
      <c r="F352" s="76">
        <v>0.20407670138956746</v>
      </c>
      <c r="J352" s="225">
        <f t="shared" si="1"/>
        <v>0.9252718518</v>
      </c>
    </row>
    <row r="353">
      <c r="A353" s="76">
        <v>5307.0</v>
      </c>
      <c r="B353" s="76">
        <v>0.7176458217654726</v>
      </c>
      <c r="C353" s="76">
        <v>0.7244101041724207</v>
      </c>
      <c r="D353" s="76">
        <v>0.04530003472609678</v>
      </c>
      <c r="E353" s="76">
        <v>1.9136184953749762</v>
      </c>
      <c r="F353" s="76">
        <v>0.1814735995430965</v>
      </c>
      <c r="J353" s="225">
        <f t="shared" si="1"/>
        <v>3.582448056</v>
      </c>
    </row>
    <row r="354">
      <c r="A354" s="76">
        <v>5308.0</v>
      </c>
      <c r="B354" s="76">
        <v>0.7363794097182108</v>
      </c>
      <c r="C354" s="76">
        <v>0.7431382060240139</v>
      </c>
      <c r="D354" s="76">
        <v>0.06402981481369352</v>
      </c>
      <c r="E354" s="76">
        <v>1.9323356018503546</v>
      </c>
      <c r="F354" s="76">
        <v>0.20018538194563007</v>
      </c>
      <c r="J354" s="225">
        <f t="shared" si="1"/>
        <v>3.676068414</v>
      </c>
    </row>
    <row r="355">
      <c r="A355" s="76">
        <v>5309.0</v>
      </c>
      <c r="B355" s="76">
        <v>0.13366922453860752</v>
      </c>
      <c r="C355" s="76">
        <v>0.14044586805539439</v>
      </c>
      <c r="D355" s="76">
        <v>0.1905598842567997</v>
      </c>
      <c r="E355" s="76">
        <v>2.058717905092635</v>
      </c>
      <c r="F355" s="76">
        <v>0.3265492708378588</v>
      </c>
      <c r="J355" s="225">
        <f t="shared" si="1"/>
        <v>2.849942153</v>
      </c>
    </row>
    <row r="356">
      <c r="A356" s="76">
        <v>5310.0</v>
      </c>
      <c r="B356" s="76">
        <v>0.14949748843355337</v>
      </c>
      <c r="C356" s="76">
        <v>0.1563586689881049</v>
      </c>
      <c r="D356" s="76">
        <v>0.20657715277775424</v>
      </c>
      <c r="E356" s="76">
        <v>2.074654814816313</v>
      </c>
      <c r="F356" s="76">
        <v>0.3424993634180282</v>
      </c>
      <c r="J356" s="225">
        <f t="shared" si="1"/>
        <v>2.929587488</v>
      </c>
    </row>
    <row r="357">
      <c r="A357" s="76">
        <v>5311.0</v>
      </c>
      <c r="B357" s="76">
        <v>0.050657662039157</v>
      </c>
      <c r="C357" s="76">
        <v>0.05756487268808996</v>
      </c>
      <c r="D357" s="76">
        <v>0.16170096064161044</v>
      </c>
      <c r="E357" s="76">
        <v>0.9604337037089863</v>
      </c>
      <c r="F357" s="76">
        <v>1.0020187731497572</v>
      </c>
      <c r="J357" s="225">
        <f t="shared" si="1"/>
        <v>2.232375972</v>
      </c>
    </row>
    <row r="358">
      <c r="A358" s="76">
        <v>5312.0</v>
      </c>
      <c r="B358" s="76">
        <v>0.14236822916427627</v>
      </c>
      <c r="C358" s="76">
        <v>0.14917961805622326</v>
      </c>
      <c r="D358" s="76">
        <v>0.2532828703697305</v>
      </c>
      <c r="E358" s="76">
        <v>1.1062563078667154</v>
      </c>
      <c r="F358" s="76">
        <v>1.1478214004600886</v>
      </c>
      <c r="J358" s="225">
        <f t="shared" si="1"/>
        <v>2.798908426</v>
      </c>
    </row>
    <row r="359">
      <c r="A359" s="76">
        <v>5313.0</v>
      </c>
      <c r="B359" s="76">
        <v>0.14286549768439727</v>
      </c>
      <c r="C359" s="76">
        <v>0.7673255555564538</v>
      </c>
      <c r="D359" s="76">
        <v>0.8694782407328603</v>
      </c>
      <c r="E359" s="76">
        <v>1.869399120369053</v>
      </c>
      <c r="F359" s="76">
        <v>1.9109577430499485</v>
      </c>
      <c r="J359" s="225">
        <f t="shared" si="1"/>
        <v>5.560026157</v>
      </c>
    </row>
    <row r="360">
      <c r="A360" s="76">
        <v>5314.0</v>
      </c>
      <c r="B360" s="76">
        <v>0.10598877314623678</v>
      </c>
      <c r="C360" s="76">
        <v>0.11285884259268641</v>
      </c>
      <c r="D360" s="76">
        <v>0.0919197106413776</v>
      </c>
      <c r="E360" s="76">
        <v>0.31847692130395444</v>
      </c>
      <c r="F360" s="76">
        <v>0.3319072916638106</v>
      </c>
      <c r="J360" s="225">
        <f t="shared" si="1"/>
        <v>0.9611515393</v>
      </c>
    </row>
    <row r="361">
      <c r="A361" s="76">
        <v>5315.0</v>
      </c>
      <c r="B361" s="76">
        <v>0.1239128587913001</v>
      </c>
      <c r="C361" s="76">
        <v>0.130780138882983</v>
      </c>
      <c r="D361" s="76">
        <v>0.11166289351240266</v>
      </c>
      <c r="E361" s="76">
        <v>0.336463900457602</v>
      </c>
      <c r="F361" s="76">
        <v>0.37184943286411</v>
      </c>
      <c r="J361" s="225">
        <f t="shared" si="1"/>
        <v>1.074669225</v>
      </c>
    </row>
    <row r="362">
      <c r="A362" s="76">
        <v>5316.0</v>
      </c>
      <c r="B362" s="76">
        <v>0.09835164351534331</v>
      </c>
      <c r="C362" s="76">
        <v>0.10367562499595806</v>
      </c>
      <c r="D362" s="76">
        <v>0.8117306828717119</v>
      </c>
      <c r="E362" s="76">
        <v>0.8466759837974678</v>
      </c>
      <c r="F362" s="76">
        <v>0.8883031944424147</v>
      </c>
      <c r="J362" s="225">
        <f t="shared" si="1"/>
        <v>2.74873713</v>
      </c>
    </row>
    <row r="363">
      <c r="A363" s="76">
        <v>5317.0</v>
      </c>
      <c r="B363" s="76">
        <v>0.13825855324830627</v>
      </c>
      <c r="C363" s="76">
        <v>0.14488035879912786</v>
      </c>
      <c r="D363" s="76">
        <v>0.8525708333327202</v>
      </c>
      <c r="E363" s="76">
        <v>0.8875598842641921</v>
      </c>
      <c r="F363" s="76">
        <v>0.929201006940275</v>
      </c>
      <c r="J363" s="225">
        <f t="shared" si="1"/>
        <v>2.952470637</v>
      </c>
    </row>
    <row r="364">
      <c r="A364" s="76">
        <v>5318.0</v>
      </c>
      <c r="B364" s="76">
        <v>0.7133188657389837</v>
      </c>
      <c r="C364" s="76">
        <v>0.7658451388851972</v>
      </c>
      <c r="D364" s="76">
        <v>0.7618819097187952</v>
      </c>
      <c r="E364" s="76">
        <v>1.761835138888273</v>
      </c>
      <c r="F364" s="76">
        <v>1.8034677893447224</v>
      </c>
      <c r="J364" s="225">
        <f t="shared" si="1"/>
        <v>5.806348843</v>
      </c>
    </row>
    <row r="365">
      <c r="A365" s="76">
        <v>5319.0</v>
      </c>
      <c r="B365" s="76">
        <v>0.1633756828668993</v>
      </c>
      <c r="C365" s="76">
        <v>0.17027510416664882</v>
      </c>
      <c r="D365" s="76">
        <v>0.2744213888872764</v>
      </c>
      <c r="E365" s="76">
        <v>1.0240022453726851</v>
      </c>
      <c r="F365" s="76">
        <v>1.0656500694458373</v>
      </c>
      <c r="J365" s="225">
        <f t="shared" si="1"/>
        <v>2.697724491</v>
      </c>
    </row>
    <row r="366">
      <c r="A366" s="76">
        <v>5320.0</v>
      </c>
      <c r="B366" s="76">
        <v>0.1583637731455383</v>
      </c>
      <c r="C366" s="76">
        <v>0.16469505786517402</v>
      </c>
      <c r="D366" s="76">
        <v>0.8308653125059209</v>
      </c>
      <c r="E366" s="76">
        <v>0.7306960532441735</v>
      </c>
      <c r="F366" s="76">
        <v>0.032318379628122784</v>
      </c>
      <c r="J366" s="225">
        <f t="shared" si="1"/>
        <v>1.916938576</v>
      </c>
    </row>
    <row r="367">
      <c r="A367" s="76">
        <v>5321.0</v>
      </c>
      <c r="B367" s="76">
        <v>0.1594660532355192</v>
      </c>
      <c r="C367" s="76">
        <v>0.1659537036975962</v>
      </c>
      <c r="D367" s="76">
        <v>0.8322370601817966</v>
      </c>
      <c r="E367" s="76">
        <v>0.7320811342651723</v>
      </c>
      <c r="F367" s="76">
        <v>0.03370293981424766</v>
      </c>
      <c r="J367" s="225">
        <f t="shared" si="1"/>
        <v>1.923440891</v>
      </c>
    </row>
    <row r="368">
      <c r="A368" s="76">
        <v>5322.0</v>
      </c>
      <c r="B368" s="76">
        <v>0.1604169791608001</v>
      </c>
      <c r="C368" s="76">
        <v>0.16702603008889128</v>
      </c>
      <c r="D368" s="76">
        <v>0.8329132523213048</v>
      </c>
      <c r="E368" s="76">
        <v>1.7160600347269792</v>
      </c>
      <c r="F368" s="76">
        <v>0.03439738426095573</v>
      </c>
      <c r="J368" s="225">
        <f t="shared" si="1"/>
        <v>2.910813681</v>
      </c>
    </row>
    <row r="369">
      <c r="A369" s="76">
        <v>5323.0</v>
      </c>
      <c r="B369" s="76">
        <v>0.16317874999367632</v>
      </c>
      <c r="C369" s="76">
        <v>0.16995490739645902</v>
      </c>
      <c r="D369" s="76">
        <v>0.836363032409281</v>
      </c>
      <c r="E369" s="76">
        <v>1.7595528240781277</v>
      </c>
      <c r="F369" s="76">
        <v>1.8011548726863111</v>
      </c>
      <c r="J369" s="225">
        <f t="shared" si="1"/>
        <v>4.730204387</v>
      </c>
    </row>
    <row r="370">
      <c r="A370" s="76">
        <v>5324.0</v>
      </c>
      <c r="B370" s="76">
        <v>0.7380876620300114</v>
      </c>
      <c r="C370" s="76">
        <v>0.7451434259201051</v>
      </c>
      <c r="D370" s="76">
        <v>0.8170290624984773</v>
      </c>
      <c r="E370" s="76">
        <v>0.05338797453441657</v>
      </c>
      <c r="F370" s="76">
        <v>0.09490024304977851</v>
      </c>
      <c r="J370" s="225">
        <f t="shared" si="1"/>
        <v>2.448548368</v>
      </c>
    </row>
    <row r="371">
      <c r="A371" s="76">
        <v>5325.0</v>
      </c>
      <c r="B371" s="76">
        <v>0.7425785532395821</v>
      </c>
      <c r="C371" s="76">
        <v>0.03878905092278728</v>
      </c>
      <c r="D371" s="76">
        <v>0.13120428240654292</v>
      </c>
      <c r="E371" s="76">
        <v>1.06708730324317</v>
      </c>
      <c r="F371" s="76">
        <v>0.9668298032411258</v>
      </c>
      <c r="J371" s="225">
        <f t="shared" si="1"/>
        <v>2.946488993</v>
      </c>
    </row>
    <row r="372">
      <c r="A372" s="76">
        <v>5326.0</v>
      </c>
      <c r="B372" s="76">
        <v>0.1663467476828373</v>
      </c>
      <c r="C372" s="76">
        <v>0.17319848379702307</v>
      </c>
      <c r="D372" s="76">
        <v>0.2771954166601063</v>
      </c>
      <c r="E372" s="76">
        <v>1.1942674652818823</v>
      </c>
      <c r="F372" s="76">
        <v>1.1007039467585855</v>
      </c>
      <c r="J372" s="225">
        <f t="shared" si="1"/>
        <v>2.91171206</v>
      </c>
    </row>
    <row r="373">
      <c r="A373" s="76">
        <v>5327.0</v>
      </c>
      <c r="B373" s="76">
        <v>0.15668009259388782</v>
      </c>
      <c r="C373" s="76">
        <v>0.16346009258995764</v>
      </c>
      <c r="D373" s="76">
        <v>0.26760387731337687</v>
      </c>
      <c r="E373" s="76">
        <v>1.0545772685218253</v>
      </c>
      <c r="F373" s="76">
        <v>1.0961917013919447</v>
      </c>
      <c r="J373" s="225">
        <f t="shared" si="1"/>
        <v>2.738513032</v>
      </c>
    </row>
    <row r="374">
      <c r="A374" s="76">
        <v>5328.0</v>
      </c>
      <c r="B374" s="76">
        <v>0.16138041666999925</v>
      </c>
      <c r="C374" s="76">
        <v>0.16824396990705281</v>
      </c>
      <c r="D374" s="76">
        <v>0.27238414351450047</v>
      </c>
      <c r="E374" s="76">
        <v>0.2160320370385307</v>
      </c>
      <c r="F374" s="76">
        <v>0.2576668865731335</v>
      </c>
      <c r="J374" s="225">
        <f t="shared" si="1"/>
        <v>1.075707454</v>
      </c>
    </row>
    <row r="375">
      <c r="A375" s="76">
        <v>5329.0</v>
      </c>
      <c r="B375" s="76">
        <v>0.16542645833396818</v>
      </c>
      <c r="C375" s="76">
        <v>0.1722941550979158</v>
      </c>
      <c r="D375" s="76">
        <v>0.2764297916655778</v>
      </c>
      <c r="E375" s="76">
        <v>1.1665126967636752</v>
      </c>
      <c r="F375" s="76">
        <v>2.7719118518507457</v>
      </c>
      <c r="J375" s="225">
        <f t="shared" si="1"/>
        <v>4.552574954</v>
      </c>
    </row>
    <row r="376">
      <c r="A376" s="76">
        <v>5330.0</v>
      </c>
      <c r="B376" s="76">
        <v>0.7008092592586763</v>
      </c>
      <c r="C376" s="76">
        <v>0.6529117824029527</v>
      </c>
      <c r="D376" s="76">
        <v>0.7568657175870612</v>
      </c>
      <c r="E376" s="76">
        <v>2.8118310995341744</v>
      </c>
      <c r="F376" s="76">
        <v>2.853472175920615</v>
      </c>
      <c r="J376" s="225">
        <f t="shared" si="1"/>
        <v>7.775890035</v>
      </c>
    </row>
    <row r="377">
      <c r="A377" s="76">
        <v>5331.0</v>
      </c>
      <c r="B377" s="76">
        <v>0.7018744675951893</v>
      </c>
      <c r="C377" s="76">
        <v>0.7086033796294942</v>
      </c>
      <c r="D377" s="76">
        <v>0.21274422454007436</v>
      </c>
      <c r="E377" s="76">
        <v>2.21263275462843</v>
      </c>
      <c r="F377" s="76">
        <v>2.254276712963474</v>
      </c>
      <c r="J377" s="225">
        <f t="shared" si="1"/>
        <v>6.090131539</v>
      </c>
    </row>
    <row r="378">
      <c r="A378" s="76">
        <v>5332.0</v>
      </c>
      <c r="B378" s="76">
        <v>4.057103796287265</v>
      </c>
      <c r="C378" s="76">
        <v>4.063895300918375</v>
      </c>
      <c r="D378" s="76">
        <v>4.114171446752152</v>
      </c>
      <c r="E378" s="76">
        <v>5.100646516206325</v>
      </c>
      <c r="F378" s="76">
        <v>4.909877118057921</v>
      </c>
      <c r="J378" s="225">
        <f t="shared" si="1"/>
        <v>22.24569418</v>
      </c>
    </row>
    <row r="379">
      <c r="A379" s="76">
        <v>5333.0</v>
      </c>
      <c r="B379" s="76">
        <v>0.09389620369620388</v>
      </c>
      <c r="C379" s="76">
        <v>0.1006887731491588</v>
      </c>
      <c r="D379" s="76">
        <v>0.15097748842526926</v>
      </c>
      <c r="E379" s="76">
        <v>1.1380544097264647</v>
      </c>
      <c r="F379" s="76">
        <v>0.9473447222189861</v>
      </c>
      <c r="J379" s="225">
        <f t="shared" si="1"/>
        <v>2.430961597</v>
      </c>
    </row>
    <row r="380">
      <c r="A380" s="76">
        <v>5334.0</v>
      </c>
      <c r="B380" s="76">
        <v>0.12856157407077262</v>
      </c>
      <c r="C380" s="76">
        <v>0.13528194444370456</v>
      </c>
      <c r="D380" s="76">
        <v>0.2394098148070043</v>
      </c>
      <c r="E380" s="76">
        <v>1.2260747569380328</v>
      </c>
      <c r="F380" s="76">
        <v>1.1292010995312012</v>
      </c>
      <c r="J380" s="225">
        <f t="shared" si="1"/>
        <v>2.85852919</v>
      </c>
    </row>
    <row r="381">
      <c r="A381" s="76">
        <v>5335.0</v>
      </c>
      <c r="B381" s="76">
        <v>0.15570616898185108</v>
      </c>
      <c r="C381" s="76">
        <v>0.16254971065063728</v>
      </c>
      <c r="D381" s="76">
        <v>0.17589577545732027</v>
      </c>
      <c r="E381" s="76">
        <v>1.1757361574127572</v>
      </c>
      <c r="F381" s="76">
        <v>1.170127372686693</v>
      </c>
      <c r="J381" s="225">
        <f t="shared" si="1"/>
        <v>2.840015185</v>
      </c>
    </row>
    <row r="382">
      <c r="A382" s="76">
        <v>5336.0</v>
      </c>
      <c r="B382" s="76">
        <v>0.10529172453243518</v>
      </c>
      <c r="C382" s="76">
        <v>0.112148287036689</v>
      </c>
      <c r="D382" s="76">
        <v>0.216268240728823</v>
      </c>
      <c r="E382" s="76">
        <v>1.2160906018470996</v>
      </c>
      <c r="F382" s="76">
        <v>0.9256962499930523</v>
      </c>
      <c r="J382" s="225">
        <f t="shared" si="1"/>
        <v>2.575495104</v>
      </c>
    </row>
    <row r="383">
      <c r="A383" s="76">
        <v>5337.0</v>
      </c>
      <c r="B383" s="76">
        <v>0.16497008101578103</v>
      </c>
      <c r="C383" s="76">
        <v>0.17151041666511446</v>
      </c>
      <c r="D383" s="76">
        <v>0.838366400457744</v>
      </c>
      <c r="E383" s="76">
        <v>1.6975365972248255</v>
      </c>
      <c r="F383" s="76">
        <v>1.7391668287018547</v>
      </c>
      <c r="J383" s="225">
        <f t="shared" si="1"/>
        <v>4.611550324</v>
      </c>
    </row>
    <row r="384">
      <c r="A384" s="76">
        <v>5338.0</v>
      </c>
      <c r="B384" s="76">
        <v>0.7306429282398312</v>
      </c>
      <c r="C384" s="76">
        <v>0.7375012499978766</v>
      </c>
      <c r="D384" s="76">
        <v>0.07569677082938142</v>
      </c>
      <c r="E384" s="76">
        <v>0.12211128471972188</v>
      </c>
      <c r="F384" s="76">
        <v>0.16375982638419373</v>
      </c>
      <c r="J384" s="225">
        <f t="shared" si="1"/>
        <v>1.82971206</v>
      </c>
    </row>
    <row r="385">
      <c r="A385" s="76">
        <v>5339.0</v>
      </c>
      <c r="B385" s="76">
        <v>0.7220890625030734</v>
      </c>
      <c r="C385" s="76">
        <v>0.7301046759312158</v>
      </c>
      <c r="D385" s="76">
        <v>0.8330339351814473</v>
      </c>
      <c r="E385" s="76">
        <v>1.8330001273134258</v>
      </c>
      <c r="F385" s="76">
        <v>1.8745492592497612</v>
      </c>
      <c r="J385" s="225">
        <f t="shared" si="1"/>
        <v>5.99277706</v>
      </c>
    </row>
    <row r="386">
      <c r="A386" s="76">
        <v>5340.0</v>
      </c>
      <c r="B386" s="76">
        <v>0.07696048611251172</v>
      </c>
      <c r="C386" s="76">
        <v>0.08379693287133705</v>
      </c>
      <c r="D386" s="76">
        <v>0.18793711805483326</v>
      </c>
      <c r="E386" s="76">
        <v>0.35848281249491265</v>
      </c>
      <c r="F386" s="76">
        <v>0.9687563310144469</v>
      </c>
      <c r="J386" s="225">
        <f t="shared" si="1"/>
        <v>1.675933681</v>
      </c>
    </row>
    <row r="387">
      <c r="A387" s="76">
        <v>5341.0</v>
      </c>
      <c r="B387" s="76">
        <v>0.1220706018502824</v>
      </c>
      <c r="C387" s="76">
        <v>0.12865431712270947</v>
      </c>
      <c r="D387" s="76">
        <v>0.004120543977478519</v>
      </c>
      <c r="E387" s="76">
        <v>0.9755968171375571</v>
      </c>
      <c r="F387" s="76">
        <v>-0.6478472222224809</v>
      </c>
      <c r="J387" s="225">
        <f t="shared" si="1"/>
        <v>0.5825950579</v>
      </c>
    </row>
    <row r="388">
      <c r="A388" s="76">
        <v>5342.0</v>
      </c>
      <c r="B388" s="76">
        <v>0.07618730323883938</v>
      </c>
      <c r="C388" s="76">
        <v>0.0829131249920465</v>
      </c>
      <c r="D388" s="76">
        <v>0.6539642361094593</v>
      </c>
      <c r="E388" s="76">
        <v>1.6533561458345503</v>
      </c>
      <c r="F388" s="76" t="s">
        <v>2524</v>
      </c>
      <c r="J388" s="225">
        <f t="shared" si="1"/>
        <v>2.46642081</v>
      </c>
    </row>
    <row r="389">
      <c r="A389" s="76">
        <v>5343.0</v>
      </c>
      <c r="B389" s="76">
        <v>0.11540015045466134</v>
      </c>
      <c r="C389" s="76">
        <v>0.12217197916470468</v>
      </c>
      <c r="D389" s="76">
        <v>0.6518661458321731</v>
      </c>
      <c r="E389" s="76">
        <v>1.6518141203705454</v>
      </c>
      <c r="F389" s="76">
        <v>0.7326329050920322</v>
      </c>
      <c r="J389" s="225">
        <f t="shared" si="1"/>
        <v>3.273885301</v>
      </c>
    </row>
    <row r="390">
      <c r="A390" s="76">
        <v>5344.0</v>
      </c>
      <c r="B390" s="76">
        <v>0.7483536226864089</v>
      </c>
      <c r="C390" s="76">
        <v>0.7552182754661771</v>
      </c>
      <c r="D390" s="76">
        <v>0.8593433796268073</v>
      </c>
      <c r="E390" s="76">
        <v>0.06283564814657439</v>
      </c>
      <c r="F390" s="76">
        <v>0.062233796292275656</v>
      </c>
      <c r="J390" s="225">
        <f t="shared" si="1"/>
        <v>2.487984722</v>
      </c>
    </row>
    <row r="391">
      <c r="A391" s="76">
        <v>5345.0</v>
      </c>
      <c r="B391" s="76">
        <v>0.7458271990763023</v>
      </c>
      <c r="C391" s="76">
        <v>0.7526025810220744</v>
      </c>
      <c r="D391" s="76">
        <v>0.8566037731434335</v>
      </c>
      <c r="E391" s="76">
        <v>0.07184027777839219</v>
      </c>
      <c r="F391" s="76">
        <v>0.07123842592409346</v>
      </c>
      <c r="J391" s="225">
        <f t="shared" si="1"/>
        <v>2.498112257</v>
      </c>
    </row>
    <row r="392">
      <c r="A392" s="76">
        <v>5346.0</v>
      </c>
      <c r="B392" s="76">
        <v>0.7478640046319924</v>
      </c>
      <c r="C392" s="76">
        <v>0.7546659606523463</v>
      </c>
      <c r="D392" s="76">
        <v>0.8587104513862869</v>
      </c>
      <c r="E392" s="76">
        <v>0.07388888888817746</v>
      </c>
      <c r="F392" s="76">
        <v>0.07331018518016208</v>
      </c>
      <c r="J392" s="225">
        <f t="shared" si="1"/>
        <v>2.508439491</v>
      </c>
    </row>
    <row r="393">
      <c r="A393" s="76">
        <v>5347.0</v>
      </c>
      <c r="B393" s="76">
        <v>0.7491799537092447</v>
      </c>
      <c r="C393" s="76">
        <v>0.7560295023213257</v>
      </c>
      <c r="D393" s="76">
        <v>0.860120752317016</v>
      </c>
      <c r="E393" s="76">
        <v>0.07432870370394085</v>
      </c>
      <c r="F393" s="76">
        <v>0.07394675925752381</v>
      </c>
      <c r="J393" s="225">
        <f t="shared" si="1"/>
        <v>2.513605671</v>
      </c>
    </row>
    <row r="394">
      <c r="A394" s="76">
        <v>5348.0</v>
      </c>
      <c r="B394" s="76">
        <v>0.14845531249738997</v>
      </c>
      <c r="C394" s="76">
        <v>0.15520827545697102</v>
      </c>
      <c r="D394" s="76">
        <v>0.25925065971387085</v>
      </c>
      <c r="E394" s="76">
        <v>0.9224709375048405</v>
      </c>
      <c r="F394" s="76">
        <v>0.9640794444421772</v>
      </c>
      <c r="J394" s="225">
        <f t="shared" si="1"/>
        <v>2.44946463</v>
      </c>
    </row>
    <row r="395">
      <c r="A395" s="76">
        <v>5349.0</v>
      </c>
      <c r="B395" s="76">
        <v>0.15137688656250248</v>
      </c>
      <c r="C395" s="76">
        <v>0.15813461804646067</v>
      </c>
      <c r="D395" s="76">
        <v>0.26218395832256647</v>
      </c>
      <c r="E395" s="76">
        <v>1.1373002083346364</v>
      </c>
      <c r="F395" s="76">
        <v>1.1789203472144436</v>
      </c>
      <c r="J395" s="225">
        <f t="shared" si="1"/>
        <v>2.887916018</v>
      </c>
    </row>
    <row r="396">
      <c r="A396" s="76">
        <v>5350.0</v>
      </c>
      <c r="B396" s="76">
        <v>0.16222162036137888</v>
      </c>
      <c r="C396" s="76">
        <v>0.1689840509206988</v>
      </c>
      <c r="D396" s="76">
        <v>0.27303207175282296</v>
      </c>
      <c r="E396" s="76">
        <v>0.9365046296370565</v>
      </c>
      <c r="F396" s="76">
        <v>0.9780982175943791</v>
      </c>
      <c r="J396" s="225">
        <f t="shared" si="1"/>
        <v>2.51884059</v>
      </c>
    </row>
    <row r="397">
      <c r="A397" s="76">
        <v>5351.0</v>
      </c>
      <c r="B397" s="76">
        <v>0.08506017360923579</v>
      </c>
      <c r="C397" s="76">
        <v>0.09182870369841112</v>
      </c>
      <c r="D397" s="76">
        <v>0.17517538193351356</v>
      </c>
      <c r="E397" s="76">
        <v>1.1747750694412389</v>
      </c>
      <c r="F397" s="76">
        <v>2.79975349536835</v>
      </c>
      <c r="J397" s="225">
        <f t="shared" si="1"/>
        <v>4.326592824</v>
      </c>
    </row>
    <row r="398">
      <c r="A398" s="76">
        <v>5352.0</v>
      </c>
      <c r="B398" s="76">
        <v>0.1166908449085895</v>
      </c>
      <c r="C398" s="76">
        <v>0.12347244213015074</v>
      </c>
      <c r="D398" s="76">
        <v>0.805431018510717</v>
      </c>
      <c r="E398" s="76">
        <v>1.9956352777735447</v>
      </c>
      <c r="F398" s="76">
        <v>2.037532372683927</v>
      </c>
      <c r="J398" s="225">
        <f t="shared" si="1"/>
        <v>5.078761956</v>
      </c>
    </row>
    <row r="399">
      <c r="A399" s="76">
        <v>5353.0</v>
      </c>
      <c r="B399" s="76">
        <v>0.16271361111284932</v>
      </c>
      <c r="C399" s="76">
        <v>0.16957108796486864</v>
      </c>
      <c r="D399" s="76">
        <v>0.8776324652717449</v>
      </c>
      <c r="E399" s="76">
        <v>2.0681087152770488</v>
      </c>
      <c r="F399" s="76">
        <v>2.1097275231441017</v>
      </c>
      <c r="J399" s="225">
        <f t="shared" si="1"/>
        <v>5.387753403</v>
      </c>
    </row>
    <row r="400">
      <c r="A400" s="76">
        <v>5354.0</v>
      </c>
      <c r="B400" s="76">
        <v>0.16159936342592118</v>
      </c>
      <c r="C400" s="76">
        <v>0.16836126157431863</v>
      </c>
      <c r="D400" s="76">
        <v>0.27249502314953133</v>
      </c>
      <c r="E400" s="76">
        <v>2.0477197800937574</v>
      </c>
      <c r="F400" s="76">
        <v>2.0893193865776993</v>
      </c>
      <c r="J400" s="225">
        <f t="shared" si="1"/>
        <v>4.739494815</v>
      </c>
    </row>
    <row r="401">
      <c r="A401" s="76">
        <v>5355.0</v>
      </c>
      <c r="B401" s="76">
        <v>-0.044279976849793456</v>
      </c>
      <c r="C401" s="76">
        <v>-0.03760440972109791</v>
      </c>
      <c r="D401" s="76">
        <v>0.06650584490853362</v>
      </c>
      <c r="E401" s="76">
        <v>2.065747534725233</v>
      </c>
      <c r="F401" s="76">
        <v>0.32879233796847984</v>
      </c>
      <c r="J401" s="225">
        <f t="shared" si="1"/>
        <v>2.379161331</v>
      </c>
    </row>
    <row r="402">
      <c r="A402" s="76">
        <v>5356.0</v>
      </c>
      <c r="B402" s="76">
        <v>1.701571770834562</v>
      </c>
      <c r="C402" s="76">
        <v>1.7082536689777044</v>
      </c>
      <c r="D402" s="76">
        <v>1.8123648842592956</v>
      </c>
      <c r="E402" s="76">
        <v>2.8121074652735842</v>
      </c>
      <c r="F402" s="76">
        <v>1.0753017129609361</v>
      </c>
      <c r="J402" s="225">
        <f t="shared" si="1"/>
        <v>9.109599502</v>
      </c>
    </row>
    <row r="403">
      <c r="A403" s="76">
        <v>5357.0</v>
      </c>
      <c r="B403" s="76">
        <v>0.14961230324115604</v>
      </c>
      <c r="C403" s="76">
        <v>0.15645644675532822</v>
      </c>
      <c r="D403" s="76">
        <v>0.20982251156965503</v>
      </c>
      <c r="E403" s="76">
        <v>1.2089784143536235</v>
      </c>
      <c r="F403" s="76">
        <v>1.2506249305588426</v>
      </c>
      <c r="J403" s="225">
        <f t="shared" si="1"/>
        <v>2.975494606</v>
      </c>
    </row>
    <row r="404">
      <c r="A404" s="76">
        <v>5358.0</v>
      </c>
      <c r="B404" s="76">
        <v>0.1541193981465767</v>
      </c>
      <c r="C404" s="76">
        <v>0.1609834953706013</v>
      </c>
      <c r="D404" s="76">
        <v>0.26497039351670537</v>
      </c>
      <c r="E404" s="76">
        <v>1.1450693286969909</v>
      </c>
      <c r="F404" s="76">
        <v>0.6245976157297264</v>
      </c>
      <c r="J404" s="225">
        <f t="shared" si="1"/>
        <v>2.349740231</v>
      </c>
    </row>
    <row r="405">
      <c r="A405" s="76">
        <v>5359.0</v>
      </c>
      <c r="B405" s="76">
        <v>0.096338437499071</v>
      </c>
      <c r="C405" s="76">
        <v>0.10324201388721121</v>
      </c>
      <c r="D405" s="76">
        <v>0.8107900462928228</v>
      </c>
      <c r="E405" s="76">
        <v>1.7845999421260785</v>
      </c>
      <c r="F405" s="76">
        <v>0.01645734952762723</v>
      </c>
      <c r="J405" s="225">
        <f t="shared" si="1"/>
        <v>2.811427789</v>
      </c>
    </row>
    <row r="406">
      <c r="A406" s="76">
        <v>5360.0</v>
      </c>
      <c r="B406" s="76">
        <v>0.7029753935203189</v>
      </c>
      <c r="C406" s="76">
        <v>0.7098268402769463</v>
      </c>
      <c r="D406" s="76">
        <v>0.7871309837937588</v>
      </c>
      <c r="E406" s="76">
        <v>1.1116966203699121</v>
      </c>
      <c r="F406" s="76">
        <v>0.12545114583190298</v>
      </c>
      <c r="J406" s="225">
        <f t="shared" si="1"/>
        <v>3.437080984</v>
      </c>
    </row>
    <row r="407">
      <c r="A407" s="76">
        <v>5361.0</v>
      </c>
      <c r="B407" s="76">
        <v>0.22934069444454508</v>
      </c>
      <c r="C407" s="76">
        <v>0.235704976854322</v>
      </c>
      <c r="D407" s="76">
        <v>0.3397402546252124</v>
      </c>
      <c r="E407" s="76">
        <v>1.3394548958312953</v>
      </c>
      <c r="F407" s="76">
        <v>1.939461527770618</v>
      </c>
      <c r="J407" s="225">
        <f t="shared" si="1"/>
        <v>4.08370235</v>
      </c>
    </row>
    <row r="408">
      <c r="A408" s="76">
        <v>5362.0</v>
      </c>
      <c r="B408" s="76">
        <v>0.23488619212730555</v>
      </c>
      <c r="C408" s="76">
        <v>0.24126052083011018</v>
      </c>
      <c r="D408" s="76">
        <v>0.3452863078637165</v>
      </c>
      <c r="E408" s="76">
        <v>1.3449977777781896</v>
      </c>
      <c r="F408" s="76">
        <v>1.9450288657390047</v>
      </c>
      <c r="J408" s="225">
        <f t="shared" si="1"/>
        <v>4.111459664</v>
      </c>
    </row>
    <row r="409">
      <c r="A409" s="76">
        <v>5363.0</v>
      </c>
      <c r="B409" s="76">
        <v>0.237014363417984</v>
      </c>
      <c r="C409" s="76">
        <v>0.24333928240230307</v>
      </c>
      <c r="D409" s="76">
        <v>0.347360034713347</v>
      </c>
      <c r="E409" s="76">
        <v>1.3470753935180255</v>
      </c>
      <c r="F409" s="76">
        <v>1.947071666661941</v>
      </c>
      <c r="J409" s="225">
        <f t="shared" si="1"/>
        <v>4.121860741</v>
      </c>
    </row>
    <row r="410">
      <c r="A410" s="76">
        <v>5364.0</v>
      </c>
      <c r="B410" s="76">
        <v>0.23961564814817393</v>
      </c>
      <c r="C410" s="76">
        <v>0.24610899305116618</v>
      </c>
      <c r="D410" s="76">
        <v>0.1863413657338242</v>
      </c>
      <c r="E410" s="76">
        <v>1.3498457986061112</v>
      </c>
      <c r="F410" s="76">
        <v>1.9498635648124036</v>
      </c>
      <c r="J410" s="225">
        <f t="shared" si="1"/>
        <v>3.97177537</v>
      </c>
    </row>
    <row r="411">
      <c r="A411" s="76">
        <v>5365.0</v>
      </c>
      <c r="B411" s="76">
        <v>0.24099200231285067</v>
      </c>
      <c r="C411" s="76">
        <v>0.2474897106512799</v>
      </c>
      <c r="D411" s="76">
        <v>0.35151796296122484</v>
      </c>
      <c r="E411" s="76">
        <v>1.1879051736104884</v>
      </c>
      <c r="F411" s="76">
        <v>1.951222118055739</v>
      </c>
      <c r="J411" s="225">
        <f t="shared" si="1"/>
        <v>3.979126968</v>
      </c>
    </row>
    <row r="412">
      <c r="A412" s="76">
        <v>5366.0</v>
      </c>
      <c r="B412" s="76">
        <v>0.24236636573914438</v>
      </c>
      <c r="C412" s="76">
        <v>0.2488785995374201</v>
      </c>
      <c r="D412" s="76">
        <v>0.3529003356452449</v>
      </c>
      <c r="E412" s="76">
        <v>1.3526079745352035</v>
      </c>
      <c r="F412" s="76">
        <v>1.952601331009646</v>
      </c>
      <c r="J412" s="225">
        <f t="shared" si="1"/>
        <v>4.149354606</v>
      </c>
    </row>
    <row r="413">
      <c r="A413" s="76">
        <v>5367.0</v>
      </c>
      <c r="B413" s="76">
        <v>0.24512748842971632</v>
      </c>
      <c r="C413" s="76">
        <v>0.25164899305673316</v>
      </c>
      <c r="D413" s="76">
        <v>0.19246124999335734</v>
      </c>
      <c r="E413" s="76">
        <v>1.1920089004634065</v>
      </c>
      <c r="F413" s="76">
        <v>1.95534971064626</v>
      </c>
      <c r="J413" s="225">
        <f t="shared" si="1"/>
        <v>3.836596343</v>
      </c>
    </row>
    <row r="414">
      <c r="A414" s="76">
        <v>5368.0</v>
      </c>
      <c r="B414" s="76">
        <v>0.24649356481677387</v>
      </c>
      <c r="C414" s="76">
        <v>0.253029571758816</v>
      </c>
      <c r="D414" s="76">
        <v>0.357059432863025</v>
      </c>
      <c r="E414" s="76">
        <v>1.356770439815591</v>
      </c>
      <c r="F414" s="76">
        <v>1.9567489120308892</v>
      </c>
      <c r="J414" s="225">
        <f t="shared" si="1"/>
        <v>4.170101921</v>
      </c>
    </row>
    <row r="415">
      <c r="A415" s="76">
        <v>5369.0</v>
      </c>
      <c r="B415" s="76">
        <v>0.2485554398081149</v>
      </c>
      <c r="C415" s="76">
        <v>0.2551020486134803</v>
      </c>
      <c r="D415" s="76">
        <v>0.3591324768422055</v>
      </c>
      <c r="E415" s="76">
        <v>1.3588462499974412</v>
      </c>
      <c r="F415" s="76">
        <v>1.9588234837938217</v>
      </c>
      <c r="J415" s="225">
        <f t="shared" si="1"/>
        <v>4.180459699</v>
      </c>
    </row>
    <row r="416">
      <c r="A416" s="76">
        <v>5370.0</v>
      </c>
      <c r="B416" s="76">
        <v>0.2499129513889784</v>
      </c>
      <c r="C416" s="76">
        <v>0.09324228009791113</v>
      </c>
      <c r="D416" s="76">
        <v>0.19726994212396676</v>
      </c>
      <c r="E416" s="76">
        <v>1.360226203702041</v>
      </c>
      <c r="F416" s="76">
        <v>1.9602053472262924</v>
      </c>
      <c r="J416" s="225">
        <f t="shared" si="1"/>
        <v>3.860856725</v>
      </c>
    </row>
    <row r="417">
      <c r="A417" s="76">
        <v>5371.0</v>
      </c>
      <c r="B417" s="76">
        <v>0.1094610995351104</v>
      </c>
      <c r="C417" s="76">
        <v>0.1160754398079007</v>
      </c>
      <c r="D417" s="76">
        <v>0.8236245370353572</v>
      </c>
      <c r="E417" s="76">
        <v>1.9615194791622343</v>
      </c>
      <c r="F417" s="76">
        <v>2.003137199069897</v>
      </c>
      <c r="J417" s="225">
        <f t="shared" si="1"/>
        <v>5.013817755</v>
      </c>
    </row>
    <row r="418">
      <c r="A418" s="76">
        <v>5372.0</v>
      </c>
      <c r="B418" s="76">
        <v>0.6817783912047162</v>
      </c>
      <c r="C418" s="76">
        <v>0.6886376851907698</v>
      </c>
      <c r="D418" s="76">
        <v>0.792752395835123</v>
      </c>
      <c r="E418" s="76">
        <v>1.8091636689860024</v>
      </c>
      <c r="F418" s="76">
        <v>1.8508120601909468</v>
      </c>
      <c r="J418" s="225">
        <f t="shared" si="1"/>
        <v>5.823144201</v>
      </c>
    </row>
    <row r="419">
      <c r="A419" s="76">
        <v>5373.0</v>
      </c>
      <c r="B419" s="76">
        <v>0.15919704860425554</v>
      </c>
      <c r="C419" s="76">
        <v>0.16607917823421303</v>
      </c>
      <c r="D419" s="76">
        <v>0.2702019791540806</v>
      </c>
      <c r="E419" s="76">
        <v>1.9222197800918366</v>
      </c>
      <c r="F419" s="76">
        <v>1.9638225810122094</v>
      </c>
      <c r="J419" s="225">
        <f t="shared" si="1"/>
        <v>4.481520567</v>
      </c>
    </row>
    <row r="420">
      <c r="A420" s="76">
        <v>5374.0</v>
      </c>
      <c r="B420" s="76">
        <v>0.14847946759255137</v>
      </c>
      <c r="C420" s="76">
        <v>0.15534819444292225</v>
      </c>
      <c r="D420" s="76">
        <v>0.2594649768434465</v>
      </c>
      <c r="E420" s="76">
        <v>1.9895346296325442</v>
      </c>
      <c r="F420" s="76">
        <v>2.031180150464934</v>
      </c>
      <c r="J420" s="225">
        <f t="shared" si="1"/>
        <v>4.584007419</v>
      </c>
    </row>
    <row r="421">
      <c r="A421" s="76">
        <v>5375.0</v>
      </c>
      <c r="B421" s="76">
        <v>0.10394484953576466</v>
      </c>
      <c r="C421" s="76">
        <v>0.1108039699101937</v>
      </c>
      <c r="D421" s="76">
        <v>1.7774116087894072</v>
      </c>
      <c r="E421" s="76">
        <v>2.592125034716446</v>
      </c>
      <c r="F421" s="76">
        <v>2.6337532870311406</v>
      </c>
      <c r="J421" s="225">
        <f t="shared" si="1"/>
        <v>7.21803875</v>
      </c>
    </row>
    <row r="422">
      <c r="A422" s="76">
        <v>5376.0</v>
      </c>
      <c r="B422" s="76">
        <v>0.1211454513904755</v>
      </c>
      <c r="C422" s="76">
        <v>0.1280212384299375</v>
      </c>
      <c r="D422" s="76">
        <v>1.7945355555566493</v>
      </c>
      <c r="E422" s="76">
        <v>2.794376932870364</v>
      </c>
      <c r="F422" s="76">
        <v>0.8101532523141941</v>
      </c>
      <c r="J422" s="225">
        <f t="shared" si="1"/>
        <v>5.648232431</v>
      </c>
    </row>
    <row r="423">
      <c r="A423" s="76">
        <v>5377.0</v>
      </c>
      <c r="B423" s="76">
        <v>0.13043388888036134</v>
      </c>
      <c r="C423" s="76">
        <v>0.1373075231385883</v>
      </c>
      <c r="D423" s="76">
        <v>1.8454710995356436</v>
      </c>
      <c r="E423" s="76">
        <v>0.8636758912034566</v>
      </c>
      <c r="F423" s="76">
        <v>0.905273275457148</v>
      </c>
      <c r="J423" s="225">
        <f t="shared" si="1"/>
        <v>3.882161678</v>
      </c>
    </row>
    <row r="424">
      <c r="A424" s="76">
        <v>5378.0</v>
      </c>
      <c r="B424" s="76">
        <v>1.7370910532408743</v>
      </c>
      <c r="C424" s="76">
        <v>1.7439171875012107</v>
      </c>
      <c r="D424" s="76">
        <v>1.847953067124763</v>
      </c>
      <c r="E424" s="76">
        <v>2.706612013884296</v>
      </c>
      <c r="F424" s="76">
        <v>2.7482529050903395</v>
      </c>
      <c r="J424" s="225">
        <f t="shared" si="1"/>
        <v>10.78382623</v>
      </c>
    </row>
    <row r="425">
      <c r="A425" s="76">
        <v>5379.0</v>
      </c>
      <c r="B425" s="76">
        <v>0.1665422106452752</v>
      </c>
      <c r="C425" s="76">
        <v>0.17343184028140968</v>
      </c>
      <c r="D425" s="76">
        <v>0.20064084490877576</v>
      </c>
      <c r="E425" s="76">
        <v>1.2000929282366997</v>
      </c>
      <c r="F425" s="76">
        <v>1.2099013888873742</v>
      </c>
      <c r="J425" s="225">
        <f t="shared" si="1"/>
        <v>2.950609213</v>
      </c>
    </row>
    <row r="426">
      <c r="A426" s="76">
        <v>5380.0</v>
      </c>
      <c r="B426" s="76">
        <v>0.1629199189846986</v>
      </c>
      <c r="C426" s="76">
        <v>0.16976901620364515</v>
      </c>
      <c r="D426" s="76">
        <v>0.2738335532412748</v>
      </c>
      <c r="E426" s="76">
        <v>1.241765266204311</v>
      </c>
      <c r="F426" s="76">
        <v>1.8668166203715373</v>
      </c>
      <c r="J426" s="225">
        <f t="shared" si="1"/>
        <v>3.715104375</v>
      </c>
    </row>
    <row r="427">
      <c r="A427" s="76">
        <v>5381.0</v>
      </c>
      <c r="B427" s="76">
        <v>0.05224290508340346</v>
      </c>
      <c r="C427" s="76">
        <v>0.05844798610633006</v>
      </c>
      <c r="D427" s="76">
        <v>0.7663723842633772</v>
      </c>
      <c r="E427" s="76">
        <v>0.8720680439801072</v>
      </c>
      <c r="F427" s="76">
        <v>0.9137137384241214</v>
      </c>
      <c r="J427" s="225">
        <f t="shared" si="1"/>
        <v>2.662845058</v>
      </c>
    </row>
    <row r="428">
      <c r="A428" s="76">
        <v>5382.0</v>
      </c>
      <c r="B428" s="76">
        <v>0.06333222222019685</v>
      </c>
      <c r="C428" s="76">
        <v>0.06956457176420372</v>
      </c>
      <c r="D428" s="76">
        <v>0.7774753124976996</v>
      </c>
      <c r="E428" s="76">
        <v>0.8831356481532566</v>
      </c>
      <c r="F428" s="76">
        <v>0.9247753472227487</v>
      </c>
      <c r="J428" s="225">
        <f t="shared" si="1"/>
        <v>2.718283102</v>
      </c>
    </row>
    <row r="429">
      <c r="A429" s="76">
        <v>5383.0</v>
      </c>
      <c r="B429" s="76">
        <v>0.06436994212708669</v>
      </c>
      <c r="C429" s="76">
        <v>0.07063159722019918</v>
      </c>
      <c r="D429" s="76">
        <v>0.778144027775852</v>
      </c>
      <c r="E429" s="76">
        <v>0.8837373958376702</v>
      </c>
      <c r="F429" s="76">
        <v>0.9253829166627838</v>
      </c>
      <c r="J429" s="225">
        <f t="shared" si="1"/>
        <v>2.72226588</v>
      </c>
    </row>
    <row r="430">
      <c r="A430" s="76">
        <v>5384.0</v>
      </c>
      <c r="B430" s="76">
        <v>0.7060259027784923</v>
      </c>
      <c r="C430" s="76">
        <v>0.7123571990741766</v>
      </c>
      <c r="D430" s="76">
        <v>0.8163219560155994</v>
      </c>
      <c r="E430" s="76">
        <v>0.9218338888967992</v>
      </c>
      <c r="F430" s="76">
        <v>0.9634412268496817</v>
      </c>
      <c r="J430" s="225">
        <f t="shared" si="1"/>
        <v>4.119980174</v>
      </c>
    </row>
    <row r="431">
      <c r="A431" s="76">
        <v>5385.0</v>
      </c>
      <c r="B431" s="76">
        <v>0.722354849538533</v>
      </c>
      <c r="C431" s="76">
        <v>0.7287051736129797</v>
      </c>
      <c r="D431" s="76">
        <v>0.83231912037445</v>
      </c>
      <c r="E431" s="76">
        <v>0.7589176736146328</v>
      </c>
      <c r="F431" s="76">
        <v>0.15335128472361248</v>
      </c>
      <c r="J431" s="225">
        <f t="shared" si="1"/>
        <v>3.195648102</v>
      </c>
    </row>
    <row r="432">
      <c r="A432" s="76">
        <v>5386.0</v>
      </c>
      <c r="B432" s="76">
        <v>0.7264361689813086</v>
      </c>
      <c r="C432" s="76">
        <v>0.7328493634267943</v>
      </c>
      <c r="D432" s="76">
        <v>0.8364974421274383</v>
      </c>
      <c r="E432" s="76">
        <v>0.7630483796310727</v>
      </c>
      <c r="F432" s="76">
        <v>0.15751156249461928</v>
      </c>
      <c r="J432" s="225">
        <f t="shared" si="1"/>
        <v>3.216342917</v>
      </c>
    </row>
    <row r="433">
      <c r="A433" s="76">
        <v>5387.0</v>
      </c>
      <c r="B433" s="76">
        <v>0.0606783564799116</v>
      </c>
      <c r="C433" s="76">
        <v>0.09757435185019858</v>
      </c>
      <c r="D433" s="76">
        <v>0.17170693286607275</v>
      </c>
      <c r="E433" s="76">
        <v>1.171425740736595</v>
      </c>
      <c r="F433" s="76">
        <v>1.2126066203636583</v>
      </c>
      <c r="J433" s="225">
        <f t="shared" si="1"/>
        <v>2.713992002</v>
      </c>
    </row>
    <row r="434">
      <c r="A434" s="76">
        <v>5388.0</v>
      </c>
      <c r="B434" s="76">
        <v>0.15169487267849036</v>
      </c>
      <c r="C434" s="76">
        <v>0.1585154976855847</v>
      </c>
      <c r="D434" s="76">
        <v>0.8367914351911168</v>
      </c>
      <c r="E434" s="76">
        <v>1.9166685185191454</v>
      </c>
      <c r="F434" s="76">
        <v>1.958291620365344</v>
      </c>
      <c r="J434" s="225">
        <f t="shared" si="1"/>
        <v>5.021961944</v>
      </c>
    </row>
    <row r="435">
      <c r="A435" s="76">
        <v>5389.0</v>
      </c>
      <c r="B435" s="76">
        <v>0.7193618981473264</v>
      </c>
      <c r="C435" s="76">
        <v>0.7260013888881076</v>
      </c>
      <c r="D435" s="76">
        <v>0.8300694560166448</v>
      </c>
      <c r="E435" s="76">
        <v>2.1826544328796444</v>
      </c>
      <c r="F435" s="76">
        <v>2.2242776041675825</v>
      </c>
      <c r="J435" s="225">
        <f t="shared" si="1"/>
        <v>6.68236478</v>
      </c>
    </row>
    <row r="436">
      <c r="A436" s="76">
        <v>5390.0</v>
      </c>
      <c r="B436" s="76">
        <v>0.7207204629667103</v>
      </c>
      <c r="C436" s="76">
        <v>0.7273740740783978</v>
      </c>
      <c r="D436" s="76">
        <v>0.8314351851877291</v>
      </c>
      <c r="E436" s="76">
        <v>2.1840237615761</v>
      </c>
      <c r="F436" s="76">
        <v>2.225664328703715</v>
      </c>
      <c r="J436" s="225">
        <f t="shared" si="1"/>
        <v>6.689217813</v>
      </c>
    </row>
    <row r="437">
      <c r="A437" s="76">
        <v>5391.0</v>
      </c>
      <c r="B437" s="76">
        <v>0.7248667592575657</v>
      </c>
      <c r="C437" s="76">
        <v>0.7315155787073309</v>
      </c>
      <c r="D437" s="76">
        <v>0.8355783333317959</v>
      </c>
      <c r="E437" s="76">
        <v>2.1881904282417963</v>
      </c>
      <c r="F437" s="76">
        <v>2.2298204745311523</v>
      </c>
      <c r="J437" s="225">
        <f t="shared" si="1"/>
        <v>6.709971574</v>
      </c>
    </row>
    <row r="438">
      <c r="A438" s="76">
        <v>5392.0</v>
      </c>
      <c r="B438" s="76">
        <v>0.7276328819425544</v>
      </c>
      <c r="C438" s="76">
        <v>0.7342702546302462</v>
      </c>
      <c r="D438" s="76">
        <v>0.8383253009160399</v>
      </c>
      <c r="E438" s="76">
        <v>2.1909682060213527</v>
      </c>
      <c r="F438" s="76">
        <v>2.2325982523107086</v>
      </c>
      <c r="J438" s="225">
        <f t="shared" si="1"/>
        <v>6.723794896</v>
      </c>
    </row>
    <row r="439">
      <c r="A439" s="76">
        <v>5393.0</v>
      </c>
      <c r="B439" s="76">
        <v>0.14931410879216855</v>
      </c>
      <c r="C439" s="76">
        <v>0.15612275461899117</v>
      </c>
      <c r="D439" s="76">
        <v>0.11166377313929843</v>
      </c>
      <c r="E439" s="76">
        <v>2.1114206018537516</v>
      </c>
      <c r="F439" s="76">
        <v>0.28089496528264135</v>
      </c>
      <c r="J439" s="225">
        <f t="shared" si="1"/>
        <v>2.809416204</v>
      </c>
    </row>
    <row r="440">
      <c r="A440" s="76">
        <v>5394.0</v>
      </c>
      <c r="B440" s="76">
        <v>0.15721769675292308</v>
      </c>
      <c r="C440" s="76">
        <v>0.16405041665711906</v>
      </c>
      <c r="D440" s="76">
        <v>1.8719390972255496</v>
      </c>
      <c r="E440" s="76">
        <v>0.036570057869539596</v>
      </c>
      <c r="F440" s="76">
        <v>0.07811174767994089</v>
      </c>
      <c r="J440" s="225">
        <f t="shared" si="1"/>
        <v>2.307889016</v>
      </c>
    </row>
    <row r="441">
      <c r="A441" s="76">
        <v>5395.0</v>
      </c>
      <c r="B441" s="76">
        <v>1.890828969902941</v>
      </c>
      <c r="C441" s="76">
        <v>1.8976434837968554</v>
      </c>
      <c r="D441" s="76">
        <v>2.0017712615663186</v>
      </c>
      <c r="E441" s="76">
        <v>0.18376878472190583</v>
      </c>
      <c r="F441" s="76">
        <v>0.2107123263849644</v>
      </c>
      <c r="J441" s="225">
        <f t="shared" si="1"/>
        <v>6.184724826</v>
      </c>
    </row>
    <row r="442">
      <c r="A442" s="76">
        <v>5396.0</v>
      </c>
      <c r="B442" s="76">
        <v>0.03660113426303724</v>
      </c>
      <c r="C442" s="76">
        <v>0.04338069444929715</v>
      </c>
      <c r="D442" s="76">
        <v>0.14474937500199303</v>
      </c>
      <c r="E442" s="76">
        <v>1.1194577662099618</v>
      </c>
      <c r="F442" s="76">
        <v>1.16109015046095</v>
      </c>
      <c r="J442" s="225">
        <f t="shared" si="1"/>
        <v>2.50527912</v>
      </c>
    </row>
    <row r="443">
      <c r="A443" s="76">
        <v>5397.0</v>
      </c>
      <c r="B443" s="76">
        <v>0.16584907406650018</v>
      </c>
      <c r="C443" s="76">
        <v>0.17267821759014623</v>
      </c>
      <c r="D443" s="76">
        <v>0.27405923610785976</v>
      </c>
      <c r="E443" s="76">
        <v>1.2488932638880215</v>
      </c>
      <c r="F443" s="76">
        <v>1.2905112962980638</v>
      </c>
      <c r="J443" s="225">
        <f t="shared" si="1"/>
        <v>3.151991088</v>
      </c>
    </row>
    <row r="444">
      <c r="A444" s="76">
        <v>5398.0</v>
      </c>
      <c r="B444" s="76">
        <v>0.10200223379069939</v>
      </c>
      <c r="C444" s="76">
        <v>0.10887393518351018</v>
      </c>
      <c r="D444" s="76">
        <v>0.7752575810081908</v>
      </c>
      <c r="E444" s="76">
        <v>0.6733450578685733</v>
      </c>
      <c r="F444" s="76">
        <v>0.7149938078655396</v>
      </c>
      <c r="J444" s="225">
        <f t="shared" si="1"/>
        <v>2.374472616</v>
      </c>
    </row>
    <row r="445">
      <c r="A445" s="76">
        <v>5399.0</v>
      </c>
      <c r="B445" s="76">
        <v>0.09366872684768168</v>
      </c>
      <c r="C445" s="76">
        <v>0.10047173610655591</v>
      </c>
      <c r="D445" s="76">
        <v>0.6469443402820616</v>
      </c>
      <c r="E445" s="76">
        <v>1.6469671759332414</v>
      </c>
      <c r="F445" s="76">
        <v>1.6885804745397763</v>
      </c>
      <c r="J445" s="225">
        <f t="shared" si="1"/>
        <v>4.176632454</v>
      </c>
    </row>
    <row r="446">
      <c r="A446" s="76">
        <v>5400.0</v>
      </c>
      <c r="B446" s="76">
        <v>0.09454216435551643</v>
      </c>
      <c r="C446" s="76">
        <v>0.10133275463158498</v>
      </c>
      <c r="D446" s="76">
        <v>0.6483734606517828</v>
      </c>
      <c r="E446" s="76">
        <v>1.6483362384315114</v>
      </c>
      <c r="F446" s="76">
        <v>1.689946273145324</v>
      </c>
      <c r="J446" s="225">
        <f t="shared" si="1"/>
        <v>4.182530891</v>
      </c>
    </row>
    <row r="447">
      <c r="A447" s="76">
        <v>5401.0</v>
      </c>
      <c r="B447" s="76">
        <v>0.14640371527639218</v>
      </c>
      <c r="C447" s="76">
        <v>0.15324285879614763</v>
      </c>
      <c r="D447" s="76">
        <v>0.25735938657453516</v>
      </c>
      <c r="E447" s="76">
        <v>0.25734042823751224</v>
      </c>
      <c r="F447" s="76">
        <v>0.2989170254513738</v>
      </c>
      <c r="J447" s="225">
        <f t="shared" si="1"/>
        <v>1.113263414</v>
      </c>
    </row>
    <row r="448">
      <c r="A448" s="76">
        <v>5402.0</v>
      </c>
      <c r="B448" s="76">
        <v>0.14938721065118443</v>
      </c>
      <c r="C448" s="76">
        <v>0.15623687500192318</v>
      </c>
      <c r="D448" s="76">
        <v>0.2603598958303337</v>
      </c>
      <c r="E448" s="76">
        <v>0.09893568287225207</v>
      </c>
      <c r="F448" s="76">
        <v>0.019850208329444285</v>
      </c>
      <c r="J448" s="225">
        <f t="shared" si="1"/>
        <v>0.6847698727</v>
      </c>
    </row>
    <row r="449">
      <c r="A449" s="76">
        <v>5403.0</v>
      </c>
      <c r="B449" s="76">
        <v>0.15752052082825685</v>
      </c>
      <c r="C449" s="76">
        <v>0.1642289583251113</v>
      </c>
      <c r="D449" s="76">
        <v>0.191973564804357</v>
      </c>
      <c r="E449" s="76">
        <v>0.29325307870749384</v>
      </c>
      <c r="F449" s="76">
        <v>0.33489898148400243</v>
      </c>
      <c r="J449" s="225">
        <f t="shared" si="1"/>
        <v>1.141875104</v>
      </c>
    </row>
    <row r="450">
      <c r="A450" s="76">
        <v>5404.0</v>
      </c>
      <c r="B450" s="76">
        <v>0.11045725693838904</v>
      </c>
      <c r="C450" s="76">
        <v>0.1165426851803204</v>
      </c>
      <c r="D450" s="76">
        <v>0.8239554629617487</v>
      </c>
      <c r="E450" s="76">
        <v>0.7551196527783759</v>
      </c>
      <c r="F450" s="76">
        <v>0.7967473379540024</v>
      </c>
      <c r="J450" s="225">
        <f t="shared" si="1"/>
        <v>2.602822396</v>
      </c>
    </row>
    <row r="451">
      <c r="A451" s="76">
        <v>5405.0</v>
      </c>
      <c r="B451" s="76">
        <v>0.15567682870459976</v>
      </c>
      <c r="C451" s="76">
        <v>0.16234467592585133</v>
      </c>
      <c r="D451" s="76">
        <v>0.13984648147743428</v>
      </c>
      <c r="E451" s="76">
        <v>0.26049446759861894</v>
      </c>
      <c r="F451" s="76">
        <v>0.30213118055689847</v>
      </c>
      <c r="J451" s="225">
        <f t="shared" si="1"/>
        <v>1.020493634</v>
      </c>
    </row>
    <row r="452">
      <c r="A452" s="76">
        <v>5406.0</v>
      </c>
      <c r="B452" s="76">
        <v>0.1640698263872764</v>
      </c>
      <c r="C452" s="76">
        <v>0.17088634258834645</v>
      </c>
      <c r="D452" s="76">
        <v>0.14838288194005145</v>
      </c>
      <c r="E452" s="76">
        <v>1.0263639004697325</v>
      </c>
      <c r="F452" s="76">
        <v>1.0680162731514429</v>
      </c>
      <c r="J452" s="225">
        <f t="shared" si="1"/>
        <v>2.577719225</v>
      </c>
    </row>
    <row r="453">
      <c r="A453" s="76">
        <v>5407.0</v>
      </c>
      <c r="B453" s="76">
        <v>0.07387693286727881</v>
      </c>
      <c r="C453" s="76">
        <v>0.08049193287297385</v>
      </c>
      <c r="D453" s="76">
        <v>0.1844787615700625</v>
      </c>
      <c r="E453" s="76">
        <v>0.3473478935120511</v>
      </c>
      <c r="F453" s="76">
        <v>0.9722980902806739</v>
      </c>
      <c r="J453" s="225">
        <f t="shared" si="1"/>
        <v>1.658493611</v>
      </c>
    </row>
    <row r="454">
      <c r="A454" s="76">
        <v>5408.0</v>
      </c>
      <c r="B454" s="76">
        <v>0.15431038194219582</v>
      </c>
      <c r="C454" s="76">
        <v>0.1609131481454824</v>
      </c>
      <c r="D454" s="76">
        <v>0.8270040972201969</v>
      </c>
      <c r="E454" s="76">
        <v>0.7718668287052424</v>
      </c>
      <c r="F454" s="76">
        <v>0.8135031944402726</v>
      </c>
      <c r="J454" s="225">
        <f t="shared" si="1"/>
        <v>2.72759765</v>
      </c>
    </row>
    <row r="455">
      <c r="A455" s="76">
        <v>5409.0</v>
      </c>
      <c r="B455" s="76">
        <v>0.15566534722893266</v>
      </c>
      <c r="C455" s="76">
        <v>0.1622829398183967</v>
      </c>
      <c r="D455" s="76">
        <v>0.8283725115688867</v>
      </c>
      <c r="E455" s="76">
        <v>1.7066104166588048</v>
      </c>
      <c r="F455" s="76">
        <v>1.7482522685095319</v>
      </c>
      <c r="J455" s="225">
        <f t="shared" si="1"/>
        <v>4.601183484</v>
      </c>
    </row>
    <row r="456">
      <c r="A456" s="76">
        <v>5410.0</v>
      </c>
      <c r="B456" s="76">
        <v>0.1001839467571699</v>
      </c>
      <c r="C456" s="76">
        <v>0.7246851620366215</v>
      </c>
      <c r="D456" s="76">
        <v>0.11174781249428634</v>
      </c>
      <c r="E456" s="76">
        <v>0.12349276620079763</v>
      </c>
      <c r="F456" s="76">
        <v>0.16512322916241828</v>
      </c>
      <c r="J456" s="225">
        <f t="shared" si="1"/>
        <v>1.225232917</v>
      </c>
    </row>
    <row r="457">
      <c r="A457" s="76">
        <v>5411.0</v>
      </c>
      <c r="B457" s="76">
        <v>0.6885018865723396</v>
      </c>
      <c r="C457" s="76">
        <v>0.6953779050963931</v>
      </c>
      <c r="D457" s="76">
        <v>0.06870589120080695</v>
      </c>
      <c r="E457" s="76">
        <v>0.8157439583374071</v>
      </c>
      <c r="F457" s="76">
        <v>0.8573749999995925</v>
      </c>
      <c r="J457" s="225">
        <f t="shared" si="1"/>
        <v>3.125704641</v>
      </c>
    </row>
    <row r="458">
      <c r="A458" s="76">
        <v>5412.0</v>
      </c>
      <c r="B458" s="76">
        <v>0.7099217824070365</v>
      </c>
      <c r="C458" s="76">
        <v>0.7166010185173946</v>
      </c>
      <c r="D458" s="76">
        <v>0.09020818286080612</v>
      </c>
      <c r="E458" s="76">
        <v>1.0558188425929984</v>
      </c>
      <c r="F458" s="76">
        <v>1.0974370486146654</v>
      </c>
      <c r="J458" s="225">
        <f t="shared" si="1"/>
        <v>3.669986875</v>
      </c>
    </row>
    <row r="459">
      <c r="A459" s="76">
        <v>5413.0</v>
      </c>
      <c r="B459" s="76">
        <v>0.7328125578787876</v>
      </c>
      <c r="C459" s="76">
        <v>0.7394960763922427</v>
      </c>
      <c r="D459" s="76">
        <v>0.11308471065422054</v>
      </c>
      <c r="E459" s="76">
        <v>0.14022171295800945</v>
      </c>
      <c r="F459" s="76">
        <v>0.18184833332634298</v>
      </c>
      <c r="J459" s="225">
        <f t="shared" si="1"/>
        <v>1.907463391</v>
      </c>
    </row>
    <row r="460">
      <c r="A460" s="76">
        <v>5414.0</v>
      </c>
      <c r="B460" s="76">
        <v>0.16564197916159173</v>
      </c>
      <c r="C460" s="76">
        <v>0.172530497678963</v>
      </c>
      <c r="D460" s="76">
        <v>0.27666530091664754</v>
      </c>
      <c r="E460" s="76">
        <v>1.1228413310163887</v>
      </c>
      <c r="F460" s="76">
        <v>1.1644847916686558</v>
      </c>
      <c r="J460" s="225">
        <f t="shared" si="1"/>
        <v>2.9021639</v>
      </c>
    </row>
    <row r="461">
      <c r="A461" s="76">
        <v>5415.0</v>
      </c>
      <c r="B461" s="76">
        <v>0.16637065971735865</v>
      </c>
      <c r="C461" s="76">
        <v>0.7910975115737529</v>
      </c>
      <c r="D461" s="76">
        <v>0.8457227083272301</v>
      </c>
      <c r="E461" s="76">
        <v>2.8456949537066976</v>
      </c>
      <c r="F461" s="76">
        <v>2.887332893515122</v>
      </c>
      <c r="J461" s="225">
        <f t="shared" si="1"/>
        <v>7.536218727</v>
      </c>
    </row>
    <row r="462">
      <c r="A462" s="76">
        <v>5416.0</v>
      </c>
      <c r="B462" s="76">
        <v>0.7336063194379676</v>
      </c>
      <c r="C462" s="76">
        <v>0.7402920254608034</v>
      </c>
      <c r="D462" s="76">
        <v>0.19538535879109986</v>
      </c>
      <c r="E462" s="76">
        <v>2.1953429050918203</v>
      </c>
      <c r="F462" s="76">
        <v>2.2369525115718716</v>
      </c>
      <c r="J462" s="225">
        <f t="shared" si="1"/>
        <v>6.10157912</v>
      </c>
    </row>
    <row r="463">
      <c r="A463" s="76">
        <v>5417.0</v>
      </c>
      <c r="B463" s="76">
        <v>0.7460256365811802</v>
      </c>
      <c r="C463" s="76">
        <v>0.7527787037106464</v>
      </c>
      <c r="D463" s="76">
        <v>0.8564817824080819</v>
      </c>
      <c r="E463" s="76">
        <v>2.856448124999588</v>
      </c>
      <c r="F463" s="76">
        <v>2.249437268517795</v>
      </c>
      <c r="J463" s="225">
        <f t="shared" si="1"/>
        <v>7.461171516</v>
      </c>
    </row>
    <row r="464">
      <c r="A464" s="76">
        <v>5418.0</v>
      </c>
      <c r="B464" s="76">
        <v>0.7473601388919633</v>
      </c>
      <c r="C464" s="76">
        <v>0.7541501851883368</v>
      </c>
      <c r="D464" s="76">
        <v>0.8578627314782352</v>
      </c>
      <c r="E464" s="76">
        <v>2.85781775462965</v>
      </c>
      <c r="F464" s="76">
        <v>2.2508045138893067</v>
      </c>
      <c r="J464" s="225">
        <f t="shared" si="1"/>
        <v>7.467995324</v>
      </c>
    </row>
    <row r="465">
      <c r="A465" s="76">
        <v>5419.0</v>
      </c>
      <c r="B465" s="76">
        <v>0.129999363423849</v>
      </c>
      <c r="C465" s="76">
        <v>0.13685925925528863</v>
      </c>
      <c r="D465" s="76">
        <v>0.18472268517507473</v>
      </c>
      <c r="E465" s="76">
        <v>2.0954764467605855</v>
      </c>
      <c r="F465" s="76">
        <v>2.137001249997411</v>
      </c>
      <c r="J465" s="225">
        <f t="shared" si="1"/>
        <v>4.684059005</v>
      </c>
    </row>
    <row r="466">
      <c r="A466" s="76">
        <v>5420.0</v>
      </c>
      <c r="B466" s="76">
        <v>0.13670028934575384</v>
      </c>
      <c r="C466" s="76">
        <v>0.14351673610508442</v>
      </c>
      <c r="D466" s="76">
        <v>0.19159334489813773</v>
      </c>
      <c r="E466" s="76">
        <v>2.1023440277785994</v>
      </c>
      <c r="F466" s="76">
        <v>2.1439291435162886</v>
      </c>
      <c r="J466" s="225">
        <f t="shared" si="1"/>
        <v>4.718083542</v>
      </c>
    </row>
    <row r="467">
      <c r="A467" s="76">
        <v>5421.0</v>
      </c>
      <c r="B467" s="76">
        <v>0.13787846064951736</v>
      </c>
      <c r="C467" s="76">
        <v>0.14471613425848773</v>
      </c>
      <c r="D467" s="76">
        <v>0.19294722221820848</v>
      </c>
      <c r="E467" s="76">
        <v>2.1037020717558335</v>
      </c>
      <c r="F467" s="76">
        <v>2.1452981018519495</v>
      </c>
      <c r="J467" s="225">
        <f t="shared" si="1"/>
        <v>4.724541991</v>
      </c>
    </row>
    <row r="468">
      <c r="A468" s="76">
        <v>5422.0</v>
      </c>
      <c r="B468" s="76">
        <v>0.13058528934925562</v>
      </c>
      <c r="C468" s="76">
        <v>0.13744395833055023</v>
      </c>
      <c r="D468" s="76">
        <v>1.8040501273135305</v>
      </c>
      <c r="E468" s="76">
        <v>2.803982638892194</v>
      </c>
      <c r="F468" s="76">
        <v>2.84561289352132</v>
      </c>
      <c r="J468" s="225">
        <f t="shared" si="1"/>
        <v>7.721674907</v>
      </c>
    </row>
    <row r="469">
      <c r="A469" s="76">
        <v>5423.0</v>
      </c>
      <c r="B469" s="76">
        <v>0.1577244097206858</v>
      </c>
      <c r="C469" s="76">
        <v>0.16460311342962086</v>
      </c>
      <c r="D469" s="76">
        <v>0.26874074074294185</v>
      </c>
      <c r="E469" s="76">
        <v>1.0057762847136473</v>
      </c>
      <c r="F469" s="76">
        <v>1.0473495370315504</v>
      </c>
      <c r="J469" s="225">
        <f t="shared" si="1"/>
        <v>2.644194086</v>
      </c>
    </row>
    <row r="470">
      <c r="A470" s="76">
        <v>5424.0</v>
      </c>
      <c r="B470" s="76">
        <v>0.03192744212719845</v>
      </c>
      <c r="C470" s="76">
        <v>0.038791435181337874</v>
      </c>
      <c r="D470" s="76">
        <v>0.08676244212256279</v>
      </c>
      <c r="E470" s="76">
        <v>1.0861335416702786</v>
      </c>
      <c r="F470" s="76">
        <v>1.1277519444411155</v>
      </c>
      <c r="J470" s="225">
        <f t="shared" si="1"/>
        <v>2.371366806</v>
      </c>
    </row>
    <row r="471">
      <c r="A471" s="76">
        <v>5425.0</v>
      </c>
      <c r="B471" s="76">
        <v>0.7378322916629259</v>
      </c>
      <c r="C471" s="76">
        <v>0.7446860069394461</v>
      </c>
      <c r="D471" s="76">
        <v>0.8388326851854799</v>
      </c>
      <c r="E471" s="76">
        <v>1.7755736226899899</v>
      </c>
      <c r="F471" s="76">
        <v>1.8172250347270165</v>
      </c>
      <c r="J471" s="225">
        <f t="shared" si="1"/>
        <v>5.914149641</v>
      </c>
    </row>
    <row r="472">
      <c r="A472" s="76">
        <v>5426.0</v>
      </c>
      <c r="B472" s="76">
        <v>0.7039500925966422</v>
      </c>
      <c r="C472" s="76">
        <v>0.7106278240753454</v>
      </c>
      <c r="D472" s="76">
        <v>0.8145557523166644</v>
      </c>
      <c r="E472" s="76">
        <v>0.7710155671302346</v>
      </c>
      <c r="F472" s="76">
        <v>0.8126314004621236</v>
      </c>
      <c r="J472" s="225">
        <f t="shared" si="1"/>
        <v>3.812780637</v>
      </c>
    </row>
    <row r="473">
      <c r="A473" s="76">
        <v>5427.0</v>
      </c>
      <c r="B473" s="76">
        <v>0.7052833680572803</v>
      </c>
      <c r="C473" s="76">
        <v>0.7119894328789087</v>
      </c>
      <c r="D473" s="76">
        <v>0.8159819097272702</v>
      </c>
      <c r="E473" s="76">
        <v>0.7682078240686678</v>
      </c>
      <c r="F473" s="76">
        <v>0.8098488078612718</v>
      </c>
      <c r="J473" s="225">
        <f t="shared" si="1"/>
        <v>3.811311343</v>
      </c>
    </row>
    <row r="474">
      <c r="A474" s="76">
        <v>5428.0</v>
      </c>
      <c r="B474" s="76">
        <v>0.7058551967638778</v>
      </c>
      <c r="C474" s="76">
        <v>0.7126596296293428</v>
      </c>
      <c r="D474" s="76">
        <v>0.8166547800938133</v>
      </c>
      <c r="E474" s="76">
        <v>0.9661045717584784</v>
      </c>
      <c r="F474" s="76">
        <v>1.0077450694443542</v>
      </c>
      <c r="J474" s="225">
        <f t="shared" si="1"/>
        <v>4.209019248</v>
      </c>
    </row>
    <row r="475">
      <c r="A475" s="76">
        <v>5429.0</v>
      </c>
      <c r="B475" s="76">
        <v>0.1227693749970058</v>
      </c>
      <c r="C475" s="76">
        <v>0.12961401620850665</v>
      </c>
      <c r="D475" s="76">
        <v>0.23372408564318903</v>
      </c>
      <c r="E475" s="76">
        <v>1.0625493287006975</v>
      </c>
      <c r="F475" s="76">
        <v>1.104188935183629</v>
      </c>
      <c r="J475" s="225">
        <f t="shared" si="1"/>
        <v>2.652845741</v>
      </c>
    </row>
    <row r="476">
      <c r="A476" s="76">
        <v>5430.0</v>
      </c>
      <c r="B476" s="76">
        <v>0.16460769675904885</v>
      </c>
      <c r="C476" s="76">
        <v>0.17145920138864312</v>
      </c>
      <c r="D476" s="76">
        <v>0.2755180208332604</v>
      </c>
      <c r="E476" s="76">
        <v>0.2382019791766652</v>
      </c>
      <c r="F476" s="76">
        <v>0.004822592600248754</v>
      </c>
      <c r="J476" s="225">
        <f t="shared" si="1"/>
        <v>0.8546094908</v>
      </c>
    </row>
    <row r="477">
      <c r="A477" s="76">
        <v>5431.0</v>
      </c>
      <c r="B477" s="76">
        <v>0.12695908564637648</v>
      </c>
      <c r="C477" s="76">
        <v>0.13364549768448342</v>
      </c>
      <c r="D477" s="76">
        <v>0.00439809027739102</v>
      </c>
      <c r="E477" s="76">
        <v>0.9972023958398495</v>
      </c>
      <c r="F477" s="76">
        <v>0.0197818634333089</v>
      </c>
      <c r="J477" s="225">
        <f t="shared" si="1"/>
        <v>1.281986933</v>
      </c>
    </row>
    <row r="478">
      <c r="A478" s="76">
        <v>5432.0</v>
      </c>
      <c r="B478" s="76">
        <v>0.16565108796203276</v>
      </c>
      <c r="C478" s="76">
        <v>0.1723362731427187</v>
      </c>
      <c r="D478" s="76">
        <v>0.15242126156954328</v>
      </c>
      <c r="E478" s="76">
        <v>1.1517888425951242</v>
      </c>
      <c r="F478" s="76">
        <v>1.19343155092065</v>
      </c>
      <c r="J478" s="225">
        <f t="shared" si="1"/>
        <v>2.835629016</v>
      </c>
    </row>
    <row r="479">
      <c r="A479" s="76">
        <v>5433.0</v>
      </c>
      <c r="B479" s="76">
        <v>0.16623295138560934</v>
      </c>
      <c r="C479" s="76">
        <v>0.17310980323964031</v>
      </c>
      <c r="D479" s="76">
        <v>0.2772534722171258</v>
      </c>
      <c r="E479" s="76">
        <v>1.2138425347220618</v>
      </c>
      <c r="F479" s="76">
        <v>0.30070679397613276</v>
      </c>
      <c r="J479" s="225">
        <f t="shared" si="1"/>
        <v>2.131145556</v>
      </c>
    </row>
    <row r="480">
      <c r="A480" s="76">
        <v>5434.0</v>
      </c>
      <c r="B480" s="76">
        <v>0.1502758333372185</v>
      </c>
      <c r="C480" s="76">
        <v>0.15716879629326286</v>
      </c>
      <c r="D480" s="76">
        <v>0.2612819907371886</v>
      </c>
      <c r="E480" s="76">
        <v>1.219377430548775</v>
      </c>
      <c r="F480" s="76">
        <v>0.28841971063957317</v>
      </c>
      <c r="J480" s="225">
        <f t="shared" si="1"/>
        <v>2.076523762</v>
      </c>
    </row>
    <row r="481">
      <c r="A481" s="76">
        <v>5435.0</v>
      </c>
      <c r="B481" s="76">
        <v>0.16282362267520512</v>
      </c>
      <c r="C481" s="76">
        <v>0.16968878472107463</v>
      </c>
      <c r="D481" s="76">
        <v>0.2738237268422381</v>
      </c>
      <c r="E481" s="76">
        <v>0.3485485879573389</v>
      </c>
      <c r="F481" s="76">
        <v>0.39017300925479503</v>
      </c>
      <c r="J481" s="225">
        <f t="shared" si="1"/>
        <v>1.345057731</v>
      </c>
    </row>
    <row r="482">
      <c r="A482" s="76">
        <v>5436.0</v>
      </c>
      <c r="B482" s="76">
        <v>0.05295872684655478</v>
      </c>
      <c r="C482" s="76">
        <v>0.059817129622388165</v>
      </c>
      <c r="D482" s="76">
        <v>0.09181071758212056</v>
      </c>
      <c r="E482" s="76">
        <v>0.8955572800914524</v>
      </c>
      <c r="F482" s="76">
        <v>0.3785275810150779</v>
      </c>
      <c r="J482" s="225">
        <f t="shared" si="1"/>
        <v>1.478671435</v>
      </c>
    </row>
    <row r="483">
      <c r="A483" s="76">
        <v>5437.0</v>
      </c>
      <c r="B483" s="76">
        <v>0.054073564817372244</v>
      </c>
      <c r="C483" s="76">
        <v>0.06090518518612953</v>
      </c>
      <c r="D483" s="76">
        <v>0.09293917823379161</v>
      </c>
      <c r="E483" s="76">
        <v>0.8969103472263669</v>
      </c>
      <c r="F483" s="76">
        <v>0.9384380671326653</v>
      </c>
      <c r="J483" s="225">
        <f t="shared" si="1"/>
        <v>2.043266343</v>
      </c>
    </row>
    <row r="484">
      <c r="A484" s="76">
        <v>5438.0</v>
      </c>
      <c r="B484" s="76">
        <v>0.0550105324073229</v>
      </c>
      <c r="C484" s="76">
        <v>0.06186641203385079</v>
      </c>
      <c r="D484" s="76">
        <v>0.09385990739974659</v>
      </c>
      <c r="E484" s="76">
        <v>0.8975770023171208</v>
      </c>
      <c r="F484" s="76">
        <v>1.5224817592606996</v>
      </c>
      <c r="J484" s="225">
        <f t="shared" si="1"/>
        <v>2.630795613</v>
      </c>
    </row>
    <row r="485">
      <c r="A485" s="76">
        <v>5439.0</v>
      </c>
      <c r="B485" s="76">
        <v>0.0581410532395239</v>
      </c>
      <c r="C485" s="76">
        <v>0.06496496527688578</v>
      </c>
      <c r="D485" s="76">
        <v>0.09696858796087326</v>
      </c>
      <c r="E485" s="76">
        <v>0.9010256828696583</v>
      </c>
      <c r="F485" s="76">
        <v>1.5259676967543783</v>
      </c>
      <c r="J485" s="225">
        <f t="shared" si="1"/>
        <v>2.647067986</v>
      </c>
    </row>
    <row r="486">
      <c r="A486" s="76">
        <v>5440.0</v>
      </c>
      <c r="B486" s="76">
        <v>0.14461668981675757</v>
      </c>
      <c r="C486" s="76">
        <v>0.15148944444808876</v>
      </c>
      <c r="D486" s="76">
        <v>0.25561065972578945</v>
      </c>
      <c r="E486" s="76">
        <v>0.036500416666967794</v>
      </c>
      <c r="F486" s="76">
        <v>0.661435138885281</v>
      </c>
      <c r="J486" s="225">
        <f t="shared" si="1"/>
        <v>1.24965235</v>
      </c>
    </row>
    <row r="487">
      <c r="A487" s="76">
        <v>5441.0</v>
      </c>
      <c r="B487" s="76">
        <v>0.07386196759034647</v>
      </c>
      <c r="C487" s="76">
        <v>0.08070638888602844</v>
      </c>
      <c r="D487" s="76">
        <v>0.6320392476845882</v>
      </c>
      <c r="E487" s="76">
        <v>0.667218414353556</v>
      </c>
      <c r="F487" s="76">
        <v>0.7088479166632169</v>
      </c>
      <c r="J487" s="225">
        <f t="shared" si="1"/>
        <v>2.162673935</v>
      </c>
    </row>
    <row r="488">
      <c r="A488" s="76">
        <v>5442.0</v>
      </c>
      <c r="B488" s="76">
        <v>0.01295233795826789</v>
      </c>
      <c r="C488" s="76">
        <v>0.019827337957394775</v>
      </c>
      <c r="D488" s="76">
        <v>0.12372780092118774</v>
      </c>
      <c r="E488" s="76">
        <v>0.9891179861078854</v>
      </c>
      <c r="F488" s="76">
        <v>1.0308662499955972</v>
      </c>
      <c r="J488" s="225">
        <f t="shared" si="1"/>
        <v>2.176491713</v>
      </c>
    </row>
    <row r="489">
      <c r="A489" s="76">
        <v>5443.0</v>
      </c>
      <c r="B489" s="76">
        <v>0.01405925925791962</v>
      </c>
      <c r="C489" s="76">
        <v>0.02091111111076316</v>
      </c>
      <c r="D489" s="76">
        <v>0.12461481481295777</v>
      </c>
      <c r="E489" s="76">
        <v>0.9895031365740579</v>
      </c>
      <c r="F489" s="76">
        <v>1.0310990046273218</v>
      </c>
      <c r="J489" s="225">
        <f t="shared" si="1"/>
        <v>2.180187326</v>
      </c>
    </row>
    <row r="490">
      <c r="A490" s="76">
        <v>5444.0</v>
      </c>
      <c r="B490" s="76">
        <v>0.0025453703783568926</v>
      </c>
      <c r="C490" s="76">
        <v>0.008955706027336419</v>
      </c>
      <c r="D490" s="76">
        <v>0.717006736114854</v>
      </c>
      <c r="E490" s="76">
        <v>0.10097564815805526</v>
      </c>
      <c r="F490" s="76">
        <v>0.14258311342564411</v>
      </c>
      <c r="J490" s="225">
        <f t="shared" si="1"/>
        <v>0.9720665741</v>
      </c>
    </row>
    <row r="491">
      <c r="A491" s="76">
        <v>5445.0</v>
      </c>
      <c r="B491" s="76">
        <v>0.037135833328648005</v>
      </c>
      <c r="C491" s="76">
        <v>-0.7752192129628384</v>
      </c>
      <c r="D491" s="76">
        <v>0.7517114814836532</v>
      </c>
      <c r="E491" s="76">
        <v>1.9326721643519704</v>
      </c>
      <c r="F491" s="76">
        <v>1.1845237962988904</v>
      </c>
      <c r="J491" s="225">
        <f t="shared" si="1"/>
        <v>3.130824063</v>
      </c>
    </row>
    <row r="492">
      <c r="A492" s="76">
        <v>5446.0</v>
      </c>
      <c r="B492" s="76">
        <v>0.11400148148095468</v>
      </c>
      <c r="C492" s="76">
        <v>0.12087240740220295</v>
      </c>
      <c r="D492" s="76">
        <v>0.22494749999168562</v>
      </c>
      <c r="E492" s="76">
        <v>2.224326331022894</v>
      </c>
      <c r="F492" s="76">
        <v>2.0594981018512044</v>
      </c>
      <c r="J492" s="225">
        <f t="shared" si="1"/>
        <v>4.743645822</v>
      </c>
    </row>
    <row r="493">
      <c r="A493" s="76">
        <v>5447.0</v>
      </c>
      <c r="B493" s="76">
        <v>0.08441979166673264</v>
      </c>
      <c r="C493" s="76">
        <v>0.09127482639451046</v>
      </c>
      <c r="D493" s="76">
        <v>0.19538862268382218</v>
      </c>
      <c r="E493" s="76">
        <v>1.1950167592658545</v>
      </c>
      <c r="F493" s="76">
        <v>1.1742594907409512</v>
      </c>
      <c r="J493" s="225">
        <f t="shared" si="1"/>
        <v>2.740359491</v>
      </c>
    </row>
    <row r="494">
      <c r="A494" s="76">
        <v>5448.0</v>
      </c>
      <c r="B494" s="76">
        <v>0.15064293981413357</v>
      </c>
      <c r="C494" s="76">
        <v>0.15750342592218658</v>
      </c>
      <c r="D494" s="76">
        <v>0.26156489583081566</v>
      </c>
      <c r="E494" s="76">
        <v>0.8965172106400132</v>
      </c>
      <c r="F494" s="76">
        <v>0.938095462952333</v>
      </c>
      <c r="J494" s="225">
        <f t="shared" si="1"/>
        <v>2.404323935</v>
      </c>
    </row>
    <row r="495">
      <c r="A495" s="76">
        <v>5449.0</v>
      </c>
      <c r="B495" s="76">
        <v>0.14123082175501622</v>
      </c>
      <c r="C495" s="76">
        <v>0.14787812499707798</v>
      </c>
      <c r="D495" s="76">
        <v>0.017627627312322147</v>
      </c>
      <c r="E495" s="76">
        <v>0.97497754629876</v>
      </c>
      <c r="F495" s="76">
        <v>1.016534409725864</v>
      </c>
      <c r="J495" s="225">
        <f t="shared" si="1"/>
        <v>2.29824853</v>
      </c>
    </row>
    <row r="496">
      <c r="A496" s="76">
        <v>5450.0</v>
      </c>
      <c r="B496" s="76">
        <v>0.1431091782360454</v>
      </c>
      <c r="C496" s="76">
        <v>0.14975597221928183</v>
      </c>
      <c r="D496" s="76">
        <v>0.019492662031552754</v>
      </c>
      <c r="E496" s="76">
        <v>0.9772927083322429</v>
      </c>
      <c r="F496" s="76">
        <v>1.018374803243205</v>
      </c>
      <c r="J496" s="225">
        <f t="shared" si="1"/>
        <v>2.308025324</v>
      </c>
    </row>
    <row r="497">
      <c r="A497" s="76">
        <v>5451.0</v>
      </c>
      <c r="B497" s="76">
        <v>0.1483661111051333</v>
      </c>
      <c r="C497" s="76">
        <v>0.1549863657419337</v>
      </c>
      <c r="D497" s="76">
        <v>0.02475184027571231</v>
      </c>
      <c r="E497" s="76">
        <v>0.9821396064799046</v>
      </c>
      <c r="F497" s="76" t="s">
        <v>2524</v>
      </c>
      <c r="J497" s="225">
        <f t="shared" si="1"/>
        <v>1.310243924</v>
      </c>
    </row>
    <row r="498">
      <c r="A498" s="76">
        <v>5452.0</v>
      </c>
      <c r="B498" s="76">
        <v>0.1379118402765016</v>
      </c>
      <c r="C498" s="76">
        <v>0.14479655092873145</v>
      </c>
      <c r="D498" s="76">
        <v>0.7319064699040609</v>
      </c>
      <c r="E498" s="76">
        <v>1.7314238078761264</v>
      </c>
      <c r="F498" s="76" t="s">
        <v>2524</v>
      </c>
      <c r="J498" s="225">
        <f t="shared" si="1"/>
        <v>2.746038669</v>
      </c>
    </row>
    <row r="499">
      <c r="A499" s="76">
        <v>5453.0</v>
      </c>
      <c r="B499" s="76">
        <v>0.13198645833472256</v>
      </c>
      <c r="C499" s="76">
        <v>0.1387772337984643</v>
      </c>
      <c r="D499" s="76">
        <v>0.24291185184847564</v>
      </c>
      <c r="E499" s="76" t="s">
        <v>2524</v>
      </c>
      <c r="F499" s="76" t="s">
        <v>2524</v>
      </c>
      <c r="J499" s="225">
        <f t="shared" si="1"/>
        <v>0.513675544</v>
      </c>
    </row>
    <row r="500">
      <c r="A500" s="76">
        <v>5454.0</v>
      </c>
      <c r="B500" s="76">
        <v>0.1332646874943748</v>
      </c>
      <c r="C500" s="76">
        <v>0.14016743055253755</v>
      </c>
      <c r="D500" s="76">
        <v>0.2443050694419071</v>
      </c>
      <c r="E500" s="76" t="s">
        <v>2524</v>
      </c>
      <c r="F500" s="76" t="s">
        <v>2524</v>
      </c>
      <c r="J500" s="225">
        <f t="shared" si="1"/>
        <v>0.5177371875</v>
      </c>
    </row>
    <row r="501">
      <c r="A501" s="76">
        <v>5455.0</v>
      </c>
      <c r="B501" s="76" t="s">
        <v>2524</v>
      </c>
      <c r="C501" s="76" t="s">
        <v>2524</v>
      </c>
      <c r="D501" s="76" t="s">
        <v>2524</v>
      </c>
      <c r="E501" s="76" t="s">
        <v>2524</v>
      </c>
      <c r="F501" s="76" t="s">
        <v>2524</v>
      </c>
      <c r="J501" s="225">
        <f t="shared" si="1"/>
        <v>0</v>
      </c>
    </row>
    <row r="502">
      <c r="A502" s="76">
        <v>5456.0</v>
      </c>
      <c r="B502" s="76" t="s">
        <v>2524</v>
      </c>
      <c r="C502" s="76" t="s">
        <v>2524</v>
      </c>
      <c r="D502" s="76" t="s">
        <v>2524</v>
      </c>
      <c r="E502" s="76" t="s">
        <v>2524</v>
      </c>
      <c r="F502" s="76" t="s">
        <v>2524</v>
      </c>
      <c r="J502" s="225">
        <f t="shared" si="1"/>
        <v>0</v>
      </c>
    </row>
    <row r="503">
      <c r="A503" s="76">
        <v>5457.0</v>
      </c>
      <c r="B503" s="76" t="s">
        <v>2524</v>
      </c>
      <c r="C503" s="76" t="s">
        <v>2524</v>
      </c>
      <c r="D503" s="76" t="s">
        <v>2524</v>
      </c>
      <c r="E503" s="76" t="s">
        <v>2524</v>
      </c>
      <c r="F503" s="76" t="s">
        <v>2524</v>
      </c>
      <c r="J503" s="225">
        <f t="shared" si="1"/>
        <v>0</v>
      </c>
    </row>
    <row r="504">
      <c r="A504" s="76" t="s">
        <v>2540</v>
      </c>
      <c r="B504" s="76" t="s">
        <v>2540</v>
      </c>
      <c r="C504" s="76" t="s">
        <v>2540</v>
      </c>
      <c r="D504" s="76" t="s">
        <v>2540</v>
      </c>
      <c r="E504" s="76" t="s">
        <v>2540</v>
      </c>
      <c r="F504" s="76" t="s">
        <v>2540</v>
      </c>
      <c r="J504" s="225" t="str">
        <f t="shared" si="1"/>
        <v/>
      </c>
    </row>
    <row r="505">
      <c r="A505" s="76" t="s">
        <v>2540</v>
      </c>
      <c r="B505" s="76" t="s">
        <v>2540</v>
      </c>
      <c r="C505" s="76" t="s">
        <v>2540</v>
      </c>
      <c r="D505" s="76" t="s">
        <v>2540</v>
      </c>
      <c r="E505" s="76" t="s">
        <v>2540</v>
      </c>
      <c r="F505" s="76" t="s">
        <v>2540</v>
      </c>
      <c r="J505" s="225" t="str">
        <f t="shared" si="1"/>
        <v/>
      </c>
    </row>
    <row r="506">
      <c r="A506" s="76" t="s">
        <v>2540</v>
      </c>
      <c r="B506" s="76" t="s">
        <v>2540</v>
      </c>
      <c r="C506" s="76" t="s">
        <v>2540</v>
      </c>
      <c r="D506" s="76" t="s">
        <v>2540</v>
      </c>
      <c r="E506" s="76" t="s">
        <v>2540</v>
      </c>
      <c r="F506" s="76" t="s">
        <v>2540</v>
      </c>
      <c r="J506" s="225" t="str">
        <f t="shared" si="1"/>
        <v/>
      </c>
    </row>
    <row r="507">
      <c r="A507" s="76" t="s">
        <v>2540</v>
      </c>
      <c r="B507" s="76" t="s">
        <v>2540</v>
      </c>
      <c r="C507" s="76" t="s">
        <v>2540</v>
      </c>
      <c r="D507" s="76" t="s">
        <v>2540</v>
      </c>
      <c r="E507" s="76" t="s">
        <v>2540</v>
      </c>
      <c r="F507" s="76" t="s">
        <v>2540</v>
      </c>
      <c r="J507" s="225" t="str">
        <f t="shared" si="1"/>
        <v/>
      </c>
    </row>
    <row r="508">
      <c r="A508" s="76" t="s">
        <v>2540</v>
      </c>
      <c r="B508" s="76" t="s">
        <v>2540</v>
      </c>
      <c r="C508" s="76" t="s">
        <v>2540</v>
      </c>
      <c r="D508" s="76" t="s">
        <v>2540</v>
      </c>
      <c r="E508" s="76" t="s">
        <v>2540</v>
      </c>
      <c r="F508" s="76" t="s">
        <v>2540</v>
      </c>
      <c r="J508" s="225" t="str">
        <f t="shared" si="1"/>
        <v/>
      </c>
    </row>
    <row r="509">
      <c r="A509" s="76" t="s">
        <v>2540</v>
      </c>
      <c r="B509" s="76" t="s">
        <v>2540</v>
      </c>
      <c r="C509" s="76" t="s">
        <v>2540</v>
      </c>
      <c r="D509" s="76" t="s">
        <v>2540</v>
      </c>
      <c r="E509" s="76" t="s">
        <v>2540</v>
      </c>
      <c r="F509" s="76" t="s">
        <v>2540</v>
      </c>
      <c r="J509" s="225" t="str">
        <f t="shared" si="1"/>
        <v/>
      </c>
    </row>
    <row r="510">
      <c r="A510" s="76" t="s">
        <v>2540</v>
      </c>
      <c r="B510" s="76" t="s">
        <v>2540</v>
      </c>
      <c r="C510" s="76" t="s">
        <v>2540</v>
      </c>
      <c r="D510" s="76" t="s">
        <v>2540</v>
      </c>
      <c r="E510" s="76" t="s">
        <v>2540</v>
      </c>
      <c r="F510" s="76" t="s">
        <v>2540</v>
      </c>
      <c r="J510" s="225" t="str">
        <f t="shared" si="1"/>
        <v/>
      </c>
    </row>
    <row r="511">
      <c r="A511" s="76" t="s">
        <v>2540</v>
      </c>
      <c r="B511" s="76" t="s">
        <v>2540</v>
      </c>
      <c r="C511" s="76" t="s">
        <v>2540</v>
      </c>
      <c r="D511" s="76" t="s">
        <v>2540</v>
      </c>
      <c r="E511" s="76" t="s">
        <v>2540</v>
      </c>
      <c r="F511" s="76" t="s">
        <v>2540</v>
      </c>
      <c r="J511" s="225" t="str">
        <f t="shared" si="1"/>
        <v/>
      </c>
    </row>
    <row r="512">
      <c r="A512" s="76" t="s">
        <v>2540</v>
      </c>
      <c r="B512" s="76" t="s">
        <v>2540</v>
      </c>
      <c r="C512" s="76" t="s">
        <v>2540</v>
      </c>
      <c r="D512" s="76" t="s">
        <v>2540</v>
      </c>
      <c r="E512" s="76" t="s">
        <v>2540</v>
      </c>
      <c r="F512" s="76" t="s">
        <v>2540</v>
      </c>
      <c r="J512" s="225" t="str">
        <f t="shared" si="1"/>
        <v/>
      </c>
    </row>
    <row r="513">
      <c r="A513" s="76" t="s">
        <v>2540</v>
      </c>
      <c r="B513" s="76" t="s">
        <v>2540</v>
      </c>
      <c r="C513" s="76" t="s">
        <v>2540</v>
      </c>
      <c r="D513" s="76" t="s">
        <v>2540</v>
      </c>
      <c r="E513" s="76" t="s">
        <v>2540</v>
      </c>
      <c r="F513" s="76" t="s">
        <v>2540</v>
      </c>
      <c r="J513" s="225" t="str">
        <f t="shared" si="1"/>
        <v/>
      </c>
    </row>
    <row r="514">
      <c r="A514" s="76" t="s">
        <v>2540</v>
      </c>
      <c r="B514" s="76" t="s">
        <v>2540</v>
      </c>
      <c r="C514" s="76" t="s">
        <v>2540</v>
      </c>
      <c r="D514" s="76" t="s">
        <v>2540</v>
      </c>
      <c r="E514" s="76" t="s">
        <v>2540</v>
      </c>
      <c r="F514" s="76" t="s">
        <v>2540</v>
      </c>
      <c r="J514" s="225" t="str">
        <f t="shared" si="1"/>
        <v/>
      </c>
    </row>
    <row r="515">
      <c r="A515" s="76" t="s">
        <v>2540</v>
      </c>
      <c r="B515" s="76" t="s">
        <v>2540</v>
      </c>
      <c r="C515" s="76" t="s">
        <v>2540</v>
      </c>
      <c r="D515" s="76" t="s">
        <v>2540</v>
      </c>
      <c r="E515" s="76" t="s">
        <v>2540</v>
      </c>
      <c r="F515" s="76" t="s">
        <v>2540</v>
      </c>
      <c r="J515" s="225" t="str">
        <f t="shared" si="1"/>
        <v/>
      </c>
    </row>
    <row r="516">
      <c r="A516" s="76" t="s">
        <v>2540</v>
      </c>
      <c r="B516" s="76" t="s">
        <v>2540</v>
      </c>
      <c r="C516" s="76" t="s">
        <v>2540</v>
      </c>
      <c r="D516" s="76" t="s">
        <v>2540</v>
      </c>
      <c r="E516" s="76" t="s">
        <v>2540</v>
      </c>
      <c r="F516" s="76" t="s">
        <v>2540</v>
      </c>
      <c r="J516" s="225" t="str">
        <f t="shared" si="1"/>
        <v/>
      </c>
    </row>
    <row r="517">
      <c r="A517" s="76" t="s">
        <v>2540</v>
      </c>
      <c r="B517" s="76" t="s">
        <v>2540</v>
      </c>
      <c r="C517" s="76" t="s">
        <v>2540</v>
      </c>
      <c r="D517" s="76" t="s">
        <v>2540</v>
      </c>
      <c r="E517" s="76" t="s">
        <v>2540</v>
      </c>
      <c r="F517" s="76" t="s">
        <v>2540</v>
      </c>
      <c r="J517" s="225" t="str">
        <f t="shared" si="1"/>
        <v/>
      </c>
    </row>
    <row r="518">
      <c r="A518" s="76" t="s">
        <v>2540</v>
      </c>
      <c r="B518" s="76" t="s">
        <v>2540</v>
      </c>
      <c r="C518" s="76" t="s">
        <v>2540</v>
      </c>
      <c r="D518" s="76" t="s">
        <v>2540</v>
      </c>
      <c r="E518" s="76" t="s">
        <v>2540</v>
      </c>
      <c r="F518" s="76" t="s">
        <v>2540</v>
      </c>
      <c r="J518" s="225" t="str">
        <f t="shared" si="1"/>
        <v/>
      </c>
    </row>
    <row r="519">
      <c r="A519" s="76" t="s">
        <v>2540</v>
      </c>
      <c r="B519" s="76" t="s">
        <v>2540</v>
      </c>
      <c r="C519" s="76" t="s">
        <v>2540</v>
      </c>
      <c r="D519" s="76" t="s">
        <v>2540</v>
      </c>
      <c r="E519" s="76" t="s">
        <v>2540</v>
      </c>
      <c r="F519" s="76" t="s">
        <v>2540</v>
      </c>
      <c r="J519" s="225" t="str">
        <f t="shared" si="1"/>
        <v/>
      </c>
    </row>
    <row r="520">
      <c r="A520" s="76" t="s">
        <v>2540</v>
      </c>
      <c r="B520" s="76" t="s">
        <v>2540</v>
      </c>
      <c r="C520" s="76" t="s">
        <v>2540</v>
      </c>
      <c r="D520" s="76" t="s">
        <v>2540</v>
      </c>
      <c r="E520" s="76" t="s">
        <v>2540</v>
      </c>
      <c r="F520" s="76" t="s">
        <v>2540</v>
      </c>
      <c r="J520" s="225" t="str">
        <f t="shared" si="1"/>
        <v/>
      </c>
    </row>
    <row r="521">
      <c r="A521" s="76" t="s">
        <v>2540</v>
      </c>
      <c r="B521" s="76" t="s">
        <v>2540</v>
      </c>
      <c r="C521" s="76" t="s">
        <v>2540</v>
      </c>
      <c r="D521" s="76" t="s">
        <v>2540</v>
      </c>
      <c r="E521" s="76" t="s">
        <v>2540</v>
      </c>
      <c r="F521" s="76" t="s">
        <v>2540</v>
      </c>
      <c r="J521" s="225" t="str">
        <f t="shared" si="1"/>
        <v/>
      </c>
    </row>
    <row r="522">
      <c r="A522" s="76" t="s">
        <v>2540</v>
      </c>
      <c r="B522" s="76" t="s">
        <v>2540</v>
      </c>
      <c r="C522" s="76" t="s">
        <v>2540</v>
      </c>
      <c r="D522" s="76" t="s">
        <v>2540</v>
      </c>
      <c r="E522" s="76" t="s">
        <v>2540</v>
      </c>
      <c r="F522" s="76" t="s">
        <v>2540</v>
      </c>
      <c r="J522" s="225" t="str">
        <f t="shared" si="1"/>
        <v/>
      </c>
    </row>
    <row r="523">
      <c r="A523" s="76" t="s">
        <v>2540</v>
      </c>
      <c r="B523" s="76" t="s">
        <v>2540</v>
      </c>
      <c r="C523" s="76" t="s">
        <v>2540</v>
      </c>
      <c r="D523" s="76" t="s">
        <v>2540</v>
      </c>
      <c r="E523" s="76" t="s">
        <v>2540</v>
      </c>
      <c r="F523" s="76" t="s">
        <v>2540</v>
      </c>
      <c r="J523" s="225" t="str">
        <f t="shared" si="1"/>
        <v/>
      </c>
    </row>
    <row r="524">
      <c r="A524" s="76" t="s">
        <v>2540</v>
      </c>
      <c r="B524" s="76" t="s">
        <v>2540</v>
      </c>
      <c r="C524" s="76" t="s">
        <v>2540</v>
      </c>
      <c r="D524" s="76" t="s">
        <v>2540</v>
      </c>
      <c r="E524" s="76" t="s">
        <v>2540</v>
      </c>
      <c r="F524" s="76" t="s">
        <v>2540</v>
      </c>
      <c r="J524" s="225" t="str">
        <f t="shared" si="1"/>
        <v/>
      </c>
    </row>
    <row r="525">
      <c r="A525" s="76" t="s">
        <v>2540</v>
      </c>
      <c r="B525" s="76" t="s">
        <v>2540</v>
      </c>
      <c r="C525" s="76" t="s">
        <v>2540</v>
      </c>
      <c r="D525" s="76" t="s">
        <v>2540</v>
      </c>
      <c r="E525" s="76" t="s">
        <v>2540</v>
      </c>
      <c r="F525" s="76" t="s">
        <v>2540</v>
      </c>
      <c r="J525" s="225" t="str">
        <f t="shared" si="1"/>
        <v/>
      </c>
    </row>
    <row r="526">
      <c r="A526" s="76" t="s">
        <v>2540</v>
      </c>
      <c r="B526" s="76" t="s">
        <v>2540</v>
      </c>
      <c r="C526" s="76" t="s">
        <v>2540</v>
      </c>
      <c r="D526" s="76" t="s">
        <v>2540</v>
      </c>
      <c r="E526" s="76" t="s">
        <v>2540</v>
      </c>
      <c r="F526" s="76" t="s">
        <v>2540</v>
      </c>
      <c r="J526" s="225" t="str">
        <f t="shared" si="1"/>
        <v/>
      </c>
    </row>
    <row r="527">
      <c r="A527" s="76" t="s">
        <v>2540</v>
      </c>
      <c r="B527" s="76" t="s">
        <v>2540</v>
      </c>
      <c r="C527" s="76" t="s">
        <v>2540</v>
      </c>
      <c r="D527" s="76" t="s">
        <v>2540</v>
      </c>
      <c r="E527" s="76" t="s">
        <v>2540</v>
      </c>
      <c r="F527" s="76" t="s">
        <v>2540</v>
      </c>
      <c r="J527" s="225" t="str">
        <f t="shared" si="1"/>
        <v/>
      </c>
    </row>
    <row r="528">
      <c r="A528" s="76" t="s">
        <v>2540</v>
      </c>
      <c r="B528" s="76" t="s">
        <v>2540</v>
      </c>
      <c r="C528" s="76" t="s">
        <v>2540</v>
      </c>
      <c r="D528" s="76" t="s">
        <v>2540</v>
      </c>
      <c r="E528" s="76" t="s">
        <v>2540</v>
      </c>
      <c r="F528" s="76" t="s">
        <v>2540</v>
      </c>
      <c r="J528" s="225" t="str">
        <f t="shared" si="1"/>
        <v/>
      </c>
    </row>
    <row r="529">
      <c r="A529" s="76" t="s">
        <v>2540</v>
      </c>
      <c r="B529" s="76" t="s">
        <v>2540</v>
      </c>
      <c r="C529" s="76" t="s">
        <v>2540</v>
      </c>
      <c r="D529" s="76" t="s">
        <v>2540</v>
      </c>
      <c r="E529" s="76" t="s">
        <v>2540</v>
      </c>
      <c r="F529" s="76" t="s">
        <v>2540</v>
      </c>
      <c r="J529" s="225" t="str">
        <f t="shared" si="1"/>
        <v/>
      </c>
    </row>
    <row r="530">
      <c r="A530" s="76" t="s">
        <v>2540</v>
      </c>
      <c r="B530" s="76" t="s">
        <v>2540</v>
      </c>
      <c r="C530" s="76" t="s">
        <v>2540</v>
      </c>
      <c r="D530" s="76" t="s">
        <v>2540</v>
      </c>
      <c r="E530" s="76" t="s">
        <v>2540</v>
      </c>
      <c r="F530" s="76" t="s">
        <v>2540</v>
      </c>
      <c r="J530" s="225" t="str">
        <f t="shared" si="1"/>
        <v/>
      </c>
    </row>
    <row r="531">
      <c r="A531" s="76" t="s">
        <v>2540</v>
      </c>
      <c r="B531" s="76" t="s">
        <v>2540</v>
      </c>
      <c r="C531" s="76" t="s">
        <v>2540</v>
      </c>
      <c r="D531" s="76" t="s">
        <v>2540</v>
      </c>
      <c r="E531" s="76" t="s">
        <v>2540</v>
      </c>
      <c r="F531" s="76" t="s">
        <v>2540</v>
      </c>
      <c r="J531" s="225" t="str">
        <f t="shared" si="1"/>
        <v/>
      </c>
    </row>
    <row r="532">
      <c r="A532" s="76" t="s">
        <v>2540</v>
      </c>
      <c r="B532" s="76" t="s">
        <v>2540</v>
      </c>
      <c r="C532" s="76" t="s">
        <v>2540</v>
      </c>
      <c r="D532" s="76" t="s">
        <v>2540</v>
      </c>
      <c r="E532" s="76" t="s">
        <v>2540</v>
      </c>
      <c r="F532" s="76" t="s">
        <v>2540</v>
      </c>
      <c r="J532" s="225" t="str">
        <f t="shared" si="1"/>
        <v/>
      </c>
    </row>
    <row r="533">
      <c r="A533" s="76" t="s">
        <v>2540</v>
      </c>
      <c r="B533" s="76" t="s">
        <v>2540</v>
      </c>
      <c r="C533" s="76" t="s">
        <v>2540</v>
      </c>
      <c r="D533" s="76" t="s">
        <v>2540</v>
      </c>
      <c r="E533" s="76" t="s">
        <v>2540</v>
      </c>
      <c r="F533" s="76" t="s">
        <v>2540</v>
      </c>
      <c r="J533" s="225" t="str">
        <f t="shared" si="1"/>
        <v/>
      </c>
    </row>
    <row r="534">
      <c r="A534" s="76" t="s">
        <v>2540</v>
      </c>
      <c r="B534" s="76" t="s">
        <v>2540</v>
      </c>
      <c r="C534" s="76" t="s">
        <v>2540</v>
      </c>
      <c r="D534" s="76" t="s">
        <v>2540</v>
      </c>
      <c r="E534" s="76" t="s">
        <v>2540</v>
      </c>
      <c r="F534" s="76" t="s">
        <v>2540</v>
      </c>
      <c r="J534" s="225" t="str">
        <f t="shared" si="1"/>
        <v/>
      </c>
    </row>
    <row r="535">
      <c r="A535" s="76" t="s">
        <v>2540</v>
      </c>
      <c r="B535" s="76" t="s">
        <v>2540</v>
      </c>
      <c r="C535" s="76" t="s">
        <v>2540</v>
      </c>
      <c r="D535" s="76" t="s">
        <v>2540</v>
      </c>
      <c r="E535" s="76" t="s">
        <v>2540</v>
      </c>
      <c r="F535" s="76" t="s">
        <v>2540</v>
      </c>
      <c r="J535" s="225" t="str">
        <f t="shared" si="1"/>
        <v/>
      </c>
    </row>
    <row r="536">
      <c r="A536" s="76" t="s">
        <v>2540</v>
      </c>
      <c r="B536" s="76" t="s">
        <v>2540</v>
      </c>
      <c r="C536" s="76" t="s">
        <v>2540</v>
      </c>
      <c r="D536" s="76" t="s">
        <v>2540</v>
      </c>
      <c r="E536" s="76" t="s">
        <v>2540</v>
      </c>
      <c r="F536" s="76" t="s">
        <v>2540</v>
      </c>
      <c r="J536" s="225" t="str">
        <f t="shared" si="1"/>
        <v/>
      </c>
    </row>
    <row r="537">
      <c r="A537" s="76" t="s">
        <v>2540</v>
      </c>
      <c r="B537" s="76" t="s">
        <v>2540</v>
      </c>
      <c r="C537" s="76" t="s">
        <v>2540</v>
      </c>
      <c r="D537" s="76" t="s">
        <v>2540</v>
      </c>
      <c r="E537" s="76" t="s">
        <v>2540</v>
      </c>
      <c r="F537" s="76" t="s">
        <v>2540</v>
      </c>
      <c r="J537" s="225" t="str">
        <f t="shared" si="1"/>
        <v/>
      </c>
    </row>
    <row r="538">
      <c r="A538" s="76" t="s">
        <v>2540</v>
      </c>
      <c r="B538" s="76" t="s">
        <v>2540</v>
      </c>
      <c r="C538" s="76" t="s">
        <v>2540</v>
      </c>
      <c r="D538" s="76" t="s">
        <v>2540</v>
      </c>
      <c r="E538" s="76" t="s">
        <v>2540</v>
      </c>
      <c r="F538" s="76" t="s">
        <v>2540</v>
      </c>
      <c r="J538" s="225" t="str">
        <f t="shared" si="1"/>
        <v/>
      </c>
    </row>
    <row r="539">
      <c r="A539" s="76" t="s">
        <v>2540</v>
      </c>
      <c r="B539" s="76" t="s">
        <v>2540</v>
      </c>
      <c r="C539" s="76" t="s">
        <v>2540</v>
      </c>
      <c r="D539" s="76" t="s">
        <v>2540</v>
      </c>
      <c r="E539" s="76" t="s">
        <v>2540</v>
      </c>
      <c r="F539" s="76" t="s">
        <v>2540</v>
      </c>
      <c r="J539" s="225" t="str">
        <f t="shared" si="1"/>
        <v/>
      </c>
    </row>
    <row r="540">
      <c r="A540" s="76" t="s">
        <v>2540</v>
      </c>
      <c r="B540" s="76" t="s">
        <v>2540</v>
      </c>
      <c r="C540" s="76" t="s">
        <v>2540</v>
      </c>
      <c r="D540" s="76" t="s">
        <v>2540</v>
      </c>
      <c r="E540" s="76" t="s">
        <v>2540</v>
      </c>
      <c r="F540" s="76" t="s">
        <v>2540</v>
      </c>
      <c r="J540" s="225" t="str">
        <f t="shared" si="1"/>
        <v/>
      </c>
    </row>
    <row r="541">
      <c r="A541" s="76" t="s">
        <v>2540</v>
      </c>
      <c r="B541" s="76" t="s">
        <v>2540</v>
      </c>
      <c r="C541" s="76" t="s">
        <v>2540</v>
      </c>
      <c r="D541" s="76" t="s">
        <v>2540</v>
      </c>
      <c r="E541" s="76" t="s">
        <v>2540</v>
      </c>
      <c r="F541" s="76" t="s">
        <v>2540</v>
      </c>
      <c r="J541" s="225" t="str">
        <f t="shared" si="1"/>
        <v/>
      </c>
    </row>
    <row r="542">
      <c r="A542" s="76" t="s">
        <v>2540</v>
      </c>
      <c r="B542" s="76" t="s">
        <v>2540</v>
      </c>
      <c r="C542" s="76" t="s">
        <v>2540</v>
      </c>
      <c r="D542" s="76" t="s">
        <v>2540</v>
      </c>
      <c r="E542" s="76" t="s">
        <v>2540</v>
      </c>
      <c r="F542" s="76" t="s">
        <v>2540</v>
      </c>
      <c r="J542" s="225" t="str">
        <f t="shared" si="1"/>
        <v/>
      </c>
    </row>
    <row r="543">
      <c r="A543" s="76" t="s">
        <v>2540</v>
      </c>
      <c r="B543" s="76" t="s">
        <v>2540</v>
      </c>
      <c r="C543" s="76" t="s">
        <v>2540</v>
      </c>
      <c r="D543" s="76" t="s">
        <v>2540</v>
      </c>
      <c r="E543" s="76" t="s">
        <v>2540</v>
      </c>
      <c r="F543" s="76" t="s">
        <v>2540</v>
      </c>
      <c r="J543" s="225" t="str">
        <f t="shared" si="1"/>
        <v/>
      </c>
    </row>
    <row r="544">
      <c r="A544" s="76" t="s">
        <v>2540</v>
      </c>
      <c r="B544" s="76" t="s">
        <v>2540</v>
      </c>
      <c r="C544" s="76" t="s">
        <v>2540</v>
      </c>
      <c r="D544" s="76" t="s">
        <v>2540</v>
      </c>
      <c r="E544" s="76" t="s">
        <v>2540</v>
      </c>
      <c r="F544" s="76" t="s">
        <v>2540</v>
      </c>
      <c r="J544" s="225" t="str">
        <f t="shared" si="1"/>
        <v/>
      </c>
    </row>
    <row r="545">
      <c r="A545" s="76" t="s">
        <v>2540</v>
      </c>
      <c r="B545" s="76" t="s">
        <v>2540</v>
      </c>
      <c r="C545" s="76" t="s">
        <v>2540</v>
      </c>
      <c r="D545" s="76" t="s">
        <v>2540</v>
      </c>
      <c r="E545" s="76" t="s">
        <v>2540</v>
      </c>
      <c r="F545" s="76" t="s">
        <v>2540</v>
      </c>
      <c r="J545" s="225" t="str">
        <f t="shared" si="1"/>
        <v/>
      </c>
    </row>
    <row r="546">
      <c r="A546" s="76" t="s">
        <v>2540</v>
      </c>
      <c r="B546" s="76" t="s">
        <v>2540</v>
      </c>
      <c r="C546" s="76" t="s">
        <v>2540</v>
      </c>
      <c r="D546" s="76" t="s">
        <v>2540</v>
      </c>
      <c r="E546" s="76" t="s">
        <v>2540</v>
      </c>
      <c r="F546" s="76" t="s">
        <v>2540</v>
      </c>
      <c r="J546" s="225" t="str">
        <f t="shared" si="1"/>
        <v/>
      </c>
    </row>
    <row r="547">
      <c r="A547" s="76" t="s">
        <v>2540</v>
      </c>
      <c r="B547" s="76" t="s">
        <v>2540</v>
      </c>
      <c r="C547" s="76" t="s">
        <v>2540</v>
      </c>
      <c r="D547" s="76" t="s">
        <v>2540</v>
      </c>
      <c r="E547" s="76" t="s">
        <v>2540</v>
      </c>
      <c r="F547" s="76" t="s">
        <v>2540</v>
      </c>
      <c r="J547" s="225" t="str">
        <f t="shared" si="1"/>
        <v/>
      </c>
    </row>
    <row r="548">
      <c r="A548" s="76" t="s">
        <v>2540</v>
      </c>
      <c r="B548" s="76" t="s">
        <v>2540</v>
      </c>
      <c r="C548" s="76" t="s">
        <v>2540</v>
      </c>
      <c r="D548" s="76" t="s">
        <v>2540</v>
      </c>
      <c r="E548" s="76" t="s">
        <v>2540</v>
      </c>
      <c r="F548" s="76" t="s">
        <v>2540</v>
      </c>
      <c r="J548" s="225" t="str">
        <f t="shared" si="1"/>
        <v/>
      </c>
    </row>
    <row r="549">
      <c r="A549" s="76" t="s">
        <v>2540</v>
      </c>
      <c r="B549" s="76" t="s">
        <v>2540</v>
      </c>
      <c r="C549" s="76" t="s">
        <v>2540</v>
      </c>
      <c r="D549" s="76" t="s">
        <v>2540</v>
      </c>
      <c r="E549" s="76" t="s">
        <v>2540</v>
      </c>
      <c r="F549" s="76" t="s">
        <v>2540</v>
      </c>
      <c r="J549" s="225" t="str">
        <f t="shared" si="1"/>
        <v/>
      </c>
    </row>
    <row r="550">
      <c r="A550" s="76" t="s">
        <v>2540</v>
      </c>
      <c r="B550" s="76" t="s">
        <v>2540</v>
      </c>
      <c r="C550" s="76" t="s">
        <v>2540</v>
      </c>
      <c r="D550" s="76" t="s">
        <v>2540</v>
      </c>
      <c r="E550" s="76" t="s">
        <v>2540</v>
      </c>
      <c r="F550" s="76" t="s">
        <v>2540</v>
      </c>
      <c r="J550" s="225" t="str">
        <f t="shared" si="1"/>
        <v/>
      </c>
    </row>
    <row r="551">
      <c r="A551" s="76" t="s">
        <v>2540</v>
      </c>
      <c r="B551" s="76" t="s">
        <v>2540</v>
      </c>
      <c r="C551" s="76" t="s">
        <v>2540</v>
      </c>
      <c r="D551" s="76" t="s">
        <v>2540</v>
      </c>
      <c r="E551" s="76" t="s">
        <v>2540</v>
      </c>
      <c r="F551" s="76" t="s">
        <v>2540</v>
      </c>
      <c r="J551" s="225" t="str">
        <f t="shared" si="1"/>
        <v/>
      </c>
    </row>
    <row r="552">
      <c r="A552" s="76" t="s">
        <v>2540</v>
      </c>
      <c r="B552" s="76" t="s">
        <v>2540</v>
      </c>
      <c r="C552" s="76" t="s">
        <v>2540</v>
      </c>
      <c r="D552" s="76" t="s">
        <v>2540</v>
      </c>
      <c r="E552" s="76" t="s">
        <v>2540</v>
      </c>
      <c r="F552" s="76" t="s">
        <v>2540</v>
      </c>
      <c r="J552" s="225" t="str">
        <f t="shared" si="1"/>
        <v/>
      </c>
    </row>
    <row r="553">
      <c r="A553" s="76" t="s">
        <v>2540</v>
      </c>
      <c r="B553" s="76" t="s">
        <v>2540</v>
      </c>
      <c r="C553" s="76" t="s">
        <v>2540</v>
      </c>
      <c r="D553" s="76" t="s">
        <v>2540</v>
      </c>
      <c r="E553" s="76" t="s">
        <v>2540</v>
      </c>
      <c r="F553" s="76" t="s">
        <v>2540</v>
      </c>
      <c r="J553" s="225" t="str">
        <f t="shared" si="1"/>
        <v/>
      </c>
    </row>
    <row r="554">
      <c r="A554" s="76" t="s">
        <v>2540</v>
      </c>
      <c r="B554" s="76" t="s">
        <v>2540</v>
      </c>
      <c r="C554" s="76" t="s">
        <v>2540</v>
      </c>
      <c r="D554" s="76" t="s">
        <v>2540</v>
      </c>
      <c r="E554" s="76" t="s">
        <v>2540</v>
      </c>
      <c r="F554" s="76" t="s">
        <v>2540</v>
      </c>
      <c r="J554" s="225" t="str">
        <f t="shared" si="1"/>
        <v/>
      </c>
    </row>
    <row r="555">
      <c r="A555" s="76" t="s">
        <v>2540</v>
      </c>
      <c r="B555" s="76" t="s">
        <v>2540</v>
      </c>
      <c r="C555" s="76" t="s">
        <v>2540</v>
      </c>
      <c r="D555" s="76" t="s">
        <v>2540</v>
      </c>
      <c r="E555" s="76" t="s">
        <v>2540</v>
      </c>
      <c r="F555" s="76" t="s">
        <v>2540</v>
      </c>
      <c r="J555" s="225" t="str">
        <f t="shared" si="1"/>
        <v/>
      </c>
    </row>
    <row r="556">
      <c r="A556" s="76" t="s">
        <v>2540</v>
      </c>
      <c r="B556" s="76" t="s">
        <v>2540</v>
      </c>
      <c r="C556" s="76" t="s">
        <v>2540</v>
      </c>
      <c r="D556" s="76" t="s">
        <v>2540</v>
      </c>
      <c r="E556" s="76" t="s">
        <v>2540</v>
      </c>
      <c r="F556" s="76" t="s">
        <v>2540</v>
      </c>
      <c r="J556" s="225" t="str">
        <f t="shared" si="1"/>
        <v/>
      </c>
    </row>
    <row r="557">
      <c r="A557" s="76" t="s">
        <v>2540</v>
      </c>
      <c r="B557" s="76" t="s">
        <v>2540</v>
      </c>
      <c r="C557" s="76" t="s">
        <v>2540</v>
      </c>
      <c r="D557" s="76" t="s">
        <v>2540</v>
      </c>
      <c r="E557" s="76" t="s">
        <v>2540</v>
      </c>
      <c r="F557" s="76" t="s">
        <v>2540</v>
      </c>
      <c r="J557" s="225" t="str">
        <f t="shared" si="1"/>
        <v/>
      </c>
    </row>
    <row r="558">
      <c r="A558" s="76" t="s">
        <v>2540</v>
      </c>
      <c r="B558" s="76" t="s">
        <v>2540</v>
      </c>
      <c r="C558" s="76" t="s">
        <v>2540</v>
      </c>
      <c r="D558" s="76" t="s">
        <v>2540</v>
      </c>
      <c r="E558" s="76" t="s">
        <v>2540</v>
      </c>
      <c r="F558" s="76" t="s">
        <v>2540</v>
      </c>
      <c r="J558" s="225" t="str">
        <f t="shared" si="1"/>
        <v/>
      </c>
    </row>
    <row r="559">
      <c r="A559" s="76" t="s">
        <v>2540</v>
      </c>
      <c r="B559" s="76" t="s">
        <v>2540</v>
      </c>
      <c r="C559" s="76" t="s">
        <v>2540</v>
      </c>
      <c r="D559" s="76" t="s">
        <v>2540</v>
      </c>
      <c r="E559" s="76" t="s">
        <v>2540</v>
      </c>
      <c r="F559" s="76" t="s">
        <v>2540</v>
      </c>
      <c r="J559" s="225" t="str">
        <f t="shared" si="1"/>
        <v/>
      </c>
    </row>
    <row r="560">
      <c r="A560" s="76" t="s">
        <v>2540</v>
      </c>
      <c r="B560" s="76" t="s">
        <v>2540</v>
      </c>
      <c r="C560" s="76" t="s">
        <v>2540</v>
      </c>
      <c r="D560" s="76" t="s">
        <v>2540</v>
      </c>
      <c r="E560" s="76" t="s">
        <v>2540</v>
      </c>
      <c r="F560" s="76" t="s">
        <v>2540</v>
      </c>
      <c r="J560" s="225" t="str">
        <f t="shared" si="1"/>
        <v/>
      </c>
    </row>
    <row r="561">
      <c r="A561" s="76" t="s">
        <v>2540</v>
      </c>
      <c r="B561" s="76" t="s">
        <v>2540</v>
      </c>
      <c r="C561" s="76" t="s">
        <v>2540</v>
      </c>
      <c r="D561" s="76" t="s">
        <v>2540</v>
      </c>
      <c r="E561" s="76" t="s">
        <v>2540</v>
      </c>
      <c r="F561" s="76" t="s">
        <v>2540</v>
      </c>
      <c r="J561" s="225" t="str">
        <f t="shared" si="1"/>
        <v/>
      </c>
    </row>
    <row r="562">
      <c r="A562" s="76" t="s">
        <v>2540</v>
      </c>
      <c r="B562" s="76" t="s">
        <v>2540</v>
      </c>
      <c r="C562" s="76" t="s">
        <v>2540</v>
      </c>
      <c r="D562" s="76" t="s">
        <v>2540</v>
      </c>
      <c r="E562" s="76" t="s">
        <v>2540</v>
      </c>
      <c r="F562" s="76" t="s">
        <v>2540</v>
      </c>
      <c r="J562" s="225" t="str">
        <f t="shared" si="1"/>
        <v/>
      </c>
    </row>
    <row r="563">
      <c r="A563" s="76" t="s">
        <v>2540</v>
      </c>
      <c r="B563" s="76" t="s">
        <v>2540</v>
      </c>
      <c r="C563" s="76" t="s">
        <v>2540</v>
      </c>
      <c r="D563" s="76" t="s">
        <v>2540</v>
      </c>
      <c r="E563" s="76" t="s">
        <v>2540</v>
      </c>
      <c r="F563" s="76" t="s">
        <v>2540</v>
      </c>
      <c r="J563" s="225" t="str">
        <f t="shared" si="1"/>
        <v/>
      </c>
    </row>
    <row r="564">
      <c r="A564" s="76" t="s">
        <v>2540</v>
      </c>
      <c r="B564" s="76" t="s">
        <v>2540</v>
      </c>
      <c r="C564" s="76" t="s">
        <v>2540</v>
      </c>
      <c r="D564" s="76" t="s">
        <v>2540</v>
      </c>
      <c r="E564" s="76" t="s">
        <v>2540</v>
      </c>
      <c r="F564" s="76" t="s">
        <v>2540</v>
      </c>
      <c r="J564" s="225" t="str">
        <f t="shared" si="1"/>
        <v/>
      </c>
    </row>
    <row r="565">
      <c r="A565" s="76" t="s">
        <v>2540</v>
      </c>
      <c r="B565" s="76" t="s">
        <v>2540</v>
      </c>
      <c r="C565" s="76" t="s">
        <v>2540</v>
      </c>
      <c r="D565" s="76" t="s">
        <v>2540</v>
      </c>
      <c r="E565" s="76" t="s">
        <v>2540</v>
      </c>
      <c r="F565" s="76" t="s">
        <v>2540</v>
      </c>
      <c r="J565" s="225" t="str">
        <f t="shared" si="1"/>
        <v/>
      </c>
    </row>
    <row r="566">
      <c r="A566" s="76" t="s">
        <v>2540</v>
      </c>
      <c r="B566" s="76" t="s">
        <v>2540</v>
      </c>
      <c r="C566" s="76" t="s">
        <v>2540</v>
      </c>
      <c r="D566" s="76" t="s">
        <v>2540</v>
      </c>
      <c r="E566" s="76" t="s">
        <v>2540</v>
      </c>
      <c r="F566" s="76" t="s">
        <v>2540</v>
      </c>
      <c r="J566" s="225" t="str">
        <f t="shared" si="1"/>
        <v/>
      </c>
    </row>
    <row r="567">
      <c r="A567" s="76" t="s">
        <v>2540</v>
      </c>
      <c r="B567" s="76" t="s">
        <v>2540</v>
      </c>
      <c r="C567" s="76" t="s">
        <v>2540</v>
      </c>
      <c r="D567" s="76" t="s">
        <v>2540</v>
      </c>
      <c r="E567" s="76" t="s">
        <v>2540</v>
      </c>
      <c r="F567" s="76" t="s">
        <v>2540</v>
      </c>
      <c r="J567" s="225" t="str">
        <f t="shared" si="1"/>
        <v/>
      </c>
    </row>
    <row r="568">
      <c r="A568" s="76" t="s">
        <v>2540</v>
      </c>
      <c r="B568" s="76" t="s">
        <v>2540</v>
      </c>
      <c r="C568" s="76" t="s">
        <v>2540</v>
      </c>
      <c r="D568" s="76" t="s">
        <v>2540</v>
      </c>
      <c r="E568" s="76" t="s">
        <v>2540</v>
      </c>
      <c r="F568" s="76" t="s">
        <v>2540</v>
      </c>
      <c r="J568" s="225" t="str">
        <f t="shared" si="1"/>
        <v/>
      </c>
    </row>
    <row r="569">
      <c r="A569" s="76" t="s">
        <v>2540</v>
      </c>
      <c r="B569" s="76" t="s">
        <v>2540</v>
      </c>
      <c r="C569" s="76" t="s">
        <v>2540</v>
      </c>
      <c r="D569" s="76" t="s">
        <v>2540</v>
      </c>
      <c r="E569" s="76" t="s">
        <v>2540</v>
      </c>
      <c r="F569" s="76" t="s">
        <v>2540</v>
      </c>
      <c r="J569" s="225" t="str">
        <f t="shared" si="1"/>
        <v/>
      </c>
    </row>
    <row r="570">
      <c r="A570" s="76" t="s">
        <v>2540</v>
      </c>
      <c r="B570" s="76" t="s">
        <v>2540</v>
      </c>
      <c r="C570" s="76" t="s">
        <v>2540</v>
      </c>
      <c r="D570" s="76" t="s">
        <v>2540</v>
      </c>
      <c r="E570" s="76" t="s">
        <v>2540</v>
      </c>
      <c r="F570" s="76" t="s">
        <v>2540</v>
      </c>
      <c r="J570" s="225" t="str">
        <f t="shared" si="1"/>
        <v/>
      </c>
    </row>
    <row r="571">
      <c r="A571" s="76" t="s">
        <v>2540</v>
      </c>
      <c r="B571" s="76" t="s">
        <v>2540</v>
      </c>
      <c r="C571" s="76" t="s">
        <v>2540</v>
      </c>
      <c r="D571" s="76" t="s">
        <v>2540</v>
      </c>
      <c r="E571" s="76" t="s">
        <v>2540</v>
      </c>
      <c r="F571" s="76" t="s">
        <v>2540</v>
      </c>
      <c r="J571" s="225" t="str">
        <f t="shared" si="1"/>
        <v/>
      </c>
    </row>
    <row r="572">
      <c r="A572" s="76" t="s">
        <v>2540</v>
      </c>
      <c r="B572" s="76" t="s">
        <v>2540</v>
      </c>
      <c r="C572" s="76" t="s">
        <v>2540</v>
      </c>
      <c r="D572" s="76" t="s">
        <v>2540</v>
      </c>
      <c r="E572" s="76" t="s">
        <v>2540</v>
      </c>
      <c r="F572" s="76" t="s">
        <v>2540</v>
      </c>
      <c r="J572" s="225" t="str">
        <f t="shared" si="1"/>
        <v/>
      </c>
    </row>
    <row r="573">
      <c r="A573" s="76" t="s">
        <v>2540</v>
      </c>
      <c r="B573" s="76" t="s">
        <v>2540</v>
      </c>
      <c r="C573" s="76" t="s">
        <v>2540</v>
      </c>
      <c r="D573" s="76" t="s">
        <v>2540</v>
      </c>
      <c r="E573" s="76" t="s">
        <v>2540</v>
      </c>
      <c r="F573" s="76" t="s">
        <v>2540</v>
      </c>
      <c r="J573" s="225" t="str">
        <f t="shared" si="1"/>
        <v/>
      </c>
    </row>
    <row r="574">
      <c r="A574" s="76" t="s">
        <v>2540</v>
      </c>
      <c r="B574" s="76" t="s">
        <v>2540</v>
      </c>
      <c r="C574" s="76" t="s">
        <v>2540</v>
      </c>
      <c r="D574" s="76" t="s">
        <v>2540</v>
      </c>
      <c r="E574" s="76" t="s">
        <v>2540</v>
      </c>
      <c r="F574" s="76" t="s">
        <v>2540</v>
      </c>
      <c r="J574" s="225" t="str">
        <f t="shared" si="1"/>
        <v/>
      </c>
    </row>
    <row r="575">
      <c r="A575" s="76" t="s">
        <v>2540</v>
      </c>
      <c r="B575" s="76" t="s">
        <v>2540</v>
      </c>
      <c r="C575" s="76" t="s">
        <v>2540</v>
      </c>
      <c r="D575" s="76" t="s">
        <v>2540</v>
      </c>
      <c r="E575" s="76" t="s">
        <v>2540</v>
      </c>
      <c r="F575" s="76" t="s">
        <v>2540</v>
      </c>
      <c r="J575" s="225" t="str">
        <f t="shared" si="1"/>
        <v/>
      </c>
    </row>
    <row r="576">
      <c r="A576" s="76" t="s">
        <v>2540</v>
      </c>
      <c r="B576" s="76" t="s">
        <v>2540</v>
      </c>
      <c r="C576" s="76" t="s">
        <v>2540</v>
      </c>
      <c r="D576" s="76" t="s">
        <v>2540</v>
      </c>
      <c r="E576" s="76" t="s">
        <v>2540</v>
      </c>
      <c r="F576" s="76" t="s">
        <v>2540</v>
      </c>
      <c r="J576" s="225" t="str">
        <f t="shared" si="1"/>
        <v/>
      </c>
    </row>
    <row r="577">
      <c r="A577" s="76" t="s">
        <v>2540</v>
      </c>
      <c r="B577" s="76" t="s">
        <v>2540</v>
      </c>
      <c r="C577" s="76" t="s">
        <v>2540</v>
      </c>
      <c r="D577" s="76" t="s">
        <v>2540</v>
      </c>
      <c r="E577" s="76" t="s">
        <v>2540</v>
      </c>
      <c r="F577" s="76" t="s">
        <v>2540</v>
      </c>
      <c r="J577" s="225" t="str">
        <f t="shared" si="1"/>
        <v/>
      </c>
    </row>
    <row r="578">
      <c r="A578" s="76" t="s">
        <v>2540</v>
      </c>
      <c r="B578" s="76" t="s">
        <v>2540</v>
      </c>
      <c r="C578" s="76" t="s">
        <v>2540</v>
      </c>
      <c r="D578" s="76" t="s">
        <v>2540</v>
      </c>
      <c r="E578" s="76" t="s">
        <v>2540</v>
      </c>
      <c r="F578" s="76" t="s">
        <v>2540</v>
      </c>
      <c r="J578" s="225" t="str">
        <f t="shared" si="1"/>
        <v/>
      </c>
    </row>
    <row r="579">
      <c r="A579" s="76" t="s">
        <v>2540</v>
      </c>
      <c r="B579" s="76" t="s">
        <v>2540</v>
      </c>
      <c r="C579" s="76" t="s">
        <v>2540</v>
      </c>
      <c r="D579" s="76" t="s">
        <v>2540</v>
      </c>
      <c r="E579" s="76" t="s">
        <v>2540</v>
      </c>
      <c r="F579" s="76" t="s">
        <v>2540</v>
      </c>
      <c r="J579" s="225" t="str">
        <f t="shared" si="1"/>
        <v/>
      </c>
    </row>
    <row r="580">
      <c r="A580" s="76" t="s">
        <v>2540</v>
      </c>
      <c r="B580" s="76" t="s">
        <v>2540</v>
      </c>
      <c r="C580" s="76" t="s">
        <v>2540</v>
      </c>
      <c r="D580" s="76" t="s">
        <v>2540</v>
      </c>
      <c r="E580" s="76" t="s">
        <v>2540</v>
      </c>
      <c r="F580" s="76" t="s">
        <v>2540</v>
      </c>
      <c r="J580" s="225" t="str">
        <f t="shared" si="1"/>
        <v/>
      </c>
    </row>
    <row r="581">
      <c r="A581" s="76" t="s">
        <v>2540</v>
      </c>
      <c r="B581" s="76" t="s">
        <v>2540</v>
      </c>
      <c r="C581" s="76" t="s">
        <v>2540</v>
      </c>
      <c r="D581" s="76" t="s">
        <v>2540</v>
      </c>
      <c r="E581" s="76" t="s">
        <v>2540</v>
      </c>
      <c r="F581" s="76" t="s">
        <v>2540</v>
      </c>
      <c r="J581" s="225" t="str">
        <f t="shared" si="1"/>
        <v/>
      </c>
    </row>
    <row r="582">
      <c r="A582" s="76" t="s">
        <v>2540</v>
      </c>
      <c r="B582" s="76" t="s">
        <v>2540</v>
      </c>
      <c r="C582" s="76" t="s">
        <v>2540</v>
      </c>
      <c r="D582" s="76" t="s">
        <v>2540</v>
      </c>
      <c r="E582" s="76" t="s">
        <v>2540</v>
      </c>
      <c r="F582" s="76" t="s">
        <v>2540</v>
      </c>
      <c r="J582" s="225" t="str">
        <f t="shared" si="1"/>
        <v/>
      </c>
    </row>
    <row r="583">
      <c r="A583" s="76" t="s">
        <v>2540</v>
      </c>
      <c r="B583" s="76" t="s">
        <v>2540</v>
      </c>
      <c r="C583" s="76" t="s">
        <v>2540</v>
      </c>
      <c r="D583" s="76" t="s">
        <v>2540</v>
      </c>
      <c r="E583" s="76" t="s">
        <v>2540</v>
      </c>
      <c r="F583" s="76" t="s">
        <v>2540</v>
      </c>
      <c r="J583" s="225" t="str">
        <f t="shared" si="1"/>
        <v/>
      </c>
    </row>
    <row r="584">
      <c r="A584" s="76" t="s">
        <v>2540</v>
      </c>
      <c r="B584" s="76" t="s">
        <v>2540</v>
      </c>
      <c r="C584" s="76" t="s">
        <v>2540</v>
      </c>
      <c r="D584" s="76" t="s">
        <v>2540</v>
      </c>
      <c r="E584" s="76" t="s">
        <v>2540</v>
      </c>
      <c r="F584" s="76" t="s">
        <v>2540</v>
      </c>
      <c r="J584" s="225" t="str">
        <f t="shared" si="1"/>
        <v/>
      </c>
    </row>
    <row r="585">
      <c r="A585" s="76" t="s">
        <v>2540</v>
      </c>
      <c r="B585" s="76" t="s">
        <v>2540</v>
      </c>
      <c r="C585" s="76" t="s">
        <v>2540</v>
      </c>
      <c r="D585" s="76" t="s">
        <v>2540</v>
      </c>
      <c r="E585" s="76" t="s">
        <v>2540</v>
      </c>
      <c r="F585" s="76" t="s">
        <v>2540</v>
      </c>
      <c r="J585" s="225" t="str">
        <f t="shared" si="1"/>
        <v/>
      </c>
    </row>
    <row r="586">
      <c r="A586" s="76" t="s">
        <v>2540</v>
      </c>
      <c r="B586" s="76" t="s">
        <v>2540</v>
      </c>
      <c r="C586" s="76" t="s">
        <v>2540</v>
      </c>
      <c r="D586" s="76" t="s">
        <v>2540</v>
      </c>
      <c r="E586" s="76" t="s">
        <v>2540</v>
      </c>
      <c r="F586" s="76" t="s">
        <v>2540</v>
      </c>
      <c r="J586" s="225" t="str">
        <f t="shared" si="1"/>
        <v/>
      </c>
    </row>
    <row r="587">
      <c r="A587" s="76" t="s">
        <v>2540</v>
      </c>
      <c r="B587" s="76" t="s">
        <v>2540</v>
      </c>
      <c r="C587" s="76" t="s">
        <v>2540</v>
      </c>
      <c r="D587" s="76" t="s">
        <v>2540</v>
      </c>
      <c r="E587" s="76" t="s">
        <v>2540</v>
      </c>
      <c r="F587" s="76" t="s">
        <v>2540</v>
      </c>
      <c r="J587" s="225" t="str">
        <f t="shared" si="1"/>
        <v/>
      </c>
    </row>
    <row r="588">
      <c r="A588" s="76" t="s">
        <v>2540</v>
      </c>
      <c r="B588" s="76" t="s">
        <v>2540</v>
      </c>
      <c r="C588" s="76" t="s">
        <v>2540</v>
      </c>
      <c r="D588" s="76" t="s">
        <v>2540</v>
      </c>
      <c r="E588" s="76" t="s">
        <v>2540</v>
      </c>
      <c r="F588" s="76" t="s">
        <v>2540</v>
      </c>
      <c r="J588" s="225" t="str">
        <f t="shared" si="1"/>
        <v/>
      </c>
    </row>
    <row r="589">
      <c r="A589" s="76" t="s">
        <v>2540</v>
      </c>
      <c r="B589" s="76" t="s">
        <v>2540</v>
      </c>
      <c r="C589" s="76" t="s">
        <v>2540</v>
      </c>
      <c r="D589" s="76" t="s">
        <v>2540</v>
      </c>
      <c r="E589" s="76" t="s">
        <v>2540</v>
      </c>
      <c r="F589" s="76" t="s">
        <v>2540</v>
      </c>
      <c r="J589" s="225" t="str">
        <f t="shared" si="1"/>
        <v/>
      </c>
    </row>
    <row r="590">
      <c r="A590" s="76" t="s">
        <v>2540</v>
      </c>
      <c r="B590" s="76" t="s">
        <v>2540</v>
      </c>
      <c r="C590" s="76" t="s">
        <v>2540</v>
      </c>
      <c r="D590" s="76" t="s">
        <v>2540</v>
      </c>
      <c r="E590" s="76" t="s">
        <v>2540</v>
      </c>
      <c r="F590" s="76" t="s">
        <v>2540</v>
      </c>
      <c r="J590" s="225" t="str">
        <f t="shared" si="1"/>
        <v/>
      </c>
    </row>
    <row r="591">
      <c r="A591" s="76" t="s">
        <v>2540</v>
      </c>
      <c r="B591" s="76" t="s">
        <v>2540</v>
      </c>
      <c r="C591" s="76" t="s">
        <v>2540</v>
      </c>
      <c r="D591" s="76" t="s">
        <v>2540</v>
      </c>
      <c r="E591" s="76" t="s">
        <v>2540</v>
      </c>
      <c r="F591" s="76" t="s">
        <v>2540</v>
      </c>
      <c r="J591" s="225" t="str">
        <f t="shared" si="1"/>
        <v/>
      </c>
    </row>
    <row r="592">
      <c r="A592" s="76" t="s">
        <v>2540</v>
      </c>
      <c r="B592" s="76" t="s">
        <v>2540</v>
      </c>
      <c r="C592" s="76" t="s">
        <v>2540</v>
      </c>
      <c r="D592" s="76" t="s">
        <v>2540</v>
      </c>
      <c r="E592" s="76" t="s">
        <v>2540</v>
      </c>
      <c r="F592" s="76" t="s">
        <v>2540</v>
      </c>
      <c r="J592" s="225" t="str">
        <f t="shared" si="1"/>
        <v/>
      </c>
    </row>
    <row r="593">
      <c r="A593" s="76" t="s">
        <v>2540</v>
      </c>
      <c r="B593" s="76" t="s">
        <v>2540</v>
      </c>
      <c r="C593" s="76" t="s">
        <v>2540</v>
      </c>
      <c r="D593" s="76" t="s">
        <v>2540</v>
      </c>
      <c r="E593" s="76" t="s">
        <v>2540</v>
      </c>
      <c r="F593" s="76" t="s">
        <v>2540</v>
      </c>
      <c r="J593" s="225" t="str">
        <f t="shared" si="1"/>
        <v/>
      </c>
    </row>
    <row r="594">
      <c r="A594" s="76" t="s">
        <v>2540</v>
      </c>
      <c r="B594" s="76" t="s">
        <v>2540</v>
      </c>
      <c r="C594" s="76" t="s">
        <v>2540</v>
      </c>
      <c r="D594" s="76" t="s">
        <v>2540</v>
      </c>
      <c r="E594" s="76" t="s">
        <v>2540</v>
      </c>
      <c r="F594" s="76" t="s">
        <v>2540</v>
      </c>
      <c r="J594" s="225" t="str">
        <f t="shared" si="1"/>
        <v/>
      </c>
    </row>
    <row r="595">
      <c r="A595" s="76" t="s">
        <v>2540</v>
      </c>
      <c r="B595" s="76" t="s">
        <v>2540</v>
      </c>
      <c r="C595" s="76" t="s">
        <v>2540</v>
      </c>
      <c r="D595" s="76" t="s">
        <v>2540</v>
      </c>
      <c r="E595" s="76" t="s">
        <v>2540</v>
      </c>
      <c r="F595" s="76" t="s">
        <v>2540</v>
      </c>
      <c r="J595" s="225" t="str">
        <f t="shared" si="1"/>
        <v/>
      </c>
    </row>
    <row r="596">
      <c r="A596" s="76" t="s">
        <v>2540</v>
      </c>
      <c r="B596" s="76" t="s">
        <v>2540</v>
      </c>
      <c r="C596" s="76" t="s">
        <v>2540</v>
      </c>
      <c r="D596" s="76" t="s">
        <v>2540</v>
      </c>
      <c r="E596" s="76" t="s">
        <v>2540</v>
      </c>
      <c r="F596" s="76" t="s">
        <v>2540</v>
      </c>
      <c r="J596" s="225" t="str">
        <f t="shared" si="1"/>
        <v/>
      </c>
    </row>
    <row r="597">
      <c r="A597" s="76" t="s">
        <v>2540</v>
      </c>
      <c r="B597" s="76" t="s">
        <v>2540</v>
      </c>
      <c r="C597" s="76" t="s">
        <v>2540</v>
      </c>
      <c r="D597" s="76" t="s">
        <v>2540</v>
      </c>
      <c r="E597" s="76" t="s">
        <v>2540</v>
      </c>
      <c r="F597" s="76" t="s">
        <v>2540</v>
      </c>
      <c r="J597" s="225" t="str">
        <f t="shared" si="1"/>
        <v/>
      </c>
    </row>
    <row r="598">
      <c r="A598" s="76" t="s">
        <v>2540</v>
      </c>
      <c r="B598" s="76" t="s">
        <v>2540</v>
      </c>
      <c r="C598" s="76" t="s">
        <v>2540</v>
      </c>
      <c r="D598" s="76" t="s">
        <v>2540</v>
      </c>
      <c r="E598" s="76" t="s">
        <v>2540</v>
      </c>
      <c r="F598" s="76" t="s">
        <v>2540</v>
      </c>
      <c r="J598" s="225" t="str">
        <f t="shared" si="1"/>
        <v/>
      </c>
    </row>
    <row r="599">
      <c r="A599" s="76" t="s">
        <v>2540</v>
      </c>
      <c r="B599" s="76" t="s">
        <v>2540</v>
      </c>
      <c r="C599" s="76" t="s">
        <v>2540</v>
      </c>
      <c r="D599" s="76" t="s">
        <v>2540</v>
      </c>
      <c r="E599" s="76" t="s">
        <v>2540</v>
      </c>
      <c r="F599" s="76" t="s">
        <v>2540</v>
      </c>
      <c r="J599" s="225" t="str">
        <f t="shared" si="1"/>
        <v/>
      </c>
    </row>
    <row r="600">
      <c r="A600" s="76" t="s">
        <v>2540</v>
      </c>
      <c r="B600" s="76" t="s">
        <v>2540</v>
      </c>
      <c r="C600" s="76" t="s">
        <v>2540</v>
      </c>
      <c r="D600" s="76" t="s">
        <v>2540</v>
      </c>
      <c r="E600" s="76" t="s">
        <v>2540</v>
      </c>
      <c r="F600" s="76" t="s">
        <v>2540</v>
      </c>
      <c r="J600" s="225" t="str">
        <f t="shared" si="1"/>
        <v/>
      </c>
    </row>
    <row r="601">
      <c r="A601" s="76" t="s">
        <v>2540</v>
      </c>
      <c r="B601" s="76" t="s">
        <v>2540</v>
      </c>
      <c r="C601" s="76" t="s">
        <v>2540</v>
      </c>
      <c r="D601" s="76" t="s">
        <v>2540</v>
      </c>
      <c r="E601" s="76" t="s">
        <v>2540</v>
      </c>
      <c r="F601" s="76" t="s">
        <v>2540</v>
      </c>
      <c r="J601" s="225" t="str">
        <f t="shared" si="1"/>
        <v/>
      </c>
    </row>
    <row r="602">
      <c r="A602" s="76" t="s">
        <v>2540</v>
      </c>
      <c r="B602" s="76" t="s">
        <v>2540</v>
      </c>
      <c r="C602" s="76" t="s">
        <v>2540</v>
      </c>
      <c r="D602" s="76" t="s">
        <v>2540</v>
      </c>
      <c r="E602" s="76" t="s">
        <v>2540</v>
      </c>
      <c r="F602" s="76" t="s">
        <v>2540</v>
      </c>
      <c r="J602" s="225" t="str">
        <f t="shared" si="1"/>
        <v/>
      </c>
    </row>
    <row r="603">
      <c r="A603" s="76" t="s">
        <v>2540</v>
      </c>
      <c r="B603" s="76" t="s">
        <v>2540</v>
      </c>
      <c r="C603" s="76" t="s">
        <v>2540</v>
      </c>
      <c r="D603" s="76" t="s">
        <v>2540</v>
      </c>
      <c r="E603" s="76" t="s">
        <v>2540</v>
      </c>
      <c r="F603" s="76" t="s">
        <v>2540</v>
      </c>
      <c r="J603" s="225" t="str">
        <f t="shared" si="1"/>
        <v/>
      </c>
    </row>
    <row r="604">
      <c r="A604" s="76" t="s">
        <v>2540</v>
      </c>
      <c r="B604" s="76" t="s">
        <v>2540</v>
      </c>
      <c r="C604" s="76" t="s">
        <v>2540</v>
      </c>
      <c r="D604" s="76" t="s">
        <v>2540</v>
      </c>
      <c r="E604" s="76" t="s">
        <v>2540</v>
      </c>
      <c r="F604" s="76" t="s">
        <v>2540</v>
      </c>
      <c r="J604" s="225" t="str">
        <f t="shared" si="1"/>
        <v/>
      </c>
    </row>
    <row r="605">
      <c r="A605" s="76" t="s">
        <v>2540</v>
      </c>
      <c r="B605" s="76" t="s">
        <v>2540</v>
      </c>
      <c r="C605" s="76" t="s">
        <v>2540</v>
      </c>
      <c r="D605" s="76" t="s">
        <v>2540</v>
      </c>
      <c r="E605" s="76" t="s">
        <v>2540</v>
      </c>
      <c r="F605" s="76" t="s">
        <v>2540</v>
      </c>
      <c r="J605" s="225" t="str">
        <f t="shared" si="1"/>
        <v/>
      </c>
    </row>
    <row r="606">
      <c r="A606" s="76" t="s">
        <v>2540</v>
      </c>
      <c r="B606" s="76" t="s">
        <v>2540</v>
      </c>
      <c r="C606" s="76" t="s">
        <v>2540</v>
      </c>
      <c r="D606" s="76" t="s">
        <v>2540</v>
      </c>
      <c r="E606" s="76" t="s">
        <v>2540</v>
      </c>
      <c r="F606" s="76" t="s">
        <v>2540</v>
      </c>
      <c r="J606" s="225" t="str">
        <f t="shared" si="1"/>
        <v/>
      </c>
    </row>
    <row r="607">
      <c r="A607" s="76" t="s">
        <v>2540</v>
      </c>
      <c r="B607" s="76" t="s">
        <v>2540</v>
      </c>
      <c r="C607" s="76" t="s">
        <v>2540</v>
      </c>
      <c r="D607" s="76" t="s">
        <v>2540</v>
      </c>
      <c r="E607" s="76" t="s">
        <v>2540</v>
      </c>
      <c r="F607" s="76" t="s">
        <v>2540</v>
      </c>
      <c r="J607" s="225" t="str">
        <f t="shared" si="1"/>
        <v/>
      </c>
    </row>
    <row r="608">
      <c r="A608" s="76" t="s">
        <v>2540</v>
      </c>
      <c r="B608" s="76" t="s">
        <v>2540</v>
      </c>
      <c r="C608" s="76" t="s">
        <v>2540</v>
      </c>
      <c r="D608" s="76" t="s">
        <v>2540</v>
      </c>
      <c r="E608" s="76" t="s">
        <v>2540</v>
      </c>
      <c r="F608" s="76" t="s">
        <v>2540</v>
      </c>
      <c r="J608" s="225" t="str">
        <f t="shared" si="1"/>
        <v/>
      </c>
    </row>
    <row r="609">
      <c r="A609" s="76" t="s">
        <v>2540</v>
      </c>
      <c r="B609" s="76" t="s">
        <v>2540</v>
      </c>
      <c r="C609" s="76" t="s">
        <v>2540</v>
      </c>
      <c r="D609" s="76" t="s">
        <v>2540</v>
      </c>
      <c r="E609" s="76" t="s">
        <v>2540</v>
      </c>
      <c r="F609" s="76" t="s">
        <v>2540</v>
      </c>
      <c r="J609" s="225" t="str">
        <f t="shared" si="1"/>
        <v/>
      </c>
    </row>
    <row r="610">
      <c r="A610" s="76" t="s">
        <v>2540</v>
      </c>
      <c r="B610" s="76" t="s">
        <v>2540</v>
      </c>
      <c r="C610" s="76" t="s">
        <v>2540</v>
      </c>
      <c r="D610" s="76" t="s">
        <v>2540</v>
      </c>
      <c r="E610" s="76" t="s">
        <v>2540</v>
      </c>
      <c r="F610" s="76" t="s">
        <v>2540</v>
      </c>
      <c r="J610" s="225" t="str">
        <f t="shared" si="1"/>
        <v/>
      </c>
    </row>
    <row r="611">
      <c r="A611" s="76" t="s">
        <v>2540</v>
      </c>
      <c r="B611" s="76" t="s">
        <v>2540</v>
      </c>
      <c r="C611" s="76" t="s">
        <v>2540</v>
      </c>
      <c r="D611" s="76" t="s">
        <v>2540</v>
      </c>
      <c r="E611" s="76" t="s">
        <v>2540</v>
      </c>
      <c r="F611" s="76" t="s">
        <v>2540</v>
      </c>
      <c r="J611" s="225" t="str">
        <f t="shared" si="1"/>
        <v/>
      </c>
    </row>
    <row r="612">
      <c r="A612" s="76" t="s">
        <v>2540</v>
      </c>
      <c r="B612" s="76" t="s">
        <v>2540</v>
      </c>
      <c r="C612" s="76" t="s">
        <v>2540</v>
      </c>
      <c r="D612" s="76" t="s">
        <v>2540</v>
      </c>
      <c r="E612" s="76" t="s">
        <v>2540</v>
      </c>
      <c r="F612" s="76" t="s">
        <v>2540</v>
      </c>
      <c r="J612" s="225" t="str">
        <f t="shared" si="1"/>
        <v/>
      </c>
    </row>
    <row r="613">
      <c r="A613" s="76" t="s">
        <v>2540</v>
      </c>
      <c r="B613" s="76" t="s">
        <v>2540</v>
      </c>
      <c r="C613" s="76" t="s">
        <v>2540</v>
      </c>
      <c r="D613" s="76" t="s">
        <v>2540</v>
      </c>
      <c r="E613" s="76" t="s">
        <v>2540</v>
      </c>
      <c r="F613" s="76" t="s">
        <v>2540</v>
      </c>
      <c r="J613" s="225" t="str">
        <f t="shared" si="1"/>
        <v/>
      </c>
    </row>
    <row r="614">
      <c r="A614" s="76" t="s">
        <v>2540</v>
      </c>
      <c r="B614" s="76" t="s">
        <v>2540</v>
      </c>
      <c r="C614" s="76" t="s">
        <v>2540</v>
      </c>
      <c r="D614" s="76" t="s">
        <v>2540</v>
      </c>
      <c r="E614" s="76" t="s">
        <v>2540</v>
      </c>
      <c r="F614" s="76" t="s">
        <v>2540</v>
      </c>
      <c r="J614" s="225" t="str">
        <f t="shared" si="1"/>
        <v/>
      </c>
    </row>
    <row r="615">
      <c r="A615" s="76" t="s">
        <v>2540</v>
      </c>
      <c r="B615" s="76" t="s">
        <v>2540</v>
      </c>
      <c r="C615" s="76" t="s">
        <v>2540</v>
      </c>
      <c r="D615" s="76" t="s">
        <v>2540</v>
      </c>
      <c r="E615" s="76" t="s">
        <v>2540</v>
      </c>
      <c r="F615" s="76" t="s">
        <v>2540</v>
      </c>
      <c r="J615" s="225" t="str">
        <f t="shared" si="1"/>
        <v/>
      </c>
    </row>
    <row r="616">
      <c r="A616" s="76" t="s">
        <v>2540</v>
      </c>
      <c r="B616" s="76" t="s">
        <v>2540</v>
      </c>
      <c r="C616" s="76" t="s">
        <v>2540</v>
      </c>
      <c r="D616" s="76" t="s">
        <v>2540</v>
      </c>
      <c r="E616" s="76" t="s">
        <v>2540</v>
      </c>
      <c r="F616" s="76" t="s">
        <v>2540</v>
      </c>
      <c r="J616" s="225" t="str">
        <f t="shared" si="1"/>
        <v/>
      </c>
    </row>
    <row r="617">
      <c r="A617" s="76" t="s">
        <v>2540</v>
      </c>
      <c r="B617" s="76" t="s">
        <v>2540</v>
      </c>
      <c r="C617" s="76" t="s">
        <v>2540</v>
      </c>
      <c r="D617" s="76" t="s">
        <v>2540</v>
      </c>
      <c r="E617" s="76" t="s">
        <v>2540</v>
      </c>
      <c r="F617" s="76" t="s">
        <v>2540</v>
      </c>
      <c r="J617" s="225" t="str">
        <f t="shared" si="1"/>
        <v/>
      </c>
    </row>
    <row r="618">
      <c r="A618" s="76" t="s">
        <v>2540</v>
      </c>
      <c r="B618" s="76" t="s">
        <v>2540</v>
      </c>
      <c r="C618" s="76" t="s">
        <v>2540</v>
      </c>
      <c r="D618" s="76" t="s">
        <v>2540</v>
      </c>
      <c r="E618" s="76" t="s">
        <v>2540</v>
      </c>
      <c r="F618" s="76" t="s">
        <v>2540</v>
      </c>
      <c r="J618" s="225" t="str">
        <f t="shared" si="1"/>
        <v/>
      </c>
    </row>
    <row r="619">
      <c r="A619" s="76" t="s">
        <v>2540</v>
      </c>
      <c r="B619" s="76" t="s">
        <v>2540</v>
      </c>
      <c r="C619" s="76" t="s">
        <v>2540</v>
      </c>
      <c r="D619" s="76" t="s">
        <v>2540</v>
      </c>
      <c r="E619" s="76" t="s">
        <v>2540</v>
      </c>
      <c r="F619" s="76" t="s">
        <v>2540</v>
      </c>
      <c r="J619" s="225" t="str">
        <f t="shared" si="1"/>
        <v/>
      </c>
    </row>
    <row r="620">
      <c r="A620" s="76" t="s">
        <v>2540</v>
      </c>
      <c r="B620" s="76" t="s">
        <v>2540</v>
      </c>
      <c r="C620" s="76" t="s">
        <v>2540</v>
      </c>
      <c r="D620" s="76" t="s">
        <v>2540</v>
      </c>
      <c r="E620" s="76" t="s">
        <v>2540</v>
      </c>
      <c r="F620" s="76" t="s">
        <v>2540</v>
      </c>
      <c r="J620" s="225" t="str">
        <f t="shared" si="1"/>
        <v/>
      </c>
    </row>
    <row r="621">
      <c r="A621" s="76" t="s">
        <v>2540</v>
      </c>
      <c r="B621" s="76" t="s">
        <v>2540</v>
      </c>
      <c r="C621" s="76" t="s">
        <v>2540</v>
      </c>
      <c r="D621" s="76" t="s">
        <v>2540</v>
      </c>
      <c r="E621" s="76" t="s">
        <v>2540</v>
      </c>
      <c r="F621" s="76" t="s">
        <v>2540</v>
      </c>
      <c r="J621" s="225" t="str">
        <f t="shared" si="1"/>
        <v/>
      </c>
    </row>
    <row r="622">
      <c r="A622" s="76" t="s">
        <v>2540</v>
      </c>
      <c r="B622" s="76" t="s">
        <v>2540</v>
      </c>
      <c r="C622" s="76" t="s">
        <v>2540</v>
      </c>
      <c r="D622" s="76" t="s">
        <v>2540</v>
      </c>
      <c r="E622" s="76" t="s">
        <v>2540</v>
      </c>
      <c r="F622" s="76" t="s">
        <v>2540</v>
      </c>
      <c r="J622" s="225" t="str">
        <f t="shared" si="1"/>
        <v/>
      </c>
    </row>
    <row r="623">
      <c r="A623" s="76" t="s">
        <v>2540</v>
      </c>
      <c r="B623" s="76" t="s">
        <v>2540</v>
      </c>
      <c r="C623" s="76" t="s">
        <v>2540</v>
      </c>
      <c r="D623" s="76" t="s">
        <v>2540</v>
      </c>
      <c r="E623" s="76" t="s">
        <v>2540</v>
      </c>
      <c r="F623" s="76" t="s">
        <v>2540</v>
      </c>
      <c r="J623" s="225" t="str">
        <f t="shared" si="1"/>
        <v/>
      </c>
    </row>
    <row r="624">
      <c r="A624" s="76" t="s">
        <v>2540</v>
      </c>
      <c r="B624" s="76" t="s">
        <v>2540</v>
      </c>
      <c r="C624" s="76" t="s">
        <v>2540</v>
      </c>
      <c r="D624" s="76" t="s">
        <v>2540</v>
      </c>
      <c r="E624" s="76" t="s">
        <v>2540</v>
      </c>
      <c r="F624" s="76" t="s">
        <v>2540</v>
      </c>
      <c r="J624" s="225" t="str">
        <f t="shared" si="1"/>
        <v/>
      </c>
    </row>
    <row r="625">
      <c r="A625" s="76" t="s">
        <v>2540</v>
      </c>
      <c r="B625" s="76" t="s">
        <v>2540</v>
      </c>
      <c r="C625" s="76" t="s">
        <v>2540</v>
      </c>
      <c r="D625" s="76" t="s">
        <v>2540</v>
      </c>
      <c r="E625" s="76" t="s">
        <v>2540</v>
      </c>
      <c r="F625" s="76" t="s">
        <v>2540</v>
      </c>
      <c r="J625" s="225" t="str">
        <f t="shared" si="1"/>
        <v/>
      </c>
    </row>
    <row r="626">
      <c r="A626" s="76" t="s">
        <v>2540</v>
      </c>
      <c r="B626" s="76" t="s">
        <v>2540</v>
      </c>
      <c r="C626" s="76" t="s">
        <v>2540</v>
      </c>
      <c r="D626" s="76" t="s">
        <v>2540</v>
      </c>
      <c r="E626" s="76" t="s">
        <v>2540</v>
      </c>
      <c r="F626" s="76" t="s">
        <v>2540</v>
      </c>
      <c r="J626" s="225" t="str">
        <f t="shared" si="1"/>
        <v/>
      </c>
    </row>
    <row r="627">
      <c r="A627" s="76" t="s">
        <v>2540</v>
      </c>
      <c r="B627" s="76" t="s">
        <v>2540</v>
      </c>
      <c r="C627" s="76" t="s">
        <v>2540</v>
      </c>
      <c r="D627" s="76" t="s">
        <v>2540</v>
      </c>
      <c r="E627" s="76" t="s">
        <v>2540</v>
      </c>
      <c r="F627" s="76" t="s">
        <v>2540</v>
      </c>
      <c r="J627" s="225" t="str">
        <f t="shared" si="1"/>
        <v/>
      </c>
    </row>
    <row r="628">
      <c r="A628" s="76" t="s">
        <v>2540</v>
      </c>
      <c r="B628" s="76" t="s">
        <v>2540</v>
      </c>
      <c r="C628" s="76" t="s">
        <v>2540</v>
      </c>
      <c r="D628" s="76" t="s">
        <v>2540</v>
      </c>
      <c r="E628" s="76" t="s">
        <v>2540</v>
      </c>
      <c r="F628" s="76" t="s">
        <v>2540</v>
      </c>
      <c r="J628" s="225" t="str">
        <f t="shared" si="1"/>
        <v/>
      </c>
    </row>
    <row r="629">
      <c r="A629" s="76" t="s">
        <v>2540</v>
      </c>
      <c r="B629" s="76" t="s">
        <v>2540</v>
      </c>
      <c r="C629" s="76" t="s">
        <v>2540</v>
      </c>
      <c r="D629" s="76" t="s">
        <v>2540</v>
      </c>
      <c r="E629" s="76" t="s">
        <v>2540</v>
      </c>
      <c r="F629" s="76" t="s">
        <v>2540</v>
      </c>
      <c r="J629" s="225" t="str">
        <f t="shared" si="1"/>
        <v/>
      </c>
    </row>
    <row r="630">
      <c r="A630" s="76" t="s">
        <v>2540</v>
      </c>
      <c r="B630" s="76" t="s">
        <v>2540</v>
      </c>
      <c r="C630" s="76" t="s">
        <v>2540</v>
      </c>
      <c r="D630" s="76" t="s">
        <v>2540</v>
      </c>
      <c r="E630" s="76" t="s">
        <v>2540</v>
      </c>
      <c r="F630" s="76" t="s">
        <v>2540</v>
      </c>
      <c r="J630" s="225" t="str">
        <f t="shared" si="1"/>
        <v/>
      </c>
    </row>
    <row r="631">
      <c r="A631" s="76" t="s">
        <v>2540</v>
      </c>
      <c r="B631" s="76" t="s">
        <v>2540</v>
      </c>
      <c r="C631" s="76" t="s">
        <v>2540</v>
      </c>
      <c r="D631" s="76" t="s">
        <v>2540</v>
      </c>
      <c r="E631" s="76" t="s">
        <v>2540</v>
      </c>
      <c r="F631" s="76" t="s">
        <v>2540</v>
      </c>
      <c r="J631" s="225" t="str">
        <f t="shared" si="1"/>
        <v/>
      </c>
    </row>
    <row r="632">
      <c r="A632" s="76" t="s">
        <v>2540</v>
      </c>
      <c r="B632" s="76" t="s">
        <v>2540</v>
      </c>
      <c r="C632" s="76" t="s">
        <v>2540</v>
      </c>
      <c r="D632" s="76" t="s">
        <v>2540</v>
      </c>
      <c r="E632" s="76" t="s">
        <v>2540</v>
      </c>
      <c r="F632" s="76" t="s">
        <v>2540</v>
      </c>
      <c r="J632" s="225" t="str">
        <f t="shared" si="1"/>
        <v/>
      </c>
    </row>
    <row r="633">
      <c r="A633" s="76" t="s">
        <v>2540</v>
      </c>
      <c r="B633" s="76" t="s">
        <v>2540</v>
      </c>
      <c r="C633" s="76" t="s">
        <v>2540</v>
      </c>
      <c r="D633" s="76" t="s">
        <v>2540</v>
      </c>
      <c r="E633" s="76" t="s">
        <v>2540</v>
      </c>
      <c r="F633" s="76" t="s">
        <v>2540</v>
      </c>
      <c r="J633" s="225" t="str">
        <f t="shared" si="1"/>
        <v/>
      </c>
    </row>
    <row r="634">
      <c r="A634" s="76" t="s">
        <v>2540</v>
      </c>
      <c r="B634" s="76" t="s">
        <v>2540</v>
      </c>
      <c r="C634" s="76" t="s">
        <v>2540</v>
      </c>
      <c r="D634" s="76" t="s">
        <v>2540</v>
      </c>
      <c r="E634" s="76" t="s">
        <v>2540</v>
      </c>
      <c r="F634" s="76" t="s">
        <v>2540</v>
      </c>
      <c r="J634" s="225" t="str">
        <f t="shared" si="1"/>
        <v/>
      </c>
    </row>
    <row r="635">
      <c r="A635" s="76" t="s">
        <v>2540</v>
      </c>
      <c r="B635" s="76" t="s">
        <v>2540</v>
      </c>
      <c r="C635" s="76" t="s">
        <v>2540</v>
      </c>
      <c r="D635" s="76" t="s">
        <v>2540</v>
      </c>
      <c r="E635" s="76" t="s">
        <v>2540</v>
      </c>
      <c r="F635" s="76" t="s">
        <v>2540</v>
      </c>
      <c r="J635" s="225" t="str">
        <f t="shared" si="1"/>
        <v/>
      </c>
    </row>
    <row r="636">
      <c r="A636" s="76" t="s">
        <v>2540</v>
      </c>
      <c r="B636" s="76" t="s">
        <v>2540</v>
      </c>
      <c r="C636" s="76" t="s">
        <v>2540</v>
      </c>
      <c r="D636" s="76" t="s">
        <v>2540</v>
      </c>
      <c r="E636" s="76" t="s">
        <v>2540</v>
      </c>
      <c r="F636" s="76" t="s">
        <v>2540</v>
      </c>
      <c r="J636" s="225" t="str">
        <f t="shared" si="1"/>
        <v/>
      </c>
    </row>
    <row r="637">
      <c r="A637" s="76" t="s">
        <v>2540</v>
      </c>
      <c r="B637" s="76" t="s">
        <v>2540</v>
      </c>
      <c r="C637" s="76" t="s">
        <v>2540</v>
      </c>
      <c r="D637" s="76" t="s">
        <v>2540</v>
      </c>
      <c r="E637" s="76" t="s">
        <v>2540</v>
      </c>
      <c r="F637" s="76" t="s">
        <v>2540</v>
      </c>
      <c r="J637" s="225" t="str">
        <f t="shared" si="1"/>
        <v/>
      </c>
    </row>
    <row r="638">
      <c r="A638" s="76" t="s">
        <v>2540</v>
      </c>
      <c r="B638" s="76" t="s">
        <v>2540</v>
      </c>
      <c r="C638" s="76" t="s">
        <v>2540</v>
      </c>
      <c r="D638" s="76" t="s">
        <v>2540</v>
      </c>
      <c r="E638" s="76" t="s">
        <v>2540</v>
      </c>
      <c r="F638" s="76" t="s">
        <v>2540</v>
      </c>
      <c r="J638" s="225" t="str">
        <f t="shared" si="1"/>
        <v/>
      </c>
    </row>
    <row r="639">
      <c r="A639" s="76" t="s">
        <v>2540</v>
      </c>
      <c r="B639" s="76" t="s">
        <v>2540</v>
      </c>
      <c r="C639" s="76" t="s">
        <v>2540</v>
      </c>
      <c r="D639" s="76" t="s">
        <v>2540</v>
      </c>
      <c r="E639" s="76" t="s">
        <v>2540</v>
      </c>
      <c r="F639" s="76" t="s">
        <v>2540</v>
      </c>
      <c r="J639" s="225" t="str">
        <f t="shared" si="1"/>
        <v/>
      </c>
    </row>
    <row r="640">
      <c r="A640" s="76" t="s">
        <v>2540</v>
      </c>
      <c r="B640" s="76" t="s">
        <v>2540</v>
      </c>
      <c r="C640" s="76" t="s">
        <v>2540</v>
      </c>
      <c r="D640" s="76" t="s">
        <v>2540</v>
      </c>
      <c r="E640" s="76" t="s">
        <v>2540</v>
      </c>
      <c r="F640" s="76" t="s">
        <v>2540</v>
      </c>
      <c r="J640" s="225" t="str">
        <f t="shared" si="1"/>
        <v/>
      </c>
    </row>
    <row r="641">
      <c r="A641" s="76" t="s">
        <v>2540</v>
      </c>
      <c r="B641" s="76" t="s">
        <v>2540</v>
      </c>
      <c r="C641" s="76" t="s">
        <v>2540</v>
      </c>
      <c r="D641" s="76" t="s">
        <v>2540</v>
      </c>
      <c r="E641" s="76" t="s">
        <v>2540</v>
      </c>
      <c r="F641" s="76" t="s">
        <v>2540</v>
      </c>
      <c r="J641" s="225" t="str">
        <f t="shared" si="1"/>
        <v/>
      </c>
    </row>
    <row r="642">
      <c r="A642" s="76" t="s">
        <v>2540</v>
      </c>
      <c r="B642" s="76" t="s">
        <v>2540</v>
      </c>
      <c r="C642" s="76" t="s">
        <v>2540</v>
      </c>
      <c r="D642" s="76" t="s">
        <v>2540</v>
      </c>
      <c r="E642" s="76" t="s">
        <v>2540</v>
      </c>
      <c r="F642" s="76" t="s">
        <v>2540</v>
      </c>
      <c r="J642" s="225" t="str">
        <f t="shared" si="1"/>
        <v/>
      </c>
    </row>
    <row r="643">
      <c r="A643" s="76" t="s">
        <v>2540</v>
      </c>
      <c r="B643" s="76" t="s">
        <v>2540</v>
      </c>
      <c r="C643" s="76" t="s">
        <v>2540</v>
      </c>
      <c r="D643" s="76" t="s">
        <v>2540</v>
      </c>
      <c r="E643" s="76" t="s">
        <v>2540</v>
      </c>
      <c r="F643" s="76" t="s">
        <v>2540</v>
      </c>
      <c r="J643" s="225" t="str">
        <f t="shared" si="1"/>
        <v/>
      </c>
    </row>
    <row r="644">
      <c r="A644" s="76" t="s">
        <v>2540</v>
      </c>
      <c r="B644" s="76" t="s">
        <v>2540</v>
      </c>
      <c r="C644" s="76" t="s">
        <v>2540</v>
      </c>
      <c r="D644" s="76" t="s">
        <v>2540</v>
      </c>
      <c r="E644" s="76" t="s">
        <v>2540</v>
      </c>
      <c r="F644" s="76" t="s">
        <v>2540</v>
      </c>
      <c r="J644" s="225" t="str">
        <f t="shared" si="1"/>
        <v/>
      </c>
    </row>
    <row r="645">
      <c r="A645" s="76" t="s">
        <v>2540</v>
      </c>
      <c r="B645" s="76" t="s">
        <v>2540</v>
      </c>
      <c r="C645" s="76" t="s">
        <v>2540</v>
      </c>
      <c r="D645" s="76" t="s">
        <v>2540</v>
      </c>
      <c r="E645" s="76" t="s">
        <v>2540</v>
      </c>
      <c r="F645" s="76" t="s">
        <v>2540</v>
      </c>
      <c r="J645" s="225" t="str">
        <f t="shared" si="1"/>
        <v/>
      </c>
    </row>
    <row r="646">
      <c r="A646" s="76" t="s">
        <v>2540</v>
      </c>
      <c r="B646" s="76" t="s">
        <v>2540</v>
      </c>
      <c r="C646" s="76" t="s">
        <v>2540</v>
      </c>
      <c r="D646" s="76" t="s">
        <v>2540</v>
      </c>
      <c r="E646" s="76" t="s">
        <v>2540</v>
      </c>
      <c r="F646" s="76" t="s">
        <v>2540</v>
      </c>
      <c r="J646" s="225" t="str">
        <f t="shared" si="1"/>
        <v/>
      </c>
    </row>
    <row r="647">
      <c r="A647" s="76" t="s">
        <v>2540</v>
      </c>
      <c r="B647" s="76" t="s">
        <v>2540</v>
      </c>
      <c r="C647" s="76" t="s">
        <v>2540</v>
      </c>
      <c r="D647" s="76" t="s">
        <v>2540</v>
      </c>
      <c r="E647" s="76" t="s">
        <v>2540</v>
      </c>
      <c r="F647" s="76" t="s">
        <v>2540</v>
      </c>
      <c r="J647" s="225" t="str">
        <f t="shared" si="1"/>
        <v/>
      </c>
    </row>
    <row r="648">
      <c r="A648" s="76" t="s">
        <v>2540</v>
      </c>
      <c r="B648" s="76" t="s">
        <v>2540</v>
      </c>
      <c r="C648" s="76" t="s">
        <v>2540</v>
      </c>
      <c r="D648" s="76" t="s">
        <v>2540</v>
      </c>
      <c r="E648" s="76" t="s">
        <v>2540</v>
      </c>
      <c r="F648" s="76" t="s">
        <v>2540</v>
      </c>
      <c r="J648" s="225" t="str">
        <f t="shared" si="1"/>
        <v/>
      </c>
    </row>
    <row r="649">
      <c r="A649" s="76" t="s">
        <v>2540</v>
      </c>
      <c r="B649" s="76" t="s">
        <v>2540</v>
      </c>
      <c r="C649" s="76" t="s">
        <v>2540</v>
      </c>
      <c r="D649" s="76" t="s">
        <v>2540</v>
      </c>
      <c r="E649" s="76" t="s">
        <v>2540</v>
      </c>
      <c r="F649" s="76" t="s">
        <v>2540</v>
      </c>
      <c r="J649" s="225" t="str">
        <f t="shared" si="1"/>
        <v/>
      </c>
    </row>
    <row r="650">
      <c r="A650" s="76" t="s">
        <v>2540</v>
      </c>
      <c r="B650" s="76" t="s">
        <v>2540</v>
      </c>
      <c r="C650" s="76" t="s">
        <v>2540</v>
      </c>
      <c r="D650" s="76" t="s">
        <v>2540</v>
      </c>
      <c r="E650" s="76" t="s">
        <v>2540</v>
      </c>
      <c r="F650" s="76" t="s">
        <v>2540</v>
      </c>
      <c r="J650" s="225" t="str">
        <f t="shared" si="1"/>
        <v/>
      </c>
    </row>
    <row r="651">
      <c r="A651" s="76" t="s">
        <v>2540</v>
      </c>
      <c r="B651" s="76" t="s">
        <v>2540</v>
      </c>
      <c r="C651" s="76" t="s">
        <v>2540</v>
      </c>
      <c r="D651" s="76" t="s">
        <v>2540</v>
      </c>
      <c r="E651" s="76" t="s">
        <v>2540</v>
      </c>
      <c r="F651" s="76" t="s">
        <v>2540</v>
      </c>
      <c r="J651" s="225" t="str">
        <f t="shared" si="1"/>
        <v/>
      </c>
    </row>
    <row r="652">
      <c r="A652" s="76" t="s">
        <v>2540</v>
      </c>
      <c r="B652" s="76" t="s">
        <v>2540</v>
      </c>
      <c r="C652" s="76" t="s">
        <v>2540</v>
      </c>
      <c r="D652" s="76" t="s">
        <v>2540</v>
      </c>
      <c r="E652" s="76" t="s">
        <v>2540</v>
      </c>
      <c r="F652" s="76" t="s">
        <v>2540</v>
      </c>
      <c r="J652" s="225" t="str">
        <f t="shared" si="1"/>
        <v/>
      </c>
    </row>
    <row r="653">
      <c r="A653" s="76" t="s">
        <v>2540</v>
      </c>
      <c r="B653" s="76" t="s">
        <v>2540</v>
      </c>
      <c r="C653" s="76" t="s">
        <v>2540</v>
      </c>
      <c r="D653" s="76" t="s">
        <v>2540</v>
      </c>
      <c r="E653" s="76" t="s">
        <v>2540</v>
      </c>
      <c r="F653" s="76" t="s">
        <v>2540</v>
      </c>
      <c r="J653" s="225" t="str">
        <f t="shared" si="1"/>
        <v/>
      </c>
    </row>
    <row r="654">
      <c r="A654" s="76" t="s">
        <v>2540</v>
      </c>
      <c r="B654" s="76" t="s">
        <v>2540</v>
      </c>
      <c r="C654" s="76" t="s">
        <v>2540</v>
      </c>
      <c r="D654" s="76" t="s">
        <v>2540</v>
      </c>
      <c r="E654" s="76" t="s">
        <v>2540</v>
      </c>
      <c r="F654" s="76" t="s">
        <v>2540</v>
      </c>
      <c r="J654" s="225" t="str">
        <f t="shared" si="1"/>
        <v/>
      </c>
    </row>
    <row r="655">
      <c r="A655" s="76" t="s">
        <v>2540</v>
      </c>
      <c r="B655" s="76" t="s">
        <v>2540</v>
      </c>
      <c r="C655" s="76" t="s">
        <v>2540</v>
      </c>
      <c r="D655" s="76" t="s">
        <v>2540</v>
      </c>
      <c r="E655" s="76" t="s">
        <v>2540</v>
      </c>
      <c r="F655" s="76" t="s">
        <v>2540</v>
      </c>
      <c r="J655" s="225" t="str">
        <f t="shared" si="1"/>
        <v/>
      </c>
    </row>
    <row r="656">
      <c r="A656" s="76" t="s">
        <v>2540</v>
      </c>
      <c r="B656" s="76" t="s">
        <v>2540</v>
      </c>
      <c r="C656" s="76" t="s">
        <v>2540</v>
      </c>
      <c r="D656" s="76" t="s">
        <v>2540</v>
      </c>
      <c r="E656" s="76" t="s">
        <v>2540</v>
      </c>
      <c r="F656" s="76" t="s">
        <v>2540</v>
      </c>
      <c r="J656" s="225" t="str">
        <f t="shared" si="1"/>
        <v/>
      </c>
    </row>
    <row r="657">
      <c r="A657" s="76" t="s">
        <v>2540</v>
      </c>
      <c r="B657" s="76" t="s">
        <v>2540</v>
      </c>
      <c r="C657" s="76" t="s">
        <v>2540</v>
      </c>
      <c r="D657" s="76" t="s">
        <v>2540</v>
      </c>
      <c r="E657" s="76" t="s">
        <v>2540</v>
      </c>
      <c r="F657" s="76" t="s">
        <v>2540</v>
      </c>
      <c r="J657" s="225" t="str">
        <f t="shared" si="1"/>
        <v/>
      </c>
    </row>
    <row r="658">
      <c r="A658" s="76" t="s">
        <v>2540</v>
      </c>
      <c r="B658" s="76" t="s">
        <v>2540</v>
      </c>
      <c r="C658" s="76" t="s">
        <v>2540</v>
      </c>
      <c r="D658" s="76" t="s">
        <v>2540</v>
      </c>
      <c r="E658" s="76" t="s">
        <v>2540</v>
      </c>
      <c r="F658" s="76" t="s">
        <v>2540</v>
      </c>
      <c r="J658" s="225" t="str">
        <f t="shared" si="1"/>
        <v/>
      </c>
    </row>
    <row r="659">
      <c r="A659" s="76" t="s">
        <v>2540</v>
      </c>
      <c r="B659" s="76" t="s">
        <v>2540</v>
      </c>
      <c r="C659" s="76" t="s">
        <v>2540</v>
      </c>
      <c r="D659" s="76" t="s">
        <v>2540</v>
      </c>
      <c r="E659" s="76" t="s">
        <v>2540</v>
      </c>
      <c r="F659" s="76" t="s">
        <v>2540</v>
      </c>
      <c r="J659" s="225" t="str">
        <f t="shared" si="1"/>
        <v/>
      </c>
    </row>
    <row r="660">
      <c r="A660" s="76" t="s">
        <v>2540</v>
      </c>
      <c r="B660" s="76" t="s">
        <v>2540</v>
      </c>
      <c r="C660" s="76" t="s">
        <v>2540</v>
      </c>
      <c r="D660" s="76" t="s">
        <v>2540</v>
      </c>
      <c r="E660" s="76" t="s">
        <v>2540</v>
      </c>
      <c r="F660" s="76" t="s">
        <v>2540</v>
      </c>
      <c r="J660" s="225" t="str">
        <f t="shared" si="1"/>
        <v/>
      </c>
    </row>
    <row r="661">
      <c r="A661" s="76" t="s">
        <v>2540</v>
      </c>
      <c r="B661" s="76" t="s">
        <v>2540</v>
      </c>
      <c r="C661" s="76" t="s">
        <v>2540</v>
      </c>
      <c r="D661" s="76" t="s">
        <v>2540</v>
      </c>
      <c r="E661" s="76" t="s">
        <v>2540</v>
      </c>
      <c r="F661" s="76" t="s">
        <v>2540</v>
      </c>
      <c r="J661" s="225" t="str">
        <f t="shared" si="1"/>
        <v/>
      </c>
    </row>
    <row r="662">
      <c r="A662" s="76" t="s">
        <v>2540</v>
      </c>
      <c r="B662" s="76" t="s">
        <v>2540</v>
      </c>
      <c r="C662" s="76" t="s">
        <v>2540</v>
      </c>
      <c r="D662" s="76" t="s">
        <v>2540</v>
      </c>
      <c r="E662" s="76" t="s">
        <v>2540</v>
      </c>
      <c r="F662" s="76" t="s">
        <v>2540</v>
      </c>
      <c r="J662" s="225" t="str">
        <f t="shared" si="1"/>
        <v/>
      </c>
    </row>
    <row r="663">
      <c r="A663" s="76" t="s">
        <v>2540</v>
      </c>
      <c r="B663" s="76" t="s">
        <v>2540</v>
      </c>
      <c r="C663" s="76" t="s">
        <v>2540</v>
      </c>
      <c r="D663" s="76" t="s">
        <v>2540</v>
      </c>
      <c r="E663" s="76" t="s">
        <v>2540</v>
      </c>
      <c r="F663" s="76" t="s">
        <v>2540</v>
      </c>
      <c r="J663" s="225" t="str">
        <f t="shared" si="1"/>
        <v/>
      </c>
    </row>
    <row r="664">
      <c r="A664" s="76" t="s">
        <v>2540</v>
      </c>
      <c r="B664" s="76" t="s">
        <v>2540</v>
      </c>
      <c r="C664" s="76" t="s">
        <v>2540</v>
      </c>
      <c r="D664" s="76" t="s">
        <v>2540</v>
      </c>
      <c r="E664" s="76" t="s">
        <v>2540</v>
      </c>
      <c r="F664" s="76" t="s">
        <v>2540</v>
      </c>
      <c r="J664" s="225" t="str">
        <f t="shared" si="1"/>
        <v/>
      </c>
    </row>
    <row r="665">
      <c r="A665" s="76" t="s">
        <v>2540</v>
      </c>
      <c r="B665" s="76" t="s">
        <v>2540</v>
      </c>
      <c r="C665" s="76" t="s">
        <v>2540</v>
      </c>
      <c r="D665" s="76" t="s">
        <v>2540</v>
      </c>
      <c r="E665" s="76" t="s">
        <v>2540</v>
      </c>
      <c r="F665" s="76" t="s">
        <v>2540</v>
      </c>
      <c r="J665" s="225" t="str">
        <f t="shared" si="1"/>
        <v/>
      </c>
    </row>
    <row r="666">
      <c r="A666" s="76" t="s">
        <v>2540</v>
      </c>
      <c r="B666" s="76" t="s">
        <v>2540</v>
      </c>
      <c r="C666" s="76" t="s">
        <v>2540</v>
      </c>
      <c r="D666" s="76" t="s">
        <v>2540</v>
      </c>
      <c r="E666" s="76" t="s">
        <v>2540</v>
      </c>
      <c r="F666" s="76" t="s">
        <v>2540</v>
      </c>
      <c r="J666" s="225" t="str">
        <f t="shared" si="1"/>
        <v/>
      </c>
    </row>
    <row r="667">
      <c r="A667" s="76" t="s">
        <v>2540</v>
      </c>
      <c r="B667" s="76" t="s">
        <v>2540</v>
      </c>
      <c r="C667" s="76" t="s">
        <v>2540</v>
      </c>
      <c r="D667" s="76" t="s">
        <v>2540</v>
      </c>
      <c r="E667" s="76" t="s">
        <v>2540</v>
      </c>
      <c r="F667" s="76" t="s">
        <v>2540</v>
      </c>
      <c r="J667" s="225" t="str">
        <f t="shared" si="1"/>
        <v/>
      </c>
    </row>
    <row r="668">
      <c r="A668" s="76" t="s">
        <v>2540</v>
      </c>
      <c r="B668" s="76" t="s">
        <v>2540</v>
      </c>
      <c r="C668" s="76" t="s">
        <v>2540</v>
      </c>
      <c r="D668" s="76" t="s">
        <v>2540</v>
      </c>
      <c r="E668" s="76" t="s">
        <v>2540</v>
      </c>
      <c r="F668" s="76" t="s">
        <v>2540</v>
      </c>
      <c r="J668" s="225" t="str">
        <f t="shared" si="1"/>
        <v/>
      </c>
    </row>
    <row r="669">
      <c r="A669" s="76" t="s">
        <v>2540</v>
      </c>
      <c r="B669" s="76" t="s">
        <v>2540</v>
      </c>
      <c r="C669" s="76" t="s">
        <v>2540</v>
      </c>
      <c r="D669" s="76" t="s">
        <v>2540</v>
      </c>
      <c r="E669" s="76" t="s">
        <v>2540</v>
      </c>
      <c r="F669" s="76" t="s">
        <v>2540</v>
      </c>
      <c r="J669" s="225" t="str">
        <f t="shared" si="1"/>
        <v/>
      </c>
    </row>
    <row r="670">
      <c r="A670" s="76" t="s">
        <v>2540</v>
      </c>
      <c r="B670" s="76" t="s">
        <v>2540</v>
      </c>
      <c r="C670" s="76" t="s">
        <v>2540</v>
      </c>
      <c r="D670" s="76" t="s">
        <v>2540</v>
      </c>
      <c r="E670" s="76" t="s">
        <v>2540</v>
      </c>
      <c r="F670" s="76" t="s">
        <v>2540</v>
      </c>
      <c r="J670" s="225" t="str">
        <f t="shared" si="1"/>
        <v/>
      </c>
    </row>
    <row r="671">
      <c r="A671" s="76" t="s">
        <v>2540</v>
      </c>
      <c r="B671" s="76" t="s">
        <v>2540</v>
      </c>
      <c r="C671" s="76" t="s">
        <v>2540</v>
      </c>
      <c r="D671" s="76" t="s">
        <v>2540</v>
      </c>
      <c r="E671" s="76" t="s">
        <v>2540</v>
      </c>
      <c r="F671" s="76" t="s">
        <v>2540</v>
      </c>
      <c r="J671" s="225" t="str">
        <f t="shared" si="1"/>
        <v/>
      </c>
    </row>
    <row r="672">
      <c r="A672" s="76" t="s">
        <v>2540</v>
      </c>
      <c r="B672" s="76" t="s">
        <v>2540</v>
      </c>
      <c r="C672" s="76" t="s">
        <v>2540</v>
      </c>
      <c r="D672" s="76" t="s">
        <v>2540</v>
      </c>
      <c r="E672" s="76" t="s">
        <v>2540</v>
      </c>
      <c r="F672" s="76" t="s">
        <v>2540</v>
      </c>
      <c r="J672" s="225" t="str">
        <f t="shared" si="1"/>
        <v/>
      </c>
    </row>
    <row r="673">
      <c r="A673" s="76" t="s">
        <v>2540</v>
      </c>
      <c r="B673" s="76" t="s">
        <v>2540</v>
      </c>
      <c r="C673" s="76" t="s">
        <v>2540</v>
      </c>
      <c r="D673" s="76" t="s">
        <v>2540</v>
      </c>
      <c r="E673" s="76" t="s">
        <v>2540</v>
      </c>
      <c r="F673" s="76" t="s">
        <v>2540</v>
      </c>
      <c r="J673" s="225" t="str">
        <f t="shared" si="1"/>
        <v/>
      </c>
    </row>
    <row r="674">
      <c r="A674" s="76" t="s">
        <v>2540</v>
      </c>
      <c r="B674" s="76" t="s">
        <v>2540</v>
      </c>
      <c r="C674" s="76" t="s">
        <v>2540</v>
      </c>
      <c r="D674" s="76" t="s">
        <v>2540</v>
      </c>
      <c r="E674" s="76" t="s">
        <v>2540</v>
      </c>
      <c r="F674" s="76" t="s">
        <v>2540</v>
      </c>
      <c r="J674" s="225" t="str">
        <f t="shared" si="1"/>
        <v/>
      </c>
    </row>
    <row r="675">
      <c r="A675" s="76" t="s">
        <v>2540</v>
      </c>
      <c r="B675" s="76" t="s">
        <v>2540</v>
      </c>
      <c r="C675" s="76" t="s">
        <v>2540</v>
      </c>
      <c r="D675" s="76" t="s">
        <v>2540</v>
      </c>
      <c r="E675" s="76" t="s">
        <v>2540</v>
      </c>
      <c r="F675" s="76" t="s">
        <v>2540</v>
      </c>
      <c r="J675" s="225" t="str">
        <f t="shared" si="1"/>
        <v/>
      </c>
    </row>
    <row r="676">
      <c r="A676" s="76" t="s">
        <v>2540</v>
      </c>
      <c r="B676" s="76" t="s">
        <v>2540</v>
      </c>
      <c r="C676" s="76" t="s">
        <v>2540</v>
      </c>
      <c r="D676" s="76" t="s">
        <v>2540</v>
      </c>
      <c r="E676" s="76" t="s">
        <v>2540</v>
      </c>
      <c r="F676" s="76" t="s">
        <v>2540</v>
      </c>
      <c r="J676" s="225" t="str">
        <f t="shared" si="1"/>
        <v/>
      </c>
    </row>
    <row r="677">
      <c r="A677" s="76" t="s">
        <v>2540</v>
      </c>
      <c r="B677" s="76" t="s">
        <v>2540</v>
      </c>
      <c r="C677" s="76" t="s">
        <v>2540</v>
      </c>
      <c r="D677" s="76" t="s">
        <v>2540</v>
      </c>
      <c r="E677" s="76" t="s">
        <v>2540</v>
      </c>
      <c r="F677" s="76" t="s">
        <v>2540</v>
      </c>
      <c r="J677" s="225" t="str">
        <f t="shared" si="1"/>
        <v/>
      </c>
    </row>
    <row r="678">
      <c r="A678" s="76" t="s">
        <v>2540</v>
      </c>
      <c r="B678" s="76" t="s">
        <v>2540</v>
      </c>
      <c r="C678" s="76" t="s">
        <v>2540</v>
      </c>
      <c r="D678" s="76" t="s">
        <v>2540</v>
      </c>
      <c r="E678" s="76" t="s">
        <v>2540</v>
      </c>
      <c r="F678" s="76" t="s">
        <v>2540</v>
      </c>
      <c r="J678" s="225" t="str">
        <f t="shared" si="1"/>
        <v/>
      </c>
    </row>
    <row r="679">
      <c r="A679" s="76" t="s">
        <v>2540</v>
      </c>
      <c r="B679" s="76" t="s">
        <v>2540</v>
      </c>
      <c r="C679" s="76" t="s">
        <v>2540</v>
      </c>
      <c r="D679" s="76" t="s">
        <v>2540</v>
      </c>
      <c r="E679" s="76" t="s">
        <v>2540</v>
      </c>
      <c r="F679" s="76" t="s">
        <v>2540</v>
      </c>
      <c r="J679" s="225" t="str">
        <f t="shared" si="1"/>
        <v/>
      </c>
    </row>
    <row r="680">
      <c r="A680" s="76" t="s">
        <v>2540</v>
      </c>
      <c r="B680" s="76" t="s">
        <v>2540</v>
      </c>
      <c r="C680" s="76" t="s">
        <v>2540</v>
      </c>
      <c r="D680" s="76" t="s">
        <v>2540</v>
      </c>
      <c r="E680" s="76" t="s">
        <v>2540</v>
      </c>
      <c r="F680" s="76" t="s">
        <v>2540</v>
      </c>
      <c r="J680" s="225" t="str">
        <f t="shared" si="1"/>
        <v/>
      </c>
    </row>
    <row r="681">
      <c r="A681" s="76" t="s">
        <v>2540</v>
      </c>
      <c r="B681" s="76" t="s">
        <v>2540</v>
      </c>
      <c r="C681" s="76" t="s">
        <v>2540</v>
      </c>
      <c r="D681" s="76" t="s">
        <v>2540</v>
      </c>
      <c r="E681" s="76" t="s">
        <v>2540</v>
      </c>
      <c r="F681" s="76" t="s">
        <v>2540</v>
      </c>
      <c r="J681" s="225" t="str">
        <f t="shared" si="1"/>
        <v/>
      </c>
    </row>
    <row r="682">
      <c r="A682" s="76" t="s">
        <v>2540</v>
      </c>
      <c r="B682" s="76" t="s">
        <v>2540</v>
      </c>
      <c r="C682" s="76" t="s">
        <v>2540</v>
      </c>
      <c r="D682" s="76" t="s">
        <v>2540</v>
      </c>
      <c r="E682" s="76" t="s">
        <v>2540</v>
      </c>
      <c r="F682" s="76" t="s">
        <v>2540</v>
      </c>
      <c r="J682" s="225" t="str">
        <f t="shared" si="1"/>
        <v/>
      </c>
    </row>
    <row r="683">
      <c r="A683" s="76" t="s">
        <v>2540</v>
      </c>
      <c r="B683" s="76" t="s">
        <v>2540</v>
      </c>
      <c r="C683" s="76" t="s">
        <v>2540</v>
      </c>
      <c r="D683" s="76" t="s">
        <v>2540</v>
      </c>
      <c r="E683" s="76" t="s">
        <v>2540</v>
      </c>
      <c r="F683" s="76" t="s">
        <v>2540</v>
      </c>
      <c r="J683" s="225" t="str">
        <f t="shared" si="1"/>
        <v/>
      </c>
    </row>
    <row r="684">
      <c r="A684" s="76" t="s">
        <v>2540</v>
      </c>
      <c r="B684" s="76" t="s">
        <v>2540</v>
      </c>
      <c r="C684" s="76" t="s">
        <v>2540</v>
      </c>
      <c r="D684" s="76" t="s">
        <v>2540</v>
      </c>
      <c r="E684" s="76" t="s">
        <v>2540</v>
      </c>
      <c r="F684" s="76" t="s">
        <v>2540</v>
      </c>
      <c r="J684" s="225" t="str">
        <f t="shared" si="1"/>
        <v/>
      </c>
    </row>
    <row r="685">
      <c r="A685" s="76" t="s">
        <v>2540</v>
      </c>
      <c r="B685" s="76" t="s">
        <v>2540</v>
      </c>
      <c r="C685" s="76" t="s">
        <v>2540</v>
      </c>
      <c r="D685" s="76" t="s">
        <v>2540</v>
      </c>
      <c r="E685" s="76" t="s">
        <v>2540</v>
      </c>
      <c r="F685" s="76" t="s">
        <v>2540</v>
      </c>
      <c r="J685" s="225" t="str">
        <f t="shared" si="1"/>
        <v/>
      </c>
    </row>
    <row r="686">
      <c r="A686" s="76" t="s">
        <v>2540</v>
      </c>
      <c r="B686" s="76" t="s">
        <v>2540</v>
      </c>
      <c r="C686" s="76" t="s">
        <v>2540</v>
      </c>
      <c r="D686" s="76" t="s">
        <v>2540</v>
      </c>
      <c r="E686" s="76" t="s">
        <v>2540</v>
      </c>
      <c r="F686" s="76" t="s">
        <v>2540</v>
      </c>
      <c r="J686" s="225" t="str">
        <f t="shared" si="1"/>
        <v/>
      </c>
    </row>
    <row r="687">
      <c r="A687" s="76" t="s">
        <v>2540</v>
      </c>
      <c r="B687" s="76" t="s">
        <v>2540</v>
      </c>
      <c r="C687" s="76" t="s">
        <v>2540</v>
      </c>
      <c r="D687" s="76" t="s">
        <v>2540</v>
      </c>
      <c r="E687" s="76" t="s">
        <v>2540</v>
      </c>
      <c r="F687" s="76" t="s">
        <v>2540</v>
      </c>
      <c r="J687" s="225" t="str">
        <f t="shared" si="1"/>
        <v/>
      </c>
    </row>
    <row r="688">
      <c r="A688" s="76" t="s">
        <v>2540</v>
      </c>
      <c r="B688" s="76" t="s">
        <v>2540</v>
      </c>
      <c r="C688" s="76" t="s">
        <v>2540</v>
      </c>
      <c r="D688" s="76" t="s">
        <v>2540</v>
      </c>
      <c r="E688" s="76" t="s">
        <v>2540</v>
      </c>
      <c r="F688" s="76" t="s">
        <v>2540</v>
      </c>
      <c r="J688" s="225" t="str">
        <f t="shared" si="1"/>
        <v/>
      </c>
    </row>
    <row r="689">
      <c r="A689" s="76" t="s">
        <v>2540</v>
      </c>
      <c r="B689" s="76" t="s">
        <v>2540</v>
      </c>
      <c r="C689" s="76" t="s">
        <v>2540</v>
      </c>
      <c r="D689" s="76" t="s">
        <v>2540</v>
      </c>
      <c r="E689" s="76" t="s">
        <v>2540</v>
      </c>
      <c r="F689" s="76" t="s">
        <v>2540</v>
      </c>
      <c r="J689" s="225" t="str">
        <f t="shared" si="1"/>
        <v/>
      </c>
    </row>
    <row r="690">
      <c r="A690" s="76" t="s">
        <v>2540</v>
      </c>
      <c r="B690" s="76" t="s">
        <v>2540</v>
      </c>
      <c r="C690" s="76" t="s">
        <v>2540</v>
      </c>
      <c r="D690" s="76" t="s">
        <v>2540</v>
      </c>
      <c r="E690" s="76" t="s">
        <v>2540</v>
      </c>
      <c r="F690" s="76" t="s">
        <v>2540</v>
      </c>
      <c r="J690" s="225" t="str">
        <f t="shared" si="1"/>
        <v/>
      </c>
    </row>
    <row r="691">
      <c r="A691" s="76" t="s">
        <v>2540</v>
      </c>
      <c r="B691" s="76" t="s">
        <v>2540</v>
      </c>
      <c r="C691" s="76" t="s">
        <v>2540</v>
      </c>
      <c r="D691" s="76" t="s">
        <v>2540</v>
      </c>
      <c r="E691" s="76" t="s">
        <v>2540</v>
      </c>
      <c r="F691" s="76" t="s">
        <v>2540</v>
      </c>
      <c r="J691" s="225" t="str">
        <f t="shared" si="1"/>
        <v/>
      </c>
    </row>
    <row r="692">
      <c r="A692" s="76" t="s">
        <v>2540</v>
      </c>
      <c r="B692" s="76" t="s">
        <v>2540</v>
      </c>
      <c r="C692" s="76" t="s">
        <v>2540</v>
      </c>
      <c r="D692" s="76" t="s">
        <v>2540</v>
      </c>
      <c r="E692" s="76" t="s">
        <v>2540</v>
      </c>
      <c r="F692" s="76" t="s">
        <v>2540</v>
      </c>
      <c r="J692" s="225" t="str">
        <f t="shared" si="1"/>
        <v/>
      </c>
    </row>
    <row r="693">
      <c r="A693" s="76" t="s">
        <v>2540</v>
      </c>
      <c r="B693" s="76" t="s">
        <v>2540</v>
      </c>
      <c r="C693" s="76" t="s">
        <v>2540</v>
      </c>
      <c r="D693" s="76" t="s">
        <v>2540</v>
      </c>
      <c r="E693" s="76" t="s">
        <v>2540</v>
      </c>
      <c r="F693" s="76" t="s">
        <v>2540</v>
      </c>
      <c r="J693" s="225" t="str">
        <f t="shared" si="1"/>
        <v/>
      </c>
    </row>
    <row r="694">
      <c r="A694" s="76" t="s">
        <v>2540</v>
      </c>
      <c r="B694" s="76" t="s">
        <v>2540</v>
      </c>
      <c r="C694" s="76" t="s">
        <v>2540</v>
      </c>
      <c r="D694" s="76" t="s">
        <v>2540</v>
      </c>
      <c r="E694" s="76" t="s">
        <v>2540</v>
      </c>
      <c r="F694" s="76" t="s">
        <v>2540</v>
      </c>
      <c r="J694" s="225" t="str">
        <f t="shared" si="1"/>
        <v/>
      </c>
    </row>
    <row r="695">
      <c r="A695" s="76" t="s">
        <v>2540</v>
      </c>
      <c r="B695" s="76" t="s">
        <v>2540</v>
      </c>
      <c r="C695" s="76" t="s">
        <v>2540</v>
      </c>
      <c r="D695" s="76" t="s">
        <v>2540</v>
      </c>
      <c r="E695" s="76" t="s">
        <v>2540</v>
      </c>
      <c r="F695" s="76" t="s">
        <v>2540</v>
      </c>
      <c r="J695" s="225" t="str">
        <f t="shared" si="1"/>
        <v/>
      </c>
    </row>
    <row r="696">
      <c r="A696" s="76" t="s">
        <v>2540</v>
      </c>
      <c r="B696" s="76" t="s">
        <v>2540</v>
      </c>
      <c r="C696" s="76" t="s">
        <v>2540</v>
      </c>
      <c r="D696" s="76" t="s">
        <v>2540</v>
      </c>
      <c r="E696" s="76" t="s">
        <v>2540</v>
      </c>
      <c r="F696" s="76" t="s">
        <v>2540</v>
      </c>
      <c r="J696" s="225" t="str">
        <f t="shared" si="1"/>
        <v/>
      </c>
    </row>
    <row r="697">
      <c r="A697" s="76" t="s">
        <v>2540</v>
      </c>
      <c r="B697" s="76" t="s">
        <v>2540</v>
      </c>
      <c r="C697" s="76" t="s">
        <v>2540</v>
      </c>
      <c r="D697" s="76" t="s">
        <v>2540</v>
      </c>
      <c r="E697" s="76" t="s">
        <v>2540</v>
      </c>
      <c r="F697" s="76" t="s">
        <v>2540</v>
      </c>
      <c r="J697" s="225" t="str">
        <f t="shared" si="1"/>
        <v/>
      </c>
    </row>
    <row r="698">
      <c r="A698" s="76" t="s">
        <v>2540</v>
      </c>
      <c r="B698" s="76" t="s">
        <v>2540</v>
      </c>
      <c r="C698" s="76" t="s">
        <v>2540</v>
      </c>
      <c r="D698" s="76" t="s">
        <v>2540</v>
      </c>
      <c r="E698" s="76" t="s">
        <v>2540</v>
      </c>
      <c r="F698" s="76" t="s">
        <v>2540</v>
      </c>
      <c r="J698" s="225" t="str">
        <f t="shared" si="1"/>
        <v/>
      </c>
    </row>
    <row r="699">
      <c r="A699" s="76" t="s">
        <v>2540</v>
      </c>
      <c r="B699" s="76" t="s">
        <v>2540</v>
      </c>
      <c r="C699" s="76" t="s">
        <v>2540</v>
      </c>
      <c r="D699" s="76" t="s">
        <v>2540</v>
      </c>
      <c r="E699" s="76" t="s">
        <v>2540</v>
      </c>
      <c r="F699" s="76" t="s">
        <v>2540</v>
      </c>
      <c r="J699" s="225" t="str">
        <f t="shared" si="1"/>
        <v/>
      </c>
    </row>
    <row r="700">
      <c r="A700" s="76" t="s">
        <v>2540</v>
      </c>
      <c r="B700" s="76" t="s">
        <v>2540</v>
      </c>
      <c r="C700" s="76" t="s">
        <v>2540</v>
      </c>
      <c r="D700" s="76" t="s">
        <v>2540</v>
      </c>
      <c r="E700" s="76" t="s">
        <v>2540</v>
      </c>
      <c r="F700" s="76" t="s">
        <v>2540</v>
      </c>
      <c r="J700" s="225" t="str">
        <f t="shared" si="1"/>
        <v/>
      </c>
    </row>
    <row r="701">
      <c r="A701" s="76" t="s">
        <v>2540</v>
      </c>
      <c r="B701" s="76" t="s">
        <v>2540</v>
      </c>
      <c r="C701" s="76" t="s">
        <v>2540</v>
      </c>
      <c r="D701" s="76" t="s">
        <v>2540</v>
      </c>
      <c r="E701" s="76" t="s">
        <v>2540</v>
      </c>
      <c r="F701" s="76" t="s">
        <v>2540</v>
      </c>
      <c r="J701" s="225" t="str">
        <f t="shared" si="1"/>
        <v/>
      </c>
    </row>
    <row r="702">
      <c r="A702" s="76" t="s">
        <v>2540</v>
      </c>
      <c r="B702" s="76" t="s">
        <v>2540</v>
      </c>
      <c r="C702" s="76" t="s">
        <v>2540</v>
      </c>
      <c r="D702" s="76" t="s">
        <v>2540</v>
      </c>
      <c r="E702" s="76" t="s">
        <v>2540</v>
      </c>
      <c r="F702" s="76" t="s">
        <v>2540</v>
      </c>
      <c r="J702" s="225" t="str">
        <f t="shared" si="1"/>
        <v/>
      </c>
    </row>
    <row r="703">
      <c r="A703" s="76" t="s">
        <v>2540</v>
      </c>
      <c r="B703" s="76" t="s">
        <v>2540</v>
      </c>
      <c r="C703" s="76" t="s">
        <v>2540</v>
      </c>
      <c r="D703" s="76" t="s">
        <v>2540</v>
      </c>
      <c r="E703" s="76" t="s">
        <v>2540</v>
      </c>
      <c r="F703" s="76" t="s">
        <v>2540</v>
      </c>
      <c r="J703" s="225" t="str">
        <f t="shared" si="1"/>
        <v/>
      </c>
    </row>
    <row r="704">
      <c r="A704" s="76" t="s">
        <v>2540</v>
      </c>
      <c r="B704" s="76" t="s">
        <v>2540</v>
      </c>
      <c r="C704" s="76" t="s">
        <v>2540</v>
      </c>
      <c r="D704" s="76" t="s">
        <v>2540</v>
      </c>
      <c r="E704" s="76" t="s">
        <v>2540</v>
      </c>
      <c r="F704" s="76" t="s">
        <v>2540</v>
      </c>
      <c r="J704" s="225" t="str">
        <f t="shared" si="1"/>
        <v/>
      </c>
    </row>
    <row r="705">
      <c r="A705" s="76" t="s">
        <v>2540</v>
      </c>
      <c r="B705" s="76" t="s">
        <v>2540</v>
      </c>
      <c r="C705" s="76" t="s">
        <v>2540</v>
      </c>
      <c r="D705" s="76" t="s">
        <v>2540</v>
      </c>
      <c r="E705" s="76" t="s">
        <v>2540</v>
      </c>
      <c r="F705" s="76" t="s">
        <v>2540</v>
      </c>
      <c r="J705" s="225" t="str">
        <f t="shared" si="1"/>
        <v/>
      </c>
    </row>
    <row r="706">
      <c r="A706" s="76" t="s">
        <v>2540</v>
      </c>
      <c r="B706" s="76" t="s">
        <v>2540</v>
      </c>
      <c r="C706" s="76" t="s">
        <v>2540</v>
      </c>
      <c r="D706" s="76" t="s">
        <v>2540</v>
      </c>
      <c r="E706" s="76" t="s">
        <v>2540</v>
      </c>
      <c r="F706" s="76" t="s">
        <v>2540</v>
      </c>
      <c r="J706" s="225" t="str">
        <f t="shared" si="1"/>
        <v/>
      </c>
    </row>
    <row r="707">
      <c r="A707" s="76" t="s">
        <v>2540</v>
      </c>
      <c r="B707" s="76" t="s">
        <v>2540</v>
      </c>
      <c r="C707" s="76" t="s">
        <v>2540</v>
      </c>
      <c r="D707" s="76" t="s">
        <v>2540</v>
      </c>
      <c r="E707" s="76" t="s">
        <v>2540</v>
      </c>
      <c r="F707" s="76" t="s">
        <v>2540</v>
      </c>
      <c r="J707" s="225" t="str">
        <f t="shared" si="1"/>
        <v/>
      </c>
    </row>
    <row r="708">
      <c r="A708" s="76" t="s">
        <v>2540</v>
      </c>
      <c r="B708" s="76" t="s">
        <v>2540</v>
      </c>
      <c r="C708" s="76" t="s">
        <v>2540</v>
      </c>
      <c r="D708" s="76" t="s">
        <v>2540</v>
      </c>
      <c r="E708" s="76" t="s">
        <v>2540</v>
      </c>
      <c r="F708" s="76" t="s">
        <v>2540</v>
      </c>
      <c r="J708" s="225" t="str">
        <f t="shared" si="1"/>
        <v/>
      </c>
    </row>
    <row r="709">
      <c r="A709" s="76" t="s">
        <v>2540</v>
      </c>
      <c r="B709" s="76" t="s">
        <v>2540</v>
      </c>
      <c r="C709" s="76" t="s">
        <v>2540</v>
      </c>
      <c r="D709" s="76" t="s">
        <v>2540</v>
      </c>
      <c r="E709" s="76" t="s">
        <v>2540</v>
      </c>
      <c r="F709" s="76" t="s">
        <v>2540</v>
      </c>
      <c r="J709" s="225" t="str">
        <f t="shared" si="1"/>
        <v/>
      </c>
    </row>
    <row r="710">
      <c r="A710" s="76" t="s">
        <v>2540</v>
      </c>
      <c r="B710" s="76" t="s">
        <v>2540</v>
      </c>
      <c r="C710" s="76" t="s">
        <v>2540</v>
      </c>
      <c r="D710" s="76" t="s">
        <v>2540</v>
      </c>
      <c r="E710" s="76" t="s">
        <v>2540</v>
      </c>
      <c r="F710" s="76" t="s">
        <v>2540</v>
      </c>
      <c r="J710" s="225" t="str">
        <f t="shared" si="1"/>
        <v/>
      </c>
    </row>
    <row r="711">
      <c r="A711" s="76" t="s">
        <v>2540</v>
      </c>
      <c r="B711" s="76" t="s">
        <v>2540</v>
      </c>
      <c r="C711" s="76" t="s">
        <v>2540</v>
      </c>
      <c r="D711" s="76" t="s">
        <v>2540</v>
      </c>
      <c r="E711" s="76" t="s">
        <v>2540</v>
      </c>
      <c r="F711" s="76" t="s">
        <v>2540</v>
      </c>
      <c r="J711" s="225" t="str">
        <f t="shared" si="1"/>
        <v/>
      </c>
    </row>
    <row r="712">
      <c r="A712" s="76" t="s">
        <v>2540</v>
      </c>
      <c r="B712" s="76" t="s">
        <v>2540</v>
      </c>
      <c r="C712" s="76" t="s">
        <v>2540</v>
      </c>
      <c r="D712" s="76" t="s">
        <v>2540</v>
      </c>
      <c r="E712" s="76" t="s">
        <v>2540</v>
      </c>
      <c r="F712" s="76" t="s">
        <v>2540</v>
      </c>
      <c r="J712" s="225" t="str">
        <f t="shared" si="1"/>
        <v/>
      </c>
    </row>
    <row r="713">
      <c r="A713" s="76" t="s">
        <v>2540</v>
      </c>
      <c r="B713" s="76" t="s">
        <v>2540</v>
      </c>
      <c r="C713" s="76" t="s">
        <v>2540</v>
      </c>
      <c r="D713" s="76" t="s">
        <v>2540</v>
      </c>
      <c r="E713" s="76" t="s">
        <v>2540</v>
      </c>
      <c r="F713" s="76" t="s">
        <v>2540</v>
      </c>
      <c r="J713" s="225" t="str">
        <f t="shared" si="1"/>
        <v/>
      </c>
    </row>
    <row r="714">
      <c r="A714" s="76" t="s">
        <v>2540</v>
      </c>
      <c r="B714" s="76" t="s">
        <v>2540</v>
      </c>
      <c r="C714" s="76" t="s">
        <v>2540</v>
      </c>
      <c r="D714" s="76" t="s">
        <v>2540</v>
      </c>
      <c r="E714" s="76" t="s">
        <v>2540</v>
      </c>
      <c r="F714" s="76" t="s">
        <v>2540</v>
      </c>
      <c r="J714" s="225" t="str">
        <f t="shared" si="1"/>
        <v/>
      </c>
    </row>
    <row r="715">
      <c r="A715" s="76" t="s">
        <v>2540</v>
      </c>
      <c r="B715" s="76" t="s">
        <v>2540</v>
      </c>
      <c r="C715" s="76" t="s">
        <v>2540</v>
      </c>
      <c r="D715" s="76" t="s">
        <v>2540</v>
      </c>
      <c r="E715" s="76" t="s">
        <v>2540</v>
      </c>
      <c r="F715" s="76" t="s">
        <v>2540</v>
      </c>
      <c r="J715" s="225" t="str">
        <f t="shared" si="1"/>
        <v/>
      </c>
    </row>
    <row r="716">
      <c r="A716" s="76" t="s">
        <v>2540</v>
      </c>
      <c r="B716" s="76" t="s">
        <v>2540</v>
      </c>
      <c r="C716" s="76" t="s">
        <v>2540</v>
      </c>
      <c r="D716" s="76" t="s">
        <v>2540</v>
      </c>
      <c r="E716" s="76" t="s">
        <v>2540</v>
      </c>
      <c r="F716" s="76" t="s">
        <v>2540</v>
      </c>
      <c r="J716" s="225" t="str">
        <f t="shared" si="1"/>
        <v/>
      </c>
    </row>
    <row r="717">
      <c r="A717" s="76" t="s">
        <v>2540</v>
      </c>
      <c r="B717" s="76" t="s">
        <v>2540</v>
      </c>
      <c r="C717" s="76" t="s">
        <v>2540</v>
      </c>
      <c r="D717" s="76" t="s">
        <v>2540</v>
      </c>
      <c r="E717" s="76" t="s">
        <v>2540</v>
      </c>
      <c r="F717" s="76" t="s">
        <v>2540</v>
      </c>
      <c r="J717" s="225" t="str">
        <f t="shared" si="1"/>
        <v/>
      </c>
    </row>
    <row r="718">
      <c r="A718" s="76" t="s">
        <v>2540</v>
      </c>
      <c r="B718" s="76" t="s">
        <v>2540</v>
      </c>
      <c r="C718" s="76" t="s">
        <v>2540</v>
      </c>
      <c r="D718" s="76" t="s">
        <v>2540</v>
      </c>
      <c r="E718" s="76" t="s">
        <v>2540</v>
      </c>
      <c r="F718" s="76" t="s">
        <v>2540</v>
      </c>
      <c r="J718" s="225" t="str">
        <f t="shared" si="1"/>
        <v/>
      </c>
    </row>
    <row r="719">
      <c r="A719" s="76" t="s">
        <v>2540</v>
      </c>
      <c r="B719" s="76" t="s">
        <v>2540</v>
      </c>
      <c r="C719" s="76" t="s">
        <v>2540</v>
      </c>
      <c r="D719" s="76" t="s">
        <v>2540</v>
      </c>
      <c r="E719" s="76" t="s">
        <v>2540</v>
      </c>
      <c r="F719" s="76" t="s">
        <v>2540</v>
      </c>
      <c r="J719" s="225" t="str">
        <f t="shared" si="1"/>
        <v/>
      </c>
    </row>
    <row r="720">
      <c r="A720" s="76" t="s">
        <v>2540</v>
      </c>
      <c r="B720" s="76" t="s">
        <v>2540</v>
      </c>
      <c r="C720" s="76" t="s">
        <v>2540</v>
      </c>
      <c r="D720" s="76" t="s">
        <v>2540</v>
      </c>
      <c r="E720" s="76" t="s">
        <v>2540</v>
      </c>
      <c r="F720" s="76" t="s">
        <v>2540</v>
      </c>
      <c r="J720" s="225" t="str">
        <f t="shared" si="1"/>
        <v/>
      </c>
    </row>
    <row r="721">
      <c r="A721" s="76" t="s">
        <v>2540</v>
      </c>
      <c r="B721" s="76" t="s">
        <v>2540</v>
      </c>
      <c r="C721" s="76" t="s">
        <v>2540</v>
      </c>
      <c r="D721" s="76" t="s">
        <v>2540</v>
      </c>
      <c r="E721" s="76" t="s">
        <v>2540</v>
      </c>
      <c r="F721" s="76" t="s">
        <v>2540</v>
      </c>
      <c r="J721" s="225" t="str">
        <f t="shared" si="1"/>
        <v/>
      </c>
    </row>
    <row r="722">
      <c r="A722" s="76" t="s">
        <v>2540</v>
      </c>
      <c r="B722" s="76" t="s">
        <v>2540</v>
      </c>
      <c r="C722" s="76" t="s">
        <v>2540</v>
      </c>
      <c r="D722" s="76" t="s">
        <v>2540</v>
      </c>
      <c r="E722" s="76" t="s">
        <v>2540</v>
      </c>
      <c r="F722" s="76" t="s">
        <v>2540</v>
      </c>
      <c r="J722" s="225" t="str">
        <f t="shared" si="1"/>
        <v/>
      </c>
    </row>
    <row r="723">
      <c r="A723" s="76" t="s">
        <v>2540</v>
      </c>
      <c r="B723" s="76" t="s">
        <v>2540</v>
      </c>
      <c r="C723" s="76" t="s">
        <v>2540</v>
      </c>
      <c r="D723" s="76" t="s">
        <v>2540</v>
      </c>
      <c r="E723" s="76" t="s">
        <v>2540</v>
      </c>
      <c r="F723" s="76" t="s">
        <v>2540</v>
      </c>
      <c r="J723" s="225" t="str">
        <f t="shared" si="1"/>
        <v/>
      </c>
    </row>
    <row r="724">
      <c r="A724" s="76" t="s">
        <v>2540</v>
      </c>
      <c r="B724" s="76" t="s">
        <v>2540</v>
      </c>
      <c r="C724" s="76" t="s">
        <v>2540</v>
      </c>
      <c r="D724" s="76" t="s">
        <v>2540</v>
      </c>
      <c r="E724" s="76" t="s">
        <v>2540</v>
      </c>
      <c r="F724" s="76" t="s">
        <v>2540</v>
      </c>
      <c r="J724" s="225" t="str">
        <f t="shared" si="1"/>
        <v/>
      </c>
    </row>
    <row r="725">
      <c r="A725" s="76" t="s">
        <v>2540</v>
      </c>
      <c r="B725" s="76" t="s">
        <v>2540</v>
      </c>
      <c r="C725" s="76" t="s">
        <v>2540</v>
      </c>
      <c r="D725" s="76" t="s">
        <v>2540</v>
      </c>
      <c r="E725" s="76" t="s">
        <v>2540</v>
      </c>
      <c r="F725" s="76" t="s">
        <v>2540</v>
      </c>
      <c r="J725" s="225" t="str">
        <f t="shared" si="1"/>
        <v/>
      </c>
    </row>
    <row r="726">
      <c r="A726" s="76" t="s">
        <v>2540</v>
      </c>
      <c r="B726" s="76" t="s">
        <v>2540</v>
      </c>
      <c r="C726" s="76" t="s">
        <v>2540</v>
      </c>
      <c r="D726" s="76" t="s">
        <v>2540</v>
      </c>
      <c r="E726" s="76" t="s">
        <v>2540</v>
      </c>
      <c r="F726" s="76" t="s">
        <v>2540</v>
      </c>
      <c r="J726" s="225" t="str">
        <f t="shared" si="1"/>
        <v/>
      </c>
    </row>
    <row r="727">
      <c r="A727" s="76" t="s">
        <v>2540</v>
      </c>
      <c r="B727" s="76" t="s">
        <v>2540</v>
      </c>
      <c r="C727" s="76" t="s">
        <v>2540</v>
      </c>
      <c r="D727" s="76" t="s">
        <v>2540</v>
      </c>
      <c r="E727" s="76" t="s">
        <v>2540</v>
      </c>
      <c r="F727" s="76" t="s">
        <v>2540</v>
      </c>
      <c r="J727" s="225" t="str">
        <f t="shared" si="1"/>
        <v/>
      </c>
    </row>
    <row r="728">
      <c r="A728" s="76" t="s">
        <v>2540</v>
      </c>
      <c r="B728" s="76" t="s">
        <v>2540</v>
      </c>
      <c r="C728" s="76" t="s">
        <v>2540</v>
      </c>
      <c r="D728" s="76" t="s">
        <v>2540</v>
      </c>
      <c r="E728" s="76" t="s">
        <v>2540</v>
      </c>
      <c r="F728" s="76" t="s">
        <v>2540</v>
      </c>
      <c r="J728" s="225" t="str">
        <f t="shared" si="1"/>
        <v/>
      </c>
    </row>
    <row r="729">
      <c r="A729" s="76" t="s">
        <v>2540</v>
      </c>
      <c r="B729" s="76" t="s">
        <v>2540</v>
      </c>
      <c r="C729" s="76" t="s">
        <v>2540</v>
      </c>
      <c r="D729" s="76" t="s">
        <v>2540</v>
      </c>
      <c r="E729" s="76" t="s">
        <v>2540</v>
      </c>
      <c r="F729" s="76" t="s">
        <v>2540</v>
      </c>
      <c r="J729" s="225" t="str">
        <f t="shared" si="1"/>
        <v/>
      </c>
    </row>
    <row r="730">
      <c r="A730" s="76" t="s">
        <v>2540</v>
      </c>
      <c r="B730" s="76" t="s">
        <v>2540</v>
      </c>
      <c r="C730" s="76" t="s">
        <v>2540</v>
      </c>
      <c r="D730" s="76" t="s">
        <v>2540</v>
      </c>
      <c r="E730" s="76" t="s">
        <v>2540</v>
      </c>
      <c r="F730" s="76" t="s">
        <v>2540</v>
      </c>
      <c r="J730" s="225" t="str">
        <f t="shared" si="1"/>
        <v/>
      </c>
    </row>
    <row r="731">
      <c r="A731" s="76" t="s">
        <v>2540</v>
      </c>
      <c r="B731" s="76" t="s">
        <v>2540</v>
      </c>
      <c r="C731" s="76" t="s">
        <v>2540</v>
      </c>
      <c r="D731" s="76" t="s">
        <v>2540</v>
      </c>
      <c r="E731" s="76" t="s">
        <v>2540</v>
      </c>
      <c r="F731" s="76" t="s">
        <v>2540</v>
      </c>
      <c r="J731" s="225" t="str">
        <f t="shared" si="1"/>
        <v/>
      </c>
    </row>
    <row r="732">
      <c r="A732" s="76" t="s">
        <v>2540</v>
      </c>
      <c r="B732" s="76" t="s">
        <v>2540</v>
      </c>
      <c r="C732" s="76" t="s">
        <v>2540</v>
      </c>
      <c r="D732" s="76" t="s">
        <v>2540</v>
      </c>
      <c r="E732" s="76" t="s">
        <v>2540</v>
      </c>
      <c r="F732" s="76" t="s">
        <v>2540</v>
      </c>
      <c r="J732" s="225" t="str">
        <f t="shared" si="1"/>
        <v/>
      </c>
    </row>
    <row r="733">
      <c r="A733" s="76" t="s">
        <v>2540</v>
      </c>
      <c r="B733" s="76" t="s">
        <v>2540</v>
      </c>
      <c r="C733" s="76" t="s">
        <v>2540</v>
      </c>
      <c r="D733" s="76" t="s">
        <v>2540</v>
      </c>
      <c r="E733" s="76" t="s">
        <v>2540</v>
      </c>
      <c r="F733" s="76" t="s">
        <v>2540</v>
      </c>
      <c r="J733" s="225" t="str">
        <f t="shared" si="1"/>
        <v/>
      </c>
    </row>
    <row r="734">
      <c r="A734" s="76" t="s">
        <v>2540</v>
      </c>
      <c r="B734" s="76" t="s">
        <v>2540</v>
      </c>
      <c r="C734" s="76" t="s">
        <v>2540</v>
      </c>
      <c r="D734" s="76" t="s">
        <v>2540</v>
      </c>
      <c r="E734" s="76" t="s">
        <v>2540</v>
      </c>
      <c r="F734" s="76" t="s">
        <v>2540</v>
      </c>
      <c r="J734" s="225" t="str">
        <f t="shared" si="1"/>
        <v/>
      </c>
    </row>
    <row r="735">
      <c r="A735" s="76" t="s">
        <v>2540</v>
      </c>
      <c r="B735" s="76" t="s">
        <v>2540</v>
      </c>
      <c r="C735" s="76" t="s">
        <v>2540</v>
      </c>
      <c r="D735" s="76" t="s">
        <v>2540</v>
      </c>
      <c r="E735" s="76" t="s">
        <v>2540</v>
      </c>
      <c r="F735" s="76" t="s">
        <v>2540</v>
      </c>
      <c r="J735" s="225" t="str">
        <f t="shared" si="1"/>
        <v/>
      </c>
    </row>
    <row r="736">
      <c r="A736" s="76" t="s">
        <v>2540</v>
      </c>
      <c r="B736" s="76" t="s">
        <v>2540</v>
      </c>
      <c r="C736" s="76" t="s">
        <v>2540</v>
      </c>
      <c r="D736" s="76" t="s">
        <v>2540</v>
      </c>
      <c r="E736" s="76" t="s">
        <v>2540</v>
      </c>
      <c r="F736" s="76" t="s">
        <v>2540</v>
      </c>
      <c r="J736" s="225" t="str">
        <f t="shared" si="1"/>
        <v/>
      </c>
    </row>
    <row r="737">
      <c r="A737" s="76" t="s">
        <v>2540</v>
      </c>
      <c r="B737" s="76" t="s">
        <v>2540</v>
      </c>
      <c r="C737" s="76" t="s">
        <v>2540</v>
      </c>
      <c r="D737" s="76" t="s">
        <v>2540</v>
      </c>
      <c r="E737" s="76" t="s">
        <v>2540</v>
      </c>
      <c r="F737" s="76" t="s">
        <v>2540</v>
      </c>
      <c r="J737" s="225" t="str">
        <f t="shared" si="1"/>
        <v/>
      </c>
    </row>
    <row r="738">
      <c r="A738" s="76" t="s">
        <v>2540</v>
      </c>
      <c r="B738" s="76" t="s">
        <v>2540</v>
      </c>
      <c r="C738" s="76" t="s">
        <v>2540</v>
      </c>
      <c r="D738" s="76" t="s">
        <v>2540</v>
      </c>
      <c r="E738" s="76" t="s">
        <v>2540</v>
      </c>
      <c r="F738" s="76" t="s">
        <v>2540</v>
      </c>
      <c r="J738" s="225" t="str">
        <f t="shared" si="1"/>
        <v/>
      </c>
    </row>
    <row r="739">
      <c r="A739" s="76" t="s">
        <v>2540</v>
      </c>
      <c r="B739" s="76" t="s">
        <v>2540</v>
      </c>
      <c r="C739" s="76" t="s">
        <v>2540</v>
      </c>
      <c r="D739" s="76" t="s">
        <v>2540</v>
      </c>
      <c r="E739" s="76" t="s">
        <v>2540</v>
      </c>
      <c r="F739" s="76" t="s">
        <v>2540</v>
      </c>
      <c r="J739" s="225" t="str">
        <f t="shared" si="1"/>
        <v/>
      </c>
    </row>
    <row r="740">
      <c r="A740" s="76" t="s">
        <v>2540</v>
      </c>
      <c r="B740" s="76" t="s">
        <v>2540</v>
      </c>
      <c r="C740" s="76" t="s">
        <v>2540</v>
      </c>
      <c r="D740" s="76" t="s">
        <v>2540</v>
      </c>
      <c r="E740" s="76" t="s">
        <v>2540</v>
      </c>
      <c r="F740" s="76" t="s">
        <v>2540</v>
      </c>
      <c r="J740" s="225" t="str">
        <f t="shared" si="1"/>
        <v/>
      </c>
    </row>
    <row r="741">
      <c r="A741" s="76" t="s">
        <v>2540</v>
      </c>
      <c r="B741" s="76" t="s">
        <v>2540</v>
      </c>
      <c r="C741" s="76" t="s">
        <v>2540</v>
      </c>
      <c r="D741" s="76" t="s">
        <v>2540</v>
      </c>
      <c r="E741" s="76" t="s">
        <v>2540</v>
      </c>
      <c r="F741" s="76" t="s">
        <v>2540</v>
      </c>
      <c r="J741" s="225" t="str">
        <f t="shared" si="1"/>
        <v/>
      </c>
    </row>
    <row r="742">
      <c r="A742" s="76" t="s">
        <v>2540</v>
      </c>
      <c r="B742" s="76" t="s">
        <v>2540</v>
      </c>
      <c r="C742" s="76" t="s">
        <v>2540</v>
      </c>
      <c r="D742" s="76" t="s">
        <v>2540</v>
      </c>
      <c r="E742" s="76" t="s">
        <v>2540</v>
      </c>
      <c r="F742" s="76" t="s">
        <v>2540</v>
      </c>
      <c r="J742" s="225" t="str">
        <f t="shared" si="1"/>
        <v/>
      </c>
    </row>
    <row r="743">
      <c r="A743" s="76" t="s">
        <v>2540</v>
      </c>
      <c r="B743" s="76" t="s">
        <v>2540</v>
      </c>
      <c r="C743" s="76" t="s">
        <v>2540</v>
      </c>
      <c r="D743" s="76" t="s">
        <v>2540</v>
      </c>
      <c r="E743" s="76" t="s">
        <v>2540</v>
      </c>
      <c r="F743" s="76" t="s">
        <v>2540</v>
      </c>
      <c r="J743" s="225" t="str">
        <f t="shared" si="1"/>
        <v/>
      </c>
    </row>
    <row r="744">
      <c r="A744" s="76" t="s">
        <v>2540</v>
      </c>
      <c r="B744" s="76" t="s">
        <v>2540</v>
      </c>
      <c r="C744" s="76" t="s">
        <v>2540</v>
      </c>
      <c r="D744" s="76" t="s">
        <v>2540</v>
      </c>
      <c r="E744" s="76" t="s">
        <v>2540</v>
      </c>
      <c r="F744" s="76" t="s">
        <v>2540</v>
      </c>
      <c r="J744" s="225" t="str">
        <f t="shared" si="1"/>
        <v/>
      </c>
    </row>
    <row r="745">
      <c r="A745" s="76" t="s">
        <v>2540</v>
      </c>
      <c r="B745" s="76" t="s">
        <v>2540</v>
      </c>
      <c r="C745" s="76" t="s">
        <v>2540</v>
      </c>
      <c r="D745" s="76" t="s">
        <v>2540</v>
      </c>
      <c r="E745" s="76" t="s">
        <v>2540</v>
      </c>
      <c r="F745" s="76" t="s">
        <v>2540</v>
      </c>
      <c r="J745" s="225" t="str">
        <f t="shared" si="1"/>
        <v/>
      </c>
    </row>
    <row r="746">
      <c r="A746" s="76" t="s">
        <v>2540</v>
      </c>
      <c r="B746" s="76" t="s">
        <v>2540</v>
      </c>
      <c r="C746" s="76" t="s">
        <v>2540</v>
      </c>
      <c r="D746" s="76" t="s">
        <v>2540</v>
      </c>
      <c r="E746" s="76" t="s">
        <v>2540</v>
      </c>
      <c r="F746" s="76" t="s">
        <v>2540</v>
      </c>
      <c r="J746" s="225" t="str">
        <f t="shared" si="1"/>
        <v/>
      </c>
    </row>
    <row r="747">
      <c r="A747" s="76" t="s">
        <v>2540</v>
      </c>
      <c r="B747" s="76" t="s">
        <v>2540</v>
      </c>
      <c r="C747" s="76" t="s">
        <v>2540</v>
      </c>
      <c r="D747" s="76" t="s">
        <v>2540</v>
      </c>
      <c r="E747" s="76" t="s">
        <v>2540</v>
      </c>
      <c r="F747" s="76" t="s">
        <v>2540</v>
      </c>
      <c r="J747" s="225" t="str">
        <f t="shared" si="1"/>
        <v/>
      </c>
    </row>
    <row r="748">
      <c r="A748" s="76" t="s">
        <v>2540</v>
      </c>
      <c r="B748" s="76" t="s">
        <v>2540</v>
      </c>
      <c r="C748" s="76" t="s">
        <v>2540</v>
      </c>
      <c r="D748" s="76" t="s">
        <v>2540</v>
      </c>
      <c r="E748" s="76" t="s">
        <v>2540</v>
      </c>
      <c r="F748" s="76" t="s">
        <v>2540</v>
      </c>
      <c r="J748" s="225" t="str">
        <f t="shared" si="1"/>
        <v/>
      </c>
    </row>
    <row r="749">
      <c r="A749" s="76" t="s">
        <v>2540</v>
      </c>
      <c r="B749" s="76" t="s">
        <v>2540</v>
      </c>
      <c r="C749" s="76" t="s">
        <v>2540</v>
      </c>
      <c r="D749" s="76" t="s">
        <v>2540</v>
      </c>
      <c r="E749" s="76" t="s">
        <v>2540</v>
      </c>
      <c r="F749" s="76" t="s">
        <v>2540</v>
      </c>
      <c r="J749" s="225" t="str">
        <f t="shared" si="1"/>
        <v/>
      </c>
    </row>
    <row r="750">
      <c r="A750" s="76" t="s">
        <v>2540</v>
      </c>
      <c r="B750" s="76" t="s">
        <v>2540</v>
      </c>
      <c r="C750" s="76" t="s">
        <v>2540</v>
      </c>
      <c r="D750" s="76" t="s">
        <v>2540</v>
      </c>
      <c r="E750" s="76" t="s">
        <v>2540</v>
      </c>
      <c r="F750" s="76" t="s">
        <v>2540</v>
      </c>
      <c r="J750" s="225" t="str">
        <f t="shared" si="1"/>
        <v/>
      </c>
    </row>
    <row r="751">
      <c r="A751" s="76" t="s">
        <v>2540</v>
      </c>
      <c r="B751" s="76" t="s">
        <v>2540</v>
      </c>
      <c r="C751" s="76" t="s">
        <v>2540</v>
      </c>
      <c r="D751" s="76" t="s">
        <v>2540</v>
      </c>
      <c r="E751" s="76" t="s">
        <v>2540</v>
      </c>
      <c r="F751" s="76" t="s">
        <v>2540</v>
      </c>
      <c r="J751" s="225" t="str">
        <f t="shared" si="1"/>
        <v/>
      </c>
    </row>
    <row r="752">
      <c r="A752" s="76" t="s">
        <v>2540</v>
      </c>
      <c r="B752" s="76" t="s">
        <v>2540</v>
      </c>
      <c r="C752" s="76" t="s">
        <v>2540</v>
      </c>
      <c r="D752" s="76" t="s">
        <v>2540</v>
      </c>
      <c r="E752" s="76" t="s">
        <v>2540</v>
      </c>
      <c r="F752" s="76" t="s">
        <v>2540</v>
      </c>
      <c r="J752" s="225" t="str">
        <f t="shared" si="1"/>
        <v/>
      </c>
    </row>
    <row r="753">
      <c r="A753" s="76" t="s">
        <v>2540</v>
      </c>
      <c r="B753" s="76" t="s">
        <v>2540</v>
      </c>
      <c r="C753" s="76" t="s">
        <v>2540</v>
      </c>
      <c r="D753" s="76" t="s">
        <v>2540</v>
      </c>
      <c r="E753" s="76" t="s">
        <v>2540</v>
      </c>
      <c r="F753" s="76" t="s">
        <v>2540</v>
      </c>
      <c r="J753" s="225" t="str">
        <f t="shared" si="1"/>
        <v/>
      </c>
    </row>
    <row r="754">
      <c r="A754" s="76" t="s">
        <v>2540</v>
      </c>
      <c r="B754" s="76" t="s">
        <v>2540</v>
      </c>
      <c r="C754" s="76" t="s">
        <v>2540</v>
      </c>
      <c r="D754" s="76" t="s">
        <v>2540</v>
      </c>
      <c r="E754" s="76" t="s">
        <v>2540</v>
      </c>
      <c r="F754" s="76" t="s">
        <v>2540</v>
      </c>
      <c r="J754" s="225" t="str">
        <f t="shared" si="1"/>
        <v/>
      </c>
    </row>
    <row r="755">
      <c r="A755" s="76" t="s">
        <v>2540</v>
      </c>
      <c r="B755" s="76" t="s">
        <v>2540</v>
      </c>
      <c r="C755" s="76" t="s">
        <v>2540</v>
      </c>
      <c r="D755" s="76" t="s">
        <v>2540</v>
      </c>
      <c r="E755" s="76" t="s">
        <v>2540</v>
      </c>
      <c r="F755" s="76" t="s">
        <v>2540</v>
      </c>
      <c r="J755" s="225" t="str">
        <f t="shared" si="1"/>
        <v/>
      </c>
    </row>
    <row r="756">
      <c r="A756" s="76" t="s">
        <v>2540</v>
      </c>
      <c r="B756" s="76" t="s">
        <v>2540</v>
      </c>
      <c r="C756" s="76" t="s">
        <v>2540</v>
      </c>
      <c r="D756" s="76" t="s">
        <v>2540</v>
      </c>
      <c r="E756" s="76" t="s">
        <v>2540</v>
      </c>
      <c r="F756" s="76" t="s">
        <v>2540</v>
      </c>
      <c r="J756" s="225" t="str">
        <f t="shared" si="1"/>
        <v/>
      </c>
    </row>
    <row r="757">
      <c r="A757" s="76" t="s">
        <v>2540</v>
      </c>
      <c r="B757" s="76" t="s">
        <v>2540</v>
      </c>
      <c r="C757" s="76" t="s">
        <v>2540</v>
      </c>
      <c r="D757" s="76" t="s">
        <v>2540</v>
      </c>
      <c r="E757" s="76" t="s">
        <v>2540</v>
      </c>
      <c r="F757" s="76" t="s">
        <v>2540</v>
      </c>
      <c r="J757" s="225" t="str">
        <f t="shared" si="1"/>
        <v/>
      </c>
    </row>
    <row r="758">
      <c r="A758" s="76" t="s">
        <v>2540</v>
      </c>
      <c r="B758" s="76" t="s">
        <v>2540</v>
      </c>
      <c r="C758" s="76" t="s">
        <v>2540</v>
      </c>
      <c r="D758" s="76" t="s">
        <v>2540</v>
      </c>
      <c r="E758" s="76" t="s">
        <v>2540</v>
      </c>
      <c r="F758" s="76" t="s">
        <v>2540</v>
      </c>
      <c r="J758" s="225" t="str">
        <f t="shared" si="1"/>
        <v/>
      </c>
    </row>
    <row r="759">
      <c r="A759" s="76" t="s">
        <v>2540</v>
      </c>
      <c r="B759" s="76" t="s">
        <v>2540</v>
      </c>
      <c r="C759" s="76" t="s">
        <v>2540</v>
      </c>
      <c r="D759" s="76" t="s">
        <v>2540</v>
      </c>
      <c r="E759" s="76" t="s">
        <v>2540</v>
      </c>
      <c r="F759" s="76" t="s">
        <v>2540</v>
      </c>
      <c r="J759" s="225" t="str">
        <f t="shared" si="1"/>
        <v/>
      </c>
    </row>
    <row r="760">
      <c r="A760" s="76" t="s">
        <v>2540</v>
      </c>
      <c r="B760" s="76" t="s">
        <v>2540</v>
      </c>
      <c r="C760" s="76" t="s">
        <v>2540</v>
      </c>
      <c r="D760" s="76" t="s">
        <v>2540</v>
      </c>
      <c r="E760" s="76" t="s">
        <v>2540</v>
      </c>
      <c r="F760" s="76" t="s">
        <v>2540</v>
      </c>
      <c r="J760" s="225" t="str">
        <f t="shared" si="1"/>
        <v/>
      </c>
    </row>
    <row r="761">
      <c r="A761" s="76" t="s">
        <v>2540</v>
      </c>
      <c r="B761" s="76" t="s">
        <v>2540</v>
      </c>
      <c r="C761" s="76" t="s">
        <v>2540</v>
      </c>
      <c r="D761" s="76" t="s">
        <v>2540</v>
      </c>
      <c r="E761" s="76" t="s">
        <v>2540</v>
      </c>
      <c r="F761" s="76" t="s">
        <v>2540</v>
      </c>
      <c r="J761" s="225" t="str">
        <f t="shared" si="1"/>
        <v/>
      </c>
    </row>
    <row r="762">
      <c r="A762" s="76" t="s">
        <v>2540</v>
      </c>
      <c r="B762" s="76" t="s">
        <v>2540</v>
      </c>
      <c r="C762" s="76" t="s">
        <v>2540</v>
      </c>
      <c r="D762" s="76" t="s">
        <v>2540</v>
      </c>
      <c r="E762" s="76" t="s">
        <v>2540</v>
      </c>
      <c r="F762" s="76" t="s">
        <v>2540</v>
      </c>
      <c r="J762" s="225" t="str">
        <f t="shared" si="1"/>
        <v/>
      </c>
    </row>
    <row r="763">
      <c r="A763" s="76" t="s">
        <v>2540</v>
      </c>
      <c r="B763" s="76" t="s">
        <v>2540</v>
      </c>
      <c r="C763" s="76" t="s">
        <v>2540</v>
      </c>
      <c r="D763" s="76" t="s">
        <v>2540</v>
      </c>
      <c r="E763" s="76" t="s">
        <v>2540</v>
      </c>
      <c r="F763" s="76" t="s">
        <v>2540</v>
      </c>
      <c r="J763" s="225" t="str">
        <f t="shared" si="1"/>
        <v/>
      </c>
    </row>
    <row r="764">
      <c r="A764" s="76" t="s">
        <v>2540</v>
      </c>
      <c r="B764" s="76" t="s">
        <v>2540</v>
      </c>
      <c r="C764" s="76" t="s">
        <v>2540</v>
      </c>
      <c r="D764" s="76" t="s">
        <v>2540</v>
      </c>
      <c r="E764" s="76" t="s">
        <v>2540</v>
      </c>
      <c r="F764" s="76" t="s">
        <v>2540</v>
      </c>
      <c r="J764" s="225" t="str">
        <f t="shared" si="1"/>
        <v/>
      </c>
    </row>
    <row r="765">
      <c r="A765" s="76" t="s">
        <v>2540</v>
      </c>
      <c r="B765" s="76" t="s">
        <v>2540</v>
      </c>
      <c r="C765" s="76" t="s">
        <v>2540</v>
      </c>
      <c r="D765" s="76" t="s">
        <v>2540</v>
      </c>
      <c r="E765" s="76" t="s">
        <v>2540</v>
      </c>
      <c r="F765" s="76" t="s">
        <v>2540</v>
      </c>
      <c r="J765" s="225" t="str">
        <f t="shared" si="1"/>
        <v/>
      </c>
    </row>
    <row r="766">
      <c r="A766" s="76" t="s">
        <v>2540</v>
      </c>
      <c r="B766" s="76" t="s">
        <v>2540</v>
      </c>
      <c r="C766" s="76" t="s">
        <v>2540</v>
      </c>
      <c r="D766" s="76" t="s">
        <v>2540</v>
      </c>
      <c r="E766" s="76" t="s">
        <v>2540</v>
      </c>
      <c r="F766" s="76" t="s">
        <v>2540</v>
      </c>
      <c r="J766" s="225" t="str">
        <f t="shared" si="1"/>
        <v/>
      </c>
    </row>
    <row r="767">
      <c r="A767" s="76" t="s">
        <v>2540</v>
      </c>
      <c r="B767" s="76" t="s">
        <v>2540</v>
      </c>
      <c r="C767" s="76" t="s">
        <v>2540</v>
      </c>
      <c r="D767" s="76" t="s">
        <v>2540</v>
      </c>
      <c r="E767" s="76" t="s">
        <v>2540</v>
      </c>
      <c r="F767" s="76" t="s">
        <v>2540</v>
      </c>
      <c r="J767" s="225" t="str">
        <f t="shared" si="1"/>
        <v/>
      </c>
    </row>
    <row r="768">
      <c r="A768" s="76" t="s">
        <v>2540</v>
      </c>
      <c r="B768" s="76" t="s">
        <v>2540</v>
      </c>
      <c r="C768" s="76" t="s">
        <v>2540</v>
      </c>
      <c r="D768" s="76" t="s">
        <v>2540</v>
      </c>
      <c r="E768" s="76" t="s">
        <v>2540</v>
      </c>
      <c r="F768" s="76" t="s">
        <v>2540</v>
      </c>
      <c r="J768" s="225" t="str">
        <f t="shared" si="1"/>
        <v/>
      </c>
    </row>
    <row r="769">
      <c r="A769" s="76" t="s">
        <v>2540</v>
      </c>
      <c r="B769" s="76" t="s">
        <v>2540</v>
      </c>
      <c r="C769" s="76" t="s">
        <v>2540</v>
      </c>
      <c r="D769" s="76" t="s">
        <v>2540</v>
      </c>
      <c r="E769" s="76" t="s">
        <v>2540</v>
      </c>
      <c r="F769" s="76" t="s">
        <v>2540</v>
      </c>
      <c r="J769" s="225" t="str">
        <f t="shared" si="1"/>
        <v/>
      </c>
    </row>
    <row r="770">
      <c r="A770" s="76" t="s">
        <v>2540</v>
      </c>
      <c r="B770" s="76" t="s">
        <v>2540</v>
      </c>
      <c r="C770" s="76" t="s">
        <v>2540</v>
      </c>
      <c r="D770" s="76" t="s">
        <v>2540</v>
      </c>
      <c r="E770" s="76" t="s">
        <v>2540</v>
      </c>
      <c r="F770" s="76" t="s">
        <v>2540</v>
      </c>
      <c r="J770" s="225" t="str">
        <f t="shared" si="1"/>
        <v/>
      </c>
    </row>
    <row r="771">
      <c r="A771" s="76" t="s">
        <v>2540</v>
      </c>
      <c r="B771" s="76" t="s">
        <v>2540</v>
      </c>
      <c r="C771" s="76" t="s">
        <v>2540</v>
      </c>
      <c r="D771" s="76" t="s">
        <v>2540</v>
      </c>
      <c r="E771" s="76" t="s">
        <v>2540</v>
      </c>
      <c r="F771" s="76" t="s">
        <v>2540</v>
      </c>
      <c r="J771" s="225" t="str">
        <f t="shared" si="1"/>
        <v/>
      </c>
    </row>
    <row r="772">
      <c r="A772" s="76" t="s">
        <v>2540</v>
      </c>
      <c r="B772" s="76" t="s">
        <v>2540</v>
      </c>
      <c r="C772" s="76" t="s">
        <v>2540</v>
      </c>
      <c r="D772" s="76" t="s">
        <v>2540</v>
      </c>
      <c r="E772" s="76" t="s">
        <v>2540</v>
      </c>
      <c r="F772" s="76" t="s">
        <v>2540</v>
      </c>
      <c r="J772" s="225" t="str">
        <f t="shared" si="1"/>
        <v/>
      </c>
    </row>
    <row r="773">
      <c r="A773" s="76" t="s">
        <v>2540</v>
      </c>
      <c r="B773" s="76" t="s">
        <v>2540</v>
      </c>
      <c r="C773" s="76" t="s">
        <v>2540</v>
      </c>
      <c r="D773" s="76" t="s">
        <v>2540</v>
      </c>
      <c r="E773" s="76" t="s">
        <v>2540</v>
      </c>
      <c r="F773" s="76" t="s">
        <v>2540</v>
      </c>
      <c r="J773" s="225" t="str">
        <f t="shared" si="1"/>
        <v/>
      </c>
    </row>
    <row r="774">
      <c r="A774" s="76" t="s">
        <v>2540</v>
      </c>
      <c r="B774" s="76" t="s">
        <v>2540</v>
      </c>
      <c r="C774" s="76" t="s">
        <v>2540</v>
      </c>
      <c r="D774" s="76" t="s">
        <v>2540</v>
      </c>
      <c r="E774" s="76" t="s">
        <v>2540</v>
      </c>
      <c r="F774" s="76" t="s">
        <v>2540</v>
      </c>
      <c r="J774" s="225" t="str">
        <f t="shared" si="1"/>
        <v/>
      </c>
    </row>
    <row r="775">
      <c r="A775" s="76" t="s">
        <v>2540</v>
      </c>
      <c r="B775" s="76" t="s">
        <v>2540</v>
      </c>
      <c r="C775" s="76" t="s">
        <v>2540</v>
      </c>
      <c r="D775" s="76" t="s">
        <v>2540</v>
      </c>
      <c r="E775" s="76" t="s">
        <v>2540</v>
      </c>
      <c r="F775" s="76" t="s">
        <v>2540</v>
      </c>
      <c r="J775" s="225" t="str">
        <f t="shared" si="1"/>
        <v/>
      </c>
    </row>
    <row r="776">
      <c r="A776" s="76" t="s">
        <v>2540</v>
      </c>
      <c r="B776" s="76" t="s">
        <v>2540</v>
      </c>
      <c r="C776" s="76" t="s">
        <v>2540</v>
      </c>
      <c r="D776" s="76" t="s">
        <v>2540</v>
      </c>
      <c r="E776" s="76" t="s">
        <v>2540</v>
      </c>
      <c r="F776" s="76" t="s">
        <v>2540</v>
      </c>
      <c r="J776" s="225" t="str">
        <f t="shared" si="1"/>
        <v/>
      </c>
    </row>
    <row r="777">
      <c r="A777" s="76" t="s">
        <v>2540</v>
      </c>
      <c r="B777" s="76" t="s">
        <v>2540</v>
      </c>
      <c r="C777" s="76" t="s">
        <v>2540</v>
      </c>
      <c r="D777" s="76" t="s">
        <v>2540</v>
      </c>
      <c r="E777" s="76" t="s">
        <v>2540</v>
      </c>
      <c r="F777" s="76" t="s">
        <v>2540</v>
      </c>
      <c r="J777" s="225" t="str">
        <f t="shared" si="1"/>
        <v/>
      </c>
    </row>
    <row r="778">
      <c r="A778" s="76" t="s">
        <v>2540</v>
      </c>
      <c r="B778" s="76" t="s">
        <v>2540</v>
      </c>
      <c r="C778" s="76" t="s">
        <v>2540</v>
      </c>
      <c r="D778" s="76" t="s">
        <v>2540</v>
      </c>
      <c r="E778" s="76" t="s">
        <v>2540</v>
      </c>
      <c r="F778" s="76" t="s">
        <v>2540</v>
      </c>
      <c r="J778" s="225" t="str">
        <f t="shared" si="1"/>
        <v/>
      </c>
    </row>
    <row r="779">
      <c r="A779" s="76" t="s">
        <v>2540</v>
      </c>
      <c r="B779" s="76" t="s">
        <v>2540</v>
      </c>
      <c r="C779" s="76" t="s">
        <v>2540</v>
      </c>
      <c r="D779" s="76" t="s">
        <v>2540</v>
      </c>
      <c r="E779" s="76" t="s">
        <v>2540</v>
      </c>
      <c r="F779" s="76" t="s">
        <v>2540</v>
      </c>
      <c r="J779" s="225" t="str">
        <f t="shared" si="1"/>
        <v/>
      </c>
    </row>
    <row r="780">
      <c r="A780" s="76" t="s">
        <v>2540</v>
      </c>
      <c r="B780" s="76" t="s">
        <v>2540</v>
      </c>
      <c r="C780" s="76" t="s">
        <v>2540</v>
      </c>
      <c r="D780" s="76" t="s">
        <v>2540</v>
      </c>
      <c r="E780" s="76" t="s">
        <v>2540</v>
      </c>
      <c r="F780" s="76" t="s">
        <v>2540</v>
      </c>
      <c r="J780" s="225" t="str">
        <f t="shared" si="1"/>
        <v/>
      </c>
    </row>
    <row r="781">
      <c r="A781" s="76" t="s">
        <v>2540</v>
      </c>
      <c r="B781" s="76" t="s">
        <v>2540</v>
      </c>
      <c r="C781" s="76" t="s">
        <v>2540</v>
      </c>
      <c r="D781" s="76" t="s">
        <v>2540</v>
      </c>
      <c r="E781" s="76" t="s">
        <v>2540</v>
      </c>
      <c r="F781" s="76" t="s">
        <v>2540</v>
      </c>
      <c r="J781" s="225" t="str">
        <f t="shared" si="1"/>
        <v/>
      </c>
    </row>
    <row r="782">
      <c r="A782" s="76" t="s">
        <v>2540</v>
      </c>
      <c r="B782" s="76" t="s">
        <v>2540</v>
      </c>
      <c r="C782" s="76" t="s">
        <v>2540</v>
      </c>
      <c r="D782" s="76" t="s">
        <v>2540</v>
      </c>
      <c r="E782" s="76" t="s">
        <v>2540</v>
      </c>
      <c r="F782" s="76" t="s">
        <v>2540</v>
      </c>
      <c r="J782" s="225" t="str">
        <f t="shared" si="1"/>
        <v/>
      </c>
    </row>
    <row r="783">
      <c r="A783" s="76" t="s">
        <v>2540</v>
      </c>
      <c r="B783" s="76" t="s">
        <v>2540</v>
      </c>
      <c r="C783" s="76" t="s">
        <v>2540</v>
      </c>
      <c r="D783" s="76" t="s">
        <v>2540</v>
      </c>
      <c r="E783" s="76" t="s">
        <v>2540</v>
      </c>
      <c r="F783" s="76" t="s">
        <v>2540</v>
      </c>
      <c r="J783" s="225" t="str">
        <f t="shared" si="1"/>
        <v/>
      </c>
    </row>
    <row r="784">
      <c r="A784" s="76" t="s">
        <v>2540</v>
      </c>
      <c r="B784" s="76" t="s">
        <v>2540</v>
      </c>
      <c r="C784" s="76" t="s">
        <v>2540</v>
      </c>
      <c r="D784" s="76" t="s">
        <v>2540</v>
      </c>
      <c r="E784" s="76" t="s">
        <v>2540</v>
      </c>
      <c r="F784" s="76" t="s">
        <v>2540</v>
      </c>
      <c r="J784" s="225" t="str">
        <f t="shared" si="1"/>
        <v/>
      </c>
    </row>
    <row r="785">
      <c r="A785" s="76" t="s">
        <v>2540</v>
      </c>
      <c r="B785" s="76" t="s">
        <v>2540</v>
      </c>
      <c r="C785" s="76" t="s">
        <v>2540</v>
      </c>
      <c r="D785" s="76" t="s">
        <v>2540</v>
      </c>
      <c r="E785" s="76" t="s">
        <v>2540</v>
      </c>
      <c r="F785" s="76" t="s">
        <v>2540</v>
      </c>
      <c r="J785" s="225" t="str">
        <f t="shared" si="1"/>
        <v/>
      </c>
    </row>
    <row r="786">
      <c r="A786" s="76" t="s">
        <v>2540</v>
      </c>
      <c r="B786" s="76" t="s">
        <v>2540</v>
      </c>
      <c r="C786" s="76" t="s">
        <v>2540</v>
      </c>
      <c r="D786" s="76" t="s">
        <v>2540</v>
      </c>
      <c r="E786" s="76" t="s">
        <v>2540</v>
      </c>
      <c r="F786" s="76" t="s">
        <v>2540</v>
      </c>
      <c r="J786" s="225" t="str">
        <f t="shared" si="1"/>
        <v/>
      </c>
    </row>
    <row r="787">
      <c r="A787" s="76" t="s">
        <v>2540</v>
      </c>
      <c r="B787" s="76" t="s">
        <v>2540</v>
      </c>
      <c r="C787" s="76" t="s">
        <v>2540</v>
      </c>
      <c r="D787" s="76" t="s">
        <v>2540</v>
      </c>
      <c r="E787" s="76" t="s">
        <v>2540</v>
      </c>
      <c r="F787" s="76" t="s">
        <v>2540</v>
      </c>
      <c r="J787" s="225" t="str">
        <f t="shared" si="1"/>
        <v/>
      </c>
    </row>
    <row r="788">
      <c r="A788" s="76" t="s">
        <v>2540</v>
      </c>
      <c r="B788" s="76" t="s">
        <v>2540</v>
      </c>
      <c r="C788" s="76" t="s">
        <v>2540</v>
      </c>
      <c r="D788" s="76" t="s">
        <v>2540</v>
      </c>
      <c r="E788" s="76" t="s">
        <v>2540</v>
      </c>
      <c r="F788" s="76" t="s">
        <v>2540</v>
      </c>
      <c r="J788" s="225" t="str">
        <f t="shared" si="1"/>
        <v/>
      </c>
    </row>
    <row r="789">
      <c r="A789" s="76" t="s">
        <v>2540</v>
      </c>
      <c r="B789" s="76" t="s">
        <v>2540</v>
      </c>
      <c r="C789" s="76" t="s">
        <v>2540</v>
      </c>
      <c r="D789" s="76" t="s">
        <v>2540</v>
      </c>
      <c r="E789" s="76" t="s">
        <v>2540</v>
      </c>
      <c r="F789" s="76" t="s">
        <v>2540</v>
      </c>
      <c r="J789" s="225" t="str">
        <f t="shared" si="1"/>
        <v/>
      </c>
    </row>
    <row r="790">
      <c r="A790" s="76" t="s">
        <v>2540</v>
      </c>
      <c r="B790" s="76" t="s">
        <v>2540</v>
      </c>
      <c r="C790" s="76" t="s">
        <v>2540</v>
      </c>
      <c r="D790" s="76" t="s">
        <v>2540</v>
      </c>
      <c r="E790" s="76" t="s">
        <v>2540</v>
      </c>
      <c r="F790" s="76" t="s">
        <v>2540</v>
      </c>
      <c r="J790" s="225" t="str">
        <f t="shared" si="1"/>
        <v/>
      </c>
    </row>
    <row r="791">
      <c r="A791" s="76" t="s">
        <v>2540</v>
      </c>
      <c r="B791" s="76" t="s">
        <v>2540</v>
      </c>
      <c r="C791" s="76" t="s">
        <v>2540</v>
      </c>
      <c r="D791" s="76" t="s">
        <v>2540</v>
      </c>
      <c r="E791" s="76" t="s">
        <v>2540</v>
      </c>
      <c r="F791" s="76" t="s">
        <v>2540</v>
      </c>
      <c r="J791" s="225" t="str">
        <f t="shared" si="1"/>
        <v/>
      </c>
    </row>
    <row r="792">
      <c r="A792" s="76" t="s">
        <v>2540</v>
      </c>
      <c r="B792" s="76" t="s">
        <v>2540</v>
      </c>
      <c r="C792" s="76" t="s">
        <v>2540</v>
      </c>
      <c r="D792" s="76" t="s">
        <v>2540</v>
      </c>
      <c r="E792" s="76" t="s">
        <v>2540</v>
      </c>
      <c r="F792" s="76" t="s">
        <v>2540</v>
      </c>
      <c r="J792" s="225" t="str">
        <f t="shared" si="1"/>
        <v/>
      </c>
    </row>
    <row r="793">
      <c r="A793" s="76" t="s">
        <v>2540</v>
      </c>
      <c r="B793" s="76" t="s">
        <v>2540</v>
      </c>
      <c r="C793" s="76" t="s">
        <v>2540</v>
      </c>
      <c r="D793" s="76" t="s">
        <v>2540</v>
      </c>
      <c r="E793" s="76" t="s">
        <v>2540</v>
      </c>
      <c r="F793" s="76" t="s">
        <v>2540</v>
      </c>
      <c r="J793" s="225" t="str">
        <f t="shared" si="1"/>
        <v/>
      </c>
    </row>
    <row r="794">
      <c r="A794" s="76" t="s">
        <v>2540</v>
      </c>
      <c r="B794" s="76" t="s">
        <v>2540</v>
      </c>
      <c r="C794" s="76" t="s">
        <v>2540</v>
      </c>
      <c r="D794" s="76" t="s">
        <v>2540</v>
      </c>
      <c r="E794" s="76" t="s">
        <v>2540</v>
      </c>
      <c r="F794" s="76" t="s">
        <v>2540</v>
      </c>
      <c r="J794" s="225" t="str">
        <f t="shared" si="1"/>
        <v/>
      </c>
    </row>
    <row r="795">
      <c r="A795" s="76" t="s">
        <v>2540</v>
      </c>
      <c r="B795" s="76" t="s">
        <v>2540</v>
      </c>
      <c r="C795" s="76" t="s">
        <v>2540</v>
      </c>
      <c r="D795" s="76" t="s">
        <v>2540</v>
      </c>
      <c r="E795" s="76" t="s">
        <v>2540</v>
      </c>
      <c r="F795" s="76" t="s">
        <v>2540</v>
      </c>
      <c r="J795" s="225" t="str">
        <f t="shared" si="1"/>
        <v/>
      </c>
    </row>
    <row r="796">
      <c r="A796" s="76" t="s">
        <v>2540</v>
      </c>
      <c r="B796" s="76" t="s">
        <v>2540</v>
      </c>
      <c r="C796" s="76" t="s">
        <v>2540</v>
      </c>
      <c r="D796" s="76" t="s">
        <v>2540</v>
      </c>
      <c r="E796" s="76" t="s">
        <v>2540</v>
      </c>
      <c r="F796" s="76" t="s">
        <v>2540</v>
      </c>
      <c r="J796" s="225" t="str">
        <f t="shared" si="1"/>
        <v/>
      </c>
    </row>
    <row r="797">
      <c r="A797" s="76" t="s">
        <v>2540</v>
      </c>
      <c r="B797" s="76" t="s">
        <v>2540</v>
      </c>
      <c r="C797" s="76" t="s">
        <v>2540</v>
      </c>
      <c r="D797" s="76" t="s">
        <v>2540</v>
      </c>
      <c r="E797" s="76" t="s">
        <v>2540</v>
      </c>
      <c r="F797" s="76" t="s">
        <v>2540</v>
      </c>
      <c r="J797" s="225" t="str">
        <f t="shared" si="1"/>
        <v/>
      </c>
    </row>
    <row r="798">
      <c r="A798" s="76" t="s">
        <v>2540</v>
      </c>
      <c r="B798" s="76" t="s">
        <v>2540</v>
      </c>
      <c r="C798" s="76" t="s">
        <v>2540</v>
      </c>
      <c r="D798" s="76" t="s">
        <v>2540</v>
      </c>
      <c r="E798" s="76" t="s">
        <v>2540</v>
      </c>
      <c r="F798" s="76" t="s">
        <v>2540</v>
      </c>
      <c r="J798" s="225" t="str">
        <f t="shared" si="1"/>
        <v/>
      </c>
    </row>
    <row r="799">
      <c r="A799" s="76" t="s">
        <v>2540</v>
      </c>
      <c r="B799" s="76" t="s">
        <v>2540</v>
      </c>
      <c r="C799" s="76" t="s">
        <v>2540</v>
      </c>
      <c r="D799" s="76" t="s">
        <v>2540</v>
      </c>
      <c r="E799" s="76" t="s">
        <v>2540</v>
      </c>
      <c r="F799" s="76" t="s">
        <v>2540</v>
      </c>
      <c r="J799" s="225" t="str">
        <f t="shared" si="1"/>
        <v/>
      </c>
    </row>
    <row r="800">
      <c r="A800" s="76" t="s">
        <v>2540</v>
      </c>
      <c r="B800" s="76" t="s">
        <v>2540</v>
      </c>
      <c r="C800" s="76" t="s">
        <v>2540</v>
      </c>
      <c r="D800" s="76" t="s">
        <v>2540</v>
      </c>
      <c r="E800" s="76" t="s">
        <v>2540</v>
      </c>
      <c r="F800" s="76" t="s">
        <v>2540</v>
      </c>
      <c r="J800" s="225" t="str">
        <f t="shared" si="1"/>
        <v/>
      </c>
    </row>
    <row r="801">
      <c r="A801" s="76" t="s">
        <v>2540</v>
      </c>
      <c r="B801" s="76" t="s">
        <v>2540</v>
      </c>
      <c r="C801" s="76" t="s">
        <v>2540</v>
      </c>
      <c r="D801" s="76" t="s">
        <v>2540</v>
      </c>
      <c r="E801" s="76" t="s">
        <v>2540</v>
      </c>
      <c r="F801" s="76" t="s">
        <v>2540</v>
      </c>
      <c r="J801" s="225" t="str">
        <f t="shared" si="1"/>
        <v/>
      </c>
    </row>
    <row r="802">
      <c r="A802" s="76" t="s">
        <v>2540</v>
      </c>
      <c r="B802" s="76" t="s">
        <v>2540</v>
      </c>
      <c r="C802" s="76" t="s">
        <v>2540</v>
      </c>
      <c r="D802" s="76" t="s">
        <v>2540</v>
      </c>
      <c r="E802" s="76" t="s">
        <v>2540</v>
      </c>
      <c r="F802" s="76" t="s">
        <v>2540</v>
      </c>
      <c r="J802" s="225" t="str">
        <f t="shared" si="1"/>
        <v/>
      </c>
    </row>
    <row r="803">
      <c r="A803" s="76" t="s">
        <v>2540</v>
      </c>
      <c r="B803" s="76" t="s">
        <v>2540</v>
      </c>
      <c r="C803" s="76" t="s">
        <v>2540</v>
      </c>
      <c r="D803" s="76" t="s">
        <v>2540</v>
      </c>
      <c r="E803" s="76" t="s">
        <v>2540</v>
      </c>
      <c r="F803" s="76" t="s">
        <v>2540</v>
      </c>
      <c r="J803" s="225" t="str">
        <f t="shared" si="1"/>
        <v/>
      </c>
    </row>
    <row r="804">
      <c r="A804" s="76" t="s">
        <v>2540</v>
      </c>
      <c r="B804" s="76" t="s">
        <v>2540</v>
      </c>
      <c r="C804" s="76" t="s">
        <v>2540</v>
      </c>
      <c r="D804" s="76" t="s">
        <v>2540</v>
      </c>
      <c r="E804" s="76" t="s">
        <v>2540</v>
      </c>
      <c r="F804" s="76" t="s">
        <v>2540</v>
      </c>
      <c r="J804" s="225" t="str">
        <f t="shared" si="1"/>
        <v/>
      </c>
    </row>
    <row r="805">
      <c r="A805" s="76" t="s">
        <v>2540</v>
      </c>
      <c r="B805" s="76" t="s">
        <v>2540</v>
      </c>
      <c r="C805" s="76" t="s">
        <v>2540</v>
      </c>
      <c r="D805" s="76" t="s">
        <v>2540</v>
      </c>
      <c r="E805" s="76" t="s">
        <v>2540</v>
      </c>
      <c r="F805" s="76" t="s">
        <v>2540</v>
      </c>
      <c r="J805" s="225" t="str">
        <f t="shared" si="1"/>
        <v/>
      </c>
    </row>
    <row r="806">
      <c r="A806" s="76" t="s">
        <v>2540</v>
      </c>
      <c r="B806" s="76" t="s">
        <v>2540</v>
      </c>
      <c r="C806" s="76" t="s">
        <v>2540</v>
      </c>
      <c r="D806" s="76" t="s">
        <v>2540</v>
      </c>
      <c r="E806" s="76" t="s">
        <v>2540</v>
      </c>
      <c r="F806" s="76" t="s">
        <v>2540</v>
      </c>
      <c r="J806" s="225" t="str">
        <f t="shared" si="1"/>
        <v/>
      </c>
    </row>
    <row r="807">
      <c r="A807" s="76" t="s">
        <v>2540</v>
      </c>
      <c r="B807" s="76" t="s">
        <v>2540</v>
      </c>
      <c r="C807" s="76" t="s">
        <v>2540</v>
      </c>
      <c r="D807" s="76" t="s">
        <v>2540</v>
      </c>
      <c r="E807" s="76" t="s">
        <v>2540</v>
      </c>
      <c r="F807" s="76" t="s">
        <v>2540</v>
      </c>
      <c r="J807" s="225" t="str">
        <f t="shared" si="1"/>
        <v/>
      </c>
    </row>
    <row r="808">
      <c r="A808" s="76" t="s">
        <v>2540</v>
      </c>
      <c r="B808" s="76" t="s">
        <v>2540</v>
      </c>
      <c r="C808" s="76" t="s">
        <v>2540</v>
      </c>
      <c r="D808" s="76" t="s">
        <v>2540</v>
      </c>
      <c r="E808" s="76" t="s">
        <v>2540</v>
      </c>
      <c r="F808" s="76" t="s">
        <v>2540</v>
      </c>
      <c r="J808" s="225" t="str">
        <f t="shared" si="1"/>
        <v/>
      </c>
    </row>
    <row r="809">
      <c r="A809" s="76" t="s">
        <v>2540</v>
      </c>
      <c r="B809" s="76" t="s">
        <v>2540</v>
      </c>
      <c r="C809" s="76" t="s">
        <v>2540</v>
      </c>
      <c r="D809" s="76" t="s">
        <v>2540</v>
      </c>
      <c r="E809" s="76" t="s">
        <v>2540</v>
      </c>
      <c r="F809" s="76" t="s">
        <v>2540</v>
      </c>
      <c r="J809" s="225" t="str">
        <f t="shared" si="1"/>
        <v/>
      </c>
    </row>
    <row r="810">
      <c r="A810" s="76" t="s">
        <v>2540</v>
      </c>
      <c r="B810" s="76" t="s">
        <v>2540</v>
      </c>
      <c r="C810" s="76" t="s">
        <v>2540</v>
      </c>
      <c r="D810" s="76" t="s">
        <v>2540</v>
      </c>
      <c r="E810" s="76" t="s">
        <v>2540</v>
      </c>
      <c r="F810" s="76" t="s">
        <v>2540</v>
      </c>
      <c r="J810" s="225" t="str">
        <f t="shared" si="1"/>
        <v/>
      </c>
    </row>
    <row r="811">
      <c r="A811" s="76" t="s">
        <v>2540</v>
      </c>
      <c r="B811" s="76" t="s">
        <v>2540</v>
      </c>
      <c r="C811" s="76" t="s">
        <v>2540</v>
      </c>
      <c r="D811" s="76" t="s">
        <v>2540</v>
      </c>
      <c r="E811" s="76" t="s">
        <v>2540</v>
      </c>
      <c r="F811" s="76" t="s">
        <v>2540</v>
      </c>
      <c r="J811" s="225" t="str">
        <f t="shared" si="1"/>
        <v/>
      </c>
    </row>
    <row r="812">
      <c r="A812" s="76" t="s">
        <v>2540</v>
      </c>
      <c r="B812" s="76" t="s">
        <v>2540</v>
      </c>
      <c r="C812" s="76" t="s">
        <v>2540</v>
      </c>
      <c r="D812" s="76" t="s">
        <v>2540</v>
      </c>
      <c r="E812" s="76" t="s">
        <v>2540</v>
      </c>
      <c r="F812" s="76" t="s">
        <v>2540</v>
      </c>
      <c r="J812" s="225" t="str">
        <f t="shared" si="1"/>
        <v/>
      </c>
    </row>
    <row r="813">
      <c r="A813" s="76" t="s">
        <v>2540</v>
      </c>
      <c r="B813" s="76" t="s">
        <v>2540</v>
      </c>
      <c r="C813" s="76" t="s">
        <v>2540</v>
      </c>
      <c r="D813" s="76" t="s">
        <v>2540</v>
      </c>
      <c r="E813" s="76" t="s">
        <v>2540</v>
      </c>
      <c r="F813" s="76" t="s">
        <v>2540</v>
      </c>
      <c r="J813" s="225" t="str">
        <f t="shared" si="1"/>
        <v/>
      </c>
    </row>
    <row r="814">
      <c r="A814" s="76" t="s">
        <v>2540</v>
      </c>
      <c r="B814" s="76" t="s">
        <v>2540</v>
      </c>
      <c r="C814" s="76" t="s">
        <v>2540</v>
      </c>
      <c r="D814" s="76" t="s">
        <v>2540</v>
      </c>
      <c r="E814" s="76" t="s">
        <v>2540</v>
      </c>
      <c r="F814" s="76" t="s">
        <v>2540</v>
      </c>
      <c r="J814" s="225" t="str">
        <f t="shared" si="1"/>
        <v/>
      </c>
    </row>
    <row r="815">
      <c r="A815" s="76" t="s">
        <v>2540</v>
      </c>
      <c r="B815" s="76" t="s">
        <v>2540</v>
      </c>
      <c r="C815" s="76" t="s">
        <v>2540</v>
      </c>
      <c r="D815" s="76" t="s">
        <v>2540</v>
      </c>
      <c r="E815" s="76" t="s">
        <v>2540</v>
      </c>
      <c r="F815" s="76" t="s">
        <v>2540</v>
      </c>
      <c r="J815" s="225" t="str">
        <f t="shared" si="1"/>
        <v/>
      </c>
    </row>
    <row r="816">
      <c r="A816" s="76" t="s">
        <v>2540</v>
      </c>
      <c r="B816" s="76" t="s">
        <v>2540</v>
      </c>
      <c r="C816" s="76" t="s">
        <v>2540</v>
      </c>
      <c r="D816" s="76" t="s">
        <v>2540</v>
      </c>
      <c r="E816" s="76" t="s">
        <v>2540</v>
      </c>
      <c r="F816" s="76" t="s">
        <v>2540</v>
      </c>
      <c r="J816" s="225" t="str">
        <f t="shared" si="1"/>
        <v/>
      </c>
    </row>
    <row r="817">
      <c r="A817" s="76" t="s">
        <v>2540</v>
      </c>
      <c r="B817" s="76" t="s">
        <v>2540</v>
      </c>
      <c r="C817" s="76" t="s">
        <v>2540</v>
      </c>
      <c r="D817" s="76" t="s">
        <v>2540</v>
      </c>
      <c r="E817" s="76" t="s">
        <v>2540</v>
      </c>
      <c r="F817" s="76" t="s">
        <v>2540</v>
      </c>
      <c r="J817" s="225" t="str">
        <f t="shared" si="1"/>
        <v/>
      </c>
    </row>
    <row r="818">
      <c r="A818" s="76" t="s">
        <v>2540</v>
      </c>
      <c r="B818" s="76" t="s">
        <v>2540</v>
      </c>
      <c r="C818" s="76" t="s">
        <v>2540</v>
      </c>
      <c r="D818" s="76" t="s">
        <v>2540</v>
      </c>
      <c r="E818" s="76" t="s">
        <v>2540</v>
      </c>
      <c r="F818" s="76" t="s">
        <v>2540</v>
      </c>
      <c r="J818" s="225" t="str">
        <f t="shared" si="1"/>
        <v/>
      </c>
    </row>
    <row r="819">
      <c r="A819" s="76" t="s">
        <v>2540</v>
      </c>
      <c r="B819" s="76" t="s">
        <v>2540</v>
      </c>
      <c r="C819" s="76" t="s">
        <v>2540</v>
      </c>
      <c r="D819" s="76" t="s">
        <v>2540</v>
      </c>
      <c r="E819" s="76" t="s">
        <v>2540</v>
      </c>
      <c r="F819" s="76" t="s">
        <v>2540</v>
      </c>
      <c r="J819" s="225" t="str">
        <f t="shared" si="1"/>
        <v/>
      </c>
    </row>
    <row r="820">
      <c r="A820" s="76" t="s">
        <v>2540</v>
      </c>
      <c r="B820" s="76" t="s">
        <v>2540</v>
      </c>
      <c r="C820" s="76" t="s">
        <v>2540</v>
      </c>
      <c r="D820" s="76" t="s">
        <v>2540</v>
      </c>
      <c r="E820" s="76" t="s">
        <v>2540</v>
      </c>
      <c r="F820" s="76" t="s">
        <v>2540</v>
      </c>
      <c r="J820" s="225" t="str">
        <f t="shared" si="1"/>
        <v/>
      </c>
    </row>
    <row r="821">
      <c r="A821" s="76" t="s">
        <v>2540</v>
      </c>
      <c r="B821" s="76" t="s">
        <v>2540</v>
      </c>
      <c r="C821" s="76" t="s">
        <v>2540</v>
      </c>
      <c r="D821" s="76" t="s">
        <v>2540</v>
      </c>
      <c r="E821" s="76" t="s">
        <v>2540</v>
      </c>
      <c r="F821" s="76" t="s">
        <v>2540</v>
      </c>
      <c r="J821" s="225" t="str">
        <f t="shared" si="1"/>
        <v/>
      </c>
    </row>
    <row r="822">
      <c r="A822" s="76" t="s">
        <v>2540</v>
      </c>
      <c r="B822" s="76" t="s">
        <v>2540</v>
      </c>
      <c r="C822" s="76" t="s">
        <v>2540</v>
      </c>
      <c r="D822" s="76" t="s">
        <v>2540</v>
      </c>
      <c r="E822" s="76" t="s">
        <v>2540</v>
      </c>
      <c r="F822" s="76" t="s">
        <v>2540</v>
      </c>
      <c r="J822" s="225" t="str">
        <f t="shared" si="1"/>
        <v/>
      </c>
    </row>
    <row r="823">
      <c r="A823" s="76" t="s">
        <v>2540</v>
      </c>
      <c r="B823" s="76" t="s">
        <v>2540</v>
      </c>
      <c r="C823" s="76" t="s">
        <v>2540</v>
      </c>
      <c r="D823" s="76" t="s">
        <v>2540</v>
      </c>
      <c r="E823" s="76" t="s">
        <v>2540</v>
      </c>
      <c r="F823" s="76" t="s">
        <v>2540</v>
      </c>
      <c r="J823" s="225" t="str">
        <f t="shared" si="1"/>
        <v/>
      </c>
    </row>
    <row r="824">
      <c r="A824" s="76" t="s">
        <v>2540</v>
      </c>
      <c r="B824" s="76" t="s">
        <v>2540</v>
      </c>
      <c r="C824" s="76" t="s">
        <v>2540</v>
      </c>
      <c r="D824" s="76" t="s">
        <v>2540</v>
      </c>
      <c r="E824" s="76" t="s">
        <v>2540</v>
      </c>
      <c r="F824" s="76" t="s">
        <v>2540</v>
      </c>
      <c r="J824" s="225" t="str">
        <f t="shared" si="1"/>
        <v/>
      </c>
    </row>
    <row r="825">
      <c r="A825" s="76" t="s">
        <v>2540</v>
      </c>
      <c r="B825" s="76" t="s">
        <v>2540</v>
      </c>
      <c r="C825" s="76" t="s">
        <v>2540</v>
      </c>
      <c r="D825" s="76" t="s">
        <v>2540</v>
      </c>
      <c r="E825" s="76" t="s">
        <v>2540</v>
      </c>
      <c r="F825" s="76" t="s">
        <v>2540</v>
      </c>
      <c r="J825" s="225" t="str">
        <f t="shared" si="1"/>
        <v/>
      </c>
    </row>
    <row r="826">
      <c r="A826" s="76" t="s">
        <v>2540</v>
      </c>
      <c r="B826" s="76" t="s">
        <v>2540</v>
      </c>
      <c r="C826" s="76" t="s">
        <v>2540</v>
      </c>
      <c r="D826" s="76" t="s">
        <v>2540</v>
      </c>
      <c r="E826" s="76" t="s">
        <v>2540</v>
      </c>
      <c r="F826" s="76" t="s">
        <v>2540</v>
      </c>
      <c r="J826" s="225" t="str">
        <f t="shared" si="1"/>
        <v/>
      </c>
    </row>
    <row r="827">
      <c r="A827" s="76" t="s">
        <v>2540</v>
      </c>
      <c r="B827" s="76" t="s">
        <v>2540</v>
      </c>
      <c r="C827" s="76" t="s">
        <v>2540</v>
      </c>
      <c r="D827" s="76" t="s">
        <v>2540</v>
      </c>
      <c r="E827" s="76" t="s">
        <v>2540</v>
      </c>
      <c r="F827" s="76" t="s">
        <v>2540</v>
      </c>
      <c r="J827" s="225" t="str">
        <f t="shared" si="1"/>
        <v/>
      </c>
    </row>
    <row r="828">
      <c r="A828" s="76" t="s">
        <v>2540</v>
      </c>
      <c r="B828" s="76" t="s">
        <v>2540</v>
      </c>
      <c r="C828" s="76" t="s">
        <v>2540</v>
      </c>
      <c r="D828" s="76" t="s">
        <v>2540</v>
      </c>
      <c r="E828" s="76" t="s">
        <v>2540</v>
      </c>
      <c r="F828" s="76" t="s">
        <v>2540</v>
      </c>
      <c r="J828" s="225" t="str">
        <f t="shared" si="1"/>
        <v/>
      </c>
    </row>
    <row r="829">
      <c r="A829" s="76" t="s">
        <v>2540</v>
      </c>
      <c r="B829" s="76" t="s">
        <v>2540</v>
      </c>
      <c r="C829" s="76" t="s">
        <v>2540</v>
      </c>
      <c r="D829" s="76" t="s">
        <v>2540</v>
      </c>
      <c r="E829" s="76" t="s">
        <v>2540</v>
      </c>
      <c r="F829" s="76" t="s">
        <v>2540</v>
      </c>
      <c r="J829" s="225" t="str">
        <f t="shared" si="1"/>
        <v/>
      </c>
    </row>
    <row r="830">
      <c r="A830" s="76" t="s">
        <v>2540</v>
      </c>
      <c r="B830" s="76" t="s">
        <v>2540</v>
      </c>
      <c r="C830" s="76" t="s">
        <v>2540</v>
      </c>
      <c r="D830" s="76" t="s">
        <v>2540</v>
      </c>
      <c r="E830" s="76" t="s">
        <v>2540</v>
      </c>
      <c r="F830" s="76" t="s">
        <v>2540</v>
      </c>
      <c r="J830" s="225" t="str">
        <f t="shared" si="1"/>
        <v/>
      </c>
    </row>
    <row r="831">
      <c r="A831" s="76" t="s">
        <v>2540</v>
      </c>
      <c r="B831" s="76" t="s">
        <v>2540</v>
      </c>
      <c r="C831" s="76" t="s">
        <v>2540</v>
      </c>
      <c r="D831" s="76" t="s">
        <v>2540</v>
      </c>
      <c r="E831" s="76" t="s">
        <v>2540</v>
      </c>
      <c r="F831" s="76" t="s">
        <v>2540</v>
      </c>
      <c r="J831" s="225" t="str">
        <f t="shared" si="1"/>
        <v/>
      </c>
    </row>
    <row r="832">
      <c r="A832" s="76" t="s">
        <v>2540</v>
      </c>
      <c r="B832" s="76" t="s">
        <v>2540</v>
      </c>
      <c r="C832" s="76" t="s">
        <v>2540</v>
      </c>
      <c r="D832" s="76" t="s">
        <v>2540</v>
      </c>
      <c r="E832" s="76" t="s">
        <v>2540</v>
      </c>
      <c r="F832" s="76" t="s">
        <v>2540</v>
      </c>
      <c r="J832" s="225" t="str">
        <f t="shared" si="1"/>
        <v/>
      </c>
    </row>
    <row r="833">
      <c r="A833" s="76" t="s">
        <v>2540</v>
      </c>
      <c r="B833" s="76" t="s">
        <v>2540</v>
      </c>
      <c r="C833" s="76" t="s">
        <v>2540</v>
      </c>
      <c r="D833" s="76" t="s">
        <v>2540</v>
      </c>
      <c r="E833" s="76" t="s">
        <v>2540</v>
      </c>
      <c r="F833" s="76" t="s">
        <v>2540</v>
      </c>
      <c r="J833" s="225" t="str">
        <f t="shared" si="1"/>
        <v/>
      </c>
    </row>
    <row r="834">
      <c r="A834" s="76" t="s">
        <v>2540</v>
      </c>
      <c r="B834" s="76" t="s">
        <v>2540</v>
      </c>
      <c r="C834" s="76" t="s">
        <v>2540</v>
      </c>
      <c r="D834" s="76" t="s">
        <v>2540</v>
      </c>
      <c r="E834" s="76" t="s">
        <v>2540</v>
      </c>
      <c r="F834" s="76" t="s">
        <v>2540</v>
      </c>
      <c r="J834" s="225" t="str">
        <f t="shared" si="1"/>
        <v/>
      </c>
    </row>
    <row r="835">
      <c r="A835" s="76" t="s">
        <v>2540</v>
      </c>
      <c r="B835" s="76" t="s">
        <v>2540</v>
      </c>
      <c r="C835" s="76" t="s">
        <v>2540</v>
      </c>
      <c r="D835" s="76" t="s">
        <v>2540</v>
      </c>
      <c r="E835" s="76" t="s">
        <v>2540</v>
      </c>
      <c r="F835" s="76" t="s">
        <v>2540</v>
      </c>
      <c r="J835" s="225" t="str">
        <f t="shared" si="1"/>
        <v/>
      </c>
    </row>
    <row r="836">
      <c r="A836" s="76" t="s">
        <v>2540</v>
      </c>
      <c r="B836" s="76" t="s">
        <v>2540</v>
      </c>
      <c r="C836" s="76" t="s">
        <v>2540</v>
      </c>
      <c r="D836" s="76" t="s">
        <v>2540</v>
      </c>
      <c r="E836" s="76" t="s">
        <v>2540</v>
      </c>
      <c r="F836" s="76" t="s">
        <v>2540</v>
      </c>
      <c r="J836" s="225" t="str">
        <f t="shared" si="1"/>
        <v/>
      </c>
    </row>
    <row r="837">
      <c r="A837" s="76" t="s">
        <v>2540</v>
      </c>
      <c r="B837" s="76" t="s">
        <v>2540</v>
      </c>
      <c r="C837" s="76" t="s">
        <v>2540</v>
      </c>
      <c r="D837" s="76" t="s">
        <v>2540</v>
      </c>
      <c r="E837" s="76" t="s">
        <v>2540</v>
      </c>
      <c r="F837" s="76" t="s">
        <v>2540</v>
      </c>
      <c r="J837" s="225" t="str">
        <f t="shared" si="1"/>
        <v/>
      </c>
    </row>
    <row r="838">
      <c r="A838" s="76" t="s">
        <v>2540</v>
      </c>
      <c r="B838" s="76" t="s">
        <v>2540</v>
      </c>
      <c r="C838" s="76" t="s">
        <v>2540</v>
      </c>
      <c r="D838" s="76" t="s">
        <v>2540</v>
      </c>
      <c r="E838" s="76" t="s">
        <v>2540</v>
      </c>
      <c r="F838" s="76" t="s">
        <v>2540</v>
      </c>
      <c r="J838" s="225" t="str">
        <f t="shared" si="1"/>
        <v/>
      </c>
    </row>
    <row r="839">
      <c r="A839" s="76" t="s">
        <v>2540</v>
      </c>
      <c r="B839" s="76" t="s">
        <v>2540</v>
      </c>
      <c r="C839" s="76" t="s">
        <v>2540</v>
      </c>
      <c r="D839" s="76" t="s">
        <v>2540</v>
      </c>
      <c r="E839" s="76" t="s">
        <v>2540</v>
      </c>
      <c r="F839" s="76" t="s">
        <v>2540</v>
      </c>
      <c r="J839" s="225" t="str">
        <f t="shared" si="1"/>
        <v/>
      </c>
    </row>
    <row r="840">
      <c r="A840" s="76" t="s">
        <v>2540</v>
      </c>
      <c r="B840" s="76" t="s">
        <v>2540</v>
      </c>
      <c r="C840" s="76" t="s">
        <v>2540</v>
      </c>
      <c r="D840" s="76" t="s">
        <v>2540</v>
      </c>
      <c r="E840" s="76" t="s">
        <v>2540</v>
      </c>
      <c r="F840" s="76" t="s">
        <v>2540</v>
      </c>
      <c r="J840" s="225" t="str">
        <f t="shared" si="1"/>
        <v/>
      </c>
    </row>
    <row r="841">
      <c r="A841" s="76" t="s">
        <v>2540</v>
      </c>
      <c r="B841" s="76" t="s">
        <v>2540</v>
      </c>
      <c r="C841" s="76" t="s">
        <v>2540</v>
      </c>
      <c r="D841" s="76" t="s">
        <v>2540</v>
      </c>
      <c r="E841" s="76" t="s">
        <v>2540</v>
      </c>
      <c r="F841" s="76" t="s">
        <v>2540</v>
      </c>
      <c r="J841" s="225" t="str">
        <f t="shared" si="1"/>
        <v/>
      </c>
    </row>
    <row r="842">
      <c r="A842" s="76" t="s">
        <v>2540</v>
      </c>
      <c r="B842" s="76" t="s">
        <v>2540</v>
      </c>
      <c r="C842" s="76" t="s">
        <v>2540</v>
      </c>
      <c r="D842" s="76" t="s">
        <v>2540</v>
      </c>
      <c r="E842" s="76" t="s">
        <v>2540</v>
      </c>
      <c r="F842" s="76" t="s">
        <v>2540</v>
      </c>
      <c r="J842" s="225" t="str">
        <f t="shared" si="1"/>
        <v/>
      </c>
    </row>
    <row r="843">
      <c r="A843" s="76" t="s">
        <v>2540</v>
      </c>
      <c r="B843" s="76" t="s">
        <v>2540</v>
      </c>
      <c r="C843" s="76" t="s">
        <v>2540</v>
      </c>
      <c r="D843" s="76" t="s">
        <v>2540</v>
      </c>
      <c r="E843" s="76" t="s">
        <v>2540</v>
      </c>
      <c r="F843" s="76" t="s">
        <v>2540</v>
      </c>
      <c r="J843" s="225" t="str">
        <f t="shared" si="1"/>
        <v/>
      </c>
    </row>
    <row r="844">
      <c r="A844" s="76" t="s">
        <v>2540</v>
      </c>
      <c r="B844" s="76" t="s">
        <v>2540</v>
      </c>
      <c r="C844" s="76" t="s">
        <v>2540</v>
      </c>
      <c r="D844" s="76" t="s">
        <v>2540</v>
      </c>
      <c r="E844" s="76" t="s">
        <v>2540</v>
      </c>
      <c r="F844" s="76" t="s">
        <v>2540</v>
      </c>
      <c r="J844" s="225" t="str">
        <f t="shared" si="1"/>
        <v/>
      </c>
    </row>
    <row r="845">
      <c r="A845" s="76" t="s">
        <v>2540</v>
      </c>
      <c r="B845" s="76" t="s">
        <v>2540</v>
      </c>
      <c r="C845" s="76" t="s">
        <v>2540</v>
      </c>
      <c r="D845" s="76" t="s">
        <v>2540</v>
      </c>
      <c r="E845" s="76" t="s">
        <v>2540</v>
      </c>
      <c r="F845" s="76" t="s">
        <v>2540</v>
      </c>
      <c r="J845" s="225" t="str">
        <f t="shared" si="1"/>
        <v/>
      </c>
    </row>
    <row r="846">
      <c r="A846" s="76" t="s">
        <v>2540</v>
      </c>
      <c r="B846" s="76" t="s">
        <v>2540</v>
      </c>
      <c r="C846" s="76" t="s">
        <v>2540</v>
      </c>
      <c r="D846" s="76" t="s">
        <v>2540</v>
      </c>
      <c r="E846" s="76" t="s">
        <v>2540</v>
      </c>
      <c r="F846" s="76" t="s">
        <v>2540</v>
      </c>
      <c r="J846" s="225" t="str">
        <f t="shared" si="1"/>
        <v/>
      </c>
    </row>
    <row r="847">
      <c r="A847" s="76" t="s">
        <v>2540</v>
      </c>
      <c r="B847" s="76" t="s">
        <v>2540</v>
      </c>
      <c r="C847" s="76" t="s">
        <v>2540</v>
      </c>
      <c r="D847" s="76" t="s">
        <v>2540</v>
      </c>
      <c r="E847" s="76" t="s">
        <v>2540</v>
      </c>
      <c r="F847" s="76" t="s">
        <v>2540</v>
      </c>
      <c r="J847" s="225" t="str">
        <f t="shared" si="1"/>
        <v/>
      </c>
    </row>
    <row r="848">
      <c r="A848" s="76" t="s">
        <v>2540</v>
      </c>
      <c r="B848" s="76" t="s">
        <v>2540</v>
      </c>
      <c r="C848" s="76" t="s">
        <v>2540</v>
      </c>
      <c r="D848" s="76" t="s">
        <v>2540</v>
      </c>
      <c r="E848" s="76" t="s">
        <v>2540</v>
      </c>
      <c r="F848" s="76" t="s">
        <v>2540</v>
      </c>
      <c r="J848" s="225" t="str">
        <f t="shared" si="1"/>
        <v/>
      </c>
    </row>
    <row r="849">
      <c r="A849" s="76" t="s">
        <v>2540</v>
      </c>
      <c r="B849" s="76" t="s">
        <v>2540</v>
      </c>
      <c r="C849" s="76" t="s">
        <v>2540</v>
      </c>
      <c r="D849" s="76" t="s">
        <v>2540</v>
      </c>
      <c r="E849" s="76" t="s">
        <v>2540</v>
      </c>
      <c r="F849" s="76" t="s">
        <v>2540</v>
      </c>
      <c r="J849" s="225" t="str">
        <f t="shared" si="1"/>
        <v/>
      </c>
    </row>
    <row r="850">
      <c r="A850" s="76" t="s">
        <v>2540</v>
      </c>
      <c r="B850" s="76" t="s">
        <v>2540</v>
      </c>
      <c r="C850" s="76" t="s">
        <v>2540</v>
      </c>
      <c r="D850" s="76" t="s">
        <v>2540</v>
      </c>
      <c r="E850" s="76" t="s">
        <v>2540</v>
      </c>
      <c r="F850" s="76" t="s">
        <v>2540</v>
      </c>
      <c r="J850" s="225" t="str">
        <f t="shared" si="1"/>
        <v/>
      </c>
    </row>
    <row r="851">
      <c r="A851" s="76" t="s">
        <v>2540</v>
      </c>
      <c r="B851" s="76" t="s">
        <v>2540</v>
      </c>
      <c r="C851" s="76" t="s">
        <v>2540</v>
      </c>
      <c r="D851" s="76" t="s">
        <v>2540</v>
      </c>
      <c r="E851" s="76" t="s">
        <v>2540</v>
      </c>
      <c r="F851" s="76" t="s">
        <v>2540</v>
      </c>
      <c r="J851" s="225" t="str">
        <f t="shared" si="1"/>
        <v/>
      </c>
    </row>
    <row r="852">
      <c r="A852" s="76" t="s">
        <v>2540</v>
      </c>
      <c r="B852" s="76" t="s">
        <v>2540</v>
      </c>
      <c r="C852" s="76" t="s">
        <v>2540</v>
      </c>
      <c r="D852" s="76" t="s">
        <v>2540</v>
      </c>
      <c r="E852" s="76" t="s">
        <v>2540</v>
      </c>
      <c r="F852" s="76" t="s">
        <v>2540</v>
      </c>
      <c r="J852" s="225" t="str">
        <f t="shared" si="1"/>
        <v/>
      </c>
    </row>
    <row r="853">
      <c r="A853" s="76" t="s">
        <v>2540</v>
      </c>
      <c r="B853" s="76" t="s">
        <v>2540</v>
      </c>
      <c r="C853" s="76" t="s">
        <v>2540</v>
      </c>
      <c r="D853" s="76" t="s">
        <v>2540</v>
      </c>
      <c r="E853" s="76" t="s">
        <v>2540</v>
      </c>
      <c r="F853" s="76" t="s">
        <v>2540</v>
      </c>
      <c r="J853" s="225" t="str">
        <f t="shared" si="1"/>
        <v/>
      </c>
    </row>
    <row r="854">
      <c r="A854" s="76" t="s">
        <v>2540</v>
      </c>
      <c r="B854" s="76" t="s">
        <v>2540</v>
      </c>
      <c r="C854" s="76" t="s">
        <v>2540</v>
      </c>
      <c r="D854" s="76" t="s">
        <v>2540</v>
      </c>
      <c r="E854" s="76" t="s">
        <v>2540</v>
      </c>
      <c r="F854" s="76" t="s">
        <v>2540</v>
      </c>
      <c r="J854" s="225" t="str">
        <f t="shared" si="1"/>
        <v/>
      </c>
    </row>
    <row r="855">
      <c r="A855" s="76" t="s">
        <v>2540</v>
      </c>
      <c r="B855" s="76" t="s">
        <v>2540</v>
      </c>
      <c r="C855" s="76" t="s">
        <v>2540</v>
      </c>
      <c r="D855" s="76" t="s">
        <v>2540</v>
      </c>
      <c r="E855" s="76" t="s">
        <v>2540</v>
      </c>
      <c r="F855" s="76" t="s">
        <v>2540</v>
      </c>
      <c r="J855" s="225" t="str">
        <f t="shared" si="1"/>
        <v/>
      </c>
    </row>
    <row r="856">
      <c r="A856" s="76" t="s">
        <v>2540</v>
      </c>
      <c r="B856" s="76" t="s">
        <v>2540</v>
      </c>
      <c r="C856" s="76" t="s">
        <v>2540</v>
      </c>
      <c r="D856" s="76" t="s">
        <v>2540</v>
      </c>
      <c r="E856" s="76" t="s">
        <v>2540</v>
      </c>
      <c r="F856" s="76" t="s">
        <v>2540</v>
      </c>
      <c r="J856" s="225" t="str">
        <f t="shared" si="1"/>
        <v/>
      </c>
    </row>
    <row r="857">
      <c r="A857" s="76" t="s">
        <v>2540</v>
      </c>
      <c r="B857" s="76" t="s">
        <v>2540</v>
      </c>
      <c r="C857" s="76" t="s">
        <v>2540</v>
      </c>
      <c r="D857" s="76" t="s">
        <v>2540</v>
      </c>
      <c r="E857" s="76" t="s">
        <v>2540</v>
      </c>
      <c r="F857" s="76" t="s">
        <v>2540</v>
      </c>
      <c r="J857" s="225" t="str">
        <f t="shared" si="1"/>
        <v/>
      </c>
    </row>
    <row r="858">
      <c r="A858" s="76" t="s">
        <v>2540</v>
      </c>
      <c r="B858" s="76" t="s">
        <v>2540</v>
      </c>
      <c r="C858" s="76" t="s">
        <v>2540</v>
      </c>
      <c r="D858" s="76" t="s">
        <v>2540</v>
      </c>
      <c r="E858" s="76" t="s">
        <v>2540</v>
      </c>
      <c r="F858" s="76" t="s">
        <v>2540</v>
      </c>
      <c r="J858" s="225" t="str">
        <f t="shared" si="1"/>
        <v/>
      </c>
    </row>
    <row r="859">
      <c r="A859" s="76" t="s">
        <v>2540</v>
      </c>
      <c r="B859" s="76" t="s">
        <v>2540</v>
      </c>
      <c r="C859" s="76" t="s">
        <v>2540</v>
      </c>
      <c r="D859" s="76" t="s">
        <v>2540</v>
      </c>
      <c r="E859" s="76" t="s">
        <v>2540</v>
      </c>
      <c r="F859" s="76" t="s">
        <v>2540</v>
      </c>
      <c r="J859" s="225" t="str">
        <f t="shared" si="1"/>
        <v/>
      </c>
    </row>
    <row r="860">
      <c r="A860" s="76" t="s">
        <v>2540</v>
      </c>
      <c r="B860" s="76" t="s">
        <v>2540</v>
      </c>
      <c r="C860" s="76" t="s">
        <v>2540</v>
      </c>
      <c r="D860" s="76" t="s">
        <v>2540</v>
      </c>
      <c r="E860" s="76" t="s">
        <v>2540</v>
      </c>
      <c r="F860" s="76" t="s">
        <v>2540</v>
      </c>
      <c r="J860" s="225" t="str">
        <f t="shared" si="1"/>
        <v/>
      </c>
    </row>
    <row r="861">
      <c r="A861" s="76" t="s">
        <v>2540</v>
      </c>
      <c r="B861" s="76" t="s">
        <v>2540</v>
      </c>
      <c r="C861" s="76" t="s">
        <v>2540</v>
      </c>
      <c r="D861" s="76" t="s">
        <v>2540</v>
      </c>
      <c r="E861" s="76" t="s">
        <v>2540</v>
      </c>
      <c r="F861" s="76" t="s">
        <v>2540</v>
      </c>
      <c r="J861" s="225" t="str">
        <f t="shared" si="1"/>
        <v/>
      </c>
    </row>
    <row r="862">
      <c r="A862" s="76" t="s">
        <v>2540</v>
      </c>
      <c r="B862" s="76" t="s">
        <v>2540</v>
      </c>
      <c r="C862" s="76" t="s">
        <v>2540</v>
      </c>
      <c r="D862" s="76" t="s">
        <v>2540</v>
      </c>
      <c r="E862" s="76" t="s">
        <v>2540</v>
      </c>
      <c r="F862" s="76" t="s">
        <v>2540</v>
      </c>
      <c r="J862" s="225" t="str">
        <f t="shared" si="1"/>
        <v/>
      </c>
    </row>
    <row r="863">
      <c r="A863" s="76" t="s">
        <v>2540</v>
      </c>
      <c r="B863" s="76" t="s">
        <v>2540</v>
      </c>
      <c r="C863" s="76" t="s">
        <v>2540</v>
      </c>
      <c r="D863" s="76" t="s">
        <v>2540</v>
      </c>
      <c r="E863" s="76" t="s">
        <v>2540</v>
      </c>
      <c r="F863" s="76" t="s">
        <v>2540</v>
      </c>
      <c r="J863" s="225" t="str">
        <f t="shared" si="1"/>
        <v/>
      </c>
    </row>
    <row r="864">
      <c r="A864" s="76" t="s">
        <v>2540</v>
      </c>
      <c r="B864" s="76" t="s">
        <v>2540</v>
      </c>
      <c r="C864" s="76" t="s">
        <v>2540</v>
      </c>
      <c r="D864" s="76" t="s">
        <v>2540</v>
      </c>
      <c r="E864" s="76" t="s">
        <v>2540</v>
      </c>
      <c r="F864" s="76" t="s">
        <v>2540</v>
      </c>
      <c r="J864" s="225" t="str">
        <f t="shared" si="1"/>
        <v/>
      </c>
    </row>
    <row r="865">
      <c r="A865" s="76" t="s">
        <v>2540</v>
      </c>
      <c r="B865" s="76" t="s">
        <v>2540</v>
      </c>
      <c r="C865" s="76" t="s">
        <v>2540</v>
      </c>
      <c r="D865" s="76" t="s">
        <v>2540</v>
      </c>
      <c r="E865" s="76" t="s">
        <v>2540</v>
      </c>
      <c r="F865" s="76" t="s">
        <v>2540</v>
      </c>
      <c r="J865" s="225" t="str">
        <f t="shared" si="1"/>
        <v/>
      </c>
    </row>
    <row r="866">
      <c r="A866" s="76" t="s">
        <v>2540</v>
      </c>
      <c r="B866" s="76" t="s">
        <v>2540</v>
      </c>
      <c r="C866" s="76" t="s">
        <v>2540</v>
      </c>
      <c r="D866" s="76" t="s">
        <v>2540</v>
      </c>
      <c r="E866" s="76" t="s">
        <v>2540</v>
      </c>
      <c r="F866" s="76" t="s">
        <v>2540</v>
      </c>
      <c r="J866" s="225" t="str">
        <f t="shared" si="1"/>
        <v/>
      </c>
    </row>
    <row r="867">
      <c r="A867" s="76" t="s">
        <v>2540</v>
      </c>
      <c r="B867" s="76" t="s">
        <v>2540</v>
      </c>
      <c r="C867" s="76" t="s">
        <v>2540</v>
      </c>
      <c r="D867" s="76" t="s">
        <v>2540</v>
      </c>
      <c r="E867" s="76" t="s">
        <v>2540</v>
      </c>
      <c r="F867" s="76" t="s">
        <v>2540</v>
      </c>
      <c r="J867" s="225" t="str">
        <f t="shared" si="1"/>
        <v/>
      </c>
    </row>
    <row r="868">
      <c r="A868" s="76" t="s">
        <v>2540</v>
      </c>
      <c r="B868" s="76" t="s">
        <v>2540</v>
      </c>
      <c r="C868" s="76" t="s">
        <v>2540</v>
      </c>
      <c r="D868" s="76" t="s">
        <v>2540</v>
      </c>
      <c r="E868" s="76" t="s">
        <v>2540</v>
      </c>
      <c r="F868" s="76" t="s">
        <v>2540</v>
      </c>
      <c r="J868" s="225" t="str">
        <f t="shared" si="1"/>
        <v/>
      </c>
    </row>
    <row r="869">
      <c r="A869" s="76" t="s">
        <v>2540</v>
      </c>
      <c r="B869" s="76" t="s">
        <v>2540</v>
      </c>
      <c r="C869" s="76" t="s">
        <v>2540</v>
      </c>
      <c r="D869" s="76" t="s">
        <v>2540</v>
      </c>
      <c r="E869" s="76" t="s">
        <v>2540</v>
      </c>
      <c r="F869" s="76" t="s">
        <v>2540</v>
      </c>
      <c r="J869" s="225" t="str">
        <f t="shared" si="1"/>
        <v/>
      </c>
    </row>
    <row r="870">
      <c r="A870" s="76" t="s">
        <v>2540</v>
      </c>
      <c r="B870" s="76" t="s">
        <v>2540</v>
      </c>
      <c r="C870" s="76" t="s">
        <v>2540</v>
      </c>
      <c r="D870" s="76" t="s">
        <v>2540</v>
      </c>
      <c r="E870" s="76" t="s">
        <v>2540</v>
      </c>
      <c r="F870" s="76" t="s">
        <v>2540</v>
      </c>
      <c r="J870" s="225" t="str">
        <f t="shared" si="1"/>
        <v/>
      </c>
    </row>
    <row r="871">
      <c r="A871" s="76" t="s">
        <v>2540</v>
      </c>
      <c r="B871" s="76" t="s">
        <v>2540</v>
      </c>
      <c r="C871" s="76" t="s">
        <v>2540</v>
      </c>
      <c r="D871" s="76" t="s">
        <v>2540</v>
      </c>
      <c r="E871" s="76" t="s">
        <v>2540</v>
      </c>
      <c r="F871" s="76" t="s">
        <v>2540</v>
      </c>
      <c r="J871" s="225" t="str">
        <f t="shared" si="1"/>
        <v/>
      </c>
    </row>
    <row r="872">
      <c r="A872" s="76" t="s">
        <v>2540</v>
      </c>
      <c r="B872" s="76" t="s">
        <v>2540</v>
      </c>
      <c r="C872" s="76" t="s">
        <v>2540</v>
      </c>
      <c r="D872" s="76" t="s">
        <v>2540</v>
      </c>
      <c r="E872" s="76" t="s">
        <v>2540</v>
      </c>
      <c r="F872" s="76" t="s">
        <v>2540</v>
      </c>
      <c r="J872" s="225" t="str">
        <f t="shared" si="1"/>
        <v/>
      </c>
    </row>
    <row r="873">
      <c r="A873" s="76" t="s">
        <v>2540</v>
      </c>
      <c r="B873" s="76" t="s">
        <v>2540</v>
      </c>
      <c r="C873" s="76" t="s">
        <v>2540</v>
      </c>
      <c r="D873" s="76" t="s">
        <v>2540</v>
      </c>
      <c r="E873" s="76" t="s">
        <v>2540</v>
      </c>
      <c r="F873" s="76" t="s">
        <v>2540</v>
      </c>
      <c r="J873" s="225" t="str">
        <f t="shared" si="1"/>
        <v/>
      </c>
    </row>
    <row r="874">
      <c r="A874" s="76" t="s">
        <v>2540</v>
      </c>
      <c r="B874" s="76" t="s">
        <v>2540</v>
      </c>
      <c r="C874" s="76" t="s">
        <v>2540</v>
      </c>
      <c r="D874" s="76" t="s">
        <v>2540</v>
      </c>
      <c r="E874" s="76" t="s">
        <v>2540</v>
      </c>
      <c r="F874" s="76" t="s">
        <v>2540</v>
      </c>
      <c r="J874" s="225" t="str">
        <f t="shared" si="1"/>
        <v/>
      </c>
    </row>
    <row r="875">
      <c r="A875" s="76" t="s">
        <v>2540</v>
      </c>
      <c r="B875" s="76" t="s">
        <v>2540</v>
      </c>
      <c r="C875" s="76" t="s">
        <v>2540</v>
      </c>
      <c r="D875" s="76" t="s">
        <v>2540</v>
      </c>
      <c r="E875" s="76" t="s">
        <v>2540</v>
      </c>
      <c r="F875" s="76" t="s">
        <v>2540</v>
      </c>
      <c r="J875" s="225" t="str">
        <f t="shared" si="1"/>
        <v/>
      </c>
    </row>
    <row r="876">
      <c r="A876" s="76" t="s">
        <v>2540</v>
      </c>
      <c r="B876" s="76" t="s">
        <v>2540</v>
      </c>
      <c r="C876" s="76" t="s">
        <v>2540</v>
      </c>
      <c r="D876" s="76" t="s">
        <v>2540</v>
      </c>
      <c r="E876" s="76" t="s">
        <v>2540</v>
      </c>
      <c r="F876" s="76" t="s">
        <v>2540</v>
      </c>
      <c r="J876" s="225" t="str">
        <f t="shared" si="1"/>
        <v/>
      </c>
    </row>
    <row r="877">
      <c r="A877" s="76" t="s">
        <v>2540</v>
      </c>
      <c r="B877" s="76" t="s">
        <v>2540</v>
      </c>
      <c r="C877" s="76" t="s">
        <v>2540</v>
      </c>
      <c r="D877" s="76" t="s">
        <v>2540</v>
      </c>
      <c r="E877" s="76" t="s">
        <v>2540</v>
      </c>
      <c r="F877" s="76" t="s">
        <v>2540</v>
      </c>
      <c r="J877" s="225" t="str">
        <f t="shared" si="1"/>
        <v/>
      </c>
    </row>
    <row r="878">
      <c r="A878" s="76" t="s">
        <v>2540</v>
      </c>
      <c r="B878" s="76" t="s">
        <v>2540</v>
      </c>
      <c r="C878" s="76" t="s">
        <v>2540</v>
      </c>
      <c r="D878" s="76" t="s">
        <v>2540</v>
      </c>
      <c r="E878" s="76" t="s">
        <v>2540</v>
      </c>
      <c r="F878" s="76" t="s">
        <v>2540</v>
      </c>
      <c r="J878" s="225" t="str">
        <f t="shared" si="1"/>
        <v/>
      </c>
    </row>
    <row r="879">
      <c r="A879" s="76" t="s">
        <v>2540</v>
      </c>
      <c r="B879" s="76" t="s">
        <v>2540</v>
      </c>
      <c r="C879" s="76" t="s">
        <v>2540</v>
      </c>
      <c r="D879" s="76" t="s">
        <v>2540</v>
      </c>
      <c r="E879" s="76" t="s">
        <v>2540</v>
      </c>
      <c r="F879" s="76" t="s">
        <v>2540</v>
      </c>
      <c r="J879" s="225" t="str">
        <f t="shared" si="1"/>
        <v/>
      </c>
    </row>
    <row r="880">
      <c r="A880" s="76" t="s">
        <v>2540</v>
      </c>
      <c r="B880" s="76" t="s">
        <v>2540</v>
      </c>
      <c r="C880" s="76" t="s">
        <v>2540</v>
      </c>
      <c r="D880" s="76" t="s">
        <v>2540</v>
      </c>
      <c r="E880" s="76" t="s">
        <v>2540</v>
      </c>
      <c r="F880" s="76" t="s">
        <v>2540</v>
      </c>
      <c r="J880" s="225" t="str">
        <f t="shared" si="1"/>
        <v/>
      </c>
    </row>
    <row r="881">
      <c r="A881" s="76" t="s">
        <v>2540</v>
      </c>
      <c r="B881" s="76" t="s">
        <v>2540</v>
      </c>
      <c r="C881" s="76" t="s">
        <v>2540</v>
      </c>
      <c r="D881" s="76" t="s">
        <v>2540</v>
      </c>
      <c r="E881" s="76" t="s">
        <v>2540</v>
      </c>
      <c r="F881" s="76" t="s">
        <v>2540</v>
      </c>
      <c r="J881" s="225" t="str">
        <f t="shared" si="1"/>
        <v/>
      </c>
    </row>
    <row r="882">
      <c r="A882" s="76" t="s">
        <v>2540</v>
      </c>
      <c r="B882" s="76" t="s">
        <v>2540</v>
      </c>
      <c r="C882" s="76" t="s">
        <v>2540</v>
      </c>
      <c r="D882" s="76" t="s">
        <v>2540</v>
      </c>
      <c r="E882" s="76" t="s">
        <v>2540</v>
      </c>
      <c r="F882" s="76" t="s">
        <v>2540</v>
      </c>
      <c r="J882" s="225" t="str">
        <f t="shared" si="1"/>
        <v/>
      </c>
    </row>
    <row r="883">
      <c r="A883" s="76" t="s">
        <v>2540</v>
      </c>
      <c r="B883" s="76" t="s">
        <v>2540</v>
      </c>
      <c r="C883" s="76" t="s">
        <v>2540</v>
      </c>
      <c r="D883" s="76" t="s">
        <v>2540</v>
      </c>
      <c r="E883" s="76" t="s">
        <v>2540</v>
      </c>
      <c r="F883" s="76" t="s">
        <v>2540</v>
      </c>
      <c r="J883" s="225" t="str">
        <f t="shared" si="1"/>
        <v/>
      </c>
    </row>
    <row r="884">
      <c r="A884" s="76" t="s">
        <v>2540</v>
      </c>
      <c r="B884" s="76" t="s">
        <v>2540</v>
      </c>
      <c r="C884" s="76" t="s">
        <v>2540</v>
      </c>
      <c r="D884" s="76" t="s">
        <v>2540</v>
      </c>
      <c r="E884" s="76" t="s">
        <v>2540</v>
      </c>
      <c r="F884" s="76" t="s">
        <v>2540</v>
      </c>
      <c r="J884" s="225" t="str">
        <f t="shared" si="1"/>
        <v/>
      </c>
    </row>
    <row r="885">
      <c r="A885" s="76" t="s">
        <v>2540</v>
      </c>
      <c r="B885" s="76" t="s">
        <v>2540</v>
      </c>
      <c r="C885" s="76" t="s">
        <v>2540</v>
      </c>
      <c r="D885" s="76" t="s">
        <v>2540</v>
      </c>
      <c r="E885" s="76" t="s">
        <v>2540</v>
      </c>
      <c r="F885" s="76" t="s">
        <v>2540</v>
      </c>
      <c r="J885" s="225" t="str">
        <f t="shared" si="1"/>
        <v/>
      </c>
    </row>
    <row r="886">
      <c r="A886" s="76" t="s">
        <v>2540</v>
      </c>
      <c r="B886" s="76" t="s">
        <v>2540</v>
      </c>
      <c r="C886" s="76" t="s">
        <v>2540</v>
      </c>
      <c r="D886" s="76" t="s">
        <v>2540</v>
      </c>
      <c r="E886" s="76" t="s">
        <v>2540</v>
      </c>
      <c r="F886" s="76" t="s">
        <v>2540</v>
      </c>
      <c r="J886" s="225" t="str">
        <f t="shared" si="1"/>
        <v/>
      </c>
    </row>
    <row r="887">
      <c r="A887" s="76" t="s">
        <v>2540</v>
      </c>
      <c r="B887" s="76" t="s">
        <v>2540</v>
      </c>
      <c r="C887" s="76" t="s">
        <v>2540</v>
      </c>
      <c r="D887" s="76" t="s">
        <v>2540</v>
      </c>
      <c r="E887" s="76" t="s">
        <v>2540</v>
      </c>
      <c r="F887" s="76" t="s">
        <v>2540</v>
      </c>
      <c r="J887" s="225" t="str">
        <f t="shared" si="1"/>
        <v/>
      </c>
    </row>
    <row r="888">
      <c r="A888" s="76" t="s">
        <v>2540</v>
      </c>
      <c r="B888" s="76" t="s">
        <v>2540</v>
      </c>
      <c r="C888" s="76" t="s">
        <v>2540</v>
      </c>
      <c r="D888" s="76" t="s">
        <v>2540</v>
      </c>
      <c r="E888" s="76" t="s">
        <v>2540</v>
      </c>
      <c r="F888" s="76" t="s">
        <v>2540</v>
      </c>
      <c r="J888" s="225" t="str">
        <f t="shared" si="1"/>
        <v/>
      </c>
    </row>
    <row r="889">
      <c r="A889" s="76" t="s">
        <v>2540</v>
      </c>
      <c r="B889" s="76" t="s">
        <v>2540</v>
      </c>
      <c r="C889" s="76" t="s">
        <v>2540</v>
      </c>
      <c r="D889" s="76" t="s">
        <v>2540</v>
      </c>
      <c r="E889" s="76" t="s">
        <v>2540</v>
      </c>
      <c r="F889" s="76" t="s">
        <v>2540</v>
      </c>
      <c r="J889" s="225" t="str">
        <f t="shared" si="1"/>
        <v/>
      </c>
    </row>
    <row r="890">
      <c r="A890" s="76" t="s">
        <v>2540</v>
      </c>
      <c r="B890" s="76" t="s">
        <v>2540</v>
      </c>
      <c r="C890" s="76" t="s">
        <v>2540</v>
      </c>
      <c r="D890" s="76" t="s">
        <v>2540</v>
      </c>
      <c r="E890" s="76" t="s">
        <v>2540</v>
      </c>
      <c r="F890" s="76" t="s">
        <v>2540</v>
      </c>
      <c r="J890" s="225" t="str">
        <f t="shared" si="1"/>
        <v/>
      </c>
    </row>
    <row r="891">
      <c r="A891" s="76" t="s">
        <v>2540</v>
      </c>
      <c r="B891" s="76" t="s">
        <v>2540</v>
      </c>
      <c r="C891" s="76" t="s">
        <v>2540</v>
      </c>
      <c r="D891" s="76" t="s">
        <v>2540</v>
      </c>
      <c r="E891" s="76" t="s">
        <v>2540</v>
      </c>
      <c r="F891" s="76" t="s">
        <v>2540</v>
      </c>
      <c r="J891" s="225" t="str">
        <f t="shared" si="1"/>
        <v/>
      </c>
    </row>
    <row r="892">
      <c r="A892" s="76" t="s">
        <v>2540</v>
      </c>
      <c r="B892" s="76" t="s">
        <v>2540</v>
      </c>
      <c r="C892" s="76" t="s">
        <v>2540</v>
      </c>
      <c r="D892" s="76" t="s">
        <v>2540</v>
      </c>
      <c r="E892" s="76" t="s">
        <v>2540</v>
      </c>
      <c r="F892" s="76" t="s">
        <v>2540</v>
      </c>
      <c r="J892" s="225" t="str">
        <f t="shared" si="1"/>
        <v/>
      </c>
    </row>
    <row r="893">
      <c r="A893" s="76" t="s">
        <v>2540</v>
      </c>
      <c r="B893" s="76" t="s">
        <v>2540</v>
      </c>
      <c r="C893" s="76" t="s">
        <v>2540</v>
      </c>
      <c r="D893" s="76" t="s">
        <v>2540</v>
      </c>
      <c r="E893" s="76" t="s">
        <v>2540</v>
      </c>
      <c r="F893" s="76" t="s">
        <v>2540</v>
      </c>
      <c r="J893" s="225" t="str">
        <f t="shared" si="1"/>
        <v/>
      </c>
    </row>
    <row r="894">
      <c r="A894" s="76" t="s">
        <v>2540</v>
      </c>
      <c r="B894" s="76" t="s">
        <v>2540</v>
      </c>
      <c r="C894" s="76" t="s">
        <v>2540</v>
      </c>
      <c r="D894" s="76" t="s">
        <v>2540</v>
      </c>
      <c r="E894" s="76" t="s">
        <v>2540</v>
      </c>
      <c r="F894" s="76" t="s">
        <v>2540</v>
      </c>
      <c r="J894" s="225" t="str">
        <f t="shared" si="1"/>
        <v/>
      </c>
    </row>
    <row r="895">
      <c r="A895" s="76" t="s">
        <v>2540</v>
      </c>
      <c r="B895" s="76" t="s">
        <v>2540</v>
      </c>
      <c r="C895" s="76" t="s">
        <v>2540</v>
      </c>
      <c r="D895" s="76" t="s">
        <v>2540</v>
      </c>
      <c r="E895" s="76" t="s">
        <v>2540</v>
      </c>
      <c r="F895" s="76" t="s">
        <v>2540</v>
      </c>
      <c r="J895" s="225" t="str">
        <f t="shared" si="1"/>
        <v/>
      </c>
    </row>
    <row r="896">
      <c r="A896" s="76" t="s">
        <v>2540</v>
      </c>
      <c r="B896" s="76" t="s">
        <v>2540</v>
      </c>
      <c r="C896" s="76" t="s">
        <v>2540</v>
      </c>
      <c r="D896" s="76" t="s">
        <v>2540</v>
      </c>
      <c r="E896" s="76" t="s">
        <v>2540</v>
      </c>
      <c r="F896" s="76" t="s">
        <v>2540</v>
      </c>
      <c r="J896" s="225" t="str">
        <f t="shared" si="1"/>
        <v/>
      </c>
    </row>
    <row r="897">
      <c r="A897" s="76" t="s">
        <v>2540</v>
      </c>
      <c r="B897" s="76" t="s">
        <v>2540</v>
      </c>
      <c r="C897" s="76" t="s">
        <v>2540</v>
      </c>
      <c r="D897" s="76" t="s">
        <v>2540</v>
      </c>
      <c r="E897" s="76" t="s">
        <v>2540</v>
      </c>
      <c r="F897" s="76" t="s">
        <v>2540</v>
      </c>
      <c r="J897" s="225" t="str">
        <f t="shared" si="1"/>
        <v/>
      </c>
    </row>
    <row r="898">
      <c r="A898" s="76" t="s">
        <v>2540</v>
      </c>
      <c r="B898" s="76" t="s">
        <v>2540</v>
      </c>
      <c r="C898" s="76" t="s">
        <v>2540</v>
      </c>
      <c r="D898" s="76" t="s">
        <v>2540</v>
      </c>
      <c r="E898" s="76" t="s">
        <v>2540</v>
      </c>
      <c r="F898" s="76" t="s">
        <v>2540</v>
      </c>
      <c r="J898" s="225" t="str">
        <f t="shared" si="1"/>
        <v/>
      </c>
    </row>
    <row r="899">
      <c r="A899" s="76" t="s">
        <v>2540</v>
      </c>
      <c r="B899" s="76" t="s">
        <v>2540</v>
      </c>
      <c r="C899" s="76" t="s">
        <v>2540</v>
      </c>
      <c r="D899" s="76" t="s">
        <v>2540</v>
      </c>
      <c r="E899" s="76" t="s">
        <v>2540</v>
      </c>
      <c r="F899" s="76" t="s">
        <v>2540</v>
      </c>
      <c r="J899" s="225" t="str">
        <f t="shared" si="1"/>
        <v/>
      </c>
    </row>
    <row r="900">
      <c r="A900" s="76" t="s">
        <v>2540</v>
      </c>
      <c r="B900" s="76" t="s">
        <v>2540</v>
      </c>
      <c r="C900" s="76" t="s">
        <v>2540</v>
      </c>
      <c r="D900" s="76" t="s">
        <v>2540</v>
      </c>
      <c r="E900" s="76" t="s">
        <v>2540</v>
      </c>
      <c r="F900" s="76" t="s">
        <v>2540</v>
      </c>
      <c r="J900" s="225" t="str">
        <f t="shared" si="1"/>
        <v/>
      </c>
    </row>
    <row r="901">
      <c r="A901" s="76" t="s">
        <v>2540</v>
      </c>
      <c r="B901" s="76" t="s">
        <v>2540</v>
      </c>
      <c r="C901" s="76" t="s">
        <v>2540</v>
      </c>
      <c r="D901" s="76" t="s">
        <v>2540</v>
      </c>
      <c r="E901" s="76" t="s">
        <v>2540</v>
      </c>
      <c r="F901" s="76" t="s">
        <v>2540</v>
      </c>
      <c r="J901" s="225" t="str">
        <f t="shared" si="1"/>
        <v/>
      </c>
    </row>
    <row r="902">
      <c r="A902" s="76" t="s">
        <v>2540</v>
      </c>
      <c r="B902" s="76" t="s">
        <v>2540</v>
      </c>
      <c r="C902" s="76" t="s">
        <v>2540</v>
      </c>
      <c r="D902" s="76" t="s">
        <v>2540</v>
      </c>
      <c r="E902" s="76" t="s">
        <v>2540</v>
      </c>
      <c r="F902" s="76" t="s">
        <v>2540</v>
      </c>
      <c r="J902" s="225" t="str">
        <f t="shared" si="1"/>
        <v/>
      </c>
    </row>
    <row r="903">
      <c r="A903" s="76" t="s">
        <v>2540</v>
      </c>
      <c r="B903" s="76" t="s">
        <v>2540</v>
      </c>
      <c r="C903" s="76" t="s">
        <v>2540</v>
      </c>
      <c r="D903" s="76" t="s">
        <v>2540</v>
      </c>
      <c r="E903" s="76" t="s">
        <v>2540</v>
      </c>
      <c r="F903" s="76" t="s">
        <v>2540</v>
      </c>
      <c r="J903" s="225" t="str">
        <f t="shared" si="1"/>
        <v/>
      </c>
    </row>
    <row r="904">
      <c r="A904" s="76" t="s">
        <v>2540</v>
      </c>
      <c r="B904" s="76" t="s">
        <v>2540</v>
      </c>
      <c r="C904" s="76" t="s">
        <v>2540</v>
      </c>
      <c r="D904" s="76" t="s">
        <v>2540</v>
      </c>
      <c r="E904" s="76" t="s">
        <v>2540</v>
      </c>
      <c r="F904" s="76" t="s">
        <v>2540</v>
      </c>
      <c r="J904" s="225" t="str">
        <f t="shared" si="1"/>
        <v/>
      </c>
    </row>
    <row r="905">
      <c r="A905" s="76" t="s">
        <v>2540</v>
      </c>
      <c r="B905" s="76" t="s">
        <v>2540</v>
      </c>
      <c r="C905" s="76" t="s">
        <v>2540</v>
      </c>
      <c r="D905" s="76" t="s">
        <v>2540</v>
      </c>
      <c r="E905" s="76" t="s">
        <v>2540</v>
      </c>
      <c r="F905" s="76" t="s">
        <v>2540</v>
      </c>
      <c r="J905" s="225" t="str">
        <f t="shared" si="1"/>
        <v/>
      </c>
    </row>
    <row r="906">
      <c r="A906" s="76" t="s">
        <v>2540</v>
      </c>
      <c r="B906" s="76" t="s">
        <v>2540</v>
      </c>
      <c r="C906" s="76" t="s">
        <v>2540</v>
      </c>
      <c r="D906" s="76" t="s">
        <v>2540</v>
      </c>
      <c r="E906" s="76" t="s">
        <v>2540</v>
      </c>
      <c r="F906" s="76" t="s">
        <v>2540</v>
      </c>
      <c r="J906" s="225" t="str">
        <f t="shared" si="1"/>
        <v/>
      </c>
    </row>
    <row r="907">
      <c r="A907" s="76" t="s">
        <v>2540</v>
      </c>
      <c r="B907" s="76" t="s">
        <v>2540</v>
      </c>
      <c r="C907" s="76" t="s">
        <v>2540</v>
      </c>
      <c r="D907" s="76" t="s">
        <v>2540</v>
      </c>
      <c r="E907" s="76" t="s">
        <v>2540</v>
      </c>
      <c r="F907" s="76" t="s">
        <v>2540</v>
      </c>
      <c r="J907" s="225" t="str">
        <f t="shared" si="1"/>
        <v/>
      </c>
    </row>
    <row r="908">
      <c r="A908" s="76" t="s">
        <v>2540</v>
      </c>
      <c r="B908" s="76" t="s">
        <v>2540</v>
      </c>
      <c r="C908" s="76" t="s">
        <v>2540</v>
      </c>
      <c r="D908" s="76" t="s">
        <v>2540</v>
      </c>
      <c r="E908" s="76" t="s">
        <v>2540</v>
      </c>
      <c r="F908" s="76" t="s">
        <v>2540</v>
      </c>
      <c r="J908" s="225" t="str">
        <f t="shared" si="1"/>
        <v/>
      </c>
    </row>
    <row r="909">
      <c r="A909" s="76" t="s">
        <v>2540</v>
      </c>
      <c r="B909" s="76" t="s">
        <v>2540</v>
      </c>
      <c r="C909" s="76" t="s">
        <v>2540</v>
      </c>
      <c r="D909" s="76" t="s">
        <v>2540</v>
      </c>
      <c r="E909" s="76" t="s">
        <v>2540</v>
      </c>
      <c r="F909" s="76" t="s">
        <v>2540</v>
      </c>
      <c r="J909" s="225" t="str">
        <f t="shared" si="1"/>
        <v/>
      </c>
    </row>
    <row r="910">
      <c r="A910" s="76" t="s">
        <v>2540</v>
      </c>
      <c r="B910" s="76" t="s">
        <v>2540</v>
      </c>
      <c r="C910" s="76" t="s">
        <v>2540</v>
      </c>
      <c r="D910" s="76" t="s">
        <v>2540</v>
      </c>
      <c r="E910" s="76" t="s">
        <v>2540</v>
      </c>
      <c r="F910" s="76" t="s">
        <v>2540</v>
      </c>
      <c r="J910" s="225" t="str">
        <f t="shared" si="1"/>
        <v/>
      </c>
    </row>
    <row r="911">
      <c r="J911" s="225" t="str">
        <f t="shared" si="1"/>
        <v/>
      </c>
    </row>
    <row r="912">
      <c r="J912" s="225" t="str">
        <f t="shared" si="1"/>
        <v/>
      </c>
    </row>
    <row r="913">
      <c r="J913" s="225" t="str">
        <f t="shared" si="1"/>
        <v/>
      </c>
    </row>
    <row r="914">
      <c r="J914" s="225" t="str">
        <f t="shared" si="1"/>
        <v/>
      </c>
    </row>
    <row r="915">
      <c r="J915" s="225" t="str">
        <f t="shared" si="1"/>
        <v/>
      </c>
    </row>
    <row r="916">
      <c r="J916" s="225" t="str">
        <f t="shared" si="1"/>
        <v/>
      </c>
    </row>
    <row r="917">
      <c r="J917" s="225" t="str">
        <f t="shared" si="1"/>
        <v/>
      </c>
    </row>
    <row r="918">
      <c r="J918" s="225" t="str">
        <f t="shared" si="1"/>
        <v/>
      </c>
    </row>
    <row r="919">
      <c r="J919" s="225" t="str">
        <f t="shared" si="1"/>
        <v/>
      </c>
    </row>
    <row r="920">
      <c r="J920" s="225" t="str">
        <f t="shared" si="1"/>
        <v/>
      </c>
    </row>
    <row r="921">
      <c r="J921" s="225" t="str">
        <f t="shared" si="1"/>
        <v/>
      </c>
    </row>
    <row r="922">
      <c r="J922" s="225" t="str">
        <f t="shared" si="1"/>
        <v/>
      </c>
    </row>
    <row r="923">
      <c r="J923" s="225" t="str">
        <f t="shared" si="1"/>
        <v/>
      </c>
    </row>
    <row r="924">
      <c r="J924" s="225" t="str">
        <f t="shared" si="1"/>
        <v/>
      </c>
    </row>
    <row r="925">
      <c r="J925" s="225" t="str">
        <f t="shared" si="1"/>
        <v/>
      </c>
    </row>
    <row r="926">
      <c r="J926" s="225" t="str">
        <f t="shared" si="1"/>
        <v/>
      </c>
    </row>
    <row r="927">
      <c r="J927" s="225" t="str">
        <f t="shared" si="1"/>
        <v/>
      </c>
    </row>
    <row r="928">
      <c r="J928" s="225" t="str">
        <f t="shared" si="1"/>
        <v/>
      </c>
    </row>
    <row r="929">
      <c r="J929" s="225" t="str">
        <f t="shared" si="1"/>
        <v/>
      </c>
    </row>
    <row r="930">
      <c r="J930" s="225" t="str">
        <f t="shared" si="1"/>
        <v/>
      </c>
    </row>
    <row r="931">
      <c r="J931" s="225" t="str">
        <f t="shared" si="1"/>
        <v/>
      </c>
    </row>
    <row r="932">
      <c r="J932" s="225" t="str">
        <f t="shared" si="1"/>
        <v/>
      </c>
    </row>
    <row r="933">
      <c r="J933" s="225" t="str">
        <f t="shared" si="1"/>
        <v/>
      </c>
    </row>
    <row r="934">
      <c r="J934" s="225" t="str">
        <f t="shared" si="1"/>
        <v/>
      </c>
    </row>
    <row r="935">
      <c r="J935" s="225" t="str">
        <f t="shared" si="1"/>
        <v/>
      </c>
    </row>
    <row r="936">
      <c r="J936" s="225" t="str">
        <f t="shared" si="1"/>
        <v/>
      </c>
    </row>
    <row r="937">
      <c r="J937" s="225" t="str">
        <f t="shared" si="1"/>
        <v/>
      </c>
    </row>
    <row r="938">
      <c r="J938" s="225" t="str">
        <f t="shared" si="1"/>
        <v/>
      </c>
    </row>
    <row r="939">
      <c r="J939" s="225" t="str">
        <f t="shared" si="1"/>
        <v/>
      </c>
    </row>
    <row r="940">
      <c r="J940" s="225" t="str">
        <f t="shared" si="1"/>
        <v/>
      </c>
    </row>
    <row r="941">
      <c r="J941" s="225" t="str">
        <f t="shared" si="1"/>
        <v/>
      </c>
    </row>
    <row r="942">
      <c r="J942" s="225" t="str">
        <f t="shared" si="1"/>
        <v/>
      </c>
    </row>
    <row r="943">
      <c r="J943" s="225" t="str">
        <f t="shared" si="1"/>
        <v/>
      </c>
    </row>
    <row r="944">
      <c r="J944" s="225" t="str">
        <f t="shared" si="1"/>
        <v/>
      </c>
    </row>
    <row r="945">
      <c r="J945" s="225" t="str">
        <f t="shared" si="1"/>
        <v/>
      </c>
    </row>
    <row r="946">
      <c r="J946" s="225" t="str">
        <f t="shared" si="1"/>
        <v/>
      </c>
    </row>
    <row r="947">
      <c r="J947" s="225" t="str">
        <f t="shared" si="1"/>
        <v/>
      </c>
    </row>
    <row r="948">
      <c r="J948" s="225" t="str">
        <f t="shared" si="1"/>
        <v/>
      </c>
    </row>
    <row r="949">
      <c r="J949" s="225" t="str">
        <f t="shared" si="1"/>
        <v/>
      </c>
    </row>
    <row r="950">
      <c r="J950" s="225" t="str">
        <f t="shared" si="1"/>
        <v/>
      </c>
    </row>
    <row r="951">
      <c r="J951" s="225" t="str">
        <f t="shared" si="1"/>
        <v/>
      </c>
    </row>
    <row r="952">
      <c r="J952" s="225" t="str">
        <f t="shared" si="1"/>
        <v/>
      </c>
    </row>
    <row r="953">
      <c r="J953" s="225" t="str">
        <f t="shared" si="1"/>
        <v/>
      </c>
    </row>
    <row r="954">
      <c r="J954" s="225" t="str">
        <f t="shared" si="1"/>
        <v/>
      </c>
    </row>
    <row r="955">
      <c r="J955" s="225" t="str">
        <f t="shared" si="1"/>
        <v/>
      </c>
    </row>
    <row r="956">
      <c r="J956" s="225" t="str">
        <f t="shared" si="1"/>
        <v/>
      </c>
    </row>
    <row r="957">
      <c r="J957" s="225" t="str">
        <f t="shared" si="1"/>
        <v/>
      </c>
    </row>
    <row r="958">
      <c r="J958" s="225" t="str">
        <f t="shared" si="1"/>
        <v/>
      </c>
    </row>
    <row r="959">
      <c r="J959" s="225" t="str">
        <f t="shared" si="1"/>
        <v/>
      </c>
    </row>
    <row r="960">
      <c r="J960" s="225" t="str">
        <f t="shared" si="1"/>
        <v/>
      </c>
    </row>
    <row r="961">
      <c r="J961" s="225" t="str">
        <f t="shared" si="1"/>
        <v/>
      </c>
    </row>
    <row r="962">
      <c r="J962" s="225" t="str">
        <f t="shared" si="1"/>
        <v/>
      </c>
    </row>
    <row r="963">
      <c r="J963" s="225" t="str">
        <f t="shared" si="1"/>
        <v/>
      </c>
    </row>
    <row r="964">
      <c r="J964" s="225" t="str">
        <f t="shared" si="1"/>
        <v/>
      </c>
    </row>
    <row r="965">
      <c r="J965" s="225" t="str">
        <f t="shared" si="1"/>
        <v/>
      </c>
    </row>
    <row r="966">
      <c r="J966" s="225" t="str">
        <f t="shared" si="1"/>
        <v/>
      </c>
    </row>
    <row r="967">
      <c r="J967" s="225" t="str">
        <f t="shared" si="1"/>
        <v/>
      </c>
    </row>
    <row r="968">
      <c r="J968" s="225" t="str">
        <f t="shared" si="1"/>
        <v/>
      </c>
    </row>
    <row r="969">
      <c r="J969" s="225" t="str">
        <f t="shared" si="1"/>
        <v/>
      </c>
    </row>
    <row r="970">
      <c r="J970" s="225" t="str">
        <f t="shared" si="1"/>
        <v/>
      </c>
    </row>
    <row r="971">
      <c r="J971" s="225" t="str">
        <f t="shared" si="1"/>
        <v/>
      </c>
    </row>
    <row r="972">
      <c r="J972" s="225" t="str">
        <f t="shared" si="1"/>
        <v/>
      </c>
    </row>
    <row r="973">
      <c r="J973" s="225" t="str">
        <f t="shared" si="1"/>
        <v/>
      </c>
    </row>
    <row r="974">
      <c r="J974" s="225" t="str">
        <f t="shared" si="1"/>
        <v/>
      </c>
    </row>
    <row r="975">
      <c r="J975" s="225" t="str">
        <f t="shared" si="1"/>
        <v/>
      </c>
    </row>
    <row r="976">
      <c r="J976" s="225" t="str">
        <f t="shared" si="1"/>
        <v/>
      </c>
    </row>
    <row r="977">
      <c r="J977" s="225" t="str">
        <f t="shared" si="1"/>
        <v/>
      </c>
    </row>
    <row r="978">
      <c r="J978" s="225" t="str">
        <f t="shared" si="1"/>
        <v/>
      </c>
    </row>
    <row r="979">
      <c r="J979" s="225" t="str">
        <f t="shared" si="1"/>
        <v/>
      </c>
    </row>
    <row r="980">
      <c r="J980" s="225" t="str">
        <f t="shared" si="1"/>
        <v/>
      </c>
    </row>
    <row r="981">
      <c r="J981" s="225" t="str">
        <f t="shared" si="1"/>
        <v/>
      </c>
    </row>
    <row r="982">
      <c r="J982" s="225" t="str">
        <f t="shared" si="1"/>
        <v/>
      </c>
    </row>
    <row r="983">
      <c r="J983" s="225" t="str">
        <f t="shared" si="1"/>
        <v/>
      </c>
    </row>
    <row r="984">
      <c r="J984" s="225" t="str">
        <f t="shared" si="1"/>
        <v/>
      </c>
    </row>
    <row r="985">
      <c r="J985" s="225" t="str">
        <f t="shared" si="1"/>
        <v/>
      </c>
    </row>
    <row r="986">
      <c r="J986" s="225" t="str">
        <f t="shared" si="1"/>
        <v/>
      </c>
    </row>
    <row r="987">
      <c r="J987" s="225" t="str">
        <f t="shared" si="1"/>
        <v/>
      </c>
    </row>
    <row r="988">
      <c r="J988" s="225" t="str">
        <f t="shared" si="1"/>
        <v/>
      </c>
    </row>
    <row r="989">
      <c r="J989" s="225" t="str">
        <f t="shared" si="1"/>
        <v/>
      </c>
    </row>
    <row r="990">
      <c r="J990" s="225" t="str">
        <f t="shared" si="1"/>
        <v/>
      </c>
    </row>
    <row r="991">
      <c r="J991" s="225" t="str">
        <f t="shared" si="1"/>
        <v/>
      </c>
    </row>
    <row r="992">
      <c r="J992" s="225" t="str">
        <f t="shared" si="1"/>
        <v/>
      </c>
    </row>
    <row r="993">
      <c r="J993" s="225" t="str">
        <f t="shared" si="1"/>
        <v/>
      </c>
    </row>
    <row r="994">
      <c r="J994" s="225" t="str">
        <f t="shared" si="1"/>
        <v/>
      </c>
    </row>
    <row r="995">
      <c r="J995" s="225" t="str">
        <f t="shared" si="1"/>
        <v/>
      </c>
    </row>
    <row r="996">
      <c r="J996" s="225" t="str">
        <f t="shared" si="1"/>
        <v/>
      </c>
    </row>
    <row r="997">
      <c r="J997" s="225" t="str">
        <f t="shared" si="1"/>
        <v/>
      </c>
    </row>
    <row r="998">
      <c r="J998" s="225" t="str">
        <f t="shared" si="1"/>
        <v/>
      </c>
    </row>
    <row r="999">
      <c r="J999" s="225" t="str">
        <f t="shared" si="1"/>
        <v/>
      </c>
    </row>
    <row r="1000">
      <c r="J1000" s="225" t="str">
        <f t="shared" si="1"/>
        <v/>
      </c>
    </row>
    <row r="1001">
      <c r="J1001" s="225" t="str">
        <f t="shared" si="1"/>
        <v/>
      </c>
    </row>
    <row r="1002">
      <c r="J1002" s="225" t="str">
        <f t="shared" si="1"/>
        <v/>
      </c>
    </row>
    <row r="1003">
      <c r="J1003" s="225" t="str">
        <f t="shared" si="1"/>
        <v/>
      </c>
    </row>
    <row r="1004">
      <c r="J1004" s="225" t="str">
        <f t="shared" si="1"/>
        <v/>
      </c>
    </row>
    <row r="1005">
      <c r="J1005" s="225"/>
    </row>
    <row r="1006">
      <c r="J1006" s="225"/>
    </row>
    <row r="1007">
      <c r="J1007" s="225"/>
    </row>
    <row r="1008">
      <c r="J1008" s="225"/>
    </row>
    <row r="1009">
      <c r="J1009" s="225"/>
    </row>
    <row r="1010">
      <c r="J1010" s="225"/>
    </row>
    <row r="1011">
      <c r="J1011" s="225"/>
    </row>
    <row r="1012">
      <c r="J1012" s="225"/>
    </row>
    <row r="1013">
      <c r="J1013" s="225"/>
    </row>
    <row r="1014">
      <c r="J1014" s="225"/>
    </row>
    <row r="1015">
      <c r="J1015" s="225"/>
    </row>
    <row r="1016">
      <c r="J1016" s="225"/>
    </row>
    <row r="1017">
      <c r="J1017" s="225"/>
    </row>
    <row r="1018">
      <c r="J1018" s="225"/>
    </row>
    <row r="1019">
      <c r="J1019" s="225"/>
    </row>
    <row r="1020">
      <c r="J1020" s="225"/>
    </row>
    <row r="1021">
      <c r="J1021" s="225"/>
    </row>
    <row r="1022">
      <c r="J1022" s="225"/>
    </row>
    <row r="1023">
      <c r="J1023" s="225"/>
    </row>
    <row r="1024">
      <c r="J1024" s="225"/>
    </row>
    <row r="1025">
      <c r="J1025" s="225"/>
    </row>
    <row r="1026">
      <c r="J1026" s="225"/>
    </row>
    <row r="1027">
      <c r="J1027" s="225"/>
    </row>
    <row r="1028">
      <c r="J1028" s="225"/>
    </row>
    <row r="1029">
      <c r="J1029" s="225"/>
    </row>
    <row r="1030">
      <c r="J1030" s="225"/>
    </row>
    <row r="1031">
      <c r="J1031" s="225"/>
    </row>
    <row r="1032">
      <c r="J1032" s="225"/>
    </row>
    <row r="1033">
      <c r="J1033" s="225"/>
    </row>
    <row r="1034">
      <c r="J1034" s="225"/>
    </row>
    <row r="1035">
      <c r="J1035" s="225"/>
    </row>
    <row r="1036">
      <c r="J1036" s="225"/>
    </row>
    <row r="1037">
      <c r="J1037" s="225"/>
    </row>
    <row r="1038">
      <c r="J1038" s="225"/>
    </row>
    <row r="1039">
      <c r="J1039" s="225"/>
    </row>
    <row r="1040">
      <c r="J1040" s="225"/>
    </row>
    <row r="1041">
      <c r="J1041" s="225"/>
    </row>
    <row r="1042">
      <c r="J1042" s="225"/>
    </row>
    <row r="1043">
      <c r="J1043" s="225"/>
    </row>
    <row r="1044">
      <c r="J1044" s="225"/>
    </row>
    <row r="1045">
      <c r="J1045" s="225"/>
    </row>
    <row r="1046">
      <c r="J1046" s="225"/>
    </row>
    <row r="1047">
      <c r="J1047" s="225"/>
    </row>
    <row r="1048">
      <c r="J1048" s="225"/>
    </row>
    <row r="1049">
      <c r="J1049" s="225"/>
    </row>
    <row r="1050">
      <c r="J1050" s="225"/>
    </row>
    <row r="1051">
      <c r="J1051" s="225"/>
    </row>
    <row r="1052">
      <c r="J1052" s="225"/>
    </row>
    <row r="1053">
      <c r="J1053" s="225"/>
    </row>
    <row r="1054">
      <c r="J1054" s="225"/>
    </row>
    <row r="1055">
      <c r="J1055" s="225"/>
    </row>
    <row r="1056">
      <c r="J1056" s="225"/>
    </row>
    <row r="1057">
      <c r="J1057" s="225"/>
    </row>
    <row r="1058">
      <c r="J1058" s="225"/>
    </row>
    <row r="1059">
      <c r="J1059" s="225"/>
    </row>
    <row r="1060">
      <c r="J1060" s="225"/>
    </row>
    <row r="1061">
      <c r="J1061" s="225"/>
    </row>
    <row r="1062">
      <c r="J1062" s="225"/>
    </row>
    <row r="1063">
      <c r="J1063" s="225"/>
    </row>
    <row r="1064">
      <c r="J1064" s="225"/>
    </row>
    <row r="1065">
      <c r="J1065" s="225"/>
    </row>
    <row r="1066">
      <c r="J1066" s="225"/>
    </row>
    <row r="1067">
      <c r="J1067" s="225"/>
    </row>
    <row r="1068">
      <c r="J1068" s="225"/>
    </row>
    <row r="1069">
      <c r="J1069" s="225"/>
    </row>
    <row r="1070">
      <c r="J1070" s="225"/>
    </row>
    <row r="1071">
      <c r="J1071" s="225"/>
    </row>
    <row r="1072">
      <c r="J1072" s="225"/>
    </row>
    <row r="1073">
      <c r="J1073" s="225"/>
    </row>
    <row r="1074">
      <c r="J1074" s="225"/>
    </row>
    <row r="1075">
      <c r="J1075" s="225"/>
    </row>
    <row r="1076">
      <c r="J1076" s="225"/>
    </row>
    <row r="1077">
      <c r="J1077" s="225"/>
    </row>
    <row r="1078">
      <c r="J1078" s="225"/>
    </row>
    <row r="1079">
      <c r="J1079" s="225"/>
    </row>
    <row r="1080">
      <c r="J1080" s="225"/>
    </row>
    <row r="1081">
      <c r="J1081" s="225"/>
    </row>
    <row r="1082">
      <c r="J1082" s="225"/>
    </row>
    <row r="1083">
      <c r="J1083" s="225"/>
    </row>
    <row r="1084">
      <c r="J1084" s="225"/>
    </row>
    <row r="1085">
      <c r="J1085" s="225"/>
    </row>
    <row r="1086">
      <c r="J1086" s="225"/>
    </row>
    <row r="1087">
      <c r="J1087" s="225"/>
    </row>
    <row r="1088">
      <c r="J1088" s="225"/>
    </row>
    <row r="1089">
      <c r="J1089" s="225"/>
    </row>
    <row r="1090">
      <c r="J1090" s="225"/>
    </row>
    <row r="1091">
      <c r="J1091" s="225"/>
    </row>
    <row r="1092">
      <c r="J1092" s="225"/>
    </row>
    <row r="1093">
      <c r="J1093" s="225"/>
    </row>
    <row r="1094">
      <c r="J1094" s="225"/>
    </row>
    <row r="1095">
      <c r="J1095" s="225"/>
    </row>
    <row r="1096">
      <c r="J1096" s="225"/>
    </row>
    <row r="1097">
      <c r="J1097" s="225"/>
    </row>
    <row r="1098">
      <c r="J1098" s="225"/>
    </row>
    <row r="1099">
      <c r="J1099" s="225"/>
    </row>
    <row r="1100">
      <c r="J1100" s="225"/>
    </row>
    <row r="1101">
      <c r="J1101" s="225"/>
    </row>
    <row r="1102">
      <c r="J1102" s="225"/>
    </row>
    <row r="1103">
      <c r="J1103" s="225"/>
    </row>
    <row r="1104">
      <c r="J1104" s="225"/>
    </row>
    <row r="1105">
      <c r="J1105" s="225"/>
    </row>
    <row r="1106">
      <c r="J1106" s="225"/>
    </row>
    <row r="1107">
      <c r="J1107" s="225"/>
    </row>
    <row r="1108">
      <c r="J1108" s="225"/>
    </row>
    <row r="1109">
      <c r="J1109" s="225"/>
    </row>
    <row r="1110">
      <c r="J1110" s="225"/>
    </row>
    <row r="1111">
      <c r="J1111" s="225"/>
    </row>
    <row r="1112">
      <c r="J1112" s="225"/>
    </row>
    <row r="1113">
      <c r="J1113" s="225"/>
    </row>
    <row r="1114">
      <c r="J1114" s="225"/>
    </row>
    <row r="1115">
      <c r="J1115" s="225"/>
    </row>
    <row r="1116">
      <c r="J1116" s="225"/>
    </row>
    <row r="1117">
      <c r="J1117" s="225"/>
    </row>
    <row r="1118">
      <c r="J1118" s="225"/>
    </row>
    <row r="1119">
      <c r="J1119" s="225"/>
    </row>
    <row r="1120">
      <c r="J1120" s="225"/>
    </row>
    <row r="1121">
      <c r="J1121" s="225"/>
    </row>
    <row r="1122">
      <c r="J1122" s="225"/>
    </row>
    <row r="1123">
      <c r="J1123" s="225"/>
    </row>
    <row r="1124">
      <c r="J1124" s="225"/>
    </row>
    <row r="1125">
      <c r="J1125" s="225"/>
    </row>
    <row r="1126">
      <c r="J1126" s="225"/>
    </row>
    <row r="1127">
      <c r="J1127" s="225"/>
    </row>
    <row r="1128">
      <c r="J1128" s="225"/>
    </row>
    <row r="1129">
      <c r="J1129" s="225"/>
    </row>
    <row r="1130">
      <c r="J1130" s="225"/>
    </row>
    <row r="1131">
      <c r="J1131" s="225"/>
    </row>
    <row r="1132">
      <c r="J1132" s="225"/>
    </row>
    <row r="1133">
      <c r="J1133" s="225"/>
    </row>
    <row r="1134">
      <c r="J1134" s="225"/>
    </row>
    <row r="1135">
      <c r="J1135" s="225"/>
    </row>
    <row r="1136">
      <c r="J1136" s="225"/>
    </row>
    <row r="1137">
      <c r="J1137" s="225"/>
    </row>
    <row r="1138">
      <c r="J1138" s="225"/>
    </row>
    <row r="1139">
      <c r="J1139" s="225"/>
    </row>
    <row r="1140">
      <c r="J1140" s="225"/>
    </row>
    <row r="1141">
      <c r="J1141" s="225"/>
    </row>
    <row r="1142">
      <c r="J1142" s="225"/>
    </row>
    <row r="1143">
      <c r="J1143" s="225"/>
    </row>
    <row r="1144">
      <c r="J1144" s="225"/>
    </row>
    <row r="1145">
      <c r="J1145" s="225"/>
    </row>
    <row r="1146">
      <c r="J1146" s="225"/>
    </row>
    <row r="1147">
      <c r="J1147" s="225"/>
    </row>
    <row r="1148">
      <c r="J1148" s="225"/>
    </row>
    <row r="1149">
      <c r="J1149" s="225"/>
    </row>
    <row r="1150">
      <c r="J1150" s="225"/>
    </row>
    <row r="1151">
      <c r="J1151" s="225"/>
    </row>
    <row r="1152">
      <c r="J1152" s="225"/>
    </row>
    <row r="1153">
      <c r="J1153" s="225"/>
    </row>
    <row r="1154">
      <c r="J1154" s="225"/>
    </row>
    <row r="1155">
      <c r="J1155" s="225"/>
    </row>
    <row r="1156">
      <c r="J1156" s="225"/>
    </row>
    <row r="1157">
      <c r="J1157" s="225"/>
    </row>
    <row r="1158">
      <c r="J1158" s="225"/>
    </row>
    <row r="1159">
      <c r="J1159" s="225"/>
    </row>
    <row r="1160">
      <c r="J1160" s="225"/>
    </row>
    <row r="1161">
      <c r="J1161" s="225"/>
    </row>
    <row r="1162">
      <c r="J1162" s="225"/>
    </row>
    <row r="1163">
      <c r="J1163" s="225"/>
    </row>
    <row r="1164">
      <c r="J1164" s="225"/>
    </row>
    <row r="1165">
      <c r="J1165" s="225"/>
    </row>
    <row r="1166">
      <c r="J1166" s="225"/>
    </row>
    <row r="1167">
      <c r="J1167" s="225"/>
    </row>
    <row r="1168">
      <c r="J1168" s="225"/>
    </row>
    <row r="1169">
      <c r="J1169" s="225"/>
    </row>
    <row r="1170">
      <c r="J1170" s="225"/>
    </row>
    <row r="1171">
      <c r="J1171" s="225"/>
    </row>
    <row r="1172">
      <c r="J1172" s="225"/>
    </row>
    <row r="1173">
      <c r="J1173" s="225"/>
    </row>
    <row r="1174">
      <c r="J1174" s="225"/>
    </row>
    <row r="1175">
      <c r="J1175" s="225"/>
    </row>
    <row r="1176">
      <c r="J1176" s="225"/>
    </row>
    <row r="1177">
      <c r="J1177" s="225"/>
    </row>
    <row r="1178">
      <c r="J1178" s="225"/>
    </row>
    <row r="1179">
      <c r="J1179" s="225"/>
    </row>
    <row r="1180">
      <c r="J1180" s="225"/>
    </row>
    <row r="1181">
      <c r="J1181" s="225"/>
    </row>
    <row r="1182">
      <c r="J1182" s="225"/>
    </row>
    <row r="1183">
      <c r="J1183" s="225"/>
    </row>
    <row r="1184">
      <c r="J1184" s="225"/>
    </row>
    <row r="1185">
      <c r="J1185" s="225"/>
    </row>
    <row r="1186">
      <c r="J1186" s="225"/>
    </row>
    <row r="1187">
      <c r="J1187" s="225"/>
    </row>
    <row r="1188">
      <c r="J1188" s="225"/>
    </row>
    <row r="1189">
      <c r="J1189" s="225"/>
    </row>
    <row r="1190">
      <c r="J1190" s="225"/>
    </row>
    <row r="1191">
      <c r="J1191" s="225"/>
    </row>
    <row r="1192">
      <c r="J1192" s="225"/>
    </row>
    <row r="1193">
      <c r="J1193" s="225"/>
    </row>
    <row r="1194">
      <c r="J1194" s="225"/>
    </row>
    <row r="1195">
      <c r="J1195" s="225"/>
    </row>
    <row r="1196">
      <c r="J1196" s="225"/>
    </row>
    <row r="1197">
      <c r="J1197" s="225"/>
    </row>
    <row r="1198">
      <c r="J1198" s="225"/>
    </row>
    <row r="1199">
      <c r="J1199" s="225"/>
    </row>
    <row r="1200">
      <c r="J1200" s="225"/>
    </row>
    <row r="1201">
      <c r="J1201" s="225"/>
    </row>
    <row r="1202">
      <c r="J1202" s="225"/>
    </row>
    <row r="1203">
      <c r="J1203" s="225"/>
    </row>
    <row r="1204">
      <c r="J1204" s="225"/>
    </row>
    <row r="1205">
      <c r="J1205" s="225"/>
    </row>
    <row r="1206">
      <c r="J1206" s="225"/>
    </row>
    <row r="1207">
      <c r="J1207" s="225"/>
    </row>
    <row r="1208">
      <c r="J1208" s="225"/>
    </row>
    <row r="1209">
      <c r="J1209" s="225"/>
    </row>
    <row r="1210">
      <c r="J1210" s="225"/>
    </row>
    <row r="1211">
      <c r="J1211" s="225"/>
    </row>
    <row r="1212">
      <c r="J1212" s="225"/>
    </row>
    <row r="1213">
      <c r="J1213" s="225"/>
    </row>
    <row r="1214">
      <c r="J1214" s="225"/>
    </row>
    <row r="1215">
      <c r="J1215" s="225"/>
    </row>
    <row r="1216">
      <c r="J1216" s="225"/>
    </row>
    <row r="1217">
      <c r="J1217" s="225"/>
    </row>
    <row r="1218">
      <c r="J1218" s="225"/>
    </row>
    <row r="1219">
      <c r="J1219" s="225"/>
    </row>
    <row r="1220">
      <c r="J1220" s="225"/>
    </row>
    <row r="1221">
      <c r="J1221" s="225"/>
    </row>
    <row r="1222">
      <c r="J1222" s="225"/>
    </row>
    <row r="1223">
      <c r="J1223" s="225"/>
    </row>
    <row r="1224">
      <c r="J1224" s="225"/>
    </row>
    <row r="1225">
      <c r="J1225" s="225"/>
    </row>
    <row r="1226">
      <c r="J1226" s="225"/>
    </row>
    <row r="1227">
      <c r="J1227" s="225"/>
    </row>
    <row r="1228">
      <c r="J1228" s="225"/>
    </row>
    <row r="1229">
      <c r="J1229" s="225"/>
    </row>
    <row r="1230">
      <c r="J1230" s="225"/>
    </row>
    <row r="1231">
      <c r="J1231" s="225"/>
    </row>
    <row r="1232">
      <c r="J1232" s="225"/>
    </row>
    <row r="1233">
      <c r="J1233" s="225"/>
    </row>
    <row r="1234">
      <c r="J1234" s="225"/>
    </row>
    <row r="1235">
      <c r="J1235" s="225"/>
    </row>
    <row r="1236">
      <c r="J1236" s="225"/>
    </row>
    <row r="1237">
      <c r="J1237" s="225"/>
    </row>
    <row r="1238">
      <c r="J1238" s="225"/>
    </row>
    <row r="1239">
      <c r="J1239" s="225"/>
    </row>
    <row r="1240">
      <c r="J1240" s="225"/>
    </row>
    <row r="1241">
      <c r="J1241" s="225"/>
    </row>
    <row r="1242">
      <c r="J1242" s="225"/>
    </row>
    <row r="1243">
      <c r="J1243" s="225"/>
    </row>
    <row r="1244">
      <c r="J1244" s="225"/>
    </row>
    <row r="1245">
      <c r="J1245" s="225"/>
    </row>
    <row r="1246">
      <c r="J1246" s="225"/>
    </row>
    <row r="1247">
      <c r="J1247" s="225"/>
    </row>
    <row r="1248">
      <c r="J1248" s="225"/>
    </row>
    <row r="1249">
      <c r="J1249" s="225"/>
    </row>
    <row r="1250">
      <c r="J1250" s="225"/>
    </row>
    <row r="1251">
      <c r="J1251" s="225"/>
    </row>
    <row r="1252">
      <c r="J1252" s="225"/>
    </row>
    <row r="1253">
      <c r="J1253" s="225"/>
    </row>
    <row r="1254">
      <c r="J1254" s="225"/>
    </row>
    <row r="1255">
      <c r="J1255" s="225"/>
    </row>
    <row r="1256">
      <c r="J1256" s="225"/>
    </row>
    <row r="1257">
      <c r="J1257" s="225"/>
    </row>
    <row r="1258">
      <c r="J1258" s="225"/>
    </row>
    <row r="1259">
      <c r="J1259" s="225"/>
    </row>
    <row r="1260">
      <c r="J1260" s="225"/>
    </row>
    <row r="1261">
      <c r="J1261" s="225"/>
    </row>
    <row r="1262">
      <c r="J1262" s="225"/>
    </row>
    <row r="1263">
      <c r="J1263" s="225"/>
    </row>
    <row r="1264">
      <c r="J1264" s="225"/>
    </row>
    <row r="1265">
      <c r="J1265" s="225"/>
    </row>
    <row r="1266">
      <c r="J1266" s="225"/>
    </row>
    <row r="1267">
      <c r="J1267" s="225"/>
    </row>
    <row r="1268">
      <c r="J1268" s="225"/>
    </row>
    <row r="1269">
      <c r="J1269" s="225"/>
    </row>
    <row r="1270">
      <c r="J1270" s="225"/>
    </row>
    <row r="1271">
      <c r="J1271" s="225"/>
    </row>
    <row r="1272">
      <c r="J1272" s="225"/>
    </row>
    <row r="1273">
      <c r="J1273" s="225"/>
    </row>
    <row r="1274">
      <c r="J1274" s="225"/>
    </row>
    <row r="1275">
      <c r="J1275" s="225"/>
    </row>
    <row r="1276">
      <c r="J1276" s="225"/>
    </row>
    <row r="1277">
      <c r="J1277" s="225"/>
    </row>
    <row r="1278">
      <c r="J1278" s="225"/>
    </row>
    <row r="1279">
      <c r="J1279" s="225"/>
    </row>
    <row r="1280">
      <c r="J1280" s="225"/>
    </row>
    <row r="1281">
      <c r="J1281" s="225"/>
    </row>
    <row r="1282">
      <c r="J1282" s="225"/>
    </row>
    <row r="1283">
      <c r="J1283" s="225"/>
    </row>
    <row r="1284">
      <c r="J1284" s="225"/>
    </row>
    <row r="1285">
      <c r="J1285" s="225"/>
    </row>
    <row r="1286">
      <c r="J1286" s="225"/>
    </row>
    <row r="1287">
      <c r="J1287" s="225"/>
    </row>
    <row r="1288">
      <c r="J1288" s="225"/>
    </row>
    <row r="1289">
      <c r="J1289" s="225"/>
    </row>
    <row r="1290">
      <c r="J1290" s="225"/>
    </row>
    <row r="1291">
      <c r="J1291" s="225"/>
    </row>
    <row r="1292">
      <c r="J1292" s="225"/>
    </row>
    <row r="1293">
      <c r="J1293" s="225"/>
    </row>
    <row r="1294">
      <c r="J1294" s="225"/>
    </row>
    <row r="1295">
      <c r="J1295" s="225"/>
    </row>
    <row r="1296">
      <c r="J1296" s="225"/>
    </row>
    <row r="1297">
      <c r="J1297" s="225"/>
    </row>
    <row r="1298">
      <c r="J1298" s="225"/>
    </row>
    <row r="1299">
      <c r="J1299" s="225"/>
    </row>
    <row r="1300">
      <c r="J1300" s="225"/>
    </row>
    <row r="1301">
      <c r="J1301" s="225"/>
    </row>
    <row r="1302">
      <c r="J1302" s="225"/>
    </row>
    <row r="1303">
      <c r="J1303" s="225"/>
    </row>
    <row r="1304">
      <c r="J1304" s="225"/>
    </row>
    <row r="1305">
      <c r="J1305" s="225"/>
    </row>
    <row r="1306">
      <c r="J1306" s="225"/>
    </row>
    <row r="1307">
      <c r="J1307" s="225"/>
    </row>
    <row r="1308">
      <c r="J1308" s="225"/>
    </row>
    <row r="1309">
      <c r="J1309" s="225"/>
    </row>
    <row r="1310">
      <c r="J1310" s="225"/>
    </row>
    <row r="1311">
      <c r="J1311" s="225"/>
    </row>
    <row r="1312">
      <c r="J1312" s="225"/>
    </row>
    <row r="1313">
      <c r="J1313" s="225"/>
    </row>
    <row r="1314">
      <c r="J1314" s="225"/>
    </row>
    <row r="1315">
      <c r="J1315" s="225"/>
    </row>
    <row r="1316">
      <c r="J1316" s="225"/>
    </row>
    <row r="1317">
      <c r="J1317" s="225"/>
    </row>
    <row r="1318">
      <c r="J1318" s="225"/>
    </row>
    <row r="1319">
      <c r="J1319" s="225"/>
    </row>
    <row r="1320">
      <c r="J1320" s="225"/>
    </row>
    <row r="1321">
      <c r="J1321" s="225"/>
    </row>
    <row r="1322">
      <c r="J1322" s="225"/>
    </row>
    <row r="1323">
      <c r="J1323" s="225"/>
    </row>
    <row r="1324">
      <c r="J1324" s="225"/>
    </row>
    <row r="1325">
      <c r="J1325" s="225"/>
    </row>
    <row r="1326">
      <c r="J1326" s="225"/>
    </row>
    <row r="1327">
      <c r="J1327" s="225"/>
    </row>
    <row r="1328">
      <c r="J1328" s="225"/>
    </row>
    <row r="1329">
      <c r="J1329" s="225"/>
    </row>
    <row r="1330">
      <c r="J1330" s="225"/>
    </row>
    <row r="1331">
      <c r="J1331" s="225"/>
    </row>
    <row r="1332">
      <c r="J1332" s="225"/>
    </row>
    <row r="1333">
      <c r="J1333" s="225"/>
    </row>
    <row r="1334">
      <c r="J1334" s="225"/>
    </row>
    <row r="1335">
      <c r="J1335" s="225"/>
    </row>
    <row r="1336">
      <c r="J1336" s="225"/>
    </row>
    <row r="1337">
      <c r="J1337" s="225"/>
    </row>
    <row r="1338">
      <c r="J1338" s="225"/>
    </row>
    <row r="1339">
      <c r="J1339" s="225"/>
    </row>
    <row r="1340">
      <c r="J1340" s="225"/>
    </row>
    <row r="1341">
      <c r="J1341" s="225"/>
    </row>
    <row r="1342">
      <c r="J1342" s="225"/>
    </row>
    <row r="1343">
      <c r="J1343" s="225"/>
    </row>
    <row r="1344">
      <c r="J1344" s="225"/>
    </row>
    <row r="1345">
      <c r="J1345" s="225"/>
    </row>
    <row r="1346">
      <c r="J1346" s="225"/>
    </row>
    <row r="1347">
      <c r="J1347" s="225"/>
    </row>
    <row r="1348">
      <c r="J1348" s="225"/>
    </row>
    <row r="1349">
      <c r="J1349" s="225"/>
    </row>
    <row r="1350">
      <c r="J1350" s="225"/>
    </row>
    <row r="1351">
      <c r="J1351" s="225"/>
    </row>
    <row r="1352">
      <c r="J1352" s="225"/>
    </row>
    <row r="1353">
      <c r="J1353" s="225"/>
    </row>
    <row r="1354">
      <c r="J1354" s="225"/>
    </row>
    <row r="1355">
      <c r="J1355" s="225"/>
    </row>
    <row r="1356">
      <c r="J1356" s="225"/>
    </row>
    <row r="1357">
      <c r="J1357" s="225"/>
    </row>
    <row r="1358">
      <c r="J1358" s="225"/>
    </row>
    <row r="1359">
      <c r="J1359" s="225"/>
    </row>
    <row r="1360">
      <c r="J1360" s="225"/>
    </row>
    <row r="1361">
      <c r="J1361" s="225"/>
    </row>
    <row r="1362">
      <c r="J1362" s="225"/>
    </row>
    <row r="1363">
      <c r="J1363" s="225"/>
    </row>
    <row r="1364">
      <c r="J1364" s="225"/>
    </row>
    <row r="1365">
      <c r="J1365" s="225"/>
    </row>
    <row r="1366">
      <c r="J1366" s="225"/>
    </row>
    <row r="1367">
      <c r="J1367" s="225"/>
    </row>
    <row r="1368">
      <c r="J1368" s="225"/>
    </row>
    <row r="1369">
      <c r="J1369" s="225"/>
    </row>
    <row r="1370">
      <c r="J1370" s="225"/>
    </row>
    <row r="1371">
      <c r="J1371" s="225"/>
    </row>
    <row r="1372">
      <c r="J1372" s="225"/>
    </row>
    <row r="1373">
      <c r="J1373" s="225"/>
    </row>
    <row r="1374">
      <c r="J1374" s="225"/>
    </row>
    <row r="1375">
      <c r="J1375" s="225"/>
    </row>
    <row r="1376">
      <c r="J1376" s="225"/>
    </row>
    <row r="1377">
      <c r="J1377" s="225"/>
    </row>
    <row r="1378">
      <c r="J1378" s="225"/>
    </row>
    <row r="1379">
      <c r="J1379" s="225"/>
    </row>
    <row r="1380">
      <c r="J1380" s="225"/>
    </row>
    <row r="1381">
      <c r="J1381" s="225"/>
    </row>
    <row r="1382">
      <c r="J1382" s="225"/>
    </row>
    <row r="1383">
      <c r="J1383" s="225"/>
    </row>
    <row r="1384">
      <c r="J1384" s="225"/>
    </row>
    <row r="1385">
      <c r="J1385" s="225"/>
    </row>
    <row r="1386">
      <c r="J1386" s="225"/>
    </row>
    <row r="1387">
      <c r="J1387" s="225"/>
    </row>
    <row r="1388">
      <c r="J1388" s="225"/>
    </row>
    <row r="1389">
      <c r="J1389" s="225"/>
    </row>
    <row r="1390">
      <c r="J1390" s="225"/>
    </row>
    <row r="1391">
      <c r="J1391" s="225"/>
    </row>
    <row r="1392">
      <c r="J1392" s="225"/>
    </row>
    <row r="1393">
      <c r="J1393" s="225"/>
    </row>
    <row r="1394">
      <c r="J1394" s="225"/>
    </row>
    <row r="1395">
      <c r="J1395" s="225"/>
    </row>
    <row r="1396">
      <c r="J1396" s="225"/>
    </row>
    <row r="1397">
      <c r="J1397" s="225"/>
    </row>
    <row r="1398">
      <c r="J1398" s="225"/>
    </row>
    <row r="1399">
      <c r="J1399" s="225"/>
    </row>
    <row r="1400">
      <c r="J1400" s="225"/>
    </row>
    <row r="1401">
      <c r="J1401" s="225"/>
    </row>
    <row r="1402">
      <c r="J1402" s="225"/>
    </row>
    <row r="1403">
      <c r="J1403" s="225"/>
    </row>
    <row r="1404">
      <c r="J1404" s="225"/>
    </row>
    <row r="1405">
      <c r="J1405" s="225"/>
    </row>
    <row r="1406">
      <c r="J1406" s="225"/>
    </row>
    <row r="1407">
      <c r="J1407" s="225"/>
    </row>
    <row r="1408">
      <c r="J1408" s="225"/>
    </row>
    <row r="1409">
      <c r="J1409" s="225"/>
    </row>
    <row r="1410">
      <c r="J1410" s="225"/>
    </row>
    <row r="1411">
      <c r="J1411" s="225"/>
    </row>
    <row r="1412">
      <c r="J1412" s="225"/>
    </row>
    <row r="1413">
      <c r="J1413" s="225"/>
    </row>
    <row r="1414">
      <c r="J1414" s="225"/>
    </row>
    <row r="1415">
      <c r="J1415" s="225"/>
    </row>
    <row r="1416">
      <c r="J1416" s="225"/>
    </row>
    <row r="1417">
      <c r="J1417" s="225"/>
    </row>
    <row r="1418">
      <c r="J1418" s="225"/>
    </row>
    <row r="1419">
      <c r="J1419" s="225"/>
    </row>
    <row r="1420">
      <c r="J1420" s="225"/>
    </row>
    <row r="1421">
      <c r="J1421" s="225"/>
    </row>
    <row r="1422">
      <c r="J1422" s="225"/>
    </row>
    <row r="1423">
      <c r="J1423" s="225"/>
    </row>
    <row r="1424">
      <c r="J1424" s="225"/>
    </row>
    <row r="1425">
      <c r="J1425" s="225"/>
    </row>
    <row r="1426">
      <c r="J1426" s="225"/>
    </row>
    <row r="1427">
      <c r="J1427" s="225"/>
    </row>
    <row r="1428">
      <c r="J1428" s="225"/>
    </row>
    <row r="1429">
      <c r="J1429" s="225"/>
    </row>
    <row r="1430">
      <c r="J1430" s="225"/>
    </row>
    <row r="1431">
      <c r="J1431" s="225"/>
    </row>
    <row r="1432">
      <c r="J1432" s="225"/>
    </row>
    <row r="1433">
      <c r="J1433" s="225"/>
    </row>
    <row r="1434">
      <c r="J1434" s="225"/>
    </row>
    <row r="1435">
      <c r="J1435" s="225"/>
    </row>
    <row r="1436">
      <c r="J1436" s="225"/>
    </row>
    <row r="1437">
      <c r="J1437" s="225"/>
    </row>
    <row r="1438">
      <c r="J1438" s="225"/>
    </row>
    <row r="1439">
      <c r="J1439" s="225"/>
    </row>
    <row r="1440">
      <c r="J1440" s="225"/>
    </row>
    <row r="1441">
      <c r="J1441" s="225"/>
    </row>
    <row r="1442">
      <c r="J1442" s="225"/>
    </row>
    <row r="1443">
      <c r="J1443" s="225"/>
    </row>
    <row r="1444">
      <c r="J1444" s="225"/>
    </row>
    <row r="1445">
      <c r="J1445" s="225"/>
    </row>
    <row r="1446">
      <c r="J1446" s="225"/>
    </row>
    <row r="1447">
      <c r="J1447" s="225"/>
    </row>
    <row r="1448">
      <c r="J1448" s="225"/>
    </row>
    <row r="1449">
      <c r="J1449" s="225"/>
    </row>
    <row r="1450">
      <c r="J1450" s="225"/>
    </row>
    <row r="1451">
      <c r="J1451" s="225"/>
    </row>
    <row r="1452">
      <c r="J1452" s="225"/>
    </row>
    <row r="1453">
      <c r="J1453" s="225"/>
    </row>
    <row r="1454">
      <c r="J1454" s="225"/>
    </row>
    <row r="1455">
      <c r="J1455" s="225"/>
    </row>
    <row r="1456">
      <c r="J1456" s="225"/>
    </row>
    <row r="1457">
      <c r="J1457" s="225"/>
    </row>
    <row r="1458">
      <c r="J1458" s="225"/>
    </row>
    <row r="1459">
      <c r="J1459" s="225"/>
    </row>
    <row r="1460">
      <c r="J1460" s="225"/>
    </row>
    <row r="1461">
      <c r="J1461" s="225"/>
    </row>
    <row r="1462">
      <c r="J1462" s="225"/>
    </row>
    <row r="1463">
      <c r="J1463" s="225"/>
    </row>
    <row r="1464">
      <c r="J1464" s="225"/>
    </row>
    <row r="1465">
      <c r="J1465" s="225"/>
    </row>
    <row r="1466">
      <c r="J1466" s="225"/>
    </row>
    <row r="1467">
      <c r="J1467" s="225"/>
    </row>
    <row r="1468">
      <c r="J1468" s="225"/>
    </row>
    <row r="1469">
      <c r="J1469" s="225"/>
    </row>
    <row r="1470">
      <c r="J1470" s="225"/>
    </row>
    <row r="1471">
      <c r="J1471" s="225"/>
    </row>
    <row r="1472">
      <c r="J1472" s="225"/>
    </row>
    <row r="1473">
      <c r="J1473" s="225"/>
    </row>
    <row r="1474">
      <c r="J1474" s="225"/>
    </row>
    <row r="1475">
      <c r="J1475" s="225"/>
    </row>
    <row r="1476">
      <c r="J1476" s="225"/>
    </row>
    <row r="1477">
      <c r="J1477" s="225"/>
    </row>
    <row r="1478">
      <c r="J1478" s="225"/>
    </row>
    <row r="1479">
      <c r="J1479" s="225"/>
    </row>
    <row r="1480">
      <c r="J1480" s="225"/>
    </row>
    <row r="1481">
      <c r="J1481" s="225"/>
    </row>
    <row r="1482">
      <c r="J1482" s="225"/>
    </row>
    <row r="1483">
      <c r="J1483" s="225"/>
    </row>
    <row r="1484">
      <c r="J1484" s="225"/>
    </row>
    <row r="1485">
      <c r="J1485" s="225"/>
    </row>
    <row r="1486">
      <c r="J1486" s="225"/>
    </row>
    <row r="1487">
      <c r="J1487" s="225"/>
    </row>
    <row r="1488">
      <c r="J1488" s="225"/>
    </row>
    <row r="1489">
      <c r="J1489" s="225"/>
    </row>
    <row r="1490">
      <c r="J1490" s="225"/>
    </row>
    <row r="1491">
      <c r="J1491" s="225"/>
    </row>
    <row r="1492">
      <c r="J1492" s="225"/>
    </row>
    <row r="1493">
      <c r="J1493" s="225"/>
    </row>
    <row r="1494">
      <c r="J1494" s="225"/>
    </row>
    <row r="1495">
      <c r="J1495" s="225"/>
    </row>
    <row r="1496">
      <c r="J1496" s="225"/>
    </row>
    <row r="1497">
      <c r="J1497" s="225"/>
    </row>
    <row r="1498">
      <c r="J1498" s="225"/>
    </row>
    <row r="1499">
      <c r="J1499" s="225"/>
    </row>
    <row r="1500">
      <c r="J1500" s="225"/>
    </row>
    <row r="1501">
      <c r="J1501" s="225"/>
    </row>
    <row r="1502">
      <c r="J1502" s="225"/>
    </row>
    <row r="1503">
      <c r="J1503" s="225"/>
    </row>
    <row r="1504">
      <c r="J1504" s="225"/>
    </row>
    <row r="1505">
      <c r="J1505" s="225"/>
    </row>
    <row r="1506">
      <c r="J1506" s="225"/>
    </row>
    <row r="1507">
      <c r="J1507" s="225"/>
    </row>
    <row r="1508">
      <c r="J1508" s="225"/>
    </row>
    <row r="1509">
      <c r="J1509" s="225"/>
    </row>
    <row r="1510">
      <c r="J1510" s="225"/>
    </row>
    <row r="1511">
      <c r="J1511" s="225"/>
    </row>
    <row r="1512">
      <c r="J1512" s="225"/>
    </row>
    <row r="1513">
      <c r="J1513" s="225"/>
    </row>
    <row r="1514">
      <c r="J1514" s="225"/>
    </row>
    <row r="1515">
      <c r="J1515" s="225"/>
    </row>
    <row r="1516">
      <c r="J1516" s="225"/>
    </row>
    <row r="1517">
      <c r="J1517" s="225"/>
    </row>
    <row r="1518">
      <c r="J1518" s="225"/>
    </row>
    <row r="1519">
      <c r="J1519" s="225"/>
    </row>
    <row r="1520">
      <c r="J1520" s="225"/>
    </row>
    <row r="1521">
      <c r="J1521" s="225"/>
    </row>
    <row r="1522">
      <c r="J1522" s="225"/>
    </row>
    <row r="1523">
      <c r="J1523" s="225"/>
    </row>
    <row r="1524">
      <c r="J1524" s="225"/>
    </row>
    <row r="1525">
      <c r="J1525" s="225"/>
    </row>
    <row r="1526">
      <c r="J1526" s="225"/>
    </row>
    <row r="1527">
      <c r="J1527" s="225"/>
    </row>
    <row r="1528">
      <c r="J1528" s="225"/>
    </row>
    <row r="1529">
      <c r="J1529" s="225"/>
    </row>
    <row r="1530">
      <c r="J1530" s="225"/>
    </row>
    <row r="1531">
      <c r="J1531" s="225"/>
    </row>
    <row r="1532">
      <c r="J1532" s="225"/>
    </row>
    <row r="1533">
      <c r="J1533" s="225"/>
    </row>
    <row r="1534">
      <c r="J1534" s="225"/>
    </row>
    <row r="1535">
      <c r="J1535" s="225"/>
    </row>
    <row r="1536">
      <c r="J1536" s="225"/>
    </row>
    <row r="1537">
      <c r="J1537" s="225"/>
    </row>
    <row r="1538">
      <c r="J1538" s="225"/>
    </row>
    <row r="1539">
      <c r="J1539" s="225"/>
    </row>
    <row r="1540">
      <c r="J1540" s="225"/>
    </row>
    <row r="1541">
      <c r="J1541" s="225"/>
    </row>
    <row r="1542">
      <c r="J1542" s="225"/>
    </row>
    <row r="1543">
      <c r="J1543" s="225"/>
    </row>
    <row r="1544">
      <c r="J1544" s="225"/>
    </row>
    <row r="1545">
      <c r="J1545" s="225"/>
    </row>
    <row r="1546">
      <c r="J1546" s="225"/>
    </row>
    <row r="1547">
      <c r="J1547" s="225"/>
    </row>
    <row r="1548">
      <c r="J1548" s="225"/>
    </row>
    <row r="1549">
      <c r="J1549" s="225"/>
    </row>
    <row r="1550">
      <c r="J1550" s="225"/>
    </row>
    <row r="1551">
      <c r="J1551" s="225"/>
    </row>
    <row r="1552">
      <c r="J1552" s="225"/>
    </row>
    <row r="1553">
      <c r="J1553" s="225"/>
    </row>
    <row r="1554">
      <c r="J1554" s="225"/>
    </row>
    <row r="1555">
      <c r="J1555" s="225"/>
    </row>
    <row r="1556">
      <c r="J1556" s="225"/>
    </row>
    <row r="1557">
      <c r="J1557" s="225"/>
    </row>
    <row r="1558">
      <c r="J1558" s="225"/>
    </row>
    <row r="1559">
      <c r="J1559" s="225"/>
    </row>
    <row r="1560">
      <c r="J1560" s="225"/>
    </row>
    <row r="1561">
      <c r="J1561" s="225"/>
    </row>
    <row r="1562">
      <c r="J1562" s="225"/>
    </row>
    <row r="1563">
      <c r="J1563" s="225"/>
    </row>
    <row r="1564">
      <c r="J1564" s="225"/>
    </row>
    <row r="1565">
      <c r="J1565" s="225"/>
    </row>
    <row r="1566">
      <c r="J1566" s="225"/>
    </row>
    <row r="1567">
      <c r="J1567" s="225"/>
    </row>
    <row r="1568">
      <c r="J1568" s="225"/>
    </row>
    <row r="1569">
      <c r="J1569" s="225"/>
    </row>
    <row r="1570">
      <c r="J1570" s="225"/>
    </row>
    <row r="1571">
      <c r="J1571" s="225"/>
    </row>
    <row r="1572">
      <c r="J1572" s="225"/>
    </row>
    <row r="1573">
      <c r="J1573" s="225"/>
    </row>
    <row r="1574">
      <c r="J1574" s="225"/>
    </row>
    <row r="1575">
      <c r="J1575" s="225"/>
    </row>
    <row r="1576">
      <c r="J1576" s="225"/>
    </row>
    <row r="1577">
      <c r="J1577" s="225"/>
    </row>
    <row r="1578">
      <c r="J1578" s="225"/>
    </row>
    <row r="1579">
      <c r="J1579" s="225"/>
    </row>
    <row r="1580">
      <c r="J1580" s="225"/>
    </row>
    <row r="1581">
      <c r="J1581" s="225"/>
    </row>
    <row r="1582">
      <c r="J1582" s="225"/>
    </row>
    <row r="1583">
      <c r="J1583" s="225"/>
    </row>
    <row r="1584">
      <c r="J1584" s="225"/>
    </row>
    <row r="1585">
      <c r="J1585" s="225"/>
    </row>
    <row r="1586">
      <c r="J1586" s="225"/>
    </row>
    <row r="1587">
      <c r="J1587" s="225"/>
    </row>
    <row r="1588">
      <c r="J1588" s="225"/>
    </row>
    <row r="1589">
      <c r="J1589" s="225"/>
    </row>
    <row r="1590">
      <c r="J1590" s="225"/>
    </row>
    <row r="1591">
      <c r="J1591" s="225"/>
    </row>
    <row r="1592">
      <c r="J1592" s="225"/>
    </row>
    <row r="1593">
      <c r="J1593" s="225"/>
    </row>
    <row r="1594">
      <c r="J1594" s="225"/>
    </row>
    <row r="1595">
      <c r="J1595" s="225"/>
    </row>
    <row r="1596">
      <c r="J1596" s="225"/>
    </row>
    <row r="1597">
      <c r="J1597" s="225"/>
    </row>
    <row r="1598">
      <c r="J1598" s="225"/>
    </row>
    <row r="1599">
      <c r="J1599" s="225"/>
    </row>
    <row r="1600">
      <c r="J1600" s="225"/>
    </row>
    <row r="1601">
      <c r="J1601" s="225"/>
    </row>
    <row r="1602">
      <c r="J1602" s="225"/>
    </row>
    <row r="1603">
      <c r="J1603" s="225"/>
    </row>
    <row r="1604">
      <c r="J1604" s="225"/>
    </row>
    <row r="1605">
      <c r="J1605" s="225"/>
    </row>
    <row r="1606">
      <c r="J1606" s="225"/>
    </row>
    <row r="1607">
      <c r="J1607" s="225"/>
    </row>
    <row r="1608">
      <c r="J1608" s="225"/>
    </row>
    <row r="1609">
      <c r="J1609" s="225"/>
    </row>
    <row r="1610">
      <c r="J1610" s="225"/>
    </row>
    <row r="1611">
      <c r="J1611" s="225"/>
    </row>
    <row r="1612">
      <c r="J1612" s="225"/>
    </row>
    <row r="1613">
      <c r="J1613" s="225"/>
    </row>
    <row r="1614">
      <c r="J1614" s="225"/>
    </row>
    <row r="1615">
      <c r="J1615" s="225"/>
    </row>
    <row r="1616">
      <c r="J1616" s="225"/>
    </row>
    <row r="1617">
      <c r="J1617" s="225"/>
    </row>
    <row r="1618">
      <c r="J1618" s="225"/>
    </row>
    <row r="1619">
      <c r="J1619" s="225"/>
    </row>
    <row r="1620">
      <c r="J1620" s="225"/>
    </row>
    <row r="1621">
      <c r="J1621" s="225"/>
    </row>
    <row r="1622">
      <c r="J1622" s="225"/>
    </row>
    <row r="1623">
      <c r="J1623" s="225"/>
    </row>
    <row r="1624">
      <c r="J1624" s="225"/>
    </row>
    <row r="1625">
      <c r="J1625" s="225"/>
    </row>
    <row r="1626">
      <c r="J1626" s="225"/>
    </row>
    <row r="1627">
      <c r="J1627" s="225"/>
    </row>
    <row r="1628">
      <c r="J1628" s="225"/>
    </row>
    <row r="1629">
      <c r="J1629" s="225"/>
    </row>
    <row r="1630">
      <c r="J1630" s="225"/>
    </row>
    <row r="1631">
      <c r="J1631" s="225"/>
    </row>
    <row r="1632">
      <c r="J1632" s="225"/>
    </row>
    <row r="1633">
      <c r="J1633" s="225"/>
    </row>
    <row r="1634">
      <c r="J1634" s="225"/>
    </row>
    <row r="1635">
      <c r="J1635" s="225"/>
    </row>
    <row r="1636">
      <c r="J1636" s="225"/>
    </row>
    <row r="1637">
      <c r="J1637" s="225"/>
    </row>
    <row r="1638">
      <c r="J1638" s="225"/>
    </row>
    <row r="1639">
      <c r="J1639" s="225"/>
    </row>
    <row r="1640">
      <c r="J1640" s="225"/>
    </row>
    <row r="1641">
      <c r="J1641" s="225"/>
    </row>
    <row r="1642">
      <c r="J1642" s="225"/>
    </row>
    <row r="1643">
      <c r="J1643" s="225"/>
    </row>
    <row r="1644">
      <c r="J1644" s="225"/>
    </row>
    <row r="1645">
      <c r="J1645" s="225"/>
    </row>
    <row r="1646">
      <c r="J1646" s="225"/>
    </row>
    <row r="1647">
      <c r="J1647" s="225"/>
    </row>
    <row r="1648">
      <c r="J1648" s="225"/>
    </row>
    <row r="1649">
      <c r="J1649" s="225"/>
    </row>
    <row r="1650">
      <c r="J1650" s="225"/>
    </row>
    <row r="1651">
      <c r="J1651" s="225"/>
    </row>
    <row r="1652">
      <c r="J1652" s="225"/>
    </row>
    <row r="1653">
      <c r="J1653" s="225"/>
    </row>
    <row r="1654">
      <c r="J1654" s="225"/>
    </row>
    <row r="1655">
      <c r="J1655" s="225"/>
    </row>
    <row r="1656">
      <c r="J1656" s="225"/>
    </row>
    <row r="1657">
      <c r="J1657" s="225"/>
    </row>
    <row r="1658">
      <c r="J1658" s="225"/>
    </row>
    <row r="1659">
      <c r="J1659" s="225"/>
    </row>
    <row r="1660">
      <c r="J1660" s="225"/>
    </row>
    <row r="1661">
      <c r="J1661" s="225"/>
    </row>
    <row r="1662">
      <c r="J1662" s="225"/>
    </row>
    <row r="1663">
      <c r="J1663" s="225"/>
    </row>
    <row r="1664">
      <c r="J1664" s="225"/>
    </row>
    <row r="1665">
      <c r="J1665" s="225"/>
    </row>
    <row r="1666">
      <c r="J1666" s="225"/>
    </row>
    <row r="1667">
      <c r="J1667" s="225"/>
    </row>
    <row r="1668">
      <c r="J1668" s="225"/>
    </row>
    <row r="1669">
      <c r="J1669" s="225"/>
    </row>
    <row r="1670">
      <c r="J1670" s="225"/>
    </row>
    <row r="1671">
      <c r="J1671" s="225"/>
    </row>
    <row r="1672">
      <c r="J1672" s="225"/>
    </row>
    <row r="1673">
      <c r="J1673" s="225"/>
    </row>
    <row r="1674">
      <c r="J1674" s="225"/>
    </row>
    <row r="1675">
      <c r="J1675" s="225"/>
    </row>
    <row r="1676">
      <c r="J1676" s="225"/>
    </row>
    <row r="1677">
      <c r="J1677" s="225"/>
    </row>
    <row r="1678">
      <c r="J1678" s="225"/>
    </row>
    <row r="1679">
      <c r="J1679" s="225"/>
    </row>
    <row r="1680">
      <c r="J1680" s="225"/>
    </row>
    <row r="1681">
      <c r="J1681" s="225"/>
    </row>
    <row r="1682">
      <c r="J1682" s="225"/>
    </row>
    <row r="1683">
      <c r="J1683" s="225"/>
    </row>
    <row r="1684">
      <c r="J1684" s="225"/>
    </row>
    <row r="1685">
      <c r="J1685" s="225"/>
    </row>
    <row r="1686">
      <c r="J1686" s="225"/>
    </row>
    <row r="1687">
      <c r="J1687" s="225"/>
    </row>
    <row r="1688">
      <c r="J1688" s="225"/>
    </row>
    <row r="1689">
      <c r="J1689" s="225"/>
    </row>
    <row r="1690">
      <c r="J1690" s="225"/>
    </row>
    <row r="1691">
      <c r="J1691" s="225"/>
    </row>
    <row r="1692">
      <c r="J1692" s="225"/>
    </row>
    <row r="1693">
      <c r="J1693" s="225"/>
    </row>
    <row r="1694">
      <c r="J1694" s="225"/>
    </row>
    <row r="1695">
      <c r="J1695" s="225"/>
    </row>
    <row r="1696">
      <c r="J1696" s="225"/>
    </row>
    <row r="1697">
      <c r="J1697" s="225"/>
    </row>
    <row r="1698">
      <c r="J1698" s="225"/>
    </row>
    <row r="1699">
      <c r="J1699" s="225"/>
    </row>
    <row r="1700">
      <c r="J1700" s="225"/>
    </row>
    <row r="1701">
      <c r="J1701" s="225"/>
    </row>
    <row r="1702">
      <c r="J1702" s="225"/>
    </row>
    <row r="1703">
      <c r="J1703" s="225"/>
    </row>
    <row r="1704">
      <c r="J1704" s="225"/>
    </row>
    <row r="1705">
      <c r="J1705" s="225"/>
    </row>
    <row r="1706">
      <c r="J1706" s="225"/>
    </row>
    <row r="1707">
      <c r="J1707" s="225"/>
    </row>
    <row r="1708">
      <c r="J1708" s="225"/>
    </row>
    <row r="1709">
      <c r="J1709" s="225"/>
    </row>
    <row r="1710">
      <c r="J1710" s="225"/>
    </row>
    <row r="1711">
      <c r="J1711" s="225"/>
    </row>
    <row r="1712">
      <c r="J1712" s="225"/>
    </row>
    <row r="1713">
      <c r="J1713" s="225"/>
    </row>
    <row r="1714">
      <c r="J1714" s="225"/>
    </row>
    <row r="1715">
      <c r="J1715" s="225"/>
    </row>
    <row r="1716">
      <c r="J1716" s="225"/>
    </row>
    <row r="1717">
      <c r="J1717" s="225"/>
    </row>
    <row r="1718">
      <c r="J1718" s="225"/>
    </row>
    <row r="1719">
      <c r="J1719" s="225"/>
    </row>
    <row r="1720">
      <c r="J1720" s="225"/>
    </row>
    <row r="1721">
      <c r="J1721" s="225"/>
    </row>
    <row r="1722">
      <c r="J1722" s="225"/>
    </row>
    <row r="1723">
      <c r="J1723" s="225"/>
    </row>
    <row r="1724">
      <c r="J1724" s="225"/>
    </row>
    <row r="1725">
      <c r="J1725" s="225"/>
    </row>
    <row r="1726">
      <c r="J1726" s="225"/>
    </row>
    <row r="1727">
      <c r="J1727" s="225"/>
    </row>
    <row r="1728">
      <c r="J1728" s="225"/>
    </row>
    <row r="1729">
      <c r="J1729" s="225"/>
    </row>
    <row r="1730">
      <c r="J1730" s="225"/>
    </row>
    <row r="1731">
      <c r="J1731" s="225"/>
    </row>
    <row r="1732">
      <c r="J1732" s="225"/>
    </row>
    <row r="1733">
      <c r="J1733" s="225"/>
    </row>
    <row r="1734">
      <c r="J1734" s="225"/>
    </row>
    <row r="1735">
      <c r="J1735" s="225"/>
    </row>
    <row r="1736">
      <c r="J1736" s="225"/>
    </row>
    <row r="1737">
      <c r="J1737" s="225"/>
    </row>
    <row r="1738">
      <c r="J1738" s="225"/>
    </row>
    <row r="1739">
      <c r="J1739" s="225"/>
    </row>
    <row r="1740">
      <c r="J1740" s="225"/>
    </row>
    <row r="1741">
      <c r="J1741" s="225"/>
    </row>
    <row r="1742">
      <c r="J1742" s="225"/>
    </row>
    <row r="1743">
      <c r="J1743" s="225"/>
    </row>
    <row r="1744">
      <c r="J1744" s="225"/>
    </row>
    <row r="1745">
      <c r="J1745" s="225"/>
    </row>
    <row r="1746">
      <c r="J1746" s="225"/>
    </row>
    <row r="1747">
      <c r="J1747" s="225"/>
    </row>
    <row r="1748">
      <c r="J1748" s="225"/>
    </row>
    <row r="1749">
      <c r="J1749" s="225"/>
    </row>
    <row r="1750">
      <c r="J1750" s="225"/>
    </row>
    <row r="1751">
      <c r="J1751" s="225"/>
    </row>
    <row r="1752">
      <c r="J1752" s="225"/>
    </row>
    <row r="1753">
      <c r="J1753" s="225"/>
    </row>
    <row r="1754">
      <c r="J1754" s="225"/>
    </row>
    <row r="1755">
      <c r="J1755" s="225"/>
    </row>
    <row r="1756">
      <c r="J1756" s="225"/>
    </row>
    <row r="1757">
      <c r="J1757" s="225"/>
    </row>
    <row r="1758">
      <c r="J1758" s="225"/>
    </row>
    <row r="1759">
      <c r="J1759" s="225"/>
    </row>
    <row r="1760">
      <c r="J1760" s="225"/>
    </row>
    <row r="1761">
      <c r="J1761" s="225"/>
    </row>
    <row r="1762">
      <c r="J1762" s="225"/>
    </row>
    <row r="1763">
      <c r="J1763" s="225"/>
    </row>
    <row r="1764">
      <c r="J1764" s="225"/>
    </row>
    <row r="1765">
      <c r="J1765" s="225"/>
    </row>
    <row r="1766">
      <c r="J1766" s="225"/>
    </row>
    <row r="1767">
      <c r="J1767" s="225"/>
    </row>
    <row r="1768">
      <c r="J1768" s="225"/>
    </row>
    <row r="1769">
      <c r="J1769" s="225"/>
    </row>
    <row r="1770">
      <c r="J1770" s="225"/>
    </row>
    <row r="1771">
      <c r="J1771" s="225"/>
    </row>
    <row r="1772">
      <c r="J1772" s="225"/>
    </row>
    <row r="1773">
      <c r="J1773" s="225"/>
    </row>
    <row r="1774">
      <c r="J1774" s="225"/>
    </row>
    <row r="1775">
      <c r="J1775" s="225"/>
    </row>
    <row r="1776">
      <c r="J1776" s="225"/>
    </row>
    <row r="1777">
      <c r="J1777" s="225"/>
    </row>
    <row r="1778">
      <c r="J1778" s="225"/>
    </row>
    <row r="1779">
      <c r="J1779" s="225"/>
    </row>
    <row r="1780">
      <c r="J1780" s="225"/>
    </row>
    <row r="1781">
      <c r="J1781" s="225"/>
    </row>
    <row r="1782">
      <c r="J1782" s="225"/>
    </row>
    <row r="1783">
      <c r="J1783" s="225"/>
    </row>
    <row r="1784">
      <c r="J1784" s="225"/>
    </row>
    <row r="1785">
      <c r="J1785" s="225"/>
    </row>
    <row r="1786">
      <c r="J1786" s="225"/>
    </row>
    <row r="1787">
      <c r="J1787" s="225"/>
    </row>
    <row r="1788">
      <c r="J1788" s="225"/>
    </row>
    <row r="1789">
      <c r="J1789" s="225"/>
    </row>
    <row r="1790">
      <c r="J1790" s="225"/>
    </row>
    <row r="1791">
      <c r="J1791" s="225"/>
    </row>
    <row r="1792">
      <c r="J1792" s="225"/>
    </row>
    <row r="1793">
      <c r="J1793" s="225"/>
    </row>
    <row r="1794">
      <c r="J1794" s="225"/>
    </row>
    <row r="1795">
      <c r="J1795" s="225"/>
    </row>
    <row r="1796">
      <c r="J1796" s="225"/>
    </row>
    <row r="1797">
      <c r="J1797" s="225"/>
    </row>
    <row r="1798">
      <c r="J1798" s="225"/>
    </row>
    <row r="1799">
      <c r="J1799" s="225"/>
    </row>
    <row r="1800">
      <c r="J1800" s="225"/>
    </row>
    <row r="1801">
      <c r="J1801" s="225"/>
    </row>
    <row r="1802">
      <c r="J1802" s="225"/>
    </row>
    <row r="1803">
      <c r="J1803" s="225"/>
    </row>
    <row r="1804">
      <c r="J1804" s="225"/>
    </row>
    <row r="1805">
      <c r="J1805" s="225"/>
    </row>
    <row r="1806">
      <c r="J1806" s="225"/>
    </row>
    <row r="1807">
      <c r="J1807" s="225"/>
    </row>
    <row r="1808">
      <c r="J1808" s="225"/>
    </row>
    <row r="1809">
      <c r="J1809" s="225"/>
    </row>
    <row r="1810">
      <c r="J1810" s="225"/>
    </row>
    <row r="1811">
      <c r="J1811" s="225"/>
    </row>
    <row r="1812">
      <c r="J1812" s="225"/>
    </row>
    <row r="1813">
      <c r="J1813" s="225"/>
    </row>
    <row r="1814">
      <c r="J1814" s="225"/>
    </row>
    <row r="1815">
      <c r="J1815" s="225"/>
    </row>
    <row r="1816">
      <c r="J1816" s="225"/>
    </row>
    <row r="1817">
      <c r="J1817" s="225"/>
    </row>
    <row r="1818">
      <c r="J1818" s="225"/>
    </row>
    <row r="1819">
      <c r="J1819" s="225"/>
    </row>
    <row r="1820">
      <c r="J1820" s="225"/>
    </row>
    <row r="1821">
      <c r="J1821" s="225"/>
    </row>
    <row r="1822">
      <c r="J1822" s="225"/>
    </row>
    <row r="1823">
      <c r="J1823" s="225"/>
    </row>
    <row r="1824">
      <c r="J1824" s="225"/>
    </row>
    <row r="1825">
      <c r="J1825" s="225"/>
    </row>
    <row r="1826">
      <c r="J1826" s="225"/>
    </row>
    <row r="1827">
      <c r="J1827" s="225"/>
    </row>
    <row r="1828">
      <c r="J1828" s="225"/>
    </row>
    <row r="1829">
      <c r="J1829" s="225"/>
    </row>
    <row r="1830">
      <c r="J1830" s="225"/>
    </row>
    <row r="1831">
      <c r="J1831" s="225"/>
    </row>
    <row r="1832">
      <c r="J1832" s="225"/>
    </row>
    <row r="1833">
      <c r="J1833" s="225"/>
    </row>
    <row r="1834">
      <c r="J1834" s="225"/>
    </row>
    <row r="1835">
      <c r="J1835" s="225"/>
    </row>
    <row r="1836">
      <c r="J1836" s="225"/>
    </row>
    <row r="1837">
      <c r="J1837" s="225"/>
    </row>
    <row r="1838">
      <c r="J1838" s="225"/>
    </row>
    <row r="1839">
      <c r="J1839" s="225"/>
    </row>
    <row r="1840">
      <c r="J1840" s="225"/>
    </row>
    <row r="1841">
      <c r="J1841" s="225"/>
    </row>
    <row r="1842">
      <c r="J1842" s="225"/>
    </row>
    <row r="1843">
      <c r="J1843" s="225"/>
    </row>
    <row r="1844">
      <c r="J1844" s="225"/>
    </row>
    <row r="1845">
      <c r="J1845" s="225"/>
    </row>
    <row r="1846">
      <c r="J1846" s="225"/>
    </row>
    <row r="1847">
      <c r="J1847" s="225"/>
    </row>
    <row r="1848">
      <c r="J1848" s="225"/>
    </row>
    <row r="1849">
      <c r="J1849" s="225"/>
    </row>
    <row r="1850">
      <c r="J1850" s="225"/>
    </row>
    <row r="1851">
      <c r="J1851" s="225"/>
    </row>
    <row r="1852">
      <c r="J1852" s="225"/>
    </row>
    <row r="1853">
      <c r="J1853" s="225"/>
    </row>
    <row r="1854">
      <c r="J1854" s="225"/>
    </row>
    <row r="1855">
      <c r="J1855" s="225"/>
    </row>
    <row r="1856">
      <c r="J1856" s="225"/>
    </row>
    <row r="1857">
      <c r="J1857" s="225"/>
    </row>
    <row r="1858">
      <c r="J1858" s="225"/>
    </row>
    <row r="1859">
      <c r="J1859" s="225"/>
    </row>
    <row r="1860">
      <c r="J1860" s="225"/>
    </row>
    <row r="1861">
      <c r="J1861" s="225"/>
    </row>
    <row r="1862">
      <c r="J1862" s="225"/>
    </row>
    <row r="1863">
      <c r="J1863" s="225"/>
    </row>
    <row r="1864">
      <c r="J1864" s="225"/>
    </row>
    <row r="1865">
      <c r="J1865" s="225"/>
    </row>
    <row r="1866">
      <c r="J1866" s="225"/>
    </row>
    <row r="1867">
      <c r="J1867" s="225"/>
    </row>
    <row r="1868">
      <c r="J1868" s="225"/>
    </row>
    <row r="1869">
      <c r="J1869" s="225"/>
    </row>
    <row r="1870">
      <c r="J1870" s="225"/>
    </row>
    <row r="1871">
      <c r="J1871" s="225"/>
    </row>
    <row r="1872">
      <c r="J1872" s="225"/>
    </row>
    <row r="1873">
      <c r="J1873" s="225"/>
    </row>
    <row r="1874">
      <c r="J1874" s="225"/>
    </row>
    <row r="1875">
      <c r="J1875" s="225"/>
    </row>
    <row r="1876">
      <c r="J1876" s="225"/>
    </row>
    <row r="1877">
      <c r="J1877" s="225"/>
    </row>
    <row r="1878">
      <c r="J1878" s="225"/>
    </row>
    <row r="1879">
      <c r="J1879" s="225"/>
    </row>
    <row r="1880">
      <c r="J1880" s="225"/>
    </row>
    <row r="1881">
      <c r="J1881" s="225"/>
    </row>
    <row r="1882">
      <c r="J1882" s="225"/>
    </row>
    <row r="1883">
      <c r="J1883" s="225"/>
    </row>
    <row r="1884">
      <c r="J1884" s="225"/>
    </row>
    <row r="1885">
      <c r="J1885" s="225"/>
    </row>
    <row r="1886">
      <c r="J1886" s="225"/>
    </row>
    <row r="1887">
      <c r="J1887" s="225"/>
    </row>
    <row r="1888">
      <c r="J1888" s="225"/>
    </row>
    <row r="1889">
      <c r="J1889" s="225"/>
    </row>
    <row r="1890">
      <c r="J1890" s="225"/>
    </row>
    <row r="1891">
      <c r="J1891" s="225"/>
    </row>
    <row r="1892">
      <c r="J1892" s="225"/>
    </row>
    <row r="1893">
      <c r="J1893" s="225"/>
    </row>
    <row r="1894">
      <c r="J1894" s="225"/>
    </row>
    <row r="1895">
      <c r="J1895" s="225"/>
    </row>
    <row r="1896">
      <c r="J1896" s="225"/>
    </row>
    <row r="1897">
      <c r="J1897" s="225"/>
    </row>
    <row r="1898">
      <c r="J1898" s="225"/>
    </row>
    <row r="1899">
      <c r="J1899" s="225"/>
    </row>
    <row r="1900">
      <c r="J1900" s="225"/>
    </row>
    <row r="1901">
      <c r="J1901" s="225"/>
    </row>
    <row r="1902">
      <c r="J1902" s="225"/>
    </row>
    <row r="1903">
      <c r="J1903" s="225"/>
    </row>
    <row r="1904">
      <c r="J1904" s="225"/>
    </row>
    <row r="1905">
      <c r="J1905" s="225"/>
    </row>
    <row r="1906">
      <c r="J1906" s="225"/>
    </row>
    <row r="1907">
      <c r="J1907" s="225"/>
    </row>
    <row r="1908">
      <c r="J1908" s="225"/>
    </row>
    <row r="1909">
      <c r="J1909" s="225"/>
    </row>
    <row r="1910">
      <c r="J1910" s="225"/>
    </row>
    <row r="1911">
      <c r="J1911" s="225"/>
    </row>
    <row r="1912">
      <c r="J1912" s="225"/>
    </row>
    <row r="1913">
      <c r="J1913" s="225"/>
    </row>
    <row r="1914">
      <c r="J1914" s="225"/>
    </row>
    <row r="1915">
      <c r="J1915" s="225"/>
    </row>
    <row r="1916">
      <c r="J1916" s="225"/>
    </row>
    <row r="1917">
      <c r="J1917" s="225"/>
    </row>
    <row r="1918">
      <c r="J1918" s="225"/>
    </row>
    <row r="1919">
      <c r="J1919" s="225"/>
    </row>
    <row r="1920">
      <c r="J1920" s="225"/>
    </row>
    <row r="1921">
      <c r="J1921" s="225"/>
    </row>
    <row r="1922">
      <c r="J1922" s="225"/>
    </row>
    <row r="1923">
      <c r="J1923" s="225"/>
    </row>
    <row r="1924">
      <c r="J1924" s="225"/>
    </row>
    <row r="1925">
      <c r="J1925" s="225"/>
    </row>
    <row r="1926">
      <c r="J1926" s="225"/>
    </row>
    <row r="1927">
      <c r="J1927" s="225"/>
    </row>
    <row r="1928">
      <c r="J1928" s="225"/>
    </row>
    <row r="1929">
      <c r="J1929" s="225"/>
    </row>
    <row r="1930">
      <c r="J1930" s="225"/>
    </row>
    <row r="1931">
      <c r="J1931" s="225"/>
    </row>
    <row r="1932">
      <c r="J1932" s="225"/>
    </row>
    <row r="1933">
      <c r="J1933" s="225"/>
    </row>
    <row r="1934">
      <c r="J1934" s="225"/>
    </row>
    <row r="1935">
      <c r="J1935" s="225"/>
    </row>
    <row r="1936">
      <c r="J1936" s="225"/>
    </row>
    <row r="1937">
      <c r="J1937" s="225"/>
    </row>
    <row r="1938">
      <c r="J1938" s="225"/>
    </row>
    <row r="1939">
      <c r="J1939" s="225"/>
    </row>
    <row r="1940">
      <c r="J1940" s="225"/>
    </row>
    <row r="1941">
      <c r="J1941" s="225"/>
    </row>
    <row r="1942">
      <c r="J1942" s="225"/>
    </row>
    <row r="1943">
      <c r="J1943" s="225"/>
    </row>
    <row r="1944">
      <c r="J1944" s="225"/>
    </row>
    <row r="1945">
      <c r="J1945" s="225"/>
    </row>
    <row r="1946">
      <c r="J1946" s="225"/>
    </row>
    <row r="1947">
      <c r="J1947" s="225"/>
    </row>
    <row r="1948">
      <c r="J1948" s="225"/>
    </row>
    <row r="1949">
      <c r="J1949" s="225"/>
    </row>
    <row r="1950">
      <c r="J1950" s="225"/>
    </row>
    <row r="1951">
      <c r="J1951" s="225"/>
    </row>
    <row r="1952">
      <c r="J1952" s="225"/>
    </row>
    <row r="1953">
      <c r="J1953" s="225"/>
    </row>
    <row r="1954">
      <c r="J1954" s="225"/>
    </row>
    <row r="1955">
      <c r="J1955" s="225"/>
    </row>
    <row r="1956">
      <c r="J1956" s="225"/>
    </row>
    <row r="1957">
      <c r="J1957" s="225"/>
    </row>
    <row r="1958">
      <c r="J1958" s="225"/>
    </row>
    <row r="1959">
      <c r="J1959" s="225"/>
    </row>
    <row r="1960">
      <c r="J1960" s="225"/>
    </row>
    <row r="1961">
      <c r="J1961" s="225"/>
    </row>
    <row r="1962">
      <c r="J1962" s="225"/>
    </row>
    <row r="1963">
      <c r="J1963" s="225"/>
    </row>
    <row r="1964">
      <c r="J1964" s="225"/>
    </row>
    <row r="1965">
      <c r="J1965" s="225"/>
    </row>
    <row r="1966">
      <c r="J1966" s="225"/>
    </row>
    <row r="1967">
      <c r="J1967" s="225"/>
    </row>
    <row r="1968">
      <c r="J1968" s="225"/>
    </row>
    <row r="1969">
      <c r="J1969" s="225"/>
    </row>
    <row r="1970">
      <c r="J1970" s="225"/>
    </row>
    <row r="1971">
      <c r="J1971" s="225"/>
    </row>
    <row r="1972">
      <c r="J1972" s="225"/>
    </row>
    <row r="1973">
      <c r="J1973" s="225"/>
    </row>
    <row r="1974">
      <c r="J1974" s="225"/>
    </row>
    <row r="1975">
      <c r="J1975" s="225"/>
    </row>
    <row r="1976">
      <c r="J1976" s="225"/>
    </row>
    <row r="1977">
      <c r="J1977" s="225"/>
    </row>
    <row r="1978">
      <c r="J1978" s="225"/>
    </row>
    <row r="1979">
      <c r="J1979" s="225"/>
    </row>
    <row r="1980">
      <c r="J1980" s="225"/>
    </row>
    <row r="1981">
      <c r="J1981" s="225"/>
    </row>
    <row r="1982">
      <c r="J1982" s="225"/>
    </row>
    <row r="1983">
      <c r="J1983" s="225"/>
    </row>
    <row r="1984">
      <c r="J1984" s="225"/>
    </row>
    <row r="1985">
      <c r="J1985" s="225"/>
    </row>
    <row r="1986">
      <c r="J1986" s="225"/>
    </row>
    <row r="1987">
      <c r="J1987" s="225"/>
    </row>
    <row r="1988">
      <c r="J1988" s="225"/>
    </row>
    <row r="1989">
      <c r="J1989" s="225"/>
    </row>
    <row r="1990">
      <c r="J1990" s="225"/>
    </row>
    <row r="1991">
      <c r="J1991" s="225"/>
    </row>
    <row r="1992">
      <c r="J1992" s="225"/>
    </row>
    <row r="1993">
      <c r="J1993" s="225"/>
    </row>
    <row r="1994">
      <c r="J1994" s="225"/>
    </row>
    <row r="1995">
      <c r="J1995" s="225"/>
    </row>
    <row r="1996">
      <c r="J1996" s="225"/>
    </row>
    <row r="1997">
      <c r="J1997" s="225"/>
    </row>
    <row r="1998">
      <c r="J1998" s="225"/>
    </row>
    <row r="1999">
      <c r="J1999" s="225"/>
    </row>
    <row r="2000">
      <c r="J2000" s="225"/>
    </row>
    <row r="2001">
      <c r="J2001" s="225"/>
    </row>
    <row r="2002">
      <c r="J2002" s="225"/>
    </row>
    <row r="2003">
      <c r="J2003" s="225"/>
    </row>
    <row r="2004">
      <c r="J2004" s="225"/>
    </row>
    <row r="2005">
      <c r="J2005" s="225"/>
    </row>
    <row r="2006">
      <c r="J2006" s="225"/>
    </row>
    <row r="2007">
      <c r="J2007" s="225"/>
    </row>
    <row r="2008">
      <c r="J2008" s="225"/>
    </row>
    <row r="2009">
      <c r="J2009" s="225"/>
    </row>
    <row r="2010">
      <c r="J2010" s="225"/>
    </row>
    <row r="2011">
      <c r="J2011" s="225"/>
    </row>
    <row r="2012">
      <c r="J2012" s="225"/>
    </row>
    <row r="2013">
      <c r="J2013" s="225"/>
    </row>
    <row r="2014">
      <c r="J2014" s="225"/>
    </row>
    <row r="2015">
      <c r="J2015" s="225"/>
    </row>
    <row r="2016">
      <c r="J2016" s="225"/>
    </row>
    <row r="2017">
      <c r="J2017" s="225"/>
    </row>
    <row r="2018">
      <c r="J2018" s="225"/>
    </row>
    <row r="2019">
      <c r="J2019" s="225"/>
    </row>
    <row r="2020">
      <c r="J2020" s="225"/>
    </row>
    <row r="2021">
      <c r="J2021" s="225"/>
    </row>
    <row r="2022">
      <c r="J2022" s="225"/>
    </row>
    <row r="2023">
      <c r="J2023" s="225"/>
    </row>
    <row r="2024">
      <c r="J2024" s="225"/>
    </row>
    <row r="2025">
      <c r="J2025" s="225"/>
    </row>
    <row r="2026">
      <c r="J2026" s="225"/>
    </row>
    <row r="2027">
      <c r="J2027" s="225"/>
    </row>
    <row r="2028">
      <c r="J2028" s="225"/>
    </row>
    <row r="2029">
      <c r="J2029" s="225"/>
    </row>
    <row r="2030">
      <c r="J2030" s="225"/>
    </row>
    <row r="2031">
      <c r="J2031" s="225"/>
    </row>
    <row r="2032">
      <c r="J2032" s="225"/>
    </row>
    <row r="2033">
      <c r="J2033" s="225"/>
    </row>
    <row r="2034">
      <c r="J2034" s="225"/>
    </row>
    <row r="2035">
      <c r="J2035" s="225"/>
    </row>
    <row r="2036">
      <c r="J2036" s="225"/>
    </row>
    <row r="2037">
      <c r="J2037" s="225"/>
    </row>
    <row r="2038">
      <c r="J2038" s="225"/>
    </row>
    <row r="2039">
      <c r="J2039" s="225"/>
    </row>
    <row r="2040">
      <c r="J2040" s="225"/>
    </row>
    <row r="2041">
      <c r="J2041" s="225"/>
    </row>
    <row r="2042">
      <c r="J2042" s="225"/>
    </row>
    <row r="2043">
      <c r="J2043" s="225"/>
    </row>
    <row r="2044">
      <c r="J2044" s="225"/>
    </row>
    <row r="2045">
      <c r="J2045" s="225"/>
    </row>
    <row r="2046">
      <c r="J2046" s="225"/>
    </row>
    <row r="2047">
      <c r="J2047" s="225"/>
    </row>
    <row r="2048">
      <c r="J2048" s="225"/>
    </row>
    <row r="2049">
      <c r="J2049" s="225"/>
    </row>
    <row r="2050">
      <c r="J2050" s="225"/>
    </row>
    <row r="2051">
      <c r="J2051" s="225"/>
    </row>
    <row r="2052">
      <c r="J2052" s="225"/>
    </row>
    <row r="2053">
      <c r="J2053" s="225"/>
    </row>
    <row r="2054">
      <c r="J2054" s="225"/>
    </row>
    <row r="2055">
      <c r="J2055" s="225"/>
    </row>
    <row r="2056">
      <c r="J2056" s="225"/>
    </row>
    <row r="2057">
      <c r="J2057" s="225"/>
    </row>
    <row r="2058">
      <c r="J2058" s="225"/>
    </row>
    <row r="2059">
      <c r="J2059" s="225"/>
    </row>
    <row r="2060">
      <c r="J2060" s="225"/>
    </row>
    <row r="2061">
      <c r="J2061" s="225"/>
    </row>
    <row r="2062">
      <c r="J2062" s="225"/>
    </row>
    <row r="2063">
      <c r="J2063" s="225"/>
    </row>
    <row r="2064">
      <c r="J2064" s="225"/>
    </row>
    <row r="2065">
      <c r="J2065" s="225"/>
    </row>
    <row r="2066">
      <c r="J2066" s="225"/>
    </row>
    <row r="2067">
      <c r="J2067" s="225"/>
    </row>
    <row r="2068">
      <c r="J2068" s="225"/>
    </row>
    <row r="2069">
      <c r="J2069" s="225"/>
    </row>
    <row r="2070">
      <c r="J2070" s="225"/>
    </row>
    <row r="2071">
      <c r="J2071" s="225"/>
    </row>
    <row r="2072">
      <c r="J2072" s="225"/>
    </row>
    <row r="2073">
      <c r="J2073" s="225"/>
    </row>
    <row r="2074">
      <c r="J2074" s="225"/>
    </row>
    <row r="2075">
      <c r="J2075" s="225"/>
    </row>
    <row r="2076">
      <c r="J2076" s="225"/>
    </row>
    <row r="2077">
      <c r="J2077" s="225"/>
    </row>
    <row r="2078">
      <c r="J2078" s="225"/>
    </row>
    <row r="2079">
      <c r="J2079" s="225"/>
    </row>
    <row r="2080">
      <c r="J2080" s="225"/>
    </row>
    <row r="2081">
      <c r="J2081" s="225"/>
    </row>
    <row r="2082">
      <c r="J2082" s="225"/>
    </row>
    <row r="2083">
      <c r="J2083" s="225"/>
    </row>
    <row r="2084">
      <c r="J2084" s="225"/>
    </row>
    <row r="2085">
      <c r="J2085" s="225"/>
    </row>
    <row r="2086">
      <c r="J2086" s="225"/>
    </row>
    <row r="2087">
      <c r="J2087" s="225"/>
    </row>
    <row r="2088">
      <c r="J2088" s="225"/>
    </row>
    <row r="2089">
      <c r="J2089" s="225"/>
    </row>
    <row r="2090">
      <c r="J2090" s="225"/>
    </row>
    <row r="2091">
      <c r="J2091" s="225"/>
    </row>
    <row r="2092">
      <c r="J2092" s="225"/>
    </row>
    <row r="2093">
      <c r="J2093" s="225"/>
    </row>
    <row r="2094">
      <c r="J2094" s="225"/>
    </row>
    <row r="2095">
      <c r="J2095" s="225"/>
    </row>
    <row r="2096">
      <c r="J2096" s="225"/>
    </row>
    <row r="2097">
      <c r="J2097" s="225"/>
    </row>
    <row r="2098">
      <c r="J2098" s="225"/>
    </row>
    <row r="2099">
      <c r="J2099" s="225"/>
    </row>
    <row r="2100">
      <c r="J2100" s="225"/>
    </row>
    <row r="2101">
      <c r="J2101" s="225"/>
    </row>
    <row r="2102">
      <c r="J2102" s="225"/>
    </row>
    <row r="2103">
      <c r="J2103" s="225"/>
    </row>
    <row r="2104">
      <c r="J2104" s="225"/>
    </row>
    <row r="2105">
      <c r="J2105" s="225"/>
    </row>
    <row r="2106">
      <c r="J2106" s="225"/>
    </row>
    <row r="2107">
      <c r="J2107" s="225"/>
    </row>
    <row r="2108">
      <c r="J2108" s="225"/>
    </row>
    <row r="2109">
      <c r="J2109" s="225"/>
    </row>
    <row r="2110">
      <c r="J2110" s="225"/>
    </row>
    <row r="2111">
      <c r="J2111" s="225"/>
    </row>
    <row r="2112">
      <c r="J2112" s="225"/>
    </row>
    <row r="2113">
      <c r="J2113" s="225"/>
    </row>
    <row r="2114">
      <c r="J2114" s="225"/>
    </row>
    <row r="2115">
      <c r="J2115" s="225"/>
    </row>
    <row r="2116">
      <c r="J2116" s="225"/>
    </row>
    <row r="2117">
      <c r="J2117" s="225"/>
    </row>
    <row r="2118">
      <c r="J2118" s="225"/>
    </row>
    <row r="2119">
      <c r="J2119" s="225"/>
    </row>
    <row r="2120">
      <c r="J2120" s="225"/>
    </row>
    <row r="2121">
      <c r="J2121" s="225"/>
    </row>
    <row r="2122">
      <c r="J2122" s="225"/>
    </row>
    <row r="2123">
      <c r="J2123" s="225"/>
    </row>
    <row r="2124">
      <c r="J2124" s="225"/>
    </row>
    <row r="2125">
      <c r="J2125" s="225"/>
    </row>
    <row r="2126">
      <c r="J2126" s="225"/>
    </row>
    <row r="2127">
      <c r="J2127" s="225"/>
    </row>
    <row r="2128">
      <c r="J2128" s="225"/>
    </row>
    <row r="2129">
      <c r="J2129" s="225"/>
    </row>
    <row r="2130">
      <c r="J2130" s="225"/>
    </row>
    <row r="2131">
      <c r="J2131" s="225"/>
    </row>
    <row r="2132">
      <c r="J2132" s="225"/>
    </row>
    <row r="2133">
      <c r="J2133" s="225"/>
    </row>
    <row r="2134">
      <c r="J2134" s="225"/>
    </row>
    <row r="2135">
      <c r="J2135" s="225"/>
    </row>
    <row r="2136">
      <c r="J2136" s="225"/>
    </row>
    <row r="2137">
      <c r="J2137" s="225"/>
    </row>
    <row r="2138">
      <c r="J2138" s="225"/>
    </row>
    <row r="2139">
      <c r="J2139" s="225"/>
    </row>
    <row r="2140">
      <c r="J2140" s="225"/>
    </row>
    <row r="2141">
      <c r="J2141" s="225"/>
    </row>
    <row r="2142">
      <c r="J2142" s="225"/>
    </row>
    <row r="2143">
      <c r="J2143" s="225"/>
    </row>
    <row r="2144">
      <c r="J2144" s="225"/>
    </row>
    <row r="2145">
      <c r="J2145" s="225"/>
    </row>
    <row r="2146">
      <c r="J2146" s="225"/>
    </row>
    <row r="2147">
      <c r="J2147" s="225"/>
    </row>
    <row r="2148">
      <c r="J2148" s="225"/>
    </row>
    <row r="2149">
      <c r="J2149" s="225"/>
    </row>
    <row r="2150">
      <c r="J2150" s="225"/>
    </row>
    <row r="2151">
      <c r="J2151" s="225"/>
    </row>
    <row r="2152">
      <c r="J2152" s="225"/>
    </row>
    <row r="2153">
      <c r="J2153" s="225"/>
    </row>
    <row r="2154">
      <c r="J2154" s="225"/>
    </row>
    <row r="2155">
      <c r="J2155" s="225"/>
    </row>
    <row r="2156">
      <c r="J2156" s="225"/>
    </row>
    <row r="2157">
      <c r="J2157" s="225"/>
    </row>
    <row r="2158">
      <c r="J2158" s="225"/>
    </row>
    <row r="2159">
      <c r="J2159" s="225"/>
    </row>
    <row r="2160">
      <c r="J2160" s="225"/>
    </row>
    <row r="2161">
      <c r="J2161" s="225"/>
    </row>
    <row r="2162">
      <c r="J2162" s="225"/>
    </row>
    <row r="2163">
      <c r="J2163" s="225"/>
    </row>
    <row r="2164">
      <c r="J2164" s="225"/>
    </row>
    <row r="2165">
      <c r="J2165" s="225"/>
    </row>
    <row r="2166">
      <c r="J2166" s="225"/>
    </row>
    <row r="2167">
      <c r="J2167" s="225"/>
    </row>
    <row r="2168">
      <c r="J2168" s="225"/>
    </row>
    <row r="2169">
      <c r="J2169" s="225"/>
    </row>
    <row r="2170">
      <c r="J2170" s="225"/>
    </row>
    <row r="2171">
      <c r="J2171" s="225"/>
    </row>
    <row r="2172">
      <c r="J2172" s="225"/>
    </row>
    <row r="2173">
      <c r="J2173" s="225"/>
    </row>
    <row r="2174">
      <c r="J2174" s="225"/>
    </row>
    <row r="2175">
      <c r="J2175" s="225"/>
    </row>
    <row r="2176">
      <c r="J2176" s="225"/>
    </row>
    <row r="2177">
      <c r="J2177" s="225"/>
    </row>
    <row r="2178">
      <c r="J2178" s="225"/>
    </row>
    <row r="2179">
      <c r="J2179" s="225"/>
    </row>
    <row r="2180">
      <c r="J2180" s="225"/>
    </row>
    <row r="2181">
      <c r="J2181" s="225"/>
    </row>
    <row r="2182">
      <c r="J2182" s="225"/>
    </row>
    <row r="2183">
      <c r="J2183" s="225"/>
    </row>
    <row r="2184">
      <c r="J2184" s="225"/>
    </row>
    <row r="2185">
      <c r="J2185" s="225"/>
    </row>
    <row r="2186">
      <c r="J2186" s="225"/>
    </row>
    <row r="2187">
      <c r="J2187" s="225"/>
    </row>
    <row r="2188">
      <c r="J2188" s="225"/>
    </row>
    <row r="2189">
      <c r="J2189" s="225"/>
    </row>
    <row r="2190">
      <c r="J2190" s="225"/>
    </row>
    <row r="2191">
      <c r="J2191" s="225"/>
    </row>
    <row r="2192">
      <c r="J2192" s="225"/>
    </row>
    <row r="2193">
      <c r="J2193" s="225"/>
    </row>
    <row r="2194">
      <c r="J2194" s="225"/>
    </row>
    <row r="2195">
      <c r="J2195" s="225"/>
    </row>
    <row r="2196">
      <c r="J2196" s="225"/>
    </row>
    <row r="2197">
      <c r="J2197" s="225"/>
    </row>
    <row r="2198">
      <c r="J2198" s="225"/>
    </row>
    <row r="2199">
      <c r="J2199" s="225"/>
    </row>
    <row r="2200">
      <c r="J2200" s="225"/>
    </row>
    <row r="2201">
      <c r="J2201" s="225"/>
    </row>
    <row r="2202">
      <c r="J2202" s="225"/>
    </row>
    <row r="2203">
      <c r="J2203" s="225"/>
    </row>
    <row r="2204">
      <c r="J2204" s="225"/>
    </row>
    <row r="2205">
      <c r="J2205" s="225"/>
    </row>
    <row r="2206">
      <c r="J2206" s="225"/>
    </row>
    <row r="2207">
      <c r="J2207" s="225"/>
    </row>
    <row r="2208">
      <c r="J2208" s="225"/>
    </row>
    <row r="2209">
      <c r="J2209" s="225"/>
    </row>
    <row r="2210">
      <c r="J2210" s="225"/>
    </row>
    <row r="2211">
      <c r="J2211" s="225"/>
    </row>
    <row r="2212">
      <c r="J2212" s="225"/>
    </row>
    <row r="2213">
      <c r="J2213" s="225"/>
    </row>
    <row r="2214">
      <c r="J2214" s="225"/>
    </row>
    <row r="2215">
      <c r="J2215" s="225"/>
    </row>
    <row r="2216">
      <c r="J2216" s="225"/>
    </row>
    <row r="2217">
      <c r="J2217" s="225"/>
    </row>
    <row r="2218">
      <c r="J2218" s="225"/>
    </row>
    <row r="2219">
      <c r="J2219" s="225"/>
    </row>
    <row r="2220">
      <c r="J2220" s="225"/>
    </row>
    <row r="2221">
      <c r="J2221" s="225"/>
    </row>
    <row r="2222">
      <c r="J2222" s="225"/>
    </row>
    <row r="2223">
      <c r="J2223" s="225"/>
    </row>
    <row r="2224">
      <c r="J2224" s="225"/>
    </row>
    <row r="2225">
      <c r="J2225" s="225"/>
    </row>
    <row r="2226">
      <c r="J2226" s="225"/>
    </row>
    <row r="2227">
      <c r="J2227" s="225"/>
    </row>
    <row r="2228">
      <c r="J2228" s="225"/>
    </row>
    <row r="2229">
      <c r="J2229" s="225"/>
    </row>
    <row r="2230">
      <c r="J2230" s="225"/>
    </row>
    <row r="2231">
      <c r="J2231" s="225"/>
    </row>
    <row r="2232">
      <c r="J2232" s="225"/>
    </row>
    <row r="2233">
      <c r="J2233" s="225"/>
    </row>
    <row r="2234">
      <c r="J2234" s="225"/>
    </row>
    <row r="2235">
      <c r="J2235" s="225"/>
    </row>
    <row r="2236">
      <c r="J2236" s="225"/>
    </row>
    <row r="2237">
      <c r="J2237" s="225"/>
    </row>
    <row r="2238">
      <c r="J2238" s="225"/>
    </row>
    <row r="2239">
      <c r="J2239" s="225"/>
    </row>
    <row r="2240">
      <c r="J2240" s="225"/>
    </row>
    <row r="2241">
      <c r="J2241" s="225"/>
    </row>
    <row r="2242">
      <c r="J2242" s="225"/>
    </row>
    <row r="2243">
      <c r="J2243" s="225"/>
    </row>
    <row r="2244">
      <c r="J2244" s="225"/>
    </row>
    <row r="2245">
      <c r="J2245" s="225"/>
    </row>
    <row r="2246">
      <c r="J2246" s="225"/>
    </row>
    <row r="2247">
      <c r="J2247" s="225"/>
    </row>
    <row r="2248">
      <c r="J2248" s="225"/>
    </row>
    <row r="2249">
      <c r="J2249" s="225"/>
    </row>
    <row r="2250">
      <c r="J2250" s="225"/>
    </row>
    <row r="2251">
      <c r="J2251" s="225"/>
    </row>
    <row r="2252">
      <c r="J2252" s="225"/>
    </row>
    <row r="2253">
      <c r="J2253" s="225"/>
    </row>
    <row r="2254">
      <c r="J2254" s="225"/>
    </row>
    <row r="2255">
      <c r="J2255" s="225"/>
    </row>
    <row r="2256">
      <c r="J2256" s="225"/>
    </row>
    <row r="2257">
      <c r="J2257" s="225"/>
    </row>
    <row r="2258">
      <c r="J2258" s="225"/>
    </row>
    <row r="2259">
      <c r="J2259" s="225"/>
    </row>
    <row r="2260">
      <c r="J2260" s="225"/>
    </row>
    <row r="2261">
      <c r="J2261" s="225"/>
    </row>
    <row r="2262">
      <c r="J2262" s="225"/>
    </row>
    <row r="2263">
      <c r="J2263" s="225"/>
    </row>
    <row r="2264">
      <c r="J2264" s="225"/>
    </row>
    <row r="2265">
      <c r="J2265" s="225"/>
    </row>
    <row r="2266">
      <c r="J2266" s="225"/>
    </row>
    <row r="2267">
      <c r="J2267" s="225"/>
    </row>
    <row r="2268">
      <c r="J2268" s="225"/>
    </row>
    <row r="2269">
      <c r="J2269" s="225"/>
    </row>
    <row r="2270">
      <c r="J2270" s="225"/>
    </row>
    <row r="2271">
      <c r="J2271" s="225"/>
    </row>
    <row r="2272">
      <c r="J2272" s="225"/>
    </row>
    <row r="2273">
      <c r="J2273" s="225"/>
    </row>
    <row r="2274">
      <c r="J2274" s="225"/>
    </row>
    <row r="2275">
      <c r="J2275" s="225"/>
    </row>
    <row r="2276">
      <c r="J2276" s="225"/>
    </row>
    <row r="2277">
      <c r="J2277" s="225"/>
    </row>
    <row r="2278">
      <c r="J2278" s="225"/>
    </row>
    <row r="2279">
      <c r="J2279" s="225"/>
    </row>
    <row r="2280">
      <c r="J2280" s="225"/>
    </row>
    <row r="2281">
      <c r="J2281" s="225"/>
    </row>
    <row r="2282">
      <c r="J2282" s="225"/>
    </row>
    <row r="2283">
      <c r="J2283" s="225"/>
    </row>
    <row r="2284">
      <c r="J2284" s="225"/>
    </row>
    <row r="2285">
      <c r="J2285" s="225"/>
    </row>
    <row r="2286">
      <c r="J2286" s="225"/>
    </row>
    <row r="2287">
      <c r="J2287" s="225"/>
    </row>
    <row r="2288">
      <c r="J2288" s="225"/>
    </row>
    <row r="2289">
      <c r="J2289" s="225"/>
    </row>
    <row r="2290">
      <c r="J2290" s="225"/>
    </row>
    <row r="2291">
      <c r="J2291" s="225"/>
    </row>
    <row r="2292">
      <c r="J2292" s="225"/>
    </row>
    <row r="2293">
      <c r="J2293" s="225"/>
    </row>
    <row r="2294">
      <c r="J2294" s="225"/>
    </row>
    <row r="2295">
      <c r="J2295" s="225"/>
    </row>
    <row r="2296">
      <c r="J2296" s="225"/>
    </row>
    <row r="2297">
      <c r="J2297" s="225"/>
    </row>
    <row r="2298">
      <c r="J2298" s="225"/>
    </row>
    <row r="2299">
      <c r="J2299" s="225"/>
    </row>
    <row r="2300">
      <c r="J2300" s="225"/>
    </row>
    <row r="2301">
      <c r="J2301" s="225"/>
    </row>
    <row r="2302">
      <c r="J2302" s="225"/>
    </row>
    <row r="2303">
      <c r="J2303" s="225"/>
    </row>
    <row r="2304">
      <c r="J2304" s="225"/>
    </row>
    <row r="2305">
      <c r="J2305" s="225"/>
    </row>
    <row r="2306">
      <c r="J2306" s="225"/>
    </row>
    <row r="2307">
      <c r="J2307" s="225"/>
    </row>
    <row r="2308">
      <c r="J2308" s="225"/>
    </row>
    <row r="2309">
      <c r="J2309" s="225"/>
    </row>
    <row r="2310">
      <c r="J2310" s="225"/>
    </row>
    <row r="2311">
      <c r="J2311" s="225"/>
    </row>
    <row r="2312">
      <c r="J2312" s="225"/>
    </row>
    <row r="2313">
      <c r="J2313" s="225"/>
    </row>
    <row r="2314">
      <c r="J2314" s="225"/>
    </row>
    <row r="2315">
      <c r="J2315" s="225"/>
    </row>
    <row r="2316">
      <c r="J2316" s="225"/>
    </row>
    <row r="2317">
      <c r="J2317" s="225"/>
    </row>
    <row r="2318">
      <c r="J2318" s="225"/>
    </row>
    <row r="2319">
      <c r="J2319" s="225"/>
    </row>
    <row r="2320">
      <c r="J2320" s="225"/>
    </row>
    <row r="2321">
      <c r="J2321" s="225"/>
    </row>
    <row r="2322">
      <c r="J2322" s="225"/>
    </row>
    <row r="2323">
      <c r="J2323" s="225"/>
    </row>
    <row r="2324">
      <c r="J2324" s="225"/>
    </row>
    <row r="2325">
      <c r="J2325" s="225"/>
    </row>
    <row r="2326">
      <c r="J2326" s="225"/>
    </row>
    <row r="2327">
      <c r="J2327" s="225"/>
    </row>
    <row r="2328">
      <c r="J2328" s="225"/>
    </row>
    <row r="2329">
      <c r="J2329" s="225"/>
    </row>
    <row r="2330">
      <c r="J2330" s="225"/>
    </row>
    <row r="2331">
      <c r="J2331" s="225"/>
    </row>
    <row r="2332">
      <c r="J2332" s="225"/>
    </row>
    <row r="2333">
      <c r="J2333" s="225"/>
    </row>
    <row r="2334">
      <c r="J2334" s="225"/>
    </row>
    <row r="2335">
      <c r="J2335" s="225"/>
    </row>
    <row r="2336">
      <c r="J2336" s="225"/>
    </row>
    <row r="2337">
      <c r="J2337" s="225"/>
    </row>
    <row r="2338">
      <c r="J2338" s="225"/>
    </row>
    <row r="2339">
      <c r="J2339" s="225"/>
    </row>
    <row r="2340">
      <c r="J2340" s="225"/>
    </row>
    <row r="2341">
      <c r="J2341" s="225"/>
    </row>
    <row r="2342">
      <c r="J2342" s="225"/>
    </row>
    <row r="2343">
      <c r="J2343" s="225"/>
    </row>
    <row r="2344">
      <c r="J2344" s="225"/>
    </row>
    <row r="2345">
      <c r="J2345" s="225"/>
    </row>
    <row r="2346">
      <c r="J2346" s="225"/>
    </row>
    <row r="2347">
      <c r="J2347" s="225"/>
    </row>
    <row r="2348">
      <c r="J2348" s="225"/>
    </row>
    <row r="2349">
      <c r="J2349" s="225"/>
    </row>
    <row r="2350">
      <c r="J2350" s="225"/>
    </row>
    <row r="2351">
      <c r="J2351" s="225"/>
    </row>
    <row r="2352">
      <c r="J2352" s="225"/>
    </row>
    <row r="2353">
      <c r="J2353" s="225"/>
    </row>
    <row r="2354">
      <c r="J2354" s="225"/>
    </row>
    <row r="2355">
      <c r="J2355" s="225"/>
    </row>
    <row r="2356">
      <c r="J2356" s="225"/>
    </row>
    <row r="2357">
      <c r="J2357" s="225"/>
    </row>
    <row r="2358">
      <c r="J2358" s="225"/>
    </row>
    <row r="2359">
      <c r="J2359" s="225"/>
    </row>
    <row r="2360">
      <c r="J2360" s="225"/>
    </row>
    <row r="2361">
      <c r="J2361" s="225"/>
    </row>
    <row r="2362">
      <c r="J2362" s="225"/>
    </row>
    <row r="2363">
      <c r="J2363" s="225"/>
    </row>
    <row r="2364">
      <c r="J2364" s="225"/>
    </row>
    <row r="2365">
      <c r="J2365" s="225"/>
    </row>
    <row r="2366">
      <c r="J2366" s="225"/>
    </row>
    <row r="2367">
      <c r="J2367" s="225"/>
    </row>
    <row r="2368">
      <c r="J2368" s="225"/>
    </row>
    <row r="2369">
      <c r="J2369" s="225"/>
    </row>
    <row r="2370">
      <c r="J2370" s="225"/>
    </row>
    <row r="2371">
      <c r="J2371" s="225"/>
    </row>
    <row r="2372">
      <c r="J2372" s="225"/>
    </row>
    <row r="2373">
      <c r="J2373" s="225"/>
    </row>
    <row r="2374">
      <c r="J2374" s="225"/>
    </row>
    <row r="2375">
      <c r="J2375" s="225"/>
    </row>
    <row r="2376">
      <c r="J2376" s="225"/>
    </row>
    <row r="2377">
      <c r="J2377" s="225"/>
    </row>
    <row r="2378">
      <c r="J2378" s="225"/>
    </row>
    <row r="2379">
      <c r="J2379" s="225"/>
    </row>
    <row r="2380">
      <c r="J2380" s="225"/>
    </row>
    <row r="2381">
      <c r="J2381" s="225"/>
    </row>
    <row r="2382">
      <c r="J2382" s="225"/>
    </row>
    <row r="2383">
      <c r="J2383" s="225"/>
    </row>
    <row r="2384">
      <c r="J2384" s="225"/>
    </row>
    <row r="2385">
      <c r="J2385" s="225"/>
    </row>
    <row r="2386">
      <c r="J2386" s="225"/>
    </row>
    <row r="2387">
      <c r="J2387" s="225"/>
    </row>
    <row r="2388">
      <c r="J2388" s="225"/>
    </row>
    <row r="2389">
      <c r="J2389" s="225"/>
    </row>
    <row r="2390">
      <c r="J2390" s="225"/>
    </row>
    <row r="2391">
      <c r="J2391" s="225"/>
    </row>
    <row r="2392">
      <c r="J2392" s="225"/>
    </row>
    <row r="2393">
      <c r="J2393" s="225"/>
    </row>
    <row r="2394">
      <c r="J2394" s="225"/>
    </row>
    <row r="2395">
      <c r="J2395" s="225"/>
    </row>
    <row r="2396">
      <c r="J2396" s="225"/>
    </row>
    <row r="2397">
      <c r="J2397" s="225"/>
    </row>
    <row r="2398">
      <c r="J2398" s="225"/>
    </row>
    <row r="2399">
      <c r="J2399" s="225"/>
    </row>
    <row r="2400">
      <c r="J2400" s="225"/>
    </row>
    <row r="2401">
      <c r="J2401" s="225"/>
    </row>
    <row r="2402">
      <c r="J2402" s="225"/>
    </row>
    <row r="2403">
      <c r="J2403" s="225"/>
    </row>
    <row r="2404">
      <c r="J2404" s="225"/>
    </row>
    <row r="2405">
      <c r="J2405" s="225"/>
    </row>
    <row r="2406">
      <c r="J2406" s="225"/>
    </row>
    <row r="2407">
      <c r="J2407" s="225"/>
    </row>
    <row r="2408">
      <c r="J2408" s="225"/>
    </row>
    <row r="2409">
      <c r="J2409" s="225"/>
    </row>
    <row r="2410">
      <c r="J2410" s="225"/>
    </row>
    <row r="2411">
      <c r="J2411" s="225"/>
    </row>
    <row r="2412">
      <c r="J2412" s="225"/>
    </row>
    <row r="2413">
      <c r="J2413" s="225"/>
    </row>
    <row r="2414">
      <c r="J2414" s="225"/>
    </row>
    <row r="2415">
      <c r="J2415" s="225"/>
    </row>
    <row r="2416">
      <c r="J2416" s="225"/>
    </row>
    <row r="2417">
      <c r="J2417" s="225"/>
    </row>
    <row r="2418">
      <c r="J2418" s="225"/>
    </row>
    <row r="2419">
      <c r="J2419" s="225"/>
    </row>
    <row r="2420">
      <c r="J2420" s="225"/>
    </row>
    <row r="2421">
      <c r="J2421" s="225"/>
    </row>
    <row r="2422">
      <c r="J2422" s="225"/>
    </row>
    <row r="2423">
      <c r="J2423" s="225"/>
    </row>
    <row r="2424">
      <c r="J2424" s="225"/>
    </row>
    <row r="2425">
      <c r="J2425" s="225"/>
    </row>
    <row r="2426">
      <c r="J2426" s="225"/>
    </row>
    <row r="2427">
      <c r="J2427" s="225"/>
    </row>
    <row r="2428">
      <c r="J2428" s="225"/>
    </row>
    <row r="2429">
      <c r="J2429" s="225"/>
    </row>
    <row r="2430">
      <c r="J2430" s="225"/>
    </row>
    <row r="2431">
      <c r="J2431" s="225"/>
    </row>
    <row r="2432">
      <c r="J2432" s="225"/>
    </row>
    <row r="2433">
      <c r="J2433" s="225"/>
    </row>
    <row r="2434">
      <c r="J2434" s="225"/>
    </row>
    <row r="2435">
      <c r="J2435" s="225"/>
    </row>
    <row r="2436">
      <c r="J2436" s="225"/>
    </row>
    <row r="2437">
      <c r="J2437" s="225"/>
    </row>
    <row r="2438">
      <c r="J2438" s="225"/>
    </row>
    <row r="2439">
      <c r="J2439" s="225"/>
    </row>
    <row r="2440">
      <c r="J2440" s="225"/>
    </row>
    <row r="2441">
      <c r="J2441" s="225"/>
    </row>
    <row r="2442">
      <c r="J2442" s="225"/>
    </row>
    <row r="2443">
      <c r="J2443" s="225"/>
    </row>
    <row r="2444">
      <c r="J2444" s="225"/>
    </row>
    <row r="2445">
      <c r="J2445" s="225"/>
    </row>
    <row r="2446">
      <c r="J2446" s="225"/>
    </row>
    <row r="2447">
      <c r="J2447" s="225"/>
    </row>
    <row r="2448">
      <c r="J2448" s="225"/>
    </row>
    <row r="2449">
      <c r="J2449" s="225"/>
    </row>
    <row r="2450">
      <c r="J2450" s="225"/>
    </row>
    <row r="2451">
      <c r="J2451" s="225"/>
    </row>
    <row r="2452">
      <c r="J2452" s="225"/>
    </row>
    <row r="2453">
      <c r="J2453" s="225"/>
    </row>
    <row r="2454">
      <c r="J2454" s="225"/>
    </row>
    <row r="2455">
      <c r="J2455" s="225"/>
    </row>
    <row r="2456">
      <c r="J2456" s="225"/>
    </row>
    <row r="2457">
      <c r="J2457" s="225"/>
    </row>
    <row r="2458">
      <c r="J2458" s="225"/>
    </row>
    <row r="2459">
      <c r="J2459" s="225"/>
    </row>
    <row r="2460">
      <c r="J2460" s="225"/>
    </row>
    <row r="2461">
      <c r="J2461" s="225"/>
    </row>
    <row r="2462">
      <c r="J2462" s="225"/>
    </row>
    <row r="2463">
      <c r="J2463" s="225"/>
    </row>
    <row r="2464">
      <c r="J2464" s="225"/>
    </row>
    <row r="2465">
      <c r="J2465" s="225"/>
    </row>
    <row r="2466">
      <c r="J2466" s="225"/>
    </row>
    <row r="2467">
      <c r="J2467" s="225"/>
    </row>
    <row r="2468">
      <c r="J2468" s="225"/>
    </row>
    <row r="2469">
      <c r="J2469" s="225"/>
    </row>
    <row r="2470">
      <c r="J2470" s="225"/>
    </row>
    <row r="2471">
      <c r="J2471" s="225"/>
    </row>
    <row r="2472">
      <c r="J2472" s="225"/>
    </row>
    <row r="2473">
      <c r="J2473" s="225"/>
    </row>
    <row r="2474">
      <c r="J2474" s="225"/>
    </row>
    <row r="2475">
      <c r="J2475" s="225"/>
    </row>
    <row r="2476">
      <c r="J2476" s="225"/>
    </row>
    <row r="2477">
      <c r="J2477" s="225"/>
    </row>
    <row r="2478">
      <c r="J2478" s="225"/>
    </row>
    <row r="2479">
      <c r="J2479" s="225"/>
    </row>
    <row r="2480">
      <c r="J2480" s="225"/>
    </row>
    <row r="2481">
      <c r="J2481" s="225"/>
    </row>
    <row r="2482">
      <c r="J2482" s="225"/>
    </row>
    <row r="2483">
      <c r="J2483" s="225"/>
    </row>
    <row r="2484">
      <c r="J2484" s="225"/>
    </row>
    <row r="2485">
      <c r="J2485" s="225"/>
    </row>
    <row r="2486">
      <c r="J2486" s="225"/>
    </row>
    <row r="2487">
      <c r="J2487" s="225"/>
    </row>
    <row r="2488">
      <c r="J2488" s="225"/>
    </row>
    <row r="2489">
      <c r="J2489" s="225"/>
    </row>
    <row r="2490">
      <c r="J2490" s="225"/>
    </row>
    <row r="2491">
      <c r="J2491" s="225"/>
    </row>
    <row r="2492">
      <c r="J2492" s="225"/>
    </row>
    <row r="2493">
      <c r="J2493" s="225"/>
    </row>
    <row r="2494">
      <c r="J2494" s="225"/>
    </row>
    <row r="2495">
      <c r="J2495" s="225"/>
    </row>
    <row r="2496">
      <c r="J2496" s="225"/>
    </row>
    <row r="2497">
      <c r="J2497" s="225"/>
    </row>
    <row r="2498">
      <c r="J2498" s="225"/>
    </row>
    <row r="2499">
      <c r="J2499" s="225"/>
    </row>
    <row r="2500">
      <c r="J2500" s="225"/>
    </row>
    <row r="2501">
      <c r="J2501" s="225"/>
    </row>
    <row r="2502">
      <c r="J2502" s="225"/>
    </row>
    <row r="2503">
      <c r="J2503" s="225"/>
    </row>
    <row r="2504">
      <c r="J2504" s="225"/>
    </row>
    <row r="2505">
      <c r="J2505" s="225"/>
    </row>
    <row r="2506">
      <c r="J2506" s="225"/>
    </row>
    <row r="2507">
      <c r="J2507" s="225"/>
    </row>
    <row r="2508">
      <c r="J2508" s="225"/>
    </row>
    <row r="2509">
      <c r="J2509" s="225"/>
    </row>
    <row r="2510">
      <c r="J2510" s="225"/>
    </row>
    <row r="2511">
      <c r="J2511" s="225"/>
    </row>
    <row r="2512">
      <c r="J2512" s="225"/>
    </row>
    <row r="2513">
      <c r="J2513" s="225"/>
    </row>
    <row r="2514">
      <c r="J2514" s="225"/>
    </row>
    <row r="2515">
      <c r="J2515" s="225"/>
    </row>
    <row r="2516">
      <c r="J2516" s="225"/>
    </row>
    <row r="2517">
      <c r="J2517" s="225"/>
    </row>
    <row r="2518">
      <c r="J2518" s="225"/>
    </row>
    <row r="2519">
      <c r="J2519" s="225"/>
    </row>
    <row r="2520">
      <c r="J2520" s="225"/>
    </row>
    <row r="2521">
      <c r="J2521" s="225"/>
    </row>
    <row r="2522">
      <c r="J2522" s="225"/>
    </row>
    <row r="2523">
      <c r="J2523" s="225"/>
    </row>
    <row r="2524">
      <c r="J2524" s="225"/>
    </row>
    <row r="2525">
      <c r="J2525" s="225"/>
    </row>
    <row r="2526">
      <c r="J2526" s="225"/>
    </row>
    <row r="2527">
      <c r="J2527" s="225"/>
    </row>
    <row r="2528">
      <c r="J2528" s="225"/>
    </row>
    <row r="2529">
      <c r="J2529" s="225"/>
    </row>
    <row r="2530">
      <c r="J2530" s="225"/>
    </row>
    <row r="2531">
      <c r="J2531" s="225"/>
    </row>
    <row r="2532">
      <c r="J2532" s="225"/>
    </row>
    <row r="2533">
      <c r="J2533" s="225"/>
    </row>
    <row r="2534">
      <c r="J2534" s="225"/>
    </row>
    <row r="2535">
      <c r="J2535" s="225"/>
    </row>
    <row r="2536">
      <c r="J2536" s="225"/>
    </row>
    <row r="2537">
      <c r="J2537" s="225"/>
    </row>
    <row r="2538">
      <c r="J2538" s="225"/>
    </row>
    <row r="2539">
      <c r="J2539" s="225"/>
    </row>
    <row r="2540">
      <c r="J2540" s="225"/>
    </row>
    <row r="2541">
      <c r="J2541" s="225"/>
    </row>
    <row r="2542">
      <c r="J2542" s="225"/>
    </row>
    <row r="2543">
      <c r="J2543" s="225"/>
    </row>
    <row r="2544">
      <c r="J2544" s="225"/>
    </row>
    <row r="2545">
      <c r="J2545" s="225"/>
    </row>
    <row r="2546">
      <c r="J2546" s="225"/>
    </row>
    <row r="2547">
      <c r="J2547" s="225"/>
    </row>
    <row r="2548">
      <c r="J2548" s="225"/>
    </row>
    <row r="2549">
      <c r="J2549" s="225"/>
    </row>
    <row r="2550">
      <c r="J2550" s="225"/>
    </row>
    <row r="2551">
      <c r="J2551" s="225"/>
    </row>
    <row r="2552">
      <c r="J2552" s="225"/>
    </row>
    <row r="2553">
      <c r="J2553" s="225"/>
    </row>
    <row r="2554">
      <c r="J2554" s="225"/>
    </row>
    <row r="2555">
      <c r="J2555" s="225"/>
    </row>
    <row r="2556">
      <c r="J2556" s="225"/>
    </row>
    <row r="2557">
      <c r="J2557" s="225"/>
    </row>
    <row r="2558">
      <c r="J2558" s="225"/>
    </row>
    <row r="2559">
      <c r="J2559" s="225"/>
    </row>
    <row r="2560">
      <c r="J2560" s="225"/>
    </row>
    <row r="2561">
      <c r="J2561" s="225"/>
    </row>
    <row r="2562">
      <c r="J2562" s="225"/>
    </row>
    <row r="2563">
      <c r="J2563" s="225"/>
    </row>
    <row r="2564">
      <c r="J2564" s="225"/>
    </row>
    <row r="2565">
      <c r="J2565" s="225"/>
    </row>
    <row r="2566">
      <c r="J2566" s="225"/>
    </row>
    <row r="2567">
      <c r="J2567" s="225"/>
    </row>
    <row r="2568">
      <c r="J2568" s="225"/>
    </row>
    <row r="2569">
      <c r="J2569" s="225"/>
    </row>
    <row r="2570">
      <c r="J2570" s="225"/>
    </row>
    <row r="2571">
      <c r="J2571" s="225"/>
    </row>
    <row r="2572">
      <c r="J2572" s="225"/>
    </row>
    <row r="2573">
      <c r="J2573" s="225"/>
    </row>
    <row r="2574">
      <c r="J2574" s="225"/>
    </row>
    <row r="2575">
      <c r="J2575" s="225"/>
    </row>
    <row r="2576">
      <c r="J2576" s="225"/>
    </row>
    <row r="2577">
      <c r="J2577" s="225"/>
    </row>
    <row r="2578">
      <c r="J2578" s="225"/>
    </row>
    <row r="2579">
      <c r="J2579" s="225"/>
    </row>
    <row r="2580">
      <c r="J2580" s="225"/>
    </row>
    <row r="2581">
      <c r="J2581" s="225"/>
    </row>
    <row r="2582">
      <c r="J2582" s="225"/>
    </row>
    <row r="2583">
      <c r="J2583" s="225"/>
    </row>
    <row r="2584">
      <c r="J2584" s="225"/>
    </row>
    <row r="2585">
      <c r="J2585" s="225"/>
    </row>
    <row r="2586">
      <c r="J2586" s="225"/>
    </row>
    <row r="2587">
      <c r="J2587" s="225"/>
    </row>
    <row r="2588">
      <c r="J2588" s="225"/>
    </row>
    <row r="2589">
      <c r="J2589" s="225"/>
    </row>
    <row r="2590">
      <c r="J2590" s="225"/>
    </row>
    <row r="2591">
      <c r="J2591" s="225"/>
    </row>
    <row r="2592">
      <c r="J2592" s="225"/>
    </row>
    <row r="2593">
      <c r="J2593" s="225"/>
    </row>
    <row r="2594">
      <c r="J2594" s="225"/>
    </row>
    <row r="2595">
      <c r="J2595" s="225"/>
    </row>
    <row r="2596">
      <c r="J2596" s="225"/>
    </row>
    <row r="2597">
      <c r="J2597" s="225"/>
    </row>
    <row r="2598">
      <c r="J2598" s="225"/>
    </row>
    <row r="2599">
      <c r="J2599" s="225"/>
    </row>
    <row r="2600">
      <c r="J2600" s="225"/>
    </row>
    <row r="2601">
      <c r="J2601" s="225"/>
    </row>
    <row r="2602">
      <c r="J2602" s="225"/>
    </row>
    <row r="2603">
      <c r="J2603" s="225"/>
    </row>
    <row r="2604">
      <c r="J2604" s="225"/>
    </row>
    <row r="2605">
      <c r="J2605" s="225"/>
    </row>
    <row r="2606">
      <c r="J2606" s="225"/>
    </row>
    <row r="2607">
      <c r="J2607" s="225"/>
    </row>
    <row r="2608">
      <c r="J2608" s="225"/>
    </row>
    <row r="2609">
      <c r="J2609" s="225"/>
    </row>
    <row r="2610">
      <c r="J2610" s="225"/>
    </row>
    <row r="2611">
      <c r="J2611" s="225"/>
    </row>
    <row r="2612">
      <c r="J2612" s="225"/>
    </row>
    <row r="2613">
      <c r="J2613" s="225"/>
    </row>
    <row r="2614">
      <c r="J2614" s="225"/>
    </row>
    <row r="2615">
      <c r="J2615" s="225"/>
    </row>
    <row r="2616">
      <c r="J2616" s="225"/>
    </row>
    <row r="2617">
      <c r="J2617" s="225"/>
    </row>
    <row r="2618">
      <c r="J2618" s="225"/>
    </row>
    <row r="2619">
      <c r="J2619" s="225"/>
    </row>
    <row r="2620">
      <c r="J2620" s="225"/>
    </row>
    <row r="2621">
      <c r="J2621" s="225"/>
    </row>
    <row r="2622">
      <c r="J2622" s="225"/>
    </row>
    <row r="2623">
      <c r="J2623" s="225"/>
    </row>
    <row r="2624">
      <c r="J2624" s="225"/>
    </row>
    <row r="2625">
      <c r="J2625" s="225"/>
    </row>
    <row r="2626">
      <c r="J2626" s="225"/>
    </row>
    <row r="2627">
      <c r="J2627" s="225"/>
    </row>
    <row r="2628">
      <c r="J2628" s="225"/>
    </row>
    <row r="2629">
      <c r="J2629" s="225"/>
    </row>
    <row r="2630">
      <c r="J2630" s="225"/>
    </row>
    <row r="2631">
      <c r="J2631" s="225"/>
    </row>
    <row r="2632">
      <c r="J2632" s="225"/>
    </row>
    <row r="2633">
      <c r="J2633" s="225"/>
    </row>
    <row r="2634">
      <c r="J2634" s="225"/>
    </row>
    <row r="2635">
      <c r="J2635" s="225"/>
    </row>
    <row r="2636">
      <c r="J2636" s="225"/>
    </row>
    <row r="2637">
      <c r="J2637" s="225"/>
    </row>
    <row r="2638">
      <c r="J2638" s="225"/>
    </row>
    <row r="2639">
      <c r="J2639" s="225"/>
    </row>
    <row r="2640">
      <c r="J2640" s="225"/>
    </row>
    <row r="2641">
      <c r="J2641" s="225"/>
    </row>
    <row r="2642">
      <c r="J2642" s="225"/>
    </row>
    <row r="2643">
      <c r="J2643" s="225"/>
    </row>
    <row r="2644">
      <c r="J2644" s="225"/>
    </row>
    <row r="2645">
      <c r="J2645" s="225"/>
    </row>
    <row r="2646">
      <c r="J2646" s="225"/>
    </row>
    <row r="2647">
      <c r="J2647" s="225"/>
    </row>
    <row r="2648">
      <c r="J2648" s="225"/>
    </row>
    <row r="2649">
      <c r="J2649" s="225"/>
    </row>
    <row r="2650">
      <c r="J2650" s="225"/>
    </row>
    <row r="2651">
      <c r="J2651" s="225"/>
    </row>
    <row r="2652">
      <c r="J2652" s="225"/>
    </row>
    <row r="2653">
      <c r="J2653" s="225"/>
    </row>
    <row r="2654">
      <c r="J2654" s="225"/>
    </row>
    <row r="2655">
      <c r="J2655" s="225"/>
    </row>
    <row r="2656">
      <c r="J2656" s="225"/>
    </row>
    <row r="2657">
      <c r="J2657" s="225"/>
    </row>
    <row r="2658">
      <c r="J2658" s="225"/>
    </row>
    <row r="2659">
      <c r="J2659" s="225"/>
    </row>
    <row r="2660">
      <c r="J2660" s="225"/>
    </row>
    <row r="2661">
      <c r="J2661" s="225"/>
    </row>
    <row r="2662">
      <c r="J2662" s="225"/>
    </row>
    <row r="2663">
      <c r="J2663" s="225"/>
    </row>
    <row r="2664">
      <c r="J2664" s="225"/>
    </row>
    <row r="2665">
      <c r="J2665" s="225"/>
    </row>
    <row r="2666">
      <c r="J2666" s="225"/>
    </row>
    <row r="2667">
      <c r="J2667" s="225"/>
    </row>
    <row r="2668">
      <c r="J2668" s="225"/>
    </row>
    <row r="2669">
      <c r="J2669" s="225"/>
    </row>
    <row r="2670">
      <c r="J2670" s="225"/>
    </row>
    <row r="2671">
      <c r="J2671" s="225"/>
    </row>
    <row r="2672">
      <c r="J2672" s="225"/>
    </row>
    <row r="2673">
      <c r="J2673" s="225"/>
    </row>
    <row r="2674">
      <c r="J2674" s="225"/>
    </row>
    <row r="2675">
      <c r="J2675" s="225"/>
    </row>
    <row r="2676">
      <c r="J2676" s="225"/>
    </row>
    <row r="2677">
      <c r="J2677" s="225"/>
    </row>
    <row r="2678">
      <c r="J2678" s="225"/>
    </row>
    <row r="2679">
      <c r="J2679" s="225"/>
    </row>
    <row r="2680">
      <c r="J2680" s="225"/>
    </row>
    <row r="2681">
      <c r="J2681" s="225"/>
    </row>
    <row r="2682">
      <c r="J2682" s="225"/>
    </row>
    <row r="2683">
      <c r="J2683" s="225"/>
    </row>
    <row r="2684">
      <c r="J2684" s="225"/>
    </row>
    <row r="2685">
      <c r="J2685" s="225"/>
    </row>
    <row r="2686">
      <c r="J2686" s="225"/>
    </row>
    <row r="2687">
      <c r="J2687" s="225"/>
    </row>
    <row r="2688">
      <c r="J2688" s="225"/>
    </row>
    <row r="2689">
      <c r="J2689" s="225"/>
    </row>
    <row r="2690">
      <c r="J2690" s="225"/>
    </row>
    <row r="2691">
      <c r="J2691" s="225"/>
    </row>
    <row r="2692">
      <c r="J2692" s="225"/>
    </row>
    <row r="2693">
      <c r="J2693" s="225"/>
    </row>
    <row r="2694">
      <c r="J2694" s="225"/>
    </row>
    <row r="2695">
      <c r="J2695" s="225"/>
    </row>
    <row r="2696">
      <c r="J2696" s="225"/>
    </row>
    <row r="2697">
      <c r="J2697" s="225"/>
    </row>
    <row r="2698">
      <c r="J2698" s="225"/>
    </row>
    <row r="2699">
      <c r="J2699" s="225"/>
    </row>
    <row r="2700">
      <c r="J2700" s="225"/>
    </row>
    <row r="2701">
      <c r="J2701" s="225"/>
    </row>
    <row r="2702">
      <c r="J2702" s="225"/>
    </row>
    <row r="2703">
      <c r="J2703" s="225"/>
    </row>
    <row r="2704">
      <c r="J2704" s="225"/>
    </row>
    <row r="2705">
      <c r="J2705" s="225"/>
    </row>
    <row r="2706">
      <c r="J2706" s="225"/>
    </row>
    <row r="2707">
      <c r="J2707" s="225"/>
    </row>
    <row r="2708">
      <c r="J2708" s="225"/>
    </row>
    <row r="2709">
      <c r="J2709" s="225"/>
    </row>
    <row r="2710">
      <c r="J2710" s="225"/>
    </row>
    <row r="2711">
      <c r="J2711" s="225"/>
    </row>
    <row r="2712">
      <c r="J2712" s="225"/>
    </row>
    <row r="2713">
      <c r="J2713" s="225"/>
    </row>
    <row r="2714">
      <c r="J2714" s="225"/>
    </row>
    <row r="2715">
      <c r="J2715" s="225"/>
    </row>
    <row r="2716">
      <c r="J2716" s="225"/>
    </row>
    <row r="2717">
      <c r="J2717" s="225"/>
    </row>
    <row r="2718">
      <c r="J2718" s="225"/>
    </row>
    <row r="2719">
      <c r="J2719" s="225"/>
    </row>
    <row r="2720">
      <c r="J2720" s="225"/>
    </row>
    <row r="2721">
      <c r="J2721" s="225"/>
    </row>
    <row r="2722">
      <c r="J2722" s="225"/>
    </row>
    <row r="2723">
      <c r="J2723" s="225"/>
    </row>
    <row r="2724">
      <c r="J2724" s="225"/>
    </row>
    <row r="2725">
      <c r="J2725" s="225"/>
    </row>
    <row r="2726">
      <c r="J2726" s="225"/>
    </row>
    <row r="2727">
      <c r="J2727" s="225"/>
    </row>
    <row r="2728">
      <c r="J2728" s="225"/>
    </row>
    <row r="2729">
      <c r="J2729" s="225"/>
    </row>
    <row r="2730">
      <c r="J2730" s="225"/>
    </row>
    <row r="2731">
      <c r="J2731" s="225"/>
    </row>
    <row r="2732">
      <c r="J2732" s="225"/>
    </row>
    <row r="2733">
      <c r="J2733" s="225"/>
    </row>
    <row r="2734">
      <c r="J2734" s="225"/>
    </row>
    <row r="2735">
      <c r="J2735" s="225"/>
    </row>
    <row r="2736">
      <c r="J2736" s="225"/>
    </row>
    <row r="2737">
      <c r="J2737" s="225"/>
    </row>
    <row r="2738">
      <c r="J2738" s="225"/>
    </row>
    <row r="2739">
      <c r="J2739" s="225"/>
    </row>
    <row r="2740">
      <c r="J2740" s="225"/>
    </row>
    <row r="2741">
      <c r="J2741" s="225"/>
    </row>
    <row r="2742">
      <c r="J2742" s="225"/>
    </row>
    <row r="2743">
      <c r="J2743" s="225"/>
    </row>
    <row r="2744">
      <c r="J2744" s="225"/>
    </row>
    <row r="2745">
      <c r="J2745" s="225"/>
    </row>
    <row r="2746">
      <c r="J2746" s="225"/>
    </row>
    <row r="2747">
      <c r="J2747" s="225"/>
    </row>
    <row r="2748">
      <c r="J2748" s="225"/>
    </row>
    <row r="2749">
      <c r="J2749" s="225"/>
    </row>
    <row r="2750">
      <c r="J2750" s="225"/>
    </row>
    <row r="2751">
      <c r="J2751" s="225"/>
    </row>
    <row r="2752">
      <c r="J2752" s="225"/>
    </row>
    <row r="2753">
      <c r="J2753" s="225"/>
    </row>
    <row r="2754">
      <c r="J2754" s="225"/>
    </row>
    <row r="2755">
      <c r="J2755" s="225"/>
    </row>
    <row r="2756">
      <c r="J2756" s="225"/>
    </row>
    <row r="2757">
      <c r="J2757" s="225"/>
    </row>
    <row r="2758">
      <c r="J2758" s="225"/>
    </row>
    <row r="2759">
      <c r="J2759" s="225"/>
    </row>
    <row r="2760">
      <c r="J2760" s="225"/>
    </row>
    <row r="2761">
      <c r="J2761" s="225"/>
    </row>
    <row r="2762">
      <c r="J2762" s="225"/>
    </row>
    <row r="2763">
      <c r="J2763" s="225"/>
    </row>
    <row r="2764">
      <c r="J2764" s="225"/>
    </row>
    <row r="2765">
      <c r="J2765" s="225"/>
    </row>
    <row r="2766">
      <c r="J2766" s="225"/>
    </row>
    <row r="2767">
      <c r="J2767" s="225"/>
    </row>
    <row r="2768">
      <c r="J2768" s="225"/>
    </row>
    <row r="2769">
      <c r="J2769" s="225"/>
    </row>
    <row r="2770">
      <c r="J2770" s="225"/>
    </row>
    <row r="2771">
      <c r="J2771" s="225"/>
    </row>
    <row r="2772">
      <c r="J2772" s="225"/>
    </row>
    <row r="2773">
      <c r="J2773" s="225"/>
    </row>
    <row r="2774">
      <c r="J2774" s="225"/>
    </row>
    <row r="2775">
      <c r="J2775" s="225"/>
    </row>
    <row r="2776">
      <c r="J2776" s="225"/>
    </row>
    <row r="2777">
      <c r="J2777" s="225"/>
    </row>
    <row r="2778">
      <c r="J2778" s="225"/>
    </row>
    <row r="2779">
      <c r="J2779" s="225"/>
    </row>
    <row r="2780">
      <c r="J2780" s="225"/>
    </row>
    <row r="2781">
      <c r="J2781" s="225"/>
    </row>
    <row r="2782">
      <c r="J2782" s="225"/>
    </row>
    <row r="2783">
      <c r="J2783" s="225"/>
    </row>
    <row r="2784">
      <c r="J2784" s="225"/>
    </row>
    <row r="2785">
      <c r="J2785" s="225"/>
    </row>
    <row r="2786">
      <c r="J2786" s="225"/>
    </row>
    <row r="2787">
      <c r="J2787" s="225"/>
    </row>
    <row r="2788">
      <c r="J2788" s="225"/>
    </row>
    <row r="2789">
      <c r="J2789" s="225"/>
    </row>
    <row r="2790">
      <c r="J2790" s="225"/>
    </row>
    <row r="2791">
      <c r="J2791" s="225"/>
    </row>
    <row r="2792">
      <c r="J2792" s="225"/>
    </row>
    <row r="2793">
      <c r="J2793" s="225"/>
    </row>
    <row r="2794">
      <c r="J2794" s="225"/>
    </row>
    <row r="2795">
      <c r="J2795" s="225"/>
    </row>
    <row r="2796">
      <c r="J2796" s="225"/>
    </row>
    <row r="2797">
      <c r="J2797" s="225"/>
    </row>
    <row r="2798">
      <c r="J2798" s="225"/>
    </row>
    <row r="2799">
      <c r="J2799" s="225"/>
    </row>
    <row r="2800">
      <c r="J2800" s="225"/>
    </row>
    <row r="2801">
      <c r="J2801" s="225"/>
    </row>
    <row r="2802">
      <c r="J2802" s="225"/>
    </row>
    <row r="2803">
      <c r="J2803" s="225"/>
    </row>
    <row r="2804">
      <c r="J2804" s="225"/>
    </row>
    <row r="2805">
      <c r="J2805" s="225"/>
    </row>
    <row r="2806">
      <c r="J2806" s="225"/>
    </row>
    <row r="2807">
      <c r="J2807" s="225"/>
    </row>
    <row r="2808">
      <c r="J2808" s="225"/>
    </row>
    <row r="2809">
      <c r="J2809" s="225"/>
    </row>
    <row r="2810">
      <c r="J2810" s="225"/>
    </row>
    <row r="2811">
      <c r="J2811" s="225"/>
    </row>
    <row r="2812">
      <c r="J2812" s="225"/>
    </row>
    <row r="2813">
      <c r="J2813" s="225"/>
    </row>
    <row r="2814">
      <c r="J2814" s="225"/>
    </row>
    <row r="2815">
      <c r="J2815" s="225"/>
    </row>
    <row r="2816">
      <c r="J2816" s="225"/>
    </row>
    <row r="2817">
      <c r="J2817" s="225"/>
    </row>
    <row r="2818">
      <c r="J2818" s="225"/>
    </row>
    <row r="2819">
      <c r="J2819" s="225"/>
    </row>
    <row r="2820">
      <c r="J2820" s="225"/>
    </row>
    <row r="2821">
      <c r="J2821" s="225"/>
    </row>
    <row r="2822">
      <c r="J2822" s="225"/>
    </row>
    <row r="2823">
      <c r="J2823" s="225"/>
    </row>
    <row r="2824">
      <c r="J2824" s="225"/>
    </row>
    <row r="2825">
      <c r="J2825" s="225"/>
    </row>
    <row r="2826">
      <c r="J2826" s="225"/>
    </row>
    <row r="2827">
      <c r="J2827" s="225"/>
    </row>
    <row r="2828">
      <c r="J2828" s="225"/>
    </row>
    <row r="2829">
      <c r="J2829" s="225"/>
    </row>
    <row r="2830">
      <c r="J2830" s="225"/>
    </row>
    <row r="2831">
      <c r="J2831" s="225"/>
    </row>
    <row r="2832">
      <c r="J2832" s="225"/>
    </row>
    <row r="2833">
      <c r="J2833" s="225"/>
    </row>
    <row r="2834">
      <c r="J2834" s="225"/>
    </row>
    <row r="2835">
      <c r="J2835" s="225"/>
    </row>
    <row r="2836">
      <c r="J2836" s="225"/>
    </row>
    <row r="2837">
      <c r="J2837" s="225"/>
    </row>
    <row r="2838">
      <c r="J2838" s="225"/>
    </row>
    <row r="2839">
      <c r="J2839" s="225"/>
    </row>
    <row r="2840">
      <c r="J2840" s="225"/>
    </row>
    <row r="2841">
      <c r="J2841" s="225"/>
    </row>
    <row r="2842">
      <c r="J2842" s="225"/>
    </row>
    <row r="2843">
      <c r="J2843" s="225"/>
    </row>
    <row r="2844">
      <c r="J2844" s="225"/>
    </row>
    <row r="2845">
      <c r="J2845" s="225"/>
    </row>
    <row r="2846">
      <c r="J2846" s="225"/>
    </row>
    <row r="2847">
      <c r="J2847" s="225"/>
    </row>
    <row r="2848">
      <c r="J2848" s="225"/>
    </row>
    <row r="2849">
      <c r="J2849" s="225"/>
    </row>
    <row r="2850">
      <c r="J2850" s="225"/>
    </row>
    <row r="2851">
      <c r="J2851" s="225"/>
    </row>
    <row r="2852">
      <c r="J2852" s="225"/>
    </row>
    <row r="2853">
      <c r="J2853" s="225"/>
    </row>
    <row r="2854">
      <c r="J2854" s="225"/>
    </row>
    <row r="2855">
      <c r="J2855" s="225"/>
    </row>
    <row r="2856">
      <c r="J2856" s="225"/>
    </row>
    <row r="2857">
      <c r="J2857" s="225"/>
    </row>
    <row r="2858">
      <c r="J2858" s="225"/>
    </row>
    <row r="2859">
      <c r="J2859" s="225"/>
    </row>
    <row r="2860">
      <c r="J2860" s="225"/>
    </row>
    <row r="2861">
      <c r="J2861" s="225"/>
    </row>
    <row r="2862">
      <c r="J2862" s="225"/>
    </row>
    <row r="2863">
      <c r="J2863" s="225"/>
    </row>
    <row r="2864">
      <c r="J2864" s="225"/>
    </row>
    <row r="2865">
      <c r="J2865" s="225"/>
    </row>
    <row r="2866">
      <c r="J2866" s="225"/>
    </row>
    <row r="2867">
      <c r="J2867" s="225"/>
    </row>
    <row r="2868">
      <c r="J2868" s="225"/>
    </row>
    <row r="2869">
      <c r="J2869" s="225"/>
    </row>
    <row r="2870">
      <c r="J2870" s="225"/>
    </row>
    <row r="2871">
      <c r="J2871" s="225"/>
    </row>
    <row r="2872">
      <c r="J2872" s="225"/>
    </row>
    <row r="2873">
      <c r="J2873" s="225"/>
    </row>
    <row r="2874">
      <c r="J2874" s="225"/>
    </row>
    <row r="2875">
      <c r="J2875" s="225"/>
    </row>
    <row r="2876">
      <c r="J2876" s="225"/>
    </row>
    <row r="2877">
      <c r="J2877" s="225"/>
    </row>
    <row r="2878">
      <c r="J2878" s="225"/>
    </row>
    <row r="2879">
      <c r="J2879" s="225"/>
    </row>
    <row r="2880">
      <c r="J2880" s="225"/>
    </row>
    <row r="2881">
      <c r="J2881" s="225"/>
    </row>
    <row r="2882">
      <c r="J2882" s="225"/>
    </row>
    <row r="2883">
      <c r="J2883" s="225"/>
    </row>
    <row r="2884">
      <c r="J2884" s="225"/>
    </row>
    <row r="2885">
      <c r="J2885" s="225"/>
    </row>
    <row r="2886">
      <c r="J2886" s="225"/>
    </row>
    <row r="2887">
      <c r="J2887" s="225"/>
    </row>
    <row r="2888">
      <c r="J2888" s="225"/>
    </row>
    <row r="2889">
      <c r="J2889" s="225"/>
    </row>
    <row r="2890">
      <c r="J2890" s="225"/>
    </row>
    <row r="2891">
      <c r="J2891" s="225"/>
    </row>
    <row r="2892">
      <c r="J2892" s="225"/>
    </row>
    <row r="2893">
      <c r="J2893" s="225"/>
    </row>
    <row r="2894">
      <c r="J2894" s="225"/>
    </row>
    <row r="2895">
      <c r="J2895" s="225"/>
    </row>
    <row r="2896">
      <c r="J2896" s="225"/>
    </row>
    <row r="2897">
      <c r="J2897" s="225"/>
    </row>
    <row r="2898">
      <c r="J2898" s="225"/>
    </row>
    <row r="2899">
      <c r="J2899" s="225"/>
    </row>
    <row r="2900">
      <c r="J2900" s="225"/>
    </row>
    <row r="2901">
      <c r="J2901" s="225"/>
    </row>
    <row r="2902">
      <c r="J2902" s="225"/>
    </row>
    <row r="2903">
      <c r="J2903" s="225"/>
    </row>
    <row r="2904">
      <c r="J2904" s="225"/>
    </row>
    <row r="2905">
      <c r="J2905" s="225"/>
    </row>
    <row r="2906">
      <c r="J2906" s="225"/>
    </row>
    <row r="2907">
      <c r="J2907" s="225"/>
    </row>
    <row r="2908">
      <c r="J2908" s="225"/>
    </row>
    <row r="2909">
      <c r="J2909" s="225"/>
    </row>
    <row r="2910">
      <c r="J2910" s="225"/>
    </row>
    <row r="2911">
      <c r="J2911" s="225"/>
    </row>
    <row r="2912">
      <c r="J2912" s="225"/>
    </row>
    <row r="2913">
      <c r="J2913" s="225"/>
    </row>
    <row r="2914">
      <c r="J2914" s="225"/>
    </row>
    <row r="2915">
      <c r="J2915" s="225"/>
    </row>
    <row r="2916">
      <c r="J2916" s="225"/>
    </row>
    <row r="2917">
      <c r="J2917" s="225"/>
    </row>
    <row r="2918">
      <c r="J2918" s="225"/>
    </row>
    <row r="2919">
      <c r="J2919" s="225"/>
    </row>
    <row r="2920">
      <c r="J2920" s="225"/>
    </row>
    <row r="2921">
      <c r="J2921" s="225"/>
    </row>
    <row r="2922">
      <c r="J2922" s="225"/>
    </row>
    <row r="2923">
      <c r="J2923" s="225"/>
    </row>
    <row r="2924">
      <c r="J2924" s="225"/>
    </row>
    <row r="2925">
      <c r="J2925" s="225"/>
    </row>
    <row r="2926">
      <c r="J2926" s="225"/>
    </row>
    <row r="2927">
      <c r="J2927" s="225"/>
    </row>
    <row r="2928">
      <c r="J2928" s="225"/>
    </row>
    <row r="2929">
      <c r="J2929" s="225"/>
    </row>
    <row r="2930">
      <c r="J2930" s="225"/>
    </row>
    <row r="2931">
      <c r="J2931" s="225"/>
    </row>
    <row r="2932">
      <c r="J2932" s="225"/>
    </row>
    <row r="2933">
      <c r="J2933" s="225"/>
    </row>
    <row r="2934">
      <c r="J2934" s="225"/>
    </row>
    <row r="2935">
      <c r="J2935" s="225"/>
    </row>
    <row r="2936">
      <c r="J2936" s="225"/>
    </row>
    <row r="2937">
      <c r="J2937" s="225"/>
    </row>
    <row r="2938">
      <c r="J2938" s="225"/>
    </row>
    <row r="2939">
      <c r="J2939" s="225"/>
    </row>
    <row r="2940">
      <c r="J2940" s="225"/>
    </row>
    <row r="2941">
      <c r="J2941" s="225"/>
    </row>
    <row r="2942">
      <c r="J2942" s="225"/>
    </row>
    <row r="2943">
      <c r="J2943" s="225"/>
    </row>
    <row r="2944">
      <c r="J2944" s="225"/>
    </row>
    <row r="2945">
      <c r="J2945" s="225"/>
    </row>
    <row r="2946">
      <c r="J2946" s="225"/>
    </row>
    <row r="2947">
      <c r="J2947" s="225"/>
    </row>
    <row r="2948">
      <c r="J2948" s="225"/>
    </row>
    <row r="2949">
      <c r="J2949" s="225"/>
    </row>
    <row r="2950">
      <c r="J2950" s="225"/>
    </row>
    <row r="2951">
      <c r="J2951" s="225"/>
    </row>
    <row r="2952">
      <c r="J2952" s="225"/>
    </row>
    <row r="2953">
      <c r="J2953" s="225"/>
    </row>
    <row r="2954">
      <c r="J2954" s="225"/>
    </row>
    <row r="2955">
      <c r="J2955" s="225"/>
    </row>
    <row r="2956">
      <c r="J2956" s="225"/>
    </row>
    <row r="2957">
      <c r="J2957" s="225"/>
    </row>
    <row r="2958">
      <c r="J2958" s="225"/>
    </row>
    <row r="2959">
      <c r="J2959" s="225"/>
    </row>
    <row r="2960">
      <c r="J2960" s="225"/>
    </row>
    <row r="2961">
      <c r="J2961" s="225"/>
    </row>
    <row r="2962">
      <c r="J2962" s="225"/>
    </row>
    <row r="2963">
      <c r="J2963" s="225"/>
    </row>
    <row r="2964">
      <c r="J2964" s="225"/>
    </row>
    <row r="2965">
      <c r="J2965" s="225"/>
    </row>
    <row r="2966">
      <c r="J2966" s="225"/>
    </row>
    <row r="2967">
      <c r="J2967" s="225"/>
    </row>
    <row r="2968">
      <c r="J2968" s="225"/>
    </row>
    <row r="2969">
      <c r="J2969" s="225"/>
    </row>
    <row r="2970">
      <c r="J2970" s="225"/>
    </row>
    <row r="2971">
      <c r="J2971" s="225"/>
    </row>
    <row r="2972">
      <c r="J2972" s="225"/>
    </row>
    <row r="2973">
      <c r="J2973" s="225"/>
    </row>
    <row r="2974">
      <c r="J2974" s="225"/>
    </row>
    <row r="2975">
      <c r="J2975" s="225"/>
    </row>
    <row r="2976">
      <c r="J2976" s="225"/>
    </row>
    <row r="2977">
      <c r="J2977" s="225"/>
    </row>
    <row r="2978">
      <c r="J2978" s="225"/>
    </row>
    <row r="2979">
      <c r="J2979" s="225"/>
    </row>
    <row r="2980">
      <c r="J2980" s="225"/>
    </row>
    <row r="2981">
      <c r="J2981" s="225"/>
    </row>
    <row r="2982">
      <c r="J2982" s="225"/>
    </row>
    <row r="2983">
      <c r="J2983" s="225"/>
    </row>
    <row r="2984">
      <c r="J2984" s="225"/>
    </row>
    <row r="2985">
      <c r="J2985" s="225"/>
    </row>
    <row r="2986">
      <c r="J2986" s="225"/>
    </row>
    <row r="2987">
      <c r="J2987" s="225"/>
    </row>
    <row r="2988">
      <c r="J2988" s="225"/>
    </row>
    <row r="2989">
      <c r="J2989" s="225"/>
    </row>
    <row r="2990">
      <c r="J2990" s="225"/>
    </row>
    <row r="2991">
      <c r="J2991" s="225"/>
    </row>
    <row r="2992">
      <c r="J2992" s="225"/>
    </row>
    <row r="2993">
      <c r="J2993" s="225"/>
    </row>
    <row r="2994">
      <c r="J2994" s="225"/>
    </row>
    <row r="2995">
      <c r="J2995" s="225"/>
    </row>
    <row r="2996">
      <c r="J2996" s="225"/>
    </row>
    <row r="2997">
      <c r="J2997" s="225"/>
    </row>
    <row r="2998">
      <c r="J2998" s="225"/>
    </row>
    <row r="2999">
      <c r="J2999" s="225"/>
    </row>
    <row r="3000">
      <c r="J3000" s="225"/>
    </row>
    <row r="3001">
      <c r="J3001" s="225"/>
    </row>
    <row r="3002">
      <c r="J3002" s="225"/>
    </row>
    <row r="3003">
      <c r="J3003" s="225"/>
    </row>
    <row r="3004">
      <c r="J3004" s="225"/>
    </row>
    <row r="3005">
      <c r="J3005" s="225"/>
    </row>
    <row r="3006">
      <c r="J3006" s="225"/>
    </row>
    <row r="3007">
      <c r="J3007" s="225"/>
    </row>
    <row r="3008">
      <c r="J3008" s="225"/>
    </row>
    <row r="3009">
      <c r="J3009" s="225"/>
    </row>
    <row r="3010">
      <c r="J3010" s="225"/>
    </row>
    <row r="3011">
      <c r="J3011" s="225"/>
    </row>
    <row r="3012">
      <c r="J3012" s="225"/>
    </row>
    <row r="3013">
      <c r="J3013" s="225"/>
    </row>
    <row r="3014">
      <c r="J3014" s="225"/>
    </row>
    <row r="3015">
      <c r="J3015" s="225"/>
    </row>
    <row r="3016">
      <c r="J3016" s="225"/>
    </row>
    <row r="3017">
      <c r="J3017" s="225"/>
    </row>
    <row r="3018">
      <c r="J3018" s="225"/>
    </row>
    <row r="3019">
      <c r="J3019" s="225"/>
    </row>
    <row r="3020">
      <c r="J3020" s="225"/>
    </row>
    <row r="3021">
      <c r="J3021" s="225"/>
    </row>
    <row r="3022">
      <c r="J3022" s="225"/>
    </row>
    <row r="3023">
      <c r="J3023" s="225"/>
    </row>
    <row r="3024">
      <c r="J3024" s="225"/>
    </row>
    <row r="3025">
      <c r="J3025" s="225"/>
    </row>
    <row r="3026">
      <c r="J3026" s="225"/>
    </row>
    <row r="3027">
      <c r="J3027" s="225"/>
    </row>
    <row r="3028">
      <c r="J3028" s="225"/>
    </row>
    <row r="3029">
      <c r="J3029" s="225"/>
    </row>
    <row r="3030">
      <c r="J3030" s="225"/>
    </row>
    <row r="3031">
      <c r="J3031" s="225"/>
    </row>
    <row r="3032">
      <c r="J3032" s="225"/>
    </row>
    <row r="3033">
      <c r="J3033" s="225"/>
    </row>
    <row r="3034">
      <c r="J3034" s="225"/>
    </row>
    <row r="3035">
      <c r="J3035" s="225"/>
    </row>
    <row r="3036">
      <c r="J3036" s="225"/>
    </row>
    <row r="3037">
      <c r="J3037" s="225"/>
    </row>
    <row r="3038">
      <c r="J3038" s="225"/>
    </row>
    <row r="3039">
      <c r="J3039" s="225"/>
    </row>
    <row r="3040">
      <c r="J3040" s="225"/>
    </row>
    <row r="3041">
      <c r="J3041" s="225"/>
    </row>
    <row r="3042">
      <c r="J3042" s="225"/>
    </row>
    <row r="3043">
      <c r="J3043" s="225"/>
    </row>
    <row r="3044">
      <c r="J3044" s="225"/>
    </row>
    <row r="3045">
      <c r="J3045" s="225"/>
    </row>
    <row r="3046">
      <c r="J3046" s="225"/>
    </row>
    <row r="3047">
      <c r="J3047" s="225"/>
    </row>
    <row r="3048">
      <c r="J3048" s="225"/>
    </row>
    <row r="3049">
      <c r="J3049" s="225"/>
    </row>
    <row r="3050">
      <c r="J3050" s="225"/>
    </row>
    <row r="3051">
      <c r="J3051" s="225"/>
    </row>
    <row r="3052">
      <c r="J3052" s="225"/>
    </row>
    <row r="3053">
      <c r="J3053" s="225"/>
    </row>
    <row r="3054">
      <c r="J3054" s="225"/>
    </row>
    <row r="3055">
      <c r="J3055" s="225"/>
    </row>
    <row r="3056">
      <c r="J3056" s="225"/>
    </row>
    <row r="3057">
      <c r="J3057" s="225"/>
    </row>
    <row r="3058">
      <c r="J3058" s="225"/>
    </row>
    <row r="3059">
      <c r="J3059" s="225"/>
    </row>
    <row r="3060">
      <c r="J3060" s="225"/>
    </row>
    <row r="3061">
      <c r="J3061" s="225"/>
    </row>
    <row r="3062">
      <c r="J3062" s="225"/>
    </row>
    <row r="3063">
      <c r="J3063" s="225"/>
    </row>
    <row r="3064">
      <c r="J3064" s="225"/>
    </row>
    <row r="3065">
      <c r="J3065" s="225"/>
    </row>
    <row r="3066">
      <c r="J3066" s="225"/>
    </row>
    <row r="3067">
      <c r="J3067" s="225"/>
    </row>
    <row r="3068">
      <c r="J3068" s="225"/>
    </row>
    <row r="3069">
      <c r="J3069" s="225"/>
    </row>
    <row r="3070">
      <c r="J3070" s="225"/>
    </row>
    <row r="3071">
      <c r="J3071" s="225"/>
    </row>
    <row r="3072">
      <c r="J3072" s="225"/>
    </row>
    <row r="3073">
      <c r="J3073" s="225"/>
    </row>
    <row r="3074">
      <c r="J3074" s="225"/>
    </row>
    <row r="3075">
      <c r="J3075" s="225"/>
    </row>
    <row r="3076">
      <c r="J3076" s="225"/>
    </row>
    <row r="3077">
      <c r="J3077" s="225"/>
    </row>
    <row r="3078">
      <c r="J3078" s="225"/>
    </row>
    <row r="3079">
      <c r="J3079" s="225"/>
    </row>
    <row r="3080">
      <c r="J3080" s="225"/>
    </row>
    <row r="3081">
      <c r="J3081" s="225"/>
    </row>
    <row r="3082">
      <c r="J3082" s="225"/>
    </row>
    <row r="3083">
      <c r="J3083" s="225"/>
    </row>
    <row r="3084">
      <c r="J3084" s="225"/>
    </row>
    <row r="3085">
      <c r="J3085" s="225"/>
    </row>
    <row r="3086">
      <c r="J3086" s="225"/>
    </row>
    <row r="3087">
      <c r="J3087" s="225"/>
    </row>
    <row r="3088">
      <c r="J3088" s="225"/>
    </row>
    <row r="3089">
      <c r="J3089" s="225"/>
    </row>
    <row r="3090">
      <c r="J3090" s="225"/>
    </row>
    <row r="3091">
      <c r="J3091" s="225"/>
    </row>
    <row r="3092">
      <c r="J3092" s="225"/>
    </row>
    <row r="3093">
      <c r="J3093" s="225"/>
    </row>
    <row r="3094">
      <c r="J3094" s="225"/>
    </row>
    <row r="3095">
      <c r="J3095" s="225"/>
    </row>
    <row r="3096">
      <c r="J3096" s="225"/>
    </row>
    <row r="3097">
      <c r="J3097" s="225"/>
    </row>
    <row r="3098">
      <c r="J3098" s="225"/>
    </row>
    <row r="3099">
      <c r="J3099" s="225"/>
    </row>
    <row r="3100">
      <c r="J3100" s="225"/>
    </row>
    <row r="3101">
      <c r="J3101" s="225"/>
    </row>
    <row r="3102">
      <c r="J3102" s="225"/>
    </row>
    <row r="3103">
      <c r="J3103" s="225"/>
    </row>
    <row r="3104">
      <c r="J3104" s="225"/>
    </row>
    <row r="3105">
      <c r="J3105" s="225"/>
    </row>
    <row r="3106">
      <c r="J3106" s="225"/>
    </row>
    <row r="3107">
      <c r="J3107" s="225"/>
    </row>
    <row r="3108">
      <c r="J3108" s="225"/>
    </row>
    <row r="3109">
      <c r="J3109" s="225"/>
    </row>
    <row r="3110">
      <c r="J3110" s="225"/>
    </row>
    <row r="3111">
      <c r="J3111" s="225"/>
    </row>
    <row r="3112">
      <c r="J3112" s="225"/>
    </row>
    <row r="3113">
      <c r="J3113" s="225"/>
    </row>
    <row r="3114">
      <c r="J3114" s="225"/>
    </row>
    <row r="3115">
      <c r="J3115" s="225"/>
    </row>
    <row r="3116">
      <c r="J3116" s="225"/>
    </row>
    <row r="3117">
      <c r="J3117" s="225"/>
    </row>
    <row r="3118">
      <c r="J3118" s="225"/>
    </row>
    <row r="3119">
      <c r="J3119" s="225"/>
    </row>
    <row r="3120">
      <c r="J3120" s="225"/>
    </row>
    <row r="3121">
      <c r="J3121" s="225"/>
    </row>
    <row r="3122">
      <c r="J3122" s="225"/>
    </row>
    <row r="3123">
      <c r="J3123" s="225"/>
    </row>
    <row r="3124">
      <c r="J3124" s="225"/>
    </row>
    <row r="3125">
      <c r="J3125" s="225"/>
    </row>
    <row r="3126">
      <c r="J3126" s="225"/>
    </row>
    <row r="3127">
      <c r="J3127" s="225"/>
    </row>
    <row r="3128">
      <c r="J3128" s="225"/>
    </row>
    <row r="3129">
      <c r="J3129" s="225"/>
    </row>
    <row r="3130">
      <c r="J3130" s="225"/>
    </row>
    <row r="3131">
      <c r="J3131" s="225"/>
    </row>
    <row r="3132">
      <c r="J3132" s="225"/>
    </row>
    <row r="3133">
      <c r="J3133" s="225"/>
    </row>
    <row r="3134">
      <c r="J3134" s="225"/>
    </row>
    <row r="3135">
      <c r="J3135" s="225"/>
    </row>
    <row r="3136">
      <c r="J3136" s="225"/>
    </row>
    <row r="3137">
      <c r="J3137" s="225"/>
    </row>
    <row r="3138">
      <c r="J3138" s="225"/>
    </row>
    <row r="3139">
      <c r="J3139" s="225"/>
    </row>
    <row r="3140">
      <c r="J3140" s="225"/>
    </row>
    <row r="3141">
      <c r="J3141" s="225"/>
    </row>
    <row r="3142">
      <c r="J3142" s="225"/>
    </row>
    <row r="3143">
      <c r="J3143" s="225"/>
    </row>
    <row r="3144">
      <c r="J3144" s="225"/>
    </row>
    <row r="3145">
      <c r="J3145" s="225"/>
    </row>
    <row r="3146">
      <c r="J3146" s="225"/>
    </row>
    <row r="3147">
      <c r="J3147" s="225"/>
    </row>
    <row r="3148">
      <c r="J3148" s="225"/>
    </row>
    <row r="3149">
      <c r="J3149" s="225"/>
    </row>
    <row r="3150">
      <c r="J3150" s="225"/>
    </row>
    <row r="3151">
      <c r="J3151" s="225"/>
    </row>
    <row r="3152">
      <c r="J3152" s="225"/>
    </row>
    <row r="3153">
      <c r="J3153" s="225"/>
    </row>
    <row r="3154">
      <c r="J3154" s="225"/>
    </row>
    <row r="3155">
      <c r="J3155" s="225"/>
    </row>
    <row r="3156">
      <c r="J3156" s="225"/>
    </row>
    <row r="3157">
      <c r="J3157" s="225"/>
    </row>
    <row r="3158">
      <c r="J3158" s="225"/>
    </row>
    <row r="3159">
      <c r="J3159" s="225"/>
    </row>
    <row r="3160">
      <c r="J3160" s="225"/>
    </row>
    <row r="3161">
      <c r="J3161" s="225"/>
    </row>
    <row r="3162">
      <c r="J3162" s="225"/>
    </row>
    <row r="3163">
      <c r="J3163" s="225"/>
    </row>
    <row r="3164">
      <c r="J3164" s="225"/>
    </row>
    <row r="3165">
      <c r="J3165" s="225"/>
    </row>
    <row r="3166">
      <c r="J3166" s="225"/>
    </row>
    <row r="3167">
      <c r="J3167" s="225"/>
    </row>
    <row r="3168">
      <c r="J3168" s="225"/>
    </row>
    <row r="3169">
      <c r="J3169" s="225"/>
    </row>
    <row r="3170">
      <c r="J3170" s="225"/>
    </row>
    <row r="3171">
      <c r="J3171" s="225"/>
    </row>
    <row r="3172">
      <c r="J3172" s="225"/>
    </row>
    <row r="3173">
      <c r="J3173" s="225"/>
    </row>
    <row r="3174">
      <c r="J3174" s="225"/>
    </row>
    <row r="3175">
      <c r="J3175" s="225"/>
    </row>
    <row r="3176">
      <c r="J3176" s="225"/>
    </row>
    <row r="3177">
      <c r="J3177" s="225"/>
    </row>
    <row r="3178">
      <c r="J3178" s="225"/>
    </row>
    <row r="3179">
      <c r="J3179" s="225"/>
    </row>
    <row r="3180">
      <c r="J3180" s="225"/>
    </row>
    <row r="3181">
      <c r="J3181" s="225"/>
    </row>
    <row r="3182">
      <c r="J3182" s="225"/>
    </row>
    <row r="3183">
      <c r="J3183" s="225"/>
    </row>
    <row r="3184">
      <c r="J3184" s="225"/>
    </row>
    <row r="3185">
      <c r="J3185" s="225"/>
    </row>
    <row r="3186">
      <c r="J3186" s="225"/>
    </row>
    <row r="3187">
      <c r="J3187" s="225"/>
    </row>
    <row r="3188">
      <c r="J3188" s="225"/>
    </row>
    <row r="3189">
      <c r="J3189" s="225"/>
    </row>
    <row r="3190">
      <c r="J3190" s="225"/>
    </row>
    <row r="3191">
      <c r="J3191" s="225"/>
    </row>
    <row r="3192">
      <c r="J3192" s="225"/>
    </row>
    <row r="3193">
      <c r="J3193" s="225"/>
    </row>
    <row r="3194">
      <c r="J3194" s="225"/>
    </row>
    <row r="3195">
      <c r="J3195" s="225"/>
    </row>
    <row r="3196">
      <c r="J3196" s="225"/>
    </row>
    <row r="3197">
      <c r="J3197" s="225"/>
    </row>
    <row r="3198">
      <c r="J3198" s="225"/>
    </row>
    <row r="3199">
      <c r="J3199" s="225"/>
    </row>
    <row r="3200">
      <c r="J3200" s="225"/>
    </row>
    <row r="3201">
      <c r="J3201" s="225"/>
    </row>
    <row r="3202">
      <c r="J3202" s="225"/>
    </row>
    <row r="3203">
      <c r="J3203" s="225"/>
    </row>
    <row r="3204">
      <c r="J3204" s="225"/>
    </row>
    <row r="3205">
      <c r="J3205" s="225"/>
    </row>
    <row r="3206">
      <c r="J3206" s="225"/>
    </row>
    <row r="3207">
      <c r="J3207" s="225"/>
    </row>
    <row r="3208">
      <c r="J3208" s="225"/>
    </row>
    <row r="3209">
      <c r="J3209" s="225"/>
    </row>
    <row r="3210">
      <c r="J3210" s="225"/>
    </row>
    <row r="3211">
      <c r="J3211" s="225"/>
    </row>
    <row r="3212">
      <c r="J3212" s="225"/>
    </row>
    <row r="3213">
      <c r="J3213" s="225"/>
    </row>
    <row r="3214">
      <c r="J3214" s="225"/>
    </row>
    <row r="3215">
      <c r="J3215" s="225"/>
    </row>
    <row r="3216">
      <c r="J3216" s="225"/>
    </row>
    <row r="3217">
      <c r="J3217" s="225"/>
    </row>
    <row r="3218">
      <c r="J3218" s="225"/>
    </row>
    <row r="3219">
      <c r="J3219" s="225"/>
    </row>
    <row r="3220">
      <c r="J3220" s="225"/>
    </row>
    <row r="3221">
      <c r="J3221" s="225"/>
    </row>
    <row r="3222">
      <c r="J3222" s="225"/>
    </row>
    <row r="3223">
      <c r="J3223" s="225"/>
    </row>
    <row r="3224">
      <c r="J3224" s="225"/>
    </row>
    <row r="3225">
      <c r="J3225" s="225"/>
    </row>
    <row r="3226">
      <c r="J3226" s="225"/>
    </row>
    <row r="3227">
      <c r="J3227" s="225"/>
    </row>
    <row r="3228">
      <c r="J3228" s="225"/>
    </row>
    <row r="3229">
      <c r="J3229" s="225"/>
    </row>
    <row r="3230">
      <c r="J3230" s="225"/>
    </row>
    <row r="3231">
      <c r="J3231" s="225"/>
    </row>
    <row r="3232">
      <c r="J3232" s="225"/>
    </row>
    <row r="3233">
      <c r="J3233" s="225"/>
    </row>
    <row r="3234">
      <c r="J3234" s="225"/>
    </row>
    <row r="3235">
      <c r="J3235" s="225"/>
    </row>
    <row r="3236">
      <c r="J3236" s="225"/>
    </row>
    <row r="3237">
      <c r="J3237" s="225"/>
    </row>
    <row r="3238">
      <c r="J3238" s="225"/>
    </row>
    <row r="3239">
      <c r="J3239" s="225"/>
    </row>
    <row r="3240">
      <c r="J3240" s="225"/>
    </row>
    <row r="3241">
      <c r="J3241" s="225"/>
    </row>
    <row r="3242">
      <c r="J3242" s="225"/>
    </row>
    <row r="3243">
      <c r="J3243" s="225"/>
    </row>
    <row r="3244">
      <c r="J3244" s="225"/>
    </row>
    <row r="3245">
      <c r="J3245" s="225"/>
    </row>
    <row r="3246">
      <c r="J3246" s="225"/>
    </row>
    <row r="3247">
      <c r="J3247" s="225"/>
    </row>
    <row r="3248">
      <c r="J3248" s="225"/>
    </row>
    <row r="3249">
      <c r="J3249" s="225"/>
    </row>
    <row r="3250">
      <c r="J3250" s="225"/>
    </row>
    <row r="3251">
      <c r="J3251" s="225"/>
    </row>
    <row r="3252">
      <c r="J3252" s="225"/>
    </row>
    <row r="3253">
      <c r="J3253" s="225"/>
    </row>
    <row r="3254">
      <c r="J3254" s="225"/>
    </row>
    <row r="3255">
      <c r="J3255" s="225"/>
    </row>
    <row r="3256">
      <c r="J3256" s="225"/>
    </row>
    <row r="3257">
      <c r="J3257" s="225"/>
    </row>
    <row r="3258">
      <c r="J3258" s="225"/>
    </row>
    <row r="3259">
      <c r="J3259" s="225"/>
    </row>
    <row r="3260">
      <c r="J3260" s="225"/>
    </row>
    <row r="3261">
      <c r="J3261" s="225"/>
    </row>
    <row r="3262">
      <c r="J3262" s="225"/>
    </row>
    <row r="3263">
      <c r="J3263" s="225"/>
    </row>
    <row r="3264">
      <c r="J3264" s="225"/>
    </row>
    <row r="3265">
      <c r="J3265" s="225"/>
    </row>
    <row r="3266">
      <c r="J3266" s="225"/>
    </row>
    <row r="3267">
      <c r="J3267" s="225"/>
    </row>
    <row r="3268">
      <c r="J3268" s="225"/>
    </row>
    <row r="3269">
      <c r="J3269" s="225"/>
    </row>
    <row r="3270">
      <c r="J3270" s="225"/>
    </row>
    <row r="3271">
      <c r="J3271" s="225"/>
    </row>
    <row r="3272">
      <c r="J3272" s="225"/>
    </row>
    <row r="3273">
      <c r="J3273" s="225"/>
    </row>
    <row r="3274">
      <c r="J3274" s="225"/>
    </row>
    <row r="3275">
      <c r="J3275" s="225"/>
    </row>
    <row r="3276">
      <c r="J3276" s="225"/>
    </row>
    <row r="3277">
      <c r="J3277" s="225"/>
    </row>
    <row r="3278">
      <c r="J3278" s="225"/>
    </row>
    <row r="3279">
      <c r="J3279" s="225"/>
    </row>
    <row r="3280">
      <c r="J3280" s="225"/>
    </row>
    <row r="3281">
      <c r="J3281" s="225"/>
    </row>
    <row r="3282">
      <c r="J3282" s="225"/>
    </row>
    <row r="3283">
      <c r="J3283" s="225"/>
    </row>
    <row r="3284">
      <c r="J3284" s="225"/>
    </row>
    <row r="3285">
      <c r="J3285" s="225"/>
    </row>
    <row r="3286">
      <c r="J3286" s="225"/>
    </row>
    <row r="3287">
      <c r="J3287" s="225"/>
    </row>
    <row r="3288">
      <c r="J3288" s="225"/>
    </row>
    <row r="3289">
      <c r="J3289" s="225"/>
    </row>
    <row r="3290">
      <c r="J3290" s="225"/>
    </row>
    <row r="3291">
      <c r="J3291" s="225"/>
    </row>
    <row r="3292">
      <c r="J3292" s="225"/>
    </row>
    <row r="3293">
      <c r="J3293" s="225"/>
    </row>
    <row r="3294">
      <c r="J3294" s="225"/>
    </row>
    <row r="3295">
      <c r="J3295" s="225"/>
    </row>
    <row r="3296">
      <c r="J3296" s="225"/>
    </row>
    <row r="3297">
      <c r="J3297" s="225"/>
    </row>
    <row r="3298">
      <c r="J3298" s="225"/>
    </row>
    <row r="3299">
      <c r="J3299" s="225"/>
    </row>
    <row r="3300">
      <c r="J3300" s="225"/>
    </row>
    <row r="3301">
      <c r="J3301" s="225"/>
    </row>
    <row r="3302">
      <c r="J3302" s="225"/>
    </row>
    <row r="3303">
      <c r="J3303" s="225"/>
    </row>
    <row r="3304">
      <c r="J3304" s="225"/>
    </row>
    <row r="3305">
      <c r="J3305" s="225"/>
    </row>
    <row r="3306">
      <c r="J3306" s="225"/>
    </row>
    <row r="3307">
      <c r="J3307" s="225"/>
    </row>
    <row r="3308">
      <c r="J3308" s="225"/>
    </row>
    <row r="3309">
      <c r="J3309" s="225"/>
    </row>
    <row r="3310">
      <c r="J3310" s="225"/>
    </row>
    <row r="3311">
      <c r="J3311" s="225"/>
    </row>
    <row r="3312">
      <c r="J3312" s="225"/>
    </row>
    <row r="3313">
      <c r="J3313" s="225"/>
    </row>
    <row r="3314">
      <c r="J3314" s="225"/>
    </row>
    <row r="3315">
      <c r="J3315" s="225"/>
    </row>
    <row r="3316">
      <c r="J3316" s="225"/>
    </row>
    <row r="3317">
      <c r="J3317" s="225"/>
    </row>
    <row r="3318">
      <c r="J3318" s="225"/>
    </row>
    <row r="3319">
      <c r="J3319" s="225"/>
    </row>
    <row r="3320">
      <c r="J3320" s="225"/>
    </row>
    <row r="3321">
      <c r="J3321" s="225"/>
    </row>
    <row r="3322">
      <c r="J3322" s="225"/>
    </row>
    <row r="3323">
      <c r="J3323" s="225"/>
    </row>
    <row r="3324">
      <c r="J3324" s="225"/>
    </row>
    <row r="3325">
      <c r="J3325" s="225"/>
    </row>
    <row r="3326">
      <c r="J3326" s="225"/>
    </row>
    <row r="3327">
      <c r="J3327" s="225"/>
    </row>
    <row r="3328">
      <c r="J3328" s="225"/>
    </row>
    <row r="3329">
      <c r="J3329" s="225"/>
    </row>
    <row r="3330">
      <c r="J3330" s="225"/>
    </row>
    <row r="3331">
      <c r="J3331" s="225"/>
    </row>
    <row r="3332">
      <c r="J3332" s="225"/>
    </row>
    <row r="3333">
      <c r="J3333" s="225"/>
    </row>
    <row r="3334">
      <c r="J3334" s="225"/>
    </row>
    <row r="3335">
      <c r="J3335" s="225"/>
    </row>
    <row r="3336">
      <c r="J3336" s="225"/>
    </row>
    <row r="3337">
      <c r="J3337" s="225"/>
    </row>
    <row r="3338">
      <c r="J3338" s="225"/>
    </row>
    <row r="3339">
      <c r="J3339" s="225"/>
    </row>
    <row r="3340">
      <c r="J3340" s="225"/>
    </row>
    <row r="3341">
      <c r="J3341" s="225"/>
    </row>
    <row r="3342">
      <c r="J3342" s="225"/>
    </row>
    <row r="3343">
      <c r="J3343" s="225"/>
    </row>
    <row r="3344">
      <c r="J3344" s="225"/>
    </row>
    <row r="3345">
      <c r="J3345" s="225"/>
    </row>
    <row r="3346">
      <c r="J3346" s="225"/>
    </row>
    <row r="3347">
      <c r="J3347" s="225"/>
    </row>
    <row r="3348">
      <c r="J3348" s="225"/>
    </row>
    <row r="3349">
      <c r="J3349" s="225"/>
    </row>
    <row r="3350">
      <c r="J3350" s="225"/>
    </row>
    <row r="3351">
      <c r="J3351" s="225"/>
    </row>
    <row r="3352">
      <c r="J3352" s="225"/>
    </row>
    <row r="3353">
      <c r="J3353" s="225"/>
    </row>
    <row r="3354">
      <c r="J3354" s="225"/>
    </row>
    <row r="3355">
      <c r="J3355" s="225"/>
    </row>
    <row r="3356">
      <c r="J3356" s="225"/>
    </row>
    <row r="3357">
      <c r="J3357" s="225"/>
    </row>
    <row r="3358">
      <c r="J3358" s="225"/>
    </row>
    <row r="3359">
      <c r="J3359" s="225"/>
    </row>
    <row r="3360">
      <c r="J3360" s="225"/>
    </row>
    <row r="3361">
      <c r="J3361" s="225"/>
    </row>
    <row r="3362">
      <c r="J3362" s="225"/>
    </row>
    <row r="3363">
      <c r="J3363" s="225"/>
    </row>
    <row r="3364">
      <c r="J3364" s="225"/>
    </row>
    <row r="3365">
      <c r="J3365" s="225"/>
    </row>
    <row r="3366">
      <c r="J3366" s="225"/>
    </row>
    <row r="3367">
      <c r="J3367" s="225"/>
    </row>
    <row r="3368">
      <c r="J3368" s="225"/>
    </row>
    <row r="3369">
      <c r="J3369" s="225"/>
    </row>
    <row r="3370">
      <c r="J3370" s="225"/>
    </row>
    <row r="3371">
      <c r="J3371" s="225"/>
    </row>
    <row r="3372">
      <c r="J3372" s="225"/>
    </row>
    <row r="3373">
      <c r="J3373" s="225"/>
    </row>
    <row r="3374">
      <c r="J3374" s="225"/>
    </row>
    <row r="3375">
      <c r="J3375" s="225"/>
    </row>
    <row r="3376">
      <c r="J3376" s="225"/>
    </row>
    <row r="3377">
      <c r="J3377" s="225"/>
    </row>
    <row r="3378">
      <c r="J3378" s="225"/>
    </row>
    <row r="3379">
      <c r="J3379" s="225"/>
    </row>
    <row r="3380">
      <c r="J3380" s="225"/>
    </row>
    <row r="3381">
      <c r="J3381" s="225"/>
    </row>
    <row r="3382">
      <c r="J3382" s="225"/>
    </row>
    <row r="3383">
      <c r="J3383" s="225"/>
    </row>
    <row r="3384">
      <c r="J3384" s="225"/>
    </row>
    <row r="3385">
      <c r="J3385" s="225"/>
    </row>
    <row r="3386">
      <c r="J3386" s="225"/>
    </row>
    <row r="3387">
      <c r="J3387" s="225"/>
    </row>
    <row r="3388">
      <c r="J3388" s="225"/>
    </row>
    <row r="3389">
      <c r="J3389" s="225"/>
    </row>
    <row r="3390">
      <c r="J3390" s="225"/>
    </row>
    <row r="3391">
      <c r="J3391" s="225"/>
    </row>
    <row r="3392">
      <c r="J3392" s="225"/>
    </row>
    <row r="3393">
      <c r="J3393" s="225"/>
    </row>
    <row r="3394">
      <c r="J3394" s="225"/>
    </row>
    <row r="3395">
      <c r="J3395" s="225"/>
    </row>
    <row r="3396">
      <c r="J3396" s="225"/>
    </row>
    <row r="3397">
      <c r="J3397" s="225"/>
    </row>
    <row r="3398">
      <c r="J3398" s="225"/>
    </row>
    <row r="3399">
      <c r="J3399" s="225"/>
    </row>
    <row r="3400">
      <c r="J3400" s="225"/>
    </row>
    <row r="3401">
      <c r="J3401" s="225"/>
    </row>
    <row r="3402">
      <c r="J3402" s="225"/>
    </row>
    <row r="3403">
      <c r="J3403" s="225"/>
    </row>
    <row r="3404">
      <c r="J3404" s="225"/>
    </row>
    <row r="3405">
      <c r="J3405" s="225"/>
    </row>
    <row r="3406">
      <c r="J3406" s="225"/>
    </row>
    <row r="3407">
      <c r="J3407" s="225"/>
    </row>
    <row r="3408">
      <c r="J3408" s="225"/>
    </row>
    <row r="3409">
      <c r="J3409" s="225"/>
    </row>
    <row r="3410">
      <c r="J3410" s="225"/>
    </row>
    <row r="3411">
      <c r="J3411" s="225"/>
    </row>
    <row r="3412">
      <c r="J3412" s="225"/>
    </row>
    <row r="3413">
      <c r="J3413" s="225"/>
    </row>
    <row r="3414">
      <c r="J3414" s="225"/>
    </row>
    <row r="3415">
      <c r="J3415" s="225"/>
    </row>
    <row r="3416">
      <c r="J3416" s="225"/>
    </row>
    <row r="3417">
      <c r="J3417" s="225"/>
    </row>
    <row r="3418">
      <c r="J3418" s="225"/>
    </row>
    <row r="3419">
      <c r="J3419" s="225"/>
    </row>
    <row r="3420">
      <c r="J3420" s="225"/>
    </row>
    <row r="3421">
      <c r="J3421" s="225"/>
    </row>
    <row r="3422">
      <c r="J3422" s="225"/>
    </row>
    <row r="3423">
      <c r="J3423" s="225"/>
    </row>
    <row r="3424">
      <c r="J3424" s="225"/>
    </row>
    <row r="3425">
      <c r="J3425" s="225"/>
    </row>
    <row r="3426">
      <c r="J3426" s="225"/>
    </row>
    <row r="3427">
      <c r="J3427" s="225"/>
    </row>
    <row r="3428">
      <c r="J3428" s="225"/>
    </row>
    <row r="3429">
      <c r="J3429" s="225"/>
    </row>
    <row r="3430">
      <c r="J3430" s="225"/>
    </row>
    <row r="3431">
      <c r="J3431" s="225"/>
    </row>
    <row r="3432">
      <c r="J3432" s="225"/>
    </row>
    <row r="3433">
      <c r="J3433" s="225"/>
    </row>
    <row r="3434">
      <c r="J3434" s="225"/>
    </row>
    <row r="3435">
      <c r="J3435" s="225"/>
    </row>
    <row r="3436">
      <c r="J3436" s="225"/>
    </row>
    <row r="3437">
      <c r="J3437" s="225"/>
    </row>
    <row r="3438">
      <c r="J3438" s="225"/>
    </row>
    <row r="3439">
      <c r="J3439" s="225"/>
    </row>
    <row r="3440">
      <c r="J3440" s="225"/>
    </row>
    <row r="3441">
      <c r="J3441" s="225"/>
    </row>
    <row r="3442">
      <c r="J3442" s="225"/>
    </row>
    <row r="3443">
      <c r="J3443" s="225"/>
    </row>
    <row r="3444">
      <c r="J3444" s="225"/>
    </row>
    <row r="3445">
      <c r="J3445" s="225"/>
    </row>
    <row r="3446">
      <c r="J3446" s="225"/>
    </row>
    <row r="3447">
      <c r="J3447" s="225"/>
    </row>
    <row r="3448">
      <c r="J3448" s="225"/>
    </row>
    <row r="3449">
      <c r="J3449" s="225"/>
    </row>
    <row r="3450">
      <c r="J3450" s="225"/>
    </row>
    <row r="3451">
      <c r="J3451" s="225"/>
    </row>
    <row r="3452">
      <c r="J3452" s="225"/>
    </row>
    <row r="3453">
      <c r="J3453" s="225"/>
    </row>
    <row r="3454">
      <c r="J3454" s="225"/>
    </row>
    <row r="3455">
      <c r="J3455" s="225"/>
    </row>
    <row r="3456">
      <c r="J3456" s="225"/>
    </row>
    <row r="3457">
      <c r="J3457" s="225"/>
    </row>
    <row r="3458">
      <c r="J3458" s="225"/>
    </row>
    <row r="3459">
      <c r="J3459" s="225"/>
    </row>
    <row r="3460">
      <c r="J3460" s="225"/>
    </row>
    <row r="3461">
      <c r="J3461" s="225"/>
    </row>
    <row r="3462">
      <c r="J3462" s="225"/>
    </row>
    <row r="3463">
      <c r="J3463" s="225"/>
    </row>
    <row r="3464">
      <c r="J3464" s="225"/>
    </row>
    <row r="3465">
      <c r="J3465" s="225"/>
    </row>
    <row r="3466">
      <c r="J3466" s="225"/>
    </row>
    <row r="3467">
      <c r="J3467" s="225"/>
    </row>
    <row r="3468">
      <c r="J3468" s="225"/>
    </row>
    <row r="3469">
      <c r="J3469" s="225"/>
    </row>
    <row r="3470">
      <c r="J3470" s="225"/>
    </row>
    <row r="3471">
      <c r="J3471" s="225"/>
    </row>
    <row r="3472">
      <c r="J3472" s="225"/>
    </row>
    <row r="3473">
      <c r="J3473" s="225"/>
    </row>
    <row r="3474">
      <c r="J3474" s="225"/>
    </row>
    <row r="3475">
      <c r="J3475" s="225"/>
    </row>
    <row r="3476">
      <c r="J3476" s="225"/>
    </row>
    <row r="3477">
      <c r="J3477" s="225"/>
    </row>
    <row r="3478">
      <c r="J3478" s="225"/>
    </row>
    <row r="3479">
      <c r="J3479" s="225"/>
    </row>
    <row r="3480">
      <c r="J3480" s="225"/>
    </row>
    <row r="3481">
      <c r="J3481" s="225"/>
    </row>
    <row r="3482">
      <c r="J3482" s="225"/>
    </row>
    <row r="3483">
      <c r="J3483" s="225"/>
    </row>
    <row r="3484">
      <c r="J3484" s="225"/>
    </row>
    <row r="3485">
      <c r="J3485" s="225"/>
    </row>
    <row r="3486">
      <c r="J3486" s="225"/>
    </row>
    <row r="3487">
      <c r="J3487" s="225"/>
    </row>
    <row r="3488">
      <c r="J3488" s="225"/>
    </row>
    <row r="3489">
      <c r="J3489" s="225"/>
    </row>
    <row r="3490">
      <c r="J3490" s="225"/>
    </row>
    <row r="3491">
      <c r="J3491" s="225"/>
    </row>
    <row r="3492">
      <c r="J3492" s="225"/>
    </row>
    <row r="3493">
      <c r="J3493" s="225"/>
    </row>
    <row r="3494">
      <c r="J3494" s="225"/>
    </row>
    <row r="3495">
      <c r="J3495" s="225"/>
    </row>
    <row r="3496">
      <c r="J3496" s="225"/>
    </row>
    <row r="3497">
      <c r="J3497" s="225"/>
    </row>
    <row r="3498">
      <c r="J3498" s="225"/>
    </row>
    <row r="3499">
      <c r="J3499" s="225"/>
    </row>
    <row r="3500">
      <c r="J3500" s="225"/>
    </row>
    <row r="3501">
      <c r="J3501" s="225"/>
    </row>
    <row r="3502">
      <c r="J3502" s="225"/>
    </row>
    <row r="3503">
      <c r="J3503" s="225"/>
    </row>
    <row r="3504">
      <c r="J3504" s="225"/>
    </row>
    <row r="3505">
      <c r="J3505" s="225"/>
    </row>
    <row r="3506">
      <c r="J3506" s="225"/>
    </row>
    <row r="3507">
      <c r="J3507" s="225"/>
    </row>
    <row r="3508">
      <c r="J3508" s="225"/>
    </row>
    <row r="3509">
      <c r="J3509" s="225"/>
    </row>
    <row r="3510">
      <c r="J3510" s="225"/>
    </row>
    <row r="3511">
      <c r="J3511" s="225"/>
    </row>
    <row r="3512">
      <c r="J3512" s="225"/>
    </row>
    <row r="3513">
      <c r="J3513" s="225"/>
    </row>
    <row r="3514">
      <c r="J3514" s="225"/>
    </row>
    <row r="3515">
      <c r="J3515" s="225"/>
    </row>
    <row r="3516">
      <c r="J3516" s="225"/>
    </row>
    <row r="3517">
      <c r="J3517" s="225"/>
    </row>
    <row r="3518">
      <c r="J3518" s="225"/>
    </row>
    <row r="3519">
      <c r="J3519" s="225"/>
    </row>
    <row r="3520">
      <c r="J3520" s="225"/>
    </row>
    <row r="3521">
      <c r="J3521" s="225"/>
    </row>
    <row r="3522">
      <c r="J3522" s="225"/>
    </row>
    <row r="3523">
      <c r="J3523" s="225"/>
    </row>
    <row r="3524">
      <c r="J3524" s="225"/>
    </row>
    <row r="3525">
      <c r="J3525" s="225"/>
    </row>
    <row r="3526">
      <c r="J3526" s="225"/>
    </row>
    <row r="3527">
      <c r="J3527" s="225"/>
    </row>
    <row r="3528">
      <c r="J3528" s="225"/>
    </row>
    <row r="3529">
      <c r="J3529" s="225"/>
    </row>
    <row r="3530">
      <c r="J3530" s="225"/>
    </row>
    <row r="3531">
      <c r="J3531" s="225"/>
    </row>
    <row r="3532">
      <c r="J3532" s="225"/>
    </row>
    <row r="3533">
      <c r="J3533" s="225"/>
    </row>
    <row r="3534">
      <c r="J3534" s="225"/>
    </row>
    <row r="3535">
      <c r="J3535" s="225"/>
    </row>
    <row r="3536">
      <c r="J3536" s="225"/>
    </row>
    <row r="3537">
      <c r="J3537" s="225"/>
    </row>
    <row r="3538">
      <c r="J3538" s="225"/>
    </row>
    <row r="3539">
      <c r="J3539" s="225"/>
    </row>
    <row r="3540">
      <c r="J3540" s="225"/>
    </row>
    <row r="3541">
      <c r="J3541" s="225"/>
    </row>
    <row r="3542">
      <c r="J3542" s="225"/>
    </row>
    <row r="3543">
      <c r="J3543" s="225"/>
    </row>
    <row r="3544">
      <c r="J3544" s="225"/>
    </row>
    <row r="3545">
      <c r="J3545" s="225"/>
    </row>
    <row r="3546">
      <c r="J3546" s="225"/>
    </row>
    <row r="3547">
      <c r="J3547" s="225"/>
    </row>
    <row r="3548">
      <c r="J3548" s="225"/>
    </row>
    <row r="3549">
      <c r="J3549" s="225"/>
    </row>
    <row r="3550">
      <c r="J3550" s="225"/>
    </row>
    <row r="3551">
      <c r="J3551" s="225"/>
    </row>
    <row r="3552">
      <c r="J3552" s="225"/>
    </row>
    <row r="3553">
      <c r="J3553" s="225"/>
    </row>
    <row r="3554">
      <c r="J3554" s="225"/>
    </row>
    <row r="3555">
      <c r="J3555" s="225"/>
    </row>
    <row r="3556">
      <c r="J3556" s="225"/>
    </row>
    <row r="3557">
      <c r="J3557" s="225"/>
    </row>
    <row r="3558">
      <c r="J3558" s="225"/>
    </row>
    <row r="3559">
      <c r="J3559" s="225"/>
    </row>
    <row r="3560">
      <c r="J3560" s="225"/>
    </row>
    <row r="3561">
      <c r="J3561" s="225"/>
    </row>
    <row r="3562">
      <c r="J3562" s="225"/>
    </row>
    <row r="3563">
      <c r="J3563" s="225"/>
    </row>
    <row r="3564">
      <c r="J3564" s="225"/>
    </row>
    <row r="3565">
      <c r="J3565" s="225"/>
    </row>
    <row r="3566">
      <c r="J3566" s="225"/>
    </row>
    <row r="3567">
      <c r="J3567" s="225"/>
    </row>
    <row r="3568">
      <c r="J3568" s="225"/>
    </row>
    <row r="3569">
      <c r="J3569" s="225"/>
    </row>
    <row r="3570">
      <c r="J3570" s="225"/>
    </row>
    <row r="3571">
      <c r="J3571" s="225"/>
    </row>
    <row r="3572">
      <c r="J3572" s="225"/>
    </row>
    <row r="3573">
      <c r="J3573" s="225"/>
    </row>
    <row r="3574">
      <c r="J3574" s="225"/>
    </row>
    <row r="3575">
      <c r="J3575" s="225"/>
    </row>
    <row r="3576">
      <c r="J3576" s="225"/>
    </row>
    <row r="3577">
      <c r="J3577" s="225"/>
    </row>
    <row r="3578">
      <c r="J3578" s="225"/>
    </row>
    <row r="3579">
      <c r="J3579" s="225"/>
    </row>
    <row r="3580">
      <c r="J3580" s="225"/>
    </row>
    <row r="3581">
      <c r="J3581" s="225"/>
    </row>
    <row r="3582">
      <c r="J3582" s="225"/>
    </row>
    <row r="3583">
      <c r="J3583" s="225"/>
    </row>
    <row r="3584">
      <c r="J3584" s="225"/>
    </row>
    <row r="3585">
      <c r="J3585" s="225"/>
    </row>
    <row r="3586">
      <c r="J3586" s="225"/>
    </row>
    <row r="3587">
      <c r="J3587" s="225"/>
    </row>
    <row r="3588">
      <c r="J3588" s="225"/>
    </row>
    <row r="3589">
      <c r="J3589" s="225"/>
    </row>
    <row r="3590">
      <c r="J3590" s="225"/>
    </row>
    <row r="3591">
      <c r="J3591" s="225"/>
    </row>
    <row r="3592">
      <c r="J3592" s="225"/>
    </row>
    <row r="3593">
      <c r="J3593" s="225"/>
    </row>
    <row r="3594">
      <c r="J3594" s="225"/>
    </row>
    <row r="3595">
      <c r="J3595" s="225"/>
    </row>
    <row r="3596">
      <c r="J3596" s="225"/>
    </row>
    <row r="3597">
      <c r="J3597" s="225"/>
    </row>
    <row r="3598">
      <c r="J3598" s="225"/>
    </row>
    <row r="3599">
      <c r="J3599" s="225"/>
    </row>
    <row r="3600">
      <c r="J3600" s="225"/>
    </row>
    <row r="3601">
      <c r="J3601" s="225"/>
    </row>
    <row r="3602">
      <c r="J3602" s="225"/>
    </row>
    <row r="3603">
      <c r="J3603" s="225"/>
    </row>
    <row r="3604">
      <c r="J3604" s="225"/>
    </row>
    <row r="3605">
      <c r="J3605" s="225"/>
    </row>
    <row r="3606">
      <c r="J3606" s="225"/>
    </row>
    <row r="3607">
      <c r="J3607" s="225"/>
    </row>
    <row r="3608">
      <c r="J3608" s="225"/>
    </row>
    <row r="3609">
      <c r="J3609" s="225"/>
    </row>
    <row r="3610">
      <c r="J3610" s="225"/>
    </row>
    <row r="3611">
      <c r="J3611" s="225"/>
    </row>
    <row r="3612">
      <c r="J3612" s="225"/>
    </row>
    <row r="3613">
      <c r="J3613" s="225"/>
    </row>
    <row r="3614">
      <c r="J3614" s="225"/>
    </row>
    <row r="3615">
      <c r="J3615" s="225"/>
    </row>
    <row r="3616">
      <c r="J3616" s="225"/>
    </row>
    <row r="3617">
      <c r="J3617" s="225"/>
    </row>
    <row r="3618">
      <c r="J3618" s="225"/>
    </row>
    <row r="3619">
      <c r="J3619" s="225"/>
    </row>
    <row r="3620">
      <c r="J3620" s="225"/>
    </row>
    <row r="3621">
      <c r="J3621" s="225"/>
    </row>
    <row r="3622">
      <c r="J3622" s="225"/>
    </row>
    <row r="3623">
      <c r="J3623" s="225"/>
    </row>
    <row r="3624">
      <c r="J3624" s="225"/>
    </row>
    <row r="3625">
      <c r="J3625" s="225"/>
    </row>
    <row r="3626">
      <c r="J3626" s="225"/>
    </row>
    <row r="3627">
      <c r="J3627" s="225"/>
    </row>
    <row r="3628">
      <c r="J3628" s="225"/>
    </row>
    <row r="3629">
      <c r="J3629" s="225"/>
    </row>
    <row r="3630">
      <c r="J3630" s="225"/>
    </row>
    <row r="3631">
      <c r="J3631" s="225"/>
    </row>
    <row r="3632">
      <c r="J3632" s="225"/>
    </row>
    <row r="3633">
      <c r="J3633" s="225"/>
    </row>
    <row r="3634">
      <c r="J3634" s="225"/>
    </row>
    <row r="3635">
      <c r="J3635" s="225"/>
    </row>
    <row r="3636">
      <c r="J3636" s="225"/>
    </row>
    <row r="3637">
      <c r="J3637" s="225"/>
    </row>
    <row r="3638">
      <c r="J3638" s="225"/>
    </row>
    <row r="3639">
      <c r="J3639" s="225"/>
    </row>
    <row r="3640">
      <c r="J3640" s="225"/>
    </row>
    <row r="3641">
      <c r="J3641" s="225"/>
    </row>
    <row r="3642">
      <c r="J3642" s="225"/>
    </row>
    <row r="3643">
      <c r="J3643" s="225"/>
    </row>
    <row r="3644">
      <c r="J3644" s="225"/>
    </row>
    <row r="3645">
      <c r="J3645" s="225"/>
    </row>
    <row r="3646">
      <c r="J3646" s="225"/>
    </row>
    <row r="3647">
      <c r="J3647" s="225"/>
    </row>
    <row r="3648">
      <c r="J3648" s="225"/>
    </row>
    <row r="3649">
      <c r="J3649" s="225"/>
    </row>
    <row r="3650">
      <c r="J3650" s="225"/>
    </row>
    <row r="3651">
      <c r="J3651" s="225"/>
    </row>
    <row r="3652">
      <c r="J3652" s="225"/>
    </row>
    <row r="3653">
      <c r="J3653" s="225"/>
    </row>
    <row r="3654">
      <c r="J3654" s="225"/>
    </row>
    <row r="3655">
      <c r="J3655" s="225"/>
    </row>
    <row r="3656">
      <c r="J3656" s="225"/>
    </row>
    <row r="3657">
      <c r="J3657" s="225"/>
    </row>
    <row r="3658">
      <c r="J3658" s="225"/>
    </row>
    <row r="3659">
      <c r="J3659" s="225"/>
    </row>
    <row r="3660">
      <c r="J3660" s="225"/>
    </row>
    <row r="3661">
      <c r="J3661" s="225"/>
    </row>
    <row r="3662">
      <c r="J3662" s="225"/>
    </row>
    <row r="3663">
      <c r="J3663" s="225"/>
    </row>
    <row r="3664">
      <c r="J3664" s="225"/>
    </row>
    <row r="3665">
      <c r="J3665" s="225"/>
    </row>
    <row r="3666">
      <c r="J3666" s="225"/>
    </row>
    <row r="3667">
      <c r="J3667" s="225"/>
    </row>
    <row r="3668">
      <c r="J3668" s="225"/>
    </row>
    <row r="3669">
      <c r="J3669" s="225"/>
    </row>
    <row r="3670">
      <c r="J3670" s="225"/>
    </row>
    <row r="3671">
      <c r="J3671" s="225"/>
    </row>
    <row r="3672">
      <c r="J3672" s="225"/>
    </row>
    <row r="3673">
      <c r="J3673" s="225"/>
    </row>
    <row r="3674">
      <c r="J3674" s="225"/>
    </row>
    <row r="3675">
      <c r="J3675" s="225"/>
    </row>
    <row r="3676">
      <c r="J3676" s="225"/>
    </row>
    <row r="3677">
      <c r="J3677" s="225"/>
    </row>
    <row r="3678">
      <c r="J3678" s="225"/>
    </row>
    <row r="3679">
      <c r="J3679" s="225"/>
    </row>
    <row r="3680">
      <c r="J3680" s="225"/>
    </row>
    <row r="3681">
      <c r="J3681" s="225"/>
    </row>
    <row r="3682">
      <c r="J3682" s="225"/>
    </row>
    <row r="3683">
      <c r="J3683" s="225"/>
    </row>
    <row r="3684">
      <c r="J3684" s="225"/>
    </row>
    <row r="3685">
      <c r="J3685" s="225"/>
    </row>
    <row r="3686">
      <c r="J3686" s="225"/>
    </row>
    <row r="3687">
      <c r="J3687" s="225"/>
    </row>
    <row r="3688">
      <c r="J3688" s="225"/>
    </row>
    <row r="3689">
      <c r="J3689" s="225"/>
    </row>
    <row r="3690">
      <c r="J3690" s="225"/>
    </row>
    <row r="3691">
      <c r="J3691" s="225"/>
    </row>
    <row r="3692">
      <c r="J3692" s="225"/>
    </row>
    <row r="3693">
      <c r="J3693" s="225"/>
    </row>
    <row r="3694">
      <c r="J3694" s="225"/>
    </row>
    <row r="3695">
      <c r="J3695" s="225"/>
    </row>
    <row r="3696">
      <c r="J3696" s="225"/>
    </row>
    <row r="3697">
      <c r="J3697" s="225"/>
    </row>
    <row r="3698">
      <c r="J3698" s="225"/>
    </row>
    <row r="3699">
      <c r="J3699" s="225"/>
    </row>
    <row r="3700">
      <c r="J3700" s="225"/>
    </row>
    <row r="3701">
      <c r="J3701" s="225"/>
    </row>
    <row r="3702">
      <c r="J3702" s="225"/>
    </row>
    <row r="3703">
      <c r="J3703" s="225"/>
    </row>
    <row r="3704">
      <c r="J3704" s="225"/>
    </row>
    <row r="3705">
      <c r="J3705" s="225"/>
    </row>
    <row r="3706">
      <c r="J3706" s="225"/>
    </row>
    <row r="3707">
      <c r="J3707" s="225"/>
    </row>
    <row r="3708">
      <c r="J3708" s="225"/>
    </row>
    <row r="3709">
      <c r="J3709" s="225"/>
    </row>
    <row r="3710">
      <c r="J3710" s="225"/>
    </row>
    <row r="3711">
      <c r="J3711" s="225"/>
    </row>
    <row r="3712">
      <c r="J3712" s="225"/>
    </row>
    <row r="3713">
      <c r="J3713" s="225"/>
    </row>
    <row r="3714">
      <c r="J3714" s="225"/>
    </row>
    <row r="3715">
      <c r="J3715" s="225"/>
    </row>
    <row r="3716">
      <c r="J3716" s="225"/>
    </row>
    <row r="3717">
      <c r="J3717" s="225"/>
    </row>
    <row r="3718">
      <c r="J3718" s="225"/>
    </row>
    <row r="3719">
      <c r="J3719" s="225"/>
    </row>
    <row r="3720">
      <c r="J3720" s="225"/>
    </row>
    <row r="3721">
      <c r="J3721" s="225"/>
    </row>
    <row r="3722">
      <c r="J3722" s="225"/>
    </row>
    <row r="3723">
      <c r="J3723" s="225"/>
    </row>
    <row r="3724">
      <c r="J3724" s="225"/>
    </row>
    <row r="3725">
      <c r="J3725" s="225"/>
    </row>
    <row r="3726">
      <c r="J3726" s="225"/>
    </row>
    <row r="3727">
      <c r="J3727" s="225"/>
    </row>
    <row r="3728">
      <c r="J3728" s="225"/>
    </row>
    <row r="3729">
      <c r="J3729" s="225"/>
    </row>
    <row r="3730">
      <c r="J3730" s="225"/>
    </row>
    <row r="3731">
      <c r="J3731" s="225"/>
    </row>
    <row r="3732">
      <c r="J3732" s="225"/>
    </row>
    <row r="3733">
      <c r="J3733" s="225"/>
    </row>
    <row r="3734">
      <c r="J3734" s="225"/>
    </row>
    <row r="3735">
      <c r="J3735" s="225"/>
    </row>
    <row r="3736">
      <c r="J3736" s="225"/>
    </row>
    <row r="3737">
      <c r="J3737" s="225"/>
    </row>
    <row r="3738">
      <c r="J3738" s="225"/>
    </row>
    <row r="3739">
      <c r="J3739" s="225"/>
    </row>
    <row r="3740">
      <c r="J3740" s="225"/>
    </row>
    <row r="3741">
      <c r="J3741" s="225"/>
    </row>
    <row r="3742">
      <c r="J3742" s="225"/>
    </row>
    <row r="3743">
      <c r="J3743" s="225"/>
    </row>
    <row r="3744">
      <c r="J3744" s="225"/>
    </row>
    <row r="3745">
      <c r="J3745" s="225"/>
    </row>
    <row r="3746">
      <c r="J3746" s="225"/>
    </row>
    <row r="3747">
      <c r="J3747" s="225"/>
    </row>
    <row r="3748">
      <c r="J3748" s="225"/>
    </row>
    <row r="3749">
      <c r="J3749" s="225"/>
    </row>
    <row r="3750">
      <c r="J3750" s="225"/>
    </row>
    <row r="3751">
      <c r="J3751" s="225"/>
    </row>
    <row r="3752">
      <c r="J3752" s="225"/>
    </row>
    <row r="3753">
      <c r="J3753" s="225"/>
    </row>
    <row r="3754">
      <c r="J3754" s="225"/>
    </row>
    <row r="3755">
      <c r="J3755" s="225"/>
    </row>
    <row r="3756">
      <c r="J3756" s="225"/>
    </row>
    <row r="3757">
      <c r="J3757" s="225"/>
    </row>
    <row r="3758">
      <c r="J3758" s="225"/>
    </row>
    <row r="3759">
      <c r="J3759" s="225"/>
    </row>
    <row r="3760">
      <c r="J3760" s="225"/>
    </row>
    <row r="3761">
      <c r="J3761" s="225"/>
    </row>
    <row r="3762">
      <c r="J3762" s="225"/>
    </row>
    <row r="3763">
      <c r="J3763" s="225"/>
    </row>
    <row r="3764">
      <c r="J3764" s="225"/>
    </row>
    <row r="3765">
      <c r="J3765" s="225"/>
    </row>
    <row r="3766">
      <c r="J3766" s="225"/>
    </row>
    <row r="3767">
      <c r="J3767" s="225"/>
    </row>
    <row r="3768">
      <c r="J3768" s="225"/>
    </row>
    <row r="3769">
      <c r="J3769" s="225"/>
    </row>
    <row r="3770">
      <c r="J3770" s="225"/>
    </row>
    <row r="3771">
      <c r="J3771" s="225"/>
    </row>
    <row r="3772">
      <c r="J3772" s="225"/>
    </row>
    <row r="3773">
      <c r="J3773" s="225"/>
    </row>
    <row r="3774">
      <c r="J3774" s="225"/>
    </row>
    <row r="3775">
      <c r="J3775" s="225"/>
    </row>
    <row r="3776">
      <c r="J3776" s="225"/>
    </row>
    <row r="3777">
      <c r="J3777" s="225"/>
    </row>
    <row r="3778">
      <c r="J3778" s="225"/>
    </row>
    <row r="3779">
      <c r="J3779" s="225"/>
    </row>
    <row r="3780">
      <c r="J3780" s="225"/>
    </row>
    <row r="3781">
      <c r="J3781" s="225"/>
    </row>
    <row r="3782">
      <c r="J3782" s="225"/>
    </row>
    <row r="3783">
      <c r="J3783" s="225"/>
    </row>
    <row r="3784">
      <c r="J3784" s="225"/>
    </row>
    <row r="3785">
      <c r="J3785" s="225"/>
    </row>
    <row r="3786">
      <c r="J3786" s="225"/>
    </row>
    <row r="3787">
      <c r="J3787" s="225"/>
    </row>
    <row r="3788">
      <c r="J3788" s="225"/>
    </row>
    <row r="3789">
      <c r="J3789" s="225"/>
    </row>
    <row r="3790">
      <c r="J3790" s="225"/>
    </row>
    <row r="3791">
      <c r="J3791" s="225"/>
    </row>
    <row r="3792">
      <c r="J3792" s="225"/>
    </row>
    <row r="3793">
      <c r="J3793" s="225"/>
    </row>
    <row r="3794">
      <c r="J3794" s="225"/>
    </row>
    <row r="3795">
      <c r="J3795" s="225"/>
    </row>
    <row r="3796">
      <c r="J3796" s="225"/>
    </row>
    <row r="3797">
      <c r="J3797" s="225"/>
    </row>
    <row r="3798">
      <c r="J3798" s="225"/>
    </row>
    <row r="3799">
      <c r="J3799" s="225"/>
    </row>
    <row r="3800">
      <c r="J3800" s="225"/>
    </row>
    <row r="3801">
      <c r="J3801" s="225"/>
    </row>
    <row r="3802">
      <c r="J3802" s="225"/>
    </row>
    <row r="3803">
      <c r="J3803" s="225"/>
    </row>
    <row r="3804">
      <c r="J3804" s="225"/>
    </row>
    <row r="3805">
      <c r="J3805" s="225"/>
    </row>
    <row r="3806">
      <c r="J3806" s="225"/>
    </row>
    <row r="3807">
      <c r="J3807" s="225"/>
    </row>
    <row r="3808">
      <c r="J3808" s="225"/>
    </row>
    <row r="3809">
      <c r="J3809" s="225"/>
    </row>
    <row r="3810">
      <c r="J3810" s="225"/>
    </row>
    <row r="3811">
      <c r="J3811" s="225"/>
    </row>
    <row r="3812">
      <c r="J3812" s="225"/>
    </row>
    <row r="3813">
      <c r="J3813" s="225"/>
    </row>
    <row r="3814">
      <c r="J3814" s="225"/>
    </row>
    <row r="3815">
      <c r="J3815" s="225"/>
    </row>
    <row r="3816">
      <c r="J3816" s="225"/>
    </row>
    <row r="3817">
      <c r="J3817" s="225"/>
    </row>
    <row r="3818">
      <c r="J3818" s="225"/>
    </row>
    <row r="3819">
      <c r="J3819" s="225"/>
    </row>
    <row r="3820">
      <c r="J3820" s="225"/>
    </row>
    <row r="3821">
      <c r="J3821" s="225"/>
    </row>
    <row r="3822">
      <c r="J3822" s="225"/>
    </row>
    <row r="3823">
      <c r="J3823" s="225"/>
    </row>
    <row r="3824">
      <c r="J3824" s="225"/>
    </row>
    <row r="3825">
      <c r="J3825" s="225"/>
    </row>
    <row r="3826">
      <c r="J3826" s="225"/>
    </row>
    <row r="3827">
      <c r="J3827" s="225"/>
    </row>
    <row r="3828">
      <c r="J3828" s="225"/>
    </row>
    <row r="3829">
      <c r="J3829" s="225"/>
    </row>
    <row r="3830">
      <c r="J3830" s="225"/>
    </row>
    <row r="3831">
      <c r="J3831" s="225"/>
    </row>
    <row r="3832">
      <c r="J3832" s="225"/>
    </row>
    <row r="3833">
      <c r="J3833" s="225"/>
    </row>
    <row r="3834">
      <c r="J3834" s="225"/>
    </row>
    <row r="3835">
      <c r="J3835" s="225"/>
    </row>
    <row r="3836">
      <c r="J3836" s="225"/>
    </row>
    <row r="3837">
      <c r="J3837" s="225"/>
    </row>
    <row r="3838">
      <c r="J3838" s="225"/>
    </row>
    <row r="3839">
      <c r="J3839" s="225"/>
    </row>
    <row r="3840">
      <c r="J3840" s="225"/>
    </row>
    <row r="3841">
      <c r="J3841" s="225"/>
    </row>
    <row r="3842">
      <c r="J3842" s="225"/>
    </row>
    <row r="3843">
      <c r="J3843" s="225"/>
    </row>
    <row r="3844">
      <c r="J3844" s="225"/>
    </row>
    <row r="3845">
      <c r="J3845" s="225"/>
    </row>
    <row r="3846">
      <c r="J3846" s="225"/>
    </row>
    <row r="3847">
      <c r="J3847" s="225"/>
    </row>
    <row r="3848">
      <c r="J3848" s="225"/>
    </row>
    <row r="3849">
      <c r="J3849" s="225"/>
    </row>
    <row r="3850">
      <c r="J3850" s="225"/>
    </row>
    <row r="3851">
      <c r="J3851" s="225"/>
    </row>
    <row r="3852">
      <c r="J3852" s="225"/>
    </row>
    <row r="3853">
      <c r="J3853" s="225"/>
    </row>
    <row r="3854">
      <c r="J3854" s="225"/>
    </row>
    <row r="3855">
      <c r="J3855" s="225"/>
    </row>
    <row r="3856">
      <c r="J3856" s="225"/>
    </row>
    <row r="3857">
      <c r="J3857" s="225"/>
    </row>
    <row r="3858">
      <c r="J3858" s="225"/>
    </row>
    <row r="3859">
      <c r="J3859" s="225"/>
    </row>
    <row r="3860">
      <c r="J3860" s="225"/>
    </row>
    <row r="3861">
      <c r="J3861" s="225"/>
    </row>
    <row r="3862">
      <c r="J3862" s="225"/>
    </row>
    <row r="3863">
      <c r="J3863" s="225"/>
    </row>
    <row r="3864">
      <c r="J3864" s="225"/>
    </row>
    <row r="3865">
      <c r="J3865" s="225"/>
    </row>
    <row r="3866">
      <c r="J3866" s="225"/>
    </row>
    <row r="3867">
      <c r="J3867" s="225"/>
    </row>
    <row r="3868">
      <c r="J3868" s="225"/>
    </row>
    <row r="3869">
      <c r="J3869" s="225"/>
    </row>
    <row r="3870">
      <c r="J3870" s="225"/>
    </row>
    <row r="3871">
      <c r="J3871" s="225"/>
    </row>
    <row r="3872">
      <c r="J3872" s="225"/>
    </row>
    <row r="3873">
      <c r="J3873" s="225"/>
    </row>
    <row r="3874">
      <c r="J3874" s="225"/>
    </row>
    <row r="3875">
      <c r="J3875" s="225"/>
    </row>
    <row r="3876">
      <c r="J3876" s="225"/>
    </row>
    <row r="3877">
      <c r="J3877" s="225"/>
    </row>
    <row r="3878">
      <c r="J3878" s="225"/>
    </row>
    <row r="3879">
      <c r="J3879" s="225"/>
    </row>
    <row r="3880">
      <c r="J3880" s="225"/>
    </row>
    <row r="3881">
      <c r="J3881" s="225"/>
    </row>
    <row r="3882">
      <c r="J3882" s="225"/>
    </row>
    <row r="3883">
      <c r="J3883" s="225"/>
    </row>
    <row r="3884">
      <c r="J3884" s="225"/>
    </row>
    <row r="3885">
      <c r="J3885" s="225"/>
    </row>
    <row r="3886">
      <c r="J3886" s="225"/>
    </row>
    <row r="3887">
      <c r="J3887" s="225"/>
    </row>
    <row r="3888">
      <c r="J3888" s="225"/>
    </row>
    <row r="3889">
      <c r="J3889" s="225"/>
    </row>
    <row r="3890">
      <c r="J3890" s="225"/>
    </row>
    <row r="3891">
      <c r="J3891" s="225"/>
    </row>
    <row r="3892">
      <c r="J3892" s="225"/>
    </row>
    <row r="3893">
      <c r="J3893" s="225"/>
    </row>
    <row r="3894">
      <c r="J3894" s="225"/>
    </row>
    <row r="3895">
      <c r="J3895" s="225"/>
    </row>
    <row r="3896">
      <c r="J3896" s="225"/>
    </row>
    <row r="3897">
      <c r="J3897" s="225"/>
    </row>
    <row r="3898">
      <c r="J3898" s="225"/>
    </row>
    <row r="3899">
      <c r="J3899" s="225"/>
    </row>
    <row r="3900">
      <c r="J3900" s="225"/>
    </row>
    <row r="3901">
      <c r="J3901" s="225"/>
    </row>
    <row r="3902">
      <c r="J3902" s="225"/>
    </row>
    <row r="3903">
      <c r="J3903" s="225"/>
    </row>
    <row r="3904">
      <c r="J3904" s="225"/>
    </row>
    <row r="3905">
      <c r="J3905" s="225"/>
    </row>
    <row r="3906">
      <c r="J3906" s="225"/>
    </row>
    <row r="3907">
      <c r="J3907" s="225"/>
    </row>
    <row r="3908">
      <c r="J3908" s="225"/>
    </row>
    <row r="3909">
      <c r="J3909" s="225"/>
    </row>
    <row r="3910">
      <c r="J3910" s="225"/>
    </row>
    <row r="3911">
      <c r="J3911" s="225"/>
    </row>
    <row r="3912">
      <c r="J3912" s="225"/>
    </row>
    <row r="3913">
      <c r="J3913" s="225"/>
    </row>
    <row r="3914">
      <c r="J3914" s="225"/>
    </row>
    <row r="3915">
      <c r="J3915" s="225"/>
    </row>
    <row r="3916">
      <c r="J3916" s="225"/>
    </row>
    <row r="3917">
      <c r="J3917" s="225"/>
    </row>
    <row r="3918">
      <c r="J3918" s="225"/>
    </row>
    <row r="3919">
      <c r="J3919" s="225"/>
    </row>
    <row r="3920">
      <c r="J3920" s="225"/>
    </row>
    <row r="3921">
      <c r="J3921" s="225"/>
    </row>
    <row r="3922">
      <c r="J3922" s="225"/>
    </row>
    <row r="3923">
      <c r="J3923" s="225"/>
    </row>
    <row r="3924">
      <c r="J3924" s="225"/>
    </row>
    <row r="3925">
      <c r="J3925" s="225"/>
    </row>
    <row r="3926">
      <c r="J3926" s="225"/>
    </row>
    <row r="3927">
      <c r="J3927" s="225"/>
    </row>
    <row r="3928">
      <c r="J3928" s="225"/>
    </row>
    <row r="3929">
      <c r="J3929" s="225"/>
    </row>
    <row r="3930">
      <c r="J3930" s="225"/>
    </row>
    <row r="3931">
      <c r="J3931" s="225"/>
    </row>
    <row r="3932">
      <c r="J3932" s="225"/>
    </row>
    <row r="3933">
      <c r="J3933" s="225"/>
    </row>
    <row r="3934">
      <c r="J3934" s="225"/>
    </row>
    <row r="3935">
      <c r="J3935" s="225"/>
    </row>
    <row r="3936">
      <c r="J3936" s="225"/>
    </row>
    <row r="3937">
      <c r="J3937" s="225"/>
    </row>
    <row r="3938">
      <c r="J3938" s="225"/>
    </row>
    <row r="3939">
      <c r="J3939" s="225"/>
    </row>
    <row r="3940">
      <c r="J3940" s="225"/>
    </row>
    <row r="3941">
      <c r="J3941" s="225"/>
    </row>
    <row r="3942">
      <c r="J3942" s="225"/>
    </row>
    <row r="3943">
      <c r="J3943" s="225"/>
    </row>
    <row r="3944">
      <c r="J3944" s="225"/>
    </row>
    <row r="3945">
      <c r="J3945" s="225"/>
    </row>
    <row r="3946">
      <c r="J3946" s="225"/>
    </row>
    <row r="3947">
      <c r="J3947" s="225"/>
    </row>
    <row r="3948">
      <c r="J3948" s="225"/>
    </row>
    <row r="3949">
      <c r="J3949" s="225"/>
    </row>
    <row r="3950">
      <c r="J3950" s="225"/>
    </row>
    <row r="3951">
      <c r="J3951" s="225"/>
    </row>
    <row r="3952">
      <c r="J3952" s="225"/>
    </row>
    <row r="3953">
      <c r="J3953" s="225"/>
    </row>
    <row r="3954">
      <c r="J3954" s="225"/>
    </row>
    <row r="3955">
      <c r="J3955" s="225"/>
    </row>
    <row r="3956">
      <c r="J3956" s="225"/>
    </row>
    <row r="3957">
      <c r="J3957" s="225"/>
    </row>
    <row r="3958">
      <c r="J3958" s="225"/>
    </row>
    <row r="3959">
      <c r="J3959" s="225"/>
    </row>
    <row r="3960">
      <c r="J3960" s="225"/>
    </row>
    <row r="3961">
      <c r="J3961" s="225"/>
    </row>
    <row r="3962">
      <c r="J3962" s="225"/>
    </row>
    <row r="3963">
      <c r="J3963" s="225"/>
    </row>
    <row r="3964">
      <c r="J3964" s="225"/>
    </row>
    <row r="3965">
      <c r="J3965" s="225"/>
    </row>
    <row r="3966">
      <c r="J3966" s="225"/>
    </row>
    <row r="3967">
      <c r="J3967" s="225"/>
    </row>
    <row r="3968">
      <c r="J3968" s="225"/>
    </row>
    <row r="3969">
      <c r="J3969" s="225"/>
    </row>
    <row r="3970">
      <c r="J3970" s="225"/>
    </row>
    <row r="3971">
      <c r="J3971" s="225"/>
    </row>
    <row r="3972">
      <c r="J3972" s="225"/>
    </row>
    <row r="3973">
      <c r="J3973" s="225"/>
    </row>
    <row r="3974">
      <c r="J3974" s="225"/>
    </row>
    <row r="3975">
      <c r="J3975" s="225"/>
    </row>
    <row r="3976">
      <c r="J3976" s="225"/>
    </row>
    <row r="3977">
      <c r="J3977" s="225"/>
    </row>
    <row r="3978">
      <c r="J3978" s="225"/>
    </row>
    <row r="3979">
      <c r="J3979" s="225"/>
    </row>
    <row r="3980">
      <c r="J3980" s="225"/>
    </row>
    <row r="3981">
      <c r="J3981" s="225"/>
    </row>
    <row r="3982">
      <c r="J3982" s="225"/>
    </row>
    <row r="3983">
      <c r="J3983" s="225"/>
    </row>
    <row r="3984">
      <c r="J3984" s="225"/>
    </row>
    <row r="3985">
      <c r="J3985" s="225"/>
    </row>
    <row r="3986">
      <c r="J3986" s="225"/>
    </row>
    <row r="3987">
      <c r="J3987" s="225"/>
    </row>
    <row r="3988">
      <c r="J3988" s="225"/>
    </row>
    <row r="3989">
      <c r="J3989" s="225"/>
    </row>
    <row r="3990">
      <c r="J3990" s="225"/>
    </row>
    <row r="3991">
      <c r="J3991" s="225"/>
    </row>
    <row r="3992">
      <c r="J3992" s="225"/>
    </row>
    <row r="3993">
      <c r="J3993" s="225"/>
    </row>
    <row r="3994">
      <c r="J3994" s="225"/>
    </row>
    <row r="3995">
      <c r="J3995" s="225"/>
    </row>
    <row r="3996">
      <c r="J3996" s="225"/>
    </row>
    <row r="3997">
      <c r="J3997" s="225"/>
    </row>
    <row r="3998">
      <c r="J3998" s="225"/>
    </row>
    <row r="3999">
      <c r="J3999" s="225"/>
    </row>
    <row r="4000">
      <c r="J4000" s="225"/>
    </row>
    <row r="4001">
      <c r="J4001" s="225"/>
    </row>
    <row r="4002">
      <c r="J4002" s="225"/>
    </row>
    <row r="4003">
      <c r="J4003" s="225"/>
    </row>
    <row r="4004">
      <c r="J4004" s="225"/>
    </row>
    <row r="4005">
      <c r="J4005" s="225"/>
    </row>
    <row r="4006">
      <c r="J4006" s="225"/>
    </row>
    <row r="4007">
      <c r="J4007" s="225"/>
    </row>
    <row r="4008">
      <c r="J4008" s="225"/>
    </row>
    <row r="4009">
      <c r="J4009" s="225"/>
    </row>
    <row r="4010">
      <c r="J4010" s="225"/>
    </row>
    <row r="4011">
      <c r="J4011" s="225"/>
    </row>
    <row r="4012">
      <c r="J4012" s="225"/>
    </row>
    <row r="4013">
      <c r="J4013" s="225"/>
    </row>
    <row r="4014">
      <c r="J4014" s="225"/>
    </row>
    <row r="4015">
      <c r="J4015" s="225"/>
    </row>
    <row r="4016">
      <c r="J4016" s="225"/>
    </row>
    <row r="4017">
      <c r="J4017" s="225"/>
    </row>
    <row r="4018">
      <c r="J4018" s="225"/>
    </row>
    <row r="4019">
      <c r="J4019" s="225"/>
    </row>
    <row r="4020">
      <c r="J4020" s="225"/>
    </row>
    <row r="4021">
      <c r="J4021" s="225"/>
    </row>
    <row r="4022">
      <c r="J4022" s="225"/>
    </row>
    <row r="4023">
      <c r="J4023" s="225"/>
    </row>
    <row r="4024">
      <c r="J4024" s="225"/>
    </row>
    <row r="4025">
      <c r="J4025" s="225"/>
    </row>
    <row r="4026">
      <c r="J4026" s="225"/>
    </row>
    <row r="4027">
      <c r="J4027" s="225"/>
    </row>
    <row r="4028">
      <c r="J4028" s="225"/>
    </row>
    <row r="4029">
      <c r="J4029" s="225"/>
    </row>
    <row r="4030">
      <c r="J4030" s="225"/>
    </row>
    <row r="4031">
      <c r="J4031" s="225"/>
    </row>
    <row r="4032">
      <c r="J4032" s="225"/>
    </row>
    <row r="4033">
      <c r="J4033" s="225"/>
    </row>
    <row r="4034">
      <c r="J4034" s="225"/>
    </row>
    <row r="4035">
      <c r="J4035" s="225"/>
    </row>
    <row r="4036">
      <c r="J4036" s="225"/>
    </row>
    <row r="4037">
      <c r="J4037" s="225"/>
    </row>
    <row r="4038">
      <c r="J4038" s="225"/>
    </row>
    <row r="4039">
      <c r="J4039" s="225"/>
    </row>
    <row r="4040">
      <c r="J4040" s="225"/>
    </row>
    <row r="4041">
      <c r="J4041" s="225"/>
    </row>
    <row r="4042">
      <c r="J4042" s="225"/>
    </row>
    <row r="4043">
      <c r="J4043" s="225"/>
    </row>
    <row r="4044">
      <c r="J4044" s="225"/>
    </row>
    <row r="4045">
      <c r="J4045" s="225"/>
    </row>
    <row r="4046">
      <c r="J4046" s="225"/>
    </row>
    <row r="4047">
      <c r="J4047" s="225"/>
    </row>
    <row r="4048">
      <c r="J4048" s="225"/>
    </row>
    <row r="4049">
      <c r="J4049" s="225"/>
    </row>
    <row r="4050">
      <c r="J4050" s="225"/>
    </row>
    <row r="4051">
      <c r="J4051" s="225"/>
    </row>
    <row r="4052">
      <c r="J4052" s="225"/>
    </row>
    <row r="4053">
      <c r="J4053" s="225"/>
    </row>
    <row r="4054">
      <c r="J4054" s="225"/>
    </row>
    <row r="4055">
      <c r="J4055" s="225"/>
    </row>
    <row r="4056">
      <c r="J4056" s="225"/>
    </row>
    <row r="4057">
      <c r="J4057" s="225"/>
    </row>
    <row r="4058">
      <c r="J4058" s="225"/>
    </row>
    <row r="4059">
      <c r="J4059" s="225"/>
    </row>
    <row r="4060">
      <c r="J4060" s="225"/>
    </row>
    <row r="4061">
      <c r="J4061" s="225"/>
    </row>
    <row r="4062">
      <c r="J4062" s="225"/>
    </row>
    <row r="4063">
      <c r="J4063" s="225"/>
    </row>
    <row r="4064">
      <c r="J4064" s="225"/>
    </row>
    <row r="4065">
      <c r="J4065" s="225"/>
    </row>
    <row r="4066">
      <c r="J4066" s="225"/>
    </row>
    <row r="4067">
      <c r="J4067" s="225"/>
    </row>
    <row r="4068">
      <c r="J4068" s="225"/>
    </row>
    <row r="4069">
      <c r="J4069" s="225"/>
    </row>
    <row r="4070">
      <c r="J4070" s="225"/>
    </row>
    <row r="4071">
      <c r="J4071" s="225"/>
    </row>
    <row r="4072">
      <c r="J4072" s="225"/>
    </row>
    <row r="4073">
      <c r="J4073" s="225"/>
    </row>
    <row r="4074">
      <c r="J4074" s="225"/>
    </row>
    <row r="4075">
      <c r="J4075" s="225"/>
    </row>
    <row r="4076">
      <c r="J4076" s="225"/>
    </row>
    <row r="4077">
      <c r="J4077" s="225"/>
    </row>
    <row r="4078">
      <c r="J4078" s="225"/>
    </row>
    <row r="4079">
      <c r="J4079" s="225"/>
    </row>
    <row r="4080">
      <c r="J4080" s="225"/>
    </row>
    <row r="4081">
      <c r="J4081" s="225"/>
    </row>
    <row r="4082">
      <c r="J4082" s="225"/>
    </row>
    <row r="4083">
      <c r="J4083" s="225"/>
    </row>
    <row r="4084">
      <c r="J4084" s="225"/>
    </row>
    <row r="4085">
      <c r="J4085" s="225"/>
    </row>
    <row r="4086">
      <c r="J4086" s="225"/>
    </row>
    <row r="4087">
      <c r="J4087" s="225"/>
    </row>
    <row r="4088">
      <c r="J4088" s="225"/>
    </row>
    <row r="4089">
      <c r="J4089" s="225"/>
    </row>
    <row r="4090">
      <c r="J4090" s="225"/>
    </row>
    <row r="4091">
      <c r="J4091" s="225"/>
    </row>
    <row r="4092">
      <c r="J4092" s="225"/>
    </row>
    <row r="4093">
      <c r="J4093" s="225"/>
    </row>
    <row r="4094">
      <c r="J4094" s="225"/>
    </row>
    <row r="4095">
      <c r="J4095" s="225"/>
    </row>
    <row r="4096">
      <c r="J4096" s="225"/>
    </row>
    <row r="4097">
      <c r="J4097" s="225"/>
    </row>
    <row r="4098">
      <c r="J4098" s="225"/>
    </row>
    <row r="4099">
      <c r="J4099" s="225"/>
    </row>
    <row r="4100">
      <c r="J4100" s="225"/>
    </row>
    <row r="4101">
      <c r="J4101" s="225"/>
    </row>
    <row r="4102">
      <c r="J4102" s="225"/>
    </row>
    <row r="4103">
      <c r="J4103" s="225"/>
    </row>
    <row r="4104">
      <c r="J4104" s="225"/>
    </row>
    <row r="4105">
      <c r="J4105" s="225"/>
    </row>
    <row r="4106">
      <c r="J4106" s="225"/>
    </row>
    <row r="4107">
      <c r="J4107" s="225"/>
    </row>
    <row r="4108">
      <c r="J4108" s="225"/>
    </row>
    <row r="4109">
      <c r="J4109" s="225"/>
    </row>
    <row r="4110">
      <c r="J4110" s="225"/>
    </row>
    <row r="4111">
      <c r="J4111" s="225"/>
    </row>
    <row r="4112">
      <c r="J4112" s="225"/>
    </row>
    <row r="4113">
      <c r="J4113" s="225"/>
    </row>
    <row r="4114">
      <c r="J4114" s="225"/>
    </row>
    <row r="4115">
      <c r="J4115" s="225"/>
    </row>
    <row r="4116">
      <c r="J4116" s="225"/>
    </row>
    <row r="4117">
      <c r="J4117" s="225"/>
    </row>
    <row r="4118">
      <c r="J4118" s="225"/>
    </row>
    <row r="4119">
      <c r="J4119" s="225"/>
    </row>
    <row r="4120">
      <c r="J4120" s="225"/>
    </row>
    <row r="4121">
      <c r="J4121" s="225"/>
    </row>
    <row r="4122">
      <c r="J4122" s="225"/>
    </row>
    <row r="4123">
      <c r="J4123" s="225"/>
    </row>
    <row r="4124">
      <c r="J4124" s="225"/>
    </row>
    <row r="4125">
      <c r="J4125" s="225"/>
    </row>
    <row r="4126">
      <c r="J4126" s="225"/>
    </row>
    <row r="4127">
      <c r="J4127" s="225"/>
    </row>
    <row r="4128">
      <c r="J4128" s="225"/>
    </row>
    <row r="4129">
      <c r="J4129" s="225"/>
    </row>
    <row r="4130">
      <c r="J4130" s="225"/>
    </row>
    <row r="4131">
      <c r="J4131" s="225"/>
    </row>
    <row r="4132">
      <c r="J4132" s="225"/>
    </row>
    <row r="4133">
      <c r="J4133" s="225"/>
    </row>
    <row r="4134">
      <c r="J4134" s="225"/>
    </row>
    <row r="4135">
      <c r="J4135" s="225"/>
    </row>
    <row r="4136">
      <c r="J4136" s="225"/>
    </row>
    <row r="4137">
      <c r="J4137" s="225"/>
    </row>
    <row r="4138">
      <c r="J4138" s="225"/>
    </row>
    <row r="4139">
      <c r="J4139" s="225"/>
    </row>
    <row r="4140">
      <c r="J4140" s="225"/>
    </row>
    <row r="4141">
      <c r="J4141" s="225"/>
    </row>
    <row r="4142">
      <c r="J4142" s="225"/>
    </row>
    <row r="4143">
      <c r="J4143" s="225"/>
    </row>
    <row r="4144">
      <c r="J4144" s="225"/>
    </row>
    <row r="4145">
      <c r="J4145" s="225"/>
    </row>
    <row r="4146">
      <c r="J4146" s="225"/>
    </row>
    <row r="4147">
      <c r="J4147" s="225"/>
    </row>
    <row r="4148">
      <c r="J4148" s="225"/>
    </row>
    <row r="4149">
      <c r="J4149" s="225"/>
    </row>
    <row r="4150">
      <c r="J4150" s="225"/>
    </row>
    <row r="4151">
      <c r="J4151" s="225"/>
    </row>
    <row r="4152">
      <c r="J4152" s="225"/>
    </row>
    <row r="4153">
      <c r="J4153" s="225"/>
    </row>
    <row r="4154">
      <c r="J4154" s="225"/>
    </row>
    <row r="4155">
      <c r="J4155" s="225"/>
    </row>
    <row r="4156">
      <c r="J4156" s="225"/>
    </row>
    <row r="4157">
      <c r="J4157" s="225"/>
    </row>
    <row r="4158">
      <c r="J4158" s="225"/>
    </row>
    <row r="4159">
      <c r="J4159" s="225"/>
    </row>
    <row r="4160">
      <c r="J4160" s="225"/>
    </row>
    <row r="4161">
      <c r="J4161" s="225"/>
    </row>
    <row r="4162">
      <c r="J4162" s="225"/>
    </row>
    <row r="4163">
      <c r="J4163" s="225"/>
    </row>
    <row r="4164">
      <c r="J4164" s="225"/>
    </row>
    <row r="4165">
      <c r="J4165" s="225"/>
    </row>
    <row r="4166">
      <c r="J4166" s="225"/>
    </row>
    <row r="4167">
      <c r="J4167" s="225"/>
    </row>
    <row r="4168">
      <c r="J4168" s="225"/>
    </row>
    <row r="4169">
      <c r="J4169" s="225"/>
    </row>
    <row r="4170">
      <c r="J4170" s="225"/>
    </row>
    <row r="4171">
      <c r="J4171" s="225"/>
    </row>
    <row r="4172">
      <c r="J4172" s="225"/>
    </row>
    <row r="4173">
      <c r="J4173" s="225"/>
    </row>
    <row r="4174">
      <c r="J4174" s="225"/>
    </row>
    <row r="4175">
      <c r="J4175" s="225"/>
    </row>
    <row r="4176">
      <c r="J4176" s="225"/>
    </row>
    <row r="4177">
      <c r="J4177" s="225"/>
    </row>
    <row r="4178">
      <c r="J4178" s="225"/>
    </row>
    <row r="4179">
      <c r="J4179" s="225"/>
    </row>
    <row r="4180">
      <c r="J4180" s="225"/>
    </row>
    <row r="4181">
      <c r="J4181" s="225"/>
    </row>
    <row r="4182">
      <c r="J4182" s="225"/>
    </row>
    <row r="4183">
      <c r="J4183" s="225"/>
    </row>
    <row r="4184">
      <c r="J4184" s="225"/>
    </row>
    <row r="4185">
      <c r="J4185" s="225"/>
    </row>
    <row r="4186">
      <c r="J4186" s="225"/>
    </row>
    <row r="4187">
      <c r="J4187" s="225"/>
    </row>
    <row r="4188">
      <c r="J4188" s="225"/>
    </row>
    <row r="4189">
      <c r="J4189" s="225"/>
    </row>
    <row r="4190">
      <c r="J4190" s="225"/>
    </row>
    <row r="4191">
      <c r="J4191" s="225"/>
    </row>
    <row r="4192">
      <c r="J4192" s="225"/>
    </row>
    <row r="4193">
      <c r="J4193" s="225"/>
    </row>
    <row r="4194">
      <c r="J4194" s="225"/>
    </row>
    <row r="4195">
      <c r="J4195" s="225"/>
    </row>
    <row r="4196">
      <c r="J4196" s="225"/>
    </row>
    <row r="4197">
      <c r="J4197" s="225"/>
    </row>
    <row r="4198">
      <c r="J4198" s="225"/>
    </row>
    <row r="4199">
      <c r="J4199" s="225"/>
    </row>
    <row r="4200">
      <c r="J4200" s="225"/>
    </row>
    <row r="4201">
      <c r="J4201" s="225"/>
    </row>
    <row r="4202">
      <c r="J4202" s="225"/>
    </row>
    <row r="4203">
      <c r="J4203" s="225"/>
    </row>
    <row r="4204">
      <c r="J4204" s="225"/>
    </row>
    <row r="4205">
      <c r="J4205" s="225"/>
    </row>
    <row r="4206">
      <c r="J4206" s="225"/>
    </row>
    <row r="4207">
      <c r="J4207" s="225"/>
    </row>
    <row r="4208">
      <c r="J4208" s="225"/>
    </row>
    <row r="4209">
      <c r="J4209" s="225"/>
    </row>
    <row r="4210">
      <c r="J4210" s="225"/>
    </row>
    <row r="4211">
      <c r="J4211" s="225"/>
    </row>
    <row r="4212">
      <c r="J4212" s="225"/>
    </row>
    <row r="4213">
      <c r="J4213" s="225"/>
    </row>
    <row r="4214">
      <c r="J4214" s="225"/>
    </row>
    <row r="4215">
      <c r="J4215" s="225"/>
    </row>
    <row r="4216">
      <c r="J4216" s="225"/>
    </row>
    <row r="4217">
      <c r="J4217" s="225"/>
    </row>
    <row r="4218">
      <c r="J4218" s="225"/>
    </row>
    <row r="4219">
      <c r="J4219" s="225"/>
    </row>
    <row r="4220">
      <c r="J4220" s="225"/>
    </row>
    <row r="4221">
      <c r="J4221" s="225"/>
    </row>
    <row r="4222">
      <c r="J4222" s="225"/>
    </row>
    <row r="4223">
      <c r="J4223" s="225"/>
    </row>
    <row r="4224">
      <c r="J4224" s="225"/>
    </row>
    <row r="4225">
      <c r="J4225" s="225"/>
    </row>
    <row r="4226">
      <c r="J4226" s="225"/>
    </row>
    <row r="4227">
      <c r="J4227" s="225"/>
    </row>
    <row r="4228">
      <c r="J4228" s="225"/>
    </row>
    <row r="4229">
      <c r="J4229" s="225"/>
    </row>
    <row r="4230">
      <c r="J4230" s="225"/>
    </row>
    <row r="4231">
      <c r="J4231" s="225"/>
    </row>
    <row r="4232">
      <c r="J4232" s="225"/>
    </row>
    <row r="4233">
      <c r="J4233" s="225"/>
    </row>
    <row r="4234">
      <c r="J4234" s="225"/>
    </row>
    <row r="4235">
      <c r="J4235" s="225"/>
    </row>
    <row r="4236">
      <c r="J4236" s="225"/>
    </row>
    <row r="4237">
      <c r="J4237" s="225"/>
    </row>
    <row r="4238">
      <c r="J4238" s="225"/>
    </row>
    <row r="4239">
      <c r="J4239" s="225"/>
    </row>
    <row r="4240">
      <c r="J4240" s="225"/>
    </row>
    <row r="4241">
      <c r="J4241" s="225"/>
    </row>
    <row r="4242">
      <c r="J4242" s="225"/>
    </row>
    <row r="4243">
      <c r="J4243" s="225"/>
    </row>
    <row r="4244">
      <c r="J4244" s="225"/>
    </row>
    <row r="4245">
      <c r="J4245" s="225"/>
    </row>
    <row r="4246">
      <c r="J4246" s="225"/>
    </row>
    <row r="4247">
      <c r="J4247" s="225"/>
    </row>
    <row r="4248">
      <c r="J4248" s="225"/>
    </row>
    <row r="4249">
      <c r="J4249" s="225"/>
    </row>
    <row r="4250">
      <c r="J4250" s="225"/>
    </row>
  </sheetData>
  <mergeCells count="23">
    <mergeCell ref="L2:M2"/>
    <mergeCell ref="N2:O2"/>
    <mergeCell ref="P2:Q2"/>
    <mergeCell ref="R2:S2"/>
    <mergeCell ref="T2:U2"/>
    <mergeCell ref="V2:W2"/>
    <mergeCell ref="X2:Y2"/>
    <mergeCell ref="L1:M1"/>
    <mergeCell ref="N1:O1"/>
    <mergeCell ref="P1:Q1"/>
    <mergeCell ref="R1:S1"/>
    <mergeCell ref="T1:U1"/>
    <mergeCell ref="V1:W1"/>
    <mergeCell ref="X1:Y1"/>
    <mergeCell ref="Z2:AA2"/>
    <mergeCell ref="AB2:AC2"/>
    <mergeCell ref="Z1:AA1"/>
    <mergeCell ref="AB1:AC1"/>
    <mergeCell ref="AD1:AD2"/>
    <mergeCell ref="AE1:AE2"/>
    <mergeCell ref="AF1:AF2"/>
    <mergeCell ref="AG1:AG2"/>
    <mergeCell ref="AH1:AH2"/>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hidden="1" min="1" max="1" width="7.88"/>
    <col customWidth="1" hidden="1" min="2" max="2" width="21.63"/>
    <col customWidth="1" hidden="1" min="3" max="3" width="20.63"/>
    <col customWidth="1" hidden="1" min="4" max="4" width="15.38"/>
    <col customWidth="1" hidden="1" min="5" max="7" width="11.75"/>
    <col customWidth="1" hidden="1" min="8" max="8" width="21.63"/>
    <col customWidth="1" hidden="1" min="9" max="9" width="16.38"/>
    <col customWidth="1" hidden="1" min="10" max="10" width="15.13"/>
    <col customWidth="1" hidden="1" min="11" max="12" width="11.75"/>
    <col customWidth="1" hidden="1" min="13" max="14" width="16.25"/>
    <col customWidth="1" hidden="1" min="15" max="17" width="11.75"/>
    <col customWidth="1" hidden="1" min="18" max="19" width="16.25"/>
    <col customWidth="1" hidden="1" min="20" max="20" width="14.75"/>
    <col customWidth="1" hidden="1" min="21" max="22" width="11.75"/>
    <col customWidth="1" hidden="1" min="23" max="24" width="16.25"/>
    <col customWidth="1" hidden="1" min="25" max="25" width="15.0"/>
    <col customWidth="1" min="26" max="26" width="11.75"/>
    <col customWidth="1" min="27" max="27" width="23.5"/>
    <col customWidth="1" min="28" max="28" width="14.5"/>
    <col customWidth="1" min="29" max="29" width="11.75"/>
    <col customWidth="1" min="37" max="37" width="19.38"/>
    <col customWidth="1" min="38" max="38" width="23.63"/>
    <col customWidth="1" min="39" max="39" width="16.25"/>
  </cols>
  <sheetData>
    <row r="1">
      <c r="A1" s="226" t="s">
        <v>2525</v>
      </c>
      <c r="E1" s="3">
        <v>0.16666666666666666</v>
      </c>
      <c r="G1" s="226" t="s">
        <v>2526</v>
      </c>
      <c r="L1" s="226" t="s">
        <v>2527</v>
      </c>
      <c r="Q1" s="226" t="s">
        <v>2528</v>
      </c>
      <c r="V1" s="226" t="s">
        <v>2529</v>
      </c>
      <c r="AA1" s="227" t="s">
        <v>0</v>
      </c>
      <c r="AB1" s="227" t="s">
        <v>2530</v>
      </c>
      <c r="AC1" s="227" t="s">
        <v>33</v>
      </c>
      <c r="AD1" s="51" t="s">
        <v>35</v>
      </c>
      <c r="AE1" s="51" t="s">
        <v>37</v>
      </c>
      <c r="AF1" s="51" t="s">
        <v>39</v>
      </c>
      <c r="AG1" s="51" t="s">
        <v>41</v>
      </c>
      <c r="AH1" s="51" t="s">
        <v>319</v>
      </c>
      <c r="AI1" s="51" t="s">
        <v>2531</v>
      </c>
      <c r="AJ1" s="51"/>
      <c r="AK1" s="51"/>
      <c r="AL1" s="228"/>
      <c r="AM1" s="51"/>
      <c r="AN1" s="51"/>
      <c r="AO1" s="51"/>
      <c r="AP1" s="51"/>
      <c r="AQ1" s="51"/>
    </row>
    <row r="2">
      <c r="A2" s="229"/>
      <c r="B2" s="226"/>
      <c r="C2" s="226"/>
      <c r="D2" s="230"/>
      <c r="E2" s="3"/>
      <c r="G2" s="229"/>
      <c r="H2" s="226"/>
      <c r="I2" s="226"/>
      <c r="J2" s="231"/>
      <c r="L2" s="229"/>
      <c r="M2" s="226"/>
      <c r="N2" s="226"/>
      <c r="O2" s="231"/>
      <c r="Q2" s="229"/>
      <c r="R2" s="226"/>
      <c r="S2" s="226"/>
      <c r="T2" s="231"/>
      <c r="V2" s="229"/>
      <c r="W2" s="226"/>
      <c r="X2" s="226"/>
      <c r="Y2" s="231"/>
      <c r="AA2" s="3" t="s">
        <v>9</v>
      </c>
      <c r="AB2" s="226">
        <f>countif('Demo Sheet FMS_148'!$O:O,"Done")</f>
        <v>490</v>
      </c>
      <c r="AC2" s="76" t="str">
        <f>IF(OR('Demo Sheet FMS_148'!M9:M1002="",'Demo Sheet FMS_148'!N9:N1002="",'Demo Sheet FMS_148'!O9:O1002&lt;&gt;"Done"),"",'Demo Sheet FMS_148'!N9:N1002-'Demo Sheet FMS_148'!M9:M1002)</f>
        <v>#VALUE!</v>
      </c>
      <c r="AD2" s="76">
        <f>SUMPRODUCT(('Demo Sheet FMS_148'!O:O="Done")*('Demo Sheet FMS_148'!M:M&lt;'Demo Sheet FMS_148'!N:N))</f>
        <v>3</v>
      </c>
      <c r="AE2" s="76">
        <f>SUMPRODUCT(('Demo Sheet FMS_148'!O:O="Done")*('Demo Sheet FMS_148'!M:M&lt;'Demo Sheet FMS_148'!N:N))</f>
        <v>3</v>
      </c>
      <c r="AK2" s="232"/>
      <c r="AL2" s="233"/>
      <c r="AM2" s="173"/>
      <c r="AN2" s="7"/>
    </row>
    <row r="3">
      <c r="A3" s="234" t="s">
        <v>2532</v>
      </c>
      <c r="B3" s="235" t="s">
        <v>2533</v>
      </c>
      <c r="C3" s="235" t="s">
        <v>2534</v>
      </c>
      <c r="D3" s="230">
        <v>46239.61222037037</v>
      </c>
      <c r="E3" s="3" t="s">
        <v>14</v>
      </c>
      <c r="G3" s="234" t="s">
        <v>2535</v>
      </c>
      <c r="H3" s="235" t="s">
        <v>2533</v>
      </c>
      <c r="I3" s="235" t="s">
        <v>2534</v>
      </c>
      <c r="J3" s="231" t="s">
        <v>2536</v>
      </c>
      <c r="L3" s="234" t="s">
        <v>2537</v>
      </c>
      <c r="M3" s="235" t="s">
        <v>2533</v>
      </c>
      <c r="N3" s="235" t="s">
        <v>2534</v>
      </c>
      <c r="O3" s="231" t="s">
        <v>2536</v>
      </c>
      <c r="Q3" s="234" t="s">
        <v>2538</v>
      </c>
      <c r="R3" s="235" t="s">
        <v>2533</v>
      </c>
      <c r="S3" s="235" t="s">
        <v>2534</v>
      </c>
      <c r="T3" s="231" t="s">
        <v>2536</v>
      </c>
      <c r="V3" s="234" t="s">
        <v>2539</v>
      </c>
      <c r="W3" s="235" t="s">
        <v>2533</v>
      </c>
      <c r="X3" s="235" t="s">
        <v>2534</v>
      </c>
      <c r="Y3" s="231" t="s">
        <v>2536</v>
      </c>
      <c r="AK3" s="232"/>
      <c r="AL3" s="233"/>
      <c r="AM3" s="173"/>
    </row>
    <row r="4">
      <c r="A4" s="76">
        <f>IFERROR(__xludf.DUMMYFUNCTION("FILTER(
{
'Demo Sheet FMS_148'!A:A,
INDEX('Demo Sheet FMS_148'!A:ZZ,,MATCH(""Planned"",'Demo Sheet FMS_148'!8:8,0)),
INDEX('Demo Sheet FMS_148'!A:ZZ,,MATCH(""Actual"",'Demo Sheet FMS_148'!8:8,0))
},
INDEX('Demo Sheet FMS_148'!A:ZZ,,MATCH(""Status"",'Demo "&amp;"Sheet FMS_148'!8:8,0))=""Done""
)"),4960.0)</f>
        <v>4960</v>
      </c>
      <c r="B4" s="232">
        <f>IFERROR(__xludf.DUMMYFUNCTION("""COMPUTED_VALUE"""),46083.745354942126)</f>
        <v>46083.74535</v>
      </c>
      <c r="C4" s="84">
        <f>IFERROR(__xludf.DUMMYFUNCTION("""COMPUTED_VALUE"""),46083.63197777778)</f>
        <v>46083.63198</v>
      </c>
      <c r="D4" s="173">
        <f t="shared" ref="D4:D495" si="1">B4-C4</f>
        <v>0.1133771643</v>
      </c>
      <c r="G4" s="76">
        <f>IFERROR(__xludf.DUMMYFUNCTION("FILTER({'Demo Sheet FMS_148'!A:A,'Demo Sheet FMS_148'!S:S,'Demo Sheet FMS_148'!T:T},'Demo Sheet FMS_148'!U:U=""Done"")"),4960.0)</f>
        <v>4960</v>
      </c>
      <c r="H4" s="232">
        <f>IFERROR(__xludf.DUMMYFUNCTION("""COMPUTED_VALUE"""),46083.75229938657)</f>
        <v>46083.7523</v>
      </c>
      <c r="I4" s="84">
        <f>IFERROR(__xludf.DUMMYFUNCTION("""COMPUTED_VALUE"""),46083.6325278588)</f>
        <v>46083.63253</v>
      </c>
      <c r="J4" s="76">
        <f t="shared" ref="J4:J495" si="2">H4-I4</f>
        <v>0.1197715278</v>
      </c>
      <c r="L4" s="76">
        <f>IFERROR(__xludf.DUMMYFUNCTION("FILTER({'Demo Sheet FMS_148'!A:A,'Demo Sheet FMS_148'!X:X,'Demo Sheet FMS_148'!Y:Y},'Demo Sheet FMS_148'!Z:Z=""Done"")"),4960.0)</f>
        <v>4960</v>
      </c>
      <c r="M4" s="232">
        <f>IFERROR(__xludf.DUMMYFUNCTION("""COMPUTED_VALUE"""),46084.41875)</f>
        <v>46084.41875</v>
      </c>
      <c r="N4" s="84">
        <f>IFERROR(__xludf.DUMMYFUNCTION("""COMPUTED_VALUE"""),46083.63263956019)</f>
        <v>46083.63264</v>
      </c>
      <c r="O4" s="76">
        <f t="shared" ref="O4:O492" si="3">M4-N4</f>
        <v>0.7861104398</v>
      </c>
      <c r="Q4" s="76">
        <f>IFERROR(__xludf.DUMMYFUNCTION("FILTER({'Demo Sheet FMS_148'!A:A,'Demo Sheet FMS_148'!AC:AC,'Demo Sheet FMS_148'!AD:AD},'Demo Sheet FMS_148'!AE:AE=""Done"")"),4960.0)</f>
        <v>4960</v>
      </c>
      <c r="R4" s="232">
        <f>IFERROR(__xludf.DUMMYFUNCTION("""COMPUTED_VALUE"""),46086.41875)</f>
        <v>46086.41875</v>
      </c>
      <c r="S4" s="84">
        <f>IFERROR(__xludf.DUMMYFUNCTION("""COMPUTED_VALUE"""),46083.69432047453)</f>
        <v>46083.69432</v>
      </c>
      <c r="T4" s="76">
        <f t="shared" ref="T4:T491" si="4">R4-S4</f>
        <v>2.724429525</v>
      </c>
      <c r="V4" s="76">
        <f>IFERROR(__xludf.DUMMYFUNCTION("FILTER({'Demo Sheet FMS_148'!A:A,'Demo Sheet FMS_148'!AH:AH,'Demo Sheet FMS_148'!AI:AI},'Demo Sheet FMS_148'!AJ:AJ=""Done"")"),4960.0)</f>
        <v>4960</v>
      </c>
      <c r="W4" s="232">
        <f>IFERROR(__xludf.DUMMYFUNCTION("""COMPUTED_VALUE"""),46086.46041666666)</f>
        <v>46086.46042</v>
      </c>
      <c r="X4" s="84">
        <f>IFERROR(__xludf.DUMMYFUNCTION("""COMPUTED_VALUE"""),46083.69438371528)</f>
        <v>46083.69438</v>
      </c>
      <c r="Y4" s="76">
        <f t="shared" ref="Y4:Y491" si="5">W4-X4</f>
        <v>2.766032951</v>
      </c>
      <c r="AK4" s="232"/>
      <c r="AL4" s="233"/>
      <c r="AM4" s="173"/>
    </row>
    <row r="5">
      <c r="A5" s="76">
        <f>IFERROR(__xludf.DUMMYFUNCTION("""COMPUTED_VALUE"""),4966.0)</f>
        <v>4966</v>
      </c>
      <c r="B5" s="232">
        <f>IFERROR(__xludf.DUMMYFUNCTION("""COMPUTED_VALUE"""),46087.43819444444)</f>
        <v>46087.43819</v>
      </c>
      <c r="C5" s="84">
        <f>IFERROR(__xludf.DUMMYFUNCTION("""COMPUTED_VALUE"""),46086.70101788195)</f>
        <v>46086.70102</v>
      </c>
      <c r="D5" s="173">
        <f t="shared" si="1"/>
        <v>0.7371765625</v>
      </c>
      <c r="G5" s="76">
        <f>IFERROR(__xludf.DUMMYFUNCTION("""COMPUTED_VALUE"""),4966.0)</f>
        <v>4966</v>
      </c>
      <c r="H5" s="232">
        <f>IFERROR(__xludf.DUMMYFUNCTION("""COMPUTED_VALUE"""),46087.445138888885)</f>
        <v>46087.44514</v>
      </c>
      <c r="I5" s="84">
        <f>IFERROR(__xludf.DUMMYFUNCTION("""COMPUTED_VALUE"""),46086.70118991898)</f>
        <v>46086.70119</v>
      </c>
      <c r="J5" s="76">
        <f t="shared" si="2"/>
        <v>0.7439489699</v>
      </c>
      <c r="L5" s="76">
        <f>IFERROR(__xludf.DUMMYFUNCTION("""COMPUTED_VALUE"""),4966.0)</f>
        <v>4966</v>
      </c>
      <c r="M5" s="232">
        <f>IFERROR(__xludf.DUMMYFUNCTION("""COMPUTED_VALUE"""),46087.54930555555)</f>
        <v>46087.54931</v>
      </c>
      <c r="N5" s="84">
        <f>IFERROR(__xludf.DUMMYFUNCTION("""COMPUTED_VALUE"""),46086.71181302083)</f>
        <v>46086.71181</v>
      </c>
      <c r="O5" s="76">
        <f t="shared" si="3"/>
        <v>0.8374925347</v>
      </c>
      <c r="Q5" s="76">
        <f>IFERROR(__xludf.DUMMYFUNCTION("""COMPUTED_VALUE"""),4961.0)</f>
        <v>4961</v>
      </c>
      <c r="R5" s="232">
        <f>IFERROR(__xludf.DUMMYFUNCTION("""COMPUTED_VALUE"""),46086.495138888895)</f>
        <v>46086.49514</v>
      </c>
      <c r="S5" s="84">
        <f>IFERROR(__xludf.DUMMYFUNCTION("""COMPUTED_VALUE"""),46084.744429687504)</f>
        <v>46084.74443</v>
      </c>
      <c r="T5" s="76">
        <f t="shared" si="4"/>
        <v>1.750709201</v>
      </c>
      <c r="V5" s="76">
        <f>IFERROR(__xludf.DUMMYFUNCTION("""COMPUTED_VALUE"""),4966.0)</f>
        <v>4966</v>
      </c>
      <c r="W5" s="232">
        <f>IFERROR(__xludf.DUMMYFUNCTION("""COMPUTED_VALUE"""),46088.59097222222)</f>
        <v>46088.59097</v>
      </c>
      <c r="X5" s="84">
        <f>IFERROR(__xludf.DUMMYFUNCTION("""COMPUTED_VALUE"""),46087.66344559028)</f>
        <v>46087.66345</v>
      </c>
      <c r="Y5" s="76">
        <f t="shared" si="5"/>
        <v>0.9275266319</v>
      </c>
      <c r="AK5" s="232"/>
      <c r="AL5" s="233"/>
      <c r="AM5" s="173"/>
    </row>
    <row r="6">
      <c r="A6" s="76">
        <f>IFERROR(__xludf.DUMMYFUNCTION("""COMPUTED_VALUE"""),4967.0)</f>
        <v>4967</v>
      </c>
      <c r="B6" s="232">
        <f>IFERROR(__xludf.DUMMYFUNCTION("""COMPUTED_VALUE"""),46087.44027777777)</f>
        <v>46087.44028</v>
      </c>
      <c r="C6" s="84">
        <f>IFERROR(__xludf.DUMMYFUNCTION("""COMPUTED_VALUE"""),46086.70103997685)</f>
        <v>46086.70104</v>
      </c>
      <c r="D6" s="173">
        <f t="shared" si="1"/>
        <v>0.7392378009</v>
      </c>
      <c r="G6" s="76">
        <f>IFERROR(__xludf.DUMMYFUNCTION("""COMPUTED_VALUE"""),4967.0)</f>
        <v>4967</v>
      </c>
      <c r="H6" s="232">
        <f>IFERROR(__xludf.DUMMYFUNCTION("""COMPUTED_VALUE"""),46087.44722222222)</f>
        <v>46087.44722</v>
      </c>
      <c r="I6" s="84">
        <f>IFERROR(__xludf.DUMMYFUNCTION("""COMPUTED_VALUE"""),46086.701212314816)</f>
        <v>46086.70121</v>
      </c>
      <c r="J6" s="76">
        <f t="shared" si="2"/>
        <v>0.7460099074</v>
      </c>
      <c r="L6" s="76">
        <f>IFERROR(__xludf.DUMMYFUNCTION("""COMPUTED_VALUE"""),4967.0)</f>
        <v>4967</v>
      </c>
      <c r="M6" s="232">
        <f>IFERROR(__xludf.DUMMYFUNCTION("""COMPUTED_VALUE"""),46087.55138888888)</f>
        <v>46087.55139</v>
      </c>
      <c r="N6" s="84">
        <f>IFERROR(__xludf.DUMMYFUNCTION("""COMPUTED_VALUE"""),46086.71181302083)</f>
        <v>46086.71181</v>
      </c>
      <c r="O6" s="76">
        <f t="shared" si="3"/>
        <v>0.839575868</v>
      </c>
      <c r="Q6" s="76">
        <f>IFERROR(__xludf.DUMMYFUNCTION("""COMPUTED_VALUE"""),4962.0)</f>
        <v>4962</v>
      </c>
      <c r="R6" s="232">
        <f>IFERROR(__xludf.DUMMYFUNCTION("""COMPUTED_VALUE"""),46086.49652777778)</f>
        <v>46086.49653</v>
      </c>
      <c r="S6" s="84">
        <f>IFERROR(__xludf.DUMMYFUNCTION("""COMPUTED_VALUE"""),46084.638024699074)</f>
        <v>46084.63802</v>
      </c>
      <c r="T6" s="76">
        <f t="shared" si="4"/>
        <v>1.858503079</v>
      </c>
      <c r="V6" s="76">
        <f>IFERROR(__xludf.DUMMYFUNCTION("""COMPUTED_VALUE"""),4967.0)</f>
        <v>4967</v>
      </c>
      <c r="W6" s="232">
        <f>IFERROR(__xludf.DUMMYFUNCTION("""COMPUTED_VALUE"""),46088.59305555555)</f>
        <v>46088.59306</v>
      </c>
      <c r="X6" s="84">
        <f>IFERROR(__xludf.DUMMYFUNCTION("""COMPUTED_VALUE"""),46087.66342466435)</f>
        <v>46087.66342</v>
      </c>
      <c r="Y6" s="76">
        <f t="shared" si="5"/>
        <v>0.9296308912</v>
      </c>
      <c r="AK6" s="232"/>
      <c r="AL6" s="233"/>
      <c r="AM6" s="173"/>
    </row>
    <row r="7">
      <c r="A7" s="76">
        <f>IFERROR(__xludf.DUMMYFUNCTION("""COMPUTED_VALUE"""),4968.0)</f>
        <v>4968</v>
      </c>
      <c r="B7" s="232">
        <f>IFERROR(__xludf.DUMMYFUNCTION("""COMPUTED_VALUE"""),46087.62372471065)</f>
        <v>46087.62372</v>
      </c>
      <c r="C7" s="84">
        <f>IFERROR(__xludf.DUMMYFUNCTION("""COMPUTED_VALUE"""),46087.47363854166)</f>
        <v>46087.47364</v>
      </c>
      <c r="D7" s="173">
        <f t="shared" si="1"/>
        <v>0.150086169</v>
      </c>
      <c r="G7" s="76">
        <f>IFERROR(__xludf.DUMMYFUNCTION("""COMPUTED_VALUE"""),4968.0)</f>
        <v>4968</v>
      </c>
      <c r="H7" s="232">
        <f>IFERROR(__xludf.DUMMYFUNCTION("""COMPUTED_VALUE"""),46087.63066915509)</f>
        <v>46087.63067</v>
      </c>
      <c r="I7" s="84">
        <f>IFERROR(__xludf.DUMMYFUNCTION("""COMPUTED_VALUE"""),46087.47372902778)</f>
        <v>46087.47373</v>
      </c>
      <c r="J7" s="76">
        <f t="shared" si="2"/>
        <v>0.1569401273</v>
      </c>
      <c r="L7" s="76">
        <f>IFERROR(__xludf.DUMMYFUNCTION("""COMPUTED_VALUE"""),4968.0)</f>
        <v>4968</v>
      </c>
      <c r="M7" s="232">
        <f>IFERROR(__xludf.DUMMYFUNCTION("""COMPUTED_VALUE"""),46087.73483582176)</f>
        <v>46087.73484</v>
      </c>
      <c r="N7" s="84">
        <f>IFERROR(__xludf.DUMMYFUNCTION("""COMPUTED_VALUE"""),46087.47382075232)</f>
        <v>46087.47382</v>
      </c>
      <c r="O7" s="76">
        <f t="shared" si="3"/>
        <v>0.2610150694</v>
      </c>
      <c r="Q7" s="76">
        <f>IFERROR(__xludf.DUMMYFUNCTION("""COMPUTED_VALUE"""),4963.0)</f>
        <v>4963</v>
      </c>
      <c r="R7" s="232">
        <f>IFERROR(__xludf.DUMMYFUNCTION("""COMPUTED_VALUE"""),46087.47430555556)</f>
        <v>46087.47431</v>
      </c>
      <c r="S7" s="84">
        <f>IFERROR(__xludf.DUMMYFUNCTION("""COMPUTED_VALUE"""),46084.638705254634)</f>
        <v>46084.63871</v>
      </c>
      <c r="T7" s="76">
        <f t="shared" si="4"/>
        <v>2.835600301</v>
      </c>
      <c r="V7" s="76">
        <f>IFERROR(__xludf.DUMMYFUNCTION("""COMPUTED_VALUE"""),4968.0)</f>
        <v>4968</v>
      </c>
      <c r="W7" s="232">
        <f>IFERROR(__xludf.DUMMYFUNCTION("""COMPUTED_VALUE"""),46088.77638888889)</f>
        <v>46088.77639</v>
      </c>
      <c r="X7" s="84">
        <f>IFERROR(__xludf.DUMMYFUNCTION("""COMPUTED_VALUE"""),46087.49585709491)</f>
        <v>46087.49586</v>
      </c>
      <c r="Y7" s="76">
        <f t="shared" si="5"/>
        <v>1.280531794</v>
      </c>
      <c r="AK7" s="232"/>
      <c r="AL7" s="233"/>
      <c r="AM7" s="173"/>
    </row>
    <row r="8">
      <c r="A8" s="76">
        <f>IFERROR(__xludf.DUMMYFUNCTION("""COMPUTED_VALUE"""),4969.0)</f>
        <v>4969</v>
      </c>
      <c r="B8" s="232">
        <f>IFERROR(__xludf.DUMMYFUNCTION("""COMPUTED_VALUE"""),46087.80579266203)</f>
        <v>46087.80579</v>
      </c>
      <c r="C8" s="84">
        <f>IFERROR(__xludf.DUMMYFUNCTION("""COMPUTED_VALUE"""),46087.64044146991)</f>
        <v>46087.64044</v>
      </c>
      <c r="D8" s="173">
        <f t="shared" si="1"/>
        <v>0.1653511921</v>
      </c>
      <c r="G8" s="76">
        <f>IFERROR(__xludf.DUMMYFUNCTION("""COMPUTED_VALUE"""),4969.0)</f>
        <v>4969</v>
      </c>
      <c r="H8" s="232">
        <f>IFERROR(__xludf.DUMMYFUNCTION("""COMPUTED_VALUE"""),46087.81273710648)</f>
        <v>46087.81274</v>
      </c>
      <c r="I8" s="84">
        <f>IFERROR(__xludf.DUMMYFUNCTION("""COMPUTED_VALUE"""),46087.640584699075)</f>
        <v>46087.64058</v>
      </c>
      <c r="J8" s="76">
        <f t="shared" si="2"/>
        <v>0.1721524074</v>
      </c>
      <c r="L8" s="76">
        <f>IFERROR(__xludf.DUMMYFUNCTION("""COMPUTED_VALUE"""),4969.0)</f>
        <v>4969</v>
      </c>
      <c r="M8" s="232">
        <f>IFERROR(__xludf.DUMMYFUNCTION("""COMPUTED_VALUE"""),46088.520833333336)</f>
        <v>46088.52083</v>
      </c>
      <c r="N8" s="84">
        <f>IFERROR(__xludf.DUMMYFUNCTION("""COMPUTED_VALUE"""),46088.41774597223)</f>
        <v>46088.41775</v>
      </c>
      <c r="O8" s="76">
        <f t="shared" si="3"/>
        <v>0.1030873611</v>
      </c>
      <c r="Q8" s="76">
        <f>IFERROR(__xludf.DUMMYFUNCTION("""COMPUTED_VALUE"""),4964.0)</f>
        <v>4964</v>
      </c>
      <c r="R8" s="232">
        <f>IFERROR(__xludf.DUMMYFUNCTION("""COMPUTED_VALUE"""),46087.540972222225)</f>
        <v>46087.54097</v>
      </c>
      <c r="S8" s="84">
        <f>IFERROR(__xludf.DUMMYFUNCTION("""COMPUTED_VALUE"""),46084.74452335648)</f>
        <v>46084.74452</v>
      </c>
      <c r="T8" s="76">
        <f t="shared" si="4"/>
        <v>2.796448866</v>
      </c>
      <c r="V8" s="76">
        <f>IFERROR(__xludf.DUMMYFUNCTION("""COMPUTED_VALUE"""),4969.0)</f>
        <v>4969</v>
      </c>
      <c r="W8" s="232">
        <f>IFERROR(__xludf.DUMMYFUNCTION("""COMPUTED_VALUE"""),46090.5625)</f>
        <v>46090.5625</v>
      </c>
      <c r="X8" s="84">
        <f>IFERROR(__xludf.DUMMYFUNCTION("""COMPUTED_VALUE"""),46088.417878125)</f>
        <v>46088.41788</v>
      </c>
      <c r="Y8" s="76">
        <f t="shared" si="5"/>
        <v>2.144621875</v>
      </c>
      <c r="AD8" s="173"/>
      <c r="AK8" s="232"/>
      <c r="AL8" s="233"/>
      <c r="AM8" s="173"/>
    </row>
    <row r="9">
      <c r="A9" s="76">
        <f>IFERROR(__xludf.DUMMYFUNCTION("""COMPUTED_VALUE"""),4970.0)</f>
        <v>4970</v>
      </c>
      <c r="B9" s="232">
        <f>IFERROR(__xludf.DUMMYFUNCTION("""COMPUTED_VALUE"""),46088.48263888889)</f>
        <v>46088.48264</v>
      </c>
      <c r="C9" s="84">
        <f>IFERROR(__xludf.DUMMYFUNCTION("""COMPUTED_VALUE"""),46087.73551267361)</f>
        <v>46087.73551</v>
      </c>
      <c r="D9" s="173">
        <f t="shared" si="1"/>
        <v>0.7471262153</v>
      </c>
      <c r="G9" s="76">
        <f>IFERROR(__xludf.DUMMYFUNCTION("""COMPUTED_VALUE"""),4970.0)</f>
        <v>4970</v>
      </c>
      <c r="H9" s="232">
        <f>IFERROR(__xludf.DUMMYFUNCTION("""COMPUTED_VALUE"""),46088.489583333336)</f>
        <v>46088.48958</v>
      </c>
      <c r="I9" s="84">
        <f>IFERROR(__xludf.DUMMYFUNCTION("""COMPUTED_VALUE"""),46087.73570435186)</f>
        <v>46087.7357</v>
      </c>
      <c r="J9" s="76">
        <f t="shared" si="2"/>
        <v>0.7538789815</v>
      </c>
      <c r="L9" s="76">
        <f>IFERROR(__xludf.DUMMYFUNCTION("""COMPUTED_VALUE"""),4970.0)</f>
        <v>4970</v>
      </c>
      <c r="M9" s="232">
        <f>IFERROR(__xludf.DUMMYFUNCTION("""COMPUTED_VALUE"""),46088.59375)</f>
        <v>46088.59375</v>
      </c>
      <c r="N9" s="84">
        <f>IFERROR(__xludf.DUMMYFUNCTION("""COMPUTED_VALUE"""),46087.735998425924)</f>
        <v>46087.736</v>
      </c>
      <c r="O9" s="76">
        <f t="shared" si="3"/>
        <v>0.8577515741</v>
      </c>
      <c r="Q9" s="76">
        <f>IFERROR(__xludf.DUMMYFUNCTION("""COMPUTED_VALUE"""),4965.0)</f>
        <v>4965</v>
      </c>
      <c r="R9" s="232">
        <f>IFERROR(__xludf.DUMMYFUNCTION("""COMPUTED_VALUE"""),46087.71875)</f>
        <v>46087.71875</v>
      </c>
      <c r="S9" s="84">
        <f>IFERROR(__xludf.DUMMYFUNCTION("""COMPUTED_VALUE"""),46086.62915126157)</f>
        <v>46086.62915</v>
      </c>
      <c r="T9" s="76">
        <f t="shared" si="4"/>
        <v>1.089598738</v>
      </c>
      <c r="V9" s="76">
        <f>IFERROR(__xludf.DUMMYFUNCTION("""COMPUTED_VALUE"""),4970.0)</f>
        <v>4970</v>
      </c>
      <c r="W9" s="232">
        <f>IFERROR(__xludf.DUMMYFUNCTION("""COMPUTED_VALUE"""),46090.635416666664)</f>
        <v>46090.63542</v>
      </c>
      <c r="X9" s="84">
        <f>IFERROR(__xludf.DUMMYFUNCTION("""COMPUTED_VALUE"""),46088.44906888889)</f>
        <v>46088.44907</v>
      </c>
      <c r="Y9" s="76">
        <f t="shared" si="5"/>
        <v>2.186347778</v>
      </c>
      <c r="AK9" s="232"/>
      <c r="AL9" s="233"/>
      <c r="AM9" s="173"/>
    </row>
    <row r="10">
      <c r="A10" s="76">
        <f>IFERROR(__xludf.DUMMYFUNCTION("""COMPUTED_VALUE"""),4971.0)</f>
        <v>4971</v>
      </c>
      <c r="B10" s="232">
        <f>IFERROR(__xludf.DUMMYFUNCTION("""COMPUTED_VALUE"""),46088.52569444444)</f>
        <v>46088.52569</v>
      </c>
      <c r="C10" s="84">
        <f>IFERROR(__xludf.DUMMYFUNCTION("""COMPUTED_VALUE"""),46088.417496435184)</f>
        <v>46088.4175</v>
      </c>
      <c r="D10" s="173">
        <f t="shared" si="1"/>
        <v>0.1081980093</v>
      </c>
      <c r="G10" s="76">
        <f>IFERROR(__xludf.DUMMYFUNCTION("""COMPUTED_VALUE"""),4971.0)</f>
        <v>4971</v>
      </c>
      <c r="H10" s="232">
        <f>IFERROR(__xludf.DUMMYFUNCTION("""COMPUTED_VALUE"""),46088.532638888886)</f>
        <v>46088.53264</v>
      </c>
      <c r="I10" s="84">
        <f>IFERROR(__xludf.DUMMYFUNCTION("""COMPUTED_VALUE"""),46088.41757754629)</f>
        <v>46088.41758</v>
      </c>
      <c r="J10" s="76">
        <f t="shared" si="2"/>
        <v>0.1150613426</v>
      </c>
      <c r="L10" s="76">
        <f>IFERROR(__xludf.DUMMYFUNCTION("""COMPUTED_VALUE"""),4971.0)</f>
        <v>4971</v>
      </c>
      <c r="M10" s="232">
        <f>IFERROR(__xludf.DUMMYFUNCTION("""COMPUTED_VALUE"""),46088.63680555555)</f>
        <v>46088.63681</v>
      </c>
      <c r="N10" s="84">
        <f>IFERROR(__xludf.DUMMYFUNCTION("""COMPUTED_VALUE"""),46088.418142083334)</f>
        <v>46088.41814</v>
      </c>
      <c r="O10" s="76">
        <f t="shared" si="3"/>
        <v>0.2186634722</v>
      </c>
      <c r="Q10" s="76">
        <f>IFERROR(__xludf.DUMMYFUNCTION("""COMPUTED_VALUE"""),4966.0)</f>
        <v>4966</v>
      </c>
      <c r="R10" s="232">
        <f>IFERROR(__xludf.DUMMYFUNCTION("""COMPUTED_VALUE"""),46088.549305555556)</f>
        <v>46088.54931</v>
      </c>
      <c r="S10" s="84">
        <f>IFERROR(__xludf.DUMMYFUNCTION("""COMPUTED_VALUE"""),46087.66334209491)</f>
        <v>46087.66334</v>
      </c>
      <c r="T10" s="76">
        <f t="shared" si="4"/>
        <v>0.8859634606</v>
      </c>
      <c r="V10" s="76">
        <f>IFERROR(__xludf.DUMMYFUNCTION("""COMPUTED_VALUE"""),4971.0)</f>
        <v>4971</v>
      </c>
      <c r="W10" s="232">
        <f>IFERROR(__xludf.DUMMYFUNCTION("""COMPUTED_VALUE"""),46090.67847222222)</f>
        <v>46090.67847</v>
      </c>
      <c r="X10" s="84">
        <f>IFERROR(__xludf.DUMMYFUNCTION("""COMPUTED_VALUE"""),46088.500586932874)</f>
        <v>46088.50059</v>
      </c>
      <c r="Y10" s="76">
        <f t="shared" si="5"/>
        <v>2.177885289</v>
      </c>
      <c r="AB10" s="236"/>
      <c r="AK10" s="232"/>
      <c r="AL10" s="233"/>
      <c r="AM10" s="173"/>
    </row>
    <row r="11">
      <c r="A11" s="76">
        <f>IFERROR(__xludf.DUMMYFUNCTION("""COMPUTED_VALUE"""),4972.0)</f>
        <v>4972</v>
      </c>
      <c r="B11" s="232">
        <f>IFERROR(__xludf.DUMMYFUNCTION("""COMPUTED_VALUE"""),46088.58368020833)</f>
        <v>46088.58368</v>
      </c>
      <c r="C11" s="84">
        <f>IFERROR(__xludf.DUMMYFUNCTION("""COMPUTED_VALUE"""),46088.41740287037)</f>
        <v>46088.4174</v>
      </c>
      <c r="D11" s="173">
        <f t="shared" si="1"/>
        <v>0.166277338</v>
      </c>
      <c r="G11" s="76">
        <f>IFERROR(__xludf.DUMMYFUNCTION("""COMPUTED_VALUE"""),4972.0)</f>
        <v>4972</v>
      </c>
      <c r="H11" s="232">
        <f>IFERROR(__xludf.DUMMYFUNCTION("""COMPUTED_VALUE"""),46088.590624652774)</f>
        <v>46088.59062</v>
      </c>
      <c r="I11" s="84">
        <f>IFERROR(__xludf.DUMMYFUNCTION("""COMPUTED_VALUE"""),46088.4175850926)</f>
        <v>46088.41759</v>
      </c>
      <c r="J11" s="76">
        <f t="shared" si="2"/>
        <v>0.1730395602</v>
      </c>
      <c r="L11" s="76">
        <f>IFERROR(__xludf.DUMMYFUNCTION("""COMPUTED_VALUE"""),4972.0)</f>
        <v>4972</v>
      </c>
      <c r="M11" s="232">
        <f>IFERROR(__xludf.DUMMYFUNCTION("""COMPUTED_VALUE"""),46088.69479131944)</f>
        <v>46088.69479</v>
      </c>
      <c r="N11" s="84">
        <f>IFERROR(__xludf.DUMMYFUNCTION("""COMPUTED_VALUE"""),46088.41816032407)</f>
        <v>46088.41816</v>
      </c>
      <c r="O11" s="76">
        <f t="shared" si="3"/>
        <v>0.2766309954</v>
      </c>
      <c r="Q11" s="76">
        <f>IFERROR(__xludf.DUMMYFUNCTION("""COMPUTED_VALUE"""),4967.0)</f>
        <v>4967</v>
      </c>
      <c r="R11" s="232">
        <f>IFERROR(__xludf.DUMMYFUNCTION("""COMPUTED_VALUE"""),46088.55138888889)</f>
        <v>46088.55139</v>
      </c>
      <c r="S11" s="84">
        <f>IFERROR(__xludf.DUMMYFUNCTION("""COMPUTED_VALUE"""),46087.66336288194)</f>
        <v>46087.66336</v>
      </c>
      <c r="T11" s="76">
        <f t="shared" si="4"/>
        <v>0.8880260069</v>
      </c>
      <c r="V11" s="76">
        <f>IFERROR(__xludf.DUMMYFUNCTION("""COMPUTED_VALUE"""),4972.0)</f>
        <v>4972</v>
      </c>
      <c r="W11" s="232">
        <f>IFERROR(__xludf.DUMMYFUNCTION("""COMPUTED_VALUE"""),46090.73611111111)</f>
        <v>46090.73611</v>
      </c>
      <c r="X11" s="84">
        <f>IFERROR(__xludf.DUMMYFUNCTION("""COMPUTED_VALUE"""),46088.48170363426)</f>
        <v>46088.4817</v>
      </c>
      <c r="Y11" s="76">
        <f t="shared" si="5"/>
        <v>2.254407477</v>
      </c>
      <c r="AK11" s="232"/>
      <c r="AL11" s="233"/>
      <c r="AM11" s="173"/>
    </row>
    <row r="12">
      <c r="A12" s="76">
        <f>IFERROR(__xludf.DUMMYFUNCTION("""COMPUTED_VALUE"""),4973.0)</f>
        <v>4973</v>
      </c>
      <c r="B12" s="232">
        <f>IFERROR(__xludf.DUMMYFUNCTION("""COMPUTED_VALUE"""),46088.60958484954)</f>
        <v>46088.60958</v>
      </c>
      <c r="C12" s="84">
        <f>IFERROR(__xludf.DUMMYFUNCTION("""COMPUTED_VALUE"""),46088.448532291666)</f>
        <v>46088.44853</v>
      </c>
      <c r="D12" s="173">
        <f t="shared" si="1"/>
        <v>0.1610525579</v>
      </c>
      <c r="G12" s="76">
        <f>IFERROR(__xludf.DUMMYFUNCTION("""COMPUTED_VALUE"""),4973.0)</f>
        <v>4973</v>
      </c>
      <c r="H12" s="232">
        <f>IFERROR(__xludf.DUMMYFUNCTION("""COMPUTED_VALUE"""),46088.616529293984)</f>
        <v>46088.61653</v>
      </c>
      <c r="I12" s="84">
        <f>IFERROR(__xludf.DUMMYFUNCTION("""COMPUTED_VALUE"""),46088.44869953704)</f>
        <v>46088.4487</v>
      </c>
      <c r="J12" s="76">
        <f t="shared" si="2"/>
        <v>0.1678297569</v>
      </c>
      <c r="L12" s="76">
        <f>IFERROR(__xludf.DUMMYFUNCTION("""COMPUTED_VALUE"""),4973.0)</f>
        <v>4973</v>
      </c>
      <c r="M12" s="232">
        <f>IFERROR(__xludf.DUMMYFUNCTION("""COMPUTED_VALUE"""),46088.72069596065)</f>
        <v>46088.7207</v>
      </c>
      <c r="N12" s="84">
        <f>IFERROR(__xludf.DUMMYFUNCTION("""COMPUTED_VALUE"""),46088.44883821759)</f>
        <v>46088.44884</v>
      </c>
      <c r="O12" s="76">
        <f t="shared" si="3"/>
        <v>0.2718577431</v>
      </c>
      <c r="Q12" s="76">
        <f>IFERROR(__xludf.DUMMYFUNCTION("""COMPUTED_VALUE"""),4968.0)</f>
        <v>4968</v>
      </c>
      <c r="R12" s="232">
        <f>IFERROR(__xludf.DUMMYFUNCTION("""COMPUTED_VALUE"""),46088.73472222222)</f>
        <v>46088.73472</v>
      </c>
      <c r="S12" s="84">
        <f>IFERROR(__xludf.DUMMYFUNCTION("""COMPUTED_VALUE"""),46087.495814699076)</f>
        <v>46087.49581</v>
      </c>
      <c r="T12" s="76">
        <f t="shared" si="4"/>
        <v>1.238907523</v>
      </c>
      <c r="V12" s="76">
        <f>IFERROR(__xludf.DUMMYFUNCTION("""COMPUTED_VALUE"""),4973.0)</f>
        <v>4973</v>
      </c>
      <c r="W12" s="232">
        <f>IFERROR(__xludf.DUMMYFUNCTION("""COMPUTED_VALUE"""),46090.76180555556)</f>
        <v>46090.76181</v>
      </c>
      <c r="X12" s="84">
        <f>IFERROR(__xludf.DUMMYFUNCTION("""COMPUTED_VALUE"""),46090.67188197917)</f>
        <v>46090.67188</v>
      </c>
      <c r="Y12" s="76">
        <f t="shared" si="5"/>
        <v>0.08992357639</v>
      </c>
      <c r="AK12" s="232"/>
      <c r="AL12" s="233"/>
      <c r="AM12" s="173"/>
    </row>
    <row r="13">
      <c r="A13" s="76">
        <f>IFERROR(__xludf.DUMMYFUNCTION("""COMPUTED_VALUE"""),4974.0)</f>
        <v>4974</v>
      </c>
      <c r="B13" s="232">
        <f>IFERROR(__xludf.DUMMYFUNCTION("""COMPUTED_VALUE"""),46090.66302614583)</f>
        <v>46090.66303</v>
      </c>
      <c r="C13" s="84">
        <f>IFERROR(__xludf.DUMMYFUNCTION("""COMPUTED_VALUE"""),46090.519292094905)</f>
        <v>46090.51929</v>
      </c>
      <c r="D13" s="173">
        <f t="shared" si="1"/>
        <v>0.1437340509</v>
      </c>
      <c r="G13" s="76">
        <f>IFERROR(__xludf.DUMMYFUNCTION("""COMPUTED_VALUE"""),4974.0)</f>
        <v>4974</v>
      </c>
      <c r="H13" s="232">
        <f>IFERROR(__xludf.DUMMYFUNCTION("""COMPUTED_VALUE"""),46090.66997059027)</f>
        <v>46090.66997</v>
      </c>
      <c r="I13" s="84">
        <f>IFERROR(__xludf.DUMMYFUNCTION("""COMPUTED_VALUE"""),46090.51947291667)</f>
        <v>46090.51947</v>
      </c>
      <c r="J13" s="76">
        <f t="shared" si="2"/>
        <v>0.1504976736</v>
      </c>
      <c r="L13" s="76">
        <f>IFERROR(__xludf.DUMMYFUNCTION("""COMPUTED_VALUE"""),4974.0)</f>
        <v>4974</v>
      </c>
      <c r="M13" s="232">
        <f>IFERROR(__xludf.DUMMYFUNCTION("""COMPUTED_VALUE"""),46090.774137256936)</f>
        <v>46090.77414</v>
      </c>
      <c r="N13" s="84">
        <f>IFERROR(__xludf.DUMMYFUNCTION("""COMPUTED_VALUE"""),46090.67171430556)</f>
        <v>46090.67171</v>
      </c>
      <c r="O13" s="76">
        <f t="shared" si="3"/>
        <v>0.1024229514</v>
      </c>
      <c r="Q13" s="76">
        <f>IFERROR(__xludf.DUMMYFUNCTION("""COMPUTED_VALUE"""),4969.0)</f>
        <v>4969</v>
      </c>
      <c r="R13" s="232">
        <f>IFERROR(__xludf.DUMMYFUNCTION("""COMPUTED_VALUE"""),46090.520833333336)</f>
        <v>46090.52083</v>
      </c>
      <c r="S13" s="84">
        <f>IFERROR(__xludf.DUMMYFUNCTION("""COMPUTED_VALUE"""),46088.417819016206)</f>
        <v>46088.41782</v>
      </c>
      <c r="T13" s="76">
        <f t="shared" si="4"/>
        <v>2.103014317</v>
      </c>
      <c r="V13" s="76">
        <f>IFERROR(__xludf.DUMMYFUNCTION("""COMPUTED_VALUE"""),4974.0)</f>
        <v>4974</v>
      </c>
      <c r="W13" s="232">
        <f>IFERROR(__xludf.DUMMYFUNCTION("""COMPUTED_VALUE"""),46091.81527777777)</f>
        <v>46091.81528</v>
      </c>
      <c r="X13" s="84">
        <f>IFERROR(__xludf.DUMMYFUNCTION("""COMPUTED_VALUE"""),46091.775305613424)</f>
        <v>46091.77531</v>
      </c>
      <c r="Y13" s="76">
        <f t="shared" si="5"/>
        <v>0.03997216435</v>
      </c>
      <c r="AK13" s="232"/>
      <c r="AL13" s="233"/>
      <c r="AM13" s="173"/>
    </row>
    <row r="14">
      <c r="A14" s="76">
        <f>IFERROR(__xludf.DUMMYFUNCTION("""COMPUTED_VALUE"""),4975.0)</f>
        <v>4975</v>
      </c>
      <c r="B14" s="232">
        <f>IFERROR(__xludf.DUMMYFUNCTION("""COMPUTED_VALUE"""),46090.70148818287)</f>
        <v>46090.70149</v>
      </c>
      <c r="C14" s="84">
        <f>IFERROR(__xludf.DUMMYFUNCTION("""COMPUTED_VALUE"""),46090.620326435186)</f>
        <v>46090.62033</v>
      </c>
      <c r="D14" s="173">
        <f t="shared" si="1"/>
        <v>0.08116174769</v>
      </c>
      <c r="G14" s="76">
        <f>IFERROR(__xludf.DUMMYFUNCTION("""COMPUTED_VALUE"""),4975.0)</f>
        <v>4975</v>
      </c>
      <c r="H14" s="232">
        <f>IFERROR(__xludf.DUMMYFUNCTION("""COMPUTED_VALUE"""),46090.70843262732)</f>
        <v>46090.70843</v>
      </c>
      <c r="I14" s="84">
        <f>IFERROR(__xludf.DUMMYFUNCTION("""COMPUTED_VALUE"""),46090.62068275463)</f>
        <v>46090.62068</v>
      </c>
      <c r="J14" s="76">
        <f t="shared" si="2"/>
        <v>0.08774987269</v>
      </c>
      <c r="L14" s="76">
        <f>IFERROR(__xludf.DUMMYFUNCTION("""COMPUTED_VALUE"""),4975.0)</f>
        <v>4975</v>
      </c>
      <c r="M14" s="232">
        <f>IFERROR(__xludf.DUMMYFUNCTION("""COMPUTED_VALUE"""),46090.81259929398)</f>
        <v>46090.8126</v>
      </c>
      <c r="N14" s="84">
        <f>IFERROR(__xludf.DUMMYFUNCTION("""COMPUTED_VALUE"""),46090.6717959838)</f>
        <v>46090.6718</v>
      </c>
      <c r="O14" s="76">
        <f t="shared" si="3"/>
        <v>0.1408033102</v>
      </c>
      <c r="Q14" s="76">
        <f>IFERROR(__xludf.DUMMYFUNCTION("""COMPUTED_VALUE"""),4970.0)</f>
        <v>4970</v>
      </c>
      <c r="R14" s="232">
        <f>IFERROR(__xludf.DUMMYFUNCTION("""COMPUTED_VALUE"""),46090.59375)</f>
        <v>46090.59375</v>
      </c>
      <c r="S14" s="84">
        <f>IFERROR(__xludf.DUMMYFUNCTION("""COMPUTED_VALUE"""),46088.448983009264)</f>
        <v>46088.44898</v>
      </c>
      <c r="T14" s="76">
        <f t="shared" si="4"/>
        <v>2.144766991</v>
      </c>
      <c r="V14" s="76">
        <f>IFERROR(__xludf.DUMMYFUNCTION("""COMPUTED_VALUE"""),4975.0)</f>
        <v>4975</v>
      </c>
      <c r="W14" s="232">
        <f>IFERROR(__xludf.DUMMYFUNCTION("""COMPUTED_VALUE"""),46092.4375)</f>
        <v>46092.4375</v>
      </c>
      <c r="X14" s="84">
        <f>IFERROR(__xludf.DUMMYFUNCTION("""COMPUTED_VALUE"""),46091.54032148149)</f>
        <v>46091.54032</v>
      </c>
      <c r="Y14" s="76">
        <f t="shared" si="5"/>
        <v>0.8971785185</v>
      </c>
      <c r="AK14" s="232"/>
      <c r="AL14" s="233"/>
      <c r="AM14" s="173"/>
    </row>
    <row r="15">
      <c r="A15" s="76">
        <f>IFERROR(__xludf.DUMMYFUNCTION("""COMPUTED_VALUE"""),4976.0)</f>
        <v>4976</v>
      </c>
      <c r="B15" s="232">
        <f>IFERROR(__xludf.DUMMYFUNCTION("""COMPUTED_VALUE"""),46090.70456688657)</f>
        <v>46090.70457</v>
      </c>
      <c r="C15" s="84">
        <f>IFERROR(__xludf.DUMMYFUNCTION("""COMPUTED_VALUE"""),46090.62026956018)</f>
        <v>46090.62027</v>
      </c>
      <c r="D15" s="173">
        <f t="shared" si="1"/>
        <v>0.08429732639</v>
      </c>
      <c r="G15" s="76">
        <f>IFERROR(__xludf.DUMMYFUNCTION("""COMPUTED_VALUE"""),4976.0)</f>
        <v>4976</v>
      </c>
      <c r="H15" s="232">
        <f>IFERROR(__xludf.DUMMYFUNCTION("""COMPUTED_VALUE"""),46090.711511331014)</f>
        <v>46090.71151</v>
      </c>
      <c r="I15" s="84">
        <f>IFERROR(__xludf.DUMMYFUNCTION("""COMPUTED_VALUE"""),46090.620627233795)</f>
        <v>46090.62063</v>
      </c>
      <c r="J15" s="76">
        <f t="shared" si="2"/>
        <v>0.09088409722</v>
      </c>
      <c r="L15" s="76">
        <f>IFERROR(__xludf.DUMMYFUNCTION("""COMPUTED_VALUE"""),4976.0)</f>
        <v>4976</v>
      </c>
      <c r="M15" s="232">
        <f>IFERROR(__xludf.DUMMYFUNCTION("""COMPUTED_VALUE"""),46090.81567799768)</f>
        <v>46090.81568</v>
      </c>
      <c r="N15" s="84">
        <f>IFERROR(__xludf.DUMMYFUNCTION("""COMPUTED_VALUE"""),46090.62469237269)</f>
        <v>46090.62469</v>
      </c>
      <c r="O15" s="76">
        <f t="shared" si="3"/>
        <v>0.190985625</v>
      </c>
      <c r="Q15" s="76">
        <f>IFERROR(__xludf.DUMMYFUNCTION("""COMPUTED_VALUE"""),4971.0)</f>
        <v>4971</v>
      </c>
      <c r="R15" s="232">
        <f>IFERROR(__xludf.DUMMYFUNCTION("""COMPUTED_VALUE"""),46090.63680555556)</f>
        <v>46090.63681</v>
      </c>
      <c r="S15" s="84">
        <f>IFERROR(__xludf.DUMMYFUNCTION("""COMPUTED_VALUE"""),46088.449121875004)</f>
        <v>46088.44912</v>
      </c>
      <c r="T15" s="76">
        <f t="shared" si="4"/>
        <v>2.187683681</v>
      </c>
      <c r="V15" s="76">
        <f>IFERROR(__xludf.DUMMYFUNCTION("""COMPUTED_VALUE"""),4976.0)</f>
        <v>4976</v>
      </c>
      <c r="W15" s="232">
        <f>IFERROR(__xludf.DUMMYFUNCTION("""COMPUTED_VALUE"""),46092.44027777777)</f>
        <v>46092.44028</v>
      </c>
      <c r="X15" s="84">
        <f>IFERROR(__xludf.DUMMYFUNCTION("""COMPUTED_VALUE"""),46090.62478932871)</f>
        <v>46090.62479</v>
      </c>
      <c r="Y15" s="76">
        <f t="shared" si="5"/>
        <v>1.815488449</v>
      </c>
      <c r="AK15" s="232"/>
      <c r="AL15" s="233"/>
      <c r="AM15" s="173"/>
    </row>
    <row r="16">
      <c r="A16" s="76">
        <f>IFERROR(__xludf.DUMMYFUNCTION("""COMPUTED_VALUE"""),4977.0)</f>
        <v>4977</v>
      </c>
      <c r="B16" s="232">
        <f>IFERROR(__xludf.DUMMYFUNCTION("""COMPUTED_VALUE"""),46090.707014733794)</f>
        <v>46090.70701</v>
      </c>
      <c r="C16" s="84">
        <f>IFERROR(__xludf.DUMMYFUNCTION("""COMPUTED_VALUE"""),46090.549729583334)</f>
        <v>46090.54973</v>
      </c>
      <c r="D16" s="173">
        <f t="shared" si="1"/>
        <v>0.1572851505</v>
      </c>
      <c r="G16" s="76">
        <f>IFERROR(__xludf.DUMMYFUNCTION("""COMPUTED_VALUE"""),4977.0)</f>
        <v>4977</v>
      </c>
      <c r="H16" s="232">
        <f>IFERROR(__xludf.DUMMYFUNCTION("""COMPUTED_VALUE"""),46090.71395917824)</f>
        <v>46090.71396</v>
      </c>
      <c r="I16" s="84">
        <f>IFERROR(__xludf.DUMMYFUNCTION("""COMPUTED_VALUE"""),46090.54988741898)</f>
        <v>46090.54989</v>
      </c>
      <c r="J16" s="76">
        <f t="shared" si="2"/>
        <v>0.1640717593</v>
      </c>
      <c r="L16" s="76">
        <f>IFERROR(__xludf.DUMMYFUNCTION("""COMPUTED_VALUE"""),4977.0)</f>
        <v>4977</v>
      </c>
      <c r="M16" s="232">
        <f>IFERROR(__xludf.DUMMYFUNCTION("""COMPUTED_VALUE"""),46090.818125844904)</f>
        <v>46090.81813</v>
      </c>
      <c r="N16" s="84">
        <f>IFERROR(__xludf.DUMMYFUNCTION("""COMPUTED_VALUE"""),46090.549937812495)</f>
        <v>46090.54994</v>
      </c>
      <c r="O16" s="76">
        <f t="shared" si="3"/>
        <v>0.2681880324</v>
      </c>
      <c r="Q16" s="76">
        <f>IFERROR(__xludf.DUMMYFUNCTION("""COMPUTED_VALUE"""),4972.0)</f>
        <v>4972</v>
      </c>
      <c r="R16" s="232">
        <f>IFERROR(__xludf.DUMMYFUNCTION("""COMPUTED_VALUE"""),46090.694444444445)</f>
        <v>46090.69444</v>
      </c>
      <c r="S16" s="84">
        <f>IFERROR(__xludf.DUMMYFUNCTION("""COMPUTED_VALUE"""),46088.481645266205)</f>
        <v>46088.48165</v>
      </c>
      <c r="T16" s="76">
        <f t="shared" si="4"/>
        <v>2.212799178</v>
      </c>
      <c r="V16" s="76">
        <f>IFERROR(__xludf.DUMMYFUNCTION("""COMPUTED_VALUE"""),4977.0)</f>
        <v>4977</v>
      </c>
      <c r="W16" s="232">
        <f>IFERROR(__xludf.DUMMYFUNCTION("""COMPUTED_VALUE"""),46092.44305555555)</f>
        <v>46092.44306</v>
      </c>
      <c r="X16" s="84">
        <f>IFERROR(__xludf.DUMMYFUNCTION("""COMPUTED_VALUE"""),46091.46887069444)</f>
        <v>46091.46887</v>
      </c>
      <c r="Y16" s="76">
        <f t="shared" si="5"/>
        <v>0.9741848611</v>
      </c>
      <c r="AK16" s="232"/>
      <c r="AL16" s="233"/>
      <c r="AM16" s="173"/>
    </row>
    <row r="17">
      <c r="A17" s="76">
        <f>IFERROR(__xludf.DUMMYFUNCTION("""COMPUTED_VALUE"""),4978.0)</f>
        <v>4978</v>
      </c>
      <c r="B17" s="232">
        <f>IFERROR(__xludf.DUMMYFUNCTION("""COMPUTED_VALUE"""),46090.74271519676)</f>
        <v>46090.74272</v>
      </c>
      <c r="C17" s="84">
        <f>IFERROR(__xludf.DUMMYFUNCTION("""COMPUTED_VALUE"""),46090.620428124996)</f>
        <v>46090.62043</v>
      </c>
      <c r="D17" s="173">
        <f t="shared" si="1"/>
        <v>0.1222870718</v>
      </c>
      <c r="G17" s="76">
        <f>IFERROR(__xludf.DUMMYFUNCTION("""COMPUTED_VALUE"""),4978.0)</f>
        <v>4978</v>
      </c>
      <c r="H17" s="232">
        <f>IFERROR(__xludf.DUMMYFUNCTION("""COMPUTED_VALUE"""),46090.7496596412)</f>
        <v>46090.74966</v>
      </c>
      <c r="I17" s="84">
        <f>IFERROR(__xludf.DUMMYFUNCTION("""COMPUTED_VALUE"""),46090.773011666664)</f>
        <v>46090.77301</v>
      </c>
      <c r="J17" s="76">
        <f t="shared" si="2"/>
        <v>-0.02335202546</v>
      </c>
      <c r="L17" s="76">
        <f>IFERROR(__xludf.DUMMYFUNCTION("""COMPUTED_VALUE"""),4978.0)</f>
        <v>4978</v>
      </c>
      <c r="M17" s="232">
        <f>IFERROR(__xludf.DUMMYFUNCTION("""COMPUTED_VALUE"""),46091.45763888889)</f>
        <v>46091.45764</v>
      </c>
      <c r="N17" s="84">
        <f>IFERROR(__xludf.DUMMYFUNCTION("""COMPUTED_VALUE"""),46090.77306460648)</f>
        <v>46090.77306</v>
      </c>
      <c r="O17" s="76">
        <f t="shared" si="3"/>
        <v>0.6845742824</v>
      </c>
      <c r="Q17" s="76">
        <f>IFERROR(__xludf.DUMMYFUNCTION("""COMPUTED_VALUE"""),4973.0)</f>
        <v>4973</v>
      </c>
      <c r="R17" s="232">
        <f>IFERROR(__xludf.DUMMYFUNCTION("""COMPUTED_VALUE"""),46090.72013888889)</f>
        <v>46090.72014</v>
      </c>
      <c r="S17" s="84">
        <f>IFERROR(__xludf.DUMMYFUNCTION("""COMPUTED_VALUE"""),46090.62253605324)</f>
        <v>46090.62254</v>
      </c>
      <c r="T17" s="76">
        <f t="shared" si="4"/>
        <v>0.09760283565</v>
      </c>
      <c r="V17" s="76">
        <f>IFERROR(__xludf.DUMMYFUNCTION("""COMPUTED_VALUE"""),4978.0)</f>
        <v>4978</v>
      </c>
      <c r="W17" s="232">
        <f>IFERROR(__xludf.DUMMYFUNCTION("""COMPUTED_VALUE"""),46092.49930555555)</f>
        <v>46092.49931</v>
      </c>
      <c r="X17" s="84">
        <f>IFERROR(__xludf.DUMMYFUNCTION("""COMPUTED_VALUE"""),46091.54045894676)</f>
        <v>46091.54046</v>
      </c>
      <c r="Y17" s="76">
        <f t="shared" si="5"/>
        <v>0.9588466088</v>
      </c>
      <c r="AK17" s="232"/>
      <c r="AL17" s="233"/>
      <c r="AM17" s="173"/>
    </row>
    <row r="18">
      <c r="A18" s="76">
        <f>IFERROR(__xludf.DUMMYFUNCTION("""COMPUTED_VALUE"""),4979.0)</f>
        <v>4979</v>
      </c>
      <c r="B18" s="232">
        <f>IFERROR(__xludf.DUMMYFUNCTION("""COMPUTED_VALUE"""),46091.7615015162)</f>
        <v>46091.7615</v>
      </c>
      <c r="C18" s="84">
        <f>IFERROR(__xludf.DUMMYFUNCTION("""COMPUTED_VALUE"""),46091.46802141204)</f>
        <v>46091.46802</v>
      </c>
      <c r="D18" s="173">
        <f t="shared" si="1"/>
        <v>0.2934801042</v>
      </c>
      <c r="G18" s="76">
        <f>IFERROR(__xludf.DUMMYFUNCTION("""COMPUTED_VALUE"""),4979.0)</f>
        <v>4979</v>
      </c>
      <c r="H18" s="232">
        <f>IFERROR(__xludf.DUMMYFUNCTION("""COMPUTED_VALUE"""),46091.768445960646)</f>
        <v>46091.76845</v>
      </c>
      <c r="I18" s="84">
        <f>IFERROR(__xludf.DUMMYFUNCTION("""COMPUTED_VALUE"""),46091.4683472801)</f>
        <v>46091.46835</v>
      </c>
      <c r="J18" s="76">
        <f t="shared" si="2"/>
        <v>0.3000986805</v>
      </c>
      <c r="L18" s="76">
        <f>IFERROR(__xludf.DUMMYFUNCTION("""COMPUTED_VALUE"""),4979.0)</f>
        <v>4979</v>
      </c>
      <c r="M18" s="232">
        <f>IFERROR(__xludf.DUMMYFUNCTION("""COMPUTED_VALUE"""),46091.47638888889)</f>
        <v>46091.47639</v>
      </c>
      <c r="N18" s="84">
        <f>IFERROR(__xludf.DUMMYFUNCTION("""COMPUTED_VALUE"""),46091.46856538195)</f>
        <v>46091.46857</v>
      </c>
      <c r="O18" s="76">
        <f t="shared" si="3"/>
        <v>0.007823506945</v>
      </c>
      <c r="Q18" s="76">
        <f>IFERROR(__xludf.DUMMYFUNCTION("""COMPUTED_VALUE"""),4974.0)</f>
        <v>4974</v>
      </c>
      <c r="R18" s="232">
        <f>IFERROR(__xludf.DUMMYFUNCTION("""COMPUTED_VALUE"""),46091.77361111111)</f>
        <v>46091.77361</v>
      </c>
      <c r="S18" s="84">
        <f>IFERROR(__xludf.DUMMYFUNCTION("""COMPUTED_VALUE"""),46091.772465277776)</f>
        <v>46091.77247</v>
      </c>
      <c r="T18" s="76">
        <f t="shared" si="4"/>
        <v>0.001145833332</v>
      </c>
      <c r="V18" s="76">
        <f>IFERROR(__xludf.DUMMYFUNCTION("""COMPUTED_VALUE"""),4979.0)</f>
        <v>4979</v>
      </c>
      <c r="W18" s="232">
        <f>IFERROR(__xludf.DUMMYFUNCTION("""COMPUTED_VALUE"""),46092.518055555556)</f>
        <v>46092.51806</v>
      </c>
      <c r="X18" s="84">
        <f>IFERROR(__xludf.DUMMYFUNCTION("""COMPUTED_VALUE"""),46091.46869702546)</f>
        <v>46091.4687</v>
      </c>
      <c r="Y18" s="76">
        <f t="shared" si="5"/>
        <v>1.04935853</v>
      </c>
      <c r="AK18" s="232"/>
      <c r="AL18" s="233"/>
      <c r="AM18" s="173"/>
    </row>
    <row r="19">
      <c r="A19" s="76">
        <f>IFERROR(__xludf.DUMMYFUNCTION("""COMPUTED_VALUE"""),4980.0)</f>
        <v>4980</v>
      </c>
      <c r="B19" s="232">
        <f>IFERROR(__xludf.DUMMYFUNCTION("""COMPUTED_VALUE"""),46091.78534859954)</f>
        <v>46091.78535</v>
      </c>
      <c r="C19" s="84">
        <f>IFERROR(__xludf.DUMMYFUNCTION("""COMPUTED_VALUE"""),46091.625770231476)</f>
        <v>46091.62577</v>
      </c>
      <c r="D19" s="173">
        <f t="shared" si="1"/>
        <v>0.1595783681</v>
      </c>
      <c r="G19" s="76">
        <f>IFERROR(__xludf.DUMMYFUNCTION("""COMPUTED_VALUE"""),4980.0)</f>
        <v>4980</v>
      </c>
      <c r="H19" s="232">
        <f>IFERROR(__xludf.DUMMYFUNCTION("""COMPUTED_VALUE"""),46091.79229304398)</f>
        <v>46091.79229</v>
      </c>
      <c r="I19" s="84">
        <f>IFERROR(__xludf.DUMMYFUNCTION("""COMPUTED_VALUE"""),46091.62589028935)</f>
        <v>46091.62589</v>
      </c>
      <c r="J19" s="76">
        <f t="shared" si="2"/>
        <v>0.1664027546</v>
      </c>
      <c r="L19" s="76">
        <f>IFERROR(__xludf.DUMMYFUNCTION("""COMPUTED_VALUE"""),4980.0)</f>
        <v>4980</v>
      </c>
      <c r="M19" s="232">
        <f>IFERROR(__xludf.DUMMYFUNCTION("""COMPUTED_VALUE"""),46092.458333333336)</f>
        <v>46092.45833</v>
      </c>
      <c r="N19" s="84">
        <f>IFERROR(__xludf.DUMMYFUNCTION("""COMPUTED_VALUE"""),46091.77643290509)</f>
        <v>46091.77643</v>
      </c>
      <c r="O19" s="76">
        <f t="shared" si="3"/>
        <v>0.6819004282</v>
      </c>
      <c r="Q19" s="76">
        <f>IFERROR(__xludf.DUMMYFUNCTION("""COMPUTED_VALUE"""),4975.0)</f>
        <v>4975</v>
      </c>
      <c r="R19" s="232">
        <f>IFERROR(__xludf.DUMMYFUNCTION("""COMPUTED_VALUE"""),46091.8125)</f>
        <v>46091.8125</v>
      </c>
      <c r="S19" s="84">
        <f>IFERROR(__xludf.DUMMYFUNCTION("""COMPUTED_VALUE"""),46091.54028539352)</f>
        <v>46091.54029</v>
      </c>
      <c r="T19" s="76">
        <f t="shared" si="4"/>
        <v>0.2722146065</v>
      </c>
      <c r="V19" s="76">
        <f>IFERROR(__xludf.DUMMYFUNCTION("""COMPUTED_VALUE"""),4980.0)</f>
        <v>4980</v>
      </c>
      <c r="W19" s="232">
        <f>IFERROR(__xludf.DUMMYFUNCTION("""COMPUTED_VALUE"""),46093.5)</f>
        <v>46093.5</v>
      </c>
      <c r="X19" s="84">
        <f>IFERROR(__xludf.DUMMYFUNCTION("""COMPUTED_VALUE"""),46092.41633600694)</f>
        <v>46092.41634</v>
      </c>
      <c r="Y19" s="76">
        <f t="shared" si="5"/>
        <v>1.083663993</v>
      </c>
      <c r="AK19" s="232"/>
      <c r="AL19" s="233"/>
      <c r="AM19" s="173"/>
    </row>
    <row r="20">
      <c r="A20" s="76">
        <f>IFERROR(__xludf.DUMMYFUNCTION("""COMPUTED_VALUE"""),4981.0)</f>
        <v>4981</v>
      </c>
      <c r="B20" s="232">
        <f>IFERROR(__xludf.DUMMYFUNCTION("""COMPUTED_VALUE"""),46091.78946299769)</f>
        <v>46091.78946</v>
      </c>
      <c r="C20" s="84">
        <f>IFERROR(__xludf.DUMMYFUNCTION("""COMPUTED_VALUE"""),46091.62574988426)</f>
        <v>46091.62575</v>
      </c>
      <c r="D20" s="173">
        <f t="shared" si="1"/>
        <v>0.1637131134</v>
      </c>
      <c r="G20" s="76">
        <f>IFERROR(__xludf.DUMMYFUNCTION("""COMPUTED_VALUE"""),4981.0)</f>
        <v>4981</v>
      </c>
      <c r="H20" s="232">
        <f>IFERROR(__xludf.DUMMYFUNCTION("""COMPUTED_VALUE"""),46091.79640744213)</f>
        <v>46091.79641</v>
      </c>
      <c r="I20" s="84">
        <f>IFERROR(__xludf.DUMMYFUNCTION("""COMPUTED_VALUE"""),46091.62593553241)</f>
        <v>46091.62594</v>
      </c>
      <c r="J20" s="76">
        <f t="shared" si="2"/>
        <v>0.1704719097</v>
      </c>
      <c r="L20" s="76">
        <f>IFERROR(__xludf.DUMMYFUNCTION("""COMPUTED_VALUE"""),4981.0)</f>
        <v>4981</v>
      </c>
      <c r="M20" s="232">
        <f>IFERROR(__xludf.DUMMYFUNCTION("""COMPUTED_VALUE"""),46092.4625)</f>
        <v>46092.4625</v>
      </c>
      <c r="N20" s="84">
        <f>IFERROR(__xludf.DUMMYFUNCTION("""COMPUTED_VALUE"""),46091.77626208334)</f>
        <v>46091.77626</v>
      </c>
      <c r="O20" s="76">
        <f t="shared" si="3"/>
        <v>0.6862379167</v>
      </c>
      <c r="Q20" s="76">
        <f>IFERROR(__xludf.DUMMYFUNCTION("""COMPUTED_VALUE"""),4976.0)</f>
        <v>4976</v>
      </c>
      <c r="R20" s="232">
        <f>IFERROR(__xludf.DUMMYFUNCTION("""COMPUTED_VALUE"""),46091.81527777777)</f>
        <v>46091.81528</v>
      </c>
      <c r="S20" s="84">
        <f>IFERROR(__xludf.DUMMYFUNCTION("""COMPUTED_VALUE"""),46090.62471791667)</f>
        <v>46090.62472</v>
      </c>
      <c r="T20" s="76">
        <f t="shared" si="4"/>
        <v>1.190559861</v>
      </c>
      <c r="V20" s="76">
        <f>IFERROR(__xludf.DUMMYFUNCTION("""COMPUTED_VALUE"""),4981.0)</f>
        <v>4981</v>
      </c>
      <c r="W20" s="232">
        <f>IFERROR(__xludf.DUMMYFUNCTION("""COMPUTED_VALUE"""),46093.504166666666)</f>
        <v>46093.50417</v>
      </c>
      <c r="X20" s="84">
        <f>IFERROR(__xludf.DUMMYFUNCTION("""COMPUTED_VALUE"""),46091.776347499996)</f>
        <v>46091.77635</v>
      </c>
      <c r="Y20" s="76">
        <f t="shared" si="5"/>
        <v>1.727819167</v>
      </c>
      <c r="AK20" s="232"/>
      <c r="AL20" s="233"/>
      <c r="AM20" s="173"/>
    </row>
    <row r="21">
      <c r="A21" s="76">
        <f>IFERROR(__xludf.DUMMYFUNCTION("""COMPUTED_VALUE"""),4982.0)</f>
        <v>4982</v>
      </c>
      <c r="B21" s="232">
        <f>IFERROR(__xludf.DUMMYFUNCTION("""COMPUTED_VALUE"""),46092.48819444445)</f>
        <v>46092.48819</v>
      </c>
      <c r="C21" s="84">
        <f>IFERROR(__xludf.DUMMYFUNCTION("""COMPUTED_VALUE"""),46091.776057627314)</f>
        <v>46091.77606</v>
      </c>
      <c r="D21" s="173">
        <f t="shared" si="1"/>
        <v>0.7121368171</v>
      </c>
      <c r="G21" s="76">
        <f>IFERROR(__xludf.DUMMYFUNCTION("""COMPUTED_VALUE"""),4982.0)</f>
        <v>4982</v>
      </c>
      <c r="H21" s="232">
        <f>IFERROR(__xludf.DUMMYFUNCTION("""COMPUTED_VALUE"""),46092.495138888895)</f>
        <v>46092.49514</v>
      </c>
      <c r="I21" s="84">
        <f>IFERROR(__xludf.DUMMYFUNCTION("""COMPUTED_VALUE"""),46091.77615987269)</f>
        <v>46091.77616</v>
      </c>
      <c r="J21" s="76">
        <f t="shared" si="2"/>
        <v>0.7189790162</v>
      </c>
      <c r="L21" s="76">
        <f>IFERROR(__xludf.DUMMYFUNCTION("""COMPUTED_VALUE"""),4982.0)</f>
        <v>4982</v>
      </c>
      <c r="M21" s="232">
        <f>IFERROR(__xludf.DUMMYFUNCTION("""COMPUTED_VALUE"""),46092.59930555556)</f>
        <v>46092.59931</v>
      </c>
      <c r="N21" s="84">
        <f>IFERROR(__xludf.DUMMYFUNCTION("""COMPUTED_VALUE"""),46092.43224246528)</f>
        <v>46092.43224</v>
      </c>
      <c r="O21" s="76">
        <f t="shared" si="3"/>
        <v>0.1670630903</v>
      </c>
      <c r="Q21" s="76">
        <f>IFERROR(__xludf.DUMMYFUNCTION("""COMPUTED_VALUE"""),4977.0)</f>
        <v>4977</v>
      </c>
      <c r="R21" s="232">
        <f>IFERROR(__xludf.DUMMYFUNCTION("""COMPUTED_VALUE"""),46091.81805555555)</f>
        <v>46091.81806</v>
      </c>
      <c r="S21" s="84">
        <f>IFERROR(__xludf.DUMMYFUNCTION("""COMPUTED_VALUE"""),46091.46881042824)</f>
        <v>46091.46881</v>
      </c>
      <c r="T21" s="76">
        <f t="shared" si="4"/>
        <v>0.3492451273</v>
      </c>
      <c r="V21" s="76">
        <f>IFERROR(__xludf.DUMMYFUNCTION("""COMPUTED_VALUE"""),4982.0)</f>
        <v>4982</v>
      </c>
      <c r="W21" s="232">
        <f>IFERROR(__xludf.DUMMYFUNCTION("""COMPUTED_VALUE"""),46093.64097222222)</f>
        <v>46093.64097</v>
      </c>
      <c r="X21" s="84">
        <f>IFERROR(__xludf.DUMMYFUNCTION("""COMPUTED_VALUE"""),46092.59765255787)</f>
        <v>46092.59765</v>
      </c>
      <c r="Y21" s="76">
        <f t="shared" si="5"/>
        <v>1.043319664</v>
      </c>
      <c r="AK21" s="232"/>
      <c r="AL21" s="233"/>
      <c r="AM21" s="173"/>
    </row>
    <row r="22">
      <c r="A22" s="76">
        <f>IFERROR(__xludf.DUMMYFUNCTION("""COMPUTED_VALUE"""),4983.0)</f>
        <v>4983</v>
      </c>
      <c r="B22" s="232">
        <f>IFERROR(__xludf.DUMMYFUNCTION("""COMPUTED_VALUE"""),46092.5625)</f>
        <v>46092.5625</v>
      </c>
      <c r="C22" s="84">
        <f>IFERROR(__xludf.DUMMYFUNCTION("""COMPUTED_VALUE"""),46092.43210052083)</f>
        <v>46092.4321</v>
      </c>
      <c r="D22" s="173">
        <f t="shared" si="1"/>
        <v>0.1303994792</v>
      </c>
      <c r="G22" s="76">
        <f>IFERROR(__xludf.DUMMYFUNCTION("""COMPUTED_VALUE"""),4983.0)</f>
        <v>4983</v>
      </c>
      <c r="H22" s="232">
        <f>IFERROR(__xludf.DUMMYFUNCTION("""COMPUTED_VALUE"""),46092.569444444445)</f>
        <v>46092.56944</v>
      </c>
      <c r="I22" s="84">
        <f>IFERROR(__xludf.DUMMYFUNCTION("""COMPUTED_VALUE"""),46092.43216292824)</f>
        <v>46092.43216</v>
      </c>
      <c r="J22" s="76">
        <f t="shared" si="2"/>
        <v>0.1372815162</v>
      </c>
      <c r="L22" s="76">
        <f>IFERROR(__xludf.DUMMYFUNCTION("""COMPUTED_VALUE"""),4983.0)</f>
        <v>4983</v>
      </c>
      <c r="M22" s="232">
        <f>IFERROR(__xludf.DUMMYFUNCTION("""COMPUTED_VALUE"""),46092.67361111111)</f>
        <v>46092.67361</v>
      </c>
      <c r="N22" s="84">
        <f>IFERROR(__xludf.DUMMYFUNCTION("""COMPUTED_VALUE"""),46092.4322053125)</f>
        <v>46092.43221</v>
      </c>
      <c r="O22" s="76">
        <f t="shared" si="3"/>
        <v>0.2414057986</v>
      </c>
      <c r="Q22" s="76">
        <f>IFERROR(__xludf.DUMMYFUNCTION("""COMPUTED_VALUE"""),4978.0)</f>
        <v>4978</v>
      </c>
      <c r="R22" s="232">
        <f>IFERROR(__xludf.DUMMYFUNCTION("""COMPUTED_VALUE"""),46092.45763888889)</f>
        <v>46092.45764</v>
      </c>
      <c r="S22" s="84">
        <f>IFERROR(__xludf.DUMMYFUNCTION("""COMPUTED_VALUE"""),46091.540423715276)</f>
        <v>46091.54042</v>
      </c>
      <c r="T22" s="76">
        <f t="shared" si="4"/>
        <v>0.9172151736</v>
      </c>
      <c r="V22" s="76">
        <f>IFERROR(__xludf.DUMMYFUNCTION("""COMPUTED_VALUE"""),4983.0)</f>
        <v>4983</v>
      </c>
      <c r="W22" s="232">
        <f>IFERROR(__xludf.DUMMYFUNCTION("""COMPUTED_VALUE"""),46093.715277777774)</f>
        <v>46093.71528</v>
      </c>
      <c r="X22" s="84">
        <f>IFERROR(__xludf.DUMMYFUNCTION("""COMPUTED_VALUE"""),46093.424233240745)</f>
        <v>46093.42423</v>
      </c>
      <c r="Y22" s="76">
        <f t="shared" si="5"/>
        <v>0.291044537</v>
      </c>
      <c r="AK22" s="232"/>
      <c r="AL22" s="233"/>
      <c r="AM22" s="173"/>
    </row>
    <row r="23">
      <c r="A23" s="76">
        <f>IFERROR(__xludf.DUMMYFUNCTION("""COMPUTED_VALUE"""),4984.0)</f>
        <v>4984</v>
      </c>
      <c r="B23" s="232">
        <f>IFERROR(__xludf.DUMMYFUNCTION("""COMPUTED_VALUE"""),46092.80049664352)</f>
        <v>46092.8005</v>
      </c>
      <c r="C23" s="84">
        <f>IFERROR(__xludf.DUMMYFUNCTION("""COMPUTED_VALUE"""),46092.74087212963)</f>
        <v>46092.74087</v>
      </c>
      <c r="D23" s="173">
        <f t="shared" si="1"/>
        <v>0.05962451389</v>
      </c>
      <c r="G23" s="76">
        <f>IFERROR(__xludf.DUMMYFUNCTION("""COMPUTED_VALUE"""),4984.0)</f>
        <v>4984</v>
      </c>
      <c r="H23" s="232">
        <f>IFERROR(__xludf.DUMMYFUNCTION("""COMPUTED_VALUE"""),46092.80744108796)</f>
        <v>46092.80744</v>
      </c>
      <c r="I23" s="84">
        <f>IFERROR(__xludf.DUMMYFUNCTION("""COMPUTED_VALUE"""),46092.74097922454)</f>
        <v>46092.74098</v>
      </c>
      <c r="J23" s="76">
        <f t="shared" si="2"/>
        <v>0.06646186343</v>
      </c>
      <c r="L23" s="76">
        <f>IFERROR(__xludf.DUMMYFUNCTION("""COMPUTED_VALUE"""),4984.0)</f>
        <v>4984</v>
      </c>
      <c r="M23" s="232">
        <f>IFERROR(__xludf.DUMMYFUNCTION("""COMPUTED_VALUE"""),46093.47361111111)</f>
        <v>46093.47361</v>
      </c>
      <c r="N23" s="84">
        <f>IFERROR(__xludf.DUMMYFUNCTION("""COMPUTED_VALUE"""),46092.74106677083)</f>
        <v>46092.74107</v>
      </c>
      <c r="O23" s="76">
        <f t="shared" si="3"/>
        <v>0.7325443403</v>
      </c>
      <c r="Q23" s="76">
        <f>IFERROR(__xludf.DUMMYFUNCTION("""COMPUTED_VALUE"""),4979.0)</f>
        <v>4979</v>
      </c>
      <c r="R23" s="232">
        <f>IFERROR(__xludf.DUMMYFUNCTION("""COMPUTED_VALUE"""),46092.47638888889)</f>
        <v>46092.47639</v>
      </c>
      <c r="S23" s="84">
        <f>IFERROR(__xludf.DUMMYFUNCTION("""COMPUTED_VALUE"""),46091.46864715278)</f>
        <v>46091.46865</v>
      </c>
      <c r="T23" s="76">
        <f t="shared" si="4"/>
        <v>1.007741736</v>
      </c>
      <c r="V23" s="76">
        <f>IFERROR(__xludf.DUMMYFUNCTION("""COMPUTED_VALUE"""),4984.0)</f>
        <v>4984</v>
      </c>
      <c r="W23" s="232">
        <f>IFERROR(__xludf.DUMMYFUNCTION("""COMPUTED_VALUE"""),46094.51527777778)</f>
        <v>46094.51528</v>
      </c>
      <c r="X23" s="84">
        <f>IFERROR(__xludf.DUMMYFUNCTION("""COMPUTED_VALUE"""),46092.76843978009)</f>
        <v>46092.76844</v>
      </c>
      <c r="Y23" s="76">
        <f t="shared" si="5"/>
        <v>1.746837998</v>
      </c>
      <c r="AK23" s="232"/>
      <c r="AL23" s="233"/>
      <c r="AM23" s="173"/>
    </row>
    <row r="24">
      <c r="A24" s="76">
        <f>IFERROR(__xludf.DUMMYFUNCTION("""COMPUTED_VALUE"""),4985.0)</f>
        <v>4985</v>
      </c>
      <c r="B24" s="232">
        <f>IFERROR(__xludf.DUMMYFUNCTION("""COMPUTED_VALUE"""),46093.616392662036)</f>
        <v>46093.61639</v>
      </c>
      <c r="C24" s="84">
        <f>IFERROR(__xludf.DUMMYFUNCTION("""COMPUTED_VALUE"""),46093.52088109954)</f>
        <v>46093.52088</v>
      </c>
      <c r="D24" s="173">
        <f t="shared" si="1"/>
        <v>0.0955115625</v>
      </c>
      <c r="G24" s="76">
        <f>IFERROR(__xludf.DUMMYFUNCTION("""COMPUTED_VALUE"""),4985.0)</f>
        <v>4985</v>
      </c>
      <c r="H24" s="232">
        <f>IFERROR(__xludf.DUMMYFUNCTION("""COMPUTED_VALUE"""),46093.62333710648)</f>
        <v>46093.62334</v>
      </c>
      <c r="I24" s="84">
        <f>IFERROR(__xludf.DUMMYFUNCTION("""COMPUTED_VALUE"""),46093.5449965625)</f>
        <v>46093.545</v>
      </c>
      <c r="J24" s="76">
        <f t="shared" si="2"/>
        <v>0.07834054398</v>
      </c>
      <c r="L24" s="76">
        <f>IFERROR(__xludf.DUMMYFUNCTION("""COMPUTED_VALUE"""),4985.0)</f>
        <v>4985</v>
      </c>
      <c r="M24" s="232">
        <f>IFERROR(__xludf.DUMMYFUNCTION("""COMPUTED_VALUE"""),46093.727503773145)</f>
        <v>46093.7275</v>
      </c>
      <c r="N24" s="84">
        <f>IFERROR(__xludf.DUMMYFUNCTION("""COMPUTED_VALUE"""),46093.545114374996)</f>
        <v>46093.54511</v>
      </c>
      <c r="O24" s="76">
        <f t="shared" si="3"/>
        <v>0.1823893981</v>
      </c>
      <c r="Q24" s="76">
        <f>IFERROR(__xludf.DUMMYFUNCTION("""COMPUTED_VALUE"""),4980.0)</f>
        <v>4980</v>
      </c>
      <c r="R24" s="232">
        <f>IFERROR(__xludf.DUMMYFUNCTION("""COMPUTED_VALUE"""),46093.458333333336)</f>
        <v>46093.45833</v>
      </c>
      <c r="S24" s="84">
        <f>IFERROR(__xludf.DUMMYFUNCTION("""COMPUTED_VALUE"""),46092.4162845949)</f>
        <v>46092.41628</v>
      </c>
      <c r="T24" s="76">
        <f t="shared" si="4"/>
        <v>1.042048738</v>
      </c>
      <c r="V24" s="76">
        <f>IFERROR(__xludf.DUMMYFUNCTION("""COMPUTED_VALUE"""),4985.0)</f>
        <v>4985</v>
      </c>
      <c r="W24" s="232">
        <f>IFERROR(__xludf.DUMMYFUNCTION("""COMPUTED_VALUE"""),46094.76875)</f>
        <v>46094.76875</v>
      </c>
      <c r="X24" s="84">
        <f>IFERROR(__xludf.DUMMYFUNCTION("""COMPUTED_VALUE"""),46094.50880098379)</f>
        <v>46094.5088</v>
      </c>
      <c r="Y24" s="76">
        <f t="shared" si="5"/>
        <v>0.2599490162</v>
      </c>
      <c r="AK24" s="232"/>
      <c r="AL24" s="233"/>
      <c r="AM24" s="173"/>
    </row>
    <row r="25">
      <c r="A25" s="76">
        <f>IFERROR(__xludf.DUMMYFUNCTION("""COMPUTED_VALUE"""),4986.0)</f>
        <v>4986</v>
      </c>
      <c r="B25" s="232">
        <f>IFERROR(__xludf.DUMMYFUNCTION("""COMPUTED_VALUE"""),46093.61720386574)</f>
        <v>46093.6172</v>
      </c>
      <c r="C25" s="84">
        <f>IFERROR(__xludf.DUMMYFUNCTION("""COMPUTED_VALUE"""),46093.520914548615)</f>
        <v>46093.52091</v>
      </c>
      <c r="D25" s="173">
        <f t="shared" si="1"/>
        <v>0.09628931712</v>
      </c>
      <c r="G25" s="76">
        <f>IFERROR(__xludf.DUMMYFUNCTION("""COMPUTED_VALUE"""),4986.0)</f>
        <v>4986</v>
      </c>
      <c r="H25" s="232">
        <f>IFERROR(__xludf.DUMMYFUNCTION("""COMPUTED_VALUE"""),46093.624148310184)</f>
        <v>46093.62415</v>
      </c>
      <c r="I25" s="84">
        <f>IFERROR(__xludf.DUMMYFUNCTION("""COMPUTED_VALUE"""),46093.5449965625)</f>
        <v>46093.545</v>
      </c>
      <c r="J25" s="76">
        <f t="shared" si="2"/>
        <v>0.07915174768</v>
      </c>
      <c r="L25" s="76">
        <f>IFERROR(__xludf.DUMMYFUNCTION("""COMPUTED_VALUE"""),4986.0)</f>
        <v>4986</v>
      </c>
      <c r="M25" s="232">
        <f>IFERROR(__xludf.DUMMYFUNCTION("""COMPUTED_VALUE"""),46093.72831497685)</f>
        <v>46093.72831</v>
      </c>
      <c r="N25" s="84">
        <f>IFERROR(__xludf.DUMMYFUNCTION("""COMPUTED_VALUE"""),46093.545114374996)</f>
        <v>46093.54511</v>
      </c>
      <c r="O25" s="76">
        <f t="shared" si="3"/>
        <v>0.1832006019</v>
      </c>
      <c r="Q25" s="76">
        <f>IFERROR(__xludf.DUMMYFUNCTION("""COMPUTED_VALUE"""),4981.0)</f>
        <v>4981</v>
      </c>
      <c r="R25" s="232">
        <f>IFERROR(__xludf.DUMMYFUNCTION("""COMPUTED_VALUE"""),46093.4625)</f>
        <v>46093.4625</v>
      </c>
      <c r="S25" s="84">
        <f>IFERROR(__xludf.DUMMYFUNCTION("""COMPUTED_VALUE"""),46091.776313993054)</f>
        <v>46091.77631</v>
      </c>
      <c r="T25" s="76">
        <f t="shared" si="4"/>
        <v>1.686186007</v>
      </c>
      <c r="V25" s="76">
        <f>IFERROR(__xludf.DUMMYFUNCTION("""COMPUTED_VALUE"""),4986.0)</f>
        <v>4986</v>
      </c>
      <c r="W25" s="232">
        <f>IFERROR(__xludf.DUMMYFUNCTION("""COMPUTED_VALUE"""),46094.76944444444)</f>
        <v>46094.76944</v>
      </c>
      <c r="X25" s="84">
        <f>IFERROR(__xludf.DUMMYFUNCTION("""COMPUTED_VALUE"""),46094.508808495375)</f>
        <v>46094.50881</v>
      </c>
      <c r="Y25" s="76">
        <f t="shared" si="5"/>
        <v>0.2606359491</v>
      </c>
      <c r="AK25" s="232"/>
      <c r="AL25" s="233"/>
      <c r="AM25" s="173"/>
    </row>
    <row r="26">
      <c r="A26" s="76">
        <f>IFERROR(__xludf.DUMMYFUNCTION("""COMPUTED_VALUE"""),4987.0)</f>
        <v>4987</v>
      </c>
      <c r="B26" s="232">
        <f>IFERROR(__xludf.DUMMYFUNCTION("""COMPUTED_VALUE"""),46093.617864479165)</f>
        <v>46093.61786</v>
      </c>
      <c r="C26" s="84">
        <f>IFERROR(__xludf.DUMMYFUNCTION("""COMPUTED_VALUE"""),46093.52092725695)</f>
        <v>46093.52093</v>
      </c>
      <c r="D26" s="173">
        <f t="shared" si="1"/>
        <v>0.09693722222</v>
      </c>
      <c r="G26" s="76">
        <f>IFERROR(__xludf.DUMMYFUNCTION("""COMPUTED_VALUE"""),4987.0)</f>
        <v>4987</v>
      </c>
      <c r="H26" s="232">
        <f>IFERROR(__xludf.DUMMYFUNCTION("""COMPUTED_VALUE"""),46093.62480892361)</f>
        <v>46093.62481</v>
      </c>
      <c r="I26" s="84">
        <f>IFERROR(__xludf.DUMMYFUNCTION("""COMPUTED_VALUE"""),46093.54500190972)</f>
        <v>46093.545</v>
      </c>
      <c r="J26" s="76">
        <f t="shared" si="2"/>
        <v>0.07980701389</v>
      </c>
      <c r="L26" s="76">
        <f>IFERROR(__xludf.DUMMYFUNCTION("""COMPUTED_VALUE"""),4987.0)</f>
        <v>4987</v>
      </c>
      <c r="M26" s="232">
        <f>IFERROR(__xludf.DUMMYFUNCTION("""COMPUTED_VALUE"""),46093.728975590275)</f>
        <v>46093.72898</v>
      </c>
      <c r="N26" s="84">
        <f>IFERROR(__xludf.DUMMYFUNCTION("""COMPUTED_VALUE"""),46093.545114374996)</f>
        <v>46093.54511</v>
      </c>
      <c r="O26" s="76">
        <f t="shared" si="3"/>
        <v>0.1838612153</v>
      </c>
      <c r="Q26" s="76">
        <f>IFERROR(__xludf.DUMMYFUNCTION("""COMPUTED_VALUE"""),4982.0)</f>
        <v>4982</v>
      </c>
      <c r="R26" s="232">
        <f>IFERROR(__xludf.DUMMYFUNCTION("""COMPUTED_VALUE"""),46093.59930555556)</f>
        <v>46093.59931</v>
      </c>
      <c r="S26" s="84">
        <f>IFERROR(__xludf.DUMMYFUNCTION("""COMPUTED_VALUE"""),46092.59758395833)</f>
        <v>46092.59758</v>
      </c>
      <c r="T26" s="76">
        <f t="shared" si="4"/>
        <v>1.001721597</v>
      </c>
      <c r="V26" s="76">
        <f>IFERROR(__xludf.DUMMYFUNCTION("""COMPUTED_VALUE"""),4987.0)</f>
        <v>4987</v>
      </c>
      <c r="W26" s="232">
        <f>IFERROR(__xludf.DUMMYFUNCTION("""COMPUTED_VALUE"""),46094.77013888889)</f>
        <v>46094.77014</v>
      </c>
      <c r="X26" s="84">
        <f>IFERROR(__xludf.DUMMYFUNCTION("""COMPUTED_VALUE"""),46094.50881363426)</f>
        <v>46094.50881</v>
      </c>
      <c r="Y26" s="76">
        <f t="shared" si="5"/>
        <v>0.2613252546</v>
      </c>
      <c r="AK26" s="232"/>
      <c r="AL26" s="233"/>
      <c r="AM26" s="173"/>
    </row>
    <row r="27">
      <c r="A27" s="76">
        <f>IFERROR(__xludf.DUMMYFUNCTION("""COMPUTED_VALUE"""),4988.0)</f>
        <v>4988</v>
      </c>
      <c r="B27" s="232">
        <f>IFERROR(__xludf.DUMMYFUNCTION("""COMPUTED_VALUE"""),46093.61852520833)</f>
        <v>46093.61853</v>
      </c>
      <c r="C27" s="84">
        <f>IFERROR(__xludf.DUMMYFUNCTION("""COMPUTED_VALUE"""),46093.52094479167)</f>
        <v>46093.52094</v>
      </c>
      <c r="D27" s="173">
        <f t="shared" si="1"/>
        <v>0.09758041666</v>
      </c>
      <c r="G27" s="76">
        <f>IFERROR(__xludf.DUMMYFUNCTION("""COMPUTED_VALUE"""),4988.0)</f>
        <v>4988</v>
      </c>
      <c r="H27" s="232">
        <f>IFERROR(__xludf.DUMMYFUNCTION("""COMPUTED_VALUE"""),46093.625469652776)</f>
        <v>46093.62547</v>
      </c>
      <c r="I27" s="84">
        <f>IFERROR(__xludf.DUMMYFUNCTION("""COMPUTED_VALUE"""),46093.54500190972)</f>
        <v>46093.545</v>
      </c>
      <c r="J27" s="76">
        <f t="shared" si="2"/>
        <v>0.08046774306</v>
      </c>
      <c r="L27" s="76">
        <f>IFERROR(__xludf.DUMMYFUNCTION("""COMPUTED_VALUE"""),4988.0)</f>
        <v>4988</v>
      </c>
      <c r="M27" s="232">
        <f>IFERROR(__xludf.DUMMYFUNCTION("""COMPUTED_VALUE"""),46093.72963631944)</f>
        <v>46093.72964</v>
      </c>
      <c r="N27" s="84">
        <f>IFERROR(__xludf.DUMMYFUNCTION("""COMPUTED_VALUE"""),46093.54517429398)</f>
        <v>46093.54517</v>
      </c>
      <c r="O27" s="76">
        <f t="shared" si="3"/>
        <v>0.1844620255</v>
      </c>
      <c r="Q27" s="76">
        <f>IFERROR(__xludf.DUMMYFUNCTION("""COMPUTED_VALUE"""),4983.0)</f>
        <v>4983</v>
      </c>
      <c r="R27" s="232">
        <f>IFERROR(__xludf.DUMMYFUNCTION("""COMPUTED_VALUE"""),46093.67361111111)</f>
        <v>46093.67361</v>
      </c>
      <c r="S27" s="84">
        <f>IFERROR(__xludf.DUMMYFUNCTION("""COMPUTED_VALUE"""),46092.43227201389)</f>
        <v>46092.43227</v>
      </c>
      <c r="T27" s="76">
        <f t="shared" si="4"/>
        <v>1.241339097</v>
      </c>
      <c r="V27" s="76">
        <f>IFERROR(__xludf.DUMMYFUNCTION("""COMPUTED_VALUE"""),4988.0)</f>
        <v>4988</v>
      </c>
      <c r="W27" s="232">
        <f>IFERROR(__xludf.DUMMYFUNCTION("""COMPUTED_VALUE"""),46094.770833333336)</f>
        <v>46094.77083</v>
      </c>
      <c r="X27" s="84">
        <f>IFERROR(__xludf.DUMMYFUNCTION("""COMPUTED_VALUE"""),46094.50881782407)</f>
        <v>46094.50882</v>
      </c>
      <c r="Y27" s="76">
        <f t="shared" si="5"/>
        <v>0.2620155093</v>
      </c>
      <c r="AK27" s="232"/>
      <c r="AL27" s="233"/>
      <c r="AM27" s="173"/>
    </row>
    <row r="28">
      <c r="A28" s="76">
        <f>IFERROR(__xludf.DUMMYFUNCTION("""COMPUTED_VALUE"""),4989.0)</f>
        <v>4989</v>
      </c>
      <c r="B28" s="232">
        <f>IFERROR(__xludf.DUMMYFUNCTION("""COMPUTED_VALUE"""),46093.686915729166)</f>
        <v>46093.68692</v>
      </c>
      <c r="C28" s="84">
        <f>IFERROR(__xludf.DUMMYFUNCTION("""COMPUTED_VALUE"""),46093.52108796296)</f>
        <v>46093.52109</v>
      </c>
      <c r="D28" s="173">
        <f t="shared" si="1"/>
        <v>0.1658277662</v>
      </c>
      <c r="G28" s="76">
        <f>IFERROR(__xludf.DUMMYFUNCTION("""COMPUTED_VALUE"""),4989.0)</f>
        <v>4989</v>
      </c>
      <c r="H28" s="232">
        <f>IFERROR(__xludf.DUMMYFUNCTION("""COMPUTED_VALUE"""),46093.69386017361)</f>
        <v>46093.69386</v>
      </c>
      <c r="I28" s="84">
        <f>IFERROR(__xludf.DUMMYFUNCTION("""COMPUTED_VALUE"""),46093.5450115625)</f>
        <v>46093.54501</v>
      </c>
      <c r="J28" s="76">
        <f t="shared" si="2"/>
        <v>0.1488486111</v>
      </c>
      <c r="L28" s="76">
        <f>IFERROR(__xludf.DUMMYFUNCTION("""COMPUTED_VALUE"""),4989.0)</f>
        <v>4989</v>
      </c>
      <c r="M28" s="232">
        <f>IFERROR(__xludf.DUMMYFUNCTION("""COMPUTED_VALUE"""),46093.798026840275)</f>
        <v>46093.79803</v>
      </c>
      <c r="N28" s="84">
        <f>IFERROR(__xludf.DUMMYFUNCTION("""COMPUTED_VALUE"""),46093.54515101852)</f>
        <v>46093.54515</v>
      </c>
      <c r="O28" s="76">
        <f t="shared" si="3"/>
        <v>0.2528758218</v>
      </c>
      <c r="Q28" s="76">
        <f>IFERROR(__xludf.DUMMYFUNCTION("""COMPUTED_VALUE"""),4984.0)</f>
        <v>4984</v>
      </c>
      <c r="R28" s="232">
        <f>IFERROR(__xludf.DUMMYFUNCTION("""COMPUTED_VALUE"""),46094.47361111111)</f>
        <v>46094.47361</v>
      </c>
      <c r="S28" s="84">
        <f>IFERROR(__xludf.DUMMYFUNCTION("""COMPUTED_VALUE"""),46092.768404525465)</f>
        <v>46092.7684</v>
      </c>
      <c r="T28" s="76">
        <f t="shared" si="4"/>
        <v>1.705206586</v>
      </c>
      <c r="V28" s="76">
        <f>IFERROR(__xludf.DUMMYFUNCTION("""COMPUTED_VALUE"""),4989.0)</f>
        <v>4989</v>
      </c>
      <c r="W28" s="232">
        <f>IFERROR(__xludf.DUMMYFUNCTION("""COMPUTED_VALUE"""),46095.42291666666)</f>
        <v>46095.42292</v>
      </c>
      <c r="X28" s="84">
        <f>IFERROR(__xludf.DUMMYFUNCTION("""COMPUTED_VALUE"""),46094.63561009259)</f>
        <v>46094.63561</v>
      </c>
      <c r="Y28" s="76">
        <f t="shared" si="5"/>
        <v>0.7873065741</v>
      </c>
      <c r="AK28" s="232"/>
      <c r="AL28" s="233"/>
      <c r="AM28" s="173"/>
    </row>
    <row r="29">
      <c r="A29" s="76">
        <f>IFERROR(__xludf.DUMMYFUNCTION("""COMPUTED_VALUE"""),4990.0)</f>
        <v>4990</v>
      </c>
      <c r="B29" s="232">
        <f>IFERROR(__xludf.DUMMYFUNCTION("""COMPUTED_VALUE"""),46093.72098074074)</f>
        <v>46093.72098</v>
      </c>
      <c r="C29" s="84">
        <f>IFERROR(__xludf.DUMMYFUNCTION("""COMPUTED_VALUE"""),46093.58230553241)</f>
        <v>46093.58231</v>
      </c>
      <c r="D29" s="173">
        <f t="shared" si="1"/>
        <v>0.1386752083</v>
      </c>
      <c r="G29" s="76">
        <f>IFERROR(__xludf.DUMMYFUNCTION("""COMPUTED_VALUE"""),4990.0)</f>
        <v>4990</v>
      </c>
      <c r="H29" s="232">
        <f>IFERROR(__xludf.DUMMYFUNCTION("""COMPUTED_VALUE"""),46093.72792518519)</f>
        <v>46093.72793</v>
      </c>
      <c r="I29" s="84">
        <f>IFERROR(__xludf.DUMMYFUNCTION("""COMPUTED_VALUE"""),46093.58239414352)</f>
        <v>46093.58239</v>
      </c>
      <c r="J29" s="76">
        <f t="shared" si="2"/>
        <v>0.1455310417</v>
      </c>
      <c r="L29" s="76">
        <f>IFERROR(__xludf.DUMMYFUNCTION("""COMPUTED_VALUE"""),4990.0)</f>
        <v>4990</v>
      </c>
      <c r="M29" s="232">
        <f>IFERROR(__xludf.DUMMYFUNCTION("""COMPUTED_VALUE"""),46093.83209185185)</f>
        <v>46093.83209</v>
      </c>
      <c r="N29" s="84">
        <f>IFERROR(__xludf.DUMMYFUNCTION("""COMPUTED_VALUE"""),46093.689394016204)</f>
        <v>46093.68939</v>
      </c>
      <c r="O29" s="76">
        <f t="shared" si="3"/>
        <v>0.1426978356</v>
      </c>
      <c r="Q29" s="76">
        <f>IFERROR(__xludf.DUMMYFUNCTION("""COMPUTED_VALUE"""),4985.0)</f>
        <v>4985</v>
      </c>
      <c r="R29" s="232">
        <f>IFERROR(__xludf.DUMMYFUNCTION("""COMPUTED_VALUE"""),46094.72708333334)</f>
        <v>46094.72708</v>
      </c>
      <c r="S29" s="84">
        <f>IFERROR(__xludf.DUMMYFUNCTION("""COMPUTED_VALUE"""),46094.43350142361)</f>
        <v>46094.4335</v>
      </c>
      <c r="T29" s="76">
        <f t="shared" si="4"/>
        <v>0.2935819097</v>
      </c>
      <c r="V29" s="76">
        <f>IFERROR(__xludf.DUMMYFUNCTION("""COMPUTED_VALUE"""),4990.0)</f>
        <v>4990</v>
      </c>
      <c r="W29" s="232">
        <f>IFERROR(__xludf.DUMMYFUNCTION("""COMPUTED_VALUE"""),46095.45694444444)</f>
        <v>46095.45694</v>
      </c>
      <c r="X29" s="84">
        <f>IFERROR(__xludf.DUMMYFUNCTION("""COMPUTED_VALUE"""),46093.76228369213)</f>
        <v>46093.76228</v>
      </c>
      <c r="Y29" s="76">
        <f t="shared" si="5"/>
        <v>1.694660752</v>
      </c>
      <c r="AK29" s="232"/>
      <c r="AL29" s="233"/>
      <c r="AM29" s="173"/>
    </row>
    <row r="30">
      <c r="A30" s="76">
        <f>IFERROR(__xludf.DUMMYFUNCTION("""COMPUTED_VALUE"""),4991.0)</f>
        <v>4991</v>
      </c>
      <c r="B30" s="232">
        <f>IFERROR(__xludf.DUMMYFUNCTION("""COMPUTED_VALUE"""),46093.735798229165)</f>
        <v>46093.7358</v>
      </c>
      <c r="C30" s="84">
        <f>IFERROR(__xludf.DUMMYFUNCTION("""COMPUTED_VALUE"""),46093.582329467594)</f>
        <v>46093.58233</v>
      </c>
      <c r="D30" s="173">
        <f t="shared" si="1"/>
        <v>0.1534687616</v>
      </c>
      <c r="G30" s="76">
        <f>IFERROR(__xludf.DUMMYFUNCTION("""COMPUTED_VALUE"""),4991.0)</f>
        <v>4991</v>
      </c>
      <c r="H30" s="232">
        <f>IFERROR(__xludf.DUMMYFUNCTION("""COMPUTED_VALUE"""),46093.74274267361)</f>
        <v>46093.74274</v>
      </c>
      <c r="I30" s="84">
        <f>IFERROR(__xludf.DUMMYFUNCTION("""COMPUTED_VALUE"""),46093.58239414352)</f>
        <v>46093.58239</v>
      </c>
      <c r="J30" s="76">
        <f t="shared" si="2"/>
        <v>0.1603485301</v>
      </c>
      <c r="L30" s="76">
        <f>IFERROR(__xludf.DUMMYFUNCTION("""COMPUTED_VALUE"""),4991.0)</f>
        <v>4991</v>
      </c>
      <c r="M30" s="232">
        <f>IFERROR(__xludf.DUMMYFUNCTION("""COMPUTED_VALUE"""),46094.450694444444)</f>
        <v>46094.45069</v>
      </c>
      <c r="N30" s="84">
        <f>IFERROR(__xludf.DUMMYFUNCTION("""COMPUTED_VALUE"""),46093.67697355324)</f>
        <v>46093.67697</v>
      </c>
      <c r="O30" s="76">
        <f t="shared" si="3"/>
        <v>0.7737208912</v>
      </c>
      <c r="Q30" s="76">
        <f>IFERROR(__xludf.DUMMYFUNCTION("""COMPUTED_VALUE"""),4986.0)</f>
        <v>4986</v>
      </c>
      <c r="R30" s="232">
        <f>IFERROR(__xludf.DUMMYFUNCTION("""COMPUTED_VALUE"""),46094.72777777778)</f>
        <v>46094.72778</v>
      </c>
      <c r="S30" s="84">
        <f>IFERROR(__xludf.DUMMYFUNCTION("""COMPUTED_VALUE"""),46094.43352126157)</f>
        <v>46094.43352</v>
      </c>
      <c r="T30" s="76">
        <f t="shared" si="4"/>
        <v>0.2942565162</v>
      </c>
      <c r="V30" s="76">
        <f>IFERROR(__xludf.DUMMYFUNCTION("""COMPUTED_VALUE"""),4991.0)</f>
        <v>4991</v>
      </c>
      <c r="W30" s="232">
        <f>IFERROR(__xludf.DUMMYFUNCTION("""COMPUTED_VALUE"""),46095.49236111111)</f>
        <v>46095.49236</v>
      </c>
      <c r="X30" s="84">
        <f>IFERROR(__xludf.DUMMYFUNCTION("""COMPUTED_VALUE"""),46093.76222739583)</f>
        <v>46093.76223</v>
      </c>
      <c r="Y30" s="76">
        <f t="shared" si="5"/>
        <v>1.730133715</v>
      </c>
      <c r="AK30" s="232"/>
      <c r="AL30" s="233"/>
      <c r="AM30" s="173"/>
    </row>
    <row r="31">
      <c r="A31" s="76">
        <f>IFERROR(__xludf.DUMMYFUNCTION("""COMPUTED_VALUE"""),4992.0)</f>
        <v>4992</v>
      </c>
      <c r="B31" s="232">
        <f>IFERROR(__xludf.DUMMYFUNCTION("""COMPUTED_VALUE"""),46093.81200966435)</f>
        <v>46093.81201</v>
      </c>
      <c r="C31" s="84">
        <f>IFERROR(__xludf.DUMMYFUNCTION("""COMPUTED_VALUE"""),46093.6687269213)</f>
        <v>46093.66873</v>
      </c>
      <c r="D31" s="173">
        <f t="shared" si="1"/>
        <v>0.143282743</v>
      </c>
      <c r="G31" s="76">
        <f>IFERROR(__xludf.DUMMYFUNCTION("""COMPUTED_VALUE"""),4992.0)</f>
        <v>4992</v>
      </c>
      <c r="H31" s="232">
        <f>IFERROR(__xludf.DUMMYFUNCTION("""COMPUTED_VALUE"""),46093.81895410879)</f>
        <v>46093.81895</v>
      </c>
      <c r="I31" s="84">
        <f>IFERROR(__xludf.DUMMYFUNCTION("""COMPUTED_VALUE"""),46093.67688138889)</f>
        <v>46093.67688</v>
      </c>
      <c r="J31" s="76">
        <f t="shared" si="2"/>
        <v>0.1420727199</v>
      </c>
      <c r="L31" s="76">
        <f>IFERROR(__xludf.DUMMYFUNCTION("""COMPUTED_VALUE"""),4992.0)</f>
        <v>4992</v>
      </c>
      <c r="M31" s="232">
        <f>IFERROR(__xludf.DUMMYFUNCTION("""COMPUTED_VALUE"""),46094.527083333334)</f>
        <v>46094.52708</v>
      </c>
      <c r="N31" s="84">
        <f>IFERROR(__xludf.DUMMYFUNCTION("""COMPUTED_VALUE"""),46094.45245928241)</f>
        <v>46094.45246</v>
      </c>
      <c r="O31" s="76">
        <f t="shared" si="3"/>
        <v>0.07462405093</v>
      </c>
      <c r="Q31" s="76">
        <f>IFERROR(__xludf.DUMMYFUNCTION("""COMPUTED_VALUE"""),4987.0)</f>
        <v>4987</v>
      </c>
      <c r="R31" s="232">
        <f>IFERROR(__xludf.DUMMYFUNCTION("""COMPUTED_VALUE"""),46094.728472222225)</f>
        <v>46094.72847</v>
      </c>
      <c r="S31" s="84">
        <f>IFERROR(__xludf.DUMMYFUNCTION("""COMPUTED_VALUE"""),46094.43352704861)</f>
        <v>46094.43353</v>
      </c>
      <c r="T31" s="76">
        <f t="shared" si="4"/>
        <v>0.2949451736</v>
      </c>
      <c r="V31" s="76">
        <f>IFERROR(__xludf.DUMMYFUNCTION("""COMPUTED_VALUE"""),4992.0)</f>
        <v>4992</v>
      </c>
      <c r="W31" s="232">
        <f>IFERROR(__xludf.DUMMYFUNCTION("""COMPUTED_VALUE"""),46095.56875)</f>
        <v>46095.56875</v>
      </c>
      <c r="X31" s="84">
        <f>IFERROR(__xludf.DUMMYFUNCTION("""COMPUTED_VALUE"""),46094.454335104165)</f>
        <v>46094.45434</v>
      </c>
      <c r="Y31" s="76">
        <f t="shared" si="5"/>
        <v>1.114414896</v>
      </c>
      <c r="AK31" s="232"/>
      <c r="AL31" s="233"/>
      <c r="AM31" s="173"/>
    </row>
    <row r="32">
      <c r="A32" s="76">
        <f>IFERROR(__xludf.DUMMYFUNCTION("""COMPUTED_VALUE"""),4993.0)</f>
        <v>4993</v>
      </c>
      <c r="B32" s="232">
        <f>IFERROR(__xludf.DUMMYFUNCTION("""COMPUTED_VALUE"""),46094.47638888889)</f>
        <v>46094.47639</v>
      </c>
      <c r="C32" s="84">
        <f>IFERROR(__xludf.DUMMYFUNCTION("""COMPUTED_VALUE"""),46093.74950506944)</f>
        <v>46093.74951</v>
      </c>
      <c r="D32" s="173">
        <f t="shared" si="1"/>
        <v>0.7268838195</v>
      </c>
      <c r="G32" s="76">
        <f>IFERROR(__xludf.DUMMYFUNCTION("""COMPUTED_VALUE"""),4993.0)</f>
        <v>4993</v>
      </c>
      <c r="H32" s="232">
        <f>IFERROR(__xludf.DUMMYFUNCTION("""COMPUTED_VALUE"""),46094.48333333334)</f>
        <v>46094.48333</v>
      </c>
      <c r="I32" s="84">
        <f>IFERROR(__xludf.DUMMYFUNCTION("""COMPUTED_VALUE"""),46093.74957756944)</f>
        <v>46093.74958</v>
      </c>
      <c r="J32" s="76">
        <f t="shared" si="2"/>
        <v>0.7337557639</v>
      </c>
      <c r="L32" s="76">
        <f>IFERROR(__xludf.DUMMYFUNCTION("""COMPUTED_VALUE"""),4993.0)</f>
        <v>4993</v>
      </c>
      <c r="M32" s="232">
        <f>IFERROR(__xludf.DUMMYFUNCTION("""COMPUTED_VALUE"""),46094.5875)</f>
        <v>46094.5875</v>
      </c>
      <c r="N32" s="84">
        <f>IFERROR(__xludf.DUMMYFUNCTION("""COMPUTED_VALUE"""),46093.74961827546)</f>
        <v>46093.74962</v>
      </c>
      <c r="O32" s="76">
        <f t="shared" si="3"/>
        <v>0.8378817245</v>
      </c>
      <c r="Q32" s="76">
        <f>IFERROR(__xludf.DUMMYFUNCTION("""COMPUTED_VALUE"""),4988.0)</f>
        <v>4988</v>
      </c>
      <c r="R32" s="232">
        <f>IFERROR(__xludf.DUMMYFUNCTION("""COMPUTED_VALUE"""),46094.72916666667)</f>
        <v>46094.72917</v>
      </c>
      <c r="S32" s="84">
        <f>IFERROR(__xludf.DUMMYFUNCTION("""COMPUTED_VALUE"""),46094.43355295139)</f>
        <v>46094.43355</v>
      </c>
      <c r="T32" s="76">
        <f t="shared" si="4"/>
        <v>0.2956137153</v>
      </c>
      <c r="V32" s="76">
        <f>IFERROR(__xludf.DUMMYFUNCTION("""COMPUTED_VALUE"""),4993.0)</f>
        <v>4993</v>
      </c>
      <c r="W32" s="232">
        <f>IFERROR(__xludf.DUMMYFUNCTION("""COMPUTED_VALUE"""),46095.629166666666)</f>
        <v>46095.62917</v>
      </c>
      <c r="X32" s="84">
        <f>IFERROR(__xludf.DUMMYFUNCTION("""COMPUTED_VALUE"""),46094.455440983795)</f>
        <v>46094.45544</v>
      </c>
      <c r="Y32" s="76">
        <f t="shared" si="5"/>
        <v>1.173725683</v>
      </c>
      <c r="AK32" s="232"/>
      <c r="AL32" s="233"/>
      <c r="AM32" s="173"/>
    </row>
    <row r="33">
      <c r="A33" s="76">
        <f>IFERROR(__xludf.DUMMYFUNCTION("""COMPUTED_VALUE"""),4994.0)</f>
        <v>4994</v>
      </c>
      <c r="B33" s="232">
        <f>IFERROR(__xludf.DUMMYFUNCTION("""COMPUTED_VALUE"""),46094.48402777778)</f>
        <v>46094.48403</v>
      </c>
      <c r="C33" s="84">
        <f>IFERROR(__xludf.DUMMYFUNCTION("""COMPUTED_VALUE"""),46093.74953148148)</f>
        <v>46093.74953</v>
      </c>
      <c r="D33" s="173">
        <f t="shared" si="1"/>
        <v>0.7344962963</v>
      </c>
      <c r="G33" s="76">
        <f>IFERROR(__xludf.DUMMYFUNCTION("""COMPUTED_VALUE"""),4994.0)</f>
        <v>4994</v>
      </c>
      <c r="H33" s="232">
        <f>IFERROR(__xludf.DUMMYFUNCTION("""COMPUTED_VALUE"""),46094.49097222222)</f>
        <v>46094.49097</v>
      </c>
      <c r="I33" s="84">
        <f>IFERROR(__xludf.DUMMYFUNCTION("""COMPUTED_VALUE"""),46093.74958417824)</f>
        <v>46093.74958</v>
      </c>
      <c r="J33" s="76">
        <f t="shared" si="2"/>
        <v>0.741388044</v>
      </c>
      <c r="L33" s="76">
        <f>IFERROR(__xludf.DUMMYFUNCTION("""COMPUTED_VALUE"""),4994.0)</f>
        <v>4994</v>
      </c>
      <c r="M33" s="232">
        <f>IFERROR(__xludf.DUMMYFUNCTION("""COMPUTED_VALUE"""),46094.595138888886)</f>
        <v>46094.59514</v>
      </c>
      <c r="N33" s="84">
        <f>IFERROR(__xludf.DUMMYFUNCTION("""COMPUTED_VALUE"""),46093.74961827546)</f>
        <v>46093.74962</v>
      </c>
      <c r="O33" s="76">
        <f t="shared" si="3"/>
        <v>0.8455206134</v>
      </c>
      <c r="Q33" s="76">
        <f>IFERROR(__xludf.DUMMYFUNCTION("""COMPUTED_VALUE"""),4989.0)</f>
        <v>4989</v>
      </c>
      <c r="R33" s="232">
        <f>IFERROR(__xludf.DUMMYFUNCTION("""COMPUTED_VALUE"""),46094.79791666666)</f>
        <v>46094.79792</v>
      </c>
      <c r="S33" s="84">
        <f>IFERROR(__xludf.DUMMYFUNCTION("""COMPUTED_VALUE"""),46094.43355751157)</f>
        <v>46094.43356</v>
      </c>
      <c r="T33" s="76">
        <f t="shared" si="4"/>
        <v>0.3643591551</v>
      </c>
      <c r="V33" s="76">
        <f>IFERROR(__xludf.DUMMYFUNCTION("""COMPUTED_VALUE"""),4994.0)</f>
        <v>4994</v>
      </c>
      <c r="W33" s="232">
        <f>IFERROR(__xludf.DUMMYFUNCTION("""COMPUTED_VALUE"""),46095.63680555556)</f>
        <v>46095.63681</v>
      </c>
      <c r="X33" s="84">
        <f>IFERROR(__xludf.DUMMYFUNCTION("""COMPUTED_VALUE"""),46094.455443009254)</f>
        <v>46094.45544</v>
      </c>
      <c r="Y33" s="76">
        <f t="shared" si="5"/>
        <v>1.181362546</v>
      </c>
      <c r="AK33" s="232"/>
      <c r="AL33" s="233"/>
      <c r="AM33" s="173"/>
    </row>
    <row r="34">
      <c r="A34" s="76">
        <f>IFERROR(__xludf.DUMMYFUNCTION("""COMPUTED_VALUE"""),4995.0)</f>
        <v>4995</v>
      </c>
      <c r="B34" s="232">
        <f>IFERROR(__xludf.DUMMYFUNCTION("""COMPUTED_VALUE"""),46094.612203460645)</f>
        <v>46094.6122</v>
      </c>
      <c r="C34" s="84">
        <f>IFERROR(__xludf.DUMMYFUNCTION("""COMPUTED_VALUE"""),46094.47668115741)</f>
        <v>46094.47668</v>
      </c>
      <c r="D34" s="173">
        <f t="shared" si="1"/>
        <v>0.1355223032</v>
      </c>
      <c r="G34" s="76">
        <f>IFERROR(__xludf.DUMMYFUNCTION("""COMPUTED_VALUE"""),4995.0)</f>
        <v>4995</v>
      </c>
      <c r="H34" s="232">
        <f>IFERROR(__xludf.DUMMYFUNCTION("""COMPUTED_VALUE"""),46094.61914790509)</f>
        <v>46094.61915</v>
      </c>
      <c r="I34" s="84">
        <f>IFERROR(__xludf.DUMMYFUNCTION("""COMPUTED_VALUE"""),46094.47675644676)</f>
        <v>46094.47676</v>
      </c>
      <c r="J34" s="76">
        <f t="shared" si="2"/>
        <v>0.1423914583</v>
      </c>
      <c r="L34" s="76">
        <f>IFERROR(__xludf.DUMMYFUNCTION("""COMPUTED_VALUE"""),4995.0)</f>
        <v>4995</v>
      </c>
      <c r="M34" s="232">
        <f>IFERROR(__xludf.DUMMYFUNCTION("""COMPUTED_VALUE"""),46094.723314571755)</f>
        <v>46094.72331</v>
      </c>
      <c r="N34" s="84">
        <f>IFERROR(__xludf.DUMMYFUNCTION("""COMPUTED_VALUE"""),46094.47681716435)</f>
        <v>46094.47682</v>
      </c>
      <c r="O34" s="76">
        <f t="shared" si="3"/>
        <v>0.2464974074</v>
      </c>
      <c r="Q34" s="76">
        <f>IFERROR(__xludf.DUMMYFUNCTION("""COMPUTED_VALUE"""),4990.0)</f>
        <v>4990</v>
      </c>
      <c r="R34" s="232">
        <f>IFERROR(__xludf.DUMMYFUNCTION("""COMPUTED_VALUE"""),46094.83194444444)</f>
        <v>46094.83194</v>
      </c>
      <c r="S34" s="84">
        <f>IFERROR(__xludf.DUMMYFUNCTION("""COMPUTED_VALUE"""),46093.68943236111)</f>
        <v>46093.68943</v>
      </c>
      <c r="T34" s="76">
        <f t="shared" si="4"/>
        <v>1.142512083</v>
      </c>
      <c r="V34" s="76">
        <f>IFERROR(__xludf.DUMMYFUNCTION("""COMPUTED_VALUE"""),4995.0)</f>
        <v>4995</v>
      </c>
      <c r="W34" s="232">
        <f>IFERROR(__xludf.DUMMYFUNCTION("""COMPUTED_VALUE"""),46095.76458333333)</f>
        <v>46095.76458</v>
      </c>
      <c r="X34" s="84">
        <f>IFERROR(__xludf.DUMMYFUNCTION("""COMPUTED_VALUE"""),46094.508551875)</f>
        <v>46094.50855</v>
      </c>
      <c r="Y34" s="76">
        <f t="shared" si="5"/>
        <v>1.256031458</v>
      </c>
      <c r="AK34" s="232"/>
      <c r="AL34" s="233"/>
      <c r="AM34" s="173"/>
    </row>
    <row r="35">
      <c r="A35" s="76">
        <f>IFERROR(__xludf.DUMMYFUNCTION("""COMPUTED_VALUE"""),4996.0)</f>
        <v>4996</v>
      </c>
      <c r="B35" s="232">
        <f>IFERROR(__xludf.DUMMYFUNCTION("""COMPUTED_VALUE"""),46094.65572719907)</f>
        <v>46094.65573</v>
      </c>
      <c r="C35" s="84">
        <f>IFERROR(__xludf.DUMMYFUNCTION("""COMPUTED_VALUE"""),46094.50844622686)</f>
        <v>46094.50845</v>
      </c>
      <c r="D35" s="173">
        <f t="shared" si="1"/>
        <v>0.1472809722</v>
      </c>
      <c r="G35" s="76">
        <f>IFERROR(__xludf.DUMMYFUNCTION("""COMPUTED_VALUE"""),4996.0)</f>
        <v>4996</v>
      </c>
      <c r="H35" s="232">
        <f>IFERROR(__xludf.DUMMYFUNCTION("""COMPUTED_VALUE"""),46094.66267164351)</f>
        <v>46094.66267</v>
      </c>
      <c r="I35" s="84">
        <f>IFERROR(__xludf.DUMMYFUNCTION("""COMPUTED_VALUE"""),46094.50855626157)</f>
        <v>46094.50856</v>
      </c>
      <c r="J35" s="76">
        <f t="shared" si="2"/>
        <v>0.1541153819</v>
      </c>
      <c r="L35" s="76">
        <f>IFERROR(__xludf.DUMMYFUNCTION("""COMPUTED_VALUE"""),4996.0)</f>
        <v>4996</v>
      </c>
      <c r="M35" s="232">
        <f>IFERROR(__xludf.DUMMYFUNCTION("""COMPUTED_VALUE"""),46094.76683831018)</f>
        <v>46094.76684</v>
      </c>
      <c r="N35" s="84">
        <f>IFERROR(__xludf.DUMMYFUNCTION("""COMPUTED_VALUE"""),46094.50860085648)</f>
        <v>46094.5086</v>
      </c>
      <c r="O35" s="76">
        <f t="shared" si="3"/>
        <v>0.2582374537</v>
      </c>
      <c r="Q35" s="76">
        <f>IFERROR(__xludf.DUMMYFUNCTION("""COMPUTED_VALUE"""),4991.0)</f>
        <v>4991</v>
      </c>
      <c r="R35" s="232">
        <f>IFERROR(__xludf.DUMMYFUNCTION("""COMPUTED_VALUE"""),46095.450694444444)</f>
        <v>46095.45069</v>
      </c>
      <c r="S35" s="84">
        <f>IFERROR(__xludf.DUMMYFUNCTION("""COMPUTED_VALUE"""),46093.76215170139)</f>
        <v>46093.76215</v>
      </c>
      <c r="T35" s="76">
        <f t="shared" si="4"/>
        <v>1.688542743</v>
      </c>
      <c r="V35" s="76">
        <f>IFERROR(__xludf.DUMMYFUNCTION("""COMPUTED_VALUE"""),4996.0)</f>
        <v>4996</v>
      </c>
      <c r="W35" s="232">
        <f>IFERROR(__xludf.DUMMYFUNCTION("""COMPUTED_VALUE"""),46097.475)</f>
        <v>46097.475</v>
      </c>
      <c r="X35" s="84">
        <f>IFERROR(__xludf.DUMMYFUNCTION("""COMPUTED_VALUE"""),46095.4449265625)</f>
        <v>46095.44493</v>
      </c>
      <c r="Y35" s="76">
        <f t="shared" si="5"/>
        <v>2.030073437</v>
      </c>
      <c r="AK35" s="232"/>
      <c r="AL35" s="233"/>
      <c r="AM35" s="173"/>
    </row>
    <row r="36">
      <c r="A36" s="76">
        <f>IFERROR(__xludf.DUMMYFUNCTION("""COMPUTED_VALUE"""),4997.0)</f>
        <v>4997</v>
      </c>
      <c r="B36" s="232">
        <f>IFERROR(__xludf.DUMMYFUNCTION("""COMPUTED_VALUE"""),46094.6887283449)</f>
        <v>46094.68873</v>
      </c>
      <c r="C36" s="84">
        <f>IFERROR(__xludf.DUMMYFUNCTION("""COMPUTED_VALUE"""),46094.56219699074)</f>
        <v>46094.5622</v>
      </c>
      <c r="D36" s="173">
        <f t="shared" si="1"/>
        <v>0.1265313542</v>
      </c>
      <c r="G36" s="76">
        <f>IFERROR(__xludf.DUMMYFUNCTION("""COMPUTED_VALUE"""),4997.0)</f>
        <v>4997</v>
      </c>
      <c r="H36" s="232">
        <f>IFERROR(__xludf.DUMMYFUNCTION("""COMPUTED_VALUE"""),46094.69567278935)</f>
        <v>46094.69567</v>
      </c>
      <c r="I36" s="84">
        <f>IFERROR(__xludf.DUMMYFUNCTION("""COMPUTED_VALUE"""),46094.56230341435)</f>
        <v>46094.5623</v>
      </c>
      <c r="J36" s="76">
        <f t="shared" si="2"/>
        <v>0.133369375</v>
      </c>
      <c r="L36" s="76">
        <f>IFERROR(__xludf.DUMMYFUNCTION("""COMPUTED_VALUE"""),4997.0)</f>
        <v>4997</v>
      </c>
      <c r="M36" s="232">
        <f>IFERROR(__xludf.DUMMYFUNCTION("""COMPUTED_VALUE"""),46094.79983945601)</f>
        <v>46094.79984</v>
      </c>
      <c r="N36" s="84">
        <f>IFERROR(__xludf.DUMMYFUNCTION("""COMPUTED_VALUE"""),46094.56233538194)</f>
        <v>46094.56234</v>
      </c>
      <c r="O36" s="76">
        <f t="shared" si="3"/>
        <v>0.2375040741</v>
      </c>
      <c r="Q36" s="76">
        <f>IFERROR(__xludf.DUMMYFUNCTION("""COMPUTED_VALUE"""),4992.0)</f>
        <v>4992</v>
      </c>
      <c r="R36" s="232">
        <f>IFERROR(__xludf.DUMMYFUNCTION("""COMPUTED_VALUE"""),46095.527083333334)</f>
        <v>46095.52708</v>
      </c>
      <c r="S36" s="84">
        <f>IFERROR(__xludf.DUMMYFUNCTION("""COMPUTED_VALUE"""),46094.454308472225)</f>
        <v>46094.45431</v>
      </c>
      <c r="T36" s="76">
        <f t="shared" si="4"/>
        <v>1.072774861</v>
      </c>
      <c r="V36" s="76">
        <f>IFERROR(__xludf.DUMMYFUNCTION("""COMPUTED_VALUE"""),4997.0)</f>
        <v>4997</v>
      </c>
      <c r="W36" s="232">
        <f>IFERROR(__xludf.DUMMYFUNCTION("""COMPUTED_VALUE"""),46097.424305555556)</f>
        <v>46097.42431</v>
      </c>
      <c r="X36" s="84">
        <f>IFERROR(__xludf.DUMMYFUNCTION("""COMPUTED_VALUE"""),46094.635513472225)</f>
        <v>46094.63551</v>
      </c>
      <c r="Y36" s="76">
        <f t="shared" si="5"/>
        <v>2.788792083</v>
      </c>
      <c r="AK36" s="232"/>
      <c r="AL36" s="233"/>
      <c r="AM36" s="173"/>
    </row>
    <row r="37">
      <c r="A37" s="76">
        <f>IFERROR(__xludf.DUMMYFUNCTION("""COMPUTED_VALUE"""),4998.0)</f>
        <v>4998</v>
      </c>
      <c r="B37" s="232">
        <f>IFERROR(__xludf.DUMMYFUNCTION("""COMPUTED_VALUE"""),46094.69072085648)</f>
        <v>46094.69072</v>
      </c>
      <c r="C37" s="84">
        <f>IFERROR(__xludf.DUMMYFUNCTION("""COMPUTED_VALUE"""),46094.562477569445)</f>
        <v>46094.56248</v>
      </c>
      <c r="D37" s="173">
        <f t="shared" si="1"/>
        <v>0.128243287</v>
      </c>
      <c r="G37" s="76">
        <f>IFERROR(__xludf.DUMMYFUNCTION("""COMPUTED_VALUE"""),4998.0)</f>
        <v>4998</v>
      </c>
      <c r="H37" s="232">
        <f>IFERROR(__xludf.DUMMYFUNCTION("""COMPUTED_VALUE"""),46094.697665300926)</f>
        <v>46094.69767</v>
      </c>
      <c r="I37" s="84">
        <f>IFERROR(__xludf.DUMMYFUNCTION("""COMPUTED_VALUE"""),46094.5626146875)</f>
        <v>46094.56261</v>
      </c>
      <c r="J37" s="76">
        <f t="shared" si="2"/>
        <v>0.1350506134</v>
      </c>
      <c r="L37" s="76">
        <f>IFERROR(__xludf.DUMMYFUNCTION("""COMPUTED_VALUE"""),4998.0)</f>
        <v>4998</v>
      </c>
      <c r="M37" s="232">
        <f>IFERROR(__xludf.DUMMYFUNCTION("""COMPUTED_VALUE"""),46094.80183196759)</f>
        <v>46094.80183</v>
      </c>
      <c r="N37" s="84">
        <f>IFERROR(__xludf.DUMMYFUNCTION("""COMPUTED_VALUE"""),46094.56265921296)</f>
        <v>46094.56266</v>
      </c>
      <c r="O37" s="76">
        <f t="shared" si="3"/>
        <v>0.2391727546</v>
      </c>
      <c r="Q37" s="76">
        <f>IFERROR(__xludf.DUMMYFUNCTION("""COMPUTED_VALUE"""),4993.0)</f>
        <v>4993</v>
      </c>
      <c r="R37" s="232">
        <f>IFERROR(__xludf.DUMMYFUNCTION("""COMPUTED_VALUE"""),46095.5875)</f>
        <v>46095.5875</v>
      </c>
      <c r="S37" s="84">
        <f>IFERROR(__xludf.DUMMYFUNCTION("""COMPUTED_VALUE"""),46093.74965359954)</f>
        <v>46093.74965</v>
      </c>
      <c r="T37" s="76">
        <f t="shared" si="4"/>
        <v>1.8378464</v>
      </c>
      <c r="V37" s="76">
        <f>IFERROR(__xludf.DUMMYFUNCTION("""COMPUTED_VALUE"""),4998.0)</f>
        <v>4998</v>
      </c>
      <c r="W37" s="232">
        <f>IFERROR(__xludf.DUMMYFUNCTION("""COMPUTED_VALUE"""),46097.50972222222)</f>
        <v>46097.50972</v>
      </c>
      <c r="X37" s="84">
        <f>IFERROR(__xludf.DUMMYFUNCTION("""COMPUTED_VALUE"""),46095.44500706019)</f>
        <v>46095.44501</v>
      </c>
      <c r="Y37" s="76">
        <f t="shared" si="5"/>
        <v>2.064715162</v>
      </c>
      <c r="AK37" s="232"/>
      <c r="AL37" s="233"/>
      <c r="AM37" s="173"/>
    </row>
    <row r="38">
      <c r="A38" s="76">
        <f>IFERROR(__xludf.DUMMYFUNCTION("""COMPUTED_VALUE"""),4999.0)</f>
        <v>4999</v>
      </c>
      <c r="B38" s="232">
        <f>IFERROR(__xludf.DUMMYFUNCTION("""COMPUTED_VALUE"""),46095.41805555555)</f>
        <v>46095.41806</v>
      </c>
      <c r="C38" s="84">
        <f>IFERROR(__xludf.DUMMYFUNCTION("""COMPUTED_VALUE"""),46094.69931614584)</f>
        <v>46094.69932</v>
      </c>
      <c r="D38" s="173">
        <f t="shared" si="1"/>
        <v>0.7187394097</v>
      </c>
      <c r="G38" s="76">
        <f>IFERROR(__xludf.DUMMYFUNCTION("""COMPUTED_VALUE"""),4999.0)</f>
        <v>4999</v>
      </c>
      <c r="H38" s="232">
        <f>IFERROR(__xludf.DUMMYFUNCTION("""COMPUTED_VALUE"""),46095.424999999996)</f>
        <v>46095.425</v>
      </c>
      <c r="I38" s="84">
        <f>IFERROR(__xludf.DUMMYFUNCTION("""COMPUTED_VALUE"""),46094.5626146875)</f>
        <v>46094.56261</v>
      </c>
      <c r="J38" s="76">
        <f t="shared" si="2"/>
        <v>0.8623853125</v>
      </c>
      <c r="L38" s="76">
        <f>IFERROR(__xludf.DUMMYFUNCTION("""COMPUTED_VALUE"""),4999.0)</f>
        <v>4999</v>
      </c>
      <c r="M38" s="232">
        <f>IFERROR(__xludf.DUMMYFUNCTION("""COMPUTED_VALUE"""),46095.52916666666)</f>
        <v>46095.52917</v>
      </c>
      <c r="N38" s="84">
        <f>IFERROR(__xludf.DUMMYFUNCTION("""COMPUTED_VALUE"""),46094.90819125)</f>
        <v>46094.90819</v>
      </c>
      <c r="O38" s="76">
        <f t="shared" si="3"/>
        <v>0.6209754167</v>
      </c>
      <c r="Q38" s="76">
        <f>IFERROR(__xludf.DUMMYFUNCTION("""COMPUTED_VALUE"""),4994.0)</f>
        <v>4994</v>
      </c>
      <c r="R38" s="232">
        <f>IFERROR(__xludf.DUMMYFUNCTION("""COMPUTED_VALUE"""),46095.59513888889)</f>
        <v>46095.59514</v>
      </c>
      <c r="S38" s="84">
        <f>IFERROR(__xludf.DUMMYFUNCTION("""COMPUTED_VALUE"""),46093.74965359954)</f>
        <v>46093.74965</v>
      </c>
      <c r="T38" s="76">
        <f t="shared" si="4"/>
        <v>1.845485289</v>
      </c>
      <c r="V38" s="76">
        <f>IFERROR(__xludf.DUMMYFUNCTION("""COMPUTED_VALUE"""),4999.0)</f>
        <v>4999</v>
      </c>
      <c r="W38" s="232">
        <f>IFERROR(__xludf.DUMMYFUNCTION("""COMPUTED_VALUE"""),46097.57083333333)</f>
        <v>46097.57083</v>
      </c>
      <c r="X38" s="84">
        <f>IFERROR(__xludf.DUMMYFUNCTION("""COMPUTED_VALUE"""),46097.454452997685)</f>
        <v>46097.45445</v>
      </c>
      <c r="Y38" s="76">
        <f t="shared" si="5"/>
        <v>0.1163803356</v>
      </c>
      <c r="AK38" s="232"/>
      <c r="AL38" s="233"/>
      <c r="AM38" s="173"/>
    </row>
    <row r="39">
      <c r="A39" s="76">
        <f>IFERROR(__xludf.DUMMYFUNCTION("""COMPUTED_VALUE"""),5000.0)</f>
        <v>5000</v>
      </c>
      <c r="B39" s="232">
        <f>IFERROR(__xludf.DUMMYFUNCTION("""COMPUTED_VALUE"""),46095.48472222222)</f>
        <v>46095.48472</v>
      </c>
      <c r="C39" s="84">
        <f>IFERROR(__xludf.DUMMYFUNCTION("""COMPUTED_VALUE"""),46094.75612211805)</f>
        <v>46094.75612</v>
      </c>
      <c r="D39" s="173">
        <f t="shared" si="1"/>
        <v>0.7286001042</v>
      </c>
      <c r="G39" s="76">
        <f>IFERROR(__xludf.DUMMYFUNCTION("""COMPUTED_VALUE"""),5000.0)</f>
        <v>5000</v>
      </c>
      <c r="H39" s="232">
        <f>IFERROR(__xludf.DUMMYFUNCTION("""COMPUTED_VALUE"""),46095.49166666667)</f>
        <v>46095.49167</v>
      </c>
      <c r="I39" s="84">
        <f>IFERROR(__xludf.DUMMYFUNCTION("""COMPUTED_VALUE"""),46094.756205428246)</f>
        <v>46094.75621</v>
      </c>
      <c r="J39" s="76">
        <f t="shared" si="2"/>
        <v>0.7354612384</v>
      </c>
      <c r="L39" s="76">
        <f>IFERROR(__xludf.DUMMYFUNCTION("""COMPUTED_VALUE"""),5000.0)</f>
        <v>5000</v>
      </c>
      <c r="M39" s="232">
        <f>IFERROR(__xludf.DUMMYFUNCTION("""COMPUTED_VALUE"""),46095.59583333333)</f>
        <v>46095.59583</v>
      </c>
      <c r="N39" s="84">
        <f>IFERROR(__xludf.DUMMYFUNCTION("""COMPUTED_VALUE"""),46094.78348439815)</f>
        <v>46094.78348</v>
      </c>
      <c r="O39" s="76">
        <f t="shared" si="3"/>
        <v>0.8123489352</v>
      </c>
      <c r="Q39" s="76">
        <f>IFERROR(__xludf.DUMMYFUNCTION("""COMPUTED_VALUE"""),4995.0)</f>
        <v>4995</v>
      </c>
      <c r="R39" s="232">
        <f>IFERROR(__xludf.DUMMYFUNCTION("""COMPUTED_VALUE"""),46095.722916666666)</f>
        <v>46095.72292</v>
      </c>
      <c r="S39" s="84">
        <f>IFERROR(__xludf.DUMMYFUNCTION("""COMPUTED_VALUE"""),46094.50836638889)</f>
        <v>46094.50837</v>
      </c>
      <c r="T39" s="76">
        <f t="shared" si="4"/>
        <v>1.214550278</v>
      </c>
      <c r="V39" s="76">
        <f>IFERROR(__xludf.DUMMYFUNCTION("""COMPUTED_VALUE"""),5000.0)</f>
        <v>5000</v>
      </c>
      <c r="W39" s="232">
        <f>IFERROR(__xludf.DUMMYFUNCTION("""COMPUTED_VALUE"""),46097.6375)</f>
        <v>46097.6375</v>
      </c>
      <c r="X39" s="84">
        <f>IFERROR(__xludf.DUMMYFUNCTION("""COMPUTED_VALUE"""),46097.45447790509)</f>
        <v>46097.45448</v>
      </c>
      <c r="Y39" s="76">
        <f t="shared" si="5"/>
        <v>0.1830220949</v>
      </c>
      <c r="AK39" s="232"/>
      <c r="AL39" s="233"/>
      <c r="AM39" s="173"/>
    </row>
    <row r="40">
      <c r="A40" s="76">
        <f>IFERROR(__xludf.DUMMYFUNCTION("""COMPUTED_VALUE"""),5001.0)</f>
        <v>5001</v>
      </c>
      <c r="B40" s="232">
        <f>IFERROR(__xludf.DUMMYFUNCTION("""COMPUTED_VALUE"""),46095.6264209375)</f>
        <v>46095.62642</v>
      </c>
      <c r="C40" s="84">
        <f>IFERROR(__xludf.DUMMYFUNCTION("""COMPUTED_VALUE"""),46095.52237733796)</f>
        <v>46095.52238</v>
      </c>
      <c r="D40" s="173">
        <f t="shared" si="1"/>
        <v>0.1040435995</v>
      </c>
      <c r="G40" s="76">
        <f>IFERROR(__xludf.DUMMYFUNCTION("""COMPUTED_VALUE"""),5001.0)</f>
        <v>5001</v>
      </c>
      <c r="H40" s="232">
        <f>IFERROR(__xludf.DUMMYFUNCTION("""COMPUTED_VALUE"""),46095.633365381946)</f>
        <v>46095.63337</v>
      </c>
      <c r="I40" s="84">
        <f>IFERROR(__xludf.DUMMYFUNCTION("""COMPUTED_VALUE"""),46095.52245181713)</f>
        <v>46095.52245</v>
      </c>
      <c r="J40" s="76">
        <f t="shared" si="2"/>
        <v>0.1109135648</v>
      </c>
      <c r="L40" s="76">
        <f>IFERROR(__xludf.DUMMYFUNCTION("""COMPUTED_VALUE"""),5001.0)</f>
        <v>5001</v>
      </c>
      <c r="M40" s="232">
        <f>IFERROR(__xludf.DUMMYFUNCTION("""COMPUTED_VALUE"""),46095.73753204861)</f>
        <v>46095.73753</v>
      </c>
      <c r="N40" s="84">
        <f>IFERROR(__xludf.DUMMYFUNCTION("""COMPUTED_VALUE"""),46095.52257568287)</f>
        <v>46095.52258</v>
      </c>
      <c r="O40" s="76">
        <f t="shared" si="3"/>
        <v>0.2149563657</v>
      </c>
      <c r="Q40" s="76">
        <f>IFERROR(__xludf.DUMMYFUNCTION("""COMPUTED_VALUE"""),4996.0)</f>
        <v>4996</v>
      </c>
      <c r="R40" s="232">
        <f>IFERROR(__xludf.DUMMYFUNCTION("""COMPUTED_VALUE"""),46095.76666666667)</f>
        <v>46095.76667</v>
      </c>
      <c r="S40" s="84">
        <f>IFERROR(__xludf.DUMMYFUNCTION("""COMPUTED_VALUE"""),46094.63553408565)</f>
        <v>46094.63553</v>
      </c>
      <c r="T40" s="76">
        <f t="shared" si="4"/>
        <v>1.131132581</v>
      </c>
      <c r="V40" s="76">
        <f>IFERROR(__xludf.DUMMYFUNCTION("""COMPUTED_VALUE"""),5001.0)</f>
        <v>5001</v>
      </c>
      <c r="W40" s="232">
        <f>IFERROR(__xludf.DUMMYFUNCTION("""COMPUTED_VALUE"""),46097.77916666667)</f>
        <v>46097.77917</v>
      </c>
      <c r="X40" s="84">
        <f>IFERROR(__xludf.DUMMYFUNCTION("""COMPUTED_VALUE"""),46095.537898078706)</f>
        <v>46095.5379</v>
      </c>
      <c r="Y40" s="76">
        <f t="shared" si="5"/>
        <v>2.241268588</v>
      </c>
      <c r="AK40" s="232"/>
      <c r="AL40" s="233"/>
      <c r="AM40" s="173"/>
    </row>
    <row r="41">
      <c r="A41" s="76">
        <f>IFERROR(__xludf.DUMMYFUNCTION("""COMPUTED_VALUE"""),5002.0)</f>
        <v>5002</v>
      </c>
      <c r="B41" s="232">
        <f>IFERROR(__xludf.DUMMYFUNCTION("""COMPUTED_VALUE"""),46097.44775462963)</f>
        <v>46097.44775</v>
      </c>
      <c r="C41" s="84">
        <f>IFERROR(__xludf.DUMMYFUNCTION("""COMPUTED_VALUE"""),46097.431970833335)</f>
        <v>46097.43197</v>
      </c>
      <c r="D41" s="173">
        <f t="shared" si="1"/>
        <v>0.0157837963</v>
      </c>
      <c r="G41" s="76">
        <f>IFERROR(__xludf.DUMMYFUNCTION("""COMPUTED_VALUE"""),5002.0)</f>
        <v>5002</v>
      </c>
      <c r="H41" s="232">
        <f>IFERROR(__xludf.DUMMYFUNCTION("""COMPUTED_VALUE"""),46097.45469907408)</f>
        <v>46097.4547</v>
      </c>
      <c r="I41" s="84">
        <f>IFERROR(__xludf.DUMMYFUNCTION("""COMPUTED_VALUE"""),46097.43215983796)</f>
        <v>46097.43216</v>
      </c>
      <c r="J41" s="76">
        <f t="shared" si="2"/>
        <v>0.02253923612</v>
      </c>
      <c r="L41" s="76">
        <f>IFERROR(__xludf.DUMMYFUNCTION("""COMPUTED_VALUE"""),5002.0)</f>
        <v>5002</v>
      </c>
      <c r="M41" s="232">
        <f>IFERROR(__xludf.DUMMYFUNCTION("""COMPUTED_VALUE"""),46097.55886574074)</f>
        <v>46097.55887</v>
      </c>
      <c r="N41" s="84">
        <f>IFERROR(__xludf.DUMMYFUNCTION("""COMPUTED_VALUE"""),46097.53200424768)</f>
        <v>46097.532</v>
      </c>
      <c r="O41" s="76">
        <f t="shared" si="3"/>
        <v>0.02686149306</v>
      </c>
      <c r="Q41" s="76">
        <f>IFERROR(__xludf.DUMMYFUNCTION("""COMPUTED_VALUE"""),4997.0)</f>
        <v>4997</v>
      </c>
      <c r="R41" s="232">
        <f>IFERROR(__xludf.DUMMYFUNCTION("""COMPUTED_VALUE"""),46095.799305555556)</f>
        <v>46095.79931</v>
      </c>
      <c r="S41" s="84">
        <f>IFERROR(__xludf.DUMMYFUNCTION("""COMPUTED_VALUE"""),46094.63549165509)</f>
        <v>46094.63549</v>
      </c>
      <c r="T41" s="76">
        <f t="shared" si="4"/>
        <v>1.1638139</v>
      </c>
      <c r="V41" s="76">
        <f>IFERROR(__xludf.DUMMYFUNCTION("""COMPUTED_VALUE"""),5002.0)</f>
        <v>5002</v>
      </c>
      <c r="W41" s="232">
        <f>IFERROR(__xludf.DUMMYFUNCTION("""COMPUTED_VALUE"""),46098.6)</f>
        <v>46098.6</v>
      </c>
      <c r="X41" s="84">
        <f>IFERROR(__xludf.DUMMYFUNCTION("""COMPUTED_VALUE"""),46098.54452546296)</f>
        <v>46098.54453</v>
      </c>
      <c r="Y41" s="76">
        <f t="shared" si="5"/>
        <v>0.05547453704</v>
      </c>
      <c r="AK41" s="232"/>
      <c r="AL41" s="233"/>
      <c r="AM41" s="173"/>
    </row>
    <row r="42">
      <c r="A42" s="76">
        <f>IFERROR(__xludf.DUMMYFUNCTION("""COMPUTED_VALUE"""),5003.0)</f>
        <v>5003</v>
      </c>
      <c r="B42" s="232">
        <f>IFERROR(__xludf.DUMMYFUNCTION("""COMPUTED_VALUE"""),46097.44775462963)</f>
        <v>46097.44775</v>
      </c>
      <c r="C42" s="84">
        <f>IFERROR(__xludf.DUMMYFUNCTION("""COMPUTED_VALUE"""),46097.4319934375)</f>
        <v>46097.43199</v>
      </c>
      <c r="D42" s="173">
        <f t="shared" si="1"/>
        <v>0.01576119213</v>
      </c>
      <c r="G42" s="76">
        <f>IFERROR(__xludf.DUMMYFUNCTION("""COMPUTED_VALUE"""),5003.0)</f>
        <v>5003</v>
      </c>
      <c r="H42" s="232">
        <f>IFERROR(__xludf.DUMMYFUNCTION("""COMPUTED_VALUE"""),46097.45469907408)</f>
        <v>46097.4547</v>
      </c>
      <c r="I42" s="84">
        <f>IFERROR(__xludf.DUMMYFUNCTION("""COMPUTED_VALUE"""),46097.4321990625)</f>
        <v>46097.4322</v>
      </c>
      <c r="J42" s="76">
        <f t="shared" si="2"/>
        <v>0.02250001158</v>
      </c>
      <c r="L42" s="76">
        <f>IFERROR(__xludf.DUMMYFUNCTION("""COMPUTED_VALUE"""),5003.0)</f>
        <v>5003</v>
      </c>
      <c r="M42" s="232">
        <f>IFERROR(__xludf.DUMMYFUNCTION("""COMPUTED_VALUE"""),46097.55886574074)</f>
        <v>46097.55887</v>
      </c>
      <c r="N42" s="84">
        <f>IFERROR(__xludf.DUMMYFUNCTION("""COMPUTED_VALUE"""),46097.53202831019)</f>
        <v>46097.53203</v>
      </c>
      <c r="O42" s="76">
        <f t="shared" si="3"/>
        <v>0.02683743055</v>
      </c>
      <c r="Q42" s="76">
        <f>IFERROR(__xludf.DUMMYFUNCTION("""COMPUTED_VALUE"""),4998.0)</f>
        <v>4998</v>
      </c>
      <c r="R42" s="232">
        <f>IFERROR(__xludf.DUMMYFUNCTION("""COMPUTED_VALUE"""),46097.46805555555)</f>
        <v>46097.46806</v>
      </c>
      <c r="S42" s="84">
        <f>IFERROR(__xludf.DUMMYFUNCTION("""COMPUTED_VALUE"""),46095.4448109375)</f>
        <v>46095.44481</v>
      </c>
      <c r="T42" s="76">
        <f t="shared" si="4"/>
        <v>2.023244618</v>
      </c>
      <c r="V42" s="76">
        <f>IFERROR(__xludf.DUMMYFUNCTION("""COMPUTED_VALUE"""),5003.0)</f>
        <v>5003</v>
      </c>
      <c r="W42" s="232">
        <f>IFERROR(__xludf.DUMMYFUNCTION("""COMPUTED_VALUE"""),46098.6)</f>
        <v>46098.6</v>
      </c>
      <c r="X42" s="84">
        <f>IFERROR(__xludf.DUMMYFUNCTION("""COMPUTED_VALUE"""),46098.54454861111)</f>
        <v>46098.54455</v>
      </c>
      <c r="Y42" s="76">
        <f t="shared" si="5"/>
        <v>0.05545138889</v>
      </c>
      <c r="AK42" s="232"/>
      <c r="AL42" s="233"/>
      <c r="AM42" s="173"/>
    </row>
    <row r="43">
      <c r="A43" s="76">
        <f>IFERROR(__xludf.DUMMYFUNCTION("""COMPUTED_VALUE"""),5004.0)</f>
        <v>5004</v>
      </c>
      <c r="B43" s="232">
        <f>IFERROR(__xludf.DUMMYFUNCTION("""COMPUTED_VALUE"""),46097.68407541667)</f>
        <v>46097.68408</v>
      </c>
      <c r="C43" s="84">
        <f>IFERROR(__xludf.DUMMYFUNCTION("""COMPUTED_VALUE"""),46097.53585714121)</f>
        <v>46097.53586</v>
      </c>
      <c r="D43" s="173">
        <f t="shared" si="1"/>
        <v>0.1482182755</v>
      </c>
      <c r="G43" s="76">
        <f>IFERROR(__xludf.DUMMYFUNCTION("""COMPUTED_VALUE"""),5004.0)</f>
        <v>5004</v>
      </c>
      <c r="H43" s="232">
        <f>IFERROR(__xludf.DUMMYFUNCTION("""COMPUTED_VALUE"""),46097.691019861115)</f>
        <v>46097.69102</v>
      </c>
      <c r="I43" s="84">
        <f>IFERROR(__xludf.DUMMYFUNCTION("""COMPUTED_VALUE"""),46097.53592241898)</f>
        <v>46097.53592</v>
      </c>
      <c r="J43" s="76">
        <f t="shared" si="2"/>
        <v>0.1550974421</v>
      </c>
      <c r="L43" s="76">
        <f>IFERROR(__xludf.DUMMYFUNCTION("""COMPUTED_VALUE"""),5004.0)</f>
        <v>5004</v>
      </c>
      <c r="M43" s="232">
        <f>IFERROR(__xludf.DUMMYFUNCTION("""COMPUTED_VALUE"""),46097.79518652778)</f>
        <v>46097.79519</v>
      </c>
      <c r="N43" s="84">
        <f>IFERROR(__xludf.DUMMYFUNCTION("""COMPUTED_VALUE"""),46097.53596641203)</f>
        <v>46097.53597</v>
      </c>
      <c r="O43" s="76">
        <f t="shared" si="3"/>
        <v>0.2592201157</v>
      </c>
      <c r="Q43" s="76">
        <f>IFERROR(__xludf.DUMMYFUNCTION("""COMPUTED_VALUE"""),4999.0)</f>
        <v>4999</v>
      </c>
      <c r="R43" s="232">
        <f>IFERROR(__xludf.DUMMYFUNCTION("""COMPUTED_VALUE"""),46097.52916666667)</f>
        <v>46097.52917</v>
      </c>
      <c r="S43" s="84">
        <f>IFERROR(__xludf.DUMMYFUNCTION("""COMPUTED_VALUE"""),46097.453925752314)</f>
        <v>46097.45393</v>
      </c>
      <c r="T43" s="76">
        <f t="shared" si="4"/>
        <v>0.07524091435</v>
      </c>
      <c r="V43" s="76">
        <f>IFERROR(__xludf.DUMMYFUNCTION("""COMPUTED_VALUE"""),5004.0)</f>
        <v>5004</v>
      </c>
      <c r="W43" s="232">
        <f>IFERROR(__xludf.DUMMYFUNCTION("""COMPUTED_VALUE"""),46099.461805555555)</f>
        <v>46099.46181</v>
      </c>
      <c r="X43" s="84">
        <f>IFERROR(__xludf.DUMMYFUNCTION("""COMPUTED_VALUE"""),46099.454997719906)</f>
        <v>46099.455</v>
      </c>
      <c r="Y43" s="76">
        <f t="shared" si="5"/>
        <v>0.006807835649</v>
      </c>
      <c r="AK43" s="232"/>
      <c r="AL43" s="233"/>
      <c r="AM43" s="173"/>
    </row>
    <row r="44">
      <c r="A44" s="76">
        <f>IFERROR(__xludf.DUMMYFUNCTION("""COMPUTED_VALUE"""),5005.0)</f>
        <v>5005</v>
      </c>
      <c r="B44" s="232">
        <f>IFERROR(__xludf.DUMMYFUNCTION("""COMPUTED_VALUE"""),46097.78322012731)</f>
        <v>46097.78322</v>
      </c>
      <c r="C44" s="84">
        <f>IFERROR(__xludf.DUMMYFUNCTION("""COMPUTED_VALUE"""),46097.67546165509)</f>
        <v>46097.67546</v>
      </c>
      <c r="D44" s="173">
        <f t="shared" si="1"/>
        <v>0.1077584722</v>
      </c>
      <c r="G44" s="76">
        <f>IFERROR(__xludf.DUMMYFUNCTION("""COMPUTED_VALUE"""),5005.0)</f>
        <v>5005</v>
      </c>
      <c r="H44" s="232">
        <f>IFERROR(__xludf.DUMMYFUNCTION("""COMPUTED_VALUE"""),46097.79016457176)</f>
        <v>46097.79016</v>
      </c>
      <c r="I44" s="84">
        <f>IFERROR(__xludf.DUMMYFUNCTION("""COMPUTED_VALUE"""),46097.67564994213)</f>
        <v>46097.67565</v>
      </c>
      <c r="J44" s="76">
        <f t="shared" si="2"/>
        <v>0.1145146296</v>
      </c>
      <c r="L44" s="76">
        <f>IFERROR(__xludf.DUMMYFUNCTION("""COMPUTED_VALUE"""),5005.0)</f>
        <v>5005</v>
      </c>
      <c r="M44" s="232">
        <f>IFERROR(__xludf.DUMMYFUNCTION("""COMPUTED_VALUE"""),46098.49791666667)</f>
        <v>46098.49792</v>
      </c>
      <c r="N44" s="84">
        <f>IFERROR(__xludf.DUMMYFUNCTION("""COMPUTED_VALUE"""),46097.67577421296)</f>
        <v>46097.67577</v>
      </c>
      <c r="O44" s="76">
        <f t="shared" si="3"/>
        <v>0.8221424537</v>
      </c>
      <c r="Q44" s="76">
        <f>IFERROR(__xludf.DUMMYFUNCTION("""COMPUTED_VALUE"""),5000.0)</f>
        <v>5000</v>
      </c>
      <c r="R44" s="232">
        <f>IFERROR(__xludf.DUMMYFUNCTION("""COMPUTED_VALUE"""),46097.59583333333)</f>
        <v>46097.59583</v>
      </c>
      <c r="S44" s="84">
        <f>IFERROR(__xludf.DUMMYFUNCTION("""COMPUTED_VALUE"""),46097.45395271991)</f>
        <v>46097.45395</v>
      </c>
      <c r="T44" s="76">
        <f t="shared" si="4"/>
        <v>0.1418806134</v>
      </c>
      <c r="V44" s="76">
        <f>IFERROR(__xludf.DUMMYFUNCTION("""COMPUTED_VALUE"""),5005.0)</f>
        <v>5005</v>
      </c>
      <c r="W44" s="232">
        <f>IFERROR(__xludf.DUMMYFUNCTION("""COMPUTED_VALUE"""),46099.53958333333)</f>
        <v>46099.53958</v>
      </c>
      <c r="X44" s="84">
        <f>IFERROR(__xludf.DUMMYFUNCTION("""COMPUTED_VALUE"""),46097.76164246528)</f>
        <v>46097.76164</v>
      </c>
      <c r="Y44" s="76">
        <f t="shared" si="5"/>
        <v>1.777940868</v>
      </c>
      <c r="AK44" s="232"/>
      <c r="AL44" s="233"/>
      <c r="AM44" s="173"/>
    </row>
    <row r="45">
      <c r="A45" s="76">
        <f>IFERROR(__xludf.DUMMYFUNCTION("""COMPUTED_VALUE"""),5006.0)</f>
        <v>5006</v>
      </c>
      <c r="B45" s="232">
        <f>IFERROR(__xludf.DUMMYFUNCTION("""COMPUTED_VALUE"""),46099.47708333334)</f>
        <v>46099.47708</v>
      </c>
      <c r="C45" s="84">
        <f>IFERROR(__xludf.DUMMYFUNCTION("""COMPUTED_VALUE"""),46098.78930740741)</f>
        <v>46098.78931</v>
      </c>
      <c r="D45" s="173">
        <f t="shared" si="1"/>
        <v>0.6877759259</v>
      </c>
      <c r="G45" s="76">
        <f>IFERROR(__xludf.DUMMYFUNCTION("""COMPUTED_VALUE"""),5006.0)</f>
        <v>5006</v>
      </c>
      <c r="H45" s="232">
        <f>IFERROR(__xludf.DUMMYFUNCTION("""COMPUTED_VALUE"""),46099.484027777784)</f>
        <v>46099.48403</v>
      </c>
      <c r="I45" s="84">
        <f>IFERROR(__xludf.DUMMYFUNCTION("""COMPUTED_VALUE"""),46098.78969723379)</f>
        <v>46098.7897</v>
      </c>
      <c r="J45" s="76">
        <f t="shared" si="2"/>
        <v>0.694330544</v>
      </c>
      <c r="L45" s="76">
        <f>IFERROR(__xludf.DUMMYFUNCTION("""COMPUTED_VALUE"""),5006.0)</f>
        <v>5006</v>
      </c>
      <c r="M45" s="232">
        <f>IFERROR(__xludf.DUMMYFUNCTION("""COMPUTED_VALUE"""),46099.58819444445)</f>
        <v>46099.58819</v>
      </c>
      <c r="N45" s="84">
        <f>IFERROR(__xludf.DUMMYFUNCTION("""COMPUTED_VALUE"""),46099.50877028935)</f>
        <v>46099.50877</v>
      </c>
      <c r="O45" s="76">
        <f t="shared" si="3"/>
        <v>0.0794241551</v>
      </c>
      <c r="Q45" s="76">
        <f>IFERROR(__xludf.DUMMYFUNCTION("""COMPUTED_VALUE"""),5001.0)</f>
        <v>5001</v>
      </c>
      <c r="R45" s="232">
        <f>IFERROR(__xludf.DUMMYFUNCTION("""COMPUTED_VALUE"""),46097.7375)</f>
        <v>46097.7375</v>
      </c>
      <c r="S45" s="84">
        <f>IFERROR(__xludf.DUMMYFUNCTION("""COMPUTED_VALUE"""),46095.537885868056)</f>
        <v>46095.53789</v>
      </c>
      <c r="T45" s="76">
        <f t="shared" si="4"/>
        <v>2.199614132</v>
      </c>
      <c r="V45" s="76">
        <f>IFERROR(__xludf.DUMMYFUNCTION("""COMPUTED_VALUE"""),5006.0)</f>
        <v>5006</v>
      </c>
      <c r="W45" s="232">
        <f>IFERROR(__xludf.DUMMYFUNCTION("""COMPUTED_VALUE"""),46100.62986111111)</f>
        <v>46100.62986</v>
      </c>
      <c r="X45" s="84">
        <f>IFERROR(__xludf.DUMMYFUNCTION("""COMPUTED_VALUE"""),46099.508828564816)</f>
        <v>46099.50883</v>
      </c>
      <c r="Y45" s="76">
        <f t="shared" si="5"/>
        <v>1.121032546</v>
      </c>
      <c r="AK45" s="232"/>
      <c r="AL45" s="233"/>
      <c r="AM45" s="173"/>
    </row>
    <row r="46">
      <c r="A46" s="76">
        <f>IFERROR(__xludf.DUMMYFUNCTION("""COMPUTED_VALUE"""),5007.0)</f>
        <v>5007</v>
      </c>
      <c r="B46" s="232">
        <f>IFERROR(__xludf.DUMMYFUNCTION("""COMPUTED_VALUE"""),46099.478472222225)</f>
        <v>46099.47847</v>
      </c>
      <c r="C46" s="84">
        <f>IFERROR(__xludf.DUMMYFUNCTION("""COMPUTED_VALUE"""),46098.78933353009)</f>
        <v>46098.78933</v>
      </c>
      <c r="D46" s="173">
        <f t="shared" si="1"/>
        <v>0.6891386921</v>
      </c>
      <c r="G46" s="76">
        <f>IFERROR(__xludf.DUMMYFUNCTION("""COMPUTED_VALUE"""),5007.0)</f>
        <v>5007</v>
      </c>
      <c r="H46" s="232">
        <f>IFERROR(__xludf.DUMMYFUNCTION("""COMPUTED_VALUE"""),46099.48541666667)</f>
        <v>46099.48542</v>
      </c>
      <c r="I46" s="84">
        <f>IFERROR(__xludf.DUMMYFUNCTION("""COMPUTED_VALUE"""),46098.78972939815)</f>
        <v>46098.78973</v>
      </c>
      <c r="J46" s="76">
        <f t="shared" si="2"/>
        <v>0.6956872685</v>
      </c>
      <c r="L46" s="76">
        <f>IFERROR(__xludf.DUMMYFUNCTION("""COMPUTED_VALUE"""),5007.0)</f>
        <v>5007</v>
      </c>
      <c r="M46" s="232">
        <f>IFERROR(__xludf.DUMMYFUNCTION("""COMPUTED_VALUE"""),46099.589583333334)</f>
        <v>46099.58958</v>
      </c>
      <c r="N46" s="84">
        <f>IFERROR(__xludf.DUMMYFUNCTION("""COMPUTED_VALUE"""),46099.570752314816)</f>
        <v>46099.57075</v>
      </c>
      <c r="O46" s="76">
        <f t="shared" si="3"/>
        <v>0.01883101852</v>
      </c>
      <c r="Q46" s="76">
        <f>IFERROR(__xludf.DUMMYFUNCTION("""COMPUTED_VALUE"""),5002.0)</f>
        <v>5002</v>
      </c>
      <c r="R46" s="232">
        <f>IFERROR(__xludf.DUMMYFUNCTION("""COMPUTED_VALUE"""),46098.558333333334)</f>
        <v>46098.55833</v>
      </c>
      <c r="S46" s="84">
        <f>IFERROR(__xludf.DUMMYFUNCTION("""COMPUTED_VALUE"""),46098.544120370374)</f>
        <v>46098.54412</v>
      </c>
      <c r="T46" s="76">
        <f t="shared" si="4"/>
        <v>0.01421296296</v>
      </c>
      <c r="V46" s="76">
        <f>IFERROR(__xludf.DUMMYFUNCTION("""COMPUTED_VALUE"""),5007.0)</f>
        <v>5007</v>
      </c>
      <c r="W46" s="232">
        <f>IFERROR(__xludf.DUMMYFUNCTION("""COMPUTED_VALUE"""),46100.63125)</f>
        <v>46100.63125</v>
      </c>
      <c r="X46" s="84">
        <f>IFERROR(__xludf.DUMMYFUNCTION("""COMPUTED_VALUE"""),46099.81590119213)</f>
        <v>46099.8159</v>
      </c>
      <c r="Y46" s="76">
        <f t="shared" si="5"/>
        <v>0.8153488079</v>
      </c>
      <c r="AK46" s="232"/>
      <c r="AL46" s="233"/>
      <c r="AM46" s="173"/>
    </row>
    <row r="47">
      <c r="A47" s="76">
        <f>IFERROR(__xludf.DUMMYFUNCTION("""COMPUTED_VALUE"""),5008.0)</f>
        <v>5008</v>
      </c>
      <c r="B47" s="232">
        <f>IFERROR(__xludf.DUMMYFUNCTION("""COMPUTED_VALUE"""),46099.48055555556)</f>
        <v>46099.48056</v>
      </c>
      <c r="C47" s="84">
        <f>IFERROR(__xludf.DUMMYFUNCTION("""COMPUTED_VALUE"""),46098.789339131945)</f>
        <v>46098.78934</v>
      </c>
      <c r="D47" s="173">
        <f t="shared" si="1"/>
        <v>0.6912164236</v>
      </c>
      <c r="G47" s="76">
        <f>IFERROR(__xludf.DUMMYFUNCTION("""COMPUTED_VALUE"""),5008.0)</f>
        <v>5008</v>
      </c>
      <c r="H47" s="232">
        <f>IFERROR(__xludf.DUMMYFUNCTION("""COMPUTED_VALUE"""),46099.4875)</f>
        <v>46099.4875</v>
      </c>
      <c r="I47" s="84">
        <f>IFERROR(__xludf.DUMMYFUNCTION("""COMPUTED_VALUE"""),46098.7897272338)</f>
        <v>46098.78973</v>
      </c>
      <c r="J47" s="76">
        <f t="shared" si="2"/>
        <v>0.6977727662</v>
      </c>
      <c r="L47" s="76">
        <f>IFERROR(__xludf.DUMMYFUNCTION("""COMPUTED_VALUE"""),5008.0)</f>
        <v>5008</v>
      </c>
      <c r="M47" s="232">
        <f>IFERROR(__xludf.DUMMYFUNCTION("""COMPUTED_VALUE"""),46099.59166666667)</f>
        <v>46099.59167</v>
      </c>
      <c r="N47" s="84">
        <f>IFERROR(__xludf.DUMMYFUNCTION("""COMPUTED_VALUE"""),46099.57078703704)</f>
        <v>46099.57079</v>
      </c>
      <c r="O47" s="76">
        <f t="shared" si="3"/>
        <v>0.02087962963</v>
      </c>
      <c r="Q47" s="76">
        <f>IFERROR(__xludf.DUMMYFUNCTION("""COMPUTED_VALUE"""),5003.0)</f>
        <v>5003</v>
      </c>
      <c r="R47" s="232">
        <f>IFERROR(__xludf.DUMMYFUNCTION("""COMPUTED_VALUE"""),46098.558333333334)</f>
        <v>46098.55833</v>
      </c>
      <c r="S47" s="84">
        <f>IFERROR(__xludf.DUMMYFUNCTION("""COMPUTED_VALUE"""),46098.54417824074)</f>
        <v>46098.54418</v>
      </c>
      <c r="T47" s="76">
        <f t="shared" si="4"/>
        <v>0.01415509259</v>
      </c>
      <c r="V47" s="76">
        <f>IFERROR(__xludf.DUMMYFUNCTION("""COMPUTED_VALUE"""),5008.0)</f>
        <v>5008</v>
      </c>
      <c r="W47" s="232">
        <f>IFERROR(__xludf.DUMMYFUNCTION("""COMPUTED_VALUE"""),46100.63333333333)</f>
        <v>46100.63333</v>
      </c>
      <c r="X47" s="84">
        <f>IFERROR(__xludf.DUMMYFUNCTION("""COMPUTED_VALUE"""),46100.62058927084)</f>
        <v>46100.62059</v>
      </c>
      <c r="Y47" s="76">
        <f t="shared" si="5"/>
        <v>0.01274406249</v>
      </c>
      <c r="AK47" s="232"/>
      <c r="AL47" s="233"/>
      <c r="AM47" s="173"/>
    </row>
    <row r="48">
      <c r="A48" s="76">
        <f>IFERROR(__xludf.DUMMYFUNCTION("""COMPUTED_VALUE"""),5009.0)</f>
        <v>5009</v>
      </c>
      <c r="B48" s="232">
        <f>IFERROR(__xludf.DUMMYFUNCTION("""COMPUTED_VALUE"""),46099.48402777778)</f>
        <v>46099.48403</v>
      </c>
      <c r="C48" s="84">
        <f>IFERROR(__xludf.DUMMYFUNCTION("""COMPUTED_VALUE"""),46098.78936082176)</f>
        <v>46098.78936</v>
      </c>
      <c r="D48" s="173">
        <f t="shared" si="1"/>
        <v>0.694666956</v>
      </c>
      <c r="G48" s="76">
        <f>IFERROR(__xludf.DUMMYFUNCTION("""COMPUTED_VALUE"""),5009.0)</f>
        <v>5009</v>
      </c>
      <c r="H48" s="232">
        <f>IFERROR(__xludf.DUMMYFUNCTION("""COMPUTED_VALUE"""),46099.49097222222)</f>
        <v>46099.49097</v>
      </c>
      <c r="I48" s="84">
        <f>IFERROR(__xludf.DUMMYFUNCTION("""COMPUTED_VALUE"""),46098.78975244213)</f>
        <v>46098.78975</v>
      </c>
      <c r="J48" s="76">
        <f t="shared" si="2"/>
        <v>0.7012197801</v>
      </c>
      <c r="L48" s="76">
        <f>IFERROR(__xludf.DUMMYFUNCTION("""COMPUTED_VALUE"""),5009.0)</f>
        <v>5009</v>
      </c>
      <c r="M48" s="232">
        <f>IFERROR(__xludf.DUMMYFUNCTION("""COMPUTED_VALUE"""),46099.595138888886)</f>
        <v>46099.59514</v>
      </c>
      <c r="N48" s="84">
        <f>IFERROR(__xludf.DUMMYFUNCTION("""COMPUTED_VALUE"""),46099.57079861111)</f>
        <v>46099.5708</v>
      </c>
      <c r="O48" s="76">
        <f t="shared" si="3"/>
        <v>0.02434027778</v>
      </c>
      <c r="Q48" s="76">
        <f>IFERROR(__xludf.DUMMYFUNCTION("""COMPUTED_VALUE"""),5004.0)</f>
        <v>5004</v>
      </c>
      <c r="R48" s="232">
        <f>IFERROR(__xludf.DUMMYFUNCTION("""COMPUTED_VALUE"""),46098.79513888888)</f>
        <v>46098.79514</v>
      </c>
      <c r="S48" s="84">
        <f>IFERROR(__xludf.DUMMYFUNCTION("""COMPUTED_VALUE"""),46097.7616754051)</f>
        <v>46097.76168</v>
      </c>
      <c r="T48" s="76">
        <f t="shared" si="4"/>
        <v>1.033463484</v>
      </c>
      <c r="V48" s="76">
        <f>IFERROR(__xludf.DUMMYFUNCTION("""COMPUTED_VALUE"""),5009.0)</f>
        <v>5009</v>
      </c>
      <c r="W48" s="232">
        <f>IFERROR(__xludf.DUMMYFUNCTION("""COMPUTED_VALUE"""),46100.63680555556)</f>
        <v>46100.63681</v>
      </c>
      <c r="X48" s="84">
        <f>IFERROR(__xludf.DUMMYFUNCTION("""COMPUTED_VALUE"""),46100.46363236111)</f>
        <v>46100.46363</v>
      </c>
      <c r="Y48" s="76">
        <f t="shared" si="5"/>
        <v>0.1731731944</v>
      </c>
      <c r="AK48" s="232"/>
      <c r="AL48" s="233"/>
      <c r="AM48" s="173"/>
    </row>
    <row r="49">
      <c r="A49" s="76">
        <f>IFERROR(__xludf.DUMMYFUNCTION("""COMPUTED_VALUE"""),5010.0)</f>
        <v>5010</v>
      </c>
      <c r="B49" s="232">
        <f>IFERROR(__xludf.DUMMYFUNCTION("""COMPUTED_VALUE"""),46099.48611111112)</f>
        <v>46099.48611</v>
      </c>
      <c r="C49" s="84">
        <f>IFERROR(__xludf.DUMMYFUNCTION("""COMPUTED_VALUE"""),46098.789397546294)</f>
        <v>46098.7894</v>
      </c>
      <c r="D49" s="173">
        <f t="shared" si="1"/>
        <v>0.6967135648</v>
      </c>
      <c r="G49" s="76">
        <f>IFERROR(__xludf.DUMMYFUNCTION("""COMPUTED_VALUE"""),5010.0)</f>
        <v>5010</v>
      </c>
      <c r="H49" s="232">
        <f>IFERROR(__xludf.DUMMYFUNCTION("""COMPUTED_VALUE"""),46099.49305555556)</f>
        <v>46099.49306</v>
      </c>
      <c r="I49" s="84">
        <f>IFERROR(__xludf.DUMMYFUNCTION("""COMPUTED_VALUE"""),46098.789777557875)</f>
        <v>46098.78978</v>
      </c>
      <c r="J49" s="76">
        <f t="shared" si="2"/>
        <v>0.7032779977</v>
      </c>
      <c r="L49" s="76">
        <f>IFERROR(__xludf.DUMMYFUNCTION("""COMPUTED_VALUE"""),5010.0)</f>
        <v>5010</v>
      </c>
      <c r="M49" s="232">
        <f>IFERROR(__xludf.DUMMYFUNCTION("""COMPUTED_VALUE"""),46099.597222222226)</f>
        <v>46099.59722</v>
      </c>
      <c r="N49" s="84">
        <f>IFERROR(__xludf.DUMMYFUNCTION("""COMPUTED_VALUE"""),46099.57082175926)</f>
        <v>46099.57082</v>
      </c>
      <c r="O49" s="76">
        <f t="shared" si="3"/>
        <v>0.02640046296</v>
      </c>
      <c r="Q49" s="76">
        <f>IFERROR(__xludf.DUMMYFUNCTION("""COMPUTED_VALUE"""),5005.0)</f>
        <v>5005</v>
      </c>
      <c r="R49" s="232">
        <f>IFERROR(__xludf.DUMMYFUNCTION("""COMPUTED_VALUE"""),46099.49791666667)</f>
        <v>46099.49792</v>
      </c>
      <c r="S49" s="84">
        <f>IFERROR(__xludf.DUMMYFUNCTION("""COMPUTED_VALUE"""),46097.761622418984)</f>
        <v>46097.76162</v>
      </c>
      <c r="T49" s="76">
        <f t="shared" si="4"/>
        <v>1.736294248</v>
      </c>
      <c r="V49" s="76">
        <f>IFERROR(__xludf.DUMMYFUNCTION("""COMPUTED_VALUE"""),5010.0)</f>
        <v>5010</v>
      </c>
      <c r="W49" s="232">
        <f>IFERROR(__xludf.DUMMYFUNCTION("""COMPUTED_VALUE"""),46100.63888888889)</f>
        <v>46100.63889</v>
      </c>
      <c r="X49" s="84">
        <f>IFERROR(__xludf.DUMMYFUNCTION("""COMPUTED_VALUE"""),46099.81148747685)</f>
        <v>46099.81149</v>
      </c>
      <c r="Y49" s="76">
        <f t="shared" si="5"/>
        <v>0.827401412</v>
      </c>
      <c r="AK49" s="232"/>
      <c r="AL49" s="233"/>
      <c r="AM49" s="173"/>
    </row>
    <row r="50">
      <c r="A50" s="76">
        <f>IFERROR(__xludf.DUMMYFUNCTION("""COMPUTED_VALUE"""),5011.0)</f>
        <v>5011</v>
      </c>
      <c r="B50" s="232">
        <f>IFERROR(__xludf.DUMMYFUNCTION("""COMPUTED_VALUE"""),46099.629871342586)</f>
        <v>46099.62987</v>
      </c>
      <c r="C50" s="84">
        <f>IFERROR(__xludf.DUMMYFUNCTION("""COMPUTED_VALUE"""),46099.487293680555)</f>
        <v>46099.48729</v>
      </c>
      <c r="D50" s="173">
        <f t="shared" si="1"/>
        <v>0.142577662</v>
      </c>
      <c r="G50" s="76">
        <f>IFERROR(__xludf.DUMMYFUNCTION("""COMPUTED_VALUE"""),5011.0)</f>
        <v>5011</v>
      </c>
      <c r="H50" s="232">
        <f>IFERROR(__xludf.DUMMYFUNCTION("""COMPUTED_VALUE"""),46099.63681578703)</f>
        <v>46099.63682</v>
      </c>
      <c r="I50" s="84">
        <f>IFERROR(__xludf.DUMMYFUNCTION("""COMPUTED_VALUE"""),46099.487348449074)</f>
        <v>46099.48735</v>
      </c>
      <c r="J50" s="76">
        <f t="shared" si="2"/>
        <v>0.149467338</v>
      </c>
      <c r="L50" s="76">
        <f>IFERROR(__xludf.DUMMYFUNCTION("""COMPUTED_VALUE"""),5011.0)</f>
        <v>5011</v>
      </c>
      <c r="M50" s="232">
        <f>IFERROR(__xludf.DUMMYFUNCTION("""COMPUTED_VALUE"""),46099.740982453695)</f>
        <v>46099.74098</v>
      </c>
      <c r="N50" s="84">
        <f>IFERROR(__xludf.DUMMYFUNCTION("""COMPUTED_VALUE"""),46099.487370243056)</f>
        <v>46099.48737</v>
      </c>
      <c r="O50" s="76">
        <f t="shared" si="3"/>
        <v>0.2536122106</v>
      </c>
      <c r="Q50" s="76">
        <f>IFERROR(__xludf.DUMMYFUNCTION("""COMPUTED_VALUE"""),5006.0)</f>
        <v>5006</v>
      </c>
      <c r="R50" s="232">
        <f>IFERROR(__xludf.DUMMYFUNCTION("""COMPUTED_VALUE"""),46100.58819444445)</f>
        <v>46100.58819</v>
      </c>
      <c r="S50" s="84">
        <f>IFERROR(__xludf.DUMMYFUNCTION("""COMPUTED_VALUE"""),46099.50878576389)</f>
        <v>46099.50879</v>
      </c>
      <c r="T50" s="76">
        <f t="shared" si="4"/>
        <v>1.079408681</v>
      </c>
      <c r="V50" s="76">
        <f>IFERROR(__xludf.DUMMYFUNCTION("""COMPUTED_VALUE"""),5011.0)</f>
        <v>5011</v>
      </c>
      <c r="W50" s="232">
        <f>IFERROR(__xludf.DUMMYFUNCTION("""COMPUTED_VALUE"""),46100.782638888886)</f>
        <v>46100.78264</v>
      </c>
      <c r="X50" s="84">
        <f>IFERROR(__xludf.DUMMYFUNCTION("""COMPUTED_VALUE"""),46099.77006976852)</f>
        <v>46099.77007</v>
      </c>
      <c r="Y50" s="76">
        <f t="shared" si="5"/>
        <v>1.01256912</v>
      </c>
      <c r="AK50" s="232"/>
      <c r="AL50" s="233"/>
      <c r="AM50" s="173"/>
    </row>
    <row r="51">
      <c r="A51" s="76">
        <f>IFERROR(__xludf.DUMMYFUNCTION("""COMPUTED_VALUE"""),5012.0)</f>
        <v>5012</v>
      </c>
      <c r="B51" s="232">
        <f>IFERROR(__xludf.DUMMYFUNCTION("""COMPUTED_VALUE"""),46100.64092849537)</f>
        <v>46100.64093</v>
      </c>
      <c r="C51" s="84">
        <f>IFERROR(__xludf.DUMMYFUNCTION("""COMPUTED_VALUE"""),46100.61334966435)</f>
        <v>46100.61335</v>
      </c>
      <c r="D51" s="173">
        <f t="shared" si="1"/>
        <v>0.02757883102</v>
      </c>
      <c r="G51" s="76">
        <f>IFERROR(__xludf.DUMMYFUNCTION("""COMPUTED_VALUE"""),5012.0)</f>
        <v>5012</v>
      </c>
      <c r="H51" s="232">
        <f>IFERROR(__xludf.DUMMYFUNCTION("""COMPUTED_VALUE"""),46100.647872939815)</f>
        <v>46100.64787</v>
      </c>
      <c r="I51" s="84">
        <f>IFERROR(__xludf.DUMMYFUNCTION("""COMPUTED_VALUE"""),46100.61345309028)</f>
        <v>46100.61345</v>
      </c>
      <c r="J51" s="76">
        <f t="shared" si="2"/>
        <v>0.03441984954</v>
      </c>
      <c r="L51" s="76">
        <f>IFERROR(__xludf.DUMMYFUNCTION("""COMPUTED_VALUE"""),5012.0)</f>
        <v>5012</v>
      </c>
      <c r="M51" s="232">
        <f>IFERROR(__xludf.DUMMYFUNCTION("""COMPUTED_VALUE"""),46100.75203960648)</f>
        <v>46100.75204</v>
      </c>
      <c r="N51" s="84">
        <f>IFERROR(__xludf.DUMMYFUNCTION("""COMPUTED_VALUE"""),46100.61351962963)</f>
        <v>46100.61352</v>
      </c>
      <c r="O51" s="76">
        <f t="shared" si="3"/>
        <v>0.1385199768</v>
      </c>
      <c r="Q51" s="76">
        <f>IFERROR(__xludf.DUMMYFUNCTION("""COMPUTED_VALUE"""),5007.0)</f>
        <v>5007</v>
      </c>
      <c r="R51" s="232">
        <f>IFERROR(__xludf.DUMMYFUNCTION("""COMPUTED_VALUE"""),46100.589583333334)</f>
        <v>46100.58958</v>
      </c>
      <c r="S51" s="84">
        <f>IFERROR(__xludf.DUMMYFUNCTION("""COMPUTED_VALUE"""),46099.61364273148)</f>
        <v>46099.61364</v>
      </c>
      <c r="T51" s="76">
        <f t="shared" si="4"/>
        <v>0.9759406019</v>
      </c>
      <c r="V51" s="76">
        <f>IFERROR(__xludf.DUMMYFUNCTION("""COMPUTED_VALUE"""),5012.0)</f>
        <v>5012</v>
      </c>
      <c r="W51" s="232">
        <f>IFERROR(__xludf.DUMMYFUNCTION("""COMPUTED_VALUE"""),46101.79305555555)</f>
        <v>46101.79306</v>
      </c>
      <c r="X51" s="84">
        <f>IFERROR(__xludf.DUMMYFUNCTION("""COMPUTED_VALUE"""),46100.77246871528)</f>
        <v>46100.77247</v>
      </c>
      <c r="Y51" s="76">
        <f t="shared" si="5"/>
        <v>1.02058684</v>
      </c>
      <c r="AK51" s="232"/>
      <c r="AL51" s="233"/>
      <c r="AM51" s="173"/>
    </row>
    <row r="52">
      <c r="A52" s="76">
        <f>IFERROR(__xludf.DUMMYFUNCTION("""COMPUTED_VALUE"""),5013.0)</f>
        <v>5013</v>
      </c>
      <c r="B52" s="232">
        <f>IFERROR(__xludf.DUMMYFUNCTION("""COMPUTED_VALUE"""),46100.80000700231)</f>
        <v>46100.80001</v>
      </c>
      <c r="C52" s="84">
        <f>IFERROR(__xludf.DUMMYFUNCTION("""COMPUTED_VALUE"""),46100.64535309028)</f>
        <v>46100.64535</v>
      </c>
      <c r="D52" s="173">
        <f t="shared" si="1"/>
        <v>0.154653912</v>
      </c>
      <c r="G52" s="76">
        <f>IFERROR(__xludf.DUMMYFUNCTION("""COMPUTED_VALUE"""),5013.0)</f>
        <v>5013</v>
      </c>
      <c r="H52" s="232">
        <f>IFERROR(__xludf.DUMMYFUNCTION("""COMPUTED_VALUE"""),46100.80695144676)</f>
        <v>46100.80695</v>
      </c>
      <c r="I52" s="84">
        <f>IFERROR(__xludf.DUMMYFUNCTION("""COMPUTED_VALUE"""),46100.6455369676)</f>
        <v>46100.64554</v>
      </c>
      <c r="J52" s="76">
        <f t="shared" si="2"/>
        <v>0.1614144792</v>
      </c>
      <c r="L52" s="76">
        <f>IFERROR(__xludf.DUMMYFUNCTION("""COMPUTED_VALUE"""),5013.0)</f>
        <v>5013</v>
      </c>
      <c r="M52" s="232">
        <f>IFERROR(__xludf.DUMMYFUNCTION("""COMPUTED_VALUE"""),46101.47361111111)</f>
        <v>46101.47361</v>
      </c>
      <c r="N52" s="84">
        <f>IFERROR(__xludf.DUMMYFUNCTION("""COMPUTED_VALUE"""),46100.64561894676)</f>
        <v>46100.64562</v>
      </c>
      <c r="O52" s="76">
        <f t="shared" si="3"/>
        <v>0.8279921644</v>
      </c>
      <c r="Q52" s="76">
        <f>IFERROR(__xludf.DUMMYFUNCTION("""COMPUTED_VALUE"""),5008.0)</f>
        <v>5008</v>
      </c>
      <c r="R52" s="232">
        <f>IFERROR(__xludf.DUMMYFUNCTION("""COMPUTED_VALUE"""),46100.59166666667)</f>
        <v>46100.59167</v>
      </c>
      <c r="S52" s="84">
        <f>IFERROR(__xludf.DUMMYFUNCTION("""COMPUTED_VALUE"""),46100.46376179398)</f>
        <v>46100.46376</v>
      </c>
      <c r="T52" s="76">
        <f t="shared" si="4"/>
        <v>0.1279048727</v>
      </c>
      <c r="V52" s="76">
        <f>IFERROR(__xludf.DUMMYFUNCTION("""COMPUTED_VALUE"""),5013.0)</f>
        <v>5013</v>
      </c>
      <c r="W52" s="232">
        <f>IFERROR(__xludf.DUMMYFUNCTION("""COMPUTED_VALUE"""),46104.51527777778)</f>
        <v>46104.51528</v>
      </c>
      <c r="X52" s="84">
        <f>IFERROR(__xludf.DUMMYFUNCTION("""COMPUTED_VALUE"""),46100.718668229165)</f>
        <v>46100.71867</v>
      </c>
      <c r="Y52" s="76">
        <f t="shared" si="5"/>
        <v>3.796609549</v>
      </c>
      <c r="AK52" s="232"/>
      <c r="AL52" s="233"/>
      <c r="AM52" s="173"/>
    </row>
    <row r="53">
      <c r="A53" s="76">
        <f>IFERROR(__xludf.DUMMYFUNCTION("""COMPUTED_VALUE"""),5014.0)</f>
        <v>5014</v>
      </c>
      <c r="B53" s="232">
        <f>IFERROR(__xludf.DUMMYFUNCTION("""COMPUTED_VALUE"""),46100.46527777778)</f>
        <v>46100.46528</v>
      </c>
      <c r="C53" s="84">
        <f>IFERROR(__xludf.DUMMYFUNCTION("""COMPUTED_VALUE"""),46100.459386574075)</f>
        <v>46100.45939</v>
      </c>
      <c r="D53" s="173">
        <f t="shared" si="1"/>
        <v>0.005891203706</v>
      </c>
      <c r="G53" s="76">
        <f>IFERROR(__xludf.DUMMYFUNCTION("""COMPUTED_VALUE"""),5014.0)</f>
        <v>5014</v>
      </c>
      <c r="H53" s="232">
        <f>IFERROR(__xludf.DUMMYFUNCTION("""COMPUTED_VALUE"""),46100.472222222226)</f>
        <v>46100.47222</v>
      </c>
      <c r="I53" s="84">
        <f>IFERROR(__xludf.DUMMYFUNCTION("""COMPUTED_VALUE"""),46100.77139840278)</f>
        <v>46100.7714</v>
      </c>
      <c r="J53" s="76">
        <f t="shared" si="2"/>
        <v>-0.2991761806</v>
      </c>
      <c r="L53" s="76">
        <f>IFERROR(__xludf.DUMMYFUNCTION("""COMPUTED_VALUE"""),5014.0)</f>
        <v>5014</v>
      </c>
      <c r="M53" s="232">
        <f>IFERROR(__xludf.DUMMYFUNCTION("""COMPUTED_VALUE"""),46100.57638888889)</f>
        <v>46100.57639</v>
      </c>
      <c r="N53" s="84">
        <f>IFERROR(__xludf.DUMMYFUNCTION("""COMPUTED_VALUE"""),46100.77142640046)</f>
        <v>46100.77143</v>
      </c>
      <c r="O53" s="76">
        <f t="shared" si="3"/>
        <v>-0.1950375116</v>
      </c>
      <c r="Q53" s="76">
        <f>IFERROR(__xludf.DUMMYFUNCTION("""COMPUTED_VALUE"""),5009.0)</f>
        <v>5009</v>
      </c>
      <c r="R53" s="232">
        <f>IFERROR(__xludf.DUMMYFUNCTION("""COMPUTED_VALUE"""),46100.59513888889)</f>
        <v>46100.59514</v>
      </c>
      <c r="S53" s="84">
        <f>IFERROR(__xludf.DUMMYFUNCTION("""COMPUTED_VALUE"""),46100.46360798611)</f>
        <v>46100.46361</v>
      </c>
      <c r="T53" s="76">
        <f t="shared" si="4"/>
        <v>0.1315309028</v>
      </c>
      <c r="V53" s="76">
        <f>IFERROR(__xludf.DUMMYFUNCTION("""COMPUTED_VALUE"""),5014.0)</f>
        <v>5014</v>
      </c>
      <c r="W53" s="232">
        <f>IFERROR(__xludf.DUMMYFUNCTION("""COMPUTED_VALUE"""),46104.61805555555)</f>
        <v>46104.61806</v>
      </c>
      <c r="X53" s="84">
        <f>IFERROR(__xludf.DUMMYFUNCTION("""COMPUTED_VALUE"""),46104.650015266205)</f>
        <v>46104.65002</v>
      </c>
      <c r="Y53" s="76">
        <f t="shared" si="5"/>
        <v>-0.03195971066</v>
      </c>
      <c r="AK53" s="232"/>
      <c r="AL53" s="233"/>
      <c r="AM53" s="173"/>
    </row>
    <row r="54">
      <c r="A54" s="76">
        <f>IFERROR(__xludf.DUMMYFUNCTION("""COMPUTED_VALUE"""),5015.0)</f>
        <v>5015</v>
      </c>
      <c r="B54" s="232">
        <f>IFERROR(__xludf.DUMMYFUNCTION("""COMPUTED_VALUE"""),46101.798607060184)</f>
        <v>46101.79861</v>
      </c>
      <c r="C54" s="84">
        <f>IFERROR(__xludf.DUMMYFUNCTION("""COMPUTED_VALUE"""),46101.63759349537)</f>
        <v>46101.63759</v>
      </c>
      <c r="D54" s="173">
        <f t="shared" si="1"/>
        <v>0.1610135648</v>
      </c>
      <c r="G54" s="76">
        <f>IFERROR(__xludf.DUMMYFUNCTION("""COMPUTED_VALUE"""),5015.0)</f>
        <v>5015</v>
      </c>
      <c r="H54" s="232">
        <f>IFERROR(__xludf.DUMMYFUNCTION("""COMPUTED_VALUE"""),46102.55555150463)</f>
        <v>46102.55555</v>
      </c>
      <c r="I54" s="232">
        <f>IFERROR(__xludf.DUMMYFUNCTION("""COMPUTED_VALUE"""),46101.72222222222)</f>
        <v>46101.72222</v>
      </c>
      <c r="J54" s="76">
        <f t="shared" si="2"/>
        <v>0.8333292824</v>
      </c>
      <c r="L54" s="76">
        <f>IFERROR(__xludf.DUMMYFUNCTION("""COMPUTED_VALUE"""),5015.0)</f>
        <v>5015</v>
      </c>
      <c r="M54" s="232">
        <f>IFERROR(__xludf.DUMMYFUNCTION("""COMPUTED_VALUE"""),46104.65971817129)</f>
        <v>46104.65972</v>
      </c>
      <c r="N54" s="84">
        <f>IFERROR(__xludf.DUMMYFUNCTION("""COMPUTED_VALUE"""),46104.51040648148)</f>
        <v>46104.51041</v>
      </c>
      <c r="O54" s="76">
        <f t="shared" si="3"/>
        <v>0.1493116898</v>
      </c>
      <c r="Q54" s="76">
        <f>IFERROR(__xludf.DUMMYFUNCTION("""COMPUTED_VALUE"""),5010.0)</f>
        <v>5010</v>
      </c>
      <c r="R54" s="232">
        <f>IFERROR(__xludf.DUMMYFUNCTION("""COMPUTED_VALUE"""),46100.597222222226)</f>
        <v>46100.59722</v>
      </c>
      <c r="S54" s="84">
        <f>IFERROR(__xludf.DUMMYFUNCTION("""COMPUTED_VALUE"""),46099.81146902777)</f>
        <v>46099.81147</v>
      </c>
      <c r="T54" s="76">
        <f t="shared" si="4"/>
        <v>0.7857531945</v>
      </c>
      <c r="V54" s="76">
        <f>IFERROR(__xludf.DUMMYFUNCTION("""COMPUTED_VALUE"""),5015.0)</f>
        <v>5015</v>
      </c>
      <c r="W54" s="232">
        <f>IFERROR(__xludf.DUMMYFUNCTION("""COMPUTED_VALUE"""),46105.70138888888)</f>
        <v>46105.70139</v>
      </c>
      <c r="X54" s="84">
        <f>IFERROR(__xludf.DUMMYFUNCTION("""COMPUTED_VALUE"""),46104.650393055555)</f>
        <v>46104.65039</v>
      </c>
      <c r="Y54" s="76">
        <f t="shared" si="5"/>
        <v>1.050995833</v>
      </c>
      <c r="AK54" s="232"/>
      <c r="AL54" s="233"/>
      <c r="AM54" s="173"/>
    </row>
    <row r="55">
      <c r="A55" s="76">
        <f>IFERROR(__xludf.DUMMYFUNCTION("""COMPUTED_VALUE"""),5016.0)</f>
        <v>5016</v>
      </c>
      <c r="B55" s="232">
        <f>IFERROR(__xludf.DUMMYFUNCTION("""COMPUTED_VALUE"""),46104.48402777778)</f>
        <v>46104.48403</v>
      </c>
      <c r="C55" s="84">
        <f>IFERROR(__xludf.DUMMYFUNCTION("""COMPUTED_VALUE"""),46101.73600091435)</f>
        <v>46101.736</v>
      </c>
      <c r="D55" s="173">
        <f t="shared" si="1"/>
        <v>2.748026863</v>
      </c>
      <c r="G55" s="76">
        <f>IFERROR(__xludf.DUMMYFUNCTION("""COMPUTED_VALUE"""),5016.0)</f>
        <v>5016</v>
      </c>
      <c r="H55" s="232">
        <f>IFERROR(__xludf.DUMMYFUNCTION("""COMPUTED_VALUE"""),46104.49097222222)</f>
        <v>46104.49097</v>
      </c>
      <c r="I55" s="84">
        <f>IFERROR(__xludf.DUMMYFUNCTION("""COMPUTED_VALUE"""),46101.7361828588)</f>
        <v>46101.73618</v>
      </c>
      <c r="J55" s="76">
        <f t="shared" si="2"/>
        <v>2.754789363</v>
      </c>
      <c r="L55" s="76">
        <f>IFERROR(__xludf.DUMMYFUNCTION("""COMPUTED_VALUE"""),5016.0)</f>
        <v>5016</v>
      </c>
      <c r="M55" s="232">
        <f>IFERROR(__xludf.DUMMYFUNCTION("""COMPUTED_VALUE"""),46104.595138888886)</f>
        <v>46104.59514</v>
      </c>
      <c r="N55" s="84">
        <f>IFERROR(__xludf.DUMMYFUNCTION("""COMPUTED_VALUE"""),46101.73623275463)</f>
        <v>46101.73623</v>
      </c>
      <c r="O55" s="76">
        <f t="shared" si="3"/>
        <v>2.858906134</v>
      </c>
      <c r="Q55" s="76">
        <f>IFERROR(__xludf.DUMMYFUNCTION("""COMPUTED_VALUE"""),5011.0)</f>
        <v>5011</v>
      </c>
      <c r="R55" s="232">
        <f>IFERROR(__xludf.DUMMYFUNCTION("""COMPUTED_VALUE"""),46100.74097222222)</f>
        <v>46100.74097</v>
      </c>
      <c r="S55" s="84">
        <f>IFERROR(__xludf.DUMMYFUNCTION("""COMPUTED_VALUE"""),46099.48740524305)</f>
        <v>46099.48741</v>
      </c>
      <c r="T55" s="76">
        <f t="shared" si="4"/>
        <v>1.253566979</v>
      </c>
      <c r="V55" s="76">
        <f>IFERROR(__xludf.DUMMYFUNCTION("""COMPUTED_VALUE"""),5016.0)</f>
        <v>5016</v>
      </c>
      <c r="W55" s="232">
        <f>IFERROR(__xludf.DUMMYFUNCTION("""COMPUTED_VALUE"""),46105.63680555556)</f>
        <v>46105.63681</v>
      </c>
      <c r="X55" s="84">
        <f>IFERROR(__xludf.DUMMYFUNCTION("""COMPUTED_VALUE"""),46105.45033396991)</f>
        <v>46105.45033</v>
      </c>
      <c r="Y55" s="76">
        <f t="shared" si="5"/>
        <v>0.1864715856</v>
      </c>
      <c r="AK55" s="232"/>
      <c r="AL55" s="233"/>
      <c r="AM55" s="173"/>
    </row>
    <row r="56">
      <c r="A56" s="76">
        <f>IFERROR(__xludf.DUMMYFUNCTION("""COMPUTED_VALUE"""),5017.0)</f>
        <v>5017</v>
      </c>
      <c r="B56" s="232">
        <f>IFERROR(__xludf.DUMMYFUNCTION("""COMPUTED_VALUE"""),46104.51666666667)</f>
        <v>46104.51667</v>
      </c>
      <c r="C56" s="84">
        <f>IFERROR(__xludf.DUMMYFUNCTION("""COMPUTED_VALUE"""),46101.77480398148)</f>
        <v>46101.7748</v>
      </c>
      <c r="D56" s="173">
        <f t="shared" si="1"/>
        <v>2.741862685</v>
      </c>
      <c r="G56" s="76">
        <f>IFERROR(__xludf.DUMMYFUNCTION("""COMPUTED_VALUE"""),5017.0)</f>
        <v>5017</v>
      </c>
      <c r="H56" s="232">
        <f>IFERROR(__xludf.DUMMYFUNCTION("""COMPUTED_VALUE"""),46104.523611111115)</f>
        <v>46104.52361</v>
      </c>
      <c r="I56" s="84">
        <f>IFERROR(__xludf.DUMMYFUNCTION("""COMPUTED_VALUE"""),46101.77494158565)</f>
        <v>46101.77494</v>
      </c>
      <c r="J56" s="76">
        <f t="shared" si="2"/>
        <v>2.748669525</v>
      </c>
      <c r="L56" s="76">
        <f>IFERROR(__xludf.DUMMYFUNCTION("""COMPUTED_VALUE"""),5017.0)</f>
        <v>5017</v>
      </c>
      <c r="M56" s="232">
        <f>IFERROR(__xludf.DUMMYFUNCTION("""COMPUTED_VALUE"""),46104.62777777778)</f>
        <v>46104.62778</v>
      </c>
      <c r="N56" s="84">
        <f>IFERROR(__xludf.DUMMYFUNCTION("""COMPUTED_VALUE"""),46101.77499133102)</f>
        <v>46101.77499</v>
      </c>
      <c r="O56" s="76">
        <f t="shared" si="3"/>
        <v>2.852786447</v>
      </c>
      <c r="Q56" s="76">
        <f>IFERROR(__xludf.DUMMYFUNCTION("""COMPUTED_VALUE"""),5012.0)</f>
        <v>5012</v>
      </c>
      <c r="R56" s="232">
        <f>IFERROR(__xludf.DUMMYFUNCTION("""COMPUTED_VALUE"""),46101.751388888886)</f>
        <v>46101.75139</v>
      </c>
      <c r="S56" s="84">
        <f>IFERROR(__xludf.DUMMYFUNCTION("""COMPUTED_VALUE"""),46100.7723921412)</f>
        <v>46100.77239</v>
      </c>
      <c r="T56" s="76">
        <f t="shared" si="4"/>
        <v>0.9789967477</v>
      </c>
      <c r="V56" s="76">
        <f>IFERROR(__xludf.DUMMYFUNCTION("""COMPUTED_VALUE"""),5017.0)</f>
        <v>5017</v>
      </c>
      <c r="W56" s="232">
        <f>IFERROR(__xludf.DUMMYFUNCTION("""COMPUTED_VALUE"""),46105.669444444444)</f>
        <v>46105.66944</v>
      </c>
      <c r="X56" s="84">
        <f>IFERROR(__xludf.DUMMYFUNCTION("""COMPUTED_VALUE"""),46105.450345300924)</f>
        <v>46105.45035</v>
      </c>
      <c r="Y56" s="76">
        <f t="shared" si="5"/>
        <v>0.2190991435</v>
      </c>
      <c r="AK56" s="232"/>
      <c r="AL56" s="233"/>
      <c r="AM56" s="173"/>
    </row>
    <row r="57">
      <c r="A57" s="76">
        <f>IFERROR(__xludf.DUMMYFUNCTION("""COMPUTED_VALUE"""),5018.0)</f>
        <v>5018</v>
      </c>
      <c r="B57" s="232">
        <f>IFERROR(__xludf.DUMMYFUNCTION("""COMPUTED_VALUE"""),46104.807901099535)</f>
        <v>46104.8079</v>
      </c>
      <c r="C57" s="84">
        <f>IFERROR(__xludf.DUMMYFUNCTION("""COMPUTED_VALUE"""),46104.65289509259)</f>
        <v>46104.6529</v>
      </c>
      <c r="D57" s="173">
        <f t="shared" si="1"/>
        <v>0.1550060069</v>
      </c>
      <c r="G57" s="76">
        <f>IFERROR(__xludf.DUMMYFUNCTION("""COMPUTED_VALUE"""),5018.0)</f>
        <v>5018</v>
      </c>
      <c r="H57" s="232">
        <f>IFERROR(__xludf.DUMMYFUNCTION("""COMPUTED_VALUE"""),46104.81484554398)</f>
        <v>46104.81485</v>
      </c>
      <c r="I57" s="84">
        <f>IFERROR(__xludf.DUMMYFUNCTION("""COMPUTED_VALUE"""),46104.65303994213)</f>
        <v>46104.65304</v>
      </c>
      <c r="J57" s="76">
        <f t="shared" si="2"/>
        <v>0.1618056018</v>
      </c>
      <c r="L57" s="76">
        <f>IFERROR(__xludf.DUMMYFUNCTION("""COMPUTED_VALUE"""),5018.0)</f>
        <v>5018</v>
      </c>
      <c r="M57" s="232">
        <f>IFERROR(__xludf.DUMMYFUNCTION("""COMPUTED_VALUE"""),46105.52291666667)</f>
        <v>46105.52292</v>
      </c>
      <c r="N57" s="84">
        <f>IFERROR(__xludf.DUMMYFUNCTION("""COMPUTED_VALUE"""),46104.68752009259)</f>
        <v>46104.68752</v>
      </c>
      <c r="O57" s="76">
        <f t="shared" si="3"/>
        <v>0.8353965741</v>
      </c>
      <c r="Q57" s="76">
        <f>IFERROR(__xludf.DUMMYFUNCTION("""COMPUTED_VALUE"""),5013.0)</f>
        <v>5013</v>
      </c>
      <c r="R57" s="232">
        <f>IFERROR(__xludf.DUMMYFUNCTION("""COMPUTED_VALUE"""),46104.47361111111)</f>
        <v>46104.47361</v>
      </c>
      <c r="S57" s="84">
        <f>IFERROR(__xludf.DUMMYFUNCTION("""COMPUTED_VALUE"""),46100.71864533565)</f>
        <v>46100.71865</v>
      </c>
      <c r="T57" s="76">
        <f t="shared" si="4"/>
        <v>3.754965775</v>
      </c>
      <c r="V57" s="76">
        <f>IFERROR(__xludf.DUMMYFUNCTION("""COMPUTED_VALUE"""),5018.0)</f>
        <v>5018</v>
      </c>
      <c r="W57" s="232">
        <f>IFERROR(__xludf.DUMMYFUNCTION("""COMPUTED_VALUE"""),46106.56458333333)</f>
        <v>46106.56458</v>
      </c>
      <c r="X57" s="84">
        <f>IFERROR(__xludf.DUMMYFUNCTION("""COMPUTED_VALUE"""),46104.73629197916)</f>
        <v>46104.73629</v>
      </c>
      <c r="Y57" s="76">
        <f t="shared" si="5"/>
        <v>1.828291354</v>
      </c>
      <c r="AK57" s="232"/>
      <c r="AL57" s="233"/>
      <c r="AM57" s="173"/>
    </row>
    <row r="58">
      <c r="A58" s="76">
        <f>IFERROR(__xludf.DUMMYFUNCTION("""COMPUTED_VALUE"""),5019.0)</f>
        <v>5019</v>
      </c>
      <c r="B58" s="232">
        <f>IFERROR(__xludf.DUMMYFUNCTION("""COMPUTED_VALUE"""),46104.829440960646)</f>
        <v>46104.82944</v>
      </c>
      <c r="C58" s="84">
        <f>IFERROR(__xludf.DUMMYFUNCTION("""COMPUTED_VALUE"""),46104.73405170139)</f>
        <v>46104.73405</v>
      </c>
      <c r="D58" s="173">
        <f t="shared" si="1"/>
        <v>0.09538925926</v>
      </c>
      <c r="G58" s="76">
        <f>IFERROR(__xludf.DUMMYFUNCTION("""COMPUTED_VALUE"""),5019.0)</f>
        <v>5019</v>
      </c>
      <c r="H58" s="232">
        <f>IFERROR(__xludf.DUMMYFUNCTION("""COMPUTED_VALUE"""),46105.45416666666)</f>
        <v>46105.45417</v>
      </c>
      <c r="I58" s="84">
        <f>IFERROR(__xludf.DUMMYFUNCTION("""COMPUTED_VALUE"""),46104.734779618055)</f>
        <v>46104.73478</v>
      </c>
      <c r="J58" s="76">
        <f t="shared" si="2"/>
        <v>0.7193870486</v>
      </c>
      <c r="L58" s="76">
        <f>IFERROR(__xludf.DUMMYFUNCTION("""COMPUTED_VALUE"""),5019.0)</f>
        <v>5019</v>
      </c>
      <c r="M58" s="232">
        <f>IFERROR(__xludf.DUMMYFUNCTION("""COMPUTED_VALUE"""),46105.55833333333)</f>
        <v>46105.55833</v>
      </c>
      <c r="N58" s="84">
        <f>IFERROR(__xludf.DUMMYFUNCTION("""COMPUTED_VALUE"""),46104.734985358795)</f>
        <v>46104.73499</v>
      </c>
      <c r="O58" s="76">
        <f t="shared" si="3"/>
        <v>0.8233479745</v>
      </c>
      <c r="Q58" s="76">
        <f>IFERROR(__xludf.DUMMYFUNCTION("""COMPUTED_VALUE"""),5014.0)</f>
        <v>5014</v>
      </c>
      <c r="R58" s="232">
        <f>IFERROR(__xludf.DUMMYFUNCTION("""COMPUTED_VALUE"""),46103.57638888888)</f>
        <v>46103.57639</v>
      </c>
      <c r="S58" s="84">
        <f>IFERROR(__xludf.DUMMYFUNCTION("""COMPUTED_VALUE"""),46100.772418900466)</f>
        <v>46100.77242</v>
      </c>
      <c r="T58" s="76">
        <f t="shared" si="4"/>
        <v>2.803969988</v>
      </c>
      <c r="V58" s="76">
        <f>IFERROR(__xludf.DUMMYFUNCTION("""COMPUTED_VALUE"""),5019.0)</f>
        <v>5019</v>
      </c>
      <c r="W58" s="232">
        <f>IFERROR(__xludf.DUMMYFUNCTION("""COMPUTED_VALUE"""),46106.6)</f>
        <v>46106.6</v>
      </c>
      <c r="X58" s="84">
        <f>IFERROR(__xludf.DUMMYFUNCTION("""COMPUTED_VALUE"""),46105.69602743056)</f>
        <v>46105.69603</v>
      </c>
      <c r="Y58" s="76">
        <f t="shared" si="5"/>
        <v>0.9039725694</v>
      </c>
      <c r="AK58" s="232"/>
      <c r="AL58" s="233"/>
      <c r="AM58" s="173"/>
    </row>
    <row r="59">
      <c r="A59" s="76">
        <f>IFERROR(__xludf.DUMMYFUNCTION("""COMPUTED_VALUE"""),5020.0)</f>
        <v>5020</v>
      </c>
      <c r="B59" s="232">
        <f>IFERROR(__xludf.DUMMYFUNCTION("""COMPUTED_VALUE"""),46105.46805555556)</f>
        <v>46105.46806</v>
      </c>
      <c r="C59" s="84">
        <f>IFERROR(__xludf.DUMMYFUNCTION("""COMPUTED_VALUE"""),46104.73405434028)</f>
        <v>46104.73405</v>
      </c>
      <c r="D59" s="173">
        <f t="shared" si="1"/>
        <v>0.7340012153</v>
      </c>
      <c r="G59" s="76">
        <f>IFERROR(__xludf.DUMMYFUNCTION("""COMPUTED_VALUE"""),5020.0)</f>
        <v>5020</v>
      </c>
      <c r="H59" s="232">
        <f>IFERROR(__xludf.DUMMYFUNCTION("""COMPUTED_VALUE"""),46105.475000000006)</f>
        <v>46105.475</v>
      </c>
      <c r="I59" s="84">
        <f>IFERROR(__xludf.DUMMYFUNCTION("""COMPUTED_VALUE"""),46104.734886412036)</f>
        <v>46104.73489</v>
      </c>
      <c r="J59" s="76">
        <f t="shared" si="2"/>
        <v>0.740113588</v>
      </c>
      <c r="L59" s="76">
        <f>IFERROR(__xludf.DUMMYFUNCTION("""COMPUTED_VALUE"""),5020.0)</f>
        <v>5020</v>
      </c>
      <c r="M59" s="232">
        <f>IFERROR(__xludf.DUMMYFUNCTION("""COMPUTED_VALUE"""),46105.57916666667)</f>
        <v>46105.57917</v>
      </c>
      <c r="N59" s="84">
        <f>IFERROR(__xludf.DUMMYFUNCTION("""COMPUTED_VALUE"""),46104.735006539355)</f>
        <v>46104.73501</v>
      </c>
      <c r="O59" s="76">
        <f t="shared" si="3"/>
        <v>0.8441601273</v>
      </c>
      <c r="Q59" s="76">
        <f>IFERROR(__xludf.DUMMYFUNCTION("""COMPUTED_VALUE"""),5015.0)</f>
        <v>5015</v>
      </c>
      <c r="R59" s="232">
        <f>IFERROR(__xludf.DUMMYFUNCTION("""COMPUTED_VALUE"""),46105.65972222222)</f>
        <v>46105.65972</v>
      </c>
      <c r="S59" s="84">
        <f>IFERROR(__xludf.DUMMYFUNCTION("""COMPUTED_VALUE"""),46104.65036753472)</f>
        <v>46104.65037</v>
      </c>
      <c r="T59" s="76">
        <f t="shared" si="4"/>
        <v>1.009354687</v>
      </c>
      <c r="V59" s="76">
        <f>IFERROR(__xludf.DUMMYFUNCTION("""COMPUTED_VALUE"""),5020.0)</f>
        <v>5020</v>
      </c>
      <c r="W59" s="232">
        <f>IFERROR(__xludf.DUMMYFUNCTION("""COMPUTED_VALUE"""),46106.62083333333)</f>
        <v>46106.62083</v>
      </c>
      <c r="X59" s="84">
        <f>IFERROR(__xludf.DUMMYFUNCTION("""COMPUTED_VALUE"""),46106.48459988426)</f>
        <v>46106.4846</v>
      </c>
      <c r="Y59" s="76">
        <f t="shared" si="5"/>
        <v>0.1362334491</v>
      </c>
      <c r="AK59" s="232"/>
      <c r="AL59" s="233"/>
      <c r="AM59" s="173"/>
    </row>
    <row r="60">
      <c r="A60" s="76">
        <f>IFERROR(__xludf.DUMMYFUNCTION("""COMPUTED_VALUE"""),5021.0)</f>
        <v>5021</v>
      </c>
      <c r="B60" s="232">
        <f>IFERROR(__xludf.DUMMYFUNCTION("""COMPUTED_VALUE"""),46106.44305555555)</f>
        <v>46106.44306</v>
      </c>
      <c r="C60" s="84">
        <f>IFERROR(__xludf.DUMMYFUNCTION("""COMPUTED_VALUE"""),46105.69577037037)</f>
        <v>46105.69577</v>
      </c>
      <c r="D60" s="173">
        <f t="shared" si="1"/>
        <v>0.7472851852</v>
      </c>
      <c r="G60" s="76">
        <f>IFERROR(__xludf.DUMMYFUNCTION("""COMPUTED_VALUE"""),5021.0)</f>
        <v>5021</v>
      </c>
      <c r="H60" s="232">
        <f>IFERROR(__xludf.DUMMYFUNCTION("""COMPUTED_VALUE"""),46106.45)</f>
        <v>46106.45</v>
      </c>
      <c r="I60" s="84">
        <f>IFERROR(__xludf.DUMMYFUNCTION("""COMPUTED_VALUE"""),46105.695837499996)</f>
        <v>46105.69584</v>
      </c>
      <c r="J60" s="76">
        <f t="shared" si="2"/>
        <v>0.7541625</v>
      </c>
      <c r="L60" s="76">
        <f>IFERROR(__xludf.DUMMYFUNCTION("""COMPUTED_VALUE"""),5021.0)</f>
        <v>5021</v>
      </c>
      <c r="M60" s="232">
        <f>IFERROR(__xludf.DUMMYFUNCTION("""COMPUTED_VALUE"""),46106.55416666666)</f>
        <v>46106.55417</v>
      </c>
      <c r="N60" s="84">
        <f>IFERROR(__xludf.DUMMYFUNCTION("""COMPUTED_VALUE"""),46105.77848018518)</f>
        <v>46105.77848</v>
      </c>
      <c r="O60" s="76">
        <f t="shared" si="3"/>
        <v>0.7756864815</v>
      </c>
      <c r="Q60" s="76">
        <f>IFERROR(__xludf.DUMMYFUNCTION("""COMPUTED_VALUE"""),5016.0)</f>
        <v>5016</v>
      </c>
      <c r="R60" s="232">
        <f>IFERROR(__xludf.DUMMYFUNCTION("""COMPUTED_VALUE"""),46105.59513888889)</f>
        <v>46105.59514</v>
      </c>
      <c r="S60" s="84">
        <f>IFERROR(__xludf.DUMMYFUNCTION("""COMPUTED_VALUE"""),46105.4502649537)</f>
        <v>46105.45026</v>
      </c>
      <c r="T60" s="76">
        <f t="shared" si="4"/>
        <v>0.1448739352</v>
      </c>
      <c r="V60" s="76">
        <f>IFERROR(__xludf.DUMMYFUNCTION("""COMPUTED_VALUE"""),5021.0)</f>
        <v>5021</v>
      </c>
      <c r="W60" s="232">
        <f>IFERROR(__xludf.DUMMYFUNCTION("""COMPUTED_VALUE"""),46107.595833333326)</f>
        <v>46107.59583</v>
      </c>
      <c r="X60" s="84">
        <f>IFERROR(__xludf.DUMMYFUNCTION("""COMPUTED_VALUE"""),46106.662378090274)</f>
        <v>46106.66238</v>
      </c>
      <c r="Y60" s="76">
        <f t="shared" si="5"/>
        <v>0.9334552431</v>
      </c>
      <c r="AK60" s="232"/>
      <c r="AL60" s="233"/>
      <c r="AM60" s="173"/>
    </row>
    <row r="61">
      <c r="A61" s="76">
        <f>IFERROR(__xludf.DUMMYFUNCTION("""COMPUTED_VALUE"""),5022.0)</f>
        <v>5022</v>
      </c>
      <c r="B61" s="232">
        <f>IFERROR(__xludf.DUMMYFUNCTION("""COMPUTED_VALUE"""),46106.62891695601)</f>
        <v>46106.62892</v>
      </c>
      <c r="C61" s="84">
        <f>IFERROR(__xludf.DUMMYFUNCTION("""COMPUTED_VALUE"""),46106.48441631944)</f>
        <v>46106.48442</v>
      </c>
      <c r="D61" s="173">
        <f t="shared" si="1"/>
        <v>0.1445006366</v>
      </c>
      <c r="G61" s="76">
        <f>IFERROR(__xludf.DUMMYFUNCTION("""COMPUTED_VALUE"""),5022.0)</f>
        <v>5022</v>
      </c>
      <c r="H61" s="232">
        <f>IFERROR(__xludf.DUMMYFUNCTION("""COMPUTED_VALUE"""),46106.63586140046)</f>
        <v>46106.63586</v>
      </c>
      <c r="I61" s="84">
        <f>IFERROR(__xludf.DUMMYFUNCTION("""COMPUTED_VALUE"""),46106.484578206015)</f>
        <v>46106.48458</v>
      </c>
      <c r="J61" s="76">
        <f t="shared" si="2"/>
        <v>0.1512831944</v>
      </c>
      <c r="L61" s="76">
        <f>IFERROR(__xludf.DUMMYFUNCTION("""COMPUTED_VALUE"""),5022.0)</f>
        <v>5022</v>
      </c>
      <c r="M61" s="232">
        <f>IFERROR(__xludf.DUMMYFUNCTION("""COMPUTED_VALUE"""),46106.74002806712)</f>
        <v>46106.74003</v>
      </c>
      <c r="N61" s="84">
        <f>IFERROR(__xludf.DUMMYFUNCTION("""COMPUTED_VALUE"""),46106.63626108796)</f>
        <v>46106.63626</v>
      </c>
      <c r="O61" s="76">
        <f t="shared" si="3"/>
        <v>0.1037669792</v>
      </c>
      <c r="Q61" s="76">
        <f>IFERROR(__xludf.DUMMYFUNCTION("""COMPUTED_VALUE"""),5017.0)</f>
        <v>5017</v>
      </c>
      <c r="R61" s="232">
        <f>IFERROR(__xludf.DUMMYFUNCTION("""COMPUTED_VALUE"""),46105.62777777778)</f>
        <v>46105.62778</v>
      </c>
      <c r="S61" s="84">
        <f>IFERROR(__xludf.DUMMYFUNCTION("""COMPUTED_VALUE"""),46104.68761165509)</f>
        <v>46104.68761</v>
      </c>
      <c r="T61" s="76">
        <f t="shared" si="4"/>
        <v>0.9401661227</v>
      </c>
      <c r="V61" s="76">
        <f>IFERROR(__xludf.DUMMYFUNCTION("""COMPUTED_VALUE"""),5022.0)</f>
        <v>5022</v>
      </c>
      <c r="W61" s="232">
        <f>IFERROR(__xludf.DUMMYFUNCTION("""COMPUTED_VALUE"""),46107.78125)</f>
        <v>46107.78125</v>
      </c>
      <c r="X61" s="84">
        <f>IFERROR(__xludf.DUMMYFUNCTION("""COMPUTED_VALUE"""),46106.59659706018)</f>
        <v>46106.5966</v>
      </c>
      <c r="Y61" s="76">
        <f t="shared" si="5"/>
        <v>1.18465294</v>
      </c>
      <c r="AK61" s="232"/>
      <c r="AL61" s="233"/>
      <c r="AM61" s="173"/>
    </row>
    <row r="62">
      <c r="A62" s="76">
        <f>IFERROR(__xludf.DUMMYFUNCTION("""COMPUTED_VALUE"""),5023.0)</f>
        <v>5023</v>
      </c>
      <c r="B62" s="232">
        <f>IFERROR(__xludf.DUMMYFUNCTION("""COMPUTED_VALUE"""),46106.79899238426)</f>
        <v>46106.79899</v>
      </c>
      <c r="C62" s="84">
        <f>IFERROR(__xludf.DUMMYFUNCTION("""COMPUTED_VALUE"""),46106.636062418984)</f>
        <v>46106.63606</v>
      </c>
      <c r="D62" s="173">
        <f t="shared" si="1"/>
        <v>0.1629299653</v>
      </c>
      <c r="G62" s="76">
        <f>IFERROR(__xludf.DUMMYFUNCTION("""COMPUTED_VALUE"""),5023.0)</f>
        <v>5023</v>
      </c>
      <c r="H62" s="232">
        <f>IFERROR(__xludf.DUMMYFUNCTION("""COMPUTED_VALUE"""),46106.80593682871)</f>
        <v>46106.80594</v>
      </c>
      <c r="I62" s="84">
        <f>IFERROR(__xludf.DUMMYFUNCTION("""COMPUTED_VALUE"""),46106.63613226852)</f>
        <v>46106.63613</v>
      </c>
      <c r="J62" s="76">
        <f t="shared" si="2"/>
        <v>0.1698045602</v>
      </c>
      <c r="L62" s="76">
        <f>IFERROR(__xludf.DUMMYFUNCTION("""COMPUTED_VALUE"""),5023.0)</f>
        <v>5023</v>
      </c>
      <c r="M62" s="232">
        <f>IFERROR(__xludf.DUMMYFUNCTION("""COMPUTED_VALUE"""),46107.472222222226)</f>
        <v>46107.47222</v>
      </c>
      <c r="N62" s="84">
        <f>IFERROR(__xludf.DUMMYFUNCTION("""COMPUTED_VALUE"""),46106.63626108796)</f>
        <v>46106.63626</v>
      </c>
      <c r="O62" s="76">
        <f t="shared" si="3"/>
        <v>0.8359611343</v>
      </c>
      <c r="Q62" s="76">
        <f>IFERROR(__xludf.DUMMYFUNCTION("""COMPUTED_VALUE"""),5018.0)</f>
        <v>5018</v>
      </c>
      <c r="R62" s="232">
        <f>IFERROR(__xludf.DUMMYFUNCTION("""COMPUTED_VALUE"""),46106.52291666667)</f>
        <v>46106.52292</v>
      </c>
      <c r="S62" s="84">
        <f>IFERROR(__xludf.DUMMYFUNCTION("""COMPUTED_VALUE"""),46104.68758532408)</f>
        <v>46104.68759</v>
      </c>
      <c r="T62" s="76">
        <f t="shared" si="4"/>
        <v>1.835331343</v>
      </c>
      <c r="V62" s="76">
        <f>IFERROR(__xludf.DUMMYFUNCTION("""COMPUTED_VALUE"""),5023.0)</f>
        <v>5023</v>
      </c>
      <c r="W62" s="232">
        <f>IFERROR(__xludf.DUMMYFUNCTION("""COMPUTED_VALUE"""),46108.51388888889)</f>
        <v>46108.51389</v>
      </c>
      <c r="X62" s="84">
        <f>IFERROR(__xludf.DUMMYFUNCTION("""COMPUTED_VALUE"""),46106.662492986114)</f>
        <v>46106.66249</v>
      </c>
      <c r="Y62" s="76">
        <f t="shared" si="5"/>
        <v>1.851395903</v>
      </c>
      <c r="AK62" s="232"/>
      <c r="AL62" s="233"/>
      <c r="AM62" s="173"/>
    </row>
    <row r="63">
      <c r="A63" s="76">
        <f>IFERROR(__xludf.DUMMYFUNCTION("""COMPUTED_VALUE"""),5024.0)</f>
        <v>5024</v>
      </c>
      <c r="B63" s="232">
        <f>IFERROR(__xludf.DUMMYFUNCTION("""COMPUTED_VALUE"""),46106.80328605323)</f>
        <v>46106.80329</v>
      </c>
      <c r="C63" s="84">
        <f>IFERROR(__xludf.DUMMYFUNCTION("""COMPUTED_VALUE"""),46106.683892291665)</f>
        <v>46106.68389</v>
      </c>
      <c r="D63" s="173">
        <f t="shared" si="1"/>
        <v>0.1193937616</v>
      </c>
      <c r="G63" s="76">
        <f>IFERROR(__xludf.DUMMYFUNCTION("""COMPUTED_VALUE"""),5024.0)</f>
        <v>5024</v>
      </c>
      <c r="H63" s="232">
        <f>IFERROR(__xludf.DUMMYFUNCTION("""COMPUTED_VALUE"""),46106.81023049768)</f>
        <v>46106.81023</v>
      </c>
      <c r="I63" s="84">
        <f>IFERROR(__xludf.DUMMYFUNCTION("""COMPUTED_VALUE"""),46106.683739050924)</f>
        <v>46106.68374</v>
      </c>
      <c r="J63" s="76">
        <f t="shared" si="2"/>
        <v>0.1264914468</v>
      </c>
      <c r="L63" s="76">
        <f>IFERROR(__xludf.DUMMYFUNCTION("""COMPUTED_VALUE"""),5024.0)</f>
        <v>5024</v>
      </c>
      <c r="M63" s="232">
        <f>IFERROR(__xludf.DUMMYFUNCTION("""COMPUTED_VALUE"""),46107.47638888889)</f>
        <v>46107.47639</v>
      </c>
      <c r="N63" s="84">
        <f>IFERROR(__xludf.DUMMYFUNCTION("""COMPUTED_VALUE"""),46106.68379711805)</f>
        <v>46106.6838</v>
      </c>
      <c r="O63" s="76">
        <f t="shared" si="3"/>
        <v>0.7925917708</v>
      </c>
      <c r="Q63" s="76">
        <f>IFERROR(__xludf.DUMMYFUNCTION("""COMPUTED_VALUE"""),5019.0)</f>
        <v>5019</v>
      </c>
      <c r="R63" s="232">
        <f>IFERROR(__xludf.DUMMYFUNCTION("""COMPUTED_VALUE"""),46106.558333333334)</f>
        <v>46106.55833</v>
      </c>
      <c r="S63" s="84">
        <f>IFERROR(__xludf.DUMMYFUNCTION("""COMPUTED_VALUE"""),46104.736065150464)</f>
        <v>46104.73607</v>
      </c>
      <c r="T63" s="76">
        <f t="shared" si="4"/>
        <v>1.822268183</v>
      </c>
      <c r="V63" s="76">
        <f>IFERROR(__xludf.DUMMYFUNCTION("""COMPUTED_VALUE"""),5024.0)</f>
        <v>5024</v>
      </c>
      <c r="W63" s="232">
        <f>IFERROR(__xludf.DUMMYFUNCTION("""COMPUTED_VALUE"""),46108.518055555556)</f>
        <v>46108.51806</v>
      </c>
      <c r="X63" s="84">
        <f>IFERROR(__xludf.DUMMYFUNCTION("""COMPUTED_VALUE"""),46106.75597939815)</f>
        <v>46106.75598</v>
      </c>
      <c r="Y63" s="76">
        <f t="shared" si="5"/>
        <v>1.762076157</v>
      </c>
      <c r="AK63" s="232"/>
      <c r="AL63" s="233"/>
      <c r="AM63" s="173"/>
    </row>
    <row r="64">
      <c r="A64" s="76">
        <f>IFERROR(__xludf.DUMMYFUNCTION("""COMPUTED_VALUE"""),5025.0)</f>
        <v>5025</v>
      </c>
      <c r="B64" s="232">
        <f>IFERROR(__xludf.DUMMYFUNCTION("""COMPUTED_VALUE"""),46107.46041666667)</f>
        <v>46107.46042</v>
      </c>
      <c r="C64" s="84">
        <f>IFERROR(__xludf.DUMMYFUNCTION("""COMPUTED_VALUE"""),46106.75603193287)</f>
        <v>46106.75603</v>
      </c>
      <c r="D64" s="173">
        <f t="shared" si="1"/>
        <v>0.7043847338</v>
      </c>
      <c r="G64" s="76">
        <f>IFERROR(__xludf.DUMMYFUNCTION("""COMPUTED_VALUE"""),5025.0)</f>
        <v>5025</v>
      </c>
      <c r="H64" s="232">
        <f>IFERROR(__xludf.DUMMYFUNCTION("""COMPUTED_VALUE"""),46107.467361111114)</f>
        <v>46107.46736</v>
      </c>
      <c r="I64" s="84">
        <f>IFERROR(__xludf.DUMMYFUNCTION("""COMPUTED_VALUE"""),46106.756232789354)</f>
        <v>46106.75623</v>
      </c>
      <c r="J64" s="76">
        <f t="shared" si="2"/>
        <v>0.7111283218</v>
      </c>
      <c r="L64" s="76">
        <f>IFERROR(__xludf.DUMMYFUNCTION("""COMPUTED_VALUE"""),5025.0)</f>
        <v>5025</v>
      </c>
      <c r="M64" s="232">
        <f>IFERROR(__xludf.DUMMYFUNCTION("""COMPUTED_VALUE"""),46107.57152777778)</f>
        <v>46107.57153</v>
      </c>
      <c r="N64" s="84">
        <f>IFERROR(__xludf.DUMMYFUNCTION("""COMPUTED_VALUE"""),46106.75637378472)</f>
        <v>46106.75637</v>
      </c>
      <c r="O64" s="76">
        <f t="shared" si="3"/>
        <v>0.8151539931</v>
      </c>
      <c r="Q64" s="76">
        <f>IFERROR(__xludf.DUMMYFUNCTION("""COMPUTED_VALUE"""),5020.0)</f>
        <v>5020</v>
      </c>
      <c r="R64" s="232">
        <f>IFERROR(__xludf.DUMMYFUNCTION("""COMPUTED_VALUE"""),46106.57916666666)</f>
        <v>46106.57917</v>
      </c>
      <c r="S64" s="84">
        <f>IFERROR(__xludf.DUMMYFUNCTION("""COMPUTED_VALUE"""),46104.73607811343)</f>
        <v>46104.73608</v>
      </c>
      <c r="T64" s="76">
        <f t="shared" si="4"/>
        <v>1.843088553</v>
      </c>
      <c r="V64" s="76">
        <f>IFERROR(__xludf.DUMMYFUNCTION("""COMPUTED_VALUE"""),5025.0)</f>
        <v>5025</v>
      </c>
      <c r="W64" s="232">
        <f>IFERROR(__xludf.DUMMYFUNCTION("""COMPUTED_VALUE"""),46108.61319444444)</f>
        <v>46108.61319</v>
      </c>
      <c r="X64" s="84">
        <f>IFERROR(__xludf.DUMMYFUNCTION("""COMPUTED_VALUE"""),46107.476345358795)</f>
        <v>46107.47635</v>
      </c>
      <c r="Y64" s="76">
        <f t="shared" si="5"/>
        <v>1.136849086</v>
      </c>
      <c r="AK64" s="232"/>
      <c r="AL64" s="233"/>
      <c r="AM64" s="173"/>
    </row>
    <row r="65">
      <c r="A65" s="76">
        <f>IFERROR(__xludf.DUMMYFUNCTION("""COMPUTED_VALUE"""),5026.0)</f>
        <v>5026</v>
      </c>
      <c r="B65" s="232">
        <f>IFERROR(__xludf.DUMMYFUNCTION("""COMPUTED_VALUE"""),46107.46805555556)</f>
        <v>46107.46806</v>
      </c>
      <c r="C65" s="84">
        <f>IFERROR(__xludf.DUMMYFUNCTION("""COMPUTED_VALUE"""),46106.75605064815)</f>
        <v>46106.75605</v>
      </c>
      <c r="D65" s="173">
        <f t="shared" si="1"/>
        <v>0.7120049074</v>
      </c>
      <c r="G65" s="76">
        <f>IFERROR(__xludf.DUMMYFUNCTION("""COMPUTED_VALUE"""),5026.0)</f>
        <v>5026</v>
      </c>
      <c r="H65" s="232">
        <f>IFERROR(__xludf.DUMMYFUNCTION("""COMPUTED_VALUE"""),46107.475000000006)</f>
        <v>46107.475</v>
      </c>
      <c r="I65" s="84">
        <f>IFERROR(__xludf.DUMMYFUNCTION("""COMPUTED_VALUE"""),46106.75625150463)</f>
        <v>46106.75625</v>
      </c>
      <c r="J65" s="76">
        <f t="shared" si="2"/>
        <v>0.7187484954</v>
      </c>
      <c r="L65" s="76">
        <f>IFERROR(__xludf.DUMMYFUNCTION("""COMPUTED_VALUE"""),5026.0)</f>
        <v>5026</v>
      </c>
      <c r="M65" s="232">
        <f>IFERROR(__xludf.DUMMYFUNCTION("""COMPUTED_VALUE"""),46107.57916666667)</f>
        <v>46107.57917</v>
      </c>
      <c r="N65" s="84">
        <f>IFERROR(__xludf.DUMMYFUNCTION("""COMPUTED_VALUE"""),46106.75638695602)</f>
        <v>46106.75639</v>
      </c>
      <c r="O65" s="76">
        <f t="shared" si="3"/>
        <v>0.8227797107</v>
      </c>
      <c r="Q65" s="76">
        <f>IFERROR(__xludf.DUMMYFUNCTION("""COMPUTED_VALUE"""),5021.0)</f>
        <v>5021</v>
      </c>
      <c r="R65" s="232">
        <f>IFERROR(__xludf.DUMMYFUNCTION("""COMPUTED_VALUE"""),46107.55416666666)</f>
        <v>46107.55417</v>
      </c>
      <c r="S65" s="84">
        <f>IFERROR(__xludf.DUMMYFUNCTION("""COMPUTED_VALUE"""),46106.52580461805)</f>
        <v>46106.5258</v>
      </c>
      <c r="T65" s="76">
        <f t="shared" si="4"/>
        <v>1.028362049</v>
      </c>
      <c r="V65" s="76">
        <f>IFERROR(__xludf.DUMMYFUNCTION("""COMPUTED_VALUE"""),5026.0)</f>
        <v>5026</v>
      </c>
      <c r="W65" s="232">
        <f>IFERROR(__xludf.DUMMYFUNCTION("""COMPUTED_VALUE"""),46108.62083333333)</f>
        <v>46108.62083</v>
      </c>
      <c r="X65" s="84">
        <f>IFERROR(__xludf.DUMMYFUNCTION("""COMPUTED_VALUE"""),46107.476359479166)</f>
        <v>46107.47636</v>
      </c>
      <c r="Y65" s="76">
        <f t="shared" si="5"/>
        <v>1.144473854</v>
      </c>
      <c r="AK65" s="232"/>
      <c r="AL65" s="233"/>
      <c r="AM65" s="173"/>
    </row>
    <row r="66">
      <c r="A66" s="76">
        <f>IFERROR(__xludf.DUMMYFUNCTION("""COMPUTED_VALUE"""),5027.0)</f>
        <v>5027</v>
      </c>
      <c r="B66" s="232">
        <f>IFERROR(__xludf.DUMMYFUNCTION("""COMPUTED_VALUE"""),46107.647857488424)</f>
        <v>46107.64786</v>
      </c>
      <c r="C66" s="84">
        <f>IFERROR(__xludf.DUMMYFUNCTION("""COMPUTED_VALUE"""),46107.4878206713)</f>
        <v>46107.48782</v>
      </c>
      <c r="D66" s="173">
        <f t="shared" si="1"/>
        <v>0.1600368171</v>
      </c>
      <c r="G66" s="76">
        <f>IFERROR(__xludf.DUMMYFUNCTION("""COMPUTED_VALUE"""),5027.0)</f>
        <v>5027</v>
      </c>
      <c r="H66" s="232">
        <f>IFERROR(__xludf.DUMMYFUNCTION("""COMPUTED_VALUE"""),46107.65480193287)</f>
        <v>46107.6548</v>
      </c>
      <c r="I66" s="84">
        <f>IFERROR(__xludf.DUMMYFUNCTION("""COMPUTED_VALUE"""),46107.488156921296)</f>
        <v>46107.48816</v>
      </c>
      <c r="J66" s="76">
        <f t="shared" si="2"/>
        <v>0.1666450116</v>
      </c>
      <c r="L66" s="76">
        <f>IFERROR(__xludf.DUMMYFUNCTION("""COMPUTED_VALUE"""),5027.0)</f>
        <v>5027</v>
      </c>
      <c r="M66" s="232">
        <f>IFERROR(__xludf.DUMMYFUNCTION("""COMPUTED_VALUE"""),46107.75896859953)</f>
        <v>46107.75897</v>
      </c>
      <c r="N66" s="84">
        <f>IFERROR(__xludf.DUMMYFUNCTION("""COMPUTED_VALUE"""),46107.584436122685)</f>
        <v>46107.58444</v>
      </c>
      <c r="O66" s="76">
        <f t="shared" si="3"/>
        <v>0.1745324768</v>
      </c>
      <c r="Q66" s="76">
        <f>IFERROR(__xludf.DUMMYFUNCTION("""COMPUTED_VALUE"""),5022.0)</f>
        <v>5022</v>
      </c>
      <c r="R66" s="232">
        <f>IFERROR(__xludf.DUMMYFUNCTION("""COMPUTED_VALUE"""),46107.739583333336)</f>
        <v>46107.73958</v>
      </c>
      <c r="S66" s="84">
        <f>IFERROR(__xludf.DUMMYFUNCTION("""COMPUTED_VALUE"""),46106.59655422454)</f>
        <v>46106.59655</v>
      </c>
      <c r="T66" s="76">
        <f t="shared" si="4"/>
        <v>1.143029109</v>
      </c>
      <c r="V66" s="76">
        <f>IFERROR(__xludf.DUMMYFUNCTION("""COMPUTED_VALUE"""),5027.0)</f>
        <v>5027</v>
      </c>
      <c r="W66" s="232">
        <f>IFERROR(__xludf.DUMMYFUNCTION("""COMPUTED_VALUE"""),46108.799999999996)</f>
        <v>46108.8</v>
      </c>
      <c r="X66" s="84">
        <f>IFERROR(__xludf.DUMMYFUNCTION("""COMPUTED_VALUE"""),46108.584386574075)</f>
        <v>46108.58439</v>
      </c>
      <c r="Y66" s="76">
        <f t="shared" si="5"/>
        <v>0.2156134259</v>
      </c>
      <c r="AK66" s="232"/>
      <c r="AL66" s="233"/>
      <c r="AM66" s="173"/>
    </row>
    <row r="67">
      <c r="A67" s="76">
        <f>IFERROR(__xludf.DUMMYFUNCTION("""COMPUTED_VALUE"""),5028.0)</f>
        <v>5028</v>
      </c>
      <c r="B67" s="232">
        <f>IFERROR(__xludf.DUMMYFUNCTION("""COMPUTED_VALUE"""),46107.67117934027)</f>
        <v>46107.67118</v>
      </c>
      <c r="C67" s="84">
        <f>IFERROR(__xludf.DUMMYFUNCTION("""COMPUTED_VALUE"""),46107.584030555554)</f>
        <v>46107.58403</v>
      </c>
      <c r="D67" s="173">
        <f t="shared" si="1"/>
        <v>0.08714878472</v>
      </c>
      <c r="G67" s="76">
        <f>IFERROR(__xludf.DUMMYFUNCTION("""COMPUTED_VALUE"""),5028.0)</f>
        <v>5028</v>
      </c>
      <c r="H67" s="232">
        <f>IFERROR(__xludf.DUMMYFUNCTION("""COMPUTED_VALUE"""),46107.67812378472)</f>
        <v>46107.67812</v>
      </c>
      <c r="I67" s="84">
        <f>IFERROR(__xludf.DUMMYFUNCTION("""COMPUTED_VALUE"""),46107.5843462037)</f>
        <v>46107.58435</v>
      </c>
      <c r="J67" s="76">
        <f t="shared" si="2"/>
        <v>0.09377758102</v>
      </c>
      <c r="L67" s="76">
        <f>IFERROR(__xludf.DUMMYFUNCTION("""COMPUTED_VALUE"""),5028.0)</f>
        <v>5028</v>
      </c>
      <c r="M67" s="232">
        <f>IFERROR(__xludf.DUMMYFUNCTION("""COMPUTED_VALUE"""),46107.78229045138)</f>
        <v>46107.78229</v>
      </c>
      <c r="N67" s="84">
        <f>IFERROR(__xludf.DUMMYFUNCTION("""COMPUTED_VALUE"""),46107.58445167824)</f>
        <v>46107.58445</v>
      </c>
      <c r="O67" s="76">
        <f t="shared" si="3"/>
        <v>0.1978387731</v>
      </c>
      <c r="Q67" s="76">
        <f>IFERROR(__xludf.DUMMYFUNCTION("""COMPUTED_VALUE"""),5023.0)</f>
        <v>5023</v>
      </c>
      <c r="R67" s="232">
        <f>IFERROR(__xludf.DUMMYFUNCTION("""COMPUTED_VALUE"""),46108.472222222226)</f>
        <v>46108.47222</v>
      </c>
      <c r="S67" s="84">
        <f>IFERROR(__xludf.DUMMYFUNCTION("""COMPUTED_VALUE"""),46106.662439884254)</f>
        <v>46106.66244</v>
      </c>
      <c r="T67" s="76">
        <f t="shared" si="4"/>
        <v>1.809782338</v>
      </c>
      <c r="V67" s="76">
        <f>IFERROR(__xludf.DUMMYFUNCTION("""COMPUTED_VALUE"""),5028.0)</f>
        <v>5028</v>
      </c>
      <c r="W67" s="232">
        <f>IFERROR(__xludf.DUMMYFUNCTION("""COMPUTED_VALUE"""),46108.82361111111)</f>
        <v>46108.82361</v>
      </c>
      <c r="X67" s="84">
        <f>IFERROR(__xludf.DUMMYFUNCTION("""COMPUTED_VALUE"""),46108.584386574075)</f>
        <v>46108.58439</v>
      </c>
      <c r="Y67" s="76">
        <f t="shared" si="5"/>
        <v>0.239224537</v>
      </c>
      <c r="AK67" s="232"/>
      <c r="AL67" s="233"/>
      <c r="AM67" s="173"/>
    </row>
    <row r="68">
      <c r="A68" s="76">
        <f>IFERROR(__xludf.DUMMYFUNCTION("""COMPUTED_VALUE"""),5029.0)</f>
        <v>5029</v>
      </c>
      <c r="B68" s="232">
        <f>IFERROR(__xludf.DUMMYFUNCTION("""COMPUTED_VALUE"""),46107.67592548611)</f>
        <v>46107.67593</v>
      </c>
      <c r="C68" s="84">
        <f>IFERROR(__xludf.DUMMYFUNCTION("""COMPUTED_VALUE"""),46107.584069606484)</f>
        <v>46107.58407</v>
      </c>
      <c r="D68" s="173">
        <f t="shared" si="1"/>
        <v>0.09185587963</v>
      </c>
      <c r="G68" s="76">
        <f>IFERROR(__xludf.DUMMYFUNCTION("""COMPUTED_VALUE"""),5029.0)</f>
        <v>5029</v>
      </c>
      <c r="H68" s="232">
        <f>IFERROR(__xludf.DUMMYFUNCTION("""COMPUTED_VALUE"""),46107.682869930555)</f>
        <v>46107.68287</v>
      </c>
      <c r="I68" s="84">
        <f>IFERROR(__xludf.DUMMYFUNCTION("""COMPUTED_VALUE"""),46107.58435939815)</f>
        <v>46107.58436</v>
      </c>
      <c r="J68" s="76">
        <f t="shared" si="2"/>
        <v>0.09851053241</v>
      </c>
      <c r="L68" s="76">
        <f>IFERROR(__xludf.DUMMYFUNCTION("""COMPUTED_VALUE"""),5029.0)</f>
        <v>5029</v>
      </c>
      <c r="M68" s="232">
        <f>IFERROR(__xludf.DUMMYFUNCTION("""COMPUTED_VALUE"""),46107.78703659722)</f>
        <v>46107.78704</v>
      </c>
      <c r="N68" s="84">
        <f>IFERROR(__xludf.DUMMYFUNCTION("""COMPUTED_VALUE"""),46107.58446777778)</f>
        <v>46107.58447</v>
      </c>
      <c r="O68" s="76">
        <f t="shared" si="3"/>
        <v>0.2025688194</v>
      </c>
      <c r="Q68" s="76">
        <f>IFERROR(__xludf.DUMMYFUNCTION("""COMPUTED_VALUE"""),5024.0)</f>
        <v>5024</v>
      </c>
      <c r="R68" s="232">
        <f>IFERROR(__xludf.DUMMYFUNCTION("""COMPUTED_VALUE"""),46108.47638888889)</f>
        <v>46108.47639</v>
      </c>
      <c r="S68" s="84">
        <f>IFERROR(__xludf.DUMMYFUNCTION("""COMPUTED_VALUE"""),46106.75593737268)</f>
        <v>46106.75594</v>
      </c>
      <c r="T68" s="76">
        <f t="shared" si="4"/>
        <v>1.720451516</v>
      </c>
      <c r="V68" s="76">
        <f>IFERROR(__xludf.DUMMYFUNCTION("""COMPUTED_VALUE"""),5029.0)</f>
        <v>5029</v>
      </c>
      <c r="W68" s="232">
        <f>IFERROR(__xludf.DUMMYFUNCTION("""COMPUTED_VALUE"""),46108.82847222222)</f>
        <v>46108.82847</v>
      </c>
      <c r="X68" s="84">
        <f>IFERROR(__xludf.DUMMYFUNCTION("""COMPUTED_VALUE"""),46108.584386574075)</f>
        <v>46108.58439</v>
      </c>
      <c r="Y68" s="76">
        <f t="shared" si="5"/>
        <v>0.2440856481</v>
      </c>
      <c r="AK68" s="232"/>
      <c r="AL68" s="233"/>
      <c r="AM68" s="173"/>
    </row>
    <row r="69">
      <c r="A69" s="76">
        <f>IFERROR(__xludf.DUMMYFUNCTION("""COMPUTED_VALUE"""),5030.0)</f>
        <v>5030</v>
      </c>
      <c r="B69" s="232">
        <f>IFERROR(__xludf.DUMMYFUNCTION("""COMPUTED_VALUE"""),46107.69916892361)</f>
        <v>46107.69917</v>
      </c>
      <c r="C69" s="84">
        <f>IFERROR(__xludf.DUMMYFUNCTION("""COMPUTED_VALUE"""),46107.58409004629)</f>
        <v>46107.58409</v>
      </c>
      <c r="D69" s="173">
        <f t="shared" si="1"/>
        <v>0.1150788773</v>
      </c>
      <c r="G69" s="76">
        <f>IFERROR(__xludf.DUMMYFUNCTION("""COMPUTED_VALUE"""),5030.0)</f>
        <v>5030</v>
      </c>
      <c r="H69" s="232">
        <f>IFERROR(__xludf.DUMMYFUNCTION("""COMPUTED_VALUE"""),46107.706113368055)</f>
        <v>46107.70611</v>
      </c>
      <c r="I69" s="84">
        <f>IFERROR(__xludf.DUMMYFUNCTION("""COMPUTED_VALUE"""),46107.58437466435)</f>
        <v>46107.58437</v>
      </c>
      <c r="J69" s="76">
        <f t="shared" si="2"/>
        <v>0.1217387037</v>
      </c>
      <c r="L69" s="76">
        <f>IFERROR(__xludf.DUMMYFUNCTION("""COMPUTED_VALUE"""),5030.0)</f>
        <v>5030</v>
      </c>
      <c r="M69" s="232">
        <f>IFERROR(__xludf.DUMMYFUNCTION("""COMPUTED_VALUE"""),46107.81028003472)</f>
        <v>46107.81028</v>
      </c>
      <c r="N69" s="84">
        <f>IFERROR(__xludf.DUMMYFUNCTION("""COMPUTED_VALUE"""),46107.58448310185)</f>
        <v>46107.58448</v>
      </c>
      <c r="O69" s="76">
        <f t="shared" si="3"/>
        <v>0.2257969329</v>
      </c>
      <c r="Q69" s="76">
        <f>IFERROR(__xludf.DUMMYFUNCTION("""COMPUTED_VALUE"""),5025.0)</f>
        <v>5025</v>
      </c>
      <c r="R69" s="232">
        <f>IFERROR(__xludf.DUMMYFUNCTION("""COMPUTED_VALUE"""),46108.57152777778)</f>
        <v>46108.57153</v>
      </c>
      <c r="S69" s="84">
        <f>IFERROR(__xludf.DUMMYFUNCTION("""COMPUTED_VALUE"""),46107.47628122685)</f>
        <v>46107.47628</v>
      </c>
      <c r="T69" s="76">
        <f t="shared" si="4"/>
        <v>1.095246551</v>
      </c>
      <c r="V69" s="76">
        <f>IFERROR(__xludf.DUMMYFUNCTION("""COMPUTED_VALUE"""),5030.0)</f>
        <v>5030</v>
      </c>
      <c r="W69" s="232">
        <f>IFERROR(__xludf.DUMMYFUNCTION("""COMPUTED_VALUE"""),46109.43472222222)</f>
        <v>46109.43472</v>
      </c>
      <c r="X69" s="84">
        <f>IFERROR(__xludf.DUMMYFUNCTION("""COMPUTED_VALUE"""),46108.584386574075)</f>
        <v>46108.58439</v>
      </c>
      <c r="Y69" s="76">
        <f t="shared" si="5"/>
        <v>0.8503356481</v>
      </c>
      <c r="AK69" s="232"/>
      <c r="AL69" s="233"/>
      <c r="AM69" s="173"/>
    </row>
    <row r="70">
      <c r="A70" s="76">
        <f>IFERROR(__xludf.DUMMYFUNCTION("""COMPUTED_VALUE"""),5031.0)</f>
        <v>5031</v>
      </c>
      <c r="B70" s="232">
        <f>IFERROR(__xludf.DUMMYFUNCTION("""COMPUTED_VALUE"""),46107.73647363426)</f>
        <v>46107.73647</v>
      </c>
      <c r="C70" s="84">
        <f>IFERROR(__xludf.DUMMYFUNCTION("""COMPUTED_VALUE"""),46107.58409418981)</f>
        <v>46107.58409</v>
      </c>
      <c r="D70" s="173">
        <f t="shared" si="1"/>
        <v>0.1523794444</v>
      </c>
      <c r="G70" s="76">
        <f>IFERROR(__xludf.DUMMYFUNCTION("""COMPUTED_VALUE"""),5031.0)</f>
        <v>5031</v>
      </c>
      <c r="H70" s="232">
        <f>IFERROR(__xludf.DUMMYFUNCTION("""COMPUTED_VALUE"""),46107.7434180787)</f>
        <v>46107.74342</v>
      </c>
      <c r="I70" s="84">
        <f>IFERROR(__xludf.DUMMYFUNCTION("""COMPUTED_VALUE"""),46107.584389317126)</f>
        <v>46107.58439</v>
      </c>
      <c r="J70" s="76">
        <f t="shared" si="2"/>
        <v>0.1590287616</v>
      </c>
      <c r="L70" s="76">
        <f>IFERROR(__xludf.DUMMYFUNCTION("""COMPUTED_VALUE"""),5031.0)</f>
        <v>5031</v>
      </c>
      <c r="M70" s="232">
        <f>IFERROR(__xludf.DUMMYFUNCTION("""COMPUTED_VALUE"""),46108.45138888888)</f>
        <v>46108.45139</v>
      </c>
      <c r="N70" s="84">
        <f>IFERROR(__xludf.DUMMYFUNCTION("""COMPUTED_VALUE"""),46107.58450309028)</f>
        <v>46107.5845</v>
      </c>
      <c r="O70" s="76">
        <f t="shared" si="3"/>
        <v>0.8668857986</v>
      </c>
      <c r="Q70" s="76">
        <f>IFERROR(__xludf.DUMMYFUNCTION("""COMPUTED_VALUE"""),5026.0)</f>
        <v>5026</v>
      </c>
      <c r="R70" s="232">
        <f>IFERROR(__xludf.DUMMYFUNCTION("""COMPUTED_VALUE"""),46108.57916666666)</f>
        <v>46108.57917</v>
      </c>
      <c r="S70" s="84">
        <f>IFERROR(__xludf.DUMMYFUNCTION("""COMPUTED_VALUE"""),46107.476297245375)</f>
        <v>46107.4763</v>
      </c>
      <c r="T70" s="76">
        <f t="shared" si="4"/>
        <v>1.102869421</v>
      </c>
      <c r="V70" s="76">
        <f>IFERROR(__xludf.DUMMYFUNCTION("""COMPUTED_VALUE"""),5031.0)</f>
        <v>5031</v>
      </c>
      <c r="W70" s="232">
        <f>IFERROR(__xludf.DUMMYFUNCTION("""COMPUTED_VALUE"""),46109.49305555555)</f>
        <v>46109.49306</v>
      </c>
      <c r="X70" s="84">
        <f>IFERROR(__xludf.DUMMYFUNCTION("""COMPUTED_VALUE"""),46108.584386574075)</f>
        <v>46108.58439</v>
      </c>
      <c r="Y70" s="76">
        <f t="shared" si="5"/>
        <v>0.9086689815</v>
      </c>
      <c r="AK70" s="232"/>
      <c r="AL70" s="233"/>
      <c r="AM70" s="173"/>
    </row>
    <row r="71">
      <c r="A71" s="76">
        <f>IFERROR(__xludf.DUMMYFUNCTION("""COMPUTED_VALUE"""),5032.0)</f>
        <v>5032</v>
      </c>
      <c r="B71" s="232">
        <f>IFERROR(__xludf.DUMMYFUNCTION("""COMPUTED_VALUE"""),46108.70121519676)</f>
        <v>46108.70122</v>
      </c>
      <c r="C71" s="84">
        <f>IFERROR(__xludf.DUMMYFUNCTION("""COMPUTED_VALUE"""),46108.61588518519)</f>
        <v>46108.61589</v>
      </c>
      <c r="D71" s="173">
        <f t="shared" si="1"/>
        <v>0.08533001157</v>
      </c>
      <c r="G71" s="76">
        <f>IFERROR(__xludf.DUMMYFUNCTION("""COMPUTED_VALUE"""),5032.0)</f>
        <v>5032</v>
      </c>
      <c r="H71" s="232">
        <f>IFERROR(__xludf.DUMMYFUNCTION("""COMPUTED_VALUE"""),46108.7081596412)</f>
        <v>46108.70816</v>
      </c>
      <c r="I71" s="84">
        <f>IFERROR(__xludf.DUMMYFUNCTION("""COMPUTED_VALUE"""),46108.584386574075)</f>
        <v>46108.58439</v>
      </c>
      <c r="J71" s="76">
        <f t="shared" si="2"/>
        <v>0.1237730671</v>
      </c>
      <c r="L71" s="76">
        <f>IFERROR(__xludf.DUMMYFUNCTION("""COMPUTED_VALUE"""),5032.0)</f>
        <v>5032</v>
      </c>
      <c r="M71" s="232">
        <f>IFERROR(__xludf.DUMMYFUNCTION("""COMPUTED_VALUE"""),46108.81232630787)</f>
        <v>46108.81233</v>
      </c>
      <c r="N71" s="84">
        <f>IFERROR(__xludf.DUMMYFUNCTION("""COMPUTED_VALUE"""),46108.584386574075)</f>
        <v>46108.58439</v>
      </c>
      <c r="O71" s="76">
        <f t="shared" si="3"/>
        <v>0.2279397338</v>
      </c>
      <c r="Q71" s="76">
        <f>IFERROR(__xludf.DUMMYFUNCTION("""COMPUTED_VALUE"""),5027.0)</f>
        <v>5027</v>
      </c>
      <c r="R71" s="232">
        <f>IFERROR(__xludf.DUMMYFUNCTION("""COMPUTED_VALUE"""),46108.75833333333)</f>
        <v>46108.75833</v>
      </c>
      <c r="S71" s="84">
        <f>IFERROR(__xludf.DUMMYFUNCTION("""COMPUTED_VALUE"""),46108.61542238426)</f>
        <v>46108.61542</v>
      </c>
      <c r="T71" s="76">
        <f t="shared" si="4"/>
        <v>0.1429109491</v>
      </c>
      <c r="V71" s="76">
        <f>IFERROR(__xludf.DUMMYFUNCTION("""COMPUTED_VALUE"""),5032.0)</f>
        <v>5032</v>
      </c>
      <c r="W71" s="232">
        <f>IFERROR(__xludf.DUMMYFUNCTION("""COMPUTED_VALUE"""),46111.43680555555)</f>
        <v>46111.43681</v>
      </c>
      <c r="X71" s="84">
        <f>IFERROR(__xludf.DUMMYFUNCTION("""COMPUTED_VALUE"""),46108.67320237268)</f>
        <v>46108.6732</v>
      </c>
      <c r="Y71" s="76">
        <f t="shared" si="5"/>
        <v>2.763603183</v>
      </c>
      <c r="AK71" s="232"/>
      <c r="AL71" s="233"/>
      <c r="AM71" s="173"/>
    </row>
    <row r="72">
      <c r="A72" s="76">
        <f>IFERROR(__xludf.DUMMYFUNCTION("""COMPUTED_VALUE"""),5033.0)</f>
        <v>5033</v>
      </c>
      <c r="B72" s="232">
        <f>IFERROR(__xludf.DUMMYFUNCTION("""COMPUTED_VALUE"""),46109.42361111111)</f>
        <v>46109.42361</v>
      </c>
      <c r="C72" s="84">
        <f>IFERROR(__xludf.DUMMYFUNCTION("""COMPUTED_VALUE"""),46108.78315993056)</f>
        <v>46108.78316</v>
      </c>
      <c r="D72" s="173">
        <f t="shared" si="1"/>
        <v>0.6404511806</v>
      </c>
      <c r="G72" s="76">
        <f>IFERROR(__xludf.DUMMYFUNCTION("""COMPUTED_VALUE"""),5033.0)</f>
        <v>5033</v>
      </c>
      <c r="H72" s="232">
        <f>IFERROR(__xludf.DUMMYFUNCTION("""COMPUTED_VALUE"""),46109.430555555555)</f>
        <v>46109.43056</v>
      </c>
      <c r="I72" s="84">
        <f>IFERROR(__xludf.DUMMYFUNCTION("""COMPUTED_VALUE"""),46108.78998958333)</f>
        <v>46108.78999</v>
      </c>
      <c r="J72" s="76">
        <f t="shared" si="2"/>
        <v>0.6405659722</v>
      </c>
      <c r="L72" s="76">
        <f>IFERROR(__xludf.DUMMYFUNCTION("""COMPUTED_VALUE"""),5033.0)</f>
        <v>5033</v>
      </c>
      <c r="M72" s="232">
        <f>IFERROR(__xludf.DUMMYFUNCTION("""COMPUTED_VALUE"""),46109.53472222222)</f>
        <v>46109.53472</v>
      </c>
      <c r="N72" s="84">
        <f>IFERROR(__xludf.DUMMYFUNCTION("""COMPUTED_VALUE"""),46108.78992048611)</f>
        <v>46108.78992</v>
      </c>
      <c r="O72" s="76">
        <f t="shared" si="3"/>
        <v>0.7448017361</v>
      </c>
      <c r="Q72" s="76">
        <f>IFERROR(__xludf.DUMMYFUNCTION("""COMPUTED_VALUE"""),5028.0)</f>
        <v>5028</v>
      </c>
      <c r="R72" s="232">
        <f>IFERROR(__xludf.DUMMYFUNCTION("""COMPUTED_VALUE"""),46108.78194444445)</f>
        <v>46108.78194</v>
      </c>
      <c r="S72" s="84">
        <f>IFERROR(__xludf.DUMMYFUNCTION("""COMPUTED_VALUE"""),46108.61506373843)</f>
        <v>46108.61506</v>
      </c>
      <c r="T72" s="76">
        <f t="shared" si="4"/>
        <v>0.166880706</v>
      </c>
      <c r="V72" s="76">
        <f>IFERROR(__xludf.DUMMYFUNCTION("""COMPUTED_VALUE"""),5033.0)</f>
        <v>5033</v>
      </c>
      <c r="W72" s="232">
        <f>IFERROR(__xludf.DUMMYFUNCTION("""COMPUTED_VALUE"""),46111.57638888888)</f>
        <v>46111.57639</v>
      </c>
      <c r="X72" s="84">
        <f>IFERROR(__xludf.DUMMYFUNCTION("""COMPUTED_VALUE"""),46110.70969351852)</f>
        <v>46110.70969</v>
      </c>
      <c r="Y72" s="76">
        <f t="shared" si="5"/>
        <v>0.8666953704</v>
      </c>
      <c r="AK72" s="232"/>
      <c r="AL72" s="233"/>
      <c r="AM72" s="173"/>
    </row>
    <row r="73">
      <c r="A73" s="76">
        <f>IFERROR(__xludf.DUMMYFUNCTION("""COMPUTED_VALUE"""),5034.0)</f>
        <v>5034</v>
      </c>
      <c r="B73" s="232">
        <f>IFERROR(__xludf.DUMMYFUNCTION("""COMPUTED_VALUE"""),46109.45486111111)</f>
        <v>46109.45486</v>
      </c>
      <c r="C73" s="84">
        <f>IFERROR(__xludf.DUMMYFUNCTION("""COMPUTED_VALUE"""),46108.78315993056)</f>
        <v>46108.78316</v>
      </c>
      <c r="D73" s="173">
        <f t="shared" si="1"/>
        <v>0.6717011806</v>
      </c>
      <c r="G73" s="76">
        <f>IFERROR(__xludf.DUMMYFUNCTION("""COMPUTED_VALUE"""),5034.0)</f>
        <v>5034</v>
      </c>
      <c r="H73" s="232">
        <f>IFERROR(__xludf.DUMMYFUNCTION("""COMPUTED_VALUE"""),46109.461805555555)</f>
        <v>46109.46181</v>
      </c>
      <c r="I73" s="84">
        <f>IFERROR(__xludf.DUMMYFUNCTION("""COMPUTED_VALUE"""),46108.79001833333)</f>
        <v>46108.79002</v>
      </c>
      <c r="J73" s="76">
        <f t="shared" si="2"/>
        <v>0.6717872222</v>
      </c>
      <c r="L73" s="76">
        <f>IFERROR(__xludf.DUMMYFUNCTION("""COMPUTED_VALUE"""),5034.0)</f>
        <v>5034</v>
      </c>
      <c r="M73" s="232">
        <f>IFERROR(__xludf.DUMMYFUNCTION("""COMPUTED_VALUE"""),46109.56597222222)</f>
        <v>46109.56597</v>
      </c>
      <c r="N73" s="84">
        <f>IFERROR(__xludf.DUMMYFUNCTION("""COMPUTED_VALUE"""),46108.790072812495)</f>
        <v>46108.79007</v>
      </c>
      <c r="O73" s="76">
        <f t="shared" si="3"/>
        <v>0.7758994097</v>
      </c>
      <c r="Q73" s="76">
        <f>IFERROR(__xludf.DUMMYFUNCTION("""COMPUTED_VALUE"""),5029.0)</f>
        <v>5029</v>
      </c>
      <c r="R73" s="232">
        <f>IFERROR(__xludf.DUMMYFUNCTION("""COMPUTED_VALUE"""),46108.78680555556)</f>
        <v>46108.78681</v>
      </c>
      <c r="S73" s="84">
        <f>IFERROR(__xludf.DUMMYFUNCTION("""COMPUTED_VALUE"""),46108.584386574075)</f>
        <v>46108.58439</v>
      </c>
      <c r="T73" s="76">
        <f t="shared" si="4"/>
        <v>0.2024189815</v>
      </c>
      <c r="V73" s="76">
        <f>IFERROR(__xludf.DUMMYFUNCTION("""COMPUTED_VALUE"""),5034.0)</f>
        <v>5034</v>
      </c>
      <c r="W73" s="232">
        <f>IFERROR(__xludf.DUMMYFUNCTION("""COMPUTED_VALUE"""),46111.60763888888)</f>
        <v>46111.60764</v>
      </c>
      <c r="X73" s="84">
        <f>IFERROR(__xludf.DUMMYFUNCTION("""COMPUTED_VALUE"""),46109.681022372686)</f>
        <v>46109.68102</v>
      </c>
      <c r="Y73" s="76">
        <f t="shared" si="5"/>
        <v>1.926616516</v>
      </c>
      <c r="AK73" s="232"/>
      <c r="AL73" s="233"/>
      <c r="AM73" s="173"/>
    </row>
    <row r="74">
      <c r="A74" s="76">
        <f>IFERROR(__xludf.DUMMYFUNCTION("""COMPUTED_VALUE"""),5035.0)</f>
        <v>5035</v>
      </c>
      <c r="B74" s="232">
        <f>IFERROR(__xludf.DUMMYFUNCTION("""COMPUTED_VALUE"""),46109.64266848379)</f>
        <v>46109.64267</v>
      </c>
      <c r="C74" s="84">
        <f>IFERROR(__xludf.DUMMYFUNCTION("""COMPUTED_VALUE"""),46109.47861413195)</f>
        <v>46109.47861</v>
      </c>
      <c r="D74" s="173">
        <f t="shared" si="1"/>
        <v>0.1640543518</v>
      </c>
      <c r="G74" s="76">
        <f>IFERROR(__xludf.DUMMYFUNCTION("""COMPUTED_VALUE"""),5035.0)</f>
        <v>5035</v>
      </c>
      <c r="H74" s="232">
        <f>IFERROR(__xludf.DUMMYFUNCTION("""COMPUTED_VALUE"""),46109.64961292824)</f>
        <v>46109.64961</v>
      </c>
      <c r="I74" s="84">
        <f>IFERROR(__xludf.DUMMYFUNCTION("""COMPUTED_VALUE"""),46109.478689791664)</f>
        <v>46109.47869</v>
      </c>
      <c r="J74" s="76">
        <f t="shared" si="2"/>
        <v>0.1709231366</v>
      </c>
      <c r="L74" s="76">
        <f>IFERROR(__xludf.DUMMYFUNCTION("""COMPUTED_VALUE"""),5035.0)</f>
        <v>5035</v>
      </c>
      <c r="M74" s="232">
        <f>IFERROR(__xludf.DUMMYFUNCTION("""COMPUTED_VALUE"""),46109.7537795949)</f>
        <v>46109.75378</v>
      </c>
      <c r="N74" s="84">
        <f>IFERROR(__xludf.DUMMYFUNCTION("""COMPUTED_VALUE"""),46109.62214047454)</f>
        <v>46109.62214</v>
      </c>
      <c r="O74" s="76">
        <f t="shared" si="3"/>
        <v>0.1316391204</v>
      </c>
      <c r="Q74" s="76">
        <f>IFERROR(__xludf.DUMMYFUNCTION("""COMPUTED_VALUE"""),5030.0)</f>
        <v>5030</v>
      </c>
      <c r="R74" s="232">
        <f>IFERROR(__xludf.DUMMYFUNCTION("""COMPUTED_VALUE"""),46108.80972222222)</f>
        <v>46108.80972</v>
      </c>
      <c r="S74" s="84">
        <f>IFERROR(__xludf.DUMMYFUNCTION("""COMPUTED_VALUE"""),46108.71578295139)</f>
        <v>46108.71578</v>
      </c>
      <c r="T74" s="76">
        <f t="shared" si="4"/>
        <v>0.09393927083</v>
      </c>
      <c r="V74" s="76">
        <f>IFERROR(__xludf.DUMMYFUNCTION("""COMPUTED_VALUE"""),5035.0)</f>
        <v>5035</v>
      </c>
      <c r="W74" s="232">
        <f>IFERROR(__xludf.DUMMYFUNCTION("""COMPUTED_VALUE"""),46111.79513888888)</f>
        <v>46111.79514</v>
      </c>
      <c r="X74" s="84">
        <f>IFERROR(__xludf.DUMMYFUNCTION("""COMPUTED_VALUE"""),46109.68111575232)</f>
        <v>46109.68112</v>
      </c>
      <c r="Y74" s="76">
        <f t="shared" si="5"/>
        <v>2.114023137</v>
      </c>
      <c r="AK74" s="232"/>
      <c r="AL74" s="233"/>
      <c r="AM74" s="173"/>
    </row>
    <row r="75">
      <c r="A75" s="76">
        <f>IFERROR(__xludf.DUMMYFUNCTION("""COMPUTED_VALUE"""),5036.0)</f>
        <v>5036</v>
      </c>
      <c r="B75" s="232">
        <f>IFERROR(__xludf.DUMMYFUNCTION("""COMPUTED_VALUE"""),46109.6676000463)</f>
        <v>46109.6676</v>
      </c>
      <c r="C75" s="84">
        <f>IFERROR(__xludf.DUMMYFUNCTION("""COMPUTED_VALUE"""),46109.53091915509)</f>
        <v>46109.53092</v>
      </c>
      <c r="D75" s="173">
        <f t="shared" si="1"/>
        <v>0.1366808912</v>
      </c>
      <c r="G75" s="76">
        <f>IFERROR(__xludf.DUMMYFUNCTION("""COMPUTED_VALUE"""),5036.0)</f>
        <v>5036</v>
      </c>
      <c r="H75" s="232">
        <f>IFERROR(__xludf.DUMMYFUNCTION("""COMPUTED_VALUE"""),46109.67454449074)</f>
        <v>46109.67454</v>
      </c>
      <c r="I75" s="84">
        <f>IFERROR(__xludf.DUMMYFUNCTION("""COMPUTED_VALUE"""),46109.530965196755)</f>
        <v>46109.53097</v>
      </c>
      <c r="J75" s="76">
        <f t="shared" si="2"/>
        <v>0.143579294</v>
      </c>
      <c r="L75" s="76">
        <f>IFERROR(__xludf.DUMMYFUNCTION("""COMPUTED_VALUE"""),5036.0)</f>
        <v>5036</v>
      </c>
      <c r="M75" s="232">
        <f>IFERROR(__xludf.DUMMYFUNCTION("""COMPUTED_VALUE"""),46109.77871115741)</f>
        <v>46109.77871</v>
      </c>
      <c r="N75" s="84">
        <f>IFERROR(__xludf.DUMMYFUNCTION("""COMPUTED_VALUE"""),46109.62215575231)</f>
        <v>46109.62216</v>
      </c>
      <c r="O75" s="76">
        <f t="shared" si="3"/>
        <v>0.1565554051</v>
      </c>
      <c r="Q75" s="76">
        <f>IFERROR(__xludf.DUMMYFUNCTION("""COMPUTED_VALUE"""),5031.0)</f>
        <v>5031</v>
      </c>
      <c r="R75" s="232">
        <f>IFERROR(__xludf.DUMMYFUNCTION("""COMPUTED_VALUE"""),46109.45138888888)</f>
        <v>46109.45139</v>
      </c>
      <c r="S75" s="84">
        <f>IFERROR(__xludf.DUMMYFUNCTION("""COMPUTED_VALUE"""),46108.71616328704)</f>
        <v>46108.71616</v>
      </c>
      <c r="T75" s="76">
        <f t="shared" si="4"/>
        <v>0.7352256018</v>
      </c>
      <c r="V75" s="76">
        <f>IFERROR(__xludf.DUMMYFUNCTION("""COMPUTED_VALUE"""),5036.0)</f>
        <v>5036</v>
      </c>
      <c r="W75" s="232">
        <f>IFERROR(__xludf.DUMMYFUNCTION("""COMPUTED_VALUE"""),46111.820138888885)</f>
        <v>46111.82014</v>
      </c>
      <c r="X75" s="84">
        <f>IFERROR(__xludf.DUMMYFUNCTION("""COMPUTED_VALUE"""),46110.71030201389)</f>
        <v>46110.7103</v>
      </c>
      <c r="Y75" s="76">
        <f t="shared" si="5"/>
        <v>1.109836875</v>
      </c>
      <c r="AK75" s="232"/>
      <c r="AL75" s="233"/>
      <c r="AM75" s="173"/>
    </row>
    <row r="76">
      <c r="A76" s="76">
        <f>IFERROR(__xludf.DUMMYFUNCTION("""COMPUTED_VALUE"""),5037.0)</f>
        <v>5037</v>
      </c>
      <c r="B76" s="232">
        <f>IFERROR(__xludf.DUMMYFUNCTION("""COMPUTED_VALUE"""),46109.6868951736)</f>
        <v>46109.6869</v>
      </c>
      <c r="C76" s="84">
        <f>IFERROR(__xludf.DUMMYFUNCTION("""COMPUTED_VALUE"""),46109.53101314815)</f>
        <v>46109.53101</v>
      </c>
      <c r="D76" s="173">
        <f t="shared" si="1"/>
        <v>0.1558820255</v>
      </c>
      <c r="G76" s="76">
        <f>IFERROR(__xludf.DUMMYFUNCTION("""COMPUTED_VALUE"""),5037.0)</f>
        <v>5037</v>
      </c>
      <c r="H76" s="232">
        <f>IFERROR(__xludf.DUMMYFUNCTION("""COMPUTED_VALUE"""),46109.69383961805)</f>
        <v>46109.69384</v>
      </c>
      <c r="I76" s="84">
        <f>IFERROR(__xludf.DUMMYFUNCTION("""COMPUTED_VALUE"""),46109.53106009259)</f>
        <v>46109.53106</v>
      </c>
      <c r="J76" s="76">
        <f t="shared" si="2"/>
        <v>0.1627795255</v>
      </c>
      <c r="L76" s="76">
        <f>IFERROR(__xludf.DUMMYFUNCTION("""COMPUTED_VALUE"""),5037.0)</f>
        <v>5037</v>
      </c>
      <c r="M76" s="232">
        <f>IFERROR(__xludf.DUMMYFUNCTION("""COMPUTED_VALUE"""),46109.79800628471)</f>
        <v>46109.79801</v>
      </c>
      <c r="N76" s="84">
        <f>IFERROR(__xludf.DUMMYFUNCTION("""COMPUTED_VALUE"""),46109.62217554398)</f>
        <v>46109.62218</v>
      </c>
      <c r="O76" s="76">
        <f t="shared" si="3"/>
        <v>0.1758307407</v>
      </c>
      <c r="Q76" s="76">
        <f>IFERROR(__xludf.DUMMYFUNCTION("""COMPUTED_VALUE"""),5032.0)</f>
        <v>5032</v>
      </c>
      <c r="R76" s="232">
        <f>IFERROR(__xludf.DUMMYFUNCTION("""COMPUTED_VALUE"""),46109.81180555555)</f>
        <v>46109.81181</v>
      </c>
      <c r="S76" s="84">
        <f>IFERROR(__xludf.DUMMYFUNCTION("""COMPUTED_VALUE"""),46108.67318769676)</f>
        <v>46108.67319</v>
      </c>
      <c r="T76" s="76">
        <f t="shared" si="4"/>
        <v>1.138617859</v>
      </c>
      <c r="V76" s="76">
        <f>IFERROR(__xludf.DUMMYFUNCTION("""COMPUTED_VALUE"""),5037.0)</f>
        <v>5037</v>
      </c>
      <c r="W76" s="232">
        <f>IFERROR(__xludf.DUMMYFUNCTION("""COMPUTED_VALUE"""),46112.42291666666)</f>
        <v>46112.42292</v>
      </c>
      <c r="X76" s="84">
        <f>IFERROR(__xludf.DUMMYFUNCTION("""COMPUTED_VALUE"""),46109.68329596065)</f>
        <v>46109.6833</v>
      </c>
      <c r="Y76" s="76">
        <f t="shared" si="5"/>
        <v>2.739620706</v>
      </c>
      <c r="AK76" s="232"/>
      <c r="AL76" s="233"/>
      <c r="AM76" s="173"/>
    </row>
    <row r="77">
      <c r="A77" s="76">
        <f>IFERROR(__xludf.DUMMYFUNCTION("""COMPUTED_VALUE"""),5038.0)</f>
        <v>5038</v>
      </c>
      <c r="B77" s="232">
        <f>IFERROR(__xludf.DUMMYFUNCTION("""COMPUTED_VALUE"""),46109.70387319444)</f>
        <v>46109.70387</v>
      </c>
      <c r="C77" s="84">
        <f>IFERROR(__xludf.DUMMYFUNCTION("""COMPUTED_VALUE"""),46109.540836307875)</f>
        <v>46109.54084</v>
      </c>
      <c r="D77" s="173">
        <f t="shared" si="1"/>
        <v>0.1630368866</v>
      </c>
      <c r="G77" s="76">
        <f>IFERROR(__xludf.DUMMYFUNCTION("""COMPUTED_VALUE"""),5038.0)</f>
        <v>5038</v>
      </c>
      <c r="H77" s="232">
        <f>IFERROR(__xludf.DUMMYFUNCTION("""COMPUTED_VALUE"""),46109.71081763889)</f>
        <v>46109.71082</v>
      </c>
      <c r="I77" s="84">
        <f>IFERROR(__xludf.DUMMYFUNCTION("""COMPUTED_VALUE"""),46109.540900011576)</f>
        <v>46109.5409</v>
      </c>
      <c r="J77" s="76">
        <f t="shared" si="2"/>
        <v>0.1699176273</v>
      </c>
      <c r="L77" s="76">
        <f>IFERROR(__xludf.DUMMYFUNCTION("""COMPUTED_VALUE"""),5038.0)</f>
        <v>5038</v>
      </c>
      <c r="M77" s="232">
        <f>IFERROR(__xludf.DUMMYFUNCTION("""COMPUTED_VALUE"""),46109.81498430555)</f>
        <v>46109.81498</v>
      </c>
      <c r="N77" s="84">
        <f>IFERROR(__xludf.DUMMYFUNCTION("""COMPUTED_VALUE"""),46109.622199074074)</f>
        <v>46109.6222</v>
      </c>
      <c r="O77" s="76">
        <f t="shared" si="3"/>
        <v>0.1927852315</v>
      </c>
      <c r="Q77" s="76">
        <f>IFERROR(__xludf.DUMMYFUNCTION("""COMPUTED_VALUE"""),5033.0)</f>
        <v>5033</v>
      </c>
      <c r="R77" s="232">
        <f>IFERROR(__xludf.DUMMYFUNCTION("""COMPUTED_VALUE"""),46111.53472222222)</f>
        <v>46111.53472</v>
      </c>
      <c r="S77" s="84">
        <f>IFERROR(__xludf.DUMMYFUNCTION("""COMPUTED_VALUE"""),46110.70962523148)</f>
        <v>46110.70963</v>
      </c>
      <c r="T77" s="76">
        <f t="shared" si="4"/>
        <v>0.8250969907</v>
      </c>
      <c r="V77" s="76">
        <f>IFERROR(__xludf.DUMMYFUNCTION("""COMPUTED_VALUE"""),5038.0)</f>
        <v>5038</v>
      </c>
      <c r="W77" s="232">
        <f>IFERROR(__xludf.DUMMYFUNCTION("""COMPUTED_VALUE"""),46112.43958333333)</f>
        <v>46112.43958</v>
      </c>
      <c r="X77" s="84">
        <f>IFERROR(__xludf.DUMMYFUNCTION("""COMPUTED_VALUE"""),46109.68345413194)</f>
        <v>46109.68345</v>
      </c>
      <c r="Y77" s="76">
        <f t="shared" si="5"/>
        <v>2.756129201</v>
      </c>
      <c r="AK77" s="232"/>
      <c r="AL77" s="233"/>
      <c r="AM77" s="173"/>
    </row>
    <row r="78">
      <c r="A78" s="76">
        <f>IFERROR(__xludf.DUMMYFUNCTION("""COMPUTED_VALUE"""),5039.0)</f>
        <v>5039</v>
      </c>
      <c r="B78" s="232">
        <f>IFERROR(__xludf.DUMMYFUNCTION("""COMPUTED_VALUE"""),46109.70880994213)</f>
        <v>46109.70881</v>
      </c>
      <c r="C78" s="84">
        <f>IFERROR(__xludf.DUMMYFUNCTION("""COMPUTED_VALUE"""),46109.621856550926)</f>
        <v>46109.62186</v>
      </c>
      <c r="D78" s="173">
        <f t="shared" si="1"/>
        <v>0.0869533912</v>
      </c>
      <c r="G78" s="76">
        <f>IFERROR(__xludf.DUMMYFUNCTION("""COMPUTED_VALUE"""),5039.0)</f>
        <v>5039</v>
      </c>
      <c r="H78" s="232">
        <f>IFERROR(__xludf.DUMMYFUNCTION("""COMPUTED_VALUE"""),46109.715754386576)</f>
        <v>46109.71575</v>
      </c>
      <c r="I78" s="84">
        <f>IFERROR(__xludf.DUMMYFUNCTION("""COMPUTED_VALUE"""),46109.621988495375)</f>
        <v>46109.62199</v>
      </c>
      <c r="J78" s="76">
        <f t="shared" si="2"/>
        <v>0.0937658912</v>
      </c>
      <c r="L78" s="76">
        <f>IFERROR(__xludf.DUMMYFUNCTION("""COMPUTED_VALUE"""),5039.0)</f>
        <v>5039</v>
      </c>
      <c r="M78" s="232">
        <f>IFERROR(__xludf.DUMMYFUNCTION("""COMPUTED_VALUE"""),46109.81992105324)</f>
        <v>46109.81992</v>
      </c>
      <c r="N78" s="84">
        <f>IFERROR(__xludf.DUMMYFUNCTION("""COMPUTED_VALUE"""),46109.622221944446)</f>
        <v>46109.62222</v>
      </c>
      <c r="O78" s="76">
        <f t="shared" si="3"/>
        <v>0.1976991088</v>
      </c>
      <c r="Q78" s="76">
        <f>IFERROR(__xludf.DUMMYFUNCTION("""COMPUTED_VALUE"""),5034.0)</f>
        <v>5034</v>
      </c>
      <c r="R78" s="232">
        <f>IFERROR(__xludf.DUMMYFUNCTION("""COMPUTED_VALUE"""),46111.56597222222)</f>
        <v>46111.56597</v>
      </c>
      <c r="S78" s="84">
        <f>IFERROR(__xludf.DUMMYFUNCTION("""COMPUTED_VALUE"""),46109.681007824074)</f>
        <v>46109.68101</v>
      </c>
      <c r="T78" s="76">
        <f t="shared" si="4"/>
        <v>1.884964398</v>
      </c>
      <c r="V78" s="76">
        <f>IFERROR(__xludf.DUMMYFUNCTION("""COMPUTED_VALUE"""),5039.0)</f>
        <v>5039</v>
      </c>
      <c r="W78" s="232">
        <f>IFERROR(__xludf.DUMMYFUNCTION("""COMPUTED_VALUE"""),46112.444444444445)</f>
        <v>46112.44444</v>
      </c>
      <c r="X78" s="84">
        <f>IFERROR(__xludf.DUMMYFUNCTION("""COMPUTED_VALUE"""),46109.68362148148)</f>
        <v>46109.68362</v>
      </c>
      <c r="Y78" s="76">
        <f t="shared" si="5"/>
        <v>2.760822963</v>
      </c>
      <c r="AK78" s="232"/>
      <c r="AL78" s="233"/>
      <c r="AM78" s="173"/>
    </row>
    <row r="79">
      <c r="A79" s="76">
        <f>IFERROR(__xludf.DUMMYFUNCTION("""COMPUTED_VALUE"""),5040.0)</f>
        <v>5040</v>
      </c>
      <c r="B79" s="232">
        <f>IFERROR(__xludf.DUMMYFUNCTION("""COMPUTED_VALUE"""),46111.50113456018)</f>
        <v>46111.50113</v>
      </c>
      <c r="C79" s="84">
        <f>IFERROR(__xludf.DUMMYFUNCTION("""COMPUTED_VALUE"""),46109.67627130787)</f>
        <v>46109.67627</v>
      </c>
      <c r="D79" s="173">
        <f t="shared" si="1"/>
        <v>1.824863252</v>
      </c>
      <c r="G79" s="76">
        <f>IFERROR(__xludf.DUMMYFUNCTION("""COMPUTED_VALUE"""),5040.0)</f>
        <v>5040</v>
      </c>
      <c r="H79" s="232">
        <f>IFERROR(__xludf.DUMMYFUNCTION("""COMPUTED_VALUE"""),46111.50807900463)</f>
        <v>46111.50808</v>
      </c>
      <c r="I79" s="84">
        <f>IFERROR(__xludf.DUMMYFUNCTION("""COMPUTED_VALUE"""),46109.67642063658)</f>
        <v>46109.67642</v>
      </c>
      <c r="J79" s="76">
        <f t="shared" si="2"/>
        <v>1.831658368</v>
      </c>
      <c r="L79" s="76">
        <f>IFERROR(__xludf.DUMMYFUNCTION("""COMPUTED_VALUE"""),5040.0)</f>
        <v>5040</v>
      </c>
      <c r="M79" s="232">
        <f>IFERROR(__xludf.DUMMYFUNCTION("""COMPUTED_VALUE"""),46111.61224567129)</f>
        <v>46111.61225</v>
      </c>
      <c r="N79" s="84">
        <f>IFERROR(__xludf.DUMMYFUNCTION("""COMPUTED_VALUE"""),46109.67676289352)</f>
        <v>46109.67676</v>
      </c>
      <c r="O79" s="76">
        <f t="shared" si="3"/>
        <v>1.935482778</v>
      </c>
      <c r="Q79" s="76">
        <f>IFERROR(__xludf.DUMMYFUNCTION("""COMPUTED_VALUE"""),5035.0)</f>
        <v>5035</v>
      </c>
      <c r="R79" s="232">
        <f>IFERROR(__xludf.DUMMYFUNCTION("""COMPUTED_VALUE"""),46111.75347222222)</f>
        <v>46111.75347</v>
      </c>
      <c r="S79" s="84">
        <f>IFERROR(__xludf.DUMMYFUNCTION("""COMPUTED_VALUE"""),46109.681093611114)</f>
        <v>46109.68109</v>
      </c>
      <c r="T79" s="76">
        <f t="shared" si="4"/>
        <v>2.072378611</v>
      </c>
      <c r="V79" s="76">
        <f>IFERROR(__xludf.DUMMYFUNCTION("""COMPUTED_VALUE"""),5040.0)</f>
        <v>5040</v>
      </c>
      <c r="W79" s="232">
        <f>IFERROR(__xludf.DUMMYFUNCTION("""COMPUTED_VALUE"""),46112.65347222222)</f>
        <v>46112.65347</v>
      </c>
      <c r="X79" s="84">
        <f>IFERROR(__xludf.DUMMYFUNCTION("""COMPUTED_VALUE"""),46110.51077305556)</f>
        <v>46110.51077</v>
      </c>
      <c r="Y79" s="76">
        <f t="shared" si="5"/>
        <v>2.142699167</v>
      </c>
      <c r="AK79" s="232"/>
      <c r="AL79" s="233"/>
      <c r="AM79" s="173"/>
    </row>
    <row r="80">
      <c r="A80" s="76">
        <f>IFERROR(__xludf.DUMMYFUNCTION("""COMPUTED_VALUE"""),5041.0)</f>
        <v>5041</v>
      </c>
      <c r="B80" s="232">
        <f>IFERROR(__xludf.DUMMYFUNCTION("""COMPUTED_VALUE"""),46111.50183728009)</f>
        <v>46111.50184</v>
      </c>
      <c r="C80" s="84">
        <f>IFERROR(__xludf.DUMMYFUNCTION("""COMPUTED_VALUE"""),46109.676335509255)</f>
        <v>46109.67634</v>
      </c>
      <c r="D80" s="173">
        <f t="shared" si="1"/>
        <v>1.825501771</v>
      </c>
      <c r="G80" s="76">
        <f>IFERROR(__xludf.DUMMYFUNCTION("""COMPUTED_VALUE"""),5041.0)</f>
        <v>5041</v>
      </c>
      <c r="H80" s="232">
        <f>IFERROR(__xludf.DUMMYFUNCTION("""COMPUTED_VALUE"""),46111.50878172454)</f>
        <v>46111.50878</v>
      </c>
      <c r="I80" s="84">
        <f>IFERROR(__xludf.DUMMYFUNCTION("""COMPUTED_VALUE"""),46109.67643415509)</f>
        <v>46109.67643</v>
      </c>
      <c r="J80" s="76">
        <f t="shared" si="2"/>
        <v>1.832347569</v>
      </c>
      <c r="L80" s="76">
        <f>IFERROR(__xludf.DUMMYFUNCTION("""COMPUTED_VALUE"""),5041.0)</f>
        <v>5041</v>
      </c>
      <c r="M80" s="232">
        <f>IFERROR(__xludf.DUMMYFUNCTION("""COMPUTED_VALUE"""),46111.6129483912)</f>
        <v>46111.61295</v>
      </c>
      <c r="N80" s="84">
        <f>IFERROR(__xludf.DUMMYFUNCTION("""COMPUTED_VALUE"""),46109.676777789355)</f>
        <v>46109.67678</v>
      </c>
      <c r="O80" s="76">
        <f t="shared" si="3"/>
        <v>1.936170602</v>
      </c>
      <c r="Q80" s="76">
        <f>IFERROR(__xludf.DUMMYFUNCTION("""COMPUTED_VALUE"""),5036.0)</f>
        <v>5036</v>
      </c>
      <c r="R80" s="232">
        <f>IFERROR(__xludf.DUMMYFUNCTION("""COMPUTED_VALUE"""),46111.77847222222)</f>
        <v>46111.77847</v>
      </c>
      <c r="S80" s="84">
        <f>IFERROR(__xludf.DUMMYFUNCTION("""COMPUTED_VALUE"""),46110.710251076394)</f>
        <v>46110.71025</v>
      </c>
      <c r="T80" s="76">
        <f t="shared" si="4"/>
        <v>1.068221146</v>
      </c>
      <c r="V80" s="76">
        <f>IFERROR(__xludf.DUMMYFUNCTION("""COMPUTED_VALUE"""),5041.0)</f>
        <v>5041</v>
      </c>
      <c r="W80" s="232">
        <f>IFERROR(__xludf.DUMMYFUNCTION("""COMPUTED_VALUE"""),46112.65416666667)</f>
        <v>46112.65417</v>
      </c>
      <c r="X80" s="84">
        <f>IFERROR(__xludf.DUMMYFUNCTION("""COMPUTED_VALUE"""),46110.593721805555)</f>
        <v>46110.59372</v>
      </c>
      <c r="Y80" s="76">
        <f t="shared" si="5"/>
        <v>2.060444861</v>
      </c>
      <c r="AK80" s="232"/>
      <c r="AL80" s="233"/>
      <c r="AM80" s="173"/>
    </row>
    <row r="81">
      <c r="A81" s="76">
        <f>IFERROR(__xludf.DUMMYFUNCTION("""COMPUTED_VALUE"""),5042.0)</f>
        <v>5042</v>
      </c>
      <c r="B81" s="232">
        <f>IFERROR(__xludf.DUMMYFUNCTION("""COMPUTED_VALUE"""),46111.50292107639)</f>
        <v>46111.50292</v>
      </c>
      <c r="C81" s="84">
        <f>IFERROR(__xludf.DUMMYFUNCTION("""COMPUTED_VALUE"""),46109.67652465278)</f>
        <v>46109.67652</v>
      </c>
      <c r="D81" s="173">
        <f t="shared" si="1"/>
        <v>1.826396424</v>
      </c>
      <c r="G81" s="76">
        <f>IFERROR(__xludf.DUMMYFUNCTION("""COMPUTED_VALUE"""),5042.0)</f>
        <v>5042</v>
      </c>
      <c r="H81" s="232">
        <f>IFERROR(__xludf.DUMMYFUNCTION("""COMPUTED_VALUE"""),46111.509865520835)</f>
        <v>46111.50987</v>
      </c>
      <c r="I81" s="84">
        <f>IFERROR(__xludf.DUMMYFUNCTION("""COMPUTED_VALUE"""),46109.67658171296)</f>
        <v>46109.67658</v>
      </c>
      <c r="J81" s="76">
        <f t="shared" si="2"/>
        <v>1.833283808</v>
      </c>
      <c r="L81" s="76">
        <f>IFERROR(__xludf.DUMMYFUNCTION("""COMPUTED_VALUE"""),5042.0)</f>
        <v>5042</v>
      </c>
      <c r="M81" s="232">
        <f>IFERROR(__xludf.DUMMYFUNCTION("""COMPUTED_VALUE"""),46111.6140321875)</f>
        <v>46111.61403</v>
      </c>
      <c r="N81" s="84">
        <f>IFERROR(__xludf.DUMMYFUNCTION("""COMPUTED_VALUE"""),46109.67679510417)</f>
        <v>46109.6768</v>
      </c>
      <c r="O81" s="76">
        <f t="shared" si="3"/>
        <v>1.937237083</v>
      </c>
      <c r="Q81" s="76">
        <f>IFERROR(__xludf.DUMMYFUNCTION("""COMPUTED_VALUE"""),5037.0)</f>
        <v>5037</v>
      </c>
      <c r="R81" s="232">
        <f>IFERROR(__xludf.DUMMYFUNCTION("""COMPUTED_VALUE"""),46111.79791666666)</f>
        <v>46111.79792</v>
      </c>
      <c r="S81" s="84">
        <f>IFERROR(__xludf.DUMMYFUNCTION("""COMPUTED_VALUE"""),46109.68327795139)</f>
        <v>46109.68328</v>
      </c>
      <c r="T81" s="76">
        <f t="shared" si="4"/>
        <v>2.114638715</v>
      </c>
      <c r="V81" s="76">
        <f>IFERROR(__xludf.DUMMYFUNCTION("""COMPUTED_VALUE"""),5042.0)</f>
        <v>5042</v>
      </c>
      <c r="W81" s="232">
        <f>IFERROR(__xludf.DUMMYFUNCTION("""COMPUTED_VALUE"""),46112.65555555555)</f>
        <v>46112.65556</v>
      </c>
      <c r="X81" s="84">
        <f>IFERROR(__xludf.DUMMYFUNCTION("""COMPUTED_VALUE"""),46110.59404266204)</f>
        <v>46110.59404</v>
      </c>
      <c r="Y81" s="76">
        <f t="shared" si="5"/>
        <v>2.061512894</v>
      </c>
      <c r="AK81" s="232"/>
      <c r="AL81" s="233"/>
      <c r="AM81" s="173"/>
    </row>
    <row r="82">
      <c r="A82" s="76">
        <f>IFERROR(__xludf.DUMMYFUNCTION("""COMPUTED_VALUE"""),5043.0)</f>
        <v>5043</v>
      </c>
      <c r="B82" s="232">
        <f>IFERROR(__xludf.DUMMYFUNCTION("""COMPUTED_VALUE"""),46111.506411064816)</f>
        <v>46111.50641</v>
      </c>
      <c r="C82" s="84">
        <f>IFERROR(__xludf.DUMMYFUNCTION("""COMPUTED_VALUE"""),46109.676617986115)</f>
        <v>46109.67662</v>
      </c>
      <c r="D82" s="173">
        <f t="shared" si="1"/>
        <v>1.829793079</v>
      </c>
      <c r="G82" s="76">
        <f>IFERROR(__xludf.DUMMYFUNCTION("""COMPUTED_VALUE"""),5043.0)</f>
        <v>5043</v>
      </c>
      <c r="H82" s="232">
        <f>IFERROR(__xludf.DUMMYFUNCTION("""COMPUTED_VALUE"""),46111.51335550926)</f>
        <v>46111.51336</v>
      </c>
      <c r="I82" s="84">
        <f>IFERROR(__xludf.DUMMYFUNCTION("""COMPUTED_VALUE"""),46109.67671506944)</f>
        <v>46109.67672</v>
      </c>
      <c r="J82" s="76">
        <f t="shared" si="2"/>
        <v>1.83664044</v>
      </c>
      <c r="L82" s="76">
        <f>IFERROR(__xludf.DUMMYFUNCTION("""COMPUTED_VALUE"""),5043.0)</f>
        <v>5043</v>
      </c>
      <c r="M82" s="232">
        <f>IFERROR(__xludf.DUMMYFUNCTION("""COMPUTED_VALUE"""),46111.617522175926)</f>
        <v>46111.61752</v>
      </c>
      <c r="N82" s="84">
        <f>IFERROR(__xludf.DUMMYFUNCTION("""COMPUTED_VALUE"""),46109.67681326389)</f>
        <v>46109.67681</v>
      </c>
      <c r="O82" s="76">
        <f t="shared" si="3"/>
        <v>1.940708912</v>
      </c>
      <c r="Q82" s="76">
        <f>IFERROR(__xludf.DUMMYFUNCTION("""COMPUTED_VALUE"""),5038.0)</f>
        <v>5038</v>
      </c>
      <c r="R82" s="232">
        <f>IFERROR(__xludf.DUMMYFUNCTION("""COMPUTED_VALUE"""),46111.81458333333)</f>
        <v>46111.81458</v>
      </c>
      <c r="S82" s="84">
        <f>IFERROR(__xludf.DUMMYFUNCTION("""COMPUTED_VALUE"""),46109.683429467594)</f>
        <v>46109.68343</v>
      </c>
      <c r="T82" s="76">
        <f t="shared" si="4"/>
        <v>2.131153866</v>
      </c>
      <c r="V82" s="76">
        <f>IFERROR(__xludf.DUMMYFUNCTION("""COMPUTED_VALUE"""),5043.0)</f>
        <v>5043</v>
      </c>
      <c r="W82" s="232">
        <f>IFERROR(__xludf.DUMMYFUNCTION("""COMPUTED_VALUE"""),46112.65902777778)</f>
        <v>46112.65903</v>
      </c>
      <c r="X82" s="84">
        <f>IFERROR(__xludf.DUMMYFUNCTION("""COMPUTED_VALUE"""),46109.68443366898)</f>
        <v>46109.68443</v>
      </c>
      <c r="Y82" s="76">
        <f t="shared" si="5"/>
        <v>2.974594109</v>
      </c>
      <c r="AK82" s="232"/>
      <c r="AL82" s="233"/>
      <c r="AM82" s="173"/>
    </row>
    <row r="83">
      <c r="A83" s="76">
        <f>IFERROR(__xludf.DUMMYFUNCTION("""COMPUTED_VALUE"""),5044.0)</f>
        <v>5044</v>
      </c>
      <c r="B83" s="232">
        <f>IFERROR(__xludf.DUMMYFUNCTION("""COMPUTED_VALUE"""),46111.69021721064)</f>
        <v>46111.69022</v>
      </c>
      <c r="C83" s="84">
        <f>IFERROR(__xludf.DUMMYFUNCTION("""COMPUTED_VALUE"""),46111.546001712966)</f>
        <v>46111.546</v>
      </c>
      <c r="D83" s="173">
        <f t="shared" si="1"/>
        <v>0.1442154977</v>
      </c>
      <c r="G83" s="76">
        <f>IFERROR(__xludf.DUMMYFUNCTION("""COMPUTED_VALUE"""),5044.0)</f>
        <v>5044</v>
      </c>
      <c r="H83" s="232">
        <f>IFERROR(__xludf.DUMMYFUNCTION("""COMPUTED_VALUE"""),46111.69716165509)</f>
        <v>46111.69716</v>
      </c>
      <c r="I83" s="84">
        <f>IFERROR(__xludf.DUMMYFUNCTION("""COMPUTED_VALUE"""),46111.546091446755)</f>
        <v>46111.54609</v>
      </c>
      <c r="J83" s="76">
        <f t="shared" si="2"/>
        <v>0.1510702083</v>
      </c>
      <c r="L83" s="76">
        <f>IFERROR(__xludf.DUMMYFUNCTION("""COMPUTED_VALUE"""),5044.0)</f>
        <v>5044</v>
      </c>
      <c r="M83" s="232">
        <f>IFERROR(__xludf.DUMMYFUNCTION("""COMPUTED_VALUE"""),46111.80132832175)</f>
        <v>46111.80133</v>
      </c>
      <c r="N83" s="84">
        <f>IFERROR(__xludf.DUMMYFUNCTION("""COMPUTED_VALUE"""),46111.546137488425)</f>
        <v>46111.54614</v>
      </c>
      <c r="O83" s="76">
        <f t="shared" si="3"/>
        <v>0.2551908333</v>
      </c>
      <c r="Q83" s="76">
        <f>IFERROR(__xludf.DUMMYFUNCTION("""COMPUTED_VALUE"""),5039.0)</f>
        <v>5039</v>
      </c>
      <c r="R83" s="232">
        <f>IFERROR(__xludf.DUMMYFUNCTION("""COMPUTED_VALUE"""),46111.819444444445)</f>
        <v>46111.81944</v>
      </c>
      <c r="S83" s="84">
        <f>IFERROR(__xludf.DUMMYFUNCTION("""COMPUTED_VALUE"""),46109.68357902778)</f>
        <v>46109.68358</v>
      </c>
      <c r="T83" s="76">
        <f t="shared" si="4"/>
        <v>2.135865417</v>
      </c>
      <c r="V83" s="76">
        <f>IFERROR(__xludf.DUMMYFUNCTION("""COMPUTED_VALUE"""),5044.0)</f>
        <v>5044</v>
      </c>
      <c r="W83" s="232">
        <f>IFERROR(__xludf.DUMMYFUNCTION("""COMPUTED_VALUE"""),46113.42569444444)</f>
        <v>46113.42569</v>
      </c>
      <c r="X83" s="84">
        <f>IFERROR(__xludf.DUMMYFUNCTION("""COMPUTED_VALUE"""),46112.44664329861)</f>
        <v>46112.44664</v>
      </c>
      <c r="Y83" s="76">
        <f t="shared" si="5"/>
        <v>0.9790511458</v>
      </c>
      <c r="AK83" s="232"/>
      <c r="AL83" s="233"/>
      <c r="AM83" s="173"/>
    </row>
    <row r="84">
      <c r="A84" s="76">
        <f>IFERROR(__xludf.DUMMYFUNCTION("""COMPUTED_VALUE"""),5045.0)</f>
        <v>5045</v>
      </c>
      <c r="B84" s="232">
        <f>IFERROR(__xludf.DUMMYFUNCTION("""COMPUTED_VALUE"""),46111.756499166666)</f>
        <v>46111.7565</v>
      </c>
      <c r="C84" s="84">
        <f>IFERROR(__xludf.DUMMYFUNCTION("""COMPUTED_VALUE"""),46111.656170636576)</f>
        <v>46111.65617</v>
      </c>
      <c r="D84" s="173">
        <f t="shared" si="1"/>
        <v>0.1003285301</v>
      </c>
      <c r="G84" s="76">
        <f>IFERROR(__xludf.DUMMYFUNCTION("""COMPUTED_VALUE"""),5045.0)</f>
        <v>5045</v>
      </c>
      <c r="H84" s="232">
        <f>IFERROR(__xludf.DUMMYFUNCTION("""COMPUTED_VALUE"""),46111.76344361111)</f>
        <v>46111.76344</v>
      </c>
      <c r="I84" s="84">
        <f>IFERROR(__xludf.DUMMYFUNCTION("""COMPUTED_VALUE"""),46111.65651188657)</f>
        <v>46111.65651</v>
      </c>
      <c r="J84" s="76">
        <f t="shared" si="2"/>
        <v>0.1069317245</v>
      </c>
      <c r="L84" s="76">
        <f>IFERROR(__xludf.DUMMYFUNCTION("""COMPUTED_VALUE"""),5045.0)</f>
        <v>5045</v>
      </c>
      <c r="M84" s="232">
        <f>IFERROR(__xludf.DUMMYFUNCTION("""COMPUTED_VALUE"""),46112.42986111111)</f>
        <v>46112.42986</v>
      </c>
      <c r="N84" s="84">
        <f>IFERROR(__xludf.DUMMYFUNCTION("""COMPUTED_VALUE"""),46111.6565616088)</f>
        <v>46111.65656</v>
      </c>
      <c r="O84" s="76">
        <f t="shared" si="3"/>
        <v>0.7732995023</v>
      </c>
      <c r="Q84" s="76">
        <f>IFERROR(__xludf.DUMMYFUNCTION("""COMPUTED_VALUE"""),5040.0)</f>
        <v>5040</v>
      </c>
      <c r="R84" s="232">
        <f>IFERROR(__xludf.DUMMYFUNCTION("""COMPUTED_VALUE"""),46112.611805555556)</f>
        <v>46112.61181</v>
      </c>
      <c r="S84" s="84">
        <f>IFERROR(__xludf.DUMMYFUNCTION("""COMPUTED_VALUE"""),46110.51058166666)</f>
        <v>46110.51058</v>
      </c>
      <c r="T84" s="76">
        <f t="shared" si="4"/>
        <v>2.101223889</v>
      </c>
      <c r="V84" s="76">
        <f>IFERROR(__xludf.DUMMYFUNCTION("""COMPUTED_VALUE"""),5045.0)</f>
        <v>5045</v>
      </c>
      <c r="W84" s="232">
        <f>IFERROR(__xludf.DUMMYFUNCTION("""COMPUTED_VALUE"""),46113.47152777777)</f>
        <v>46113.47153</v>
      </c>
      <c r="X84" s="84">
        <f>IFERROR(__xludf.DUMMYFUNCTION("""COMPUTED_VALUE"""),46112.5627428588)</f>
        <v>46112.56274</v>
      </c>
      <c r="Y84" s="76">
        <f t="shared" si="5"/>
        <v>0.908784919</v>
      </c>
      <c r="AK84" s="232"/>
      <c r="AL84" s="233"/>
      <c r="AM84" s="173"/>
    </row>
    <row r="85">
      <c r="A85" s="76">
        <f>IFERROR(__xludf.DUMMYFUNCTION("""COMPUTED_VALUE"""),5046.0)</f>
        <v>5046</v>
      </c>
      <c r="B85" s="232">
        <f>IFERROR(__xludf.DUMMYFUNCTION("""COMPUTED_VALUE"""),46111.80622555555)</f>
        <v>46111.80623</v>
      </c>
      <c r="C85" s="84">
        <f>IFERROR(__xludf.DUMMYFUNCTION("""COMPUTED_VALUE"""),46111.65617724537)</f>
        <v>46111.65618</v>
      </c>
      <c r="D85" s="173">
        <f t="shared" si="1"/>
        <v>0.1500483102</v>
      </c>
      <c r="G85" s="76">
        <f>IFERROR(__xludf.DUMMYFUNCTION("""COMPUTED_VALUE"""),5046.0)</f>
        <v>5046</v>
      </c>
      <c r="H85" s="232">
        <f>IFERROR(__xludf.DUMMYFUNCTION("""COMPUTED_VALUE"""),46111.813169999994)</f>
        <v>46111.81317</v>
      </c>
      <c r="I85" s="84">
        <f>IFERROR(__xludf.DUMMYFUNCTION("""COMPUTED_VALUE"""),46111.65646940972)</f>
        <v>46111.65647</v>
      </c>
      <c r="J85" s="76">
        <f t="shared" si="2"/>
        <v>0.1567005903</v>
      </c>
      <c r="L85" s="76">
        <f>IFERROR(__xludf.DUMMYFUNCTION("""COMPUTED_VALUE"""),5046.0)</f>
        <v>5046</v>
      </c>
      <c r="M85" s="232">
        <f>IFERROR(__xludf.DUMMYFUNCTION("""COMPUTED_VALUE"""),46112.520833333336)</f>
        <v>46112.52083</v>
      </c>
      <c r="N85" s="84">
        <f>IFERROR(__xludf.DUMMYFUNCTION("""COMPUTED_VALUE"""),46111.6565616088)</f>
        <v>46111.65656</v>
      </c>
      <c r="O85" s="76">
        <f t="shared" si="3"/>
        <v>0.8642717245</v>
      </c>
      <c r="Q85" s="76">
        <f>IFERROR(__xludf.DUMMYFUNCTION("""COMPUTED_VALUE"""),5041.0)</f>
        <v>5041</v>
      </c>
      <c r="R85" s="232">
        <f>IFERROR(__xludf.DUMMYFUNCTION("""COMPUTED_VALUE"""),46112.6125)</f>
        <v>46112.6125</v>
      </c>
      <c r="S85" s="84">
        <f>IFERROR(__xludf.DUMMYFUNCTION("""COMPUTED_VALUE"""),46110.59368672453)</f>
        <v>46110.59369</v>
      </c>
      <c r="T85" s="76">
        <f t="shared" si="4"/>
        <v>2.018813275</v>
      </c>
      <c r="V85" s="76">
        <f>IFERROR(__xludf.DUMMYFUNCTION("""COMPUTED_VALUE"""),5046.0)</f>
        <v>5046</v>
      </c>
      <c r="W85" s="232">
        <f>IFERROR(__xludf.DUMMYFUNCTION("""COMPUTED_VALUE"""),46113.5625)</f>
        <v>46113.5625</v>
      </c>
      <c r="X85" s="84">
        <f>IFERROR(__xludf.DUMMYFUNCTION("""COMPUTED_VALUE"""),46112.5627428588)</f>
        <v>46112.56274</v>
      </c>
      <c r="Y85" s="76">
        <f t="shared" si="5"/>
        <v>0.9997571412</v>
      </c>
      <c r="AK85" s="232"/>
      <c r="AL85" s="233"/>
      <c r="AM85" s="173"/>
    </row>
    <row r="86">
      <c r="A86" s="76">
        <f>IFERROR(__xludf.DUMMYFUNCTION("""COMPUTED_VALUE"""),5047.0)</f>
        <v>5047</v>
      </c>
      <c r="B86" s="232">
        <f>IFERROR(__xludf.DUMMYFUNCTION("""COMPUTED_VALUE"""),46111.80738493056)</f>
        <v>46111.80738</v>
      </c>
      <c r="C86" s="84">
        <f>IFERROR(__xludf.DUMMYFUNCTION("""COMPUTED_VALUE"""),46111.65618880787)</f>
        <v>46111.65619</v>
      </c>
      <c r="D86" s="173">
        <f t="shared" si="1"/>
        <v>0.1511961227</v>
      </c>
      <c r="G86" s="76">
        <f>IFERROR(__xludf.DUMMYFUNCTION("""COMPUTED_VALUE"""),5047.0)</f>
        <v>5047</v>
      </c>
      <c r="H86" s="232">
        <f>IFERROR(__xludf.DUMMYFUNCTION("""COMPUTED_VALUE"""),46111.814329375)</f>
        <v>46111.81433</v>
      </c>
      <c r="I86" s="84">
        <f>IFERROR(__xludf.DUMMYFUNCTION("""COMPUTED_VALUE"""),46111.6564825463)</f>
        <v>46111.65648</v>
      </c>
      <c r="J86" s="76">
        <f t="shared" si="2"/>
        <v>0.1578468287</v>
      </c>
      <c r="L86" s="76">
        <f>IFERROR(__xludf.DUMMYFUNCTION("""COMPUTED_VALUE"""),5047.0)</f>
        <v>5047</v>
      </c>
      <c r="M86" s="232">
        <f>IFERROR(__xludf.DUMMYFUNCTION("""COMPUTED_VALUE"""),46112.52222222222)</f>
        <v>46112.52222</v>
      </c>
      <c r="N86" s="84">
        <f>IFERROR(__xludf.DUMMYFUNCTION("""COMPUTED_VALUE"""),46111.6565616088)</f>
        <v>46111.65656</v>
      </c>
      <c r="O86" s="76">
        <f t="shared" si="3"/>
        <v>0.8656606134</v>
      </c>
      <c r="Q86" s="76">
        <f>IFERROR(__xludf.DUMMYFUNCTION("""COMPUTED_VALUE"""),5042.0)</f>
        <v>5042</v>
      </c>
      <c r="R86" s="232">
        <f>IFERROR(__xludf.DUMMYFUNCTION("""COMPUTED_VALUE"""),46112.61388888889)</f>
        <v>46112.61389</v>
      </c>
      <c r="S86" s="84">
        <f>IFERROR(__xludf.DUMMYFUNCTION("""COMPUTED_VALUE"""),46110.594001875)</f>
        <v>46110.594</v>
      </c>
      <c r="T86" s="76">
        <f t="shared" si="4"/>
        <v>2.019887014</v>
      </c>
      <c r="V86" s="76">
        <f>IFERROR(__xludf.DUMMYFUNCTION("""COMPUTED_VALUE"""),5047.0)</f>
        <v>5047</v>
      </c>
      <c r="W86" s="232">
        <f>IFERROR(__xludf.DUMMYFUNCTION("""COMPUTED_VALUE"""),46113.563888888886)</f>
        <v>46113.56389</v>
      </c>
      <c r="X86" s="84">
        <f>IFERROR(__xludf.DUMMYFUNCTION("""COMPUTED_VALUE"""),46112.562750439814)</f>
        <v>46112.56275</v>
      </c>
      <c r="Y86" s="76">
        <f t="shared" si="5"/>
        <v>1.001138449</v>
      </c>
      <c r="AK86" s="232"/>
      <c r="AL86" s="233"/>
      <c r="AM86" s="173"/>
    </row>
    <row r="87">
      <c r="A87" s="76">
        <f>IFERROR(__xludf.DUMMYFUNCTION("""COMPUTED_VALUE"""),5048.0)</f>
        <v>5048</v>
      </c>
      <c r="B87" s="232">
        <f>IFERROR(__xludf.DUMMYFUNCTION("""COMPUTED_VALUE"""),46111.80812625)</f>
        <v>46111.80813</v>
      </c>
      <c r="C87" s="84">
        <f>IFERROR(__xludf.DUMMYFUNCTION("""COMPUTED_VALUE"""),46111.65618880787)</f>
        <v>46111.65619</v>
      </c>
      <c r="D87" s="173">
        <f t="shared" si="1"/>
        <v>0.1519374421</v>
      </c>
      <c r="G87" s="76">
        <f>IFERROR(__xludf.DUMMYFUNCTION("""COMPUTED_VALUE"""),5048.0)</f>
        <v>5048</v>
      </c>
      <c r="H87" s="232">
        <f>IFERROR(__xludf.DUMMYFUNCTION("""COMPUTED_VALUE"""),46111.81507069444)</f>
        <v>46111.81507</v>
      </c>
      <c r="I87" s="84">
        <f>IFERROR(__xludf.DUMMYFUNCTION("""COMPUTED_VALUE"""),46111.65650326389)</f>
        <v>46111.6565</v>
      </c>
      <c r="J87" s="76">
        <f t="shared" si="2"/>
        <v>0.1585674306</v>
      </c>
      <c r="L87" s="76">
        <f>IFERROR(__xludf.DUMMYFUNCTION("""COMPUTED_VALUE"""),5048.0)</f>
        <v>5048</v>
      </c>
      <c r="M87" s="232">
        <f>IFERROR(__xludf.DUMMYFUNCTION("""COMPUTED_VALUE"""),46112.52291666667)</f>
        <v>46112.52292</v>
      </c>
      <c r="N87" s="84">
        <f>IFERROR(__xludf.DUMMYFUNCTION("""COMPUTED_VALUE"""),46111.65656319444)</f>
        <v>46111.65656</v>
      </c>
      <c r="O87" s="76">
        <f t="shared" si="3"/>
        <v>0.8663534722</v>
      </c>
      <c r="Q87" s="76">
        <f>IFERROR(__xludf.DUMMYFUNCTION("""COMPUTED_VALUE"""),5043.0)</f>
        <v>5043</v>
      </c>
      <c r="R87" s="232">
        <f>IFERROR(__xludf.DUMMYFUNCTION("""COMPUTED_VALUE"""),46112.617361111115)</f>
        <v>46112.61736</v>
      </c>
      <c r="S87" s="84">
        <f>IFERROR(__xludf.DUMMYFUNCTION("""COMPUTED_VALUE"""),46109.68442622686)</f>
        <v>46109.68443</v>
      </c>
      <c r="T87" s="76">
        <f t="shared" si="4"/>
        <v>2.932934884</v>
      </c>
      <c r="V87" s="76">
        <f>IFERROR(__xludf.DUMMYFUNCTION("""COMPUTED_VALUE"""),5048.0)</f>
        <v>5048</v>
      </c>
      <c r="W87" s="232">
        <f>IFERROR(__xludf.DUMMYFUNCTION("""COMPUTED_VALUE"""),46113.56458333333)</f>
        <v>46113.56458</v>
      </c>
      <c r="X87" s="84">
        <f>IFERROR(__xludf.DUMMYFUNCTION("""COMPUTED_VALUE"""),46112.56275788194)</f>
        <v>46112.56276</v>
      </c>
      <c r="Y87" s="76">
        <f t="shared" si="5"/>
        <v>1.001825451</v>
      </c>
      <c r="AK87" s="232"/>
      <c r="AL87" s="233"/>
      <c r="AM87" s="173"/>
    </row>
    <row r="88">
      <c r="A88" s="76">
        <f>IFERROR(__xludf.DUMMYFUNCTION("""COMPUTED_VALUE"""),5049.0)</f>
        <v>5049</v>
      </c>
      <c r="B88" s="232">
        <f>IFERROR(__xludf.DUMMYFUNCTION("""COMPUTED_VALUE"""),46111.80935456018)</f>
        <v>46111.80935</v>
      </c>
      <c r="C88" s="84">
        <f>IFERROR(__xludf.DUMMYFUNCTION("""COMPUTED_VALUE"""),46111.65616625)</f>
        <v>46111.65617</v>
      </c>
      <c r="D88" s="173">
        <f t="shared" si="1"/>
        <v>0.1531883102</v>
      </c>
      <c r="G88" s="76">
        <f>IFERROR(__xludf.DUMMYFUNCTION("""COMPUTED_VALUE"""),5049.0)</f>
        <v>5049</v>
      </c>
      <c r="H88" s="232">
        <f>IFERROR(__xludf.DUMMYFUNCTION("""COMPUTED_VALUE"""),46111.816299004626)</f>
        <v>46111.8163</v>
      </c>
      <c r="I88" s="84">
        <f>IFERROR(__xludf.DUMMYFUNCTION("""COMPUTED_VALUE"""),46111.65649314815)</f>
        <v>46111.65649</v>
      </c>
      <c r="J88" s="76">
        <f t="shared" si="2"/>
        <v>0.1598058565</v>
      </c>
      <c r="L88" s="76">
        <f>IFERROR(__xludf.DUMMYFUNCTION("""COMPUTED_VALUE"""),5049.0)</f>
        <v>5049</v>
      </c>
      <c r="M88" s="232">
        <f>IFERROR(__xludf.DUMMYFUNCTION("""COMPUTED_VALUE"""),46112.524305555555)</f>
        <v>46112.52431</v>
      </c>
      <c r="N88" s="84">
        <f>IFERROR(__xludf.DUMMYFUNCTION("""COMPUTED_VALUE"""),46111.65656319444)</f>
        <v>46111.65656</v>
      </c>
      <c r="O88" s="76">
        <f t="shared" si="3"/>
        <v>0.8677423611</v>
      </c>
      <c r="Q88" s="76">
        <f>IFERROR(__xludf.DUMMYFUNCTION("""COMPUTED_VALUE"""),5044.0)</f>
        <v>5044</v>
      </c>
      <c r="R88" s="232">
        <f>IFERROR(__xludf.DUMMYFUNCTION("""COMPUTED_VALUE"""),46112.80069444444)</f>
        <v>46112.80069</v>
      </c>
      <c r="S88" s="84">
        <f>IFERROR(__xludf.DUMMYFUNCTION("""COMPUTED_VALUE"""),46111.54586644676)</f>
        <v>46111.54587</v>
      </c>
      <c r="T88" s="76">
        <f t="shared" si="4"/>
        <v>1.254827998</v>
      </c>
      <c r="V88" s="76">
        <f>IFERROR(__xludf.DUMMYFUNCTION("""COMPUTED_VALUE"""),5049.0)</f>
        <v>5049</v>
      </c>
      <c r="W88" s="232">
        <f>IFERROR(__xludf.DUMMYFUNCTION("""COMPUTED_VALUE"""),46113.56597222222)</f>
        <v>46113.56597</v>
      </c>
      <c r="X88" s="84">
        <f>IFERROR(__xludf.DUMMYFUNCTION("""COMPUTED_VALUE"""),46112.56276396991)</f>
        <v>46112.56276</v>
      </c>
      <c r="Y88" s="76">
        <f t="shared" si="5"/>
        <v>1.003208252</v>
      </c>
      <c r="AK88" s="232"/>
      <c r="AL88" s="233"/>
      <c r="AM88" s="173"/>
    </row>
    <row r="89">
      <c r="A89" s="76">
        <f>IFERROR(__xludf.DUMMYFUNCTION("""COMPUTED_VALUE"""),5050.0)</f>
        <v>5050</v>
      </c>
      <c r="B89" s="232">
        <f>IFERROR(__xludf.DUMMYFUNCTION("""COMPUTED_VALUE"""),46112.46805555556)</f>
        <v>46112.46806</v>
      </c>
      <c r="C89" s="84">
        <f>IFERROR(__xludf.DUMMYFUNCTION("""COMPUTED_VALUE"""),46111.72278486111)</f>
        <v>46111.72278</v>
      </c>
      <c r="D89" s="173">
        <f t="shared" si="1"/>
        <v>0.7452706945</v>
      </c>
      <c r="G89" s="76">
        <f>IFERROR(__xludf.DUMMYFUNCTION("""COMPUTED_VALUE"""),5050.0)</f>
        <v>5050</v>
      </c>
      <c r="H89" s="232">
        <f>IFERROR(__xludf.DUMMYFUNCTION("""COMPUTED_VALUE"""),46112.475000000006)</f>
        <v>46112.475</v>
      </c>
      <c r="I89" s="84">
        <f>IFERROR(__xludf.DUMMYFUNCTION("""COMPUTED_VALUE"""),46111.80254440972)</f>
        <v>46111.80254</v>
      </c>
      <c r="J89" s="76">
        <f t="shared" si="2"/>
        <v>0.6724555903</v>
      </c>
      <c r="L89" s="76">
        <f>IFERROR(__xludf.DUMMYFUNCTION("""COMPUTED_VALUE"""),5050.0)</f>
        <v>5050</v>
      </c>
      <c r="M89" s="232">
        <f>IFERROR(__xludf.DUMMYFUNCTION("""COMPUTED_VALUE"""),46112.57916666667)</f>
        <v>46112.57917</v>
      </c>
      <c r="N89" s="84">
        <f>IFERROR(__xludf.DUMMYFUNCTION("""COMPUTED_VALUE"""),46111.80259842593)</f>
        <v>46111.8026</v>
      </c>
      <c r="O89" s="76">
        <f t="shared" si="3"/>
        <v>0.7765682407</v>
      </c>
      <c r="Q89" s="76">
        <f>IFERROR(__xludf.DUMMYFUNCTION("""COMPUTED_VALUE"""),5045.0)</f>
        <v>5045</v>
      </c>
      <c r="R89" s="232">
        <f>IFERROR(__xludf.DUMMYFUNCTION("""COMPUTED_VALUE"""),46113.42986111111)</f>
        <v>46113.42986</v>
      </c>
      <c r="S89" s="84">
        <f>IFERROR(__xludf.DUMMYFUNCTION("""COMPUTED_VALUE"""),46112.562635995375)</f>
        <v>46112.56264</v>
      </c>
      <c r="T89" s="76">
        <f t="shared" si="4"/>
        <v>0.8672251157</v>
      </c>
      <c r="V89" s="76">
        <f>IFERROR(__xludf.DUMMYFUNCTION("""COMPUTED_VALUE"""),5050.0)</f>
        <v>5050</v>
      </c>
      <c r="W89" s="232">
        <f>IFERROR(__xludf.DUMMYFUNCTION("""COMPUTED_VALUE"""),46113.62083333333)</f>
        <v>46113.62083</v>
      </c>
      <c r="X89" s="84">
        <f>IFERROR(__xludf.DUMMYFUNCTION("""COMPUTED_VALUE"""),46112.56277476852)</f>
        <v>46112.56277</v>
      </c>
      <c r="Y89" s="76">
        <f t="shared" si="5"/>
        <v>1.058058565</v>
      </c>
      <c r="AK89" s="232"/>
      <c r="AL89" s="233"/>
      <c r="AM89" s="173"/>
    </row>
    <row r="90">
      <c r="A90" s="76">
        <f>IFERROR(__xludf.DUMMYFUNCTION("""COMPUTED_VALUE"""),5051.0)</f>
        <v>5051</v>
      </c>
      <c r="B90" s="232">
        <f>IFERROR(__xludf.DUMMYFUNCTION("""COMPUTED_VALUE"""),46112.65262689815)</f>
        <v>46112.65263</v>
      </c>
      <c r="C90" s="84">
        <f>IFERROR(__xludf.DUMMYFUNCTION("""COMPUTED_VALUE"""),46112.48974938657)</f>
        <v>46112.48975</v>
      </c>
      <c r="D90" s="173">
        <f t="shared" si="1"/>
        <v>0.1628775116</v>
      </c>
      <c r="G90" s="76">
        <f>IFERROR(__xludf.DUMMYFUNCTION("""COMPUTED_VALUE"""),5051.0)</f>
        <v>5051</v>
      </c>
      <c r="H90" s="232">
        <f>IFERROR(__xludf.DUMMYFUNCTION("""COMPUTED_VALUE"""),46112.65957134259)</f>
        <v>46112.65957</v>
      </c>
      <c r="I90" s="84">
        <f>IFERROR(__xludf.DUMMYFUNCTION("""COMPUTED_VALUE"""),46112.48982108796)</f>
        <v>46112.48982</v>
      </c>
      <c r="J90" s="76">
        <f t="shared" si="2"/>
        <v>0.1697502546</v>
      </c>
      <c r="L90" s="76">
        <f>IFERROR(__xludf.DUMMYFUNCTION("""COMPUTED_VALUE"""),5051.0)</f>
        <v>5051</v>
      </c>
      <c r="M90" s="232">
        <f>IFERROR(__xludf.DUMMYFUNCTION("""COMPUTED_VALUE"""),46112.76373800926)</f>
        <v>46112.76374</v>
      </c>
      <c r="N90" s="84">
        <f>IFERROR(__xludf.DUMMYFUNCTION("""COMPUTED_VALUE"""),46112.48989966435)</f>
        <v>46112.4899</v>
      </c>
      <c r="O90" s="76">
        <f t="shared" si="3"/>
        <v>0.2738383449</v>
      </c>
      <c r="Q90" s="76">
        <f>IFERROR(__xludf.DUMMYFUNCTION("""COMPUTED_VALUE"""),5046.0)</f>
        <v>5046</v>
      </c>
      <c r="R90" s="232">
        <f>IFERROR(__xludf.DUMMYFUNCTION("""COMPUTED_VALUE"""),46113.520833333336)</f>
        <v>46113.52083</v>
      </c>
      <c r="S90" s="84">
        <f>IFERROR(__xludf.DUMMYFUNCTION("""COMPUTED_VALUE"""),46112.5626625)</f>
        <v>46112.56266</v>
      </c>
      <c r="T90" s="76">
        <f t="shared" si="4"/>
        <v>0.9581708333</v>
      </c>
      <c r="V90" s="76">
        <f>IFERROR(__xludf.DUMMYFUNCTION("""COMPUTED_VALUE"""),5051.0)</f>
        <v>5051</v>
      </c>
      <c r="W90" s="232">
        <f>IFERROR(__xludf.DUMMYFUNCTION("""COMPUTED_VALUE"""),46113.80486111111)</f>
        <v>46113.80486</v>
      </c>
      <c r="X90" s="84">
        <f>IFERROR(__xludf.DUMMYFUNCTION("""COMPUTED_VALUE"""),46113.45925020833)</f>
        <v>46113.45925</v>
      </c>
      <c r="Y90" s="76">
        <f t="shared" si="5"/>
        <v>0.3456109028</v>
      </c>
      <c r="AK90" s="232"/>
      <c r="AL90" s="233"/>
      <c r="AM90" s="173"/>
    </row>
    <row r="91">
      <c r="A91" s="76">
        <f>IFERROR(__xludf.DUMMYFUNCTION("""COMPUTED_VALUE"""),5052.0)</f>
        <v>5052</v>
      </c>
      <c r="B91" s="232">
        <f>IFERROR(__xludf.DUMMYFUNCTION("""COMPUTED_VALUE"""),46112.655208634256)</f>
        <v>46112.65521</v>
      </c>
      <c r="C91" s="84">
        <f>IFERROR(__xludf.DUMMYFUNCTION("""COMPUTED_VALUE"""),46112.48976511574)</f>
        <v>46112.48977</v>
      </c>
      <c r="D91" s="173">
        <f t="shared" si="1"/>
        <v>0.1654435185</v>
      </c>
      <c r="G91" s="76">
        <f>IFERROR(__xludf.DUMMYFUNCTION("""COMPUTED_VALUE"""),5052.0)</f>
        <v>5052</v>
      </c>
      <c r="H91" s="232">
        <f>IFERROR(__xludf.DUMMYFUNCTION("""COMPUTED_VALUE"""),46112.6621530787)</f>
        <v>46112.66215</v>
      </c>
      <c r="I91" s="84">
        <f>IFERROR(__xludf.DUMMYFUNCTION("""COMPUTED_VALUE"""),46112.48982108796)</f>
        <v>46112.48982</v>
      </c>
      <c r="J91" s="76">
        <f t="shared" si="2"/>
        <v>0.1723319907</v>
      </c>
      <c r="L91" s="76">
        <f>IFERROR(__xludf.DUMMYFUNCTION("""COMPUTED_VALUE"""),5052.0)</f>
        <v>5052</v>
      </c>
      <c r="M91" s="232">
        <f>IFERROR(__xludf.DUMMYFUNCTION("""COMPUTED_VALUE"""),46112.766319745366)</f>
        <v>46112.76632</v>
      </c>
      <c r="N91" s="84">
        <f>IFERROR(__xludf.DUMMYFUNCTION("""COMPUTED_VALUE"""),46112.48985694445)</f>
        <v>46112.48986</v>
      </c>
      <c r="O91" s="76">
        <f t="shared" si="3"/>
        <v>0.2764628009</v>
      </c>
      <c r="Q91" s="76">
        <f>IFERROR(__xludf.DUMMYFUNCTION("""COMPUTED_VALUE"""),5047.0)</f>
        <v>5047</v>
      </c>
      <c r="R91" s="232">
        <f>IFERROR(__xludf.DUMMYFUNCTION("""COMPUTED_VALUE"""),46113.52222222222)</f>
        <v>46113.52222</v>
      </c>
      <c r="S91" s="84">
        <f>IFERROR(__xludf.DUMMYFUNCTION("""COMPUTED_VALUE"""),46112.56266835648)</f>
        <v>46112.56267</v>
      </c>
      <c r="T91" s="76">
        <f t="shared" si="4"/>
        <v>0.9595538657</v>
      </c>
      <c r="V91" s="76">
        <f>IFERROR(__xludf.DUMMYFUNCTION("""COMPUTED_VALUE"""),5052.0)</f>
        <v>5052</v>
      </c>
      <c r="W91" s="232">
        <f>IFERROR(__xludf.DUMMYFUNCTION("""COMPUTED_VALUE"""),46113.80763888889)</f>
        <v>46113.80764</v>
      </c>
      <c r="X91" s="84">
        <f>IFERROR(__xludf.DUMMYFUNCTION("""COMPUTED_VALUE"""),46113.45926768519)</f>
        <v>46113.45927</v>
      </c>
      <c r="Y91" s="76">
        <f t="shared" si="5"/>
        <v>0.3483712037</v>
      </c>
      <c r="AK91" s="232"/>
      <c r="AL91" s="233"/>
      <c r="AM91" s="173"/>
    </row>
    <row r="92">
      <c r="A92" s="76">
        <f>IFERROR(__xludf.DUMMYFUNCTION("""COMPUTED_VALUE"""),5053.0)</f>
        <v>5053</v>
      </c>
      <c r="B92" s="232">
        <f>IFERROR(__xludf.DUMMYFUNCTION("""COMPUTED_VALUE"""),46113.63673456018)</f>
        <v>46113.63673</v>
      </c>
      <c r="C92" s="84">
        <f>IFERROR(__xludf.DUMMYFUNCTION("""COMPUTED_VALUE"""),46113.475449895835)</f>
        <v>46113.47545</v>
      </c>
      <c r="D92" s="173">
        <f t="shared" si="1"/>
        <v>0.1612846643</v>
      </c>
      <c r="G92" s="76">
        <f>IFERROR(__xludf.DUMMYFUNCTION("""COMPUTED_VALUE"""),5053.0)</f>
        <v>5053</v>
      </c>
      <c r="H92" s="232">
        <f>IFERROR(__xludf.DUMMYFUNCTION("""COMPUTED_VALUE"""),46113.64367900463)</f>
        <v>46113.64368</v>
      </c>
      <c r="I92" s="84">
        <f>IFERROR(__xludf.DUMMYFUNCTION("""COMPUTED_VALUE"""),46113.47551278935)</f>
        <v>46113.47551</v>
      </c>
      <c r="J92" s="76">
        <f t="shared" si="2"/>
        <v>0.1681662153</v>
      </c>
      <c r="L92" s="76">
        <f>IFERROR(__xludf.DUMMYFUNCTION("""COMPUTED_VALUE"""),5053.0)</f>
        <v>5053</v>
      </c>
      <c r="M92" s="232">
        <f>IFERROR(__xludf.DUMMYFUNCTION("""COMPUTED_VALUE"""),46113.74784567129)</f>
        <v>46113.74785</v>
      </c>
      <c r="N92" s="84">
        <f>IFERROR(__xludf.DUMMYFUNCTION("""COMPUTED_VALUE"""),46113.51520876157)</f>
        <v>46113.51521</v>
      </c>
      <c r="O92" s="76">
        <f t="shared" si="3"/>
        <v>0.2326369097</v>
      </c>
      <c r="Q92" s="76">
        <f>IFERROR(__xludf.DUMMYFUNCTION("""COMPUTED_VALUE"""),5048.0)</f>
        <v>5048</v>
      </c>
      <c r="R92" s="232">
        <f>IFERROR(__xludf.DUMMYFUNCTION("""COMPUTED_VALUE"""),46113.52291666667)</f>
        <v>46113.52292</v>
      </c>
      <c r="S92" s="84">
        <f>IFERROR(__xludf.DUMMYFUNCTION("""COMPUTED_VALUE"""),46112.56266835648)</f>
        <v>46112.56267</v>
      </c>
      <c r="T92" s="76">
        <f t="shared" si="4"/>
        <v>0.9602483102</v>
      </c>
      <c r="V92" s="76">
        <f>IFERROR(__xludf.DUMMYFUNCTION("""COMPUTED_VALUE"""),5053.0)</f>
        <v>5053</v>
      </c>
      <c r="W92" s="232">
        <f>IFERROR(__xludf.DUMMYFUNCTION("""COMPUTED_VALUE"""),46114.78888888889)</f>
        <v>46114.78889</v>
      </c>
      <c r="X92" s="84">
        <f>IFERROR(__xludf.DUMMYFUNCTION("""COMPUTED_VALUE"""),46113.5187242824)</f>
        <v>46113.51872</v>
      </c>
      <c r="Y92" s="76">
        <f t="shared" si="5"/>
        <v>1.270164606</v>
      </c>
      <c r="AK92" s="232"/>
      <c r="AL92" s="233"/>
      <c r="AM92" s="173"/>
    </row>
    <row r="93">
      <c r="A93" s="76">
        <f>IFERROR(__xludf.DUMMYFUNCTION("""COMPUTED_VALUE"""),5054.0)</f>
        <v>5054</v>
      </c>
      <c r="B93" s="232">
        <f>IFERROR(__xludf.DUMMYFUNCTION("""COMPUTED_VALUE"""),46113.68059730324)</f>
        <v>46113.6806</v>
      </c>
      <c r="C93" s="84">
        <f>IFERROR(__xludf.DUMMYFUNCTION("""COMPUTED_VALUE"""),46113.515295590274)</f>
        <v>46113.5153</v>
      </c>
      <c r="D93" s="173">
        <f t="shared" si="1"/>
        <v>0.165301713</v>
      </c>
      <c r="G93" s="76">
        <f>IFERROR(__xludf.DUMMYFUNCTION("""COMPUTED_VALUE"""),5054.0)</f>
        <v>5054</v>
      </c>
      <c r="H93" s="232">
        <f>IFERROR(__xludf.DUMMYFUNCTION("""COMPUTED_VALUE"""),46113.687541747684)</f>
        <v>46113.68754</v>
      </c>
      <c r="I93" s="84">
        <f>IFERROR(__xludf.DUMMYFUNCTION("""COMPUTED_VALUE"""),46113.515357627315)</f>
        <v>46113.51536</v>
      </c>
      <c r="J93" s="76">
        <f t="shared" si="2"/>
        <v>0.1721841204</v>
      </c>
      <c r="L93" s="76">
        <f>IFERROR(__xludf.DUMMYFUNCTION("""COMPUTED_VALUE"""),5054.0)</f>
        <v>5054</v>
      </c>
      <c r="M93" s="232">
        <f>IFERROR(__xludf.DUMMYFUNCTION("""COMPUTED_VALUE"""),46113.79170841435)</f>
        <v>46113.79171</v>
      </c>
      <c r="N93" s="84">
        <f>IFERROR(__xludf.DUMMYFUNCTION("""COMPUTED_VALUE"""),46113.519178449074)</f>
        <v>46113.51918</v>
      </c>
      <c r="O93" s="76">
        <f t="shared" si="3"/>
        <v>0.2725299653</v>
      </c>
      <c r="Q93" s="76">
        <f>IFERROR(__xludf.DUMMYFUNCTION("""COMPUTED_VALUE"""),5049.0)</f>
        <v>5049</v>
      </c>
      <c r="R93" s="232">
        <f>IFERROR(__xludf.DUMMYFUNCTION("""COMPUTED_VALUE"""),46113.524305555555)</f>
        <v>46113.52431</v>
      </c>
      <c r="S93" s="84">
        <f>IFERROR(__xludf.DUMMYFUNCTION("""COMPUTED_VALUE"""),46112.56266835648)</f>
        <v>46112.56267</v>
      </c>
      <c r="T93" s="76">
        <f t="shared" si="4"/>
        <v>0.9616371991</v>
      </c>
      <c r="V93" s="76">
        <f>IFERROR(__xludf.DUMMYFUNCTION("""COMPUTED_VALUE"""),5054.0)</f>
        <v>5054</v>
      </c>
      <c r="W93" s="232">
        <f>IFERROR(__xludf.DUMMYFUNCTION("""COMPUTED_VALUE"""),46115.416666666664)</f>
        <v>46115.41667</v>
      </c>
      <c r="X93" s="84">
        <f>IFERROR(__xludf.DUMMYFUNCTION("""COMPUTED_VALUE"""),46113.519257673615)</f>
        <v>46113.51926</v>
      </c>
      <c r="Y93" s="76">
        <f t="shared" si="5"/>
        <v>1.897408993</v>
      </c>
      <c r="AK93" s="232"/>
      <c r="AL93" s="233"/>
      <c r="AM93" s="173"/>
    </row>
    <row r="94">
      <c r="A94" s="76">
        <f>IFERROR(__xludf.DUMMYFUNCTION("""COMPUTED_VALUE"""),5055.0)</f>
        <v>5055</v>
      </c>
      <c r="B94" s="232">
        <f>IFERROR(__xludf.DUMMYFUNCTION("""COMPUTED_VALUE"""),46113.690056967585)</f>
        <v>46113.69006</v>
      </c>
      <c r="C94" s="84">
        <f>IFERROR(__xludf.DUMMYFUNCTION("""COMPUTED_VALUE"""),46113.54996231481)</f>
        <v>46113.54996</v>
      </c>
      <c r="D94" s="173">
        <f t="shared" si="1"/>
        <v>0.1400946528</v>
      </c>
      <c r="G94" s="76">
        <f>IFERROR(__xludf.DUMMYFUNCTION("""COMPUTED_VALUE"""),5055.0)</f>
        <v>5055</v>
      </c>
      <c r="H94" s="232">
        <f>IFERROR(__xludf.DUMMYFUNCTION("""COMPUTED_VALUE"""),46113.69700141203)</f>
        <v>46113.697</v>
      </c>
      <c r="I94" s="84">
        <f>IFERROR(__xludf.DUMMYFUNCTION("""COMPUTED_VALUE"""),46113.54999513889)</f>
        <v>46113.55</v>
      </c>
      <c r="J94" s="76">
        <f t="shared" si="2"/>
        <v>0.1470062731</v>
      </c>
      <c r="L94" s="76">
        <f>IFERROR(__xludf.DUMMYFUNCTION("""COMPUTED_VALUE"""),5055.0)</f>
        <v>5055</v>
      </c>
      <c r="M94" s="232">
        <f>IFERROR(__xludf.DUMMYFUNCTION("""COMPUTED_VALUE"""),46113.801168078695)</f>
        <v>46113.80117</v>
      </c>
      <c r="N94" s="84">
        <f>IFERROR(__xludf.DUMMYFUNCTION("""COMPUTED_VALUE"""),46113.550080891204)</f>
        <v>46113.55008</v>
      </c>
      <c r="O94" s="76">
        <f t="shared" si="3"/>
        <v>0.2510871875</v>
      </c>
      <c r="Q94" s="76">
        <f>IFERROR(__xludf.DUMMYFUNCTION("""COMPUTED_VALUE"""),5050.0)</f>
        <v>5050</v>
      </c>
      <c r="R94" s="232">
        <f>IFERROR(__xludf.DUMMYFUNCTION("""COMPUTED_VALUE"""),46113.57916666666)</f>
        <v>46113.57917</v>
      </c>
      <c r="S94" s="84">
        <f>IFERROR(__xludf.DUMMYFUNCTION("""COMPUTED_VALUE"""),46112.56266835648)</f>
        <v>46112.56267</v>
      </c>
      <c r="T94" s="76">
        <f t="shared" si="4"/>
        <v>1.01649831</v>
      </c>
      <c r="V94" s="76">
        <f>IFERROR(__xludf.DUMMYFUNCTION("""COMPUTED_VALUE"""),5055.0)</f>
        <v>5055</v>
      </c>
      <c r="W94" s="232">
        <f>IFERROR(__xludf.DUMMYFUNCTION("""COMPUTED_VALUE"""),46115.50902777778)</f>
        <v>46115.50903</v>
      </c>
      <c r="X94" s="84">
        <f>IFERROR(__xludf.DUMMYFUNCTION("""COMPUTED_VALUE"""),46115.43520144676)</f>
        <v>46115.4352</v>
      </c>
      <c r="Y94" s="76">
        <f t="shared" si="5"/>
        <v>0.07382633102</v>
      </c>
      <c r="AK94" s="232"/>
      <c r="AL94" s="233"/>
      <c r="AM94" s="173"/>
    </row>
    <row r="95">
      <c r="A95" s="76">
        <f>IFERROR(__xludf.DUMMYFUNCTION("""COMPUTED_VALUE"""),5056.0)</f>
        <v>5056</v>
      </c>
      <c r="B95" s="232">
        <f>IFERROR(__xludf.DUMMYFUNCTION("""COMPUTED_VALUE"""),46113.69894443287)</f>
        <v>46113.69894</v>
      </c>
      <c r="C95" s="84">
        <f>IFERROR(__xludf.DUMMYFUNCTION("""COMPUTED_VALUE"""),46113.549177719906)</f>
        <v>46113.54918</v>
      </c>
      <c r="D95" s="173">
        <f t="shared" si="1"/>
        <v>0.149766713</v>
      </c>
      <c r="G95" s="76">
        <f>IFERROR(__xludf.DUMMYFUNCTION("""COMPUTED_VALUE"""),5056.0)</f>
        <v>5056</v>
      </c>
      <c r="H95" s="232">
        <f>IFERROR(__xludf.DUMMYFUNCTION("""COMPUTED_VALUE"""),46113.70588887732)</f>
        <v>46113.70589</v>
      </c>
      <c r="I95" s="84">
        <f>IFERROR(__xludf.DUMMYFUNCTION("""COMPUTED_VALUE"""),46113.54963119213)</f>
        <v>46113.54963</v>
      </c>
      <c r="J95" s="76">
        <f t="shared" si="2"/>
        <v>0.1562576852</v>
      </c>
      <c r="L95" s="76">
        <f>IFERROR(__xludf.DUMMYFUNCTION("""COMPUTED_VALUE"""),5056.0)</f>
        <v>5056</v>
      </c>
      <c r="M95" s="232">
        <f>IFERROR(__xludf.DUMMYFUNCTION("""COMPUTED_VALUE"""),46113.81005554398)</f>
        <v>46113.81006</v>
      </c>
      <c r="N95" s="84">
        <f>IFERROR(__xludf.DUMMYFUNCTION("""COMPUTED_VALUE"""),46113.5501246875)</f>
        <v>46113.55012</v>
      </c>
      <c r="O95" s="76">
        <f t="shared" si="3"/>
        <v>0.2599308565</v>
      </c>
      <c r="Q95" s="76">
        <f>IFERROR(__xludf.DUMMYFUNCTION("""COMPUTED_VALUE"""),5051.0)</f>
        <v>5051</v>
      </c>
      <c r="R95" s="232">
        <f>IFERROR(__xludf.DUMMYFUNCTION("""COMPUTED_VALUE"""),46113.763194444444)</f>
        <v>46113.76319</v>
      </c>
      <c r="S95" s="84">
        <f>IFERROR(__xludf.DUMMYFUNCTION("""COMPUTED_VALUE"""),46112.56260056713)</f>
        <v>46112.5626</v>
      </c>
      <c r="T95" s="76">
        <f t="shared" si="4"/>
        <v>1.200593877</v>
      </c>
      <c r="V95" s="76">
        <f>IFERROR(__xludf.DUMMYFUNCTION("""COMPUTED_VALUE"""),5056.0)</f>
        <v>5056</v>
      </c>
      <c r="W95" s="232">
        <f>IFERROR(__xludf.DUMMYFUNCTION("""COMPUTED_VALUE"""),46115.43472222222)</f>
        <v>46115.43472</v>
      </c>
      <c r="X95" s="84">
        <f>IFERROR(__xludf.DUMMYFUNCTION("""COMPUTED_VALUE"""),46113.56582282408)</f>
        <v>46113.56582</v>
      </c>
      <c r="Y95" s="76">
        <f t="shared" si="5"/>
        <v>1.868899398</v>
      </c>
      <c r="AK95" s="232"/>
      <c r="AL95" s="233"/>
      <c r="AM95" s="173"/>
    </row>
    <row r="96">
      <c r="A96" s="76">
        <f>IFERROR(__xludf.DUMMYFUNCTION("""COMPUTED_VALUE"""),5057.0)</f>
        <v>5057</v>
      </c>
      <c r="B96" s="232">
        <f>IFERROR(__xludf.DUMMYFUNCTION("""COMPUTED_VALUE"""),46113.70049899305)</f>
        <v>46113.7005</v>
      </c>
      <c r="C96" s="84">
        <f>IFERROR(__xludf.DUMMYFUNCTION("""COMPUTED_VALUE"""),46113.54930370371)</f>
        <v>46113.5493</v>
      </c>
      <c r="D96" s="173">
        <f t="shared" si="1"/>
        <v>0.1511952893</v>
      </c>
      <c r="G96" s="76">
        <f>IFERROR(__xludf.DUMMYFUNCTION("""COMPUTED_VALUE"""),5057.0)</f>
        <v>5057</v>
      </c>
      <c r="H96" s="232">
        <f>IFERROR(__xludf.DUMMYFUNCTION("""COMPUTED_VALUE"""),46113.707443437495)</f>
        <v>46113.70744</v>
      </c>
      <c r="I96" s="84">
        <f>IFERROR(__xludf.DUMMYFUNCTION("""COMPUTED_VALUE"""),46113.549668946755)</f>
        <v>46113.54967</v>
      </c>
      <c r="J96" s="76">
        <f t="shared" si="2"/>
        <v>0.1577744907</v>
      </c>
      <c r="L96" s="76">
        <f>IFERROR(__xludf.DUMMYFUNCTION("""COMPUTED_VALUE"""),5057.0)</f>
        <v>5057</v>
      </c>
      <c r="M96" s="232">
        <f>IFERROR(__xludf.DUMMYFUNCTION("""COMPUTED_VALUE"""),46113.81161010416)</f>
        <v>46113.81161</v>
      </c>
      <c r="N96" s="84">
        <f>IFERROR(__xludf.DUMMYFUNCTION("""COMPUTED_VALUE"""),46113.55014047454)</f>
        <v>46113.55014</v>
      </c>
      <c r="O96" s="76">
        <f t="shared" si="3"/>
        <v>0.2614696296</v>
      </c>
      <c r="Q96" s="76">
        <f>IFERROR(__xludf.DUMMYFUNCTION("""COMPUTED_VALUE"""),5052.0)</f>
        <v>5052</v>
      </c>
      <c r="R96" s="232">
        <f>IFERROR(__xludf.DUMMYFUNCTION("""COMPUTED_VALUE"""),46113.76597222222)</f>
        <v>46113.76597</v>
      </c>
      <c r="S96" s="84">
        <f>IFERROR(__xludf.DUMMYFUNCTION("""COMPUTED_VALUE"""),46112.56269910879)</f>
        <v>46112.5627</v>
      </c>
      <c r="T96" s="76">
        <f t="shared" si="4"/>
        <v>1.203273113</v>
      </c>
      <c r="V96" s="76">
        <f>IFERROR(__xludf.DUMMYFUNCTION("""COMPUTED_VALUE"""),5057.0)</f>
        <v>5057</v>
      </c>
      <c r="W96" s="232">
        <f>IFERROR(__xludf.DUMMYFUNCTION("""COMPUTED_VALUE"""),46115.43611111111)</f>
        <v>46115.43611</v>
      </c>
      <c r="X96" s="84">
        <f>IFERROR(__xludf.DUMMYFUNCTION("""COMPUTED_VALUE"""),46113.5657053125)</f>
        <v>46113.56571</v>
      </c>
      <c r="Y96" s="76">
        <f t="shared" si="5"/>
        <v>1.870405799</v>
      </c>
      <c r="AK96" s="232"/>
      <c r="AL96" s="233"/>
      <c r="AM96" s="173"/>
    </row>
    <row r="97">
      <c r="A97" s="76">
        <f>IFERROR(__xludf.DUMMYFUNCTION("""COMPUTED_VALUE"""),5058.0)</f>
        <v>5058</v>
      </c>
      <c r="B97" s="232">
        <f>IFERROR(__xludf.DUMMYFUNCTION("""COMPUTED_VALUE"""),46113.70140194444)</f>
        <v>46113.7014</v>
      </c>
      <c r="C97" s="84">
        <f>IFERROR(__xludf.DUMMYFUNCTION("""COMPUTED_VALUE"""),46113.549432534724)</f>
        <v>46113.54943</v>
      </c>
      <c r="D97" s="173">
        <f t="shared" si="1"/>
        <v>0.1519694097</v>
      </c>
      <c r="G97" s="76">
        <f>IFERROR(__xludf.DUMMYFUNCTION("""COMPUTED_VALUE"""),5058.0)</f>
        <v>5058</v>
      </c>
      <c r="H97" s="232">
        <f>IFERROR(__xludf.DUMMYFUNCTION("""COMPUTED_VALUE"""),46113.708346388885)</f>
        <v>46113.70835</v>
      </c>
      <c r="I97" s="84">
        <f>IFERROR(__xludf.DUMMYFUNCTION("""COMPUTED_VALUE"""),46113.549697511575)</f>
        <v>46113.5497</v>
      </c>
      <c r="J97" s="76">
        <f t="shared" si="2"/>
        <v>0.1586488773</v>
      </c>
      <c r="L97" s="76">
        <f>IFERROR(__xludf.DUMMYFUNCTION("""COMPUTED_VALUE"""),5058.0)</f>
        <v>5058</v>
      </c>
      <c r="M97" s="232">
        <f>IFERROR(__xludf.DUMMYFUNCTION("""COMPUTED_VALUE"""),46113.81251305555)</f>
        <v>46113.81251</v>
      </c>
      <c r="N97" s="84">
        <f>IFERROR(__xludf.DUMMYFUNCTION("""COMPUTED_VALUE"""),46113.55018092593)</f>
        <v>46113.55018</v>
      </c>
      <c r="O97" s="76">
        <f t="shared" si="3"/>
        <v>0.2623321296</v>
      </c>
      <c r="Q97" s="76">
        <f>IFERROR(__xludf.DUMMYFUNCTION("""COMPUTED_VALUE"""),5053.0)</f>
        <v>5053</v>
      </c>
      <c r="R97" s="232">
        <f>IFERROR(__xludf.DUMMYFUNCTION("""COMPUTED_VALUE"""),46114.74722222223)</f>
        <v>46114.74722</v>
      </c>
      <c r="S97" s="84">
        <f>IFERROR(__xludf.DUMMYFUNCTION("""COMPUTED_VALUE"""),46113.51523280093)</f>
        <v>46113.51523</v>
      </c>
      <c r="T97" s="76">
        <f t="shared" si="4"/>
        <v>1.231989421</v>
      </c>
      <c r="V97" s="76">
        <f>IFERROR(__xludf.DUMMYFUNCTION("""COMPUTED_VALUE"""),5058.0)</f>
        <v>5058</v>
      </c>
      <c r="W97" s="232">
        <f>IFERROR(__xludf.DUMMYFUNCTION("""COMPUTED_VALUE"""),46115.4375)</f>
        <v>46115.4375</v>
      </c>
      <c r="X97" s="84">
        <f>IFERROR(__xludf.DUMMYFUNCTION("""COMPUTED_VALUE"""),46113.67630965278)</f>
        <v>46113.67631</v>
      </c>
      <c r="Y97" s="76">
        <f t="shared" si="5"/>
        <v>1.761190347</v>
      </c>
      <c r="AK97" s="232"/>
      <c r="AL97" s="233"/>
      <c r="AM97" s="173"/>
    </row>
    <row r="98">
      <c r="A98" s="76">
        <f>IFERROR(__xludf.DUMMYFUNCTION("""COMPUTED_VALUE"""),5059.0)</f>
        <v>5059</v>
      </c>
      <c r="B98" s="232">
        <f>IFERROR(__xludf.DUMMYFUNCTION("""COMPUTED_VALUE"""),46114.44305555555)</f>
        <v>46114.44306</v>
      </c>
      <c r="C98" s="84">
        <f>IFERROR(__xludf.DUMMYFUNCTION("""COMPUTED_VALUE"""),46113.78315429398)</f>
        <v>46113.78315</v>
      </c>
      <c r="D98" s="173">
        <f t="shared" si="1"/>
        <v>0.6599012616</v>
      </c>
      <c r="G98" s="76">
        <f>IFERROR(__xludf.DUMMYFUNCTION("""COMPUTED_VALUE"""),5059.0)</f>
        <v>5059</v>
      </c>
      <c r="H98" s="232">
        <f>IFERROR(__xludf.DUMMYFUNCTION("""COMPUTED_VALUE"""),46114.45)</f>
        <v>46114.45</v>
      </c>
      <c r="I98" s="84">
        <f>IFERROR(__xludf.DUMMYFUNCTION("""COMPUTED_VALUE"""),46113.783567997685)</f>
        <v>46113.78357</v>
      </c>
      <c r="J98" s="76">
        <f t="shared" si="2"/>
        <v>0.6664320023</v>
      </c>
      <c r="L98" s="76">
        <f>IFERROR(__xludf.DUMMYFUNCTION("""COMPUTED_VALUE"""),5059.0)</f>
        <v>5059</v>
      </c>
      <c r="M98" s="232">
        <f>IFERROR(__xludf.DUMMYFUNCTION("""COMPUTED_VALUE"""),46114.55416666666)</f>
        <v>46114.55417</v>
      </c>
      <c r="N98" s="84">
        <f>IFERROR(__xludf.DUMMYFUNCTION("""COMPUTED_VALUE"""),46113.78364159723)</f>
        <v>46113.78364</v>
      </c>
      <c r="O98" s="76">
        <f t="shared" si="3"/>
        <v>0.7705250694</v>
      </c>
      <c r="Q98" s="76">
        <f>IFERROR(__xludf.DUMMYFUNCTION("""COMPUTED_VALUE"""),5054.0)</f>
        <v>5054</v>
      </c>
      <c r="R98" s="232">
        <f>IFERROR(__xludf.DUMMYFUNCTION("""COMPUTED_VALUE"""),46114.791666666664)</f>
        <v>46114.79167</v>
      </c>
      <c r="S98" s="84">
        <f>IFERROR(__xludf.DUMMYFUNCTION("""COMPUTED_VALUE"""),46113.51921384259)</f>
        <v>46113.51921</v>
      </c>
      <c r="T98" s="76">
        <f t="shared" si="4"/>
        <v>1.272452824</v>
      </c>
      <c r="V98" s="76">
        <f>IFERROR(__xludf.DUMMYFUNCTION("""COMPUTED_VALUE"""),5059.0)</f>
        <v>5059</v>
      </c>
      <c r="W98" s="232">
        <f>IFERROR(__xludf.DUMMYFUNCTION("""COMPUTED_VALUE"""),46115.595833333326)</f>
        <v>46115.59583</v>
      </c>
      <c r="X98" s="84">
        <f>IFERROR(__xludf.DUMMYFUNCTION("""COMPUTED_VALUE"""),46115.43446600695)</f>
        <v>46115.43447</v>
      </c>
      <c r="Y98" s="76">
        <f t="shared" si="5"/>
        <v>0.1613673264</v>
      </c>
      <c r="AK98" s="232"/>
      <c r="AL98" s="233"/>
      <c r="AM98" s="173"/>
    </row>
    <row r="99">
      <c r="A99" s="76">
        <f>IFERROR(__xludf.DUMMYFUNCTION("""COMPUTED_VALUE"""),5060.0)</f>
        <v>5060</v>
      </c>
      <c r="B99" s="232">
        <f>IFERROR(__xludf.DUMMYFUNCTION("""COMPUTED_VALUE"""),46114.445138888885)</f>
        <v>46114.44514</v>
      </c>
      <c r="C99" s="84">
        <f>IFERROR(__xludf.DUMMYFUNCTION("""COMPUTED_VALUE"""),46113.78315429398)</f>
        <v>46113.78315</v>
      </c>
      <c r="D99" s="173">
        <f t="shared" si="1"/>
        <v>0.6619845949</v>
      </c>
      <c r="G99" s="76">
        <f>IFERROR(__xludf.DUMMYFUNCTION("""COMPUTED_VALUE"""),5060.0)</f>
        <v>5060</v>
      </c>
      <c r="H99" s="232">
        <f>IFERROR(__xludf.DUMMYFUNCTION("""COMPUTED_VALUE"""),46114.45208333333)</f>
        <v>46114.45208</v>
      </c>
      <c r="I99" s="84">
        <f>IFERROR(__xludf.DUMMYFUNCTION("""COMPUTED_VALUE"""),46113.783567997685)</f>
        <v>46113.78357</v>
      </c>
      <c r="J99" s="76">
        <f t="shared" si="2"/>
        <v>0.6685153356</v>
      </c>
      <c r="L99" s="76">
        <f>IFERROR(__xludf.DUMMYFUNCTION("""COMPUTED_VALUE"""),5060.0)</f>
        <v>5060</v>
      </c>
      <c r="M99" s="232">
        <f>IFERROR(__xludf.DUMMYFUNCTION("""COMPUTED_VALUE"""),46114.556249999994)</f>
        <v>46114.55625</v>
      </c>
      <c r="N99" s="84">
        <f>IFERROR(__xludf.DUMMYFUNCTION("""COMPUTED_VALUE"""),46113.78364159723)</f>
        <v>46113.78364</v>
      </c>
      <c r="O99" s="76">
        <f t="shared" si="3"/>
        <v>0.7726084028</v>
      </c>
      <c r="Q99" s="76">
        <f>IFERROR(__xludf.DUMMYFUNCTION("""COMPUTED_VALUE"""),5055.0)</f>
        <v>5055</v>
      </c>
      <c r="R99" s="232">
        <f>IFERROR(__xludf.DUMMYFUNCTION("""COMPUTED_VALUE"""),46114.80069444444)</f>
        <v>46114.80069</v>
      </c>
      <c r="S99" s="84">
        <f>IFERROR(__xludf.DUMMYFUNCTION("""COMPUTED_VALUE"""),46114.64350694444)</f>
        <v>46114.64351</v>
      </c>
      <c r="T99" s="76">
        <f t="shared" si="4"/>
        <v>0.1571875</v>
      </c>
      <c r="V99" s="76">
        <f>IFERROR(__xludf.DUMMYFUNCTION("""COMPUTED_VALUE"""),5060.0)</f>
        <v>5060</v>
      </c>
      <c r="W99" s="232">
        <f>IFERROR(__xludf.DUMMYFUNCTION("""COMPUTED_VALUE"""),46115.59791666666)</f>
        <v>46115.59792</v>
      </c>
      <c r="X99" s="84">
        <f>IFERROR(__xludf.DUMMYFUNCTION("""COMPUTED_VALUE"""),46115.4344799074)</f>
        <v>46115.43448</v>
      </c>
      <c r="Y99" s="76">
        <f t="shared" si="5"/>
        <v>0.1634367593</v>
      </c>
      <c r="AK99" s="232"/>
      <c r="AL99" s="233"/>
      <c r="AM99" s="173"/>
    </row>
    <row r="100">
      <c r="A100" s="76">
        <f>IFERROR(__xludf.DUMMYFUNCTION("""COMPUTED_VALUE"""),5061.0)</f>
        <v>5061</v>
      </c>
      <c r="B100" s="232">
        <f>IFERROR(__xludf.DUMMYFUNCTION("""COMPUTED_VALUE"""),46114.47083333333)</f>
        <v>46114.47083</v>
      </c>
      <c r="C100" s="84">
        <f>IFERROR(__xludf.DUMMYFUNCTION("""COMPUTED_VALUE"""),46113.78315429398)</f>
        <v>46113.78315</v>
      </c>
      <c r="D100" s="173">
        <f t="shared" si="1"/>
        <v>0.6876790394</v>
      </c>
      <c r="G100" s="76">
        <f>IFERROR(__xludf.DUMMYFUNCTION("""COMPUTED_VALUE"""),5061.0)</f>
        <v>5061</v>
      </c>
      <c r="H100" s="232">
        <f>IFERROR(__xludf.DUMMYFUNCTION("""COMPUTED_VALUE"""),46114.47777777778)</f>
        <v>46114.47778</v>
      </c>
      <c r="I100" s="84">
        <f>IFERROR(__xludf.DUMMYFUNCTION("""COMPUTED_VALUE"""),46113.783567997685)</f>
        <v>46113.78357</v>
      </c>
      <c r="J100" s="76">
        <f t="shared" si="2"/>
        <v>0.6942097801</v>
      </c>
      <c r="L100" s="76">
        <f>IFERROR(__xludf.DUMMYFUNCTION("""COMPUTED_VALUE"""),5061.0)</f>
        <v>5061</v>
      </c>
      <c r="M100" s="232">
        <f>IFERROR(__xludf.DUMMYFUNCTION("""COMPUTED_VALUE"""),46114.58194444444)</f>
        <v>46114.58194</v>
      </c>
      <c r="N100" s="84">
        <f>IFERROR(__xludf.DUMMYFUNCTION("""COMPUTED_VALUE"""),46113.78364159723)</f>
        <v>46113.78364</v>
      </c>
      <c r="O100" s="76">
        <f t="shared" si="3"/>
        <v>0.7983028472</v>
      </c>
      <c r="Q100" s="76">
        <f>IFERROR(__xludf.DUMMYFUNCTION("""COMPUTED_VALUE"""),5056.0)</f>
        <v>5056</v>
      </c>
      <c r="R100" s="232">
        <f>IFERROR(__xludf.DUMMYFUNCTION("""COMPUTED_VALUE"""),46114.80972222222)</f>
        <v>46114.80972</v>
      </c>
      <c r="S100" s="84">
        <f>IFERROR(__xludf.DUMMYFUNCTION("""COMPUTED_VALUE"""),46113.56576915509)</f>
        <v>46113.56577</v>
      </c>
      <c r="T100" s="76">
        <f t="shared" si="4"/>
        <v>1.243953067</v>
      </c>
      <c r="V100" s="76">
        <f>IFERROR(__xludf.DUMMYFUNCTION("""COMPUTED_VALUE"""),5061.0)</f>
        <v>5061</v>
      </c>
      <c r="W100" s="232">
        <f>IFERROR(__xludf.DUMMYFUNCTION("""COMPUTED_VALUE"""),46115.62361111111)</f>
        <v>46115.62361</v>
      </c>
      <c r="X100" s="84">
        <f>IFERROR(__xludf.DUMMYFUNCTION("""COMPUTED_VALUE"""),46115.43449789352)</f>
        <v>46115.4345</v>
      </c>
      <c r="Y100" s="76">
        <f t="shared" si="5"/>
        <v>0.1891132176</v>
      </c>
      <c r="AK100" s="232"/>
      <c r="AL100" s="233"/>
      <c r="AM100" s="173"/>
    </row>
    <row r="101">
      <c r="A101" s="76">
        <f>IFERROR(__xludf.DUMMYFUNCTION("""COMPUTED_VALUE"""),5062.0)</f>
        <v>5062</v>
      </c>
      <c r="B101" s="232">
        <f>IFERROR(__xludf.DUMMYFUNCTION("""COMPUTED_VALUE"""),46114.48333333334)</f>
        <v>46114.48333</v>
      </c>
      <c r="C101" s="84">
        <f>IFERROR(__xludf.DUMMYFUNCTION("""COMPUTED_VALUE"""),46113.78315429398)</f>
        <v>46113.78315</v>
      </c>
      <c r="D101" s="173">
        <f t="shared" si="1"/>
        <v>0.7001790394</v>
      </c>
      <c r="G101" s="76">
        <f>IFERROR(__xludf.DUMMYFUNCTION("""COMPUTED_VALUE"""),5062.0)</f>
        <v>5062</v>
      </c>
      <c r="H101" s="232">
        <f>IFERROR(__xludf.DUMMYFUNCTION("""COMPUTED_VALUE"""),46114.49027777778)</f>
        <v>46114.49028</v>
      </c>
      <c r="I101" s="84">
        <f>IFERROR(__xludf.DUMMYFUNCTION("""COMPUTED_VALUE"""),46113.783567997685)</f>
        <v>46113.78357</v>
      </c>
      <c r="J101" s="76">
        <f t="shared" si="2"/>
        <v>0.7067097801</v>
      </c>
      <c r="L101" s="76">
        <f>IFERROR(__xludf.DUMMYFUNCTION("""COMPUTED_VALUE"""),5062.0)</f>
        <v>5062</v>
      </c>
      <c r="M101" s="232">
        <f>IFERROR(__xludf.DUMMYFUNCTION("""COMPUTED_VALUE"""),46114.59444444445)</f>
        <v>46114.59444</v>
      </c>
      <c r="N101" s="84">
        <f>IFERROR(__xludf.DUMMYFUNCTION("""COMPUTED_VALUE"""),46113.78363472222)</f>
        <v>46113.78363</v>
      </c>
      <c r="O101" s="76">
        <f t="shared" si="3"/>
        <v>0.8108097222</v>
      </c>
      <c r="Q101" s="76">
        <f>IFERROR(__xludf.DUMMYFUNCTION("""COMPUTED_VALUE"""),5057.0)</f>
        <v>5057</v>
      </c>
      <c r="R101" s="232">
        <f>IFERROR(__xludf.DUMMYFUNCTION("""COMPUTED_VALUE"""),46114.81111111111)</f>
        <v>46114.81111</v>
      </c>
      <c r="S101" s="84">
        <f>IFERROR(__xludf.DUMMYFUNCTION("""COMPUTED_VALUE"""),46113.56566760417)</f>
        <v>46113.56567</v>
      </c>
      <c r="T101" s="76">
        <f t="shared" si="4"/>
        <v>1.245443507</v>
      </c>
      <c r="V101" s="76">
        <f>IFERROR(__xludf.DUMMYFUNCTION("""COMPUTED_VALUE"""),5062.0)</f>
        <v>5062</v>
      </c>
      <c r="W101" s="232">
        <f>IFERROR(__xludf.DUMMYFUNCTION("""COMPUTED_VALUE"""),46115.63611111111)</f>
        <v>46115.63611</v>
      </c>
      <c r="X101" s="84">
        <f>IFERROR(__xludf.DUMMYFUNCTION("""COMPUTED_VALUE"""),46114.84110942129)</f>
        <v>46114.84111</v>
      </c>
      <c r="Y101" s="76">
        <f t="shared" si="5"/>
        <v>0.7950016898</v>
      </c>
      <c r="AK101" s="232"/>
      <c r="AL101" s="233"/>
      <c r="AM101" s="173"/>
    </row>
    <row r="102">
      <c r="A102" s="76">
        <f>IFERROR(__xludf.DUMMYFUNCTION("""COMPUTED_VALUE"""),5063.0)</f>
        <v>5063</v>
      </c>
      <c r="B102" s="232">
        <f>IFERROR(__xludf.DUMMYFUNCTION("""COMPUTED_VALUE"""),46114.48611111112)</f>
        <v>46114.48611</v>
      </c>
      <c r="C102" s="84">
        <f>IFERROR(__xludf.DUMMYFUNCTION("""COMPUTED_VALUE"""),46113.784176932866)</f>
        <v>46113.78418</v>
      </c>
      <c r="D102" s="173">
        <f t="shared" si="1"/>
        <v>0.7019341783</v>
      </c>
      <c r="G102" s="76">
        <f>IFERROR(__xludf.DUMMYFUNCTION("""COMPUTED_VALUE"""),5063.0)</f>
        <v>5063</v>
      </c>
      <c r="H102" s="232">
        <f>IFERROR(__xludf.DUMMYFUNCTION("""COMPUTED_VALUE"""),46114.49305555556)</f>
        <v>46114.49306</v>
      </c>
      <c r="I102" s="84">
        <f>IFERROR(__xludf.DUMMYFUNCTION("""COMPUTED_VALUE"""),46113.78358116898)</f>
        <v>46113.78358</v>
      </c>
      <c r="J102" s="76">
        <f t="shared" si="2"/>
        <v>0.7094743866</v>
      </c>
      <c r="L102" s="76">
        <f>IFERROR(__xludf.DUMMYFUNCTION("""COMPUTED_VALUE"""),5063.0)</f>
        <v>5063</v>
      </c>
      <c r="M102" s="232">
        <f>IFERROR(__xludf.DUMMYFUNCTION("""COMPUTED_VALUE"""),46114.597222222226)</f>
        <v>46114.59722</v>
      </c>
      <c r="N102" s="84">
        <f>IFERROR(__xludf.DUMMYFUNCTION("""COMPUTED_VALUE"""),46113.78430128472)</f>
        <v>46113.7843</v>
      </c>
      <c r="O102" s="76">
        <f t="shared" si="3"/>
        <v>0.8129209375</v>
      </c>
      <c r="Q102" s="76">
        <f>IFERROR(__xludf.DUMMYFUNCTION("""COMPUTED_VALUE"""),5058.0)</f>
        <v>5058</v>
      </c>
      <c r="R102" s="232">
        <f>IFERROR(__xludf.DUMMYFUNCTION("""COMPUTED_VALUE"""),46114.8125)</f>
        <v>46114.8125</v>
      </c>
      <c r="S102" s="84">
        <f>IFERROR(__xludf.DUMMYFUNCTION("""COMPUTED_VALUE"""),46113.676298715276)</f>
        <v>46113.6763</v>
      </c>
      <c r="T102" s="76">
        <f t="shared" si="4"/>
        <v>1.136201285</v>
      </c>
      <c r="V102" s="76">
        <f>IFERROR(__xludf.DUMMYFUNCTION("""COMPUTED_VALUE"""),5063.0)</f>
        <v>5063</v>
      </c>
      <c r="W102" s="232">
        <f>IFERROR(__xludf.DUMMYFUNCTION("""COMPUTED_VALUE"""),46115.63888888889)</f>
        <v>46115.63889</v>
      </c>
      <c r="X102" s="84">
        <f>IFERROR(__xludf.DUMMYFUNCTION("""COMPUTED_VALUE"""),46114.45489631944)</f>
        <v>46114.4549</v>
      </c>
      <c r="Y102" s="76">
        <f t="shared" si="5"/>
        <v>1.183992569</v>
      </c>
      <c r="AK102" s="232"/>
      <c r="AL102" s="233"/>
      <c r="AM102" s="173"/>
    </row>
    <row r="103">
      <c r="A103" s="76">
        <f>IFERROR(__xludf.DUMMYFUNCTION("""COMPUTED_VALUE"""),5064.0)</f>
        <v>5064</v>
      </c>
      <c r="B103" s="232">
        <f>IFERROR(__xludf.DUMMYFUNCTION("""COMPUTED_VALUE"""),46114.486805555556)</f>
        <v>46114.48681</v>
      </c>
      <c r="C103" s="84">
        <f>IFERROR(__xludf.DUMMYFUNCTION("""COMPUTED_VALUE"""),46113.783191423616)</f>
        <v>46113.78319</v>
      </c>
      <c r="D103" s="173">
        <f t="shared" si="1"/>
        <v>0.7036141319</v>
      </c>
      <c r="G103" s="76">
        <f>IFERROR(__xludf.DUMMYFUNCTION("""COMPUTED_VALUE"""),5064.0)</f>
        <v>5064</v>
      </c>
      <c r="H103" s="232">
        <f>IFERROR(__xludf.DUMMYFUNCTION("""COMPUTED_VALUE"""),46114.49375)</f>
        <v>46114.49375</v>
      </c>
      <c r="I103" s="84">
        <f>IFERROR(__xludf.DUMMYFUNCTION("""COMPUTED_VALUE"""),46113.78359075231)</f>
        <v>46113.78359</v>
      </c>
      <c r="J103" s="76">
        <f t="shared" si="2"/>
        <v>0.7101592477</v>
      </c>
      <c r="L103" s="76">
        <f>IFERROR(__xludf.DUMMYFUNCTION("""COMPUTED_VALUE"""),5064.0)</f>
        <v>5064</v>
      </c>
      <c r="M103" s="232">
        <f>IFERROR(__xludf.DUMMYFUNCTION("""COMPUTED_VALUE"""),46114.597916666666)</f>
        <v>46114.59792</v>
      </c>
      <c r="N103" s="84">
        <f>IFERROR(__xludf.DUMMYFUNCTION("""COMPUTED_VALUE"""),46113.784351319446)</f>
        <v>46113.78435</v>
      </c>
      <c r="O103" s="76">
        <f t="shared" si="3"/>
        <v>0.8135653472</v>
      </c>
      <c r="Q103" s="76">
        <f>IFERROR(__xludf.DUMMYFUNCTION("""COMPUTED_VALUE"""),5059.0)</f>
        <v>5059</v>
      </c>
      <c r="R103" s="232">
        <f>IFERROR(__xludf.DUMMYFUNCTION("""COMPUTED_VALUE"""),46115.55416666666)</f>
        <v>46115.55417</v>
      </c>
      <c r="S103" s="84">
        <f>IFERROR(__xludf.DUMMYFUNCTION("""COMPUTED_VALUE"""),46115.43445059028)</f>
        <v>46115.43445</v>
      </c>
      <c r="T103" s="76">
        <f t="shared" si="4"/>
        <v>0.1197160764</v>
      </c>
      <c r="V103" s="76">
        <f>IFERROR(__xludf.DUMMYFUNCTION("""COMPUTED_VALUE"""),5064.0)</f>
        <v>5064</v>
      </c>
      <c r="W103" s="232">
        <f>IFERROR(__xludf.DUMMYFUNCTION("""COMPUTED_VALUE"""),46115.63958333333)</f>
        <v>46115.63958</v>
      </c>
      <c r="X103" s="84">
        <f>IFERROR(__xludf.DUMMYFUNCTION("""COMPUTED_VALUE"""),46114.454912256944)</f>
        <v>46114.45491</v>
      </c>
      <c r="Y103" s="76">
        <f t="shared" si="5"/>
        <v>1.184671076</v>
      </c>
      <c r="AK103" s="232"/>
      <c r="AL103" s="233"/>
      <c r="AM103" s="173"/>
    </row>
    <row r="104">
      <c r="A104" s="76">
        <f>IFERROR(__xludf.DUMMYFUNCTION("""COMPUTED_VALUE"""),5065.0)</f>
        <v>5065</v>
      </c>
      <c r="B104" s="232">
        <f>IFERROR(__xludf.DUMMYFUNCTION("""COMPUTED_VALUE"""),46114.74144025463)</f>
        <v>46114.74144</v>
      </c>
      <c r="C104" s="84">
        <f>IFERROR(__xludf.DUMMYFUNCTION("""COMPUTED_VALUE"""),46114.614763460646)</f>
        <v>46114.61476</v>
      </c>
      <c r="D104" s="173">
        <f t="shared" si="1"/>
        <v>0.126676794</v>
      </c>
      <c r="G104" s="76">
        <f>IFERROR(__xludf.DUMMYFUNCTION("""COMPUTED_VALUE"""),5065.0)</f>
        <v>5065</v>
      </c>
      <c r="H104" s="232">
        <f>IFERROR(__xludf.DUMMYFUNCTION("""COMPUTED_VALUE"""),46114.74838469907)</f>
        <v>46114.74838</v>
      </c>
      <c r="I104" s="84">
        <f>IFERROR(__xludf.DUMMYFUNCTION("""COMPUTED_VALUE"""),46114.61485241898)</f>
        <v>46114.61485</v>
      </c>
      <c r="J104" s="76">
        <f t="shared" si="2"/>
        <v>0.1335322801</v>
      </c>
      <c r="L104" s="76">
        <f>IFERROR(__xludf.DUMMYFUNCTION("""COMPUTED_VALUE"""),5065.0)</f>
        <v>5065</v>
      </c>
      <c r="M104" s="232">
        <f>IFERROR(__xludf.DUMMYFUNCTION("""COMPUTED_VALUE"""),46115.456249999996)</f>
        <v>46115.45625</v>
      </c>
      <c r="N104" s="84">
        <f>IFERROR(__xludf.DUMMYFUNCTION("""COMPUTED_VALUE"""),46114.61489201389)</f>
        <v>46114.61489</v>
      </c>
      <c r="O104" s="76">
        <f t="shared" si="3"/>
        <v>0.8413579861</v>
      </c>
      <c r="Q104" s="76">
        <f>IFERROR(__xludf.DUMMYFUNCTION("""COMPUTED_VALUE"""),5060.0)</f>
        <v>5060</v>
      </c>
      <c r="R104" s="232">
        <f>IFERROR(__xludf.DUMMYFUNCTION("""COMPUTED_VALUE"""),46115.556249999994)</f>
        <v>46115.55625</v>
      </c>
      <c r="S104" s="84">
        <f>IFERROR(__xludf.DUMMYFUNCTION("""COMPUTED_VALUE"""),46115.434411145834)</f>
        <v>46115.43441</v>
      </c>
      <c r="T104" s="76">
        <f t="shared" si="4"/>
        <v>0.1218388542</v>
      </c>
      <c r="V104" s="76">
        <f>IFERROR(__xludf.DUMMYFUNCTION("""COMPUTED_VALUE"""),5065.0)</f>
        <v>5065</v>
      </c>
      <c r="W104" s="232">
        <f>IFERROR(__xludf.DUMMYFUNCTION("""COMPUTED_VALUE"""),46116.49791666666)</f>
        <v>46116.49792</v>
      </c>
      <c r="X104" s="84">
        <f>IFERROR(__xludf.DUMMYFUNCTION("""COMPUTED_VALUE"""),46115.43886637731)</f>
        <v>46115.43887</v>
      </c>
      <c r="Y104" s="76">
        <f t="shared" si="5"/>
        <v>1.059050289</v>
      </c>
      <c r="AK104" s="232"/>
      <c r="AL104" s="233"/>
      <c r="AM104" s="173"/>
    </row>
    <row r="105">
      <c r="A105" s="76">
        <f>IFERROR(__xludf.DUMMYFUNCTION("""COMPUTED_VALUE"""),5066.0)</f>
        <v>5066</v>
      </c>
      <c r="B105" s="232">
        <f>IFERROR(__xludf.DUMMYFUNCTION("""COMPUTED_VALUE"""),46114.803862835644)</f>
        <v>46114.80386</v>
      </c>
      <c r="C105" s="84">
        <f>IFERROR(__xludf.DUMMYFUNCTION("""COMPUTED_VALUE"""),46114.614763460646)</f>
        <v>46114.61476</v>
      </c>
      <c r="D105" s="173">
        <f t="shared" si="1"/>
        <v>0.189099375</v>
      </c>
      <c r="G105" s="76">
        <f>IFERROR(__xludf.DUMMYFUNCTION("""COMPUTED_VALUE"""),5066.0)</f>
        <v>5066</v>
      </c>
      <c r="H105" s="232">
        <f>IFERROR(__xludf.DUMMYFUNCTION("""COMPUTED_VALUE"""),46114.81080728009)</f>
        <v>46114.81081</v>
      </c>
      <c r="I105" s="84">
        <f>IFERROR(__xludf.DUMMYFUNCTION("""COMPUTED_VALUE"""),46114.6803003588)</f>
        <v>46114.6803</v>
      </c>
      <c r="J105" s="76">
        <f t="shared" si="2"/>
        <v>0.1305069213</v>
      </c>
      <c r="L105" s="76">
        <f>IFERROR(__xludf.DUMMYFUNCTION("""COMPUTED_VALUE"""),5066.0)</f>
        <v>5066</v>
      </c>
      <c r="M105" s="232">
        <f>IFERROR(__xludf.DUMMYFUNCTION("""COMPUTED_VALUE"""),46115.47708333334)</f>
        <v>46115.47708</v>
      </c>
      <c r="N105" s="84">
        <f>IFERROR(__xludf.DUMMYFUNCTION("""COMPUTED_VALUE"""),46114.78765726852)</f>
        <v>46114.78766</v>
      </c>
      <c r="O105" s="76">
        <f t="shared" si="3"/>
        <v>0.6894260648</v>
      </c>
      <c r="Q105" s="76">
        <f>IFERROR(__xludf.DUMMYFUNCTION("""COMPUTED_VALUE"""),5061.0)</f>
        <v>5061</v>
      </c>
      <c r="R105" s="232">
        <f>IFERROR(__xludf.DUMMYFUNCTION("""COMPUTED_VALUE"""),46115.58194444444)</f>
        <v>46115.58194</v>
      </c>
      <c r="S105" s="84">
        <f>IFERROR(__xludf.DUMMYFUNCTION("""COMPUTED_VALUE"""),46115.43444164352)</f>
        <v>46115.43444</v>
      </c>
      <c r="T105" s="76">
        <f t="shared" si="4"/>
        <v>0.1475028009</v>
      </c>
      <c r="V105" s="76">
        <f>IFERROR(__xludf.DUMMYFUNCTION("""COMPUTED_VALUE"""),5066.0)</f>
        <v>5066</v>
      </c>
      <c r="W105" s="232">
        <f>IFERROR(__xludf.DUMMYFUNCTION("""COMPUTED_VALUE"""),46116.51875)</f>
        <v>46116.51875</v>
      </c>
      <c r="X105" s="84">
        <f>IFERROR(__xludf.DUMMYFUNCTION("""COMPUTED_VALUE"""),46115.438890150464)</f>
        <v>46115.43889</v>
      </c>
      <c r="Y105" s="76">
        <f t="shared" si="5"/>
        <v>1.07985985</v>
      </c>
      <c r="AK105" s="232"/>
      <c r="AL105" s="233"/>
      <c r="AM105" s="173"/>
    </row>
    <row r="106">
      <c r="A106" s="76">
        <f>IFERROR(__xludf.DUMMYFUNCTION("""COMPUTED_VALUE"""),5067.0)</f>
        <v>5067</v>
      </c>
      <c r="B106" s="232">
        <f>IFERROR(__xludf.DUMMYFUNCTION("""COMPUTED_VALUE"""),46115.42638888889)</f>
        <v>46115.42639</v>
      </c>
      <c r="C106" s="84">
        <f>IFERROR(__xludf.DUMMYFUNCTION("""COMPUTED_VALUE"""),46114.68001162037)</f>
        <v>46114.68001</v>
      </c>
      <c r="D106" s="173">
        <f t="shared" si="1"/>
        <v>0.7463772685</v>
      </c>
      <c r="G106" s="76">
        <f>IFERROR(__xludf.DUMMYFUNCTION("""COMPUTED_VALUE"""),5067.0)</f>
        <v>5067</v>
      </c>
      <c r="H106" s="232">
        <f>IFERROR(__xludf.DUMMYFUNCTION("""COMPUTED_VALUE"""),46115.433333333334)</f>
        <v>46115.43333</v>
      </c>
      <c r="I106" s="84">
        <f>IFERROR(__xludf.DUMMYFUNCTION("""COMPUTED_VALUE"""),46114.6802540625)</f>
        <v>46114.68025</v>
      </c>
      <c r="J106" s="76">
        <f t="shared" si="2"/>
        <v>0.7530792708</v>
      </c>
      <c r="L106" s="76">
        <f>IFERROR(__xludf.DUMMYFUNCTION("""COMPUTED_VALUE"""),5067.0)</f>
        <v>5067</v>
      </c>
      <c r="M106" s="232">
        <f>IFERROR(__xludf.DUMMYFUNCTION("""COMPUTED_VALUE"""),46115.5375)</f>
        <v>46115.5375</v>
      </c>
      <c r="N106" s="84">
        <f>IFERROR(__xludf.DUMMYFUNCTION("""COMPUTED_VALUE"""),46114.71440878473)</f>
        <v>46114.71441</v>
      </c>
      <c r="O106" s="76">
        <f t="shared" si="3"/>
        <v>0.8230912153</v>
      </c>
      <c r="Q106" s="76">
        <f>IFERROR(__xludf.DUMMYFUNCTION("""COMPUTED_VALUE"""),5062.0)</f>
        <v>5062</v>
      </c>
      <c r="R106" s="232">
        <f>IFERROR(__xludf.DUMMYFUNCTION("""COMPUTED_VALUE"""),46115.59444444445)</f>
        <v>46115.59444</v>
      </c>
      <c r="S106" s="84">
        <f>IFERROR(__xludf.DUMMYFUNCTION("""COMPUTED_VALUE"""),46114.84104579861)</f>
        <v>46114.84105</v>
      </c>
      <c r="T106" s="76">
        <f t="shared" si="4"/>
        <v>0.7533986458</v>
      </c>
      <c r="V106" s="76">
        <f>IFERROR(__xludf.DUMMYFUNCTION("""COMPUTED_VALUE"""),5067.0)</f>
        <v>5067</v>
      </c>
      <c r="W106" s="232">
        <f>IFERROR(__xludf.DUMMYFUNCTION("""COMPUTED_VALUE"""),46116.57916666666)</f>
        <v>46116.57917</v>
      </c>
      <c r="X106" s="84">
        <f>IFERROR(__xludf.DUMMYFUNCTION("""COMPUTED_VALUE"""),46114.78793643518)</f>
        <v>46114.78794</v>
      </c>
      <c r="Y106" s="76">
        <f t="shared" si="5"/>
        <v>1.791230231</v>
      </c>
      <c r="AK106" s="232"/>
      <c r="AL106" s="233"/>
      <c r="AM106" s="173"/>
    </row>
    <row r="107">
      <c r="A107" s="76">
        <f>IFERROR(__xludf.DUMMYFUNCTION("""COMPUTED_VALUE"""),5068.0)</f>
        <v>5068</v>
      </c>
      <c r="B107" s="232">
        <f>IFERROR(__xludf.DUMMYFUNCTION("""COMPUTED_VALUE"""),46115.427777777775)</f>
        <v>46115.42778</v>
      </c>
      <c r="C107" s="84">
        <f>IFERROR(__xludf.DUMMYFUNCTION("""COMPUTED_VALUE"""),46114.68017364583)</f>
        <v>46114.68017</v>
      </c>
      <c r="D107" s="173">
        <f t="shared" si="1"/>
        <v>0.7476041319</v>
      </c>
      <c r="G107" s="76">
        <f>IFERROR(__xludf.DUMMYFUNCTION("""COMPUTED_VALUE"""),5068.0)</f>
        <v>5068</v>
      </c>
      <c r="H107" s="232">
        <f>IFERROR(__xludf.DUMMYFUNCTION("""COMPUTED_VALUE"""),46115.43472222222)</f>
        <v>46115.43472</v>
      </c>
      <c r="I107" s="84">
        <f>IFERROR(__xludf.DUMMYFUNCTION("""COMPUTED_VALUE"""),46114.68031925926)</f>
        <v>46114.68032</v>
      </c>
      <c r="J107" s="76">
        <f t="shared" si="2"/>
        <v>0.754402963</v>
      </c>
      <c r="L107" s="76">
        <f>IFERROR(__xludf.DUMMYFUNCTION("""COMPUTED_VALUE"""),5068.0)</f>
        <v>5068</v>
      </c>
      <c r="M107" s="232">
        <f>IFERROR(__xludf.DUMMYFUNCTION("""COMPUTED_VALUE"""),46115.538888888885)</f>
        <v>46115.53889</v>
      </c>
      <c r="N107" s="84">
        <f>IFERROR(__xludf.DUMMYFUNCTION("""COMPUTED_VALUE"""),46114.71441252315)</f>
        <v>46114.71441</v>
      </c>
      <c r="O107" s="76">
        <f t="shared" si="3"/>
        <v>0.8244763657</v>
      </c>
      <c r="Q107" s="76">
        <f>IFERROR(__xludf.DUMMYFUNCTION("""COMPUTED_VALUE"""),5063.0)</f>
        <v>5063</v>
      </c>
      <c r="R107" s="232">
        <f>IFERROR(__xludf.DUMMYFUNCTION("""COMPUTED_VALUE"""),46115.597222222226)</f>
        <v>46115.59722</v>
      </c>
      <c r="S107" s="84">
        <f>IFERROR(__xludf.DUMMYFUNCTION("""COMPUTED_VALUE"""),46114.4548665162)</f>
        <v>46114.45487</v>
      </c>
      <c r="T107" s="76">
        <f t="shared" si="4"/>
        <v>1.142355706</v>
      </c>
      <c r="V107" s="76">
        <f>IFERROR(__xludf.DUMMYFUNCTION("""COMPUTED_VALUE"""),5068.0)</f>
        <v>5068</v>
      </c>
      <c r="W107" s="232">
        <f>IFERROR(__xludf.DUMMYFUNCTION("""COMPUTED_VALUE"""),46116.580555555556)</f>
        <v>46116.58056</v>
      </c>
      <c r="X107" s="84">
        <f>IFERROR(__xludf.DUMMYFUNCTION("""COMPUTED_VALUE"""),46114.78795275463)</f>
        <v>46114.78795</v>
      </c>
      <c r="Y107" s="76">
        <f t="shared" si="5"/>
        <v>1.792602801</v>
      </c>
      <c r="AK107" s="232"/>
      <c r="AL107" s="233"/>
      <c r="AM107" s="173"/>
    </row>
    <row r="108">
      <c r="A108" s="76">
        <f>IFERROR(__xludf.DUMMYFUNCTION("""COMPUTED_VALUE"""),5069.0)</f>
        <v>5069</v>
      </c>
      <c r="B108" s="232">
        <f>IFERROR(__xludf.DUMMYFUNCTION("""COMPUTED_VALUE"""),46115.63946085648)</f>
        <v>46115.63946</v>
      </c>
      <c r="C108" s="84">
        <f>IFERROR(__xludf.DUMMYFUNCTION("""COMPUTED_VALUE"""),46115.51588378473)</f>
        <v>46115.51588</v>
      </c>
      <c r="D108" s="173">
        <f t="shared" si="1"/>
        <v>0.1235770718</v>
      </c>
      <c r="G108" s="76">
        <f>IFERROR(__xludf.DUMMYFUNCTION("""COMPUTED_VALUE"""),5069.0)</f>
        <v>5069</v>
      </c>
      <c r="H108" s="232">
        <f>IFERROR(__xludf.DUMMYFUNCTION("""COMPUTED_VALUE"""),46115.646405300926)</f>
        <v>46115.64641</v>
      </c>
      <c r="I108" s="84">
        <f>IFERROR(__xludf.DUMMYFUNCTION("""COMPUTED_VALUE"""),46115.51617155093)</f>
        <v>46115.51617</v>
      </c>
      <c r="J108" s="76">
        <f t="shared" si="2"/>
        <v>0.13023375</v>
      </c>
      <c r="L108" s="76">
        <f>IFERROR(__xludf.DUMMYFUNCTION("""COMPUTED_VALUE"""),5069.0)</f>
        <v>5069</v>
      </c>
      <c r="M108" s="232">
        <f>IFERROR(__xludf.DUMMYFUNCTION("""COMPUTED_VALUE"""),46115.75057196759)</f>
        <v>46115.75057</v>
      </c>
      <c r="N108" s="84">
        <f>IFERROR(__xludf.DUMMYFUNCTION("""COMPUTED_VALUE"""),46115.51621256945)</f>
        <v>46115.51621</v>
      </c>
      <c r="O108" s="76">
        <f t="shared" si="3"/>
        <v>0.2343593981</v>
      </c>
      <c r="Q108" s="76">
        <f>IFERROR(__xludf.DUMMYFUNCTION("""COMPUTED_VALUE"""),5064.0)</f>
        <v>5064</v>
      </c>
      <c r="R108" s="232">
        <f>IFERROR(__xludf.DUMMYFUNCTION("""COMPUTED_VALUE"""),46115.597916666666)</f>
        <v>46115.59792</v>
      </c>
      <c r="S108" s="84">
        <f>IFERROR(__xludf.DUMMYFUNCTION("""COMPUTED_VALUE"""),46114.4548765625)</f>
        <v>46114.45488</v>
      </c>
      <c r="T108" s="76">
        <f t="shared" si="4"/>
        <v>1.143040104</v>
      </c>
      <c r="V108" s="76">
        <f>IFERROR(__xludf.DUMMYFUNCTION("""COMPUTED_VALUE"""),5069.0)</f>
        <v>5069</v>
      </c>
      <c r="W108" s="232">
        <f>IFERROR(__xludf.DUMMYFUNCTION("""COMPUTED_VALUE"""),46116.791666666664)</f>
        <v>46116.79167</v>
      </c>
      <c r="X108" s="84">
        <f>IFERROR(__xludf.DUMMYFUNCTION("""COMPUTED_VALUE"""),46115.695649155095)</f>
        <v>46115.69565</v>
      </c>
      <c r="Y108" s="76">
        <f t="shared" si="5"/>
        <v>1.096017512</v>
      </c>
      <c r="AK108" s="232"/>
      <c r="AL108" s="233"/>
      <c r="AM108" s="173"/>
    </row>
    <row r="109">
      <c r="A109" s="76">
        <f>IFERROR(__xludf.DUMMYFUNCTION("""COMPUTED_VALUE"""),5070.0)</f>
        <v>5070</v>
      </c>
      <c r="B109" s="232">
        <f>IFERROR(__xludf.DUMMYFUNCTION("""COMPUTED_VALUE"""),46115.64567244212)</f>
        <v>46115.64567</v>
      </c>
      <c r="C109" s="84">
        <f>IFERROR(__xludf.DUMMYFUNCTION("""COMPUTED_VALUE"""),46115.515862534725)</f>
        <v>46115.51586</v>
      </c>
      <c r="D109" s="173">
        <f t="shared" si="1"/>
        <v>0.1298099074</v>
      </c>
      <c r="G109" s="76">
        <f>IFERROR(__xludf.DUMMYFUNCTION("""COMPUTED_VALUE"""),5070.0)</f>
        <v>5070</v>
      </c>
      <c r="H109" s="232">
        <f>IFERROR(__xludf.DUMMYFUNCTION("""COMPUTED_VALUE"""),46115.65261688657)</f>
        <v>46115.65262</v>
      </c>
      <c r="I109" s="84">
        <f>IFERROR(__xludf.DUMMYFUNCTION("""COMPUTED_VALUE"""),46115.51617155093)</f>
        <v>46115.51617</v>
      </c>
      <c r="J109" s="76">
        <f t="shared" si="2"/>
        <v>0.1364453356</v>
      </c>
      <c r="L109" s="76">
        <f>IFERROR(__xludf.DUMMYFUNCTION("""COMPUTED_VALUE"""),5070.0)</f>
        <v>5070</v>
      </c>
      <c r="M109" s="232">
        <f>IFERROR(__xludf.DUMMYFUNCTION("""COMPUTED_VALUE"""),46115.75678355323)</f>
        <v>46115.75678</v>
      </c>
      <c r="N109" s="84">
        <f>IFERROR(__xludf.DUMMYFUNCTION("""COMPUTED_VALUE"""),46115.51622262731)</f>
        <v>46115.51622</v>
      </c>
      <c r="O109" s="76">
        <f t="shared" si="3"/>
        <v>0.2405609259</v>
      </c>
      <c r="Q109" s="76">
        <f>IFERROR(__xludf.DUMMYFUNCTION("""COMPUTED_VALUE"""),5065.0)</f>
        <v>5065</v>
      </c>
      <c r="R109" s="232">
        <f>IFERROR(__xludf.DUMMYFUNCTION("""COMPUTED_VALUE"""),46116.456249999996)</f>
        <v>46116.45625</v>
      </c>
      <c r="S109" s="84">
        <f>IFERROR(__xludf.DUMMYFUNCTION("""COMPUTED_VALUE"""),46115.43876798611)</f>
        <v>46115.43877</v>
      </c>
      <c r="T109" s="76">
        <f t="shared" si="4"/>
        <v>1.017482014</v>
      </c>
      <c r="V109" s="76">
        <f>IFERROR(__xludf.DUMMYFUNCTION("""COMPUTED_VALUE"""),5070.0)</f>
        <v>5070</v>
      </c>
      <c r="W109" s="232">
        <f>IFERROR(__xludf.DUMMYFUNCTION("""COMPUTED_VALUE"""),46116.79791666666)</f>
        <v>46116.79792</v>
      </c>
      <c r="X109" s="84">
        <f>IFERROR(__xludf.DUMMYFUNCTION("""COMPUTED_VALUE"""),46115.690985821755)</f>
        <v>46115.69099</v>
      </c>
      <c r="Y109" s="76">
        <f t="shared" si="5"/>
        <v>1.106930845</v>
      </c>
      <c r="AK109" s="232"/>
      <c r="AL109" s="233"/>
      <c r="AM109" s="173"/>
    </row>
    <row r="110">
      <c r="A110" s="76">
        <f>IFERROR(__xludf.DUMMYFUNCTION("""COMPUTED_VALUE"""),5071.0)</f>
        <v>5071</v>
      </c>
      <c r="B110" s="232">
        <f>IFERROR(__xludf.DUMMYFUNCTION("""COMPUTED_VALUE"""),46115.64948545139)</f>
        <v>46115.64949</v>
      </c>
      <c r="C110" s="84">
        <f>IFERROR(__xludf.DUMMYFUNCTION("""COMPUTED_VALUE"""),46115.515877025464)</f>
        <v>46115.51588</v>
      </c>
      <c r="D110" s="173">
        <f t="shared" si="1"/>
        <v>0.1336084259</v>
      </c>
      <c r="G110" s="76">
        <f>IFERROR(__xludf.DUMMYFUNCTION("""COMPUTED_VALUE"""),5071.0)</f>
        <v>5071</v>
      </c>
      <c r="H110" s="232">
        <f>IFERROR(__xludf.DUMMYFUNCTION("""COMPUTED_VALUE"""),46115.65642989583)</f>
        <v>46115.65643</v>
      </c>
      <c r="I110" s="84">
        <f>IFERROR(__xludf.DUMMYFUNCTION("""COMPUTED_VALUE"""),46115.516179467595)</f>
        <v>46115.51618</v>
      </c>
      <c r="J110" s="76">
        <f t="shared" si="2"/>
        <v>0.1402504282</v>
      </c>
      <c r="L110" s="76">
        <f>IFERROR(__xludf.DUMMYFUNCTION("""COMPUTED_VALUE"""),5071.0)</f>
        <v>5071</v>
      </c>
      <c r="M110" s="232">
        <f>IFERROR(__xludf.DUMMYFUNCTION("""COMPUTED_VALUE"""),46115.7605965625)</f>
        <v>46115.7606</v>
      </c>
      <c r="N110" s="84">
        <f>IFERROR(__xludf.DUMMYFUNCTION("""COMPUTED_VALUE"""),46115.65296166667)</f>
        <v>46115.65296</v>
      </c>
      <c r="O110" s="76">
        <f t="shared" si="3"/>
        <v>0.1076348958</v>
      </c>
      <c r="Q110" s="76">
        <f>IFERROR(__xludf.DUMMYFUNCTION("""COMPUTED_VALUE"""),5066.0)</f>
        <v>5066</v>
      </c>
      <c r="R110" s="232">
        <f>IFERROR(__xludf.DUMMYFUNCTION("""COMPUTED_VALUE"""),46116.47708333334)</f>
        <v>46116.47708</v>
      </c>
      <c r="S110" s="84">
        <f>IFERROR(__xludf.DUMMYFUNCTION("""COMPUTED_VALUE"""),46115.43879965278)</f>
        <v>46115.4388</v>
      </c>
      <c r="T110" s="76">
        <f t="shared" si="4"/>
        <v>1.038283681</v>
      </c>
      <c r="V110" s="76">
        <f>IFERROR(__xludf.DUMMYFUNCTION("""COMPUTED_VALUE"""),5071.0)</f>
        <v>5071</v>
      </c>
      <c r="W110" s="232">
        <f>IFERROR(__xludf.DUMMYFUNCTION("""COMPUTED_VALUE"""),46116.80208333333)</f>
        <v>46116.80208</v>
      </c>
      <c r="X110" s="84">
        <f>IFERROR(__xludf.DUMMYFUNCTION("""COMPUTED_VALUE"""),46115.69100689815)</f>
        <v>46115.69101</v>
      </c>
      <c r="Y110" s="76">
        <f t="shared" si="5"/>
        <v>1.111076435</v>
      </c>
      <c r="AK110" s="232"/>
      <c r="AL110" s="233"/>
      <c r="AM110" s="173"/>
    </row>
    <row r="111">
      <c r="A111" s="76">
        <f>IFERROR(__xludf.DUMMYFUNCTION("""COMPUTED_VALUE"""),5072.0)</f>
        <v>5072</v>
      </c>
      <c r="B111" s="232">
        <f>IFERROR(__xludf.DUMMYFUNCTION("""COMPUTED_VALUE"""),46115.71160322916)</f>
        <v>46115.7116</v>
      </c>
      <c r="C111" s="84">
        <f>IFERROR(__xludf.DUMMYFUNCTION("""COMPUTED_VALUE"""),46115.545471377314)</f>
        <v>46115.54547</v>
      </c>
      <c r="D111" s="173">
        <f t="shared" si="1"/>
        <v>0.1661318518</v>
      </c>
      <c r="G111" s="76">
        <f>IFERROR(__xludf.DUMMYFUNCTION("""COMPUTED_VALUE"""),5072.0)</f>
        <v>5072</v>
      </c>
      <c r="H111" s="232">
        <f>IFERROR(__xludf.DUMMYFUNCTION("""COMPUTED_VALUE"""),46115.718547673605)</f>
        <v>46115.71855</v>
      </c>
      <c r="I111" s="84">
        <f>IFERROR(__xludf.DUMMYFUNCTION("""COMPUTED_VALUE"""),46115.54601277778)</f>
        <v>46115.54601</v>
      </c>
      <c r="J111" s="76">
        <f t="shared" si="2"/>
        <v>0.1725348958</v>
      </c>
      <c r="L111" s="76">
        <f>IFERROR(__xludf.DUMMYFUNCTION("""COMPUTED_VALUE"""),5072.0)</f>
        <v>5072</v>
      </c>
      <c r="M111" s="232">
        <f>IFERROR(__xludf.DUMMYFUNCTION("""COMPUTED_VALUE"""),46115.82271434027)</f>
        <v>46115.82271</v>
      </c>
      <c r="N111" s="84">
        <f>IFERROR(__xludf.DUMMYFUNCTION("""COMPUTED_VALUE"""),46115.65332873842)</f>
        <v>46115.65333</v>
      </c>
      <c r="O111" s="76">
        <f t="shared" si="3"/>
        <v>0.1693856018</v>
      </c>
      <c r="Q111" s="76">
        <f>IFERROR(__xludf.DUMMYFUNCTION("""COMPUTED_VALUE"""),5067.0)</f>
        <v>5067</v>
      </c>
      <c r="R111" s="232">
        <f>IFERROR(__xludf.DUMMYFUNCTION("""COMPUTED_VALUE"""),46116.5375)</f>
        <v>46116.5375</v>
      </c>
      <c r="S111" s="84">
        <f>IFERROR(__xludf.DUMMYFUNCTION("""COMPUTED_VALUE"""),46114.78770072917)</f>
        <v>46114.7877</v>
      </c>
      <c r="T111" s="76">
        <f t="shared" si="4"/>
        <v>1.749799271</v>
      </c>
      <c r="V111" s="76">
        <f>IFERROR(__xludf.DUMMYFUNCTION("""COMPUTED_VALUE"""),5072.0)</f>
        <v>5072</v>
      </c>
      <c r="W111" s="232">
        <f>IFERROR(__xludf.DUMMYFUNCTION("""COMPUTED_VALUE"""),46118.44722222222)</f>
        <v>46118.44722</v>
      </c>
      <c r="X111" s="84">
        <f>IFERROR(__xludf.DUMMYFUNCTION("""COMPUTED_VALUE"""),46115.690879155096)</f>
        <v>46115.69088</v>
      </c>
      <c r="Y111" s="76">
        <f t="shared" si="5"/>
        <v>2.756343067</v>
      </c>
      <c r="AK111" s="232"/>
      <c r="AL111" s="233"/>
      <c r="AM111" s="173"/>
    </row>
    <row r="112">
      <c r="A112" s="76">
        <f>IFERROR(__xludf.DUMMYFUNCTION("""COMPUTED_VALUE"""),5073.0)</f>
        <v>5073</v>
      </c>
      <c r="B112" s="232">
        <f>IFERROR(__xludf.DUMMYFUNCTION("""COMPUTED_VALUE"""),46115.72409561343)</f>
        <v>46115.7241</v>
      </c>
      <c r="C112" s="84">
        <f>IFERROR(__xludf.DUMMYFUNCTION("""COMPUTED_VALUE"""),46115.65248546297)</f>
        <v>46115.65249</v>
      </c>
      <c r="D112" s="173">
        <f t="shared" si="1"/>
        <v>0.07161015046</v>
      </c>
      <c r="G112" s="76">
        <f>IFERROR(__xludf.DUMMYFUNCTION("""COMPUTED_VALUE"""),5073.0)</f>
        <v>5073</v>
      </c>
      <c r="H112" s="232">
        <f>IFERROR(__xludf.DUMMYFUNCTION("""COMPUTED_VALUE"""),46115.73104005787)</f>
        <v>46115.73104</v>
      </c>
      <c r="I112" s="84">
        <f>IFERROR(__xludf.DUMMYFUNCTION("""COMPUTED_VALUE"""),46115.652737349534)</f>
        <v>46115.65274</v>
      </c>
      <c r="J112" s="76">
        <f t="shared" si="2"/>
        <v>0.07830270834</v>
      </c>
      <c r="L112" s="76">
        <f>IFERROR(__xludf.DUMMYFUNCTION("""COMPUTED_VALUE"""),5073.0)</f>
        <v>5073</v>
      </c>
      <c r="M112" s="232">
        <f>IFERROR(__xludf.DUMMYFUNCTION("""COMPUTED_VALUE"""),46116.438888888886)</f>
        <v>46116.43889</v>
      </c>
      <c r="N112" s="84">
        <f>IFERROR(__xludf.DUMMYFUNCTION("""COMPUTED_VALUE"""),46115.652760833334)</f>
        <v>46115.65276</v>
      </c>
      <c r="O112" s="76">
        <f t="shared" si="3"/>
        <v>0.7861280556</v>
      </c>
      <c r="Q112" s="76">
        <f>IFERROR(__xludf.DUMMYFUNCTION("""COMPUTED_VALUE"""),5068.0)</f>
        <v>5068</v>
      </c>
      <c r="R112" s="232">
        <f>IFERROR(__xludf.DUMMYFUNCTION("""COMPUTED_VALUE"""),46116.53888888889)</f>
        <v>46116.53889</v>
      </c>
      <c r="S112" s="84">
        <f>IFERROR(__xludf.DUMMYFUNCTION("""COMPUTED_VALUE"""),46114.78773041666)</f>
        <v>46114.78773</v>
      </c>
      <c r="T112" s="76">
        <f t="shared" si="4"/>
        <v>1.751158472</v>
      </c>
      <c r="V112" s="76">
        <f>IFERROR(__xludf.DUMMYFUNCTION("""COMPUTED_VALUE"""),5073.0)</f>
        <v>5073</v>
      </c>
      <c r="W112" s="232">
        <f>IFERROR(__xludf.DUMMYFUNCTION("""COMPUTED_VALUE"""),46118.48055555555)</f>
        <v>46118.48056</v>
      </c>
      <c r="X112" s="84">
        <f>IFERROR(__xludf.DUMMYFUNCTION("""COMPUTED_VALUE"""),46115.69093733796)</f>
        <v>46115.69094</v>
      </c>
      <c r="Y112" s="76">
        <f t="shared" si="5"/>
        <v>2.789618218</v>
      </c>
      <c r="AK112" s="232"/>
      <c r="AL112" s="233"/>
      <c r="AM112" s="173"/>
    </row>
    <row r="113">
      <c r="A113" s="76">
        <f>IFERROR(__xludf.DUMMYFUNCTION("""COMPUTED_VALUE"""),5074.0)</f>
        <v>5074</v>
      </c>
      <c r="B113" s="232">
        <f>IFERROR(__xludf.DUMMYFUNCTION("""COMPUTED_VALUE"""),46115.783534016206)</f>
        <v>46115.78353</v>
      </c>
      <c r="C113" s="84">
        <f>IFERROR(__xludf.DUMMYFUNCTION("""COMPUTED_VALUE"""),46115.65282412037)</f>
        <v>46115.65282</v>
      </c>
      <c r="D113" s="173">
        <f t="shared" si="1"/>
        <v>0.1307098958</v>
      </c>
      <c r="G113" s="76">
        <f>IFERROR(__xludf.DUMMYFUNCTION("""COMPUTED_VALUE"""),5074.0)</f>
        <v>5074</v>
      </c>
      <c r="H113" s="232">
        <f>IFERROR(__xludf.DUMMYFUNCTION("""COMPUTED_VALUE"""),46115.79047846065)</f>
        <v>46115.79048</v>
      </c>
      <c r="I113" s="84">
        <f>IFERROR(__xludf.DUMMYFUNCTION("""COMPUTED_VALUE"""),46115.652870289356)</f>
        <v>46115.65287</v>
      </c>
      <c r="J113" s="76">
        <f t="shared" si="2"/>
        <v>0.1376081713</v>
      </c>
      <c r="L113" s="76">
        <f>IFERROR(__xludf.DUMMYFUNCTION("""COMPUTED_VALUE"""),5074.0)</f>
        <v>5074</v>
      </c>
      <c r="M113" s="232">
        <f>IFERROR(__xludf.DUMMYFUNCTION("""COMPUTED_VALUE"""),46116.498611111114)</f>
        <v>46116.49861</v>
      </c>
      <c r="N113" s="84">
        <f>IFERROR(__xludf.DUMMYFUNCTION("""COMPUTED_VALUE"""),46115.69575678241)</f>
        <v>46115.69576</v>
      </c>
      <c r="O113" s="76">
        <f t="shared" si="3"/>
        <v>0.8028543287</v>
      </c>
      <c r="Q113" s="76">
        <f>IFERROR(__xludf.DUMMYFUNCTION("""COMPUTED_VALUE"""),5069.0)</f>
        <v>5069</v>
      </c>
      <c r="R113" s="232">
        <f>IFERROR(__xludf.DUMMYFUNCTION("""COMPUTED_VALUE"""),46116.75)</f>
        <v>46116.75</v>
      </c>
      <c r="S113" s="84">
        <f>IFERROR(__xludf.DUMMYFUNCTION("""COMPUTED_VALUE"""),46115.51671884259)</f>
        <v>46115.51672</v>
      </c>
      <c r="T113" s="76">
        <f t="shared" si="4"/>
        <v>1.233281157</v>
      </c>
      <c r="V113" s="76">
        <f>IFERROR(__xludf.DUMMYFUNCTION("""COMPUTED_VALUE"""),5074.0)</f>
        <v>5074</v>
      </c>
      <c r="W113" s="232">
        <f>IFERROR(__xludf.DUMMYFUNCTION("""COMPUTED_VALUE"""),46118.54027777778)</f>
        <v>46118.54028</v>
      </c>
      <c r="X113" s="84">
        <f>IFERROR(__xludf.DUMMYFUNCTION("""COMPUTED_VALUE"""),46115.696025509256)</f>
        <v>46115.69603</v>
      </c>
      <c r="Y113" s="76">
        <f t="shared" si="5"/>
        <v>2.844252269</v>
      </c>
      <c r="AK113" s="232"/>
      <c r="AL113" s="233"/>
      <c r="AM113" s="173"/>
    </row>
    <row r="114">
      <c r="A114" s="76">
        <f>IFERROR(__xludf.DUMMYFUNCTION("""COMPUTED_VALUE"""),5075.0)</f>
        <v>5075</v>
      </c>
      <c r="B114" s="232">
        <f>IFERROR(__xludf.DUMMYFUNCTION("""COMPUTED_VALUE"""),46118.48677083333)</f>
        <v>46118.48677</v>
      </c>
      <c r="C114" s="84">
        <f>IFERROR(__xludf.DUMMYFUNCTION("""COMPUTED_VALUE"""),46116.67931658565)</f>
        <v>46116.67932</v>
      </c>
      <c r="D114" s="173">
        <f t="shared" si="1"/>
        <v>1.807454248</v>
      </c>
      <c r="G114" s="76">
        <f>IFERROR(__xludf.DUMMYFUNCTION("""COMPUTED_VALUE"""),5075.0)</f>
        <v>5075</v>
      </c>
      <c r="H114" s="232">
        <f>IFERROR(__xludf.DUMMYFUNCTION("""COMPUTED_VALUE"""),46118.49371527778)</f>
        <v>46118.49372</v>
      </c>
      <c r="I114" s="84">
        <f>IFERROR(__xludf.DUMMYFUNCTION("""COMPUTED_VALUE"""),46116.67952765046)</f>
        <v>46116.67953</v>
      </c>
      <c r="J114" s="76">
        <f t="shared" si="2"/>
        <v>1.814187627</v>
      </c>
      <c r="L114" s="76">
        <f>IFERROR(__xludf.DUMMYFUNCTION("""COMPUTED_VALUE"""),5075.0)</f>
        <v>5075</v>
      </c>
      <c r="M114" s="232">
        <f>IFERROR(__xludf.DUMMYFUNCTION("""COMPUTED_VALUE"""),46118.59788194444)</f>
        <v>46118.59788</v>
      </c>
      <c r="N114" s="84">
        <f>IFERROR(__xludf.DUMMYFUNCTION("""COMPUTED_VALUE"""),46116.71574864583)</f>
        <v>46116.71575</v>
      </c>
      <c r="O114" s="76">
        <f t="shared" si="3"/>
        <v>1.882133299</v>
      </c>
      <c r="Q114" s="76">
        <f>IFERROR(__xludf.DUMMYFUNCTION("""COMPUTED_VALUE"""),5070.0)</f>
        <v>5070</v>
      </c>
      <c r="R114" s="232">
        <f>IFERROR(__xludf.DUMMYFUNCTION("""COMPUTED_VALUE"""),46116.75625)</f>
        <v>46116.75625</v>
      </c>
      <c r="S114" s="84">
        <f>IFERROR(__xludf.DUMMYFUNCTION("""COMPUTED_VALUE"""),46115.51671884259)</f>
        <v>46115.51672</v>
      </c>
      <c r="T114" s="76">
        <f t="shared" si="4"/>
        <v>1.239531157</v>
      </c>
      <c r="V114" s="76">
        <f>IFERROR(__xludf.DUMMYFUNCTION("""COMPUTED_VALUE"""),5075.0)</f>
        <v>5075</v>
      </c>
      <c r="W114" s="232">
        <f>IFERROR(__xludf.DUMMYFUNCTION("""COMPUTED_VALUE"""),46119.63888888889)</f>
        <v>46119.63889</v>
      </c>
      <c r="X114" s="84">
        <f>IFERROR(__xludf.DUMMYFUNCTION("""COMPUTED_VALUE"""),46118.438087002316)</f>
        <v>46118.43809</v>
      </c>
      <c r="Y114" s="76">
        <f t="shared" si="5"/>
        <v>1.200801887</v>
      </c>
      <c r="AK114" s="232"/>
      <c r="AL114" s="233"/>
      <c r="AM114" s="173"/>
    </row>
    <row r="115">
      <c r="A115" s="76">
        <f>IFERROR(__xludf.DUMMYFUNCTION("""COMPUTED_VALUE"""),5076.0)</f>
        <v>5076</v>
      </c>
      <c r="B115" s="232">
        <f>IFERROR(__xludf.DUMMYFUNCTION("""COMPUTED_VALUE"""),46118.64752273148)</f>
        <v>46118.64752</v>
      </c>
      <c r="C115" s="84">
        <f>IFERROR(__xludf.DUMMYFUNCTION("""COMPUTED_VALUE"""),46118.48839951389)</f>
        <v>46118.4884</v>
      </c>
      <c r="D115" s="173">
        <f t="shared" si="1"/>
        <v>0.1591232176</v>
      </c>
      <c r="G115" s="76">
        <f>IFERROR(__xludf.DUMMYFUNCTION("""COMPUTED_VALUE"""),5076.0)</f>
        <v>5076</v>
      </c>
      <c r="H115" s="232">
        <f>IFERROR(__xludf.DUMMYFUNCTION("""COMPUTED_VALUE"""),46118.654467175926)</f>
        <v>46118.65447</v>
      </c>
      <c r="I115" s="84">
        <f>IFERROR(__xludf.DUMMYFUNCTION("""COMPUTED_VALUE"""),46118.488442222224)</f>
        <v>46118.48844</v>
      </c>
      <c r="J115" s="76">
        <f t="shared" si="2"/>
        <v>0.1660249537</v>
      </c>
      <c r="L115" s="76">
        <f>IFERROR(__xludf.DUMMYFUNCTION("""COMPUTED_VALUE"""),5076.0)</f>
        <v>5076</v>
      </c>
      <c r="M115" s="232">
        <f>IFERROR(__xludf.DUMMYFUNCTION("""COMPUTED_VALUE"""),46118.75863384259)</f>
        <v>46118.75863</v>
      </c>
      <c r="N115" s="84">
        <f>IFERROR(__xludf.DUMMYFUNCTION("""COMPUTED_VALUE"""),46118.48852421297)</f>
        <v>46118.48852</v>
      </c>
      <c r="O115" s="76">
        <f t="shared" si="3"/>
        <v>0.2701096296</v>
      </c>
      <c r="Q115" s="76">
        <f>IFERROR(__xludf.DUMMYFUNCTION("""COMPUTED_VALUE"""),5071.0)</f>
        <v>5071</v>
      </c>
      <c r="R115" s="232">
        <f>IFERROR(__xludf.DUMMYFUNCTION("""COMPUTED_VALUE"""),46116.760416666664)</f>
        <v>46116.76042</v>
      </c>
      <c r="S115" s="84">
        <f>IFERROR(__xludf.DUMMYFUNCTION("""COMPUTED_VALUE"""),46115.51672571759)</f>
        <v>46115.51673</v>
      </c>
      <c r="T115" s="76">
        <f t="shared" si="4"/>
        <v>1.243690949</v>
      </c>
      <c r="V115" s="76">
        <f>IFERROR(__xludf.DUMMYFUNCTION("""COMPUTED_VALUE"""),5076.0)</f>
        <v>5076</v>
      </c>
      <c r="W115" s="232">
        <f>IFERROR(__xludf.DUMMYFUNCTION("""COMPUTED_VALUE"""),46119.799999999996)</f>
        <v>46119.8</v>
      </c>
      <c r="X115" s="84">
        <f>IFERROR(__xludf.DUMMYFUNCTION("""COMPUTED_VALUE"""),46118.76233684028)</f>
        <v>46118.76234</v>
      </c>
      <c r="Y115" s="76">
        <f t="shared" si="5"/>
        <v>1.03766316</v>
      </c>
      <c r="AK115" s="232"/>
      <c r="AL115" s="233"/>
      <c r="AM115" s="173"/>
    </row>
    <row r="116">
      <c r="A116" s="76">
        <f>IFERROR(__xludf.DUMMYFUNCTION("""COMPUTED_VALUE"""),5077.0)</f>
        <v>5077</v>
      </c>
      <c r="B116" s="232">
        <f>IFERROR(__xludf.DUMMYFUNCTION("""COMPUTED_VALUE"""),46118.82678581018)</f>
        <v>46118.82679</v>
      </c>
      <c r="C116" s="84">
        <f>IFERROR(__xludf.DUMMYFUNCTION("""COMPUTED_VALUE"""),46118.67244203704)</f>
        <v>46118.67244</v>
      </c>
      <c r="D116" s="173">
        <f t="shared" si="1"/>
        <v>0.1543437731</v>
      </c>
      <c r="G116" s="76">
        <f>IFERROR(__xludf.DUMMYFUNCTION("""COMPUTED_VALUE"""),5077.0)</f>
        <v>5077</v>
      </c>
      <c r="H116" s="232">
        <f>IFERROR(__xludf.DUMMYFUNCTION("""COMPUTED_VALUE"""),46119.45138888888)</f>
        <v>46119.45139</v>
      </c>
      <c r="I116" s="84">
        <f>IFERROR(__xludf.DUMMYFUNCTION("""COMPUTED_VALUE"""),46118.672524953705)</f>
        <v>46118.67252</v>
      </c>
      <c r="J116" s="76">
        <f t="shared" si="2"/>
        <v>0.7788639352</v>
      </c>
      <c r="L116" s="76">
        <f>IFERROR(__xludf.DUMMYFUNCTION("""COMPUTED_VALUE"""),5077.0)</f>
        <v>5077</v>
      </c>
      <c r="M116" s="232">
        <f>IFERROR(__xludf.DUMMYFUNCTION("""COMPUTED_VALUE"""),46119.55555555555)</f>
        <v>46119.55556</v>
      </c>
      <c r="N116" s="84">
        <f>IFERROR(__xludf.DUMMYFUNCTION("""COMPUTED_VALUE"""),46118.76209135416)</f>
        <v>46118.76209</v>
      </c>
      <c r="O116" s="76">
        <f t="shared" si="3"/>
        <v>0.7934642014</v>
      </c>
      <c r="Q116" s="76">
        <f>IFERROR(__xludf.DUMMYFUNCTION("""COMPUTED_VALUE"""),5072.0)</f>
        <v>5072</v>
      </c>
      <c r="R116" s="232">
        <f>IFERROR(__xludf.DUMMYFUNCTION("""COMPUTED_VALUE"""),46116.82222222222)</f>
        <v>46116.82222</v>
      </c>
      <c r="S116" s="84">
        <f>IFERROR(__xludf.DUMMYFUNCTION("""COMPUTED_VALUE"""),46115.6908375)</f>
        <v>46115.69084</v>
      </c>
      <c r="T116" s="76">
        <f t="shared" si="4"/>
        <v>1.131384722</v>
      </c>
      <c r="V116" s="76">
        <f>IFERROR(__xludf.DUMMYFUNCTION("""COMPUTED_VALUE"""),5077.0)</f>
        <v>5077</v>
      </c>
      <c r="W116" s="232">
        <f>IFERROR(__xludf.DUMMYFUNCTION("""COMPUTED_VALUE"""),46120.59722222222)</f>
        <v>46120.59722</v>
      </c>
      <c r="X116" s="84">
        <f>IFERROR(__xludf.DUMMYFUNCTION("""COMPUTED_VALUE"""),46119.48501318287)</f>
        <v>46119.48501</v>
      </c>
      <c r="Y116" s="76">
        <f t="shared" si="5"/>
        <v>1.112209039</v>
      </c>
      <c r="AK116" s="232"/>
      <c r="AL116" s="233"/>
      <c r="AM116" s="173"/>
    </row>
    <row r="117">
      <c r="A117" s="76">
        <f>IFERROR(__xludf.DUMMYFUNCTION("""COMPUTED_VALUE"""),5078.0)</f>
        <v>5078</v>
      </c>
      <c r="B117" s="232">
        <f>IFERROR(__xludf.DUMMYFUNCTION("""COMPUTED_VALUE"""),46119.486805555556)</f>
        <v>46119.48681</v>
      </c>
      <c r="C117" s="84">
        <f>IFERROR(__xludf.DUMMYFUNCTION("""COMPUTED_VALUE"""),46118.76158641204)</f>
        <v>46118.76159</v>
      </c>
      <c r="D117" s="173">
        <f t="shared" si="1"/>
        <v>0.7252191435</v>
      </c>
      <c r="G117" s="76">
        <f>IFERROR(__xludf.DUMMYFUNCTION("""COMPUTED_VALUE"""),5078.0)</f>
        <v>5078</v>
      </c>
      <c r="H117" s="232">
        <f>IFERROR(__xludf.DUMMYFUNCTION("""COMPUTED_VALUE"""),46119.49375)</f>
        <v>46119.49375</v>
      </c>
      <c r="I117" s="84">
        <f>IFERROR(__xludf.DUMMYFUNCTION("""COMPUTED_VALUE"""),46118.761954814814)</f>
        <v>46118.76195</v>
      </c>
      <c r="J117" s="76">
        <f t="shared" si="2"/>
        <v>0.7317951852</v>
      </c>
      <c r="L117" s="76">
        <f>IFERROR(__xludf.DUMMYFUNCTION("""COMPUTED_VALUE"""),5078.0)</f>
        <v>5078</v>
      </c>
      <c r="M117" s="232">
        <f>IFERROR(__xludf.DUMMYFUNCTION("""COMPUTED_VALUE"""),46119.597916666666)</f>
        <v>46119.59792</v>
      </c>
      <c r="N117" s="84">
        <f>IFERROR(__xludf.DUMMYFUNCTION("""COMPUTED_VALUE"""),46118.76212629629)</f>
        <v>46118.76213</v>
      </c>
      <c r="O117" s="76">
        <f t="shared" si="3"/>
        <v>0.8357903704</v>
      </c>
      <c r="Q117" s="76">
        <f>IFERROR(__xludf.DUMMYFUNCTION("""COMPUTED_VALUE"""),5073.0)</f>
        <v>5073</v>
      </c>
      <c r="R117" s="232">
        <f>IFERROR(__xludf.DUMMYFUNCTION("""COMPUTED_VALUE"""),46118.438888888886)</f>
        <v>46118.43889</v>
      </c>
      <c r="S117" s="84">
        <f>IFERROR(__xludf.DUMMYFUNCTION("""COMPUTED_VALUE"""),46115.690914108796)</f>
        <v>46115.69091</v>
      </c>
      <c r="T117" s="76">
        <f t="shared" si="4"/>
        <v>2.74797478</v>
      </c>
      <c r="V117" s="76">
        <f>IFERROR(__xludf.DUMMYFUNCTION("""COMPUTED_VALUE"""),5078.0)</f>
        <v>5078</v>
      </c>
      <c r="W117" s="232">
        <f>IFERROR(__xludf.DUMMYFUNCTION("""COMPUTED_VALUE"""),46120.63958333333)</f>
        <v>46120.63958</v>
      </c>
      <c r="X117" s="84">
        <f>IFERROR(__xludf.DUMMYFUNCTION("""COMPUTED_VALUE"""),46119.55958526621)</f>
        <v>46119.55959</v>
      </c>
      <c r="Y117" s="76">
        <f t="shared" si="5"/>
        <v>1.079998067</v>
      </c>
      <c r="AK117" s="232"/>
      <c r="AL117" s="233"/>
      <c r="AM117" s="173"/>
    </row>
    <row r="118">
      <c r="A118" s="76">
        <f>IFERROR(__xludf.DUMMYFUNCTION("""COMPUTED_VALUE"""),5079.0)</f>
        <v>5079</v>
      </c>
      <c r="B118" s="232">
        <f>IFERROR(__xludf.DUMMYFUNCTION("""COMPUTED_VALUE"""),46119.4875)</f>
        <v>46119.4875</v>
      </c>
      <c r="C118" s="84">
        <f>IFERROR(__xludf.DUMMYFUNCTION("""COMPUTED_VALUE"""),46118.76166375)</f>
        <v>46118.76166</v>
      </c>
      <c r="D118" s="173">
        <f t="shared" si="1"/>
        <v>0.72583625</v>
      </c>
      <c r="G118" s="76">
        <f>IFERROR(__xludf.DUMMYFUNCTION("""COMPUTED_VALUE"""),5079.0)</f>
        <v>5079</v>
      </c>
      <c r="H118" s="232">
        <f>IFERROR(__xludf.DUMMYFUNCTION("""COMPUTED_VALUE"""),46119.49444444445)</f>
        <v>46119.49444</v>
      </c>
      <c r="I118" s="84">
        <f>IFERROR(__xludf.DUMMYFUNCTION("""COMPUTED_VALUE"""),46118.761991817126)</f>
        <v>46118.76199</v>
      </c>
      <c r="J118" s="76">
        <f t="shared" si="2"/>
        <v>0.7324526273</v>
      </c>
      <c r="L118" s="76">
        <f>IFERROR(__xludf.DUMMYFUNCTION("""COMPUTED_VALUE"""),5079.0)</f>
        <v>5079</v>
      </c>
      <c r="M118" s="232">
        <f>IFERROR(__xludf.DUMMYFUNCTION("""COMPUTED_VALUE"""),46119.59861111111)</f>
        <v>46119.59861</v>
      </c>
      <c r="N118" s="84">
        <f>IFERROR(__xludf.DUMMYFUNCTION("""COMPUTED_VALUE"""),46118.762146504625)</f>
        <v>46118.76215</v>
      </c>
      <c r="O118" s="76">
        <f t="shared" si="3"/>
        <v>0.8364646065</v>
      </c>
      <c r="Q118" s="76">
        <f>IFERROR(__xludf.DUMMYFUNCTION("""COMPUTED_VALUE"""),5074.0)</f>
        <v>5074</v>
      </c>
      <c r="R118" s="232">
        <f>IFERROR(__xludf.DUMMYFUNCTION("""COMPUTED_VALUE"""),46118.498611111114)</f>
        <v>46118.49861</v>
      </c>
      <c r="S118" s="84">
        <f>IFERROR(__xludf.DUMMYFUNCTION("""COMPUTED_VALUE"""),46115.69598871528)</f>
        <v>46115.69599</v>
      </c>
      <c r="T118" s="76">
        <f t="shared" si="4"/>
        <v>2.802622396</v>
      </c>
      <c r="V118" s="76">
        <f>IFERROR(__xludf.DUMMYFUNCTION("""COMPUTED_VALUE"""),5079.0)</f>
        <v>5079</v>
      </c>
      <c r="W118" s="232">
        <f>IFERROR(__xludf.DUMMYFUNCTION("""COMPUTED_VALUE"""),46120.64027777778)</f>
        <v>46120.64028</v>
      </c>
      <c r="X118" s="84">
        <f>IFERROR(__xludf.DUMMYFUNCTION("""COMPUTED_VALUE"""),46119.4853571412)</f>
        <v>46119.48536</v>
      </c>
      <c r="Y118" s="76">
        <f t="shared" si="5"/>
        <v>1.154920637</v>
      </c>
      <c r="AK118" s="232"/>
      <c r="AL118" s="233"/>
      <c r="AM118" s="173"/>
    </row>
    <row r="119">
      <c r="A119" s="76">
        <f>IFERROR(__xludf.DUMMYFUNCTION("""COMPUTED_VALUE"""),5080.0)</f>
        <v>5080</v>
      </c>
      <c r="B119" s="232">
        <f>IFERROR(__xludf.DUMMYFUNCTION("""COMPUTED_VALUE"""),46119.48888888889)</f>
        <v>46119.48889</v>
      </c>
      <c r="C119" s="84">
        <f>IFERROR(__xludf.DUMMYFUNCTION("""COMPUTED_VALUE"""),46118.76168513889)</f>
        <v>46118.76169</v>
      </c>
      <c r="D119" s="173">
        <f t="shared" si="1"/>
        <v>0.72720375</v>
      </c>
      <c r="G119" s="76">
        <f>IFERROR(__xludf.DUMMYFUNCTION("""COMPUTED_VALUE"""),5080.0)</f>
        <v>5080</v>
      </c>
      <c r="H119" s="232">
        <f>IFERROR(__xludf.DUMMYFUNCTION("""COMPUTED_VALUE"""),46119.495833333334)</f>
        <v>46119.49583</v>
      </c>
      <c r="I119" s="84">
        <f>IFERROR(__xludf.DUMMYFUNCTION("""COMPUTED_VALUE"""),46118.76201322916)</f>
        <v>46118.76201</v>
      </c>
      <c r="J119" s="76">
        <f t="shared" si="2"/>
        <v>0.7338201042</v>
      </c>
      <c r="L119" s="76">
        <f>IFERROR(__xludf.DUMMYFUNCTION("""COMPUTED_VALUE"""),5080.0)</f>
        <v>5080</v>
      </c>
      <c r="M119" s="232">
        <f>IFERROR(__xludf.DUMMYFUNCTION("""COMPUTED_VALUE"""),46119.6)</f>
        <v>46119.6</v>
      </c>
      <c r="N119" s="84">
        <f>IFERROR(__xludf.DUMMYFUNCTION("""COMPUTED_VALUE"""),46118.76217559028)</f>
        <v>46118.76218</v>
      </c>
      <c r="O119" s="76">
        <f t="shared" si="3"/>
        <v>0.8378244097</v>
      </c>
      <c r="Q119" s="76">
        <f>IFERROR(__xludf.DUMMYFUNCTION("""COMPUTED_VALUE"""),5075.0)</f>
        <v>5075</v>
      </c>
      <c r="R119" s="232">
        <f>IFERROR(__xludf.DUMMYFUNCTION("""COMPUTED_VALUE"""),46119.597222222226)</f>
        <v>46119.59722</v>
      </c>
      <c r="S119" s="84">
        <f>IFERROR(__xludf.DUMMYFUNCTION("""COMPUTED_VALUE"""),46118.4380585301)</f>
        <v>46118.43806</v>
      </c>
      <c r="T119" s="76">
        <f t="shared" si="4"/>
        <v>1.159163692</v>
      </c>
      <c r="V119" s="76">
        <f>IFERROR(__xludf.DUMMYFUNCTION("""COMPUTED_VALUE"""),5080.0)</f>
        <v>5080</v>
      </c>
      <c r="W119" s="232">
        <f>IFERROR(__xludf.DUMMYFUNCTION("""COMPUTED_VALUE"""),46120.64166666667)</f>
        <v>46120.64167</v>
      </c>
      <c r="X119" s="84">
        <f>IFERROR(__xludf.DUMMYFUNCTION("""COMPUTED_VALUE"""),46119.48536810185)</f>
        <v>46119.48537</v>
      </c>
      <c r="Y119" s="76">
        <f t="shared" si="5"/>
        <v>1.156298565</v>
      </c>
      <c r="AK119" s="232"/>
      <c r="AL119" s="233"/>
      <c r="AM119" s="173"/>
    </row>
    <row r="120">
      <c r="A120" s="76">
        <f>IFERROR(__xludf.DUMMYFUNCTION("""COMPUTED_VALUE"""),5081.0)</f>
        <v>5081</v>
      </c>
      <c r="B120" s="232">
        <f>IFERROR(__xludf.DUMMYFUNCTION("""COMPUTED_VALUE"""),46119.6393383912)</f>
        <v>46119.63934</v>
      </c>
      <c r="C120" s="84">
        <f>IFERROR(__xludf.DUMMYFUNCTION("""COMPUTED_VALUE"""),46119.484685347226)</f>
        <v>46119.48469</v>
      </c>
      <c r="D120" s="173">
        <f t="shared" si="1"/>
        <v>0.154653044</v>
      </c>
      <c r="G120" s="76">
        <f>IFERROR(__xludf.DUMMYFUNCTION("""COMPUTED_VALUE"""),5081.0)</f>
        <v>5081</v>
      </c>
      <c r="H120" s="232">
        <f>IFERROR(__xludf.DUMMYFUNCTION("""COMPUTED_VALUE"""),46119.646282835645)</f>
        <v>46119.64628</v>
      </c>
      <c r="I120" s="84">
        <f>IFERROR(__xludf.DUMMYFUNCTION("""COMPUTED_VALUE"""),46119.484771331016)</f>
        <v>46119.48477</v>
      </c>
      <c r="J120" s="76">
        <f t="shared" si="2"/>
        <v>0.1615115046</v>
      </c>
      <c r="L120" s="76">
        <f>IFERROR(__xludf.DUMMYFUNCTION("""COMPUTED_VALUE"""),5081.0)</f>
        <v>5081</v>
      </c>
      <c r="M120" s="232">
        <f>IFERROR(__xludf.DUMMYFUNCTION("""COMPUTED_VALUE"""),46119.75044950231)</f>
        <v>46119.75045</v>
      </c>
      <c r="N120" s="84">
        <f>IFERROR(__xludf.DUMMYFUNCTION("""COMPUTED_VALUE"""),46119.48480640046)</f>
        <v>46119.48481</v>
      </c>
      <c r="O120" s="76">
        <f t="shared" si="3"/>
        <v>0.2656431018</v>
      </c>
      <c r="Q120" s="76">
        <f>IFERROR(__xludf.DUMMYFUNCTION("""COMPUTED_VALUE"""),5076.0)</f>
        <v>5076</v>
      </c>
      <c r="R120" s="232">
        <f>IFERROR(__xludf.DUMMYFUNCTION("""COMPUTED_VALUE"""),46119.75833333333)</f>
        <v>46119.75833</v>
      </c>
      <c r="S120" s="84">
        <f>IFERROR(__xludf.DUMMYFUNCTION("""COMPUTED_VALUE"""),46118.76230724537)</f>
        <v>46118.76231</v>
      </c>
      <c r="T120" s="76">
        <f t="shared" si="4"/>
        <v>0.996026088</v>
      </c>
      <c r="V120" s="76">
        <f>IFERROR(__xludf.DUMMYFUNCTION("""COMPUTED_VALUE"""),5081.0)</f>
        <v>5081</v>
      </c>
      <c r="W120" s="232">
        <f>IFERROR(__xludf.DUMMYFUNCTION("""COMPUTED_VALUE"""),46120.791666666664)</f>
        <v>46120.79167</v>
      </c>
      <c r="X120" s="84">
        <f>IFERROR(__xludf.DUMMYFUNCTION("""COMPUTED_VALUE"""),46119.67438141204)</f>
        <v>46119.67438</v>
      </c>
      <c r="Y120" s="76">
        <f t="shared" si="5"/>
        <v>1.117285255</v>
      </c>
      <c r="AK120" s="232"/>
      <c r="AL120" s="233"/>
      <c r="AM120" s="173"/>
    </row>
    <row r="121">
      <c r="A121" s="76">
        <f>IFERROR(__xludf.DUMMYFUNCTION("""COMPUTED_VALUE"""),5082.0)</f>
        <v>5082</v>
      </c>
      <c r="B121" s="232">
        <f>IFERROR(__xludf.DUMMYFUNCTION("""COMPUTED_VALUE"""),46119.64137997685)</f>
        <v>46119.64138</v>
      </c>
      <c r="C121" s="84">
        <f>IFERROR(__xludf.DUMMYFUNCTION("""COMPUTED_VALUE"""),46119.48467157407)</f>
        <v>46119.48467</v>
      </c>
      <c r="D121" s="173">
        <f t="shared" si="1"/>
        <v>0.1567084028</v>
      </c>
      <c r="G121" s="76">
        <f>IFERROR(__xludf.DUMMYFUNCTION("""COMPUTED_VALUE"""),5082.0)</f>
        <v>5082</v>
      </c>
      <c r="H121" s="232">
        <f>IFERROR(__xludf.DUMMYFUNCTION("""COMPUTED_VALUE"""),46119.648324421294)</f>
        <v>46119.64832</v>
      </c>
      <c r="I121" s="84">
        <f>IFERROR(__xludf.DUMMYFUNCTION("""COMPUTED_VALUE"""),46119.61168591435)</f>
        <v>46119.61169</v>
      </c>
      <c r="J121" s="76">
        <f t="shared" si="2"/>
        <v>0.03663850694</v>
      </c>
      <c r="L121" s="76">
        <f>IFERROR(__xludf.DUMMYFUNCTION("""COMPUTED_VALUE"""),5082.0)</f>
        <v>5082</v>
      </c>
      <c r="M121" s="232">
        <f>IFERROR(__xludf.DUMMYFUNCTION("""COMPUTED_VALUE"""),46119.75249108796)</f>
        <v>46119.75249</v>
      </c>
      <c r="N121" s="84">
        <f>IFERROR(__xludf.DUMMYFUNCTION("""COMPUTED_VALUE"""),46119.61176655092)</f>
        <v>46119.61177</v>
      </c>
      <c r="O121" s="76">
        <f t="shared" si="3"/>
        <v>0.140724537</v>
      </c>
      <c r="Q121" s="76">
        <f>IFERROR(__xludf.DUMMYFUNCTION("""COMPUTED_VALUE"""),5077.0)</f>
        <v>5077</v>
      </c>
      <c r="R121" s="232">
        <f>IFERROR(__xludf.DUMMYFUNCTION("""COMPUTED_VALUE"""),46120.555555555555)</f>
        <v>46120.55556</v>
      </c>
      <c r="S121" s="84">
        <f>IFERROR(__xludf.DUMMYFUNCTION("""COMPUTED_VALUE"""),46119.484986944444)</f>
        <v>46119.48499</v>
      </c>
      <c r="T121" s="76">
        <f t="shared" si="4"/>
        <v>1.070568611</v>
      </c>
      <c r="V121" s="76">
        <f>IFERROR(__xludf.DUMMYFUNCTION("""COMPUTED_VALUE"""),5082.0)</f>
        <v>5082</v>
      </c>
      <c r="W121" s="232">
        <f>IFERROR(__xludf.DUMMYFUNCTION("""COMPUTED_VALUE"""),46120.79375)</f>
        <v>46120.79375</v>
      </c>
      <c r="X121" s="84">
        <f>IFERROR(__xludf.DUMMYFUNCTION("""COMPUTED_VALUE"""),46120.62246086806)</f>
        <v>46120.62246</v>
      </c>
      <c r="Y121" s="76">
        <f t="shared" si="5"/>
        <v>0.1712891319</v>
      </c>
      <c r="AK121" s="232"/>
      <c r="AL121" s="233"/>
      <c r="AM121" s="173"/>
    </row>
    <row r="122">
      <c r="A122" s="76">
        <f>IFERROR(__xludf.DUMMYFUNCTION("""COMPUTED_VALUE"""),5083.0)</f>
        <v>5083</v>
      </c>
      <c r="B122" s="232">
        <f>IFERROR(__xludf.DUMMYFUNCTION("""COMPUTED_VALUE"""),46119.67281202546)</f>
        <v>46119.67281</v>
      </c>
      <c r="C122" s="84">
        <f>IFERROR(__xludf.DUMMYFUNCTION("""COMPUTED_VALUE"""),46119.55411722222)</f>
        <v>46119.55412</v>
      </c>
      <c r="D122" s="173">
        <f t="shared" si="1"/>
        <v>0.1186948032</v>
      </c>
      <c r="G122" s="76">
        <f>IFERROR(__xludf.DUMMYFUNCTION("""COMPUTED_VALUE"""),5083.0)</f>
        <v>5083</v>
      </c>
      <c r="H122" s="232">
        <f>IFERROR(__xludf.DUMMYFUNCTION("""COMPUTED_VALUE"""),46119.67975646991)</f>
        <v>46119.67976</v>
      </c>
      <c r="I122" s="84">
        <f>IFERROR(__xludf.DUMMYFUNCTION("""COMPUTED_VALUE"""),46119.55420677083)</f>
        <v>46119.55421</v>
      </c>
      <c r="J122" s="76">
        <f t="shared" si="2"/>
        <v>0.1255496991</v>
      </c>
      <c r="L122" s="76">
        <f>IFERROR(__xludf.DUMMYFUNCTION("""COMPUTED_VALUE"""),5083.0)</f>
        <v>5083</v>
      </c>
      <c r="M122" s="232">
        <f>IFERROR(__xludf.DUMMYFUNCTION("""COMPUTED_VALUE"""),46119.78392313657)</f>
        <v>46119.78392</v>
      </c>
      <c r="N122" s="84">
        <f>IFERROR(__xludf.DUMMYFUNCTION("""COMPUTED_VALUE"""),46119.554263645834)</f>
        <v>46119.55426</v>
      </c>
      <c r="O122" s="76">
        <f t="shared" si="3"/>
        <v>0.2296594907</v>
      </c>
      <c r="Q122" s="76">
        <f>IFERROR(__xludf.DUMMYFUNCTION("""COMPUTED_VALUE"""),5078.0)</f>
        <v>5078</v>
      </c>
      <c r="R122" s="232">
        <f>IFERROR(__xludf.DUMMYFUNCTION("""COMPUTED_VALUE"""),46120.597916666666)</f>
        <v>46120.59792</v>
      </c>
      <c r="S122" s="84">
        <f>IFERROR(__xludf.DUMMYFUNCTION("""COMPUTED_VALUE"""),46119.55931297454)</f>
        <v>46119.55931</v>
      </c>
      <c r="T122" s="76">
        <f t="shared" si="4"/>
        <v>1.038603692</v>
      </c>
      <c r="V122" s="76">
        <f>IFERROR(__xludf.DUMMYFUNCTION("""COMPUTED_VALUE"""),5083.0)</f>
        <v>5083</v>
      </c>
      <c r="W122" s="232">
        <f>IFERROR(__xludf.DUMMYFUNCTION("""COMPUTED_VALUE"""),46120.825)</f>
        <v>46120.825</v>
      </c>
      <c r="X122" s="84">
        <f>IFERROR(__xludf.DUMMYFUNCTION("""COMPUTED_VALUE"""),46119.687283796295)</f>
        <v>46119.68728</v>
      </c>
      <c r="Y122" s="76">
        <f t="shared" si="5"/>
        <v>1.137716204</v>
      </c>
      <c r="AK122" s="232"/>
      <c r="AL122" s="233"/>
      <c r="AM122" s="173"/>
    </row>
    <row r="123">
      <c r="A123" s="76">
        <f>IFERROR(__xludf.DUMMYFUNCTION("""COMPUTED_VALUE"""),5084.0)</f>
        <v>5084</v>
      </c>
      <c r="B123" s="232">
        <f>IFERROR(__xludf.DUMMYFUNCTION("""COMPUTED_VALUE"""),46119.67699483796)</f>
        <v>46119.67699</v>
      </c>
      <c r="C123" s="84">
        <f>IFERROR(__xludf.DUMMYFUNCTION("""COMPUTED_VALUE"""),46119.61142099537)</f>
        <v>46119.61142</v>
      </c>
      <c r="D123" s="173">
        <f t="shared" si="1"/>
        <v>0.06557384259</v>
      </c>
      <c r="G123" s="76">
        <f>IFERROR(__xludf.DUMMYFUNCTION("""COMPUTED_VALUE"""),5084.0)</f>
        <v>5084</v>
      </c>
      <c r="H123" s="232">
        <f>IFERROR(__xludf.DUMMYFUNCTION("""COMPUTED_VALUE"""),46119.683939282404)</f>
        <v>46119.68394</v>
      </c>
      <c r="I123" s="84">
        <f>IFERROR(__xludf.DUMMYFUNCTION("""COMPUTED_VALUE"""),46119.6111962037)</f>
        <v>46119.6112</v>
      </c>
      <c r="J123" s="76">
        <f t="shared" si="2"/>
        <v>0.0727430787</v>
      </c>
      <c r="L123" s="76">
        <f>IFERROR(__xludf.DUMMYFUNCTION("""COMPUTED_VALUE"""),5084.0)</f>
        <v>5084</v>
      </c>
      <c r="M123" s="232">
        <f>IFERROR(__xludf.DUMMYFUNCTION("""COMPUTED_VALUE"""),46119.78810594907)</f>
        <v>46119.78811</v>
      </c>
      <c r="N123" s="84">
        <f>IFERROR(__xludf.DUMMYFUNCTION("""COMPUTED_VALUE"""),46119.61152898148)</f>
        <v>46119.61153</v>
      </c>
      <c r="O123" s="76">
        <f t="shared" si="3"/>
        <v>0.1765769676</v>
      </c>
      <c r="Q123" s="76">
        <f>IFERROR(__xludf.DUMMYFUNCTION("""COMPUTED_VALUE"""),5079.0)</f>
        <v>5079</v>
      </c>
      <c r="R123" s="232">
        <f>IFERROR(__xludf.DUMMYFUNCTION("""COMPUTED_VALUE"""),46120.59861111111)</f>
        <v>46120.59861</v>
      </c>
      <c r="S123" s="84">
        <f>IFERROR(__xludf.DUMMYFUNCTION("""COMPUTED_VALUE"""),46119.48529931713)</f>
        <v>46119.4853</v>
      </c>
      <c r="T123" s="76">
        <f t="shared" si="4"/>
        <v>1.113311794</v>
      </c>
      <c r="V123" s="76">
        <f>IFERROR(__xludf.DUMMYFUNCTION("""COMPUTED_VALUE"""),5084.0)</f>
        <v>5084</v>
      </c>
      <c r="W123" s="232">
        <f>IFERROR(__xludf.DUMMYFUNCTION("""COMPUTED_VALUE"""),46120.82916666666)</f>
        <v>46120.82917</v>
      </c>
      <c r="X123" s="84">
        <f>IFERROR(__xludf.DUMMYFUNCTION("""COMPUTED_VALUE"""),46119.687304004634)</f>
        <v>46119.6873</v>
      </c>
      <c r="Y123" s="76">
        <f t="shared" si="5"/>
        <v>1.141862662</v>
      </c>
      <c r="AK123" s="232"/>
      <c r="AL123" s="233"/>
      <c r="AM123" s="173"/>
    </row>
    <row r="124">
      <c r="A124" s="76">
        <f>IFERROR(__xludf.DUMMYFUNCTION("""COMPUTED_VALUE"""),5085.0)</f>
        <v>5085</v>
      </c>
      <c r="B124" s="232">
        <f>IFERROR(__xludf.DUMMYFUNCTION("""COMPUTED_VALUE"""),46119.69743796296)</f>
        <v>46119.69744</v>
      </c>
      <c r="C124" s="84">
        <f>IFERROR(__xludf.DUMMYFUNCTION("""COMPUTED_VALUE"""),46119.554095671294)</f>
        <v>46119.5541</v>
      </c>
      <c r="D124" s="173">
        <f t="shared" si="1"/>
        <v>0.1433422917</v>
      </c>
      <c r="G124" s="76">
        <f>IFERROR(__xludf.DUMMYFUNCTION("""COMPUTED_VALUE"""),5085.0)</f>
        <v>5085</v>
      </c>
      <c r="H124" s="232">
        <f>IFERROR(__xludf.DUMMYFUNCTION("""COMPUTED_VALUE"""),46119.704382407406)</f>
        <v>46119.70438</v>
      </c>
      <c r="I124" s="84">
        <f>IFERROR(__xludf.DUMMYFUNCTION("""COMPUTED_VALUE"""),46119.55420297454)</f>
        <v>46119.5542</v>
      </c>
      <c r="J124" s="76">
        <f t="shared" si="2"/>
        <v>0.1501794329</v>
      </c>
      <c r="L124" s="76">
        <f>IFERROR(__xludf.DUMMYFUNCTION("""COMPUTED_VALUE"""),5085.0)</f>
        <v>5085</v>
      </c>
      <c r="M124" s="232">
        <f>IFERROR(__xludf.DUMMYFUNCTION("""COMPUTED_VALUE"""),46119.80854907407)</f>
        <v>46119.80855</v>
      </c>
      <c r="N124" s="84">
        <f>IFERROR(__xludf.DUMMYFUNCTION("""COMPUTED_VALUE"""),46119.5542766088)</f>
        <v>46119.55428</v>
      </c>
      <c r="O124" s="76">
        <f t="shared" si="3"/>
        <v>0.2542724653</v>
      </c>
      <c r="Q124" s="76">
        <f>IFERROR(__xludf.DUMMYFUNCTION("""COMPUTED_VALUE"""),5080.0)</f>
        <v>5080</v>
      </c>
      <c r="R124" s="232">
        <f>IFERROR(__xludf.DUMMYFUNCTION("""COMPUTED_VALUE"""),46120.600000000006)</f>
        <v>46120.6</v>
      </c>
      <c r="S124" s="84">
        <f>IFERROR(__xludf.DUMMYFUNCTION("""COMPUTED_VALUE"""),46119.48532299769)</f>
        <v>46119.48532</v>
      </c>
      <c r="T124" s="76">
        <f t="shared" si="4"/>
        <v>1.114677002</v>
      </c>
      <c r="V124" s="76">
        <f>IFERROR(__xludf.DUMMYFUNCTION("""COMPUTED_VALUE"""),5085.0)</f>
        <v>5085</v>
      </c>
      <c r="W124" s="232">
        <f>IFERROR(__xludf.DUMMYFUNCTION("""COMPUTED_VALUE"""),46121.433333333334)</f>
        <v>46121.43333</v>
      </c>
      <c r="X124" s="84">
        <f>IFERROR(__xludf.DUMMYFUNCTION("""COMPUTED_VALUE"""),46119.68732563657)</f>
        <v>46119.68733</v>
      </c>
      <c r="Y124" s="76">
        <f t="shared" si="5"/>
        <v>1.746007697</v>
      </c>
      <c r="AK124" s="232"/>
      <c r="AL124" s="233"/>
      <c r="AM124" s="173"/>
    </row>
    <row r="125">
      <c r="A125" s="76">
        <f>IFERROR(__xludf.DUMMYFUNCTION("""COMPUTED_VALUE"""),5086.0)</f>
        <v>5086</v>
      </c>
      <c r="B125" s="232">
        <f>IFERROR(__xludf.DUMMYFUNCTION("""COMPUTED_VALUE"""),46120.45138888888)</f>
        <v>46120.45139</v>
      </c>
      <c r="C125" s="84">
        <f>IFERROR(__xludf.DUMMYFUNCTION("""COMPUTED_VALUE"""),46119.7087641088)</f>
        <v>46119.70876</v>
      </c>
      <c r="D125" s="173">
        <f t="shared" si="1"/>
        <v>0.7426247801</v>
      </c>
      <c r="G125" s="76">
        <f>IFERROR(__xludf.DUMMYFUNCTION("""COMPUTED_VALUE"""),5086.0)</f>
        <v>5086</v>
      </c>
      <c r="H125" s="232">
        <f>IFERROR(__xludf.DUMMYFUNCTION("""COMPUTED_VALUE"""),46120.45833333333)</f>
        <v>46120.45833</v>
      </c>
      <c r="I125" s="84">
        <f>IFERROR(__xludf.DUMMYFUNCTION("""COMPUTED_VALUE"""),46119.70869518518)</f>
        <v>46119.7087</v>
      </c>
      <c r="J125" s="76">
        <f t="shared" si="2"/>
        <v>0.7496381481</v>
      </c>
      <c r="L125" s="76">
        <f>IFERROR(__xludf.DUMMYFUNCTION("""COMPUTED_VALUE"""),5086.0)</f>
        <v>5086</v>
      </c>
      <c r="M125" s="232">
        <f>IFERROR(__xludf.DUMMYFUNCTION("""COMPUTED_VALUE"""),46120.56249999999)</f>
        <v>46120.5625</v>
      </c>
      <c r="N125" s="84">
        <f>IFERROR(__xludf.DUMMYFUNCTION("""COMPUTED_VALUE"""),46119.70885222222)</f>
        <v>46119.70885</v>
      </c>
      <c r="O125" s="76">
        <f t="shared" si="3"/>
        <v>0.8536477778</v>
      </c>
      <c r="Q125" s="76">
        <f>IFERROR(__xludf.DUMMYFUNCTION("""COMPUTED_VALUE"""),5081.0)</f>
        <v>5081</v>
      </c>
      <c r="R125" s="232">
        <f>IFERROR(__xludf.DUMMYFUNCTION("""COMPUTED_VALUE"""),46120.75)</f>
        <v>46120.75</v>
      </c>
      <c r="S125" s="84">
        <f>IFERROR(__xludf.DUMMYFUNCTION("""COMPUTED_VALUE"""),46119.611954988424)</f>
        <v>46119.61195</v>
      </c>
      <c r="T125" s="76">
        <f t="shared" si="4"/>
        <v>1.138045012</v>
      </c>
      <c r="V125" s="76">
        <f>IFERROR(__xludf.DUMMYFUNCTION("""COMPUTED_VALUE"""),5086.0)</f>
        <v>5086</v>
      </c>
      <c r="W125" s="232">
        <f>IFERROR(__xludf.DUMMYFUNCTION("""COMPUTED_VALUE"""),46121.604166666664)</f>
        <v>46121.60417</v>
      </c>
      <c r="X125" s="84">
        <f>IFERROR(__xludf.DUMMYFUNCTION("""COMPUTED_VALUE"""),46119.765317557874)</f>
        <v>46119.76532</v>
      </c>
      <c r="Y125" s="76">
        <f t="shared" si="5"/>
        <v>1.838849109</v>
      </c>
      <c r="AK125" s="232"/>
      <c r="AL125" s="233"/>
      <c r="AM125" s="173"/>
    </row>
    <row r="126">
      <c r="A126" s="76">
        <f>IFERROR(__xludf.DUMMYFUNCTION("""COMPUTED_VALUE"""),5087.0)</f>
        <v>5087</v>
      </c>
      <c r="B126" s="232">
        <f>IFERROR(__xludf.DUMMYFUNCTION("""COMPUTED_VALUE"""),46120.46597222223)</f>
        <v>46120.46597</v>
      </c>
      <c r="C126" s="84">
        <f>IFERROR(__xludf.DUMMYFUNCTION("""COMPUTED_VALUE"""),46119.71910512731)</f>
        <v>46119.71911</v>
      </c>
      <c r="D126" s="173">
        <f t="shared" si="1"/>
        <v>0.7468670949</v>
      </c>
      <c r="G126" s="76">
        <f>IFERROR(__xludf.DUMMYFUNCTION("""COMPUTED_VALUE"""),5087.0)</f>
        <v>5087</v>
      </c>
      <c r="H126" s="232">
        <f>IFERROR(__xludf.DUMMYFUNCTION("""COMPUTED_VALUE"""),46120.47291666667)</f>
        <v>46120.47292</v>
      </c>
      <c r="I126" s="84">
        <f>IFERROR(__xludf.DUMMYFUNCTION("""COMPUTED_VALUE"""),46119.71916008102)</f>
        <v>46119.71916</v>
      </c>
      <c r="J126" s="76">
        <f t="shared" si="2"/>
        <v>0.7537565857</v>
      </c>
      <c r="L126" s="76">
        <f>IFERROR(__xludf.DUMMYFUNCTION("""COMPUTED_VALUE"""),5087.0)</f>
        <v>5087</v>
      </c>
      <c r="M126" s="232">
        <f>IFERROR(__xludf.DUMMYFUNCTION("""COMPUTED_VALUE"""),46120.57708333334)</f>
        <v>46120.57708</v>
      </c>
      <c r="N126" s="84">
        <f>IFERROR(__xludf.DUMMYFUNCTION("""COMPUTED_VALUE"""),46119.71921416667)</f>
        <v>46119.71921</v>
      </c>
      <c r="O126" s="76">
        <f t="shared" si="3"/>
        <v>0.8578691667</v>
      </c>
      <c r="Q126" s="76">
        <f>IFERROR(__xludf.DUMMYFUNCTION("""COMPUTED_VALUE"""),5082.0)</f>
        <v>5082</v>
      </c>
      <c r="R126" s="232">
        <f>IFERROR(__xludf.DUMMYFUNCTION("""COMPUTED_VALUE"""),46120.75208333333)</f>
        <v>46120.75208</v>
      </c>
      <c r="S126" s="84">
        <f>IFERROR(__xludf.DUMMYFUNCTION("""COMPUTED_VALUE"""),46119.61097513889)</f>
        <v>46119.61098</v>
      </c>
      <c r="T126" s="76">
        <f t="shared" si="4"/>
        <v>1.141108194</v>
      </c>
      <c r="V126" s="76">
        <f>IFERROR(__xludf.DUMMYFUNCTION("""COMPUTED_VALUE"""),5087.0)</f>
        <v>5087</v>
      </c>
      <c r="W126" s="232">
        <f>IFERROR(__xludf.DUMMYFUNCTION("""COMPUTED_VALUE"""),46121.618749999994)</f>
        <v>46121.61875</v>
      </c>
      <c r="X126" s="84">
        <f>IFERROR(__xludf.DUMMYFUNCTION("""COMPUTED_VALUE"""),46119.765356620366)</f>
        <v>46119.76536</v>
      </c>
      <c r="Y126" s="76">
        <f t="shared" si="5"/>
        <v>1.85339338</v>
      </c>
      <c r="AK126" s="232"/>
      <c r="AL126" s="233"/>
      <c r="AM126" s="173"/>
    </row>
    <row r="127">
      <c r="A127" s="76">
        <f>IFERROR(__xludf.DUMMYFUNCTION("""COMPUTED_VALUE"""),5088.0)</f>
        <v>5088</v>
      </c>
      <c r="B127" s="232">
        <f>IFERROR(__xludf.DUMMYFUNCTION("""COMPUTED_VALUE"""),46120.67768751157)</f>
        <v>46120.67769</v>
      </c>
      <c r="C127" s="84">
        <f>IFERROR(__xludf.DUMMYFUNCTION("""COMPUTED_VALUE"""),46120.62188453704)</f>
        <v>46120.62188</v>
      </c>
      <c r="D127" s="173">
        <f t="shared" si="1"/>
        <v>0.05580297453</v>
      </c>
      <c r="G127" s="76">
        <f>IFERROR(__xludf.DUMMYFUNCTION("""COMPUTED_VALUE"""),5088.0)</f>
        <v>5088</v>
      </c>
      <c r="H127" s="232">
        <f>IFERROR(__xludf.DUMMYFUNCTION("""COMPUTED_VALUE"""),46120.68463195601)</f>
        <v>46120.68463</v>
      </c>
      <c r="I127" s="84">
        <f>IFERROR(__xludf.DUMMYFUNCTION("""COMPUTED_VALUE"""),46120.622104027774)</f>
        <v>46120.6221</v>
      </c>
      <c r="J127" s="76">
        <f t="shared" si="2"/>
        <v>0.06252792824</v>
      </c>
      <c r="L127" s="76">
        <f>IFERROR(__xludf.DUMMYFUNCTION("""COMPUTED_VALUE"""),5088.0)</f>
        <v>5088</v>
      </c>
      <c r="M127" s="232">
        <f>IFERROR(__xludf.DUMMYFUNCTION("""COMPUTED_VALUE"""),46120.78879862268)</f>
        <v>46120.7888</v>
      </c>
      <c r="N127" s="84">
        <f>IFERROR(__xludf.DUMMYFUNCTION("""COMPUTED_VALUE"""),46120.642722476856)</f>
        <v>46120.64272</v>
      </c>
      <c r="O127" s="76">
        <f t="shared" si="3"/>
        <v>0.1460761458</v>
      </c>
      <c r="Q127" s="76">
        <f>IFERROR(__xludf.DUMMYFUNCTION("""COMPUTED_VALUE"""),5083.0)</f>
        <v>5083</v>
      </c>
      <c r="R127" s="232">
        <f>IFERROR(__xludf.DUMMYFUNCTION("""COMPUTED_VALUE"""),46120.78333333333)</f>
        <v>46120.78333</v>
      </c>
      <c r="S127" s="84">
        <f>IFERROR(__xludf.DUMMYFUNCTION("""COMPUTED_VALUE"""),46119.6109965162)</f>
        <v>46119.611</v>
      </c>
      <c r="T127" s="76">
        <f t="shared" si="4"/>
        <v>1.172336817</v>
      </c>
      <c r="V127" s="76">
        <f>IFERROR(__xludf.DUMMYFUNCTION("""COMPUTED_VALUE"""),5088.0)</f>
        <v>5088</v>
      </c>
      <c r="W127" s="232">
        <f>IFERROR(__xludf.DUMMYFUNCTION("""COMPUTED_VALUE"""),46121.82986111111)</f>
        <v>46121.82986</v>
      </c>
      <c r="X127" s="84">
        <f>IFERROR(__xludf.DUMMYFUNCTION("""COMPUTED_VALUE"""),46120.73157399306)</f>
        <v>46120.73157</v>
      </c>
      <c r="Y127" s="76">
        <f t="shared" si="5"/>
        <v>1.098287118</v>
      </c>
      <c r="AK127" s="232"/>
      <c r="AL127" s="233"/>
      <c r="AM127" s="173"/>
    </row>
    <row r="128">
      <c r="A128" s="76">
        <f>IFERROR(__xludf.DUMMYFUNCTION("""COMPUTED_VALUE"""),5089.0)</f>
        <v>5089</v>
      </c>
      <c r="B128" s="232">
        <f>IFERROR(__xludf.DUMMYFUNCTION("""COMPUTED_VALUE"""),46120.70164883101)</f>
        <v>46120.70165</v>
      </c>
      <c r="C128" s="84">
        <f>IFERROR(__xludf.DUMMYFUNCTION("""COMPUTED_VALUE"""),46120.621900266204)</f>
        <v>46120.6219</v>
      </c>
      <c r="D128" s="173">
        <f t="shared" si="1"/>
        <v>0.07974856481</v>
      </c>
      <c r="G128" s="76">
        <f>IFERROR(__xludf.DUMMYFUNCTION("""COMPUTED_VALUE"""),5089.0)</f>
        <v>5089</v>
      </c>
      <c r="H128" s="232">
        <f>IFERROR(__xludf.DUMMYFUNCTION("""COMPUTED_VALUE"""),46120.708593275456)</f>
        <v>46120.70859</v>
      </c>
      <c r="I128" s="84">
        <f>IFERROR(__xludf.DUMMYFUNCTION("""COMPUTED_VALUE"""),46120.62214723379)</f>
        <v>46120.62215</v>
      </c>
      <c r="J128" s="76">
        <f t="shared" si="2"/>
        <v>0.08644604166</v>
      </c>
      <c r="L128" s="76">
        <f>IFERROR(__xludf.DUMMYFUNCTION("""COMPUTED_VALUE"""),5089.0)</f>
        <v>5089</v>
      </c>
      <c r="M128" s="232">
        <f>IFERROR(__xludf.DUMMYFUNCTION("""COMPUTED_VALUE"""),46120.81275994212)</f>
        <v>46120.81276</v>
      </c>
      <c r="N128" s="84">
        <f>IFERROR(__xludf.DUMMYFUNCTION("""COMPUTED_VALUE"""),46120.64273501157)</f>
        <v>46120.64274</v>
      </c>
      <c r="O128" s="76">
        <f t="shared" si="3"/>
        <v>0.1700249306</v>
      </c>
      <c r="Q128" s="76">
        <f>IFERROR(__xludf.DUMMYFUNCTION("""COMPUTED_VALUE"""),5084.0)</f>
        <v>5084</v>
      </c>
      <c r="R128" s="232">
        <f>IFERROR(__xludf.DUMMYFUNCTION("""COMPUTED_VALUE"""),46120.7875)</f>
        <v>46120.7875</v>
      </c>
      <c r="S128" s="84">
        <f>IFERROR(__xludf.DUMMYFUNCTION("""COMPUTED_VALUE"""),46119.611014166665)</f>
        <v>46119.61101</v>
      </c>
      <c r="T128" s="76">
        <f t="shared" si="4"/>
        <v>1.176485833</v>
      </c>
      <c r="V128" s="76">
        <f>IFERROR(__xludf.DUMMYFUNCTION("""COMPUTED_VALUE"""),5089.0)</f>
        <v>5089</v>
      </c>
      <c r="W128" s="232">
        <f>IFERROR(__xludf.DUMMYFUNCTION("""COMPUTED_VALUE"""),46122.4375)</f>
        <v>46122.4375</v>
      </c>
      <c r="X128" s="84">
        <f>IFERROR(__xludf.DUMMYFUNCTION("""COMPUTED_VALUE"""),46120.73159668982)</f>
        <v>46120.7316</v>
      </c>
      <c r="Y128" s="76">
        <f t="shared" si="5"/>
        <v>1.70590331</v>
      </c>
      <c r="AK128" s="232"/>
      <c r="AL128" s="233"/>
      <c r="AM128" s="173"/>
    </row>
    <row r="129">
      <c r="A129" s="76">
        <f>IFERROR(__xludf.DUMMYFUNCTION("""COMPUTED_VALUE"""),5090.0)</f>
        <v>5090</v>
      </c>
      <c r="B129" s="232">
        <f>IFERROR(__xludf.DUMMYFUNCTION("""COMPUTED_VALUE"""),46121.467361111114)</f>
        <v>46121.46736</v>
      </c>
      <c r="C129" s="84">
        <f>IFERROR(__xludf.DUMMYFUNCTION("""COMPUTED_VALUE"""),46120.73090890046)</f>
        <v>46120.73091</v>
      </c>
      <c r="D129" s="173">
        <f t="shared" si="1"/>
        <v>0.7364522107</v>
      </c>
      <c r="G129" s="76">
        <f>IFERROR(__xludf.DUMMYFUNCTION("""COMPUTED_VALUE"""),5090.0)</f>
        <v>5090</v>
      </c>
      <c r="H129" s="232">
        <f>IFERROR(__xludf.DUMMYFUNCTION("""COMPUTED_VALUE"""),46121.47430555556)</f>
        <v>46121.47431</v>
      </c>
      <c r="I129" s="84">
        <f>IFERROR(__xludf.DUMMYFUNCTION("""COMPUTED_VALUE"""),46120.7308113426)</f>
        <v>46120.73081</v>
      </c>
      <c r="J129" s="76">
        <f t="shared" si="2"/>
        <v>0.743494213</v>
      </c>
      <c r="L129" s="76">
        <f>IFERROR(__xludf.DUMMYFUNCTION("""COMPUTED_VALUE"""),5090.0)</f>
        <v>5090</v>
      </c>
      <c r="M129" s="232">
        <f>IFERROR(__xludf.DUMMYFUNCTION("""COMPUTED_VALUE"""),46121.57847222222)</f>
        <v>46121.57847</v>
      </c>
      <c r="N129" s="84">
        <f>IFERROR(__xludf.DUMMYFUNCTION("""COMPUTED_VALUE"""),46120.731359756945)</f>
        <v>46120.73136</v>
      </c>
      <c r="O129" s="76">
        <f t="shared" si="3"/>
        <v>0.8471124653</v>
      </c>
      <c r="Q129" s="76">
        <f>IFERROR(__xludf.DUMMYFUNCTION("""COMPUTED_VALUE"""),5085.0)</f>
        <v>5085</v>
      </c>
      <c r="R129" s="232">
        <f>IFERROR(__xludf.DUMMYFUNCTION("""COMPUTED_VALUE"""),46120.808333333334)</f>
        <v>46120.80833</v>
      </c>
      <c r="S129" s="84">
        <f>IFERROR(__xludf.DUMMYFUNCTION("""COMPUTED_VALUE"""),46119.61103408565)</f>
        <v>46119.61103</v>
      </c>
      <c r="T129" s="76">
        <f t="shared" si="4"/>
        <v>1.197299248</v>
      </c>
      <c r="V129" s="76">
        <f>IFERROR(__xludf.DUMMYFUNCTION("""COMPUTED_VALUE"""),5090.0)</f>
        <v>5090</v>
      </c>
      <c r="W129" s="232">
        <f>IFERROR(__xludf.DUMMYFUNCTION("""COMPUTED_VALUE"""),46122.62013888889)</f>
        <v>46122.62014</v>
      </c>
      <c r="X129" s="84">
        <f>IFERROR(__xludf.DUMMYFUNCTION("""COMPUTED_VALUE"""),46121.41948774306)</f>
        <v>46121.41949</v>
      </c>
      <c r="Y129" s="76">
        <f t="shared" si="5"/>
        <v>1.200651146</v>
      </c>
      <c r="AK129" s="232"/>
      <c r="AL129" s="233"/>
      <c r="AM129" s="173"/>
    </row>
    <row r="130">
      <c r="A130" s="76">
        <f>IFERROR(__xludf.DUMMYFUNCTION("""COMPUTED_VALUE"""),5091.0)</f>
        <v>5091</v>
      </c>
      <c r="B130" s="232">
        <f>IFERROR(__xludf.DUMMYFUNCTION("""COMPUTED_VALUE"""),46121.47638888889)</f>
        <v>46121.47639</v>
      </c>
      <c r="C130" s="84">
        <f>IFERROR(__xludf.DUMMYFUNCTION("""COMPUTED_VALUE"""),46120.73103434028)</f>
        <v>46120.73103</v>
      </c>
      <c r="D130" s="173">
        <f t="shared" si="1"/>
        <v>0.7453545486</v>
      </c>
      <c r="G130" s="76">
        <f>IFERROR(__xludf.DUMMYFUNCTION("""COMPUTED_VALUE"""),5091.0)</f>
        <v>5091</v>
      </c>
      <c r="H130" s="232">
        <f>IFERROR(__xludf.DUMMYFUNCTION("""COMPUTED_VALUE"""),46121.48333333334)</f>
        <v>46121.48333</v>
      </c>
      <c r="I130" s="84">
        <f>IFERROR(__xludf.DUMMYFUNCTION("""COMPUTED_VALUE"""),46120.73110145833)</f>
        <v>46120.7311</v>
      </c>
      <c r="J130" s="76">
        <f t="shared" si="2"/>
        <v>0.752231875</v>
      </c>
      <c r="L130" s="76">
        <f>IFERROR(__xludf.DUMMYFUNCTION("""COMPUTED_VALUE"""),5091.0)</f>
        <v>5091</v>
      </c>
      <c r="M130" s="232">
        <f>IFERROR(__xludf.DUMMYFUNCTION("""COMPUTED_VALUE"""),46121.5875)</f>
        <v>46121.5875</v>
      </c>
      <c r="N130" s="84">
        <f>IFERROR(__xludf.DUMMYFUNCTION("""COMPUTED_VALUE"""),46120.731377199074)</f>
        <v>46120.73138</v>
      </c>
      <c r="O130" s="76">
        <f t="shared" si="3"/>
        <v>0.8561228009</v>
      </c>
      <c r="Q130" s="76">
        <f>IFERROR(__xludf.DUMMYFUNCTION("""COMPUTED_VALUE"""),5086.0)</f>
        <v>5086</v>
      </c>
      <c r="R130" s="232">
        <f>IFERROR(__xludf.DUMMYFUNCTION("""COMPUTED_VALUE"""),46121.5625)</f>
        <v>46121.5625</v>
      </c>
      <c r="S130" s="84">
        <f>IFERROR(__xludf.DUMMYFUNCTION("""COMPUTED_VALUE"""),46119.765259189815)</f>
        <v>46119.76526</v>
      </c>
      <c r="T130" s="76">
        <f t="shared" si="4"/>
        <v>1.79724081</v>
      </c>
      <c r="V130" s="76">
        <f>IFERROR(__xludf.DUMMYFUNCTION("""COMPUTED_VALUE"""),5091.0)</f>
        <v>5091</v>
      </c>
      <c r="W130" s="232">
        <f>IFERROR(__xludf.DUMMYFUNCTION("""COMPUTED_VALUE"""),46122.629166666666)</f>
        <v>46122.62917</v>
      </c>
      <c r="X130" s="84">
        <f>IFERROR(__xludf.DUMMYFUNCTION("""COMPUTED_VALUE"""),46120.77266707176)</f>
        <v>46120.77267</v>
      </c>
      <c r="Y130" s="76">
        <f t="shared" si="5"/>
        <v>1.856499595</v>
      </c>
      <c r="AK130" s="232"/>
      <c r="AL130" s="233"/>
      <c r="AM130" s="173"/>
    </row>
    <row r="131">
      <c r="A131" s="76">
        <f>IFERROR(__xludf.DUMMYFUNCTION("""COMPUTED_VALUE"""),5092.0)</f>
        <v>5092</v>
      </c>
      <c r="B131" s="232">
        <f>IFERROR(__xludf.DUMMYFUNCTION("""COMPUTED_VALUE"""),46121.47708333334)</f>
        <v>46121.47708</v>
      </c>
      <c r="C131" s="84">
        <f>IFERROR(__xludf.DUMMYFUNCTION("""COMPUTED_VALUE"""),46120.73115665509)</f>
        <v>46120.73116</v>
      </c>
      <c r="D131" s="173">
        <f t="shared" si="1"/>
        <v>0.7459266782</v>
      </c>
      <c r="G131" s="76">
        <f>IFERROR(__xludf.DUMMYFUNCTION("""COMPUTED_VALUE"""),5092.0)</f>
        <v>5092</v>
      </c>
      <c r="H131" s="232">
        <f>IFERROR(__xludf.DUMMYFUNCTION("""COMPUTED_VALUE"""),46121.484027777784)</f>
        <v>46121.48403</v>
      </c>
      <c r="I131" s="84">
        <f>IFERROR(__xludf.DUMMYFUNCTION("""COMPUTED_VALUE"""),46120.73122868055)</f>
        <v>46120.73123</v>
      </c>
      <c r="J131" s="76">
        <f t="shared" si="2"/>
        <v>0.7527990972</v>
      </c>
      <c r="L131" s="76">
        <f>IFERROR(__xludf.DUMMYFUNCTION("""COMPUTED_VALUE"""),5092.0)</f>
        <v>5092</v>
      </c>
      <c r="M131" s="232">
        <f>IFERROR(__xludf.DUMMYFUNCTION("""COMPUTED_VALUE"""),46121.58819444445)</f>
        <v>46121.58819</v>
      </c>
      <c r="N131" s="84">
        <f>IFERROR(__xludf.DUMMYFUNCTION("""COMPUTED_VALUE"""),46120.73139664352)</f>
        <v>46120.7314</v>
      </c>
      <c r="O131" s="76">
        <f t="shared" si="3"/>
        <v>0.8567978009</v>
      </c>
      <c r="Q131" s="76">
        <f>IFERROR(__xludf.DUMMYFUNCTION("""COMPUTED_VALUE"""),5087.0)</f>
        <v>5087</v>
      </c>
      <c r="R131" s="232">
        <f>IFERROR(__xludf.DUMMYFUNCTION("""COMPUTED_VALUE"""),46121.57708333333)</f>
        <v>46121.57708</v>
      </c>
      <c r="S131" s="84">
        <f>IFERROR(__xludf.DUMMYFUNCTION("""COMPUTED_VALUE"""),46119.76526480324)</f>
        <v>46119.76526</v>
      </c>
      <c r="T131" s="76">
        <f t="shared" si="4"/>
        <v>1.81181853</v>
      </c>
      <c r="V131" s="76">
        <f>IFERROR(__xludf.DUMMYFUNCTION("""COMPUTED_VALUE"""),5092.0)</f>
        <v>5092</v>
      </c>
      <c r="W131" s="232">
        <f>IFERROR(__xludf.DUMMYFUNCTION("""COMPUTED_VALUE"""),46122.62986111111)</f>
        <v>46122.62986</v>
      </c>
      <c r="X131" s="84">
        <f>IFERROR(__xludf.DUMMYFUNCTION("""COMPUTED_VALUE"""),46120.77262503472)</f>
        <v>46120.77263</v>
      </c>
      <c r="Y131" s="76">
        <f t="shared" si="5"/>
        <v>1.857236076</v>
      </c>
      <c r="AK131" s="232"/>
      <c r="AL131" s="233"/>
      <c r="AM131" s="173"/>
    </row>
    <row r="132">
      <c r="A132" s="76">
        <f>IFERROR(__xludf.DUMMYFUNCTION("""COMPUTED_VALUE"""),5093.0)</f>
        <v>5093</v>
      </c>
      <c r="B132" s="232">
        <f>IFERROR(__xludf.DUMMYFUNCTION("""COMPUTED_VALUE"""),46121.70268937499)</f>
        <v>46121.70269</v>
      </c>
      <c r="C132" s="84">
        <f>IFERROR(__xludf.DUMMYFUNCTION("""COMPUTED_VALUE"""),46121.64437649306)</f>
        <v>46121.64438</v>
      </c>
      <c r="D132" s="173">
        <f t="shared" si="1"/>
        <v>0.05831288193</v>
      </c>
      <c r="G132" s="76">
        <f>IFERROR(__xludf.DUMMYFUNCTION("""COMPUTED_VALUE"""),5093.0)</f>
        <v>5093</v>
      </c>
      <c r="H132" s="232">
        <f>IFERROR(__xludf.DUMMYFUNCTION("""COMPUTED_VALUE"""),46121.70963381944)</f>
        <v>46121.70963</v>
      </c>
      <c r="I132" s="84">
        <f>IFERROR(__xludf.DUMMYFUNCTION("""COMPUTED_VALUE"""),46121.64495630787)</f>
        <v>46121.64496</v>
      </c>
      <c r="J132" s="76">
        <f t="shared" si="2"/>
        <v>0.06467751157</v>
      </c>
      <c r="L132" s="76">
        <f>IFERROR(__xludf.DUMMYFUNCTION("""COMPUTED_VALUE"""),5093.0)</f>
        <v>5093</v>
      </c>
      <c r="M132" s="232">
        <f>IFERROR(__xludf.DUMMYFUNCTION("""COMPUTED_VALUE"""),46121.8138004861)</f>
        <v>46121.8138</v>
      </c>
      <c r="N132" s="84">
        <f>IFERROR(__xludf.DUMMYFUNCTION("""COMPUTED_VALUE"""),46121.64502414352)</f>
        <v>46121.64502</v>
      </c>
      <c r="O132" s="76">
        <f t="shared" si="3"/>
        <v>0.1687763426</v>
      </c>
      <c r="Q132" s="76">
        <f>IFERROR(__xludf.DUMMYFUNCTION("""COMPUTED_VALUE"""),5088.0)</f>
        <v>5088</v>
      </c>
      <c r="R132" s="232">
        <f>IFERROR(__xludf.DUMMYFUNCTION("""COMPUTED_VALUE"""),46121.788194444445)</f>
        <v>46121.78819</v>
      </c>
      <c r="S132" s="84">
        <f>IFERROR(__xludf.DUMMYFUNCTION("""COMPUTED_VALUE"""),46120.73063929398)</f>
        <v>46120.73064</v>
      </c>
      <c r="T132" s="76">
        <f t="shared" si="4"/>
        <v>1.05755515</v>
      </c>
      <c r="V132" s="76">
        <f>IFERROR(__xludf.DUMMYFUNCTION("""COMPUTED_VALUE"""),5093.0)</f>
        <v>5093</v>
      </c>
      <c r="W132" s="232">
        <f>IFERROR(__xludf.DUMMYFUNCTION("""COMPUTED_VALUE"""),46123.43819444444)</f>
        <v>46123.43819</v>
      </c>
      <c r="X132" s="84">
        <f>IFERROR(__xludf.DUMMYFUNCTION("""COMPUTED_VALUE"""),46121.75032210648)</f>
        <v>46121.75032</v>
      </c>
      <c r="Y132" s="76">
        <f t="shared" si="5"/>
        <v>1.687872338</v>
      </c>
      <c r="AK132" s="232"/>
      <c r="AL132" s="233"/>
      <c r="AM132" s="173"/>
    </row>
    <row r="133">
      <c r="A133" s="76">
        <f>IFERROR(__xludf.DUMMYFUNCTION("""COMPUTED_VALUE"""),5094.0)</f>
        <v>5094</v>
      </c>
      <c r="B133" s="232">
        <f>IFERROR(__xludf.DUMMYFUNCTION("""COMPUTED_VALUE"""),46121.7372740162)</f>
        <v>46121.73727</v>
      </c>
      <c r="C133" s="84">
        <f>IFERROR(__xludf.DUMMYFUNCTION("""COMPUTED_VALUE"""),46121.644405196756)</f>
        <v>46121.64441</v>
      </c>
      <c r="D133" s="173">
        <f t="shared" si="1"/>
        <v>0.09286881945</v>
      </c>
      <c r="G133" s="76">
        <f>IFERROR(__xludf.DUMMYFUNCTION("""COMPUTED_VALUE"""),5094.0)</f>
        <v>5094</v>
      </c>
      <c r="H133" s="232">
        <f>IFERROR(__xludf.DUMMYFUNCTION("""COMPUTED_VALUE"""),46121.74421846065)</f>
        <v>46121.74422</v>
      </c>
      <c r="I133" s="84">
        <f>IFERROR(__xludf.DUMMYFUNCTION("""COMPUTED_VALUE"""),46121.6449702199)</f>
        <v>46121.64497</v>
      </c>
      <c r="J133" s="76">
        <f t="shared" si="2"/>
        <v>0.09924824075</v>
      </c>
      <c r="L133" s="76">
        <f>IFERROR(__xludf.DUMMYFUNCTION("""COMPUTED_VALUE"""),5094.0)</f>
        <v>5094</v>
      </c>
      <c r="M133" s="232">
        <f>IFERROR(__xludf.DUMMYFUNCTION("""COMPUTED_VALUE"""),46122.45208333333)</f>
        <v>46122.45208</v>
      </c>
      <c r="N133" s="84">
        <f>IFERROR(__xludf.DUMMYFUNCTION("""COMPUTED_VALUE"""),46121.64502414352)</f>
        <v>46121.64502</v>
      </c>
      <c r="O133" s="76">
        <f t="shared" si="3"/>
        <v>0.8070591898</v>
      </c>
      <c r="Q133" s="76">
        <f>IFERROR(__xludf.DUMMYFUNCTION("""COMPUTED_VALUE"""),5089.0)</f>
        <v>5089</v>
      </c>
      <c r="R133" s="232">
        <f>IFERROR(__xludf.DUMMYFUNCTION("""COMPUTED_VALUE"""),46121.8125)</f>
        <v>46121.8125</v>
      </c>
      <c r="S133" s="84">
        <f>IFERROR(__xludf.DUMMYFUNCTION("""COMPUTED_VALUE"""),46120.730659560184)</f>
        <v>46120.73066</v>
      </c>
      <c r="T133" s="76">
        <f t="shared" si="4"/>
        <v>1.08184044</v>
      </c>
      <c r="V133" s="76">
        <f>IFERROR(__xludf.DUMMYFUNCTION("""COMPUTED_VALUE"""),5094.0)</f>
        <v>5094</v>
      </c>
      <c r="W133" s="232">
        <f>IFERROR(__xludf.DUMMYFUNCTION("""COMPUTED_VALUE"""),46123.493749999994)</f>
        <v>46123.49375</v>
      </c>
      <c r="X133" s="84">
        <f>IFERROR(__xludf.DUMMYFUNCTION("""COMPUTED_VALUE"""),46122.45932672454)</f>
        <v>46122.45933</v>
      </c>
      <c r="Y133" s="76">
        <f t="shared" si="5"/>
        <v>1.034423275</v>
      </c>
      <c r="AK133" s="232"/>
      <c r="AL133" s="233"/>
      <c r="AM133" s="173"/>
    </row>
    <row r="134">
      <c r="A134" s="76">
        <f>IFERROR(__xludf.DUMMYFUNCTION("""COMPUTED_VALUE"""),5095.0)</f>
        <v>5095</v>
      </c>
      <c r="B134" s="232">
        <f>IFERROR(__xludf.DUMMYFUNCTION("""COMPUTED_VALUE"""),46121.81161628472)</f>
        <v>46121.81162</v>
      </c>
      <c r="C134" s="84">
        <f>IFERROR(__xludf.DUMMYFUNCTION("""COMPUTED_VALUE"""),46121.64512804398)</f>
        <v>46121.64513</v>
      </c>
      <c r="D134" s="173">
        <f t="shared" si="1"/>
        <v>0.1664882407</v>
      </c>
      <c r="G134" s="76">
        <f>IFERROR(__xludf.DUMMYFUNCTION("""COMPUTED_VALUE"""),5095.0)</f>
        <v>5095</v>
      </c>
      <c r="H134" s="232">
        <f>IFERROR(__xludf.DUMMYFUNCTION("""COMPUTED_VALUE"""),46121.81856072917)</f>
        <v>46121.81856</v>
      </c>
      <c r="I134" s="84">
        <f>IFERROR(__xludf.DUMMYFUNCTION("""COMPUTED_VALUE"""),46121.64517934028)</f>
        <v>46121.64518</v>
      </c>
      <c r="J134" s="76">
        <f t="shared" si="2"/>
        <v>0.1733813889</v>
      </c>
      <c r="L134" s="76">
        <f>IFERROR(__xludf.DUMMYFUNCTION("""COMPUTED_VALUE"""),5095.0)</f>
        <v>5095</v>
      </c>
      <c r="M134" s="232">
        <f>IFERROR(__xludf.DUMMYFUNCTION("""COMPUTED_VALUE"""),46122.52638888889)</f>
        <v>46122.52639</v>
      </c>
      <c r="N134" s="84">
        <f>IFERROR(__xludf.DUMMYFUNCTION("""COMPUTED_VALUE"""),46121.64520241898)</f>
        <v>46121.6452</v>
      </c>
      <c r="O134" s="76">
        <f t="shared" si="3"/>
        <v>0.8811864699</v>
      </c>
      <c r="Q134" s="76">
        <f>IFERROR(__xludf.DUMMYFUNCTION("""COMPUTED_VALUE"""),5090.0)</f>
        <v>5090</v>
      </c>
      <c r="R134" s="232">
        <f>IFERROR(__xludf.DUMMYFUNCTION("""COMPUTED_VALUE"""),46122.57847222222)</f>
        <v>46122.57847</v>
      </c>
      <c r="S134" s="84">
        <f>IFERROR(__xludf.DUMMYFUNCTION("""COMPUTED_VALUE"""),46121.41938760417)</f>
        <v>46121.41939</v>
      </c>
      <c r="T134" s="76">
        <f t="shared" si="4"/>
        <v>1.159084618</v>
      </c>
      <c r="V134" s="76">
        <f>IFERROR(__xludf.DUMMYFUNCTION("""COMPUTED_VALUE"""),5095.0)</f>
        <v>5095</v>
      </c>
      <c r="W134" s="232">
        <f>IFERROR(__xludf.DUMMYFUNCTION("""COMPUTED_VALUE"""),46123.56805555555)</f>
        <v>46123.56806</v>
      </c>
      <c r="X134" s="84">
        <f>IFERROR(__xludf.DUMMYFUNCTION("""COMPUTED_VALUE"""),46122.799425798614)</f>
        <v>46122.79943</v>
      </c>
      <c r="Y134" s="76">
        <f t="shared" si="5"/>
        <v>0.7686297569</v>
      </c>
      <c r="AK134" s="232"/>
      <c r="AL134" s="233"/>
      <c r="AM134" s="173"/>
    </row>
    <row r="135">
      <c r="A135" s="76">
        <f>IFERROR(__xludf.DUMMYFUNCTION("""COMPUTED_VALUE"""),5096.0)</f>
        <v>5096</v>
      </c>
      <c r="B135" s="232">
        <f>IFERROR(__xludf.DUMMYFUNCTION("""COMPUTED_VALUE"""),46121.81607422453)</f>
        <v>46121.81607</v>
      </c>
      <c r="C135" s="84">
        <f>IFERROR(__xludf.DUMMYFUNCTION("""COMPUTED_VALUE"""),46121.69097325232)</f>
        <v>46121.69097</v>
      </c>
      <c r="D135" s="173">
        <f t="shared" si="1"/>
        <v>0.1251009722</v>
      </c>
      <c r="G135" s="76">
        <f>IFERROR(__xludf.DUMMYFUNCTION("""COMPUTED_VALUE"""),5096.0)</f>
        <v>5096</v>
      </c>
      <c r="H135" s="232">
        <f>IFERROR(__xludf.DUMMYFUNCTION("""COMPUTED_VALUE"""),46121.823018668976)</f>
        <v>46121.82302</v>
      </c>
      <c r="I135" s="84">
        <f>IFERROR(__xludf.DUMMYFUNCTION("""COMPUTED_VALUE"""),46121.69119640046)</f>
        <v>46121.6912</v>
      </c>
      <c r="J135" s="76">
        <f t="shared" si="2"/>
        <v>0.1318222685</v>
      </c>
      <c r="L135" s="76">
        <f>IFERROR(__xludf.DUMMYFUNCTION("""COMPUTED_VALUE"""),5096.0)</f>
        <v>5096</v>
      </c>
      <c r="M135" s="232">
        <f>IFERROR(__xludf.DUMMYFUNCTION("""COMPUTED_VALUE"""),46122.53125)</f>
        <v>46122.53125</v>
      </c>
      <c r="N135" s="84">
        <f>IFERROR(__xludf.DUMMYFUNCTION("""COMPUTED_VALUE"""),46121.693085590276)</f>
        <v>46121.69309</v>
      </c>
      <c r="O135" s="76">
        <f t="shared" si="3"/>
        <v>0.8381644097</v>
      </c>
      <c r="Q135" s="76">
        <f>IFERROR(__xludf.DUMMYFUNCTION("""COMPUTED_VALUE"""),5091.0)</f>
        <v>5091</v>
      </c>
      <c r="R135" s="232">
        <f>IFERROR(__xludf.DUMMYFUNCTION("""COMPUTED_VALUE"""),46122.5875)</f>
        <v>46122.5875</v>
      </c>
      <c r="S135" s="84">
        <f>IFERROR(__xludf.DUMMYFUNCTION("""COMPUTED_VALUE"""),46120.75401046296)</f>
        <v>46120.75401</v>
      </c>
      <c r="T135" s="76">
        <f t="shared" si="4"/>
        <v>1.833489537</v>
      </c>
      <c r="V135" s="76">
        <f>IFERROR(__xludf.DUMMYFUNCTION("""COMPUTED_VALUE"""),5096.0)</f>
        <v>5096</v>
      </c>
      <c r="W135" s="232">
        <f>IFERROR(__xludf.DUMMYFUNCTION("""COMPUTED_VALUE"""),46123.572916666664)</f>
        <v>46123.57292</v>
      </c>
      <c r="X135" s="84">
        <f>IFERROR(__xludf.DUMMYFUNCTION("""COMPUTED_VALUE"""),46121.76073032407)</f>
        <v>46121.76073</v>
      </c>
      <c r="Y135" s="76">
        <f t="shared" si="5"/>
        <v>1.812186343</v>
      </c>
      <c r="AK135" s="232"/>
      <c r="AL135" s="233"/>
      <c r="AM135" s="173"/>
    </row>
    <row r="136">
      <c r="A136" s="76">
        <f>IFERROR(__xludf.DUMMYFUNCTION("""COMPUTED_VALUE"""),5097.0)</f>
        <v>5097</v>
      </c>
      <c r="B136" s="232">
        <f>IFERROR(__xludf.DUMMYFUNCTION("""COMPUTED_VALUE"""),46122.74356717592)</f>
        <v>46122.74357</v>
      </c>
      <c r="C136" s="84">
        <f>IFERROR(__xludf.DUMMYFUNCTION("""COMPUTED_VALUE"""),46122.607656099535)</f>
        <v>46122.60766</v>
      </c>
      <c r="D136" s="173">
        <f t="shared" si="1"/>
        <v>0.1359110764</v>
      </c>
      <c r="G136" s="76">
        <f>IFERROR(__xludf.DUMMYFUNCTION("""COMPUTED_VALUE"""),5097.0)</f>
        <v>5097</v>
      </c>
      <c r="H136" s="232">
        <f>IFERROR(__xludf.DUMMYFUNCTION("""COMPUTED_VALUE"""),46122.75051162037)</f>
        <v>46122.75051</v>
      </c>
      <c r="I136" s="84">
        <f>IFERROR(__xludf.DUMMYFUNCTION("""COMPUTED_VALUE"""),46122.607939560185)</f>
        <v>46122.60794</v>
      </c>
      <c r="J136" s="76">
        <f t="shared" si="2"/>
        <v>0.1425720602</v>
      </c>
      <c r="L136" s="76">
        <f>IFERROR(__xludf.DUMMYFUNCTION("""COMPUTED_VALUE"""),5097.0)</f>
        <v>5097</v>
      </c>
      <c r="M136" s="232">
        <f>IFERROR(__xludf.DUMMYFUNCTION("""COMPUTED_VALUE"""),46123.416666666664)</f>
        <v>46123.41667</v>
      </c>
      <c r="N136" s="84">
        <f>IFERROR(__xludf.DUMMYFUNCTION("""COMPUTED_VALUE"""),46122.63407425926)</f>
        <v>46122.63407</v>
      </c>
      <c r="O136" s="76">
        <f t="shared" si="3"/>
        <v>0.7825924074</v>
      </c>
      <c r="Q136" s="76">
        <f>IFERROR(__xludf.DUMMYFUNCTION("""COMPUTED_VALUE"""),5092.0)</f>
        <v>5092</v>
      </c>
      <c r="R136" s="232">
        <f>IFERROR(__xludf.DUMMYFUNCTION("""COMPUTED_VALUE"""),46122.58819444445)</f>
        <v>46122.58819</v>
      </c>
      <c r="S136" s="84">
        <f>IFERROR(__xludf.DUMMYFUNCTION("""COMPUTED_VALUE"""),46120.77257518518)</f>
        <v>46120.77258</v>
      </c>
      <c r="T136" s="76">
        <f t="shared" si="4"/>
        <v>1.815619259</v>
      </c>
      <c r="V136" s="76">
        <f>IFERROR(__xludf.DUMMYFUNCTION("""COMPUTED_VALUE"""),5097.0)</f>
        <v>5097</v>
      </c>
      <c r="W136" s="232">
        <f>IFERROR(__xludf.DUMMYFUNCTION("""COMPUTED_VALUE"""),46125.45833333333)</f>
        <v>46125.45833</v>
      </c>
      <c r="X136" s="84">
        <f>IFERROR(__xludf.DUMMYFUNCTION("""COMPUTED_VALUE"""),46122.63443258102)</f>
        <v>46122.63443</v>
      </c>
      <c r="Y136" s="76">
        <f t="shared" si="5"/>
        <v>2.823900752</v>
      </c>
      <c r="AK136" s="232"/>
      <c r="AL136" s="233"/>
      <c r="AM136" s="173"/>
    </row>
    <row r="137">
      <c r="A137" s="76">
        <f>IFERROR(__xludf.DUMMYFUNCTION("""COMPUTED_VALUE"""),5098.0)</f>
        <v>5098</v>
      </c>
      <c r="B137" s="232">
        <f>IFERROR(__xludf.DUMMYFUNCTION("""COMPUTED_VALUE"""),46126.44375)</f>
        <v>46126.44375</v>
      </c>
      <c r="C137" s="84">
        <f>IFERROR(__xludf.DUMMYFUNCTION("""COMPUTED_VALUE"""),46125.71877013889)</f>
        <v>46125.71877</v>
      </c>
      <c r="D137" s="173">
        <f t="shared" si="1"/>
        <v>0.7249798611</v>
      </c>
      <c r="G137" s="76">
        <f>IFERROR(__xludf.DUMMYFUNCTION("""COMPUTED_VALUE"""),5098.0)</f>
        <v>5098</v>
      </c>
      <c r="H137" s="232">
        <f>IFERROR(__xludf.DUMMYFUNCTION("""COMPUTED_VALUE"""),46126.450694444444)</f>
        <v>46126.45069</v>
      </c>
      <c r="I137" s="84">
        <f>IFERROR(__xludf.DUMMYFUNCTION("""COMPUTED_VALUE"""),46125.7189721412)</f>
        <v>46125.71897</v>
      </c>
      <c r="J137" s="76">
        <f t="shared" si="2"/>
        <v>0.7317223032</v>
      </c>
      <c r="L137" s="76">
        <f>IFERROR(__xludf.DUMMYFUNCTION("""COMPUTED_VALUE"""),5098.0)</f>
        <v>5098</v>
      </c>
      <c r="M137" s="232">
        <f>IFERROR(__xludf.DUMMYFUNCTION("""COMPUTED_VALUE"""),46126.55486111111)</f>
        <v>46126.55486</v>
      </c>
      <c r="N137" s="84">
        <f>IFERROR(__xludf.DUMMYFUNCTION("""COMPUTED_VALUE"""),46125.71906344907)</f>
        <v>46125.71906</v>
      </c>
      <c r="O137" s="76">
        <f t="shared" si="3"/>
        <v>0.835797662</v>
      </c>
      <c r="Q137" s="76">
        <f>IFERROR(__xludf.DUMMYFUNCTION("""COMPUTED_VALUE"""),5093.0)</f>
        <v>5093</v>
      </c>
      <c r="R137" s="232">
        <f>IFERROR(__xludf.DUMMYFUNCTION("""COMPUTED_VALUE"""),46122.81319444444)</f>
        <v>46122.81319</v>
      </c>
      <c r="S137" s="84">
        <f>IFERROR(__xludf.DUMMYFUNCTION("""COMPUTED_VALUE"""),46121.75022771991)</f>
        <v>46121.75023</v>
      </c>
      <c r="T137" s="76">
        <f t="shared" si="4"/>
        <v>1.062966725</v>
      </c>
      <c r="V137" s="76">
        <f>IFERROR(__xludf.DUMMYFUNCTION("""COMPUTED_VALUE"""),5098.0)</f>
        <v>5098</v>
      </c>
      <c r="W137" s="232">
        <f>IFERROR(__xludf.DUMMYFUNCTION("""COMPUTED_VALUE"""),46127.59652777777)</f>
        <v>46127.59653</v>
      </c>
      <c r="X137" s="84">
        <f>IFERROR(__xludf.DUMMYFUNCTION("""COMPUTED_VALUE"""),46125.73241976852)</f>
        <v>46125.73242</v>
      </c>
      <c r="Y137" s="76">
        <f t="shared" si="5"/>
        <v>1.864108009</v>
      </c>
      <c r="AK137" s="232"/>
      <c r="AL137" s="233"/>
      <c r="AM137" s="173"/>
    </row>
    <row r="138">
      <c r="A138" s="76">
        <f>IFERROR(__xludf.DUMMYFUNCTION("""COMPUTED_VALUE"""),5099.0)</f>
        <v>5099</v>
      </c>
      <c r="B138" s="232">
        <f>IFERROR(__xludf.DUMMYFUNCTION("""COMPUTED_VALUE"""),46126.444444444445)</f>
        <v>46126.44444</v>
      </c>
      <c r="C138" s="84">
        <f>IFERROR(__xludf.DUMMYFUNCTION("""COMPUTED_VALUE"""),46125.71879505787)</f>
        <v>46125.7188</v>
      </c>
      <c r="D138" s="173">
        <f t="shared" si="1"/>
        <v>0.7256493866</v>
      </c>
      <c r="G138" s="76">
        <f>IFERROR(__xludf.DUMMYFUNCTION("""COMPUTED_VALUE"""),5099.0)</f>
        <v>5099</v>
      </c>
      <c r="H138" s="232">
        <f>IFERROR(__xludf.DUMMYFUNCTION("""COMPUTED_VALUE"""),46126.45138888889)</f>
        <v>46126.45139</v>
      </c>
      <c r="I138" s="84">
        <f>IFERROR(__xludf.DUMMYFUNCTION("""COMPUTED_VALUE"""),46125.71900327546)</f>
        <v>46125.719</v>
      </c>
      <c r="J138" s="76">
        <f t="shared" si="2"/>
        <v>0.7323856134</v>
      </c>
      <c r="L138" s="76">
        <f>IFERROR(__xludf.DUMMYFUNCTION("""COMPUTED_VALUE"""),5099.0)</f>
        <v>5099</v>
      </c>
      <c r="M138" s="232">
        <f>IFERROR(__xludf.DUMMYFUNCTION("""COMPUTED_VALUE"""),46126.555555555555)</f>
        <v>46126.55556</v>
      </c>
      <c r="N138" s="84">
        <f>IFERROR(__xludf.DUMMYFUNCTION("""COMPUTED_VALUE"""),46125.719084236116)</f>
        <v>46125.71908</v>
      </c>
      <c r="O138" s="76">
        <f t="shared" si="3"/>
        <v>0.8364713194</v>
      </c>
      <c r="Q138" s="76">
        <f>IFERROR(__xludf.DUMMYFUNCTION("""COMPUTED_VALUE"""),5094.0)</f>
        <v>5094</v>
      </c>
      <c r="R138" s="232">
        <f>IFERROR(__xludf.DUMMYFUNCTION("""COMPUTED_VALUE"""),46123.45208333333)</f>
        <v>46123.45208</v>
      </c>
      <c r="S138" s="84">
        <f>IFERROR(__xludf.DUMMYFUNCTION("""COMPUTED_VALUE"""),46122.45930479167)</f>
        <v>46122.4593</v>
      </c>
      <c r="T138" s="76">
        <f t="shared" si="4"/>
        <v>0.9927785417</v>
      </c>
      <c r="V138" s="76">
        <f>IFERROR(__xludf.DUMMYFUNCTION("""COMPUTED_VALUE"""),5099.0)</f>
        <v>5099</v>
      </c>
      <c r="W138" s="232">
        <f>IFERROR(__xludf.DUMMYFUNCTION("""COMPUTED_VALUE"""),46127.59722222222)</f>
        <v>46127.59722</v>
      </c>
      <c r="X138" s="84">
        <f>IFERROR(__xludf.DUMMYFUNCTION("""COMPUTED_VALUE"""),46125.73243462963)</f>
        <v>46125.73243</v>
      </c>
      <c r="Y138" s="76">
        <f t="shared" si="5"/>
        <v>1.864787593</v>
      </c>
      <c r="AK138" s="232"/>
      <c r="AL138" s="233"/>
      <c r="AM138" s="173"/>
    </row>
    <row r="139">
      <c r="A139" s="76">
        <f>IFERROR(__xludf.DUMMYFUNCTION("""COMPUTED_VALUE"""),5100.0)</f>
        <v>5100</v>
      </c>
      <c r="B139" s="232">
        <f>IFERROR(__xludf.DUMMYFUNCTION("""COMPUTED_VALUE"""),46127.43472222222)</f>
        <v>46127.43472</v>
      </c>
      <c r="C139" s="84">
        <f>IFERROR(__xludf.DUMMYFUNCTION("""COMPUTED_VALUE"""),46126.78085811343)</f>
        <v>46126.78086</v>
      </c>
      <c r="D139" s="173">
        <f t="shared" si="1"/>
        <v>0.6538641088</v>
      </c>
      <c r="G139" s="76">
        <f>IFERROR(__xludf.DUMMYFUNCTION("""COMPUTED_VALUE"""),5100.0)</f>
        <v>5100</v>
      </c>
      <c r="H139" s="232">
        <f>IFERROR(__xludf.DUMMYFUNCTION("""COMPUTED_VALUE"""),46127.441666666666)</f>
        <v>46127.44167</v>
      </c>
      <c r="I139" s="84">
        <f>IFERROR(__xludf.DUMMYFUNCTION("""COMPUTED_VALUE"""),46126.78159628472)</f>
        <v>46126.7816</v>
      </c>
      <c r="J139" s="76">
        <f t="shared" si="2"/>
        <v>0.6600703819</v>
      </c>
      <c r="L139" s="76">
        <f>IFERROR(__xludf.DUMMYFUNCTION("""COMPUTED_VALUE"""),5100.0)</f>
        <v>5100</v>
      </c>
      <c r="M139" s="232">
        <f>IFERROR(__xludf.DUMMYFUNCTION("""COMPUTED_VALUE"""),46127.54583333333)</f>
        <v>46127.54583</v>
      </c>
      <c r="N139" s="84">
        <f>IFERROR(__xludf.DUMMYFUNCTION("""COMPUTED_VALUE"""),46126.78162519676)</f>
        <v>46126.78163</v>
      </c>
      <c r="O139" s="76">
        <f t="shared" si="3"/>
        <v>0.7642081366</v>
      </c>
      <c r="Q139" s="76">
        <f>IFERROR(__xludf.DUMMYFUNCTION("""COMPUTED_VALUE"""),5095.0)</f>
        <v>5095</v>
      </c>
      <c r="R139" s="232">
        <f>IFERROR(__xludf.DUMMYFUNCTION("""COMPUTED_VALUE"""),46123.52638888889)</f>
        <v>46123.52639</v>
      </c>
      <c r="S139" s="84">
        <f>IFERROR(__xludf.DUMMYFUNCTION("""COMPUTED_VALUE"""),46121.75025923611)</f>
        <v>46121.75026</v>
      </c>
      <c r="T139" s="76">
        <f t="shared" si="4"/>
        <v>1.776129653</v>
      </c>
      <c r="V139" s="76">
        <f>IFERROR(__xludf.DUMMYFUNCTION("""COMPUTED_VALUE"""),5100.0)</f>
        <v>5100</v>
      </c>
      <c r="W139" s="232">
        <f>IFERROR(__xludf.DUMMYFUNCTION("""COMPUTED_VALUE"""),46128.587499999994)</f>
        <v>46128.5875</v>
      </c>
      <c r="X139" s="84">
        <f>IFERROR(__xludf.DUMMYFUNCTION("""COMPUTED_VALUE"""),46127.428070486116)</f>
        <v>46127.42807</v>
      </c>
      <c r="Y139" s="76">
        <f t="shared" si="5"/>
        <v>1.159429514</v>
      </c>
      <c r="AK139" s="232"/>
      <c r="AL139" s="233"/>
      <c r="AM139" s="173"/>
    </row>
    <row r="140">
      <c r="A140" s="76">
        <f>IFERROR(__xludf.DUMMYFUNCTION("""COMPUTED_VALUE"""),5101.0)</f>
        <v>5101</v>
      </c>
      <c r="B140" s="232">
        <f>IFERROR(__xludf.DUMMYFUNCTION("""COMPUTED_VALUE"""),46127.72888729166)</f>
        <v>46127.72889</v>
      </c>
      <c r="C140" s="84">
        <f>IFERROR(__xludf.DUMMYFUNCTION("""COMPUTED_VALUE"""),46127.61640590278)</f>
        <v>46127.61641</v>
      </c>
      <c r="D140" s="173">
        <f t="shared" si="1"/>
        <v>0.1124813889</v>
      </c>
      <c r="G140" s="76">
        <f>IFERROR(__xludf.DUMMYFUNCTION("""COMPUTED_VALUE"""),5101.0)</f>
        <v>5101</v>
      </c>
      <c r="H140" s="232">
        <f>IFERROR(__xludf.DUMMYFUNCTION("""COMPUTED_VALUE"""),46127.73583173611)</f>
        <v>46127.73583</v>
      </c>
      <c r="I140" s="84">
        <f>IFERROR(__xludf.DUMMYFUNCTION("""COMPUTED_VALUE"""),46127.61650909722)</f>
        <v>46127.61651</v>
      </c>
      <c r="J140" s="76">
        <f t="shared" si="2"/>
        <v>0.1193226389</v>
      </c>
      <c r="L140" s="76">
        <f>IFERROR(__xludf.DUMMYFUNCTION("""COMPUTED_VALUE"""),5101.0)</f>
        <v>5101</v>
      </c>
      <c r="M140" s="232">
        <f>IFERROR(__xludf.DUMMYFUNCTION("""COMPUTED_VALUE"""),46128.44375)</f>
        <v>46128.44375</v>
      </c>
      <c r="N140" s="84">
        <f>IFERROR(__xludf.DUMMYFUNCTION("""COMPUTED_VALUE"""),46127.6166)</f>
        <v>46127.6166</v>
      </c>
      <c r="O140" s="76">
        <f t="shared" si="3"/>
        <v>0.82715</v>
      </c>
      <c r="Q140" s="76">
        <f>IFERROR(__xludf.DUMMYFUNCTION("""COMPUTED_VALUE"""),5096.0)</f>
        <v>5096</v>
      </c>
      <c r="R140" s="232">
        <f>IFERROR(__xludf.DUMMYFUNCTION("""COMPUTED_VALUE"""),46123.53125)</f>
        <v>46123.53125</v>
      </c>
      <c r="S140" s="84">
        <f>IFERROR(__xludf.DUMMYFUNCTION("""COMPUTED_VALUE"""),46121.76062444445)</f>
        <v>46121.76062</v>
      </c>
      <c r="T140" s="76">
        <f t="shared" si="4"/>
        <v>1.770625556</v>
      </c>
      <c r="V140" s="76">
        <f>IFERROR(__xludf.DUMMYFUNCTION("""COMPUTED_VALUE"""),5101.0)</f>
        <v>5101</v>
      </c>
      <c r="W140" s="232">
        <f>IFERROR(__xludf.DUMMYFUNCTION("""COMPUTED_VALUE"""),46129.48541666666)</f>
        <v>46129.48542</v>
      </c>
      <c r="X140" s="84">
        <f>IFERROR(__xludf.DUMMYFUNCTION("""COMPUTED_VALUE"""),46128.51652089121)</f>
        <v>46128.51652</v>
      </c>
      <c r="Y140" s="76">
        <f t="shared" si="5"/>
        <v>0.9688957755</v>
      </c>
      <c r="AK140" s="232"/>
      <c r="AL140" s="233"/>
      <c r="AM140" s="173"/>
    </row>
    <row r="141">
      <c r="A141" s="76">
        <f>IFERROR(__xludf.DUMMYFUNCTION("""COMPUTED_VALUE"""),5102.0)</f>
        <v>5102</v>
      </c>
      <c r="B141" s="232">
        <f>IFERROR(__xludf.DUMMYFUNCTION("""COMPUTED_VALUE"""),46128.650866805554)</f>
        <v>46128.65087</v>
      </c>
      <c r="C141" s="84">
        <f>IFERROR(__xludf.DUMMYFUNCTION("""COMPUTED_VALUE"""),46128.49355570602)</f>
        <v>46128.49356</v>
      </c>
      <c r="D141" s="173">
        <f t="shared" si="1"/>
        <v>0.1573110995</v>
      </c>
      <c r="G141" s="76">
        <f>IFERROR(__xludf.DUMMYFUNCTION("""COMPUTED_VALUE"""),5102.0)</f>
        <v>5102</v>
      </c>
      <c r="H141" s="232">
        <f>IFERROR(__xludf.DUMMYFUNCTION("""COMPUTED_VALUE"""),46128.65781125)</f>
        <v>46128.65781</v>
      </c>
      <c r="I141" s="84">
        <f>IFERROR(__xludf.DUMMYFUNCTION("""COMPUTED_VALUE"""),46128.496059074074)</f>
        <v>46128.49606</v>
      </c>
      <c r="J141" s="76">
        <f t="shared" si="2"/>
        <v>0.1617521759</v>
      </c>
      <c r="L141" s="76">
        <f>IFERROR(__xludf.DUMMYFUNCTION("""COMPUTED_VALUE"""),5102.0)</f>
        <v>5102</v>
      </c>
      <c r="M141" s="232">
        <f>IFERROR(__xludf.DUMMYFUNCTION("""COMPUTED_VALUE"""),46128.76197791666)</f>
        <v>46128.76198</v>
      </c>
      <c r="N141" s="84">
        <f>IFERROR(__xludf.DUMMYFUNCTION("""COMPUTED_VALUE"""),46128.516367199074)</f>
        <v>46128.51637</v>
      </c>
      <c r="O141" s="76">
        <f t="shared" si="3"/>
        <v>0.2456107176</v>
      </c>
      <c r="Q141" s="76">
        <f>IFERROR(__xludf.DUMMYFUNCTION("""COMPUTED_VALUE"""),5097.0)</f>
        <v>5097</v>
      </c>
      <c r="R141" s="232">
        <f>IFERROR(__xludf.DUMMYFUNCTION("""COMPUTED_VALUE"""),46125.416666666664)</f>
        <v>46125.41667</v>
      </c>
      <c r="S141" s="84">
        <f>IFERROR(__xludf.DUMMYFUNCTION("""COMPUTED_VALUE"""),46122.63435670139)</f>
        <v>46122.63436</v>
      </c>
      <c r="T141" s="76">
        <f t="shared" si="4"/>
        <v>2.782309965</v>
      </c>
      <c r="V141" s="76">
        <f>IFERROR(__xludf.DUMMYFUNCTION("""COMPUTED_VALUE"""),5102.0)</f>
        <v>5102</v>
      </c>
      <c r="W141" s="232">
        <f>IFERROR(__xludf.DUMMYFUNCTION("""COMPUTED_VALUE"""),46129.80347222222)</f>
        <v>46129.80347</v>
      </c>
      <c r="X141" s="84">
        <f>IFERROR(__xludf.DUMMYFUNCTION("""COMPUTED_VALUE"""),46129.43847454861)</f>
        <v>46129.43847</v>
      </c>
      <c r="Y141" s="76">
        <f t="shared" si="5"/>
        <v>0.3649976736</v>
      </c>
      <c r="AK141" s="232"/>
      <c r="AL141" s="233"/>
      <c r="AM141" s="173"/>
    </row>
    <row r="142">
      <c r="A142" s="76">
        <f>IFERROR(__xludf.DUMMYFUNCTION("""COMPUTED_VALUE"""),5103.0)</f>
        <v>5103</v>
      </c>
      <c r="B142" s="232">
        <f>IFERROR(__xludf.DUMMYFUNCTION("""COMPUTED_VALUE"""),46128.66913018518)</f>
        <v>46128.66913</v>
      </c>
      <c r="C142" s="84">
        <f>IFERROR(__xludf.DUMMYFUNCTION("""COMPUTED_VALUE"""),46128.51624702546)</f>
        <v>46128.51625</v>
      </c>
      <c r="D142" s="173">
        <f t="shared" si="1"/>
        <v>0.1528831597</v>
      </c>
      <c r="G142" s="76">
        <f>IFERROR(__xludf.DUMMYFUNCTION("""COMPUTED_VALUE"""),5103.0)</f>
        <v>5103</v>
      </c>
      <c r="H142" s="232">
        <f>IFERROR(__xludf.DUMMYFUNCTION("""COMPUTED_VALUE"""),46128.67607462963)</f>
        <v>46128.67607</v>
      </c>
      <c r="I142" s="84">
        <f>IFERROR(__xludf.DUMMYFUNCTION("""COMPUTED_VALUE"""),46128.51629677083)</f>
        <v>46128.5163</v>
      </c>
      <c r="J142" s="76">
        <f t="shared" si="2"/>
        <v>0.1597778588</v>
      </c>
      <c r="L142" s="76">
        <f>IFERROR(__xludf.DUMMYFUNCTION("""COMPUTED_VALUE"""),5103.0)</f>
        <v>5103</v>
      </c>
      <c r="M142" s="232">
        <f>IFERROR(__xludf.DUMMYFUNCTION("""COMPUTED_VALUE"""),46128.78024129629)</f>
        <v>46128.78024</v>
      </c>
      <c r="N142" s="84">
        <f>IFERROR(__xludf.DUMMYFUNCTION("""COMPUTED_VALUE"""),46128.51634466436)</f>
        <v>46128.51634</v>
      </c>
      <c r="O142" s="76">
        <f t="shared" si="3"/>
        <v>0.2638966319</v>
      </c>
      <c r="Q142" s="76">
        <f>IFERROR(__xludf.DUMMYFUNCTION("""COMPUTED_VALUE"""),5098.0)</f>
        <v>5098</v>
      </c>
      <c r="R142" s="232">
        <f>IFERROR(__xludf.DUMMYFUNCTION("""COMPUTED_VALUE"""),46127.55486111111)</f>
        <v>46127.55486</v>
      </c>
      <c r="S142" s="84">
        <f>IFERROR(__xludf.DUMMYFUNCTION("""COMPUTED_VALUE"""),46125.719150324076)</f>
        <v>46125.71915</v>
      </c>
      <c r="T142" s="76">
        <f t="shared" si="4"/>
        <v>1.835710787</v>
      </c>
      <c r="V142" s="76">
        <f>IFERROR(__xludf.DUMMYFUNCTION("""COMPUTED_VALUE"""),5103.0)</f>
        <v>5103</v>
      </c>
      <c r="W142" s="232">
        <f>IFERROR(__xludf.DUMMYFUNCTION("""COMPUTED_VALUE"""),46129.82152777778)</f>
        <v>46129.82153</v>
      </c>
      <c r="X142" s="84">
        <f>IFERROR(__xludf.DUMMYFUNCTION("""COMPUTED_VALUE"""),46128.6007177662)</f>
        <v>46128.60072</v>
      </c>
      <c r="Y142" s="76">
        <f t="shared" si="5"/>
        <v>1.220810012</v>
      </c>
      <c r="AK142" s="232"/>
      <c r="AL142" s="233"/>
      <c r="AM142" s="173"/>
    </row>
    <row r="143">
      <c r="A143" s="76">
        <f>IFERROR(__xludf.DUMMYFUNCTION("""COMPUTED_VALUE"""),5104.0)</f>
        <v>5104</v>
      </c>
      <c r="B143" s="232">
        <f>IFERROR(__xludf.DUMMYFUNCTION("""COMPUTED_VALUE"""),46128.8223327199)</f>
        <v>46128.82233</v>
      </c>
      <c r="C143" s="84">
        <f>IFERROR(__xludf.DUMMYFUNCTION("""COMPUTED_VALUE"""),46128.69164788195)</f>
        <v>46128.69165</v>
      </c>
      <c r="D143" s="173">
        <f t="shared" si="1"/>
        <v>0.130684838</v>
      </c>
      <c r="G143" s="76">
        <f>IFERROR(__xludf.DUMMYFUNCTION("""COMPUTED_VALUE"""),5104.0)</f>
        <v>5104</v>
      </c>
      <c r="H143" s="232">
        <f>IFERROR(__xludf.DUMMYFUNCTION("""COMPUTED_VALUE"""),46128.82927716435)</f>
        <v>46128.82928</v>
      </c>
      <c r="I143" s="84">
        <f>IFERROR(__xludf.DUMMYFUNCTION("""COMPUTED_VALUE"""),46128.69197601852)</f>
        <v>46128.69198</v>
      </c>
      <c r="J143" s="76">
        <f t="shared" si="2"/>
        <v>0.1373011458</v>
      </c>
      <c r="L143" s="76">
        <f>IFERROR(__xludf.DUMMYFUNCTION("""COMPUTED_VALUE"""),5104.0)</f>
        <v>5104</v>
      </c>
      <c r="M143" s="232">
        <f>IFERROR(__xludf.DUMMYFUNCTION("""COMPUTED_VALUE"""),46129.5375)</f>
        <v>46129.5375</v>
      </c>
      <c r="N143" s="84">
        <f>IFERROR(__xludf.DUMMYFUNCTION("""COMPUTED_VALUE"""),46129.438846840276)</f>
        <v>46129.43885</v>
      </c>
      <c r="O143" s="76">
        <f t="shared" si="3"/>
        <v>0.09865315972</v>
      </c>
      <c r="Q143" s="76">
        <f>IFERROR(__xludf.DUMMYFUNCTION("""COMPUTED_VALUE"""),5099.0)</f>
        <v>5099</v>
      </c>
      <c r="R143" s="232">
        <f>IFERROR(__xludf.DUMMYFUNCTION("""COMPUTED_VALUE"""),46127.555555555555)</f>
        <v>46127.55556</v>
      </c>
      <c r="S143" s="84">
        <f>IFERROR(__xludf.DUMMYFUNCTION("""COMPUTED_VALUE"""),46125.71917111111)</f>
        <v>46125.71917</v>
      </c>
      <c r="T143" s="76">
        <f t="shared" si="4"/>
        <v>1.836384444</v>
      </c>
      <c r="V143" s="76">
        <f>IFERROR(__xludf.DUMMYFUNCTION("""COMPUTED_VALUE"""),5104.0)</f>
        <v>5104</v>
      </c>
      <c r="W143" s="232">
        <f>IFERROR(__xludf.DUMMYFUNCTION("""COMPUTED_VALUE"""),46130.57916666666)</f>
        <v>46130.57917</v>
      </c>
      <c r="X143" s="84">
        <f>IFERROR(__xludf.DUMMYFUNCTION("""COMPUTED_VALUE"""),46129.52640555556)</f>
        <v>46129.52641</v>
      </c>
      <c r="Y143" s="76">
        <f t="shared" si="5"/>
        <v>1.052761111</v>
      </c>
      <c r="AK143" s="232"/>
      <c r="AL143" s="233"/>
      <c r="AM143" s="173"/>
    </row>
    <row r="144">
      <c r="A144" s="76">
        <f>IFERROR(__xludf.DUMMYFUNCTION("""COMPUTED_VALUE"""),5105.0)</f>
        <v>5105</v>
      </c>
      <c r="B144" s="232">
        <f>IFERROR(__xludf.DUMMYFUNCTION("""COMPUTED_VALUE"""),46129.6395937037)</f>
        <v>46129.63959</v>
      </c>
      <c r="C144" s="84">
        <f>IFERROR(__xludf.DUMMYFUNCTION("""COMPUTED_VALUE"""),46129.51047303241)</f>
        <v>46129.51047</v>
      </c>
      <c r="D144" s="173">
        <f t="shared" si="1"/>
        <v>0.1291206713</v>
      </c>
      <c r="G144" s="76">
        <f>IFERROR(__xludf.DUMMYFUNCTION("""COMPUTED_VALUE"""),5105.0)</f>
        <v>5105</v>
      </c>
      <c r="H144" s="232">
        <f>IFERROR(__xludf.DUMMYFUNCTION("""COMPUTED_VALUE"""),46129.64653814815)</f>
        <v>46129.64654</v>
      </c>
      <c r="I144" s="84">
        <f>IFERROR(__xludf.DUMMYFUNCTION("""COMPUTED_VALUE"""),46129.51064625)</f>
        <v>46129.51065</v>
      </c>
      <c r="J144" s="76">
        <f t="shared" si="2"/>
        <v>0.1358918981</v>
      </c>
      <c r="L144" s="76">
        <f>IFERROR(__xludf.DUMMYFUNCTION("""COMPUTED_VALUE"""),5105.0)</f>
        <v>5105</v>
      </c>
      <c r="M144" s="232">
        <f>IFERROR(__xludf.DUMMYFUNCTION("""COMPUTED_VALUE"""),46129.75070481481)</f>
        <v>46129.7507</v>
      </c>
      <c r="N144" s="84">
        <f>IFERROR(__xludf.DUMMYFUNCTION("""COMPUTED_VALUE"""),46129.51068569445)</f>
        <v>46129.51069</v>
      </c>
      <c r="O144" s="76">
        <f t="shared" si="3"/>
        <v>0.2400191204</v>
      </c>
      <c r="Q144" s="76">
        <f>IFERROR(__xludf.DUMMYFUNCTION("""COMPUTED_VALUE"""),5100.0)</f>
        <v>5100</v>
      </c>
      <c r="R144" s="232">
        <f>IFERROR(__xludf.DUMMYFUNCTION("""COMPUTED_VALUE"""),46128.54583333333)</f>
        <v>46128.54583</v>
      </c>
      <c r="S144" s="84">
        <f>IFERROR(__xludf.DUMMYFUNCTION("""COMPUTED_VALUE"""),46126.782824560185)</f>
        <v>46126.78282</v>
      </c>
      <c r="T144" s="76">
        <f t="shared" si="4"/>
        <v>1.763008773</v>
      </c>
      <c r="V144" s="76">
        <f>IFERROR(__xludf.DUMMYFUNCTION("""COMPUTED_VALUE"""),5105.0)</f>
        <v>5105</v>
      </c>
      <c r="W144" s="232">
        <f>IFERROR(__xludf.DUMMYFUNCTION("""COMPUTED_VALUE"""),46130.79236111111)</f>
        <v>46130.79236</v>
      </c>
      <c r="X144" s="84">
        <f>IFERROR(__xludf.DUMMYFUNCTION("""COMPUTED_VALUE"""),46129.67846177083)</f>
        <v>46129.67846</v>
      </c>
      <c r="Y144" s="76">
        <f t="shared" si="5"/>
        <v>1.11389934</v>
      </c>
      <c r="AK144" s="232"/>
      <c r="AL144" s="233"/>
      <c r="AM144" s="173"/>
    </row>
    <row r="145">
      <c r="A145" s="76">
        <f>IFERROR(__xludf.DUMMYFUNCTION("""COMPUTED_VALUE"""),5106.0)</f>
        <v>5106</v>
      </c>
      <c r="B145" s="232">
        <f>IFERROR(__xludf.DUMMYFUNCTION("""COMPUTED_VALUE"""),46129.73921881944)</f>
        <v>46129.73922</v>
      </c>
      <c r="C145" s="84">
        <f>IFERROR(__xludf.DUMMYFUNCTION("""COMPUTED_VALUE"""),46129.606294375)</f>
        <v>46129.60629</v>
      </c>
      <c r="D145" s="173">
        <f t="shared" si="1"/>
        <v>0.1329244444</v>
      </c>
      <c r="G145" s="76">
        <f>IFERROR(__xludf.DUMMYFUNCTION("""COMPUTED_VALUE"""),5106.0)</f>
        <v>5106</v>
      </c>
      <c r="H145" s="232">
        <f>IFERROR(__xludf.DUMMYFUNCTION("""COMPUTED_VALUE"""),46129.74616326389)</f>
        <v>46129.74616</v>
      </c>
      <c r="I145" s="84">
        <f>IFERROR(__xludf.DUMMYFUNCTION("""COMPUTED_VALUE"""),46129.60639900463)</f>
        <v>46129.6064</v>
      </c>
      <c r="J145" s="76">
        <f t="shared" si="2"/>
        <v>0.1397642593</v>
      </c>
      <c r="L145" s="76">
        <f>IFERROR(__xludf.DUMMYFUNCTION("""COMPUTED_VALUE"""),5106.0)</f>
        <v>5106</v>
      </c>
      <c r="M145" s="232">
        <f>IFERROR(__xludf.DUMMYFUNCTION("""COMPUTED_VALUE"""),46130.45416666666)</f>
        <v>46130.45417</v>
      </c>
      <c r="N145" s="84">
        <f>IFERROR(__xludf.DUMMYFUNCTION("""COMPUTED_VALUE"""),46129.606488854166)</f>
        <v>46129.60649</v>
      </c>
      <c r="O145" s="76">
        <f t="shared" si="3"/>
        <v>0.8476778125</v>
      </c>
      <c r="Q145" s="76">
        <f>IFERROR(__xludf.DUMMYFUNCTION("""COMPUTED_VALUE"""),5101.0)</f>
        <v>5101</v>
      </c>
      <c r="R145" s="232">
        <f>IFERROR(__xludf.DUMMYFUNCTION("""COMPUTED_VALUE"""),46129.44375)</f>
        <v>46129.44375</v>
      </c>
      <c r="S145" s="84">
        <f>IFERROR(__xludf.DUMMYFUNCTION("""COMPUTED_VALUE"""),46128.516485451386)</f>
        <v>46128.51649</v>
      </c>
      <c r="T145" s="76">
        <f t="shared" si="4"/>
        <v>0.9272645486</v>
      </c>
      <c r="V145" s="76">
        <f>IFERROR(__xludf.DUMMYFUNCTION("""COMPUTED_VALUE"""),5106.0)</f>
        <v>5106</v>
      </c>
      <c r="W145" s="232">
        <f>IFERROR(__xludf.DUMMYFUNCTION("""COMPUTED_VALUE"""),46132.49583333333)</f>
        <v>46132.49583</v>
      </c>
      <c r="X145" s="84">
        <f>IFERROR(__xludf.DUMMYFUNCTION("""COMPUTED_VALUE"""),46132.48034916667)</f>
        <v>46132.48035</v>
      </c>
      <c r="Y145" s="76">
        <f t="shared" si="5"/>
        <v>0.01548416666</v>
      </c>
      <c r="AK145" s="232"/>
      <c r="AL145" s="233"/>
      <c r="AM145" s="173"/>
    </row>
    <row r="146">
      <c r="A146" s="76">
        <f>IFERROR(__xludf.DUMMYFUNCTION("""COMPUTED_VALUE"""),5107.0)</f>
        <v>5107</v>
      </c>
      <c r="B146" s="232">
        <f>IFERROR(__xludf.DUMMYFUNCTION("""COMPUTED_VALUE"""),46129.74135149305)</f>
        <v>46129.74135</v>
      </c>
      <c r="C146" s="84">
        <f>IFERROR(__xludf.DUMMYFUNCTION("""COMPUTED_VALUE"""),46129.606312592594)</f>
        <v>46129.60631</v>
      </c>
      <c r="D146" s="173">
        <f t="shared" si="1"/>
        <v>0.1350389005</v>
      </c>
      <c r="G146" s="76">
        <f>IFERROR(__xludf.DUMMYFUNCTION("""COMPUTED_VALUE"""),5107.0)</f>
        <v>5107</v>
      </c>
      <c r="H146" s="232">
        <f>IFERROR(__xludf.DUMMYFUNCTION("""COMPUTED_VALUE"""),46129.7482959375)</f>
        <v>46129.7483</v>
      </c>
      <c r="I146" s="84">
        <f>IFERROR(__xludf.DUMMYFUNCTION("""COMPUTED_VALUE"""),46129.606377442135)</f>
        <v>46129.60638</v>
      </c>
      <c r="J146" s="76">
        <f t="shared" si="2"/>
        <v>0.1419184954</v>
      </c>
      <c r="L146" s="76">
        <f>IFERROR(__xludf.DUMMYFUNCTION("""COMPUTED_VALUE"""),5107.0)</f>
        <v>5107</v>
      </c>
      <c r="M146" s="232">
        <f>IFERROR(__xludf.DUMMYFUNCTION("""COMPUTED_VALUE"""),46130.456249999996)</f>
        <v>46130.45625</v>
      </c>
      <c r="N146" s="84">
        <f>IFERROR(__xludf.DUMMYFUNCTION("""COMPUTED_VALUE"""),46129.606504930554)</f>
        <v>46129.6065</v>
      </c>
      <c r="O146" s="76">
        <f t="shared" si="3"/>
        <v>0.8497450694</v>
      </c>
      <c r="Q146" s="76">
        <f>IFERROR(__xludf.DUMMYFUNCTION("""COMPUTED_VALUE"""),5102.0)</f>
        <v>5102</v>
      </c>
      <c r="R146" s="232">
        <f>IFERROR(__xludf.DUMMYFUNCTION("""COMPUTED_VALUE"""),46129.76180555556)</f>
        <v>46129.76181</v>
      </c>
      <c r="S146" s="84">
        <f>IFERROR(__xludf.DUMMYFUNCTION("""COMPUTED_VALUE"""),46129.43843134259)</f>
        <v>46129.43843</v>
      </c>
      <c r="T146" s="76">
        <f t="shared" si="4"/>
        <v>0.323374213</v>
      </c>
      <c r="V146" s="76">
        <f>IFERROR(__xludf.DUMMYFUNCTION("""COMPUTED_VALUE"""),5107.0)</f>
        <v>5107</v>
      </c>
      <c r="W146" s="232">
        <f>IFERROR(__xludf.DUMMYFUNCTION("""COMPUTED_VALUE"""),46132.49791666666)</f>
        <v>46132.49792</v>
      </c>
      <c r="X146" s="84">
        <f>IFERROR(__xludf.DUMMYFUNCTION("""COMPUTED_VALUE"""),46132.48035819444)</f>
        <v>46132.48036</v>
      </c>
      <c r="Y146" s="76">
        <f t="shared" si="5"/>
        <v>0.01755847222</v>
      </c>
      <c r="AK146" s="232"/>
      <c r="AL146" s="233"/>
      <c r="AM146" s="173"/>
    </row>
    <row r="147">
      <c r="A147" s="76">
        <f>IFERROR(__xludf.DUMMYFUNCTION("""COMPUTED_VALUE"""),5108.0)</f>
        <v>5108</v>
      </c>
      <c r="B147" s="232">
        <f>IFERROR(__xludf.DUMMYFUNCTION("""COMPUTED_VALUE"""),46132.69259737268)</f>
        <v>46132.6926</v>
      </c>
      <c r="C147" s="84">
        <f>IFERROR(__xludf.DUMMYFUNCTION("""COMPUTED_VALUE"""),46132.62796440972)</f>
        <v>46132.62796</v>
      </c>
      <c r="D147" s="173">
        <f t="shared" si="1"/>
        <v>0.06463296296</v>
      </c>
      <c r="G147" s="76">
        <f>IFERROR(__xludf.DUMMYFUNCTION("""COMPUTED_VALUE"""),5108.0)</f>
        <v>5108</v>
      </c>
      <c r="H147" s="232">
        <f>IFERROR(__xludf.DUMMYFUNCTION("""COMPUTED_VALUE"""),46132.69954181713)</f>
        <v>46132.69954</v>
      </c>
      <c r="I147" s="84">
        <f>IFERROR(__xludf.DUMMYFUNCTION("""COMPUTED_VALUE"""),46132.62808094907)</f>
        <v>46132.62808</v>
      </c>
      <c r="J147" s="76">
        <f t="shared" si="2"/>
        <v>0.07146086806</v>
      </c>
      <c r="L147" s="76">
        <f>IFERROR(__xludf.DUMMYFUNCTION("""COMPUTED_VALUE"""),5108.0)</f>
        <v>5108</v>
      </c>
      <c r="M147" s="232">
        <f>IFERROR(__xludf.DUMMYFUNCTION("""COMPUTED_VALUE"""),46132.80370848379)</f>
        <v>46132.80371</v>
      </c>
      <c r="N147" s="84">
        <f>IFERROR(__xludf.DUMMYFUNCTION("""COMPUTED_VALUE"""),46132.628132337966)</f>
        <v>46132.62813</v>
      </c>
      <c r="O147" s="76">
        <f t="shared" si="3"/>
        <v>0.1755761458</v>
      </c>
      <c r="Q147" s="76">
        <f>IFERROR(__xludf.DUMMYFUNCTION("""COMPUTED_VALUE"""),5103.0)</f>
        <v>5103</v>
      </c>
      <c r="R147" s="232">
        <f>IFERROR(__xludf.DUMMYFUNCTION("""COMPUTED_VALUE"""),46129.779861111114)</f>
        <v>46129.77986</v>
      </c>
      <c r="S147" s="84">
        <f>IFERROR(__xludf.DUMMYFUNCTION("""COMPUTED_VALUE"""),46128.6005953125)</f>
        <v>46128.6006</v>
      </c>
      <c r="T147" s="76">
        <f t="shared" si="4"/>
        <v>1.179265799</v>
      </c>
      <c r="V147" s="76">
        <f>IFERROR(__xludf.DUMMYFUNCTION("""COMPUTED_VALUE"""),5108.0)</f>
        <v>5108</v>
      </c>
      <c r="W147" s="232">
        <f>IFERROR(__xludf.DUMMYFUNCTION("""COMPUTED_VALUE"""),46134.42847222222)</f>
        <v>46134.42847</v>
      </c>
      <c r="X147" s="84">
        <f>IFERROR(__xludf.DUMMYFUNCTION("""COMPUTED_VALUE"""),46133.462136076385)</f>
        <v>46133.46214</v>
      </c>
      <c r="Y147" s="76">
        <f t="shared" si="5"/>
        <v>0.9663361458</v>
      </c>
      <c r="AK147" s="232"/>
      <c r="AL147" s="233"/>
      <c r="AM147" s="173"/>
    </row>
    <row r="148">
      <c r="A148" s="76">
        <f>IFERROR(__xludf.DUMMYFUNCTION("""COMPUTED_VALUE"""),5109.0)</f>
        <v>5109</v>
      </c>
      <c r="B148" s="232">
        <f>IFERROR(__xludf.DUMMYFUNCTION("""COMPUTED_VALUE"""),46132.6942296875)</f>
        <v>46132.69423</v>
      </c>
      <c r="C148" s="84">
        <f>IFERROR(__xludf.DUMMYFUNCTION("""COMPUTED_VALUE"""),46132.6282003588)</f>
        <v>46132.6282</v>
      </c>
      <c r="D148" s="173">
        <f t="shared" si="1"/>
        <v>0.0660293287</v>
      </c>
      <c r="G148" s="76">
        <f>IFERROR(__xludf.DUMMYFUNCTION("""COMPUTED_VALUE"""),5109.0)</f>
        <v>5109</v>
      </c>
      <c r="H148" s="232">
        <f>IFERROR(__xludf.DUMMYFUNCTION("""COMPUTED_VALUE"""),46132.701174131944)</f>
        <v>46132.70117</v>
      </c>
      <c r="I148" s="84">
        <f>IFERROR(__xludf.DUMMYFUNCTION("""COMPUTED_VALUE"""),46132.628265300926)</f>
        <v>46132.62827</v>
      </c>
      <c r="J148" s="76">
        <f t="shared" si="2"/>
        <v>0.07290883102</v>
      </c>
      <c r="L148" s="76">
        <f>IFERROR(__xludf.DUMMYFUNCTION("""COMPUTED_VALUE"""),5109.0)</f>
        <v>5109</v>
      </c>
      <c r="M148" s="232">
        <f>IFERROR(__xludf.DUMMYFUNCTION("""COMPUTED_VALUE"""),46132.80534079861)</f>
        <v>46132.80534</v>
      </c>
      <c r="N148" s="84">
        <f>IFERROR(__xludf.DUMMYFUNCTION("""COMPUTED_VALUE"""),46132.62835263889)</f>
        <v>46132.62835</v>
      </c>
      <c r="O148" s="76">
        <f t="shared" si="3"/>
        <v>0.1769881597</v>
      </c>
      <c r="Q148" s="76">
        <f>IFERROR(__xludf.DUMMYFUNCTION("""COMPUTED_VALUE"""),5104.0)</f>
        <v>5104</v>
      </c>
      <c r="R148" s="232">
        <f>IFERROR(__xludf.DUMMYFUNCTION("""COMPUTED_VALUE"""),46130.5375)</f>
        <v>46130.5375</v>
      </c>
      <c r="S148" s="84">
        <f>IFERROR(__xludf.DUMMYFUNCTION("""COMPUTED_VALUE"""),46129.600590277776)</f>
        <v>46129.60059</v>
      </c>
      <c r="T148" s="76">
        <f t="shared" si="4"/>
        <v>0.9369097222</v>
      </c>
      <c r="V148" s="76">
        <f>IFERROR(__xludf.DUMMYFUNCTION("""COMPUTED_VALUE"""),5109.0)</f>
        <v>5109</v>
      </c>
      <c r="W148" s="232">
        <f>IFERROR(__xludf.DUMMYFUNCTION("""COMPUTED_VALUE"""),46134.42986111111)</f>
        <v>46134.42986</v>
      </c>
      <c r="X148" s="84">
        <f>IFERROR(__xludf.DUMMYFUNCTION("""COMPUTED_VALUE"""),46133.46220792824)</f>
        <v>46133.46221</v>
      </c>
      <c r="Y148" s="76">
        <f t="shared" si="5"/>
        <v>0.9676531829</v>
      </c>
      <c r="AK148" s="232"/>
      <c r="AL148" s="233"/>
      <c r="AM148" s="173"/>
    </row>
    <row r="149">
      <c r="A149" s="76">
        <f>IFERROR(__xludf.DUMMYFUNCTION("""COMPUTED_VALUE"""),5110.0)</f>
        <v>5110</v>
      </c>
      <c r="B149" s="232">
        <f>IFERROR(__xludf.DUMMYFUNCTION("""COMPUTED_VALUE"""),46133.472222222226)</f>
        <v>46133.47222</v>
      </c>
      <c r="C149" s="84">
        <f>IFERROR(__xludf.DUMMYFUNCTION("""COMPUTED_VALUE"""),46132.72809133102)</f>
        <v>46132.72809</v>
      </c>
      <c r="D149" s="173">
        <f t="shared" si="1"/>
        <v>0.7441308912</v>
      </c>
      <c r="G149" s="76">
        <f>IFERROR(__xludf.DUMMYFUNCTION("""COMPUTED_VALUE"""),5110.0)</f>
        <v>5110</v>
      </c>
      <c r="H149" s="232">
        <f>IFERROR(__xludf.DUMMYFUNCTION("""COMPUTED_VALUE"""),46133.47916666667)</f>
        <v>46133.47917</v>
      </c>
      <c r="I149" s="84">
        <f>IFERROR(__xludf.DUMMYFUNCTION("""COMPUTED_VALUE"""),46132.728243564816)</f>
        <v>46132.72824</v>
      </c>
      <c r="J149" s="76">
        <f t="shared" si="2"/>
        <v>0.7509231019</v>
      </c>
      <c r="L149" s="76">
        <f>IFERROR(__xludf.DUMMYFUNCTION("""COMPUTED_VALUE"""),5110.0)</f>
        <v>5110</v>
      </c>
      <c r="M149" s="232">
        <f>IFERROR(__xludf.DUMMYFUNCTION("""COMPUTED_VALUE"""),46133.583333333336)</f>
        <v>46133.58333</v>
      </c>
      <c r="N149" s="84">
        <f>IFERROR(__xludf.DUMMYFUNCTION("""COMPUTED_VALUE"""),46132.83249799769)</f>
        <v>46132.8325</v>
      </c>
      <c r="O149" s="76">
        <f t="shared" si="3"/>
        <v>0.7508353356</v>
      </c>
      <c r="Q149" s="76">
        <f>IFERROR(__xludf.DUMMYFUNCTION("""COMPUTED_VALUE"""),5105.0)</f>
        <v>5105</v>
      </c>
      <c r="R149" s="232">
        <f>IFERROR(__xludf.DUMMYFUNCTION("""COMPUTED_VALUE"""),46130.75069444445)</f>
        <v>46130.75069</v>
      </c>
      <c r="S149" s="84">
        <f>IFERROR(__xludf.DUMMYFUNCTION("""COMPUTED_VALUE"""),46129.67808575231)</f>
        <v>46129.67809</v>
      </c>
      <c r="T149" s="76">
        <f t="shared" si="4"/>
        <v>1.072608692</v>
      </c>
      <c r="V149" s="76">
        <f>IFERROR(__xludf.DUMMYFUNCTION("""COMPUTED_VALUE"""),5110.0)</f>
        <v>5110</v>
      </c>
      <c r="W149" s="232">
        <f>IFERROR(__xludf.DUMMYFUNCTION("""COMPUTED_VALUE"""),46134.625)</f>
        <v>46134.625</v>
      </c>
      <c r="X149" s="84">
        <f>IFERROR(__xludf.DUMMYFUNCTION("""COMPUTED_VALUE"""),46133.4623759838)</f>
        <v>46133.46238</v>
      </c>
      <c r="Y149" s="76">
        <f t="shared" si="5"/>
        <v>1.162624016</v>
      </c>
      <c r="AK149" s="232"/>
      <c r="AL149" s="233"/>
      <c r="AM149" s="173"/>
    </row>
    <row r="150">
      <c r="A150" s="76">
        <f>IFERROR(__xludf.DUMMYFUNCTION("""COMPUTED_VALUE"""),5111.0)</f>
        <v>5111</v>
      </c>
      <c r="B150" s="232">
        <f>IFERROR(__xludf.DUMMYFUNCTION("""COMPUTED_VALUE"""),46133.56458333333)</f>
        <v>46133.56458</v>
      </c>
      <c r="C150" s="84">
        <f>IFERROR(__xludf.DUMMYFUNCTION("""COMPUTED_VALUE"""),46132.83240726852)</f>
        <v>46132.83241</v>
      </c>
      <c r="D150" s="173">
        <f t="shared" si="1"/>
        <v>0.7321760648</v>
      </c>
      <c r="G150" s="76">
        <f>IFERROR(__xludf.DUMMYFUNCTION("""COMPUTED_VALUE"""),5111.0)</f>
        <v>5111</v>
      </c>
      <c r="H150" s="232">
        <f>IFERROR(__xludf.DUMMYFUNCTION("""COMPUTED_VALUE"""),46133.57152777778)</f>
        <v>46133.57153</v>
      </c>
      <c r="I150" s="84">
        <f>IFERROR(__xludf.DUMMYFUNCTION("""COMPUTED_VALUE"""),46132.83244709491)</f>
        <v>46132.83245</v>
      </c>
      <c r="J150" s="76">
        <f t="shared" si="2"/>
        <v>0.7390806829</v>
      </c>
      <c r="L150" s="76">
        <f>IFERROR(__xludf.DUMMYFUNCTION("""COMPUTED_VALUE"""),5111.0)</f>
        <v>5111</v>
      </c>
      <c r="M150" s="232">
        <f>IFERROR(__xludf.DUMMYFUNCTION("""COMPUTED_VALUE"""),46133.67569444444)</f>
        <v>46133.67569</v>
      </c>
      <c r="N150" s="84">
        <f>IFERROR(__xludf.DUMMYFUNCTION("""COMPUTED_VALUE"""),46132.83248081019)</f>
        <v>46132.83248</v>
      </c>
      <c r="O150" s="76">
        <f t="shared" si="3"/>
        <v>0.8432136343</v>
      </c>
      <c r="Q150" s="76">
        <f>IFERROR(__xludf.DUMMYFUNCTION("""COMPUTED_VALUE"""),5106.0)</f>
        <v>5106</v>
      </c>
      <c r="R150" s="232">
        <f>IFERROR(__xludf.DUMMYFUNCTION("""COMPUTED_VALUE"""),46132.45416666666)</f>
        <v>46132.45417</v>
      </c>
      <c r="S150" s="84">
        <f>IFERROR(__xludf.DUMMYFUNCTION("""COMPUTED_VALUE"""),46132.427049363425)</f>
        <v>46132.42705</v>
      </c>
      <c r="T150" s="76">
        <f t="shared" si="4"/>
        <v>0.02711730324</v>
      </c>
      <c r="V150" s="76">
        <f>IFERROR(__xludf.DUMMYFUNCTION("""COMPUTED_VALUE"""),5111.0)</f>
        <v>5111</v>
      </c>
      <c r="W150" s="232">
        <f>IFERROR(__xludf.DUMMYFUNCTION("""COMPUTED_VALUE"""),46134.71736111111)</f>
        <v>46134.71736</v>
      </c>
      <c r="X150" s="84">
        <f>IFERROR(__xludf.DUMMYFUNCTION("""COMPUTED_VALUE"""),46134.469523657404)</f>
        <v>46134.46952</v>
      </c>
      <c r="Y150" s="76">
        <f t="shared" si="5"/>
        <v>0.2478374537</v>
      </c>
      <c r="AK150" s="232"/>
      <c r="AL150" s="233"/>
      <c r="AM150" s="173"/>
    </row>
    <row r="151">
      <c r="A151" s="76">
        <f>IFERROR(__xludf.DUMMYFUNCTION("""COMPUTED_VALUE"""),5112.0)</f>
        <v>5112</v>
      </c>
      <c r="B151" s="232">
        <f>IFERROR(__xludf.DUMMYFUNCTION("""COMPUTED_VALUE"""),46134.478472222225)</f>
        <v>46134.47847</v>
      </c>
      <c r="C151" s="84">
        <f>IFERROR(__xludf.DUMMYFUNCTION("""COMPUTED_VALUE"""),46133.77962472222)</f>
        <v>46133.77962</v>
      </c>
      <c r="D151" s="173">
        <f t="shared" si="1"/>
        <v>0.6988475</v>
      </c>
      <c r="G151" s="76">
        <f>IFERROR(__xludf.DUMMYFUNCTION("""COMPUTED_VALUE"""),5112.0)</f>
        <v>5112</v>
      </c>
      <c r="H151" s="232">
        <f>IFERROR(__xludf.DUMMYFUNCTION("""COMPUTED_VALUE"""),46134.48541666667)</f>
        <v>46134.48542</v>
      </c>
      <c r="I151" s="84">
        <f>IFERROR(__xludf.DUMMYFUNCTION("""COMPUTED_VALUE"""),46133.77970248843)</f>
        <v>46133.7797</v>
      </c>
      <c r="J151" s="76">
        <f t="shared" si="2"/>
        <v>0.7057141782</v>
      </c>
      <c r="L151" s="76">
        <f>IFERROR(__xludf.DUMMYFUNCTION("""COMPUTED_VALUE"""),5112.0)</f>
        <v>5112</v>
      </c>
      <c r="M151" s="232">
        <f>IFERROR(__xludf.DUMMYFUNCTION("""COMPUTED_VALUE"""),46134.589583333334)</f>
        <v>46134.58958</v>
      </c>
      <c r="N151" s="84">
        <f>IFERROR(__xludf.DUMMYFUNCTION("""COMPUTED_VALUE"""),46133.77973729167)</f>
        <v>46133.77974</v>
      </c>
      <c r="O151" s="76">
        <f t="shared" si="3"/>
        <v>0.8098460417</v>
      </c>
      <c r="Q151" s="76">
        <f>IFERROR(__xludf.DUMMYFUNCTION("""COMPUTED_VALUE"""),5107.0)</f>
        <v>5107</v>
      </c>
      <c r="R151" s="232">
        <f>IFERROR(__xludf.DUMMYFUNCTION("""COMPUTED_VALUE"""),46132.456249999996)</f>
        <v>46132.45625</v>
      </c>
      <c r="S151" s="84">
        <f>IFERROR(__xludf.DUMMYFUNCTION("""COMPUTED_VALUE"""),46132.427078356486)</f>
        <v>46132.42708</v>
      </c>
      <c r="T151" s="76">
        <f t="shared" si="4"/>
        <v>0.02917164351</v>
      </c>
      <c r="V151" s="76">
        <f>IFERROR(__xludf.DUMMYFUNCTION("""COMPUTED_VALUE"""),5112.0)</f>
        <v>5112</v>
      </c>
      <c r="W151" s="232">
        <f>IFERROR(__xludf.DUMMYFUNCTION("""COMPUTED_VALUE"""),46135.63125)</f>
        <v>46135.63125</v>
      </c>
      <c r="X151" s="84">
        <f>IFERROR(__xludf.DUMMYFUNCTION("""COMPUTED_VALUE"""),46135.453877928245)</f>
        <v>46135.45388</v>
      </c>
      <c r="Y151" s="76">
        <f t="shared" si="5"/>
        <v>0.1773720718</v>
      </c>
      <c r="AK151" s="232"/>
      <c r="AL151" s="233"/>
      <c r="AM151" s="173"/>
    </row>
    <row r="152">
      <c r="A152" s="76">
        <f>IFERROR(__xludf.DUMMYFUNCTION("""COMPUTED_VALUE"""),5113.0)</f>
        <v>5113</v>
      </c>
      <c r="B152" s="232">
        <f>IFERROR(__xludf.DUMMYFUNCTION("""COMPUTED_VALUE"""),46135.61817200231)</f>
        <v>46135.61817</v>
      </c>
      <c r="C152" s="84">
        <f>IFERROR(__xludf.DUMMYFUNCTION("""COMPUTED_VALUE"""),46135.544342002315)</f>
        <v>46135.54434</v>
      </c>
      <c r="D152" s="173">
        <f t="shared" si="1"/>
        <v>0.07382999999</v>
      </c>
      <c r="G152" s="76">
        <f>IFERROR(__xludf.DUMMYFUNCTION("""COMPUTED_VALUE"""),5113.0)</f>
        <v>5113</v>
      </c>
      <c r="H152" s="232">
        <f>IFERROR(__xludf.DUMMYFUNCTION("""COMPUTED_VALUE"""),46135.625116446754)</f>
        <v>46135.62512</v>
      </c>
      <c r="I152" s="84">
        <f>IFERROR(__xludf.DUMMYFUNCTION("""COMPUTED_VALUE"""),46135.54443101852)</f>
        <v>46135.54443</v>
      </c>
      <c r="J152" s="76">
        <f t="shared" si="2"/>
        <v>0.08068542823</v>
      </c>
      <c r="L152" s="76">
        <f>IFERROR(__xludf.DUMMYFUNCTION("""COMPUTED_VALUE"""),5113.0)</f>
        <v>5113</v>
      </c>
      <c r="M152" s="232">
        <f>IFERROR(__xludf.DUMMYFUNCTION("""COMPUTED_VALUE"""),46135.72928311342)</f>
        <v>46135.72928</v>
      </c>
      <c r="N152" s="84">
        <f>IFERROR(__xludf.DUMMYFUNCTION("""COMPUTED_VALUE"""),46135.544491759254)</f>
        <v>46135.54449</v>
      </c>
      <c r="O152" s="76">
        <f t="shared" si="3"/>
        <v>0.1847913542</v>
      </c>
      <c r="Q152" s="76">
        <f>IFERROR(__xludf.DUMMYFUNCTION("""COMPUTED_VALUE"""),5108.0)</f>
        <v>5108</v>
      </c>
      <c r="R152" s="232">
        <f>IFERROR(__xludf.DUMMYFUNCTION("""COMPUTED_VALUE"""),46133.80347222222)</f>
        <v>46133.80347</v>
      </c>
      <c r="S152" s="84">
        <f>IFERROR(__xludf.DUMMYFUNCTION("""COMPUTED_VALUE"""),46132.83259414352)</f>
        <v>46132.83259</v>
      </c>
      <c r="T152" s="76">
        <f t="shared" si="4"/>
        <v>0.9708780787</v>
      </c>
      <c r="V152" s="76">
        <f>IFERROR(__xludf.DUMMYFUNCTION("""COMPUTED_VALUE"""),5113.0)</f>
        <v>5113</v>
      </c>
      <c r="W152" s="232">
        <f>IFERROR(__xludf.DUMMYFUNCTION("""COMPUTED_VALUE"""),46136.770833333336)</f>
        <v>46136.77083</v>
      </c>
      <c r="X152" s="84">
        <f>IFERROR(__xludf.DUMMYFUNCTION("""COMPUTED_VALUE"""),46135.59787491898)</f>
        <v>46135.59787</v>
      </c>
      <c r="Y152" s="76">
        <f t="shared" si="5"/>
        <v>1.172958414</v>
      </c>
      <c r="AK152" s="232"/>
      <c r="AL152" s="233"/>
      <c r="AM152" s="173"/>
    </row>
    <row r="153">
      <c r="A153" s="76">
        <f>IFERROR(__xludf.DUMMYFUNCTION("""COMPUTED_VALUE"""),5114.0)</f>
        <v>5114</v>
      </c>
      <c r="B153" s="232">
        <f>IFERROR(__xludf.DUMMYFUNCTION("""COMPUTED_VALUE"""),46135.61875111111)</f>
        <v>46135.61875</v>
      </c>
      <c r="C153" s="84">
        <f>IFERROR(__xludf.DUMMYFUNCTION("""COMPUTED_VALUE"""),46135.55308565972)</f>
        <v>46135.55309</v>
      </c>
      <c r="D153" s="173">
        <f t="shared" si="1"/>
        <v>0.0656654514</v>
      </c>
      <c r="G153" s="76">
        <f>IFERROR(__xludf.DUMMYFUNCTION("""COMPUTED_VALUE"""),5114.0)</f>
        <v>5114</v>
      </c>
      <c r="H153" s="232">
        <f>IFERROR(__xludf.DUMMYFUNCTION("""COMPUTED_VALUE"""),46135.62569555556)</f>
        <v>46135.6257</v>
      </c>
      <c r="I153" s="84">
        <f>IFERROR(__xludf.DUMMYFUNCTION("""COMPUTED_VALUE"""),46135.55289387731)</f>
        <v>46135.55289</v>
      </c>
      <c r="J153" s="76">
        <f t="shared" si="2"/>
        <v>0.07280167825</v>
      </c>
      <c r="L153" s="76">
        <f>IFERROR(__xludf.DUMMYFUNCTION("""COMPUTED_VALUE"""),5114.0)</f>
        <v>5114</v>
      </c>
      <c r="M153" s="232">
        <f>IFERROR(__xludf.DUMMYFUNCTION("""COMPUTED_VALUE"""),46135.72986222222)</f>
        <v>46135.72986</v>
      </c>
      <c r="N153" s="84">
        <f>IFERROR(__xludf.DUMMYFUNCTION("""COMPUTED_VALUE"""),46135.55299939815)</f>
        <v>46135.553</v>
      </c>
      <c r="O153" s="76">
        <f t="shared" si="3"/>
        <v>0.1768628241</v>
      </c>
      <c r="Q153" s="76">
        <f>IFERROR(__xludf.DUMMYFUNCTION("""COMPUTED_VALUE"""),5109.0)</f>
        <v>5109</v>
      </c>
      <c r="R153" s="232">
        <f>IFERROR(__xludf.DUMMYFUNCTION("""COMPUTED_VALUE"""),46133.80486111111)</f>
        <v>46133.80486</v>
      </c>
      <c r="S153" s="84">
        <f>IFERROR(__xludf.DUMMYFUNCTION("""COMPUTED_VALUE"""),46132.8325712963)</f>
        <v>46132.83257</v>
      </c>
      <c r="T153" s="76">
        <f t="shared" si="4"/>
        <v>0.9722898148</v>
      </c>
      <c r="V153" s="76">
        <f>IFERROR(__xludf.DUMMYFUNCTION("""COMPUTED_VALUE"""),5114.0)</f>
        <v>5114</v>
      </c>
      <c r="W153" s="232">
        <f>IFERROR(__xludf.DUMMYFUNCTION("""COMPUTED_VALUE"""),46136.771527777775)</f>
        <v>46136.77153</v>
      </c>
      <c r="X153" s="84">
        <f>IFERROR(__xludf.DUMMYFUNCTION("""COMPUTED_VALUE"""),46136.52768480324)</f>
        <v>46136.52768</v>
      </c>
      <c r="Y153" s="76">
        <f t="shared" si="5"/>
        <v>0.2438429745</v>
      </c>
      <c r="AK153" s="232"/>
      <c r="AL153" s="233"/>
      <c r="AM153" s="173"/>
    </row>
    <row r="154">
      <c r="A154" s="76">
        <f>IFERROR(__xludf.DUMMYFUNCTION("""COMPUTED_VALUE"""),5115.0)</f>
        <v>5115</v>
      </c>
      <c r="B154" s="232">
        <f>IFERROR(__xludf.DUMMYFUNCTION("""COMPUTED_VALUE"""),46135.68555876157)</f>
        <v>46135.68556</v>
      </c>
      <c r="C154" s="84">
        <f>IFERROR(__xludf.DUMMYFUNCTION("""COMPUTED_VALUE"""),46135.55312773148)</f>
        <v>46135.55313</v>
      </c>
      <c r="D154" s="173">
        <f t="shared" si="1"/>
        <v>0.1324310301</v>
      </c>
      <c r="G154" s="76">
        <f>IFERROR(__xludf.DUMMYFUNCTION("""COMPUTED_VALUE"""),5115.0)</f>
        <v>5115</v>
      </c>
      <c r="H154" s="232">
        <f>IFERROR(__xludf.DUMMYFUNCTION("""COMPUTED_VALUE"""),46135.69250320602)</f>
        <v>46135.6925</v>
      </c>
      <c r="I154" s="84">
        <f>IFERROR(__xludf.DUMMYFUNCTION("""COMPUTED_VALUE"""),46135.544430636575)</f>
        <v>46135.54443</v>
      </c>
      <c r="J154" s="76">
        <f t="shared" si="2"/>
        <v>0.1480725694</v>
      </c>
      <c r="L154" s="76">
        <f>IFERROR(__xludf.DUMMYFUNCTION("""COMPUTED_VALUE"""),5115.0)</f>
        <v>5115</v>
      </c>
      <c r="M154" s="232">
        <f>IFERROR(__xludf.DUMMYFUNCTION("""COMPUTED_VALUE"""),46135.79666987268)</f>
        <v>46135.79667</v>
      </c>
      <c r="N154" s="84">
        <f>IFERROR(__xludf.DUMMYFUNCTION("""COMPUTED_VALUE"""),46135.54449696759)</f>
        <v>46135.5445</v>
      </c>
      <c r="O154" s="76">
        <f t="shared" si="3"/>
        <v>0.2521729051</v>
      </c>
      <c r="Q154" s="76">
        <f>IFERROR(__xludf.DUMMYFUNCTION("""COMPUTED_VALUE"""),5110.0)</f>
        <v>5110</v>
      </c>
      <c r="R154" s="232">
        <f>IFERROR(__xludf.DUMMYFUNCTION("""COMPUTED_VALUE"""),46134.583333333336)</f>
        <v>46134.58333</v>
      </c>
      <c r="S154" s="84">
        <f>IFERROR(__xludf.DUMMYFUNCTION("""COMPUTED_VALUE"""),46133.461978402775)</f>
        <v>46133.46198</v>
      </c>
      <c r="T154" s="76">
        <f t="shared" si="4"/>
        <v>1.121354931</v>
      </c>
      <c r="V154" s="76">
        <f>IFERROR(__xludf.DUMMYFUNCTION("""COMPUTED_VALUE"""),5115.0)</f>
        <v>5115</v>
      </c>
      <c r="W154" s="232">
        <f>IFERROR(__xludf.DUMMYFUNCTION("""COMPUTED_VALUE"""),46137.42152777778)</f>
        <v>46137.42153</v>
      </c>
      <c r="X154" s="84">
        <f>IFERROR(__xludf.DUMMYFUNCTION("""COMPUTED_VALUE"""),46135.78041129629)</f>
        <v>46135.78041</v>
      </c>
      <c r="Y154" s="76">
        <f t="shared" si="5"/>
        <v>1.641116481</v>
      </c>
      <c r="AK154" s="232"/>
      <c r="AL154" s="233"/>
      <c r="AM154" s="173"/>
    </row>
    <row r="155">
      <c r="A155" s="76">
        <f>IFERROR(__xludf.DUMMYFUNCTION("""COMPUTED_VALUE"""),5116.0)</f>
        <v>5116</v>
      </c>
      <c r="B155" s="232">
        <f>IFERROR(__xludf.DUMMYFUNCTION("""COMPUTED_VALUE"""),46135.68902424769)</f>
        <v>46135.68902</v>
      </c>
      <c r="C155" s="84">
        <f>IFERROR(__xludf.DUMMYFUNCTION("""COMPUTED_VALUE"""),46135.55326340278)</f>
        <v>46135.55326</v>
      </c>
      <c r="D155" s="173">
        <f t="shared" si="1"/>
        <v>0.1357608449</v>
      </c>
      <c r="G155" s="76">
        <f>IFERROR(__xludf.DUMMYFUNCTION("""COMPUTED_VALUE"""),5116.0)</f>
        <v>5116</v>
      </c>
      <c r="H155" s="232">
        <f>IFERROR(__xludf.DUMMYFUNCTION("""COMPUTED_VALUE"""),46135.69596869213)</f>
        <v>46135.69597</v>
      </c>
      <c r="I155" s="84">
        <f>IFERROR(__xludf.DUMMYFUNCTION("""COMPUTED_VALUE"""),46135.54444121528)</f>
        <v>46135.54444</v>
      </c>
      <c r="J155" s="76">
        <f t="shared" si="2"/>
        <v>0.1515274769</v>
      </c>
      <c r="L155" s="76">
        <f>IFERROR(__xludf.DUMMYFUNCTION("""COMPUTED_VALUE"""),5116.0)</f>
        <v>5116</v>
      </c>
      <c r="M155" s="232">
        <f>IFERROR(__xludf.DUMMYFUNCTION("""COMPUTED_VALUE"""),46135.8001353588)</f>
        <v>46135.80014</v>
      </c>
      <c r="N155" s="84">
        <f>IFERROR(__xludf.DUMMYFUNCTION("""COMPUTED_VALUE"""),46135.54450788195)</f>
        <v>46135.54451</v>
      </c>
      <c r="O155" s="76">
        <f t="shared" si="3"/>
        <v>0.2556274769</v>
      </c>
      <c r="Q155" s="76">
        <f>IFERROR(__xludf.DUMMYFUNCTION("""COMPUTED_VALUE"""),5111.0)</f>
        <v>5111</v>
      </c>
      <c r="R155" s="232">
        <f>IFERROR(__xludf.DUMMYFUNCTION("""COMPUTED_VALUE"""),46134.67569444444)</f>
        <v>46134.67569</v>
      </c>
      <c r="S155" s="84">
        <f>IFERROR(__xludf.DUMMYFUNCTION("""COMPUTED_VALUE"""),46133.462260370376)</f>
        <v>46133.46226</v>
      </c>
      <c r="T155" s="76">
        <f t="shared" si="4"/>
        <v>1.213434074</v>
      </c>
      <c r="V155" s="76">
        <f>IFERROR(__xludf.DUMMYFUNCTION("""COMPUTED_VALUE"""),5116.0)</f>
        <v>5116</v>
      </c>
      <c r="W155" s="232">
        <f>IFERROR(__xludf.DUMMYFUNCTION("""COMPUTED_VALUE"""),46137.424999999996)</f>
        <v>46137.425</v>
      </c>
      <c r="X155" s="84">
        <f>IFERROR(__xludf.DUMMYFUNCTION("""COMPUTED_VALUE"""),46135.780341377314)</f>
        <v>46135.78034</v>
      </c>
      <c r="Y155" s="76">
        <f t="shared" si="5"/>
        <v>1.644658623</v>
      </c>
      <c r="AK155" s="232"/>
      <c r="AL155" s="233"/>
      <c r="AM155" s="173"/>
    </row>
    <row r="156">
      <c r="A156" s="76">
        <f>IFERROR(__xludf.DUMMYFUNCTION("""COMPUTED_VALUE"""),5117.0)</f>
        <v>5117</v>
      </c>
      <c r="B156" s="232">
        <f>IFERROR(__xludf.DUMMYFUNCTION("""COMPUTED_VALUE"""),46135.780821643515)</f>
        <v>46135.78082</v>
      </c>
      <c r="C156" s="84">
        <f>IFERROR(__xludf.DUMMYFUNCTION("""COMPUTED_VALUE"""),46135.63326368056)</f>
        <v>46135.63326</v>
      </c>
      <c r="D156" s="173">
        <f t="shared" si="1"/>
        <v>0.147557963</v>
      </c>
      <c r="G156" s="76">
        <f>IFERROR(__xludf.DUMMYFUNCTION("""COMPUTED_VALUE"""),5117.0)</f>
        <v>5117</v>
      </c>
      <c r="H156" s="232">
        <f>IFERROR(__xludf.DUMMYFUNCTION("""COMPUTED_VALUE"""),46135.78776608796)</f>
        <v>46135.78777</v>
      </c>
      <c r="I156" s="84">
        <f>IFERROR(__xludf.DUMMYFUNCTION("""COMPUTED_VALUE"""),46135.63332930555)</f>
        <v>46135.63333</v>
      </c>
      <c r="J156" s="76">
        <f t="shared" si="2"/>
        <v>0.1544367824</v>
      </c>
      <c r="L156" s="76">
        <f>IFERROR(__xludf.DUMMYFUNCTION("""COMPUTED_VALUE"""),5117.0)</f>
        <v>5117</v>
      </c>
      <c r="M156" s="232">
        <f>IFERROR(__xludf.DUMMYFUNCTION("""COMPUTED_VALUE"""),46136.495833333334)</f>
        <v>46136.49583</v>
      </c>
      <c r="N156" s="84">
        <f>IFERROR(__xludf.DUMMYFUNCTION("""COMPUTED_VALUE"""),46135.633369097224)</f>
        <v>46135.63337</v>
      </c>
      <c r="O156" s="76">
        <f t="shared" si="3"/>
        <v>0.8624642361</v>
      </c>
      <c r="Q156" s="76">
        <f>IFERROR(__xludf.DUMMYFUNCTION("""COMPUTED_VALUE"""),5112.0)</f>
        <v>5112</v>
      </c>
      <c r="R156" s="232">
        <f>IFERROR(__xludf.DUMMYFUNCTION("""COMPUTED_VALUE"""),46135.589583333334)</f>
        <v>46135.58958</v>
      </c>
      <c r="S156" s="84">
        <f>IFERROR(__xludf.DUMMYFUNCTION("""COMPUTED_VALUE"""),46134.62964302083)</f>
        <v>46134.62964</v>
      </c>
      <c r="T156" s="76">
        <f t="shared" si="4"/>
        <v>0.9599403125</v>
      </c>
      <c r="V156" s="76">
        <f>IFERROR(__xludf.DUMMYFUNCTION("""COMPUTED_VALUE"""),5117.0)</f>
        <v>5117</v>
      </c>
      <c r="W156" s="232">
        <f>IFERROR(__xludf.DUMMYFUNCTION("""COMPUTED_VALUE"""),46137.5375)</f>
        <v>46137.5375</v>
      </c>
      <c r="X156" s="84">
        <f>IFERROR(__xludf.DUMMYFUNCTION("""COMPUTED_VALUE"""),46135.780341377314)</f>
        <v>46135.78034</v>
      </c>
      <c r="Y156" s="76">
        <f t="shared" si="5"/>
        <v>1.757158623</v>
      </c>
      <c r="AK156" s="232"/>
      <c r="AL156" s="233"/>
      <c r="AM156" s="173"/>
    </row>
    <row r="157">
      <c r="A157" s="76">
        <f>IFERROR(__xludf.DUMMYFUNCTION("""COMPUTED_VALUE"""),5118.0)</f>
        <v>5118</v>
      </c>
      <c r="B157" s="232">
        <f>IFERROR(__xludf.DUMMYFUNCTION("""COMPUTED_VALUE"""),46135.808552395836)</f>
        <v>46135.80855</v>
      </c>
      <c r="C157" s="84">
        <f>IFERROR(__xludf.DUMMYFUNCTION("""COMPUTED_VALUE"""),46135.655980428244)</f>
        <v>46135.65598</v>
      </c>
      <c r="D157" s="173">
        <f t="shared" si="1"/>
        <v>0.1525719676</v>
      </c>
      <c r="G157" s="76">
        <f>IFERROR(__xludf.DUMMYFUNCTION("""COMPUTED_VALUE"""),5118.0)</f>
        <v>5118</v>
      </c>
      <c r="H157" s="232">
        <f>IFERROR(__xludf.DUMMYFUNCTION("""COMPUTED_VALUE"""),46135.81549684028)</f>
        <v>46135.8155</v>
      </c>
      <c r="I157" s="84">
        <f>IFERROR(__xludf.DUMMYFUNCTION("""COMPUTED_VALUE"""),46135.6561052662)</f>
        <v>46135.65611</v>
      </c>
      <c r="J157" s="76">
        <f t="shared" si="2"/>
        <v>0.1593915741</v>
      </c>
      <c r="L157" s="76">
        <f>IFERROR(__xludf.DUMMYFUNCTION("""COMPUTED_VALUE"""),5118.0)</f>
        <v>5118</v>
      </c>
      <c r="M157" s="232">
        <f>IFERROR(__xludf.DUMMYFUNCTION("""COMPUTED_VALUE"""),46136.52361111111)</f>
        <v>46136.52361</v>
      </c>
      <c r="N157" s="84">
        <f>IFERROR(__xludf.DUMMYFUNCTION("""COMPUTED_VALUE"""),46135.65621133102)</f>
        <v>46135.65621</v>
      </c>
      <c r="O157" s="76">
        <f t="shared" si="3"/>
        <v>0.8673997801</v>
      </c>
      <c r="Q157" s="76">
        <f>IFERROR(__xludf.DUMMYFUNCTION("""COMPUTED_VALUE"""),5113.0)</f>
        <v>5113</v>
      </c>
      <c r="R157" s="232">
        <f>IFERROR(__xludf.DUMMYFUNCTION("""COMPUTED_VALUE"""),46136.72916666667)</f>
        <v>46136.72917</v>
      </c>
      <c r="S157" s="84">
        <f>IFERROR(__xludf.DUMMYFUNCTION("""COMPUTED_VALUE"""),46135.597855)</f>
        <v>46135.59786</v>
      </c>
      <c r="T157" s="76">
        <f t="shared" si="4"/>
        <v>1.131311667</v>
      </c>
      <c r="V157" s="76">
        <f>IFERROR(__xludf.DUMMYFUNCTION("""COMPUTED_VALUE"""),5118.0)</f>
        <v>5118</v>
      </c>
      <c r="W157" s="232">
        <f>IFERROR(__xludf.DUMMYFUNCTION("""COMPUTED_VALUE"""),46137.56527777777)</f>
        <v>46137.56528</v>
      </c>
      <c r="X157" s="84">
        <f>IFERROR(__xludf.DUMMYFUNCTION("""COMPUTED_VALUE"""),46135.78016197917)</f>
        <v>46135.78016</v>
      </c>
      <c r="Y157" s="76">
        <f t="shared" si="5"/>
        <v>1.785115799</v>
      </c>
      <c r="AK157" s="232"/>
      <c r="AL157" s="233"/>
      <c r="AM157" s="173"/>
    </row>
    <row r="158">
      <c r="A158" s="76">
        <f>IFERROR(__xludf.DUMMYFUNCTION("""COMPUTED_VALUE"""),5119.0)</f>
        <v>5119</v>
      </c>
      <c r="B158" s="232">
        <f>IFERROR(__xludf.DUMMYFUNCTION("""COMPUTED_VALUE"""),46136.68683008102)</f>
        <v>46136.68683</v>
      </c>
      <c r="C158" s="84">
        <f>IFERROR(__xludf.DUMMYFUNCTION("""COMPUTED_VALUE"""),46136.527164513886)</f>
        <v>46136.52716</v>
      </c>
      <c r="D158" s="173">
        <f t="shared" si="1"/>
        <v>0.1596655671</v>
      </c>
      <c r="G158" s="76">
        <f>IFERROR(__xludf.DUMMYFUNCTION("""COMPUTED_VALUE"""),5119.0)</f>
        <v>5119</v>
      </c>
      <c r="H158" s="232">
        <f>IFERROR(__xludf.DUMMYFUNCTION("""COMPUTED_VALUE"""),46136.69377452546)</f>
        <v>46136.69377</v>
      </c>
      <c r="I158" s="84">
        <f>IFERROR(__xludf.DUMMYFUNCTION("""COMPUTED_VALUE"""),46136.52735333334)</f>
        <v>46136.52735</v>
      </c>
      <c r="J158" s="76">
        <f t="shared" si="2"/>
        <v>0.1664211921</v>
      </c>
      <c r="L158" s="76">
        <f>IFERROR(__xludf.DUMMYFUNCTION("""COMPUTED_VALUE"""),5119.0)</f>
        <v>5119</v>
      </c>
      <c r="M158" s="232">
        <f>IFERROR(__xludf.DUMMYFUNCTION("""COMPUTED_VALUE"""),46136.797941192126)</f>
        <v>46136.79794</v>
      </c>
      <c r="N158" s="84">
        <f>IFERROR(__xludf.DUMMYFUNCTION("""COMPUTED_VALUE"""),46136.527378900464)</f>
        <v>46136.52738</v>
      </c>
      <c r="O158" s="76">
        <f t="shared" si="3"/>
        <v>0.2705622917</v>
      </c>
      <c r="Q158" s="76">
        <f>IFERROR(__xludf.DUMMYFUNCTION("""COMPUTED_VALUE"""),5114.0)</f>
        <v>5114</v>
      </c>
      <c r="R158" s="232">
        <f>IFERROR(__xludf.DUMMYFUNCTION("""COMPUTED_VALUE"""),46136.72986111111)</f>
        <v>46136.72986</v>
      </c>
      <c r="S158" s="84">
        <f>IFERROR(__xludf.DUMMYFUNCTION("""COMPUTED_VALUE"""),46135.78029461806)</f>
        <v>46135.78029</v>
      </c>
      <c r="T158" s="76">
        <f t="shared" si="4"/>
        <v>0.9495664931</v>
      </c>
      <c r="V158" s="76">
        <f>IFERROR(__xludf.DUMMYFUNCTION("""COMPUTED_VALUE"""),5119.0)</f>
        <v>5119</v>
      </c>
      <c r="W158" s="232">
        <f>IFERROR(__xludf.DUMMYFUNCTION("""COMPUTED_VALUE"""),46139.42291666666)</f>
        <v>46139.42292</v>
      </c>
      <c r="X158" s="84">
        <f>IFERROR(__xludf.DUMMYFUNCTION("""COMPUTED_VALUE"""),46137.417801724536)</f>
        <v>46137.4178</v>
      </c>
      <c r="Y158" s="76">
        <f t="shared" si="5"/>
        <v>2.005114942</v>
      </c>
      <c r="AK158" s="232"/>
      <c r="AL158" s="233"/>
      <c r="AM158" s="173"/>
    </row>
    <row r="159">
      <c r="A159" s="76">
        <f>IFERROR(__xludf.DUMMYFUNCTION("""COMPUTED_VALUE"""),5120.0)</f>
        <v>5120</v>
      </c>
      <c r="B159" s="232">
        <f>IFERROR(__xludf.DUMMYFUNCTION("""COMPUTED_VALUE"""),46136.68811873842)</f>
        <v>46136.68812</v>
      </c>
      <c r="C159" s="84">
        <f>IFERROR(__xludf.DUMMYFUNCTION("""COMPUTED_VALUE"""),46136.52692600695)</f>
        <v>46136.52693</v>
      </c>
      <c r="D159" s="173">
        <f t="shared" si="1"/>
        <v>0.1611927315</v>
      </c>
      <c r="G159" s="76">
        <f>IFERROR(__xludf.DUMMYFUNCTION("""COMPUTED_VALUE"""),5120.0)</f>
        <v>5120</v>
      </c>
      <c r="H159" s="232">
        <f>IFERROR(__xludf.DUMMYFUNCTION("""COMPUTED_VALUE"""),46136.695063182866)</f>
        <v>46136.69506</v>
      </c>
      <c r="I159" s="84">
        <f>IFERROR(__xludf.DUMMYFUNCTION("""COMPUTED_VALUE"""),46136.52703599537)</f>
        <v>46136.52704</v>
      </c>
      <c r="J159" s="76">
        <f t="shared" si="2"/>
        <v>0.1680271875</v>
      </c>
      <c r="L159" s="76">
        <f>IFERROR(__xludf.DUMMYFUNCTION("""COMPUTED_VALUE"""),5120.0)</f>
        <v>5120</v>
      </c>
      <c r="M159" s="232">
        <f>IFERROR(__xludf.DUMMYFUNCTION("""COMPUTED_VALUE"""),46136.79922984953)</f>
        <v>46136.79923</v>
      </c>
      <c r="N159" s="84">
        <f>IFERROR(__xludf.DUMMYFUNCTION("""COMPUTED_VALUE"""),46136.52706232639)</f>
        <v>46136.52706</v>
      </c>
      <c r="O159" s="76">
        <f t="shared" si="3"/>
        <v>0.2721675231</v>
      </c>
      <c r="Q159" s="76">
        <f>IFERROR(__xludf.DUMMYFUNCTION("""COMPUTED_VALUE"""),5115.0)</f>
        <v>5115</v>
      </c>
      <c r="R159" s="232">
        <f>IFERROR(__xludf.DUMMYFUNCTION("""COMPUTED_VALUE"""),46136.79652777778)</f>
        <v>46136.79653</v>
      </c>
      <c r="S159" s="84">
        <f>IFERROR(__xludf.DUMMYFUNCTION("""COMPUTED_VALUE"""),46135.78023390046)</f>
        <v>46135.78023</v>
      </c>
      <c r="T159" s="76">
        <f t="shared" si="4"/>
        <v>1.016293877</v>
      </c>
      <c r="V159" s="76">
        <f>IFERROR(__xludf.DUMMYFUNCTION("""COMPUTED_VALUE"""),5120.0)</f>
        <v>5120</v>
      </c>
      <c r="W159" s="232">
        <f>IFERROR(__xludf.DUMMYFUNCTION("""COMPUTED_VALUE"""),46139.42361111111)</f>
        <v>46139.42361</v>
      </c>
      <c r="X159" s="84">
        <f>IFERROR(__xludf.DUMMYFUNCTION("""COMPUTED_VALUE"""),46137.40952365741)</f>
        <v>46137.40952</v>
      </c>
      <c r="Y159" s="76">
        <f t="shared" si="5"/>
        <v>2.014087454</v>
      </c>
      <c r="AK159" s="232"/>
      <c r="AL159" s="233"/>
      <c r="AM159" s="173"/>
    </row>
    <row r="160">
      <c r="A160" s="76">
        <f>IFERROR(__xludf.DUMMYFUNCTION("""COMPUTED_VALUE"""),5121.0)</f>
        <v>5121</v>
      </c>
      <c r="B160" s="232">
        <f>IFERROR(__xludf.DUMMYFUNCTION("""COMPUTED_VALUE"""),46136.69031373843)</f>
        <v>46136.69031</v>
      </c>
      <c r="C160" s="84">
        <f>IFERROR(__xludf.DUMMYFUNCTION("""COMPUTED_VALUE"""),46136.52693146991)</f>
        <v>46136.52693</v>
      </c>
      <c r="D160" s="173">
        <f t="shared" si="1"/>
        <v>0.1633822685</v>
      </c>
      <c r="G160" s="76">
        <f>IFERROR(__xludf.DUMMYFUNCTION("""COMPUTED_VALUE"""),5121.0)</f>
        <v>5121</v>
      </c>
      <c r="H160" s="232">
        <f>IFERROR(__xludf.DUMMYFUNCTION("""COMPUTED_VALUE"""),46136.697258182874)</f>
        <v>46136.69726</v>
      </c>
      <c r="I160" s="84">
        <f>IFERROR(__xludf.DUMMYFUNCTION("""COMPUTED_VALUE"""),46136.54545730324)</f>
        <v>46136.54546</v>
      </c>
      <c r="J160" s="76">
        <f t="shared" si="2"/>
        <v>0.1518008796</v>
      </c>
      <c r="L160" s="76">
        <f>IFERROR(__xludf.DUMMYFUNCTION("""COMPUTED_VALUE"""),5121.0)</f>
        <v>5121</v>
      </c>
      <c r="M160" s="232">
        <f>IFERROR(__xludf.DUMMYFUNCTION("""COMPUTED_VALUE"""),46136.80142484954)</f>
        <v>46136.80142</v>
      </c>
      <c r="N160" s="84">
        <f>IFERROR(__xludf.DUMMYFUNCTION("""COMPUTED_VALUE"""),46136.54554697916)</f>
        <v>46136.54555</v>
      </c>
      <c r="O160" s="76">
        <f t="shared" si="3"/>
        <v>0.2558778704</v>
      </c>
      <c r="Q160" s="76">
        <f>IFERROR(__xludf.DUMMYFUNCTION("""COMPUTED_VALUE"""),5116.0)</f>
        <v>5116</v>
      </c>
      <c r="R160" s="232">
        <f>IFERROR(__xludf.DUMMYFUNCTION("""COMPUTED_VALUE"""),46136.799999999996)</f>
        <v>46136.8</v>
      </c>
      <c r="S160" s="84">
        <f>IFERROR(__xludf.DUMMYFUNCTION("""COMPUTED_VALUE"""),46135.78023390046)</f>
        <v>46135.78023</v>
      </c>
      <c r="T160" s="76">
        <f t="shared" si="4"/>
        <v>1.0197661</v>
      </c>
      <c r="V160" s="76">
        <f>IFERROR(__xludf.DUMMYFUNCTION("""COMPUTED_VALUE"""),5121.0)</f>
        <v>5121</v>
      </c>
      <c r="W160" s="232">
        <f>IFERROR(__xludf.DUMMYFUNCTION("""COMPUTED_VALUE"""),46139.42638888889)</f>
        <v>46139.42639</v>
      </c>
      <c r="X160" s="84">
        <f>IFERROR(__xludf.DUMMYFUNCTION("""COMPUTED_VALUE"""),46137.72048320602)</f>
        <v>46137.72048</v>
      </c>
      <c r="Y160" s="76">
        <f t="shared" si="5"/>
        <v>1.705905683</v>
      </c>
      <c r="AK160" s="232"/>
      <c r="AL160" s="233"/>
      <c r="AM160" s="173"/>
    </row>
    <row r="161">
      <c r="A161" s="76">
        <f>IFERROR(__xludf.DUMMYFUNCTION("""COMPUTED_VALUE"""),5122.0)</f>
        <v>5122</v>
      </c>
      <c r="B161" s="232">
        <f>IFERROR(__xludf.DUMMYFUNCTION("""COMPUTED_VALUE"""),46136.70683079861)</f>
        <v>46136.70683</v>
      </c>
      <c r="C161" s="84">
        <f>IFERROR(__xludf.DUMMYFUNCTION("""COMPUTED_VALUE"""),46136.5451287037)</f>
        <v>46136.54513</v>
      </c>
      <c r="D161" s="173">
        <f t="shared" si="1"/>
        <v>0.1617020949</v>
      </c>
      <c r="G161" s="76">
        <f>IFERROR(__xludf.DUMMYFUNCTION("""COMPUTED_VALUE"""),5122.0)</f>
        <v>5122</v>
      </c>
      <c r="H161" s="232">
        <f>IFERROR(__xludf.DUMMYFUNCTION("""COMPUTED_VALUE"""),46136.71377524306)</f>
        <v>46136.71378</v>
      </c>
      <c r="I161" s="84">
        <f>IFERROR(__xludf.DUMMYFUNCTION("""COMPUTED_VALUE"""),46136.545328692126)</f>
        <v>46136.54533</v>
      </c>
      <c r="J161" s="76">
        <f t="shared" si="2"/>
        <v>0.1684465509</v>
      </c>
      <c r="L161" s="76">
        <f>IFERROR(__xludf.DUMMYFUNCTION("""COMPUTED_VALUE"""),5122.0)</f>
        <v>5122</v>
      </c>
      <c r="M161" s="232">
        <f>IFERROR(__xludf.DUMMYFUNCTION("""COMPUTED_VALUE"""),46136.81794190972)</f>
        <v>46136.81794</v>
      </c>
      <c r="N161" s="84">
        <f>IFERROR(__xludf.DUMMYFUNCTION("""COMPUTED_VALUE"""),46136.54555815972)</f>
        <v>46136.54556</v>
      </c>
      <c r="O161" s="76">
        <f t="shared" si="3"/>
        <v>0.27238375</v>
      </c>
      <c r="Q161" s="76">
        <f>IFERROR(__xludf.DUMMYFUNCTION("""COMPUTED_VALUE"""),5117.0)</f>
        <v>5117</v>
      </c>
      <c r="R161" s="232">
        <f>IFERROR(__xludf.DUMMYFUNCTION("""COMPUTED_VALUE"""),46137.495833333334)</f>
        <v>46137.49583</v>
      </c>
      <c r="S161" s="84">
        <f>IFERROR(__xludf.DUMMYFUNCTION("""COMPUTED_VALUE"""),46135.780250497686)</f>
        <v>46135.78025</v>
      </c>
      <c r="T161" s="76">
        <f t="shared" si="4"/>
        <v>1.715582836</v>
      </c>
      <c r="V161" s="76">
        <f>IFERROR(__xludf.DUMMYFUNCTION("""COMPUTED_VALUE"""),5122.0)</f>
        <v>5122</v>
      </c>
      <c r="W161" s="232">
        <f>IFERROR(__xludf.DUMMYFUNCTION("""COMPUTED_VALUE"""),46139.442361111105)</f>
        <v>46139.44236</v>
      </c>
      <c r="X161" s="84">
        <f>IFERROR(__xludf.DUMMYFUNCTION("""COMPUTED_VALUE"""),46137.72046034722)</f>
        <v>46137.72046</v>
      </c>
      <c r="Y161" s="76">
        <f t="shared" si="5"/>
        <v>1.721900764</v>
      </c>
      <c r="AK161" s="232"/>
      <c r="AL161" s="233"/>
      <c r="AM161" s="173"/>
    </row>
    <row r="162">
      <c r="A162" s="76">
        <f>IFERROR(__xludf.DUMMYFUNCTION("""COMPUTED_VALUE"""),5123.0)</f>
        <v>5123</v>
      </c>
      <c r="B162" s="232">
        <f>IFERROR(__xludf.DUMMYFUNCTION("""COMPUTED_VALUE"""),46139.684020601846)</f>
        <v>46139.68402</v>
      </c>
      <c r="C162" s="84">
        <f>IFERROR(__xludf.DUMMYFUNCTION("""COMPUTED_VALUE"""),46139.54267685185)</f>
        <v>46139.54268</v>
      </c>
      <c r="D162" s="173">
        <f t="shared" si="1"/>
        <v>0.14134375</v>
      </c>
      <c r="G162" s="76">
        <f>IFERROR(__xludf.DUMMYFUNCTION("""COMPUTED_VALUE"""),5123.0)</f>
        <v>5123</v>
      </c>
      <c r="H162" s="232">
        <f>IFERROR(__xludf.DUMMYFUNCTION("""COMPUTED_VALUE"""),46139.69096504629)</f>
        <v>46139.69097</v>
      </c>
      <c r="I162" s="84">
        <f>IFERROR(__xludf.DUMMYFUNCTION("""COMPUTED_VALUE"""),46139.54272333333)</f>
        <v>46139.54272</v>
      </c>
      <c r="J162" s="76">
        <f t="shared" si="2"/>
        <v>0.148241713</v>
      </c>
      <c r="L162" s="76">
        <f>IFERROR(__xludf.DUMMYFUNCTION("""COMPUTED_VALUE"""),5123.0)</f>
        <v>5123</v>
      </c>
      <c r="M162" s="232">
        <f>IFERROR(__xludf.DUMMYFUNCTION("""COMPUTED_VALUE"""),46139.795131712955)</f>
        <v>46139.79513</v>
      </c>
      <c r="N162" s="84">
        <f>IFERROR(__xludf.DUMMYFUNCTION("""COMPUTED_VALUE"""),46139.54276237269)</f>
        <v>46139.54276</v>
      </c>
      <c r="O162" s="76">
        <f t="shared" si="3"/>
        <v>0.2523693403</v>
      </c>
      <c r="Q162" s="76">
        <f>IFERROR(__xludf.DUMMYFUNCTION("""COMPUTED_VALUE"""),5118.0)</f>
        <v>5118</v>
      </c>
      <c r="R162" s="232">
        <f>IFERROR(__xludf.DUMMYFUNCTION("""COMPUTED_VALUE"""),46137.52361111111)</f>
        <v>46137.52361</v>
      </c>
      <c r="S162" s="84">
        <f>IFERROR(__xludf.DUMMYFUNCTION("""COMPUTED_VALUE"""),46135.78013509259)</f>
        <v>46135.78014</v>
      </c>
      <c r="T162" s="76">
        <f t="shared" si="4"/>
        <v>1.743476019</v>
      </c>
      <c r="V162" s="76">
        <f>IFERROR(__xludf.DUMMYFUNCTION("""COMPUTED_VALUE"""),5123.0)</f>
        <v>5123</v>
      </c>
      <c r="W162" s="232">
        <f>IFERROR(__xludf.DUMMYFUNCTION("""COMPUTED_VALUE"""),46141.46111111111)</f>
        <v>46141.46111</v>
      </c>
      <c r="X162" s="84">
        <f>IFERROR(__xludf.DUMMYFUNCTION("""COMPUTED_VALUE"""),46141.43787678241)</f>
        <v>46141.43788</v>
      </c>
      <c r="Y162" s="76">
        <f t="shared" si="5"/>
        <v>0.0232343287</v>
      </c>
      <c r="AK162" s="232"/>
      <c r="AL162" s="233"/>
      <c r="AM162" s="173"/>
    </row>
    <row r="163">
      <c r="A163" s="76">
        <f>IFERROR(__xludf.DUMMYFUNCTION("""COMPUTED_VALUE"""),5124.0)</f>
        <v>5124</v>
      </c>
      <c r="B163" s="232">
        <f>IFERROR(__xludf.DUMMYFUNCTION("""COMPUTED_VALUE"""),46139.70564586805)</f>
        <v>46139.70565</v>
      </c>
      <c r="C163" s="84">
        <f>IFERROR(__xludf.DUMMYFUNCTION("""COMPUTED_VALUE"""),46139.61749239583)</f>
        <v>46139.61749</v>
      </c>
      <c r="D163" s="173">
        <f t="shared" si="1"/>
        <v>0.08815347222</v>
      </c>
      <c r="G163" s="76">
        <f>IFERROR(__xludf.DUMMYFUNCTION("""COMPUTED_VALUE"""),5124.0)</f>
        <v>5124</v>
      </c>
      <c r="H163" s="232">
        <f>IFERROR(__xludf.DUMMYFUNCTION("""COMPUTED_VALUE"""),46139.7125903125)</f>
        <v>46139.71259</v>
      </c>
      <c r="I163" s="84">
        <f>IFERROR(__xludf.DUMMYFUNCTION("""COMPUTED_VALUE"""),46139.61758666667)</f>
        <v>46139.61759</v>
      </c>
      <c r="J163" s="76">
        <f t="shared" si="2"/>
        <v>0.09500364583</v>
      </c>
      <c r="L163" s="76">
        <f>IFERROR(__xludf.DUMMYFUNCTION("""COMPUTED_VALUE"""),5124.0)</f>
        <v>5124</v>
      </c>
      <c r="M163" s="232">
        <f>IFERROR(__xludf.DUMMYFUNCTION("""COMPUTED_VALUE"""),46139.81675697916)</f>
        <v>46139.81676</v>
      </c>
      <c r="N163" s="84">
        <f>IFERROR(__xludf.DUMMYFUNCTION("""COMPUTED_VALUE"""),46139.61772505787)</f>
        <v>46139.61773</v>
      </c>
      <c r="O163" s="76">
        <f t="shared" si="3"/>
        <v>0.1990319213</v>
      </c>
      <c r="Q163" s="76">
        <f>IFERROR(__xludf.DUMMYFUNCTION("""COMPUTED_VALUE"""),5119.0)</f>
        <v>5119</v>
      </c>
      <c r="R163" s="232">
        <f>IFERROR(__xludf.DUMMYFUNCTION("""COMPUTED_VALUE"""),46137.79791666666)</f>
        <v>46137.79792</v>
      </c>
      <c r="S163" s="84">
        <f>IFERROR(__xludf.DUMMYFUNCTION("""COMPUTED_VALUE"""),46137.41777488426)</f>
        <v>46137.41777</v>
      </c>
      <c r="T163" s="76">
        <f t="shared" si="4"/>
        <v>0.3801417824</v>
      </c>
      <c r="V163" s="76">
        <f>IFERROR(__xludf.DUMMYFUNCTION("""COMPUTED_VALUE"""),5124.0)</f>
        <v>5124</v>
      </c>
      <c r="W163" s="232">
        <f>IFERROR(__xludf.DUMMYFUNCTION("""COMPUTED_VALUE"""),46141.441666666666)</f>
        <v>46141.44167</v>
      </c>
      <c r="X163" s="84">
        <f>IFERROR(__xludf.DUMMYFUNCTION("""COMPUTED_VALUE"""),46139.76942469907)</f>
        <v>46139.76942</v>
      </c>
      <c r="Y163" s="76">
        <f t="shared" si="5"/>
        <v>1.672241968</v>
      </c>
      <c r="AK163" s="232"/>
      <c r="AL163" s="233"/>
      <c r="AM163" s="173"/>
    </row>
    <row r="164">
      <c r="A164" s="76">
        <f>IFERROR(__xludf.DUMMYFUNCTION("""COMPUTED_VALUE"""),5125.0)</f>
        <v>5125</v>
      </c>
      <c r="B164" s="232">
        <f>IFERROR(__xludf.DUMMYFUNCTION("""COMPUTED_VALUE"""),46140.49722222223)</f>
        <v>46140.49722</v>
      </c>
      <c r="C164" s="84">
        <f>IFERROR(__xludf.DUMMYFUNCTION("""COMPUTED_VALUE"""),46139.76895681713)</f>
        <v>46139.76896</v>
      </c>
      <c r="D164" s="173">
        <f t="shared" si="1"/>
        <v>0.7282654051</v>
      </c>
      <c r="G164" s="76">
        <f>IFERROR(__xludf.DUMMYFUNCTION("""COMPUTED_VALUE"""),5125.0)</f>
        <v>5125</v>
      </c>
      <c r="H164" s="232">
        <f>IFERROR(__xludf.DUMMYFUNCTION("""COMPUTED_VALUE"""),46140.50416666667)</f>
        <v>46140.50417</v>
      </c>
      <c r="I164" s="84">
        <f>IFERROR(__xludf.DUMMYFUNCTION("""COMPUTED_VALUE"""),46139.76918833333)</f>
        <v>46139.76919</v>
      </c>
      <c r="J164" s="76">
        <f t="shared" si="2"/>
        <v>0.7349783333</v>
      </c>
      <c r="L164" s="76">
        <f>IFERROR(__xludf.DUMMYFUNCTION("""COMPUTED_VALUE"""),5125.0)</f>
        <v>5125</v>
      </c>
      <c r="M164" s="232">
        <f>IFERROR(__xludf.DUMMYFUNCTION("""COMPUTED_VALUE"""),46140.60833333334)</f>
        <v>46140.60833</v>
      </c>
      <c r="N164" s="84">
        <f>IFERROR(__xludf.DUMMYFUNCTION("""COMPUTED_VALUE"""),46139.76929520833)</f>
        <v>46139.7693</v>
      </c>
      <c r="O164" s="76">
        <f t="shared" si="3"/>
        <v>0.839038125</v>
      </c>
      <c r="Q164" s="76">
        <f>IFERROR(__xludf.DUMMYFUNCTION("""COMPUTED_VALUE"""),5120.0)</f>
        <v>5120</v>
      </c>
      <c r="R164" s="232">
        <f>IFERROR(__xludf.DUMMYFUNCTION("""COMPUTED_VALUE"""),46137.79861111111)</f>
        <v>46137.79861</v>
      </c>
      <c r="S164" s="84">
        <f>IFERROR(__xludf.DUMMYFUNCTION("""COMPUTED_VALUE"""),46137.409486979166)</f>
        <v>46137.40949</v>
      </c>
      <c r="T164" s="76">
        <f t="shared" si="4"/>
        <v>0.3891241319</v>
      </c>
      <c r="V164" s="76">
        <f>IFERROR(__xludf.DUMMYFUNCTION("""COMPUTED_VALUE"""),5125.0)</f>
        <v>5125</v>
      </c>
      <c r="W164" s="232">
        <f>IFERROR(__xludf.DUMMYFUNCTION("""COMPUTED_VALUE"""),46141.65)</f>
        <v>46141.65</v>
      </c>
      <c r="X164" s="84">
        <f>IFERROR(__xludf.DUMMYFUNCTION("""COMPUTED_VALUE"""),46140.61367341435)</f>
        <v>46140.61367</v>
      </c>
      <c r="Y164" s="76">
        <f t="shared" si="5"/>
        <v>1.036326586</v>
      </c>
      <c r="AK164" s="232"/>
      <c r="AL164" s="233"/>
      <c r="AM164" s="173"/>
    </row>
    <row r="165">
      <c r="A165" s="76">
        <f>IFERROR(__xludf.DUMMYFUNCTION("""COMPUTED_VALUE"""),5126.0)</f>
        <v>5126</v>
      </c>
      <c r="B165" s="232">
        <f>IFERROR(__xludf.DUMMYFUNCTION("""COMPUTED_VALUE"""),46140.49791666667)</f>
        <v>46140.49792</v>
      </c>
      <c r="C165" s="84">
        <f>IFERROR(__xludf.DUMMYFUNCTION("""COMPUTED_VALUE"""),46139.76898298611)</f>
        <v>46139.76898</v>
      </c>
      <c r="D165" s="173">
        <f t="shared" si="1"/>
        <v>0.7289336806</v>
      </c>
      <c r="G165" s="76">
        <f>IFERROR(__xludf.DUMMYFUNCTION("""COMPUTED_VALUE"""),5126.0)</f>
        <v>5126</v>
      </c>
      <c r="H165" s="232">
        <f>IFERROR(__xludf.DUMMYFUNCTION("""COMPUTED_VALUE"""),46140.50486111111)</f>
        <v>46140.50486</v>
      </c>
      <c r="I165" s="84">
        <f>IFERROR(__xludf.DUMMYFUNCTION("""COMPUTED_VALUE"""),46139.76920954861)</f>
        <v>46139.76921</v>
      </c>
      <c r="J165" s="76">
        <f t="shared" si="2"/>
        <v>0.7356515625</v>
      </c>
      <c r="L165" s="76">
        <f>IFERROR(__xludf.DUMMYFUNCTION("""COMPUTED_VALUE"""),5126.0)</f>
        <v>5126</v>
      </c>
      <c r="M165" s="232">
        <f>IFERROR(__xludf.DUMMYFUNCTION("""COMPUTED_VALUE"""),46140.60902777778)</f>
        <v>46140.60903</v>
      </c>
      <c r="N165" s="84">
        <f>IFERROR(__xludf.DUMMYFUNCTION("""COMPUTED_VALUE"""),46139.76931395833)</f>
        <v>46139.76931</v>
      </c>
      <c r="O165" s="76">
        <f t="shared" si="3"/>
        <v>0.8397138194</v>
      </c>
      <c r="Q165" s="76">
        <f>IFERROR(__xludf.DUMMYFUNCTION("""COMPUTED_VALUE"""),5121.0)</f>
        <v>5121</v>
      </c>
      <c r="R165" s="232">
        <f>IFERROR(__xludf.DUMMYFUNCTION("""COMPUTED_VALUE"""),46137.80138888889)</f>
        <v>46137.80139</v>
      </c>
      <c r="S165" s="84">
        <f>IFERROR(__xludf.DUMMYFUNCTION("""COMPUTED_VALUE"""),46137.409190798615)</f>
        <v>46137.40919</v>
      </c>
      <c r="T165" s="76">
        <f t="shared" si="4"/>
        <v>0.3921980903</v>
      </c>
      <c r="V165" s="76">
        <f>IFERROR(__xludf.DUMMYFUNCTION("""COMPUTED_VALUE"""),5126.0)</f>
        <v>5126</v>
      </c>
      <c r="W165" s="232">
        <f>IFERROR(__xludf.DUMMYFUNCTION("""COMPUTED_VALUE"""),46141.65069444444)</f>
        <v>46141.65069</v>
      </c>
      <c r="X165" s="84">
        <f>IFERROR(__xludf.DUMMYFUNCTION("""COMPUTED_VALUE"""),46140.61371023148)</f>
        <v>46140.61371</v>
      </c>
      <c r="Y165" s="76">
        <f t="shared" si="5"/>
        <v>1.036984213</v>
      </c>
      <c r="AK165" s="232"/>
      <c r="AL165" s="233"/>
      <c r="AM165" s="173"/>
    </row>
    <row r="166">
      <c r="A166" s="76">
        <f>IFERROR(__xludf.DUMMYFUNCTION("""COMPUTED_VALUE"""),5127.0)</f>
        <v>5127</v>
      </c>
      <c r="B166" s="232">
        <f>IFERROR(__xludf.DUMMYFUNCTION("""COMPUTED_VALUE"""),46142.69905966435)</f>
        <v>46142.69906</v>
      </c>
      <c r="C166" s="84">
        <f>IFERROR(__xludf.DUMMYFUNCTION("""COMPUTED_VALUE"""),46142.539442187495)</f>
        <v>46142.53944</v>
      </c>
      <c r="D166" s="173">
        <f t="shared" si="1"/>
        <v>0.1596174769</v>
      </c>
      <c r="G166" s="76">
        <f>IFERROR(__xludf.DUMMYFUNCTION("""COMPUTED_VALUE"""),5127.0)</f>
        <v>5127</v>
      </c>
      <c r="H166" s="232">
        <f>IFERROR(__xludf.DUMMYFUNCTION("""COMPUTED_VALUE"""),46142.7060041088)</f>
        <v>46142.706</v>
      </c>
      <c r="I166" s="84">
        <f>IFERROR(__xludf.DUMMYFUNCTION("""COMPUTED_VALUE"""),46142.53955613426)</f>
        <v>46142.53956</v>
      </c>
      <c r="J166" s="76">
        <f t="shared" si="2"/>
        <v>0.1664479745</v>
      </c>
      <c r="L166" s="76">
        <f>IFERROR(__xludf.DUMMYFUNCTION("""COMPUTED_VALUE"""),5127.0)</f>
        <v>5127</v>
      </c>
      <c r="M166" s="232">
        <f>IFERROR(__xludf.DUMMYFUNCTION("""COMPUTED_VALUE"""),46142.81017077546)</f>
        <v>46142.81017</v>
      </c>
      <c r="N166" s="84">
        <f>IFERROR(__xludf.DUMMYFUNCTION("""COMPUTED_VALUE"""),46142.539633148146)</f>
        <v>46142.53963</v>
      </c>
      <c r="O166" s="76">
        <f t="shared" si="3"/>
        <v>0.2705376273</v>
      </c>
      <c r="Q166" s="76">
        <f>IFERROR(__xludf.DUMMYFUNCTION("""COMPUTED_VALUE"""),5122.0)</f>
        <v>5122</v>
      </c>
      <c r="R166" s="232">
        <f>IFERROR(__xludf.DUMMYFUNCTION("""COMPUTED_VALUE"""),46137.817361111105)</f>
        <v>46137.81736</v>
      </c>
      <c r="S166" s="84">
        <f>IFERROR(__xludf.DUMMYFUNCTION("""COMPUTED_VALUE"""),46137.40921733796)</f>
        <v>46137.40922</v>
      </c>
      <c r="T166" s="76">
        <f t="shared" si="4"/>
        <v>0.4081437731</v>
      </c>
      <c r="V166" s="76">
        <f>IFERROR(__xludf.DUMMYFUNCTION("""COMPUTED_VALUE"""),5127.0)</f>
        <v>5127</v>
      </c>
      <c r="W166" s="232">
        <f>IFERROR(__xludf.DUMMYFUNCTION("""COMPUTED_VALUE"""),46144.43472222222)</f>
        <v>46144.43472</v>
      </c>
      <c r="X166" s="84">
        <f>IFERROR(__xludf.DUMMYFUNCTION("""COMPUTED_VALUE"""),46143.446376168984)</f>
        <v>46143.44638</v>
      </c>
      <c r="Y166" s="76">
        <f t="shared" si="5"/>
        <v>0.9883460532</v>
      </c>
      <c r="AK166" s="232"/>
      <c r="AL166" s="233"/>
      <c r="AM166" s="173"/>
    </row>
    <row r="167">
      <c r="A167" s="76">
        <f>IFERROR(__xludf.DUMMYFUNCTION("""COMPUTED_VALUE"""),5128.0)</f>
        <v>5128</v>
      </c>
      <c r="B167" s="232">
        <f>IFERROR(__xludf.DUMMYFUNCTION("""COMPUTED_VALUE"""),46143.708940370365)</f>
        <v>46143.70894</v>
      </c>
      <c r="C167" s="84">
        <f>IFERROR(__xludf.DUMMYFUNCTION("""COMPUTED_VALUE"""),46143.615031215275)</f>
        <v>46143.61503</v>
      </c>
      <c r="D167" s="173">
        <f t="shared" si="1"/>
        <v>0.09390915509</v>
      </c>
      <c r="G167" s="76">
        <f>IFERROR(__xludf.DUMMYFUNCTION("""COMPUTED_VALUE"""),5128.0)</f>
        <v>5128</v>
      </c>
      <c r="H167" s="232">
        <f>IFERROR(__xludf.DUMMYFUNCTION("""COMPUTED_VALUE"""),46143.71588481481)</f>
        <v>46143.71588</v>
      </c>
      <c r="I167" s="84">
        <f>IFERROR(__xludf.DUMMYFUNCTION("""COMPUTED_VALUE"""),46143.61509229167)</f>
        <v>46143.61509</v>
      </c>
      <c r="J167" s="76">
        <f t="shared" si="2"/>
        <v>0.1007925231</v>
      </c>
      <c r="L167" s="76">
        <f>IFERROR(__xludf.DUMMYFUNCTION("""COMPUTED_VALUE"""),5128.0)</f>
        <v>5128</v>
      </c>
      <c r="M167" s="232">
        <f>IFERROR(__xludf.DUMMYFUNCTION("""COMPUTED_VALUE"""),46143.820051481474)</f>
        <v>46143.82005</v>
      </c>
      <c r="N167" s="84">
        <f>IFERROR(__xludf.DUMMYFUNCTION("""COMPUTED_VALUE"""),46143.61519614584)</f>
        <v>46143.6152</v>
      </c>
      <c r="O167" s="76">
        <f t="shared" si="3"/>
        <v>0.2048553356</v>
      </c>
      <c r="Q167" s="76">
        <f>IFERROR(__xludf.DUMMYFUNCTION("""COMPUTED_VALUE"""),5123.0)</f>
        <v>5123</v>
      </c>
      <c r="R167" s="232">
        <f>IFERROR(__xludf.DUMMYFUNCTION("""COMPUTED_VALUE"""),46140.794444444444)</f>
        <v>46140.79444</v>
      </c>
      <c r="S167" s="84">
        <f>IFERROR(__xludf.DUMMYFUNCTION("""COMPUTED_VALUE"""),46140.77613945602)</f>
        <v>46140.77614</v>
      </c>
      <c r="T167" s="76">
        <f t="shared" si="4"/>
        <v>0.01830498842</v>
      </c>
      <c r="V167" s="76">
        <f>IFERROR(__xludf.DUMMYFUNCTION("""COMPUTED_VALUE"""),5128.0)</f>
        <v>5128</v>
      </c>
      <c r="W167" s="232">
        <f>IFERROR(__xludf.DUMMYFUNCTION("""COMPUTED_VALUE"""),46146.444444444445)</f>
        <v>46146.44444</v>
      </c>
      <c r="X167" s="84">
        <f>IFERROR(__xludf.DUMMYFUNCTION("""COMPUTED_VALUE"""),46143.63476144676)</f>
        <v>46143.63476</v>
      </c>
      <c r="Y167" s="76">
        <f t="shared" si="5"/>
        <v>2.809682998</v>
      </c>
      <c r="AK167" s="232"/>
      <c r="AL167" s="233"/>
      <c r="AM167" s="173"/>
    </row>
    <row r="168">
      <c r="A168" s="76">
        <f>IFERROR(__xludf.DUMMYFUNCTION("""COMPUTED_VALUE"""),5129.0)</f>
        <v>5129</v>
      </c>
      <c r="B168" s="232">
        <f>IFERROR(__xludf.DUMMYFUNCTION("""COMPUTED_VALUE"""),46143.78129733796)</f>
        <v>46143.7813</v>
      </c>
      <c r="C168" s="84">
        <f>IFERROR(__xludf.DUMMYFUNCTION("""COMPUTED_VALUE"""),46143.615048067135)</f>
        <v>46143.61505</v>
      </c>
      <c r="D168" s="173">
        <f t="shared" si="1"/>
        <v>0.1662492708</v>
      </c>
      <c r="G168" s="76">
        <f>IFERROR(__xludf.DUMMYFUNCTION("""COMPUTED_VALUE"""),5129.0)</f>
        <v>5129</v>
      </c>
      <c r="H168" s="232">
        <f>IFERROR(__xludf.DUMMYFUNCTION("""COMPUTED_VALUE"""),46143.78824178241)</f>
        <v>46143.78824</v>
      </c>
      <c r="I168" s="84">
        <f>IFERROR(__xludf.DUMMYFUNCTION("""COMPUTED_VALUE"""),46143.61511521991)</f>
        <v>46143.61512</v>
      </c>
      <c r="J168" s="76">
        <f t="shared" si="2"/>
        <v>0.1731265625</v>
      </c>
      <c r="L168" s="76">
        <f>IFERROR(__xludf.DUMMYFUNCTION("""COMPUTED_VALUE"""),5129.0)</f>
        <v>5129</v>
      </c>
      <c r="M168" s="232">
        <f>IFERROR(__xludf.DUMMYFUNCTION("""COMPUTED_VALUE"""),46144.49652777778)</f>
        <v>46144.49653</v>
      </c>
      <c r="N168" s="84">
        <f>IFERROR(__xludf.DUMMYFUNCTION("""COMPUTED_VALUE"""),46143.61525001157)</f>
        <v>46143.61525</v>
      </c>
      <c r="O168" s="76">
        <f t="shared" si="3"/>
        <v>0.8812777662</v>
      </c>
      <c r="Q168" s="76">
        <f>IFERROR(__xludf.DUMMYFUNCTION("""COMPUTED_VALUE"""),5124.0)</f>
        <v>5124</v>
      </c>
      <c r="R168" s="232">
        <f>IFERROR(__xludf.DUMMYFUNCTION("""COMPUTED_VALUE"""),46140.816666666666)</f>
        <v>46140.81667</v>
      </c>
      <c r="S168" s="84">
        <f>IFERROR(__xludf.DUMMYFUNCTION("""COMPUTED_VALUE"""),46139.76939743056)</f>
        <v>46139.7694</v>
      </c>
      <c r="T168" s="76">
        <f t="shared" si="4"/>
        <v>1.047269236</v>
      </c>
      <c r="V168" s="76">
        <f>IFERROR(__xludf.DUMMYFUNCTION("""COMPUTED_VALUE"""),5129.0)</f>
        <v>5129</v>
      </c>
      <c r="W168" s="232">
        <f>IFERROR(__xludf.DUMMYFUNCTION("""COMPUTED_VALUE"""),46146.538194444445)</f>
        <v>46146.53819</v>
      </c>
      <c r="X168" s="84">
        <f>IFERROR(__xludf.DUMMYFUNCTION("""COMPUTED_VALUE"""),46143.802597291666)</f>
        <v>46143.8026</v>
      </c>
      <c r="Y168" s="76">
        <f t="shared" si="5"/>
        <v>2.735597153</v>
      </c>
      <c r="AK168" s="232"/>
      <c r="AL168" s="233"/>
      <c r="AM168" s="173"/>
    </row>
    <row r="169">
      <c r="A169" s="76">
        <f>IFERROR(__xludf.DUMMYFUNCTION("""COMPUTED_VALUE"""),5130.0)</f>
        <v>5130</v>
      </c>
      <c r="B169" s="232">
        <f>IFERROR(__xludf.DUMMYFUNCTION("""COMPUTED_VALUE"""),46143.81113483796)</f>
        <v>46143.81113</v>
      </c>
      <c r="C169" s="84">
        <f>IFERROR(__xludf.DUMMYFUNCTION("""COMPUTED_VALUE"""),46143.66634364583)</f>
        <v>46143.66634</v>
      </c>
      <c r="D169" s="173">
        <f t="shared" si="1"/>
        <v>0.1447911921</v>
      </c>
      <c r="G169" s="76">
        <f>IFERROR(__xludf.DUMMYFUNCTION("""COMPUTED_VALUE"""),5130.0)</f>
        <v>5130</v>
      </c>
      <c r="H169" s="232">
        <f>IFERROR(__xludf.DUMMYFUNCTION("""COMPUTED_VALUE"""),46143.818079282406)</f>
        <v>46143.81808</v>
      </c>
      <c r="I169" s="84">
        <f>IFERROR(__xludf.DUMMYFUNCTION("""COMPUTED_VALUE"""),46143.666465347225)</f>
        <v>46143.66647</v>
      </c>
      <c r="J169" s="76">
        <f t="shared" si="2"/>
        <v>0.1516139352</v>
      </c>
      <c r="L169" s="76">
        <f>IFERROR(__xludf.DUMMYFUNCTION("""COMPUTED_VALUE"""),5130.0)</f>
        <v>5130</v>
      </c>
      <c r="M169" s="232">
        <f>IFERROR(__xludf.DUMMYFUNCTION("""COMPUTED_VALUE"""),46144.52638888889)</f>
        <v>46144.52639</v>
      </c>
      <c r="N169" s="84">
        <f>IFERROR(__xludf.DUMMYFUNCTION("""COMPUTED_VALUE"""),46143.66654177083)</f>
        <v>46143.66654</v>
      </c>
      <c r="O169" s="76">
        <f t="shared" si="3"/>
        <v>0.8598471181</v>
      </c>
      <c r="Q169" s="76">
        <f>IFERROR(__xludf.DUMMYFUNCTION("""COMPUTED_VALUE"""),5125.0)</f>
        <v>5125</v>
      </c>
      <c r="R169" s="232">
        <f>IFERROR(__xludf.DUMMYFUNCTION("""COMPUTED_VALUE"""),46141.60833333334)</f>
        <v>46141.60833</v>
      </c>
      <c r="S169" s="84">
        <f>IFERROR(__xludf.DUMMYFUNCTION("""COMPUTED_VALUE"""),46140.43073136574)</f>
        <v>46140.43073</v>
      </c>
      <c r="T169" s="76">
        <f t="shared" si="4"/>
        <v>1.177601968</v>
      </c>
      <c r="V169" s="76">
        <f>IFERROR(__xludf.DUMMYFUNCTION("""COMPUTED_VALUE"""),5130.0)</f>
        <v>5130</v>
      </c>
      <c r="W169" s="232">
        <f>IFERROR(__xludf.DUMMYFUNCTION("""COMPUTED_VALUE"""),46146.56805555555)</f>
        <v>46146.56806</v>
      </c>
      <c r="X169" s="84">
        <f>IFERROR(__xludf.DUMMYFUNCTION("""COMPUTED_VALUE"""),46146.42504501157)</f>
        <v>46146.42505</v>
      </c>
      <c r="Y169" s="76">
        <f t="shared" si="5"/>
        <v>0.143010544</v>
      </c>
      <c r="AK169" s="232"/>
      <c r="AL169" s="233"/>
      <c r="AM169" s="173"/>
    </row>
    <row r="170">
      <c r="A170" s="76">
        <f>IFERROR(__xludf.DUMMYFUNCTION("""COMPUTED_VALUE"""),5131.0)</f>
        <v>5131</v>
      </c>
      <c r="B170" s="232">
        <f>IFERROR(__xludf.DUMMYFUNCTION("""COMPUTED_VALUE"""),46144.455555555556)</f>
        <v>46144.45556</v>
      </c>
      <c r="C170" s="84">
        <f>IFERROR(__xludf.DUMMYFUNCTION("""COMPUTED_VALUE"""),46143.77840005787)</f>
        <v>46143.7784</v>
      </c>
      <c r="D170" s="173">
        <f t="shared" si="1"/>
        <v>0.6771554977</v>
      </c>
      <c r="G170" s="76">
        <f>IFERROR(__xludf.DUMMYFUNCTION("""COMPUTED_VALUE"""),5131.0)</f>
        <v>5131</v>
      </c>
      <c r="H170" s="232">
        <f>IFERROR(__xludf.DUMMYFUNCTION("""COMPUTED_VALUE"""),46144.4625)</f>
        <v>46144.4625</v>
      </c>
      <c r="I170" s="84">
        <f>IFERROR(__xludf.DUMMYFUNCTION("""COMPUTED_VALUE"""),46143.77852409722)</f>
        <v>46143.77852</v>
      </c>
      <c r="J170" s="76">
        <f t="shared" si="2"/>
        <v>0.6839759028</v>
      </c>
      <c r="L170" s="76">
        <f>IFERROR(__xludf.DUMMYFUNCTION("""COMPUTED_VALUE"""),5131.0)</f>
        <v>5131</v>
      </c>
      <c r="M170" s="232">
        <f>IFERROR(__xludf.DUMMYFUNCTION("""COMPUTED_VALUE"""),46144.566666666666)</f>
        <v>46144.56667</v>
      </c>
      <c r="N170" s="84">
        <f>IFERROR(__xludf.DUMMYFUNCTION("""COMPUTED_VALUE"""),46143.778711493054)</f>
        <v>46143.77871</v>
      </c>
      <c r="O170" s="76">
        <f t="shared" si="3"/>
        <v>0.7879551736</v>
      </c>
      <c r="Q170" s="76">
        <f>IFERROR(__xludf.DUMMYFUNCTION("""COMPUTED_VALUE"""),5126.0)</f>
        <v>5126</v>
      </c>
      <c r="R170" s="232">
        <f>IFERROR(__xludf.DUMMYFUNCTION("""COMPUTED_VALUE"""),46141.60902777778)</f>
        <v>46141.60903</v>
      </c>
      <c r="S170" s="84">
        <f>IFERROR(__xludf.DUMMYFUNCTION("""COMPUTED_VALUE"""),46140.43074696759)</f>
        <v>46140.43075</v>
      </c>
      <c r="T170" s="76">
        <f t="shared" si="4"/>
        <v>1.17828081</v>
      </c>
      <c r="V170" s="76">
        <f>IFERROR(__xludf.DUMMYFUNCTION("""COMPUTED_VALUE"""),5131.0)</f>
        <v>5131</v>
      </c>
      <c r="W170" s="232">
        <f>IFERROR(__xludf.DUMMYFUNCTION("""COMPUTED_VALUE"""),46146.60833333333)</f>
        <v>46146.60833</v>
      </c>
      <c r="X170" s="84">
        <f>IFERROR(__xludf.DUMMYFUNCTION("""COMPUTED_VALUE"""),46146.42511489583)</f>
        <v>46146.42511</v>
      </c>
      <c r="Y170" s="76">
        <f t="shared" si="5"/>
        <v>0.1832184375</v>
      </c>
      <c r="AK170" s="232"/>
      <c r="AL170" s="233"/>
      <c r="AM170" s="173"/>
    </row>
    <row r="171">
      <c r="A171" s="76">
        <f>IFERROR(__xludf.DUMMYFUNCTION("""COMPUTED_VALUE"""),5132.0)</f>
        <v>5132</v>
      </c>
      <c r="B171" s="232">
        <f>IFERROR(__xludf.DUMMYFUNCTION("""COMPUTED_VALUE"""),46144.65639739583)</f>
        <v>46144.6564</v>
      </c>
      <c r="C171" s="84">
        <f>IFERROR(__xludf.DUMMYFUNCTION("""COMPUTED_VALUE"""),46144.57651920139)</f>
        <v>46144.57652</v>
      </c>
      <c r="D171" s="173">
        <f t="shared" si="1"/>
        <v>0.07987819444</v>
      </c>
      <c r="G171" s="76">
        <f>IFERROR(__xludf.DUMMYFUNCTION("""COMPUTED_VALUE"""),5132.0)</f>
        <v>5132</v>
      </c>
      <c r="H171" s="232">
        <f>IFERROR(__xludf.DUMMYFUNCTION("""COMPUTED_VALUE"""),46144.66334184028)</f>
        <v>46144.66334</v>
      </c>
      <c r="I171" s="84">
        <f>IFERROR(__xludf.DUMMYFUNCTION("""COMPUTED_VALUE"""),46144.57673548612)</f>
        <v>46144.57674</v>
      </c>
      <c r="J171" s="76">
        <f t="shared" si="2"/>
        <v>0.08660635416</v>
      </c>
      <c r="L171" s="76">
        <f>IFERROR(__xludf.DUMMYFUNCTION("""COMPUTED_VALUE"""),5132.0)</f>
        <v>5132</v>
      </c>
      <c r="M171" s="232">
        <f>IFERROR(__xludf.DUMMYFUNCTION("""COMPUTED_VALUE"""),46144.76750850694)</f>
        <v>46144.76751</v>
      </c>
      <c r="N171" s="84">
        <f>IFERROR(__xludf.DUMMYFUNCTION("""COMPUTED_VALUE"""),46144.57677861111)</f>
        <v>46144.57678</v>
      </c>
      <c r="O171" s="76">
        <f t="shared" si="3"/>
        <v>0.1907298958</v>
      </c>
      <c r="Q171" s="76">
        <f>IFERROR(__xludf.DUMMYFUNCTION("""COMPUTED_VALUE"""),5127.0)</f>
        <v>5127</v>
      </c>
      <c r="R171" s="232">
        <f>IFERROR(__xludf.DUMMYFUNCTION("""COMPUTED_VALUE"""),46143.80972222222)</f>
        <v>46143.80972</v>
      </c>
      <c r="S171" s="84">
        <f>IFERROR(__xludf.DUMMYFUNCTION("""COMPUTED_VALUE"""),46143.44628753472)</f>
        <v>46143.44629</v>
      </c>
      <c r="T171" s="76">
        <f t="shared" si="4"/>
        <v>0.3634346875</v>
      </c>
      <c r="V171" s="76">
        <f>IFERROR(__xludf.DUMMYFUNCTION("""COMPUTED_VALUE"""),5132.0)</f>
        <v>5132</v>
      </c>
      <c r="W171" s="232">
        <f>IFERROR(__xludf.DUMMYFUNCTION("""COMPUTED_VALUE"""),46146.809027777774)</f>
        <v>46146.80903</v>
      </c>
      <c r="X171" s="84">
        <f>IFERROR(__xludf.DUMMYFUNCTION("""COMPUTED_VALUE"""),46146.46831694445)</f>
        <v>46146.46832</v>
      </c>
      <c r="Y171" s="76">
        <f t="shared" si="5"/>
        <v>0.3407108333</v>
      </c>
      <c r="AK171" s="232"/>
      <c r="AL171" s="233"/>
      <c r="AM171" s="173"/>
    </row>
    <row r="172">
      <c r="A172" s="76">
        <f>IFERROR(__xludf.DUMMYFUNCTION("""COMPUTED_VALUE"""),5133.0)</f>
        <v>5133</v>
      </c>
      <c r="B172" s="232">
        <f>IFERROR(__xludf.DUMMYFUNCTION("""COMPUTED_VALUE"""),46144.68893819444)</f>
        <v>46144.68894</v>
      </c>
      <c r="C172" s="84">
        <f>IFERROR(__xludf.DUMMYFUNCTION("""COMPUTED_VALUE"""),46144.57635005787)</f>
        <v>46144.57635</v>
      </c>
      <c r="D172" s="173">
        <f t="shared" si="1"/>
        <v>0.1125881366</v>
      </c>
      <c r="G172" s="76">
        <f>IFERROR(__xludf.DUMMYFUNCTION("""COMPUTED_VALUE"""),5133.0)</f>
        <v>5133</v>
      </c>
      <c r="H172" s="232">
        <f>IFERROR(__xludf.DUMMYFUNCTION("""COMPUTED_VALUE"""),46144.69588263889)</f>
        <v>46144.69588</v>
      </c>
      <c r="I172" s="84">
        <f>IFERROR(__xludf.DUMMYFUNCTION("""COMPUTED_VALUE"""),46144.57659174768)</f>
        <v>46144.57659</v>
      </c>
      <c r="J172" s="76">
        <f t="shared" si="2"/>
        <v>0.1192908912</v>
      </c>
      <c r="L172" s="76">
        <f>IFERROR(__xludf.DUMMYFUNCTION("""COMPUTED_VALUE"""),5133.0)</f>
        <v>5133</v>
      </c>
      <c r="M172" s="232">
        <f>IFERROR(__xludf.DUMMYFUNCTION("""COMPUTED_VALUE"""),46144.80004930555)</f>
        <v>46144.80005</v>
      </c>
      <c r="N172" s="84">
        <f>IFERROR(__xludf.DUMMYFUNCTION("""COMPUTED_VALUE"""),46144.576673449075)</f>
        <v>46144.57667</v>
      </c>
      <c r="O172" s="76">
        <f t="shared" si="3"/>
        <v>0.2233758565</v>
      </c>
      <c r="Q172" s="76">
        <f>IFERROR(__xludf.DUMMYFUNCTION("""COMPUTED_VALUE"""),5128.0)</f>
        <v>5128</v>
      </c>
      <c r="R172" s="232">
        <f>IFERROR(__xludf.DUMMYFUNCTION("""COMPUTED_VALUE"""),46144.819444444445)</f>
        <v>46144.81944</v>
      </c>
      <c r="S172" s="84">
        <f>IFERROR(__xludf.DUMMYFUNCTION("""COMPUTED_VALUE"""),46143.61536449074)</f>
        <v>46143.61536</v>
      </c>
      <c r="T172" s="76">
        <f t="shared" si="4"/>
        <v>1.204079954</v>
      </c>
      <c r="V172" s="76">
        <f>IFERROR(__xludf.DUMMYFUNCTION("""COMPUTED_VALUE"""),5133.0)</f>
        <v>5133</v>
      </c>
      <c r="W172" s="232">
        <f>IFERROR(__xludf.DUMMYFUNCTION("""COMPUTED_VALUE"""),46147.424999999996)</f>
        <v>46147.425</v>
      </c>
      <c r="X172" s="84">
        <f>IFERROR(__xludf.DUMMYFUNCTION("""COMPUTED_VALUE"""),46144.710143344906)</f>
        <v>46144.71014</v>
      </c>
      <c r="Y172" s="76">
        <f t="shared" si="5"/>
        <v>2.714856655</v>
      </c>
      <c r="AK172" s="232"/>
      <c r="AL172" s="233"/>
      <c r="AM172" s="173"/>
    </row>
    <row r="173">
      <c r="A173" s="76">
        <f>IFERROR(__xludf.DUMMYFUNCTION("""COMPUTED_VALUE"""),5134.0)</f>
        <v>5134</v>
      </c>
      <c r="B173" s="232">
        <f>IFERROR(__xludf.DUMMYFUNCTION("""COMPUTED_VALUE"""),46144.73147572917)</f>
        <v>46144.73148</v>
      </c>
      <c r="C173" s="84">
        <f>IFERROR(__xludf.DUMMYFUNCTION("""COMPUTED_VALUE"""),46144.57693045139)</f>
        <v>46144.57693</v>
      </c>
      <c r="D173" s="173">
        <f t="shared" si="1"/>
        <v>0.1545452778</v>
      </c>
      <c r="G173" s="76">
        <f>IFERROR(__xludf.DUMMYFUNCTION("""COMPUTED_VALUE"""),5134.0)</f>
        <v>5134</v>
      </c>
      <c r="H173" s="232">
        <f>IFERROR(__xludf.DUMMYFUNCTION("""COMPUTED_VALUE"""),46144.73842017361)</f>
        <v>46144.73842</v>
      </c>
      <c r="I173" s="84">
        <f>IFERROR(__xludf.DUMMYFUNCTION("""COMPUTED_VALUE"""),46144.57697115741)</f>
        <v>46144.57697</v>
      </c>
      <c r="J173" s="76">
        <f t="shared" si="2"/>
        <v>0.1614490162</v>
      </c>
      <c r="L173" s="76">
        <f>IFERROR(__xludf.DUMMYFUNCTION("""COMPUTED_VALUE"""),5134.0)</f>
        <v>5134</v>
      </c>
      <c r="M173" s="232">
        <f>IFERROR(__xludf.DUMMYFUNCTION("""COMPUTED_VALUE"""),46146.44652777778)</f>
        <v>46146.44653</v>
      </c>
      <c r="N173" s="84">
        <f>IFERROR(__xludf.DUMMYFUNCTION("""COMPUTED_VALUE"""),46144.57707326389)</f>
        <v>46144.57707</v>
      </c>
      <c r="O173" s="76">
        <f t="shared" si="3"/>
        <v>1.869454514</v>
      </c>
      <c r="Q173" s="76">
        <f>IFERROR(__xludf.DUMMYFUNCTION("""COMPUTED_VALUE"""),5129.0)</f>
        <v>5129</v>
      </c>
      <c r="R173" s="232">
        <f>IFERROR(__xludf.DUMMYFUNCTION("""COMPUTED_VALUE"""),46146.49652777778)</f>
        <v>46146.49653</v>
      </c>
      <c r="S173" s="84">
        <f>IFERROR(__xludf.DUMMYFUNCTION("""COMPUTED_VALUE"""),46143.61542028935)</f>
        <v>46143.61542</v>
      </c>
      <c r="T173" s="76">
        <f t="shared" si="4"/>
        <v>2.881107488</v>
      </c>
      <c r="V173" s="76">
        <f>IFERROR(__xludf.DUMMYFUNCTION("""COMPUTED_VALUE"""),5134.0)</f>
        <v>5134</v>
      </c>
      <c r="W173" s="232">
        <f>IFERROR(__xludf.DUMMYFUNCTION("""COMPUTED_VALUE"""),46147.48819444444)</f>
        <v>46147.48819</v>
      </c>
      <c r="X173" s="84">
        <f>IFERROR(__xludf.DUMMYFUNCTION("""COMPUTED_VALUE"""),46144.71497850695)</f>
        <v>46144.71498</v>
      </c>
      <c r="Y173" s="76">
        <f t="shared" si="5"/>
        <v>2.773215937</v>
      </c>
      <c r="AK173" s="232"/>
      <c r="AL173" s="233"/>
      <c r="AM173" s="173"/>
    </row>
    <row r="174">
      <c r="A174" s="76">
        <f>IFERROR(__xludf.DUMMYFUNCTION("""COMPUTED_VALUE"""),5135.0)</f>
        <v>5135</v>
      </c>
      <c r="B174" s="232">
        <f>IFERROR(__xludf.DUMMYFUNCTION("""COMPUTED_VALUE"""),46146.805182847216)</f>
        <v>46146.80518</v>
      </c>
      <c r="C174" s="84">
        <f>IFERROR(__xludf.DUMMYFUNCTION("""COMPUTED_VALUE"""),46146.646682997685)</f>
        <v>46146.64668</v>
      </c>
      <c r="D174" s="173">
        <f t="shared" si="1"/>
        <v>0.1584998495</v>
      </c>
      <c r="G174" s="76">
        <f>IFERROR(__xludf.DUMMYFUNCTION("""COMPUTED_VALUE"""),5135.0)</f>
        <v>5135</v>
      </c>
      <c r="H174" s="232">
        <f>IFERROR(__xludf.DUMMYFUNCTION("""COMPUTED_VALUE"""),46146.81212729166)</f>
        <v>46146.81213</v>
      </c>
      <c r="I174" s="84">
        <f>IFERROR(__xludf.DUMMYFUNCTION("""COMPUTED_VALUE"""),46146.64671240741)</f>
        <v>46146.64671</v>
      </c>
      <c r="J174" s="76">
        <f t="shared" si="2"/>
        <v>0.1654148842</v>
      </c>
      <c r="L174" s="76">
        <f>IFERROR(__xludf.DUMMYFUNCTION("""COMPUTED_VALUE"""),5135.0)</f>
        <v>5135</v>
      </c>
      <c r="M174" s="232">
        <f>IFERROR(__xludf.DUMMYFUNCTION("""COMPUTED_VALUE"""),46147.478472222225)</f>
        <v>46147.47847</v>
      </c>
      <c r="N174" s="84">
        <f>IFERROR(__xludf.DUMMYFUNCTION("""COMPUTED_VALUE"""),46146.65496550926)</f>
        <v>46146.65497</v>
      </c>
      <c r="O174" s="76">
        <f t="shared" si="3"/>
        <v>0.823506713</v>
      </c>
      <c r="Q174" s="76">
        <f>IFERROR(__xludf.DUMMYFUNCTION("""COMPUTED_VALUE"""),5130.0)</f>
        <v>5130</v>
      </c>
      <c r="R174" s="232">
        <f>IFERROR(__xludf.DUMMYFUNCTION("""COMPUTED_VALUE"""),46146.52638888889)</f>
        <v>46146.52639</v>
      </c>
      <c r="S174" s="84">
        <f>IFERROR(__xludf.DUMMYFUNCTION("""COMPUTED_VALUE"""),46143.802529849534)</f>
        <v>46143.80253</v>
      </c>
      <c r="T174" s="76">
        <f t="shared" si="4"/>
        <v>2.723859039</v>
      </c>
      <c r="V174" s="76">
        <f>IFERROR(__xludf.DUMMYFUNCTION("""COMPUTED_VALUE"""),5135.0)</f>
        <v>5135</v>
      </c>
      <c r="W174" s="232">
        <f>IFERROR(__xludf.DUMMYFUNCTION("""COMPUTED_VALUE"""),46148.52013888889)</f>
        <v>46148.52014</v>
      </c>
      <c r="X174" s="84">
        <f>IFERROR(__xludf.DUMMYFUNCTION("""COMPUTED_VALUE"""),46146.66448181713)</f>
        <v>46146.66448</v>
      </c>
      <c r="Y174" s="76">
        <f t="shared" si="5"/>
        <v>1.855657072</v>
      </c>
      <c r="AK174" s="232"/>
      <c r="AL174" s="233"/>
      <c r="AM174" s="173"/>
    </row>
    <row r="175">
      <c r="A175" s="76">
        <f>IFERROR(__xludf.DUMMYFUNCTION("""COMPUTED_VALUE"""),5136.0)</f>
        <v>5136</v>
      </c>
      <c r="B175" s="232">
        <f>IFERROR(__xludf.DUMMYFUNCTION("""COMPUTED_VALUE"""),46147.43819444444)</f>
        <v>46147.43819</v>
      </c>
      <c r="C175" s="84">
        <f>IFERROR(__xludf.DUMMYFUNCTION("""COMPUTED_VALUE"""),46146.71610637732)</f>
        <v>46146.71611</v>
      </c>
      <c r="D175" s="173">
        <f t="shared" si="1"/>
        <v>0.7220880671</v>
      </c>
      <c r="G175" s="76">
        <f>IFERROR(__xludf.DUMMYFUNCTION("""COMPUTED_VALUE"""),5136.0)</f>
        <v>5136</v>
      </c>
      <c r="H175" s="232">
        <f>IFERROR(__xludf.DUMMYFUNCTION("""COMPUTED_VALUE"""),46147.445138888885)</f>
        <v>46147.44514</v>
      </c>
      <c r="I175" s="84">
        <f>IFERROR(__xludf.DUMMYFUNCTION("""COMPUTED_VALUE"""),46146.71616011574)</f>
        <v>46146.71616</v>
      </c>
      <c r="J175" s="76">
        <f t="shared" si="2"/>
        <v>0.7289787731</v>
      </c>
      <c r="L175" s="76">
        <f>IFERROR(__xludf.DUMMYFUNCTION("""COMPUTED_VALUE"""),5136.0)</f>
        <v>5136</v>
      </c>
      <c r="M175" s="232">
        <f>IFERROR(__xludf.DUMMYFUNCTION("""COMPUTED_VALUE"""),46147.54930555555)</f>
        <v>46147.54931</v>
      </c>
      <c r="N175" s="84">
        <f>IFERROR(__xludf.DUMMYFUNCTION("""COMPUTED_VALUE"""),46146.71602716435)</f>
        <v>46146.71603</v>
      </c>
      <c r="O175" s="76">
        <f t="shared" si="3"/>
        <v>0.8332783912</v>
      </c>
      <c r="Q175" s="76">
        <f>IFERROR(__xludf.DUMMYFUNCTION("""COMPUTED_VALUE"""),5131.0)</f>
        <v>5131</v>
      </c>
      <c r="R175" s="232">
        <f>IFERROR(__xludf.DUMMYFUNCTION("""COMPUTED_VALUE"""),46146.566666666666)</f>
        <v>46146.56667</v>
      </c>
      <c r="S175" s="84">
        <f>IFERROR(__xludf.DUMMYFUNCTION("""COMPUTED_VALUE"""),46144.61231201389)</f>
        <v>46144.61231</v>
      </c>
      <c r="T175" s="76">
        <f t="shared" si="4"/>
        <v>1.954354653</v>
      </c>
      <c r="V175" s="76">
        <f>IFERROR(__xludf.DUMMYFUNCTION("""COMPUTED_VALUE"""),5136.0)</f>
        <v>5136</v>
      </c>
      <c r="W175" s="232">
        <f>IFERROR(__xludf.DUMMYFUNCTION("""COMPUTED_VALUE"""),46148.59097222222)</f>
        <v>46148.59097</v>
      </c>
      <c r="X175" s="84">
        <f>IFERROR(__xludf.DUMMYFUNCTION("""COMPUTED_VALUE"""),46146.75045133102)</f>
        <v>46146.75045</v>
      </c>
      <c r="Y175" s="76">
        <f t="shared" si="5"/>
        <v>1.840520891</v>
      </c>
      <c r="AK175" s="232"/>
      <c r="AL175" s="233"/>
      <c r="AM175" s="173"/>
    </row>
    <row r="176">
      <c r="A176" s="76">
        <f>IFERROR(__xludf.DUMMYFUNCTION("""COMPUTED_VALUE"""),5137.0)</f>
        <v>5137</v>
      </c>
      <c r="B176" s="232">
        <f>IFERROR(__xludf.DUMMYFUNCTION("""COMPUTED_VALUE"""),46147.46805555556)</f>
        <v>46147.46806</v>
      </c>
      <c r="C176" s="84">
        <f>IFERROR(__xludf.DUMMYFUNCTION("""COMPUTED_VALUE"""),46146.75003333333)</f>
        <v>46146.75003</v>
      </c>
      <c r="D176" s="173">
        <f t="shared" si="1"/>
        <v>0.7180222222</v>
      </c>
      <c r="G176" s="76">
        <f>IFERROR(__xludf.DUMMYFUNCTION("""COMPUTED_VALUE"""),5137.0)</f>
        <v>5137</v>
      </c>
      <c r="H176" s="232">
        <f>IFERROR(__xludf.DUMMYFUNCTION("""COMPUTED_VALUE"""),46147.475000000006)</f>
        <v>46147.475</v>
      </c>
      <c r="I176" s="84">
        <f>IFERROR(__xludf.DUMMYFUNCTION("""COMPUTED_VALUE"""),46146.75009994213)</f>
        <v>46146.7501</v>
      </c>
      <c r="J176" s="76">
        <f t="shared" si="2"/>
        <v>0.7249000579</v>
      </c>
      <c r="L176" s="76">
        <f>IFERROR(__xludf.DUMMYFUNCTION("""COMPUTED_VALUE"""),5137.0)</f>
        <v>5137</v>
      </c>
      <c r="M176" s="232">
        <f>IFERROR(__xludf.DUMMYFUNCTION("""COMPUTED_VALUE"""),46147.57916666667)</f>
        <v>46147.57917</v>
      </c>
      <c r="N176" s="84">
        <f>IFERROR(__xludf.DUMMYFUNCTION("""COMPUTED_VALUE"""),46146.75016163195)</f>
        <v>46146.75016</v>
      </c>
      <c r="O176" s="76">
        <f t="shared" si="3"/>
        <v>0.8290050347</v>
      </c>
      <c r="Q176" s="76">
        <f>IFERROR(__xludf.DUMMYFUNCTION("""COMPUTED_VALUE"""),5132.0)</f>
        <v>5132</v>
      </c>
      <c r="R176" s="232">
        <f>IFERROR(__xludf.DUMMYFUNCTION("""COMPUTED_VALUE"""),46146.76736111111)</f>
        <v>46146.76736</v>
      </c>
      <c r="S176" s="84">
        <f>IFERROR(__xludf.DUMMYFUNCTION("""COMPUTED_VALUE"""),46144.61238359954)</f>
        <v>46144.61238</v>
      </c>
      <c r="T176" s="76">
        <f t="shared" si="4"/>
        <v>2.154977512</v>
      </c>
      <c r="V176" s="76">
        <f>IFERROR(__xludf.DUMMYFUNCTION("""COMPUTED_VALUE"""),5137.0)</f>
        <v>5137</v>
      </c>
      <c r="W176" s="232">
        <f>IFERROR(__xludf.DUMMYFUNCTION("""COMPUTED_VALUE"""),46148.62083333333)</f>
        <v>46148.62083</v>
      </c>
      <c r="X176" s="84">
        <f>IFERROR(__xludf.DUMMYFUNCTION("""COMPUTED_VALUE"""),46146.758682581014)</f>
        <v>46146.75868</v>
      </c>
      <c r="Y176" s="76">
        <f t="shared" si="5"/>
        <v>1.862150752</v>
      </c>
      <c r="AK176" s="232"/>
      <c r="AL176" s="233"/>
      <c r="AM176" s="173"/>
    </row>
    <row r="177">
      <c r="A177" s="76">
        <f>IFERROR(__xludf.DUMMYFUNCTION("""COMPUTED_VALUE"""),5138.0)</f>
        <v>5138</v>
      </c>
      <c r="B177" s="232">
        <f>IFERROR(__xludf.DUMMYFUNCTION("""COMPUTED_VALUE"""),46147.64866767361)</f>
        <v>46147.64867</v>
      </c>
      <c r="C177" s="84">
        <f>IFERROR(__xludf.DUMMYFUNCTION("""COMPUTED_VALUE"""),46147.494600034726)</f>
        <v>46147.4946</v>
      </c>
      <c r="D177" s="173">
        <f t="shared" si="1"/>
        <v>0.1540676389</v>
      </c>
      <c r="G177" s="76">
        <f>IFERROR(__xludf.DUMMYFUNCTION("""COMPUTED_VALUE"""),5138.0)</f>
        <v>5138</v>
      </c>
      <c r="H177" s="232">
        <f>IFERROR(__xludf.DUMMYFUNCTION("""COMPUTED_VALUE"""),46147.655612118055)</f>
        <v>46147.65561</v>
      </c>
      <c r="I177" s="84">
        <f>IFERROR(__xludf.DUMMYFUNCTION("""COMPUTED_VALUE"""),46147.4946566088)</f>
        <v>46147.49466</v>
      </c>
      <c r="J177" s="76">
        <f t="shared" si="2"/>
        <v>0.1609555093</v>
      </c>
      <c r="L177" s="76">
        <f>IFERROR(__xludf.DUMMYFUNCTION("""COMPUTED_VALUE"""),5138.0)</f>
        <v>5138</v>
      </c>
      <c r="M177" s="232">
        <f>IFERROR(__xludf.DUMMYFUNCTION("""COMPUTED_VALUE"""),46147.75977878472)</f>
        <v>46147.75978</v>
      </c>
      <c r="N177" s="84">
        <f>IFERROR(__xludf.DUMMYFUNCTION("""COMPUTED_VALUE"""),46147.50832601852)</f>
        <v>46147.50833</v>
      </c>
      <c r="O177" s="76">
        <f t="shared" si="3"/>
        <v>0.2514527662</v>
      </c>
      <c r="Q177" s="76">
        <f>IFERROR(__xludf.DUMMYFUNCTION("""COMPUTED_VALUE"""),5133.0)</f>
        <v>5133</v>
      </c>
      <c r="R177" s="232">
        <f>IFERROR(__xludf.DUMMYFUNCTION("""COMPUTED_VALUE"""),46146.799999999996)</f>
        <v>46146.8</v>
      </c>
      <c r="S177" s="84">
        <f>IFERROR(__xludf.DUMMYFUNCTION("""COMPUTED_VALUE"""),46144.6124194213)</f>
        <v>46144.61242</v>
      </c>
      <c r="T177" s="76">
        <f t="shared" si="4"/>
        <v>2.187580579</v>
      </c>
      <c r="V177" s="76">
        <f>IFERROR(__xludf.DUMMYFUNCTION("""COMPUTED_VALUE"""),5138.0)</f>
        <v>5138</v>
      </c>
      <c r="W177" s="232">
        <f>IFERROR(__xludf.DUMMYFUNCTION("""COMPUTED_VALUE"""),46148.80138888889)</f>
        <v>46148.80139</v>
      </c>
      <c r="X177" s="84">
        <f>IFERROR(__xludf.DUMMYFUNCTION("""COMPUTED_VALUE"""),46147.5603924537)</f>
        <v>46147.56039</v>
      </c>
      <c r="Y177" s="76">
        <f t="shared" si="5"/>
        <v>1.240996435</v>
      </c>
      <c r="AK177" s="232"/>
      <c r="AL177" s="233"/>
      <c r="AM177" s="173"/>
    </row>
    <row r="178">
      <c r="A178" s="76">
        <f>IFERROR(__xludf.DUMMYFUNCTION("""COMPUTED_VALUE"""),5139.0)</f>
        <v>5139</v>
      </c>
      <c r="B178" s="232">
        <f>IFERROR(__xludf.DUMMYFUNCTION("""COMPUTED_VALUE"""),46148.722193194444)</f>
        <v>46148.72219</v>
      </c>
      <c r="C178" s="84">
        <f>IFERROR(__xludf.DUMMYFUNCTION("""COMPUTED_VALUE"""),46148.63930930555)</f>
        <v>46148.63931</v>
      </c>
      <c r="D178" s="173">
        <f t="shared" si="1"/>
        <v>0.08288388889</v>
      </c>
      <c r="G178" s="76">
        <f>IFERROR(__xludf.DUMMYFUNCTION("""COMPUTED_VALUE"""),5139.0)</f>
        <v>5139</v>
      </c>
      <c r="H178" s="232">
        <f>IFERROR(__xludf.DUMMYFUNCTION("""COMPUTED_VALUE"""),46148.72913763889)</f>
        <v>46148.72914</v>
      </c>
      <c r="I178" s="84">
        <f>IFERROR(__xludf.DUMMYFUNCTION("""COMPUTED_VALUE"""),46148.63942479166)</f>
        <v>46148.63942</v>
      </c>
      <c r="J178" s="76">
        <f t="shared" si="2"/>
        <v>0.08971284723</v>
      </c>
      <c r="L178" s="76">
        <f>IFERROR(__xludf.DUMMYFUNCTION("""COMPUTED_VALUE"""),5139.0)</f>
        <v>5139</v>
      </c>
      <c r="M178" s="232">
        <f>IFERROR(__xludf.DUMMYFUNCTION("""COMPUTED_VALUE"""),46148.83330430555)</f>
        <v>46148.8333</v>
      </c>
      <c r="N178" s="84">
        <f>IFERROR(__xludf.DUMMYFUNCTION("""COMPUTED_VALUE"""),46148.639481666665)</f>
        <v>46148.63948</v>
      </c>
      <c r="O178" s="76">
        <f t="shared" si="3"/>
        <v>0.1938226389</v>
      </c>
      <c r="Q178" s="76">
        <f>IFERROR(__xludf.DUMMYFUNCTION("""COMPUTED_VALUE"""),5134.0)</f>
        <v>5134</v>
      </c>
      <c r="R178" s="232">
        <f>IFERROR(__xludf.DUMMYFUNCTION("""COMPUTED_VALUE"""),46147.44652777778)</f>
        <v>46147.44653</v>
      </c>
      <c r="S178" s="84">
        <f>IFERROR(__xludf.DUMMYFUNCTION("""COMPUTED_VALUE"""),46144.612449328706)</f>
        <v>46144.61245</v>
      </c>
      <c r="T178" s="76">
        <f t="shared" si="4"/>
        <v>2.834078449</v>
      </c>
      <c r="V178" s="76">
        <f>IFERROR(__xludf.DUMMYFUNCTION("""COMPUTED_VALUE"""),5139.0)</f>
        <v>5139</v>
      </c>
      <c r="W178" s="232">
        <f>IFERROR(__xludf.DUMMYFUNCTION("""COMPUTED_VALUE"""),46150.45763888889)</f>
        <v>46150.45764</v>
      </c>
      <c r="X178" s="84">
        <f>IFERROR(__xludf.DUMMYFUNCTION("""COMPUTED_VALUE"""),46150.41437233797)</f>
        <v>46150.41437</v>
      </c>
      <c r="Y178" s="76">
        <f t="shared" si="5"/>
        <v>0.04326655092</v>
      </c>
      <c r="AK178" s="232"/>
      <c r="AL178" s="233"/>
      <c r="AM178" s="173"/>
    </row>
    <row r="179">
      <c r="A179" s="76">
        <f>IFERROR(__xludf.DUMMYFUNCTION("""COMPUTED_VALUE"""),5140.0)</f>
        <v>5140</v>
      </c>
      <c r="B179" s="232">
        <f>IFERROR(__xludf.DUMMYFUNCTION("""COMPUTED_VALUE"""),46149.450694444444)</f>
        <v>46149.45069</v>
      </c>
      <c r="C179" s="84">
        <f>IFERROR(__xludf.DUMMYFUNCTION("""COMPUTED_VALUE"""),46148.720070104166)</f>
        <v>46148.72007</v>
      </c>
      <c r="D179" s="173">
        <f t="shared" si="1"/>
        <v>0.7306243403</v>
      </c>
      <c r="G179" s="76">
        <f>IFERROR(__xludf.DUMMYFUNCTION("""COMPUTED_VALUE"""),5140.0)</f>
        <v>5140</v>
      </c>
      <c r="H179" s="232">
        <f>IFERROR(__xludf.DUMMYFUNCTION("""COMPUTED_VALUE"""),46149.45763888889)</f>
        <v>46149.45764</v>
      </c>
      <c r="I179" s="84">
        <f>IFERROR(__xludf.DUMMYFUNCTION("""COMPUTED_VALUE"""),46148.72016142361)</f>
        <v>46148.72016</v>
      </c>
      <c r="J179" s="76">
        <f t="shared" si="2"/>
        <v>0.7374774653</v>
      </c>
      <c r="L179" s="76">
        <f>IFERROR(__xludf.DUMMYFUNCTION("""COMPUTED_VALUE"""),5140.0)</f>
        <v>5140</v>
      </c>
      <c r="M179" s="232">
        <f>IFERROR(__xludf.DUMMYFUNCTION("""COMPUTED_VALUE"""),46149.56180555555)</f>
        <v>46149.56181</v>
      </c>
      <c r="N179" s="84">
        <f>IFERROR(__xludf.DUMMYFUNCTION("""COMPUTED_VALUE"""),46148.76812836806)</f>
        <v>46148.76813</v>
      </c>
      <c r="O179" s="76">
        <f t="shared" si="3"/>
        <v>0.7936771875</v>
      </c>
      <c r="Q179" s="76">
        <f>IFERROR(__xludf.DUMMYFUNCTION("""COMPUTED_VALUE"""),5135.0)</f>
        <v>5135</v>
      </c>
      <c r="R179" s="232">
        <f>IFERROR(__xludf.DUMMYFUNCTION("""COMPUTED_VALUE"""),46148.478472222225)</f>
        <v>46148.47847</v>
      </c>
      <c r="S179" s="84">
        <f>IFERROR(__xludf.DUMMYFUNCTION("""COMPUTED_VALUE"""),46146.664448738426)</f>
        <v>46146.66445</v>
      </c>
      <c r="T179" s="76">
        <f t="shared" si="4"/>
        <v>1.814023484</v>
      </c>
      <c r="V179" s="76">
        <f>IFERROR(__xludf.DUMMYFUNCTION("""COMPUTED_VALUE"""),5140.0)</f>
        <v>5140</v>
      </c>
      <c r="W179" s="232">
        <f>IFERROR(__xludf.DUMMYFUNCTION("""COMPUTED_VALUE"""),46150.60347222222)</f>
        <v>46150.60347</v>
      </c>
      <c r="X179" s="84">
        <f>IFERROR(__xludf.DUMMYFUNCTION("""COMPUTED_VALUE"""),46148.78011685185)</f>
        <v>46148.78012</v>
      </c>
      <c r="Y179" s="76">
        <f t="shared" si="5"/>
        <v>1.82335537</v>
      </c>
      <c r="AK179" s="232"/>
      <c r="AL179" s="233"/>
      <c r="AM179" s="173"/>
    </row>
    <row r="180">
      <c r="A180" s="76">
        <f>IFERROR(__xludf.DUMMYFUNCTION("""COMPUTED_VALUE"""),5141.0)</f>
        <v>5141</v>
      </c>
      <c r="B180" s="232">
        <f>IFERROR(__xludf.DUMMYFUNCTION("""COMPUTED_VALUE"""),46150.42222222222)</f>
        <v>46150.42222</v>
      </c>
      <c r="C180" s="84">
        <f>IFERROR(__xludf.DUMMYFUNCTION("""COMPUTED_VALUE"""),46149.944227581014)</f>
        <v>46149.94423</v>
      </c>
      <c r="D180" s="173">
        <f t="shared" si="1"/>
        <v>0.4779946412</v>
      </c>
      <c r="G180" s="76">
        <f>IFERROR(__xludf.DUMMYFUNCTION("""COMPUTED_VALUE"""),5141.0)</f>
        <v>5141</v>
      </c>
      <c r="H180" s="232">
        <f>IFERROR(__xludf.DUMMYFUNCTION("""COMPUTED_VALUE"""),46150.42916666667)</f>
        <v>46150.42917</v>
      </c>
      <c r="I180" s="84">
        <f>IFERROR(__xludf.DUMMYFUNCTION("""COMPUTED_VALUE"""),46149.94462204861)</f>
        <v>46149.94462</v>
      </c>
      <c r="J180" s="76">
        <f t="shared" si="2"/>
        <v>0.4845446181</v>
      </c>
      <c r="L180" s="76">
        <f>IFERROR(__xludf.DUMMYFUNCTION("""COMPUTED_VALUE"""),5141.0)</f>
        <v>5141</v>
      </c>
      <c r="M180" s="232">
        <f>IFERROR(__xludf.DUMMYFUNCTION("""COMPUTED_VALUE"""),46150.53333333333)</f>
        <v>46150.53333</v>
      </c>
      <c r="N180" s="84">
        <f>IFERROR(__xludf.DUMMYFUNCTION("""COMPUTED_VALUE"""),46150.47943765046)</f>
        <v>46150.47944</v>
      </c>
      <c r="O180" s="76">
        <f t="shared" si="3"/>
        <v>0.05389568288</v>
      </c>
      <c r="Q180" s="76">
        <f>IFERROR(__xludf.DUMMYFUNCTION("""COMPUTED_VALUE"""),5136.0)</f>
        <v>5136</v>
      </c>
      <c r="R180" s="232">
        <f>IFERROR(__xludf.DUMMYFUNCTION("""COMPUTED_VALUE"""),46148.549305555556)</f>
        <v>46148.54931</v>
      </c>
      <c r="S180" s="84">
        <f>IFERROR(__xludf.DUMMYFUNCTION("""COMPUTED_VALUE"""),46146.750244062496)</f>
        <v>46146.75024</v>
      </c>
      <c r="T180" s="76">
        <f t="shared" si="4"/>
        <v>1.799061493</v>
      </c>
      <c r="V180" s="76">
        <f>IFERROR(__xludf.DUMMYFUNCTION("""COMPUTED_VALUE"""),5141.0)</f>
        <v>5141</v>
      </c>
      <c r="W180" s="232">
        <f>IFERROR(__xludf.DUMMYFUNCTION("""COMPUTED_VALUE"""),46151.575)</f>
        <v>46151.575</v>
      </c>
      <c r="X180" s="84">
        <f>IFERROR(__xludf.DUMMYFUNCTION("""COMPUTED_VALUE"""),46150.47956375)</f>
        <v>46150.47956</v>
      </c>
      <c r="Y180" s="76">
        <f t="shared" si="5"/>
        <v>1.09543625</v>
      </c>
      <c r="AK180" s="232"/>
      <c r="AL180" s="233"/>
      <c r="AM180" s="173"/>
    </row>
    <row r="181">
      <c r="A181" s="76">
        <f>IFERROR(__xludf.DUMMYFUNCTION("""COMPUTED_VALUE"""),5142.0)</f>
        <v>5142</v>
      </c>
      <c r="B181" s="232">
        <f>IFERROR(__xludf.DUMMYFUNCTION("""COMPUTED_VALUE"""),46150.45277777778)</f>
        <v>46150.45278</v>
      </c>
      <c r="C181" s="84">
        <f>IFERROR(__xludf.DUMMYFUNCTION("""COMPUTED_VALUE"""),46149.94425422454)</f>
        <v>46149.94425</v>
      </c>
      <c r="D181" s="173">
        <f t="shared" si="1"/>
        <v>0.5085235532</v>
      </c>
      <c r="G181" s="76">
        <f>IFERROR(__xludf.DUMMYFUNCTION("""COMPUTED_VALUE"""),5142.0)</f>
        <v>5142</v>
      </c>
      <c r="H181" s="232">
        <f>IFERROR(__xludf.DUMMYFUNCTION("""COMPUTED_VALUE"""),46150.45972222222)</f>
        <v>46150.45972</v>
      </c>
      <c r="I181" s="84">
        <f>IFERROR(__xludf.DUMMYFUNCTION("""COMPUTED_VALUE"""),46149.94466574074)</f>
        <v>46149.94467</v>
      </c>
      <c r="J181" s="76">
        <f t="shared" si="2"/>
        <v>0.5150564815</v>
      </c>
      <c r="L181" s="76">
        <f>IFERROR(__xludf.DUMMYFUNCTION("""COMPUTED_VALUE"""),5142.0)</f>
        <v>5142</v>
      </c>
      <c r="M181" s="232">
        <f>IFERROR(__xludf.DUMMYFUNCTION("""COMPUTED_VALUE"""),46150.563888888886)</f>
        <v>46150.56389</v>
      </c>
      <c r="N181" s="84">
        <f>IFERROR(__xludf.DUMMYFUNCTION("""COMPUTED_VALUE"""),46150.47945788194)</f>
        <v>46150.47946</v>
      </c>
      <c r="O181" s="76">
        <f t="shared" si="3"/>
        <v>0.08443100694</v>
      </c>
      <c r="Q181" s="76">
        <f>IFERROR(__xludf.DUMMYFUNCTION("""COMPUTED_VALUE"""),5137.0)</f>
        <v>5137</v>
      </c>
      <c r="R181" s="232">
        <f>IFERROR(__xludf.DUMMYFUNCTION("""COMPUTED_VALUE"""),46148.57916666666)</f>
        <v>46148.57917</v>
      </c>
      <c r="S181" s="84">
        <f>IFERROR(__xludf.DUMMYFUNCTION("""COMPUTED_VALUE"""),46146.75032684028)</f>
        <v>46146.75033</v>
      </c>
      <c r="T181" s="76">
        <f t="shared" si="4"/>
        <v>1.828839826</v>
      </c>
      <c r="V181" s="76">
        <f>IFERROR(__xludf.DUMMYFUNCTION("""COMPUTED_VALUE"""),5142.0)</f>
        <v>5142</v>
      </c>
      <c r="W181" s="232">
        <f>IFERROR(__xludf.DUMMYFUNCTION("""COMPUTED_VALUE"""),46151.60555555555)</f>
        <v>46151.60556</v>
      </c>
      <c r="X181" s="84">
        <f>IFERROR(__xludf.DUMMYFUNCTION("""COMPUTED_VALUE"""),46150.4795850463)</f>
        <v>46150.47959</v>
      </c>
      <c r="Y181" s="76">
        <f t="shared" si="5"/>
        <v>1.125970509</v>
      </c>
      <c r="AK181" s="232"/>
      <c r="AL181" s="233"/>
      <c r="AM181" s="173"/>
    </row>
    <row r="182">
      <c r="A182" s="76">
        <f>IFERROR(__xludf.DUMMYFUNCTION("""COMPUTED_VALUE"""),5143.0)</f>
        <v>5143</v>
      </c>
      <c r="B182" s="232">
        <f>IFERROR(__xludf.DUMMYFUNCTION("""COMPUTED_VALUE"""),46151.48611111112)</f>
        <v>46151.48611</v>
      </c>
      <c r="C182" s="84">
        <f>IFERROR(__xludf.DUMMYFUNCTION("""COMPUTED_VALUE"""),46151.45458355324)</f>
        <v>46151.45458</v>
      </c>
      <c r="D182" s="173">
        <f t="shared" si="1"/>
        <v>0.03152755788</v>
      </c>
      <c r="G182" s="76">
        <f>IFERROR(__xludf.DUMMYFUNCTION("""COMPUTED_VALUE"""),5143.0)</f>
        <v>5143</v>
      </c>
      <c r="H182" s="232">
        <f>IFERROR(__xludf.DUMMYFUNCTION("""COMPUTED_VALUE"""),46151.49305555556)</f>
        <v>46151.49306</v>
      </c>
      <c r="I182" s="84">
        <f>IFERROR(__xludf.DUMMYFUNCTION("""COMPUTED_VALUE"""),46151.45465157407)</f>
        <v>46151.45465</v>
      </c>
      <c r="J182" s="76">
        <f t="shared" si="2"/>
        <v>0.03840398149</v>
      </c>
      <c r="L182" s="76">
        <f>IFERROR(__xludf.DUMMYFUNCTION("""COMPUTED_VALUE"""),5143.0)</f>
        <v>5143</v>
      </c>
      <c r="M182" s="232">
        <f>IFERROR(__xludf.DUMMYFUNCTION("""COMPUTED_VALUE"""),46151.597222222226)</f>
        <v>46151.59722</v>
      </c>
      <c r="N182" s="84">
        <f>IFERROR(__xludf.DUMMYFUNCTION("""COMPUTED_VALUE"""),46151.45468303241)</f>
        <v>46151.45468</v>
      </c>
      <c r="O182" s="76">
        <f t="shared" si="3"/>
        <v>0.1425391898</v>
      </c>
      <c r="Q182" s="76">
        <f>IFERROR(__xludf.DUMMYFUNCTION("""COMPUTED_VALUE"""),5138.0)</f>
        <v>5138</v>
      </c>
      <c r="R182" s="232">
        <f>IFERROR(__xludf.DUMMYFUNCTION("""COMPUTED_VALUE"""),46148.759722222225)</f>
        <v>46148.75972</v>
      </c>
      <c r="S182" s="84">
        <f>IFERROR(__xludf.DUMMYFUNCTION("""COMPUTED_VALUE"""),46147.560338738425)</f>
        <v>46147.56034</v>
      </c>
      <c r="T182" s="76">
        <f t="shared" si="4"/>
        <v>1.199383484</v>
      </c>
      <c r="V182" s="76">
        <f>IFERROR(__xludf.DUMMYFUNCTION("""COMPUTED_VALUE"""),5143.0)</f>
        <v>5143</v>
      </c>
      <c r="W182" s="232">
        <f>IFERROR(__xludf.DUMMYFUNCTION("""COMPUTED_VALUE"""),46153.63888888889)</f>
        <v>46153.63889</v>
      </c>
      <c r="X182" s="84">
        <f>IFERROR(__xludf.DUMMYFUNCTION("""COMPUTED_VALUE"""),46151.52275831018)</f>
        <v>46151.52276</v>
      </c>
      <c r="Y182" s="76">
        <f t="shared" si="5"/>
        <v>2.116130579</v>
      </c>
      <c r="AK182" s="232"/>
      <c r="AL182" s="233"/>
      <c r="AM182" s="173"/>
    </row>
    <row r="183">
      <c r="A183" s="76">
        <f>IFERROR(__xludf.DUMMYFUNCTION("""COMPUTED_VALUE"""),5144.0)</f>
        <v>5144</v>
      </c>
      <c r="B183" s="232">
        <f>IFERROR(__xludf.DUMMYFUNCTION("""COMPUTED_VALUE"""),46151.486805555556)</f>
        <v>46151.48681</v>
      </c>
      <c r="C183" s="84">
        <f>IFERROR(__xludf.DUMMYFUNCTION("""COMPUTED_VALUE"""),46151.45458355324)</f>
        <v>46151.45458</v>
      </c>
      <c r="D183" s="173">
        <f t="shared" si="1"/>
        <v>0.03222200232</v>
      </c>
      <c r="G183" s="76">
        <f>IFERROR(__xludf.DUMMYFUNCTION("""COMPUTED_VALUE"""),5144.0)</f>
        <v>5144</v>
      </c>
      <c r="H183" s="232">
        <f>IFERROR(__xludf.DUMMYFUNCTION("""COMPUTED_VALUE"""),46151.49375)</f>
        <v>46151.49375</v>
      </c>
      <c r="I183" s="84">
        <f>IFERROR(__xludf.DUMMYFUNCTION("""COMPUTED_VALUE"""),46151.499323125)</f>
        <v>46151.49932</v>
      </c>
      <c r="J183" s="76">
        <f t="shared" si="2"/>
        <v>-0.005573124996</v>
      </c>
      <c r="L183" s="76">
        <f>IFERROR(__xludf.DUMMYFUNCTION("""COMPUTED_VALUE"""),5144.0)</f>
        <v>5144</v>
      </c>
      <c r="M183" s="232">
        <f>IFERROR(__xludf.DUMMYFUNCTION("""COMPUTED_VALUE"""),46151.597916666666)</f>
        <v>46151.59792</v>
      </c>
      <c r="N183" s="84">
        <f>IFERROR(__xludf.DUMMYFUNCTION("""COMPUTED_VALUE"""),46151.499323125)</f>
        <v>46151.49932</v>
      </c>
      <c r="O183" s="76">
        <f t="shared" si="3"/>
        <v>0.09859354167</v>
      </c>
      <c r="Q183" s="76">
        <f>IFERROR(__xludf.DUMMYFUNCTION("""COMPUTED_VALUE"""),5139.0)</f>
        <v>5139</v>
      </c>
      <c r="R183" s="232">
        <f>IFERROR(__xludf.DUMMYFUNCTION("""COMPUTED_VALUE"""),46149.83263888889)</f>
        <v>46149.83264</v>
      </c>
      <c r="S183" s="84">
        <f>IFERROR(__xludf.DUMMYFUNCTION("""COMPUTED_VALUE"""),46148.768174826386)</f>
        <v>46148.76817</v>
      </c>
      <c r="T183" s="76">
        <f t="shared" si="4"/>
        <v>1.064464063</v>
      </c>
      <c r="V183" s="76">
        <f>IFERROR(__xludf.DUMMYFUNCTION("""COMPUTED_VALUE"""),5144.0)</f>
        <v>5144</v>
      </c>
      <c r="W183" s="232">
        <f>IFERROR(__xludf.DUMMYFUNCTION("""COMPUTED_VALUE"""),46153.63958333333)</f>
        <v>46153.63958</v>
      </c>
      <c r="X183" s="84">
        <f>IFERROR(__xludf.DUMMYFUNCTION("""COMPUTED_VALUE"""),46151.52277787037)</f>
        <v>46151.52278</v>
      </c>
      <c r="Y183" s="76">
        <f t="shared" si="5"/>
        <v>2.116805463</v>
      </c>
      <c r="AK183" s="232"/>
      <c r="AL183" s="233"/>
      <c r="AM183" s="173"/>
    </row>
    <row r="184">
      <c r="A184" s="76">
        <f>IFERROR(__xludf.DUMMYFUNCTION("""COMPUTED_VALUE"""),5145.0)</f>
        <v>5145</v>
      </c>
      <c r="B184" s="232">
        <f>IFERROR(__xludf.DUMMYFUNCTION("""COMPUTED_VALUE"""),46151.78247533565)</f>
        <v>46151.78248</v>
      </c>
      <c r="C184" s="84">
        <f>IFERROR(__xludf.DUMMYFUNCTION("""COMPUTED_VALUE"""),46151.6256359838)</f>
        <v>46151.62564</v>
      </c>
      <c r="D184" s="173">
        <f t="shared" si="1"/>
        <v>0.1568393518</v>
      </c>
      <c r="G184" s="76">
        <f>IFERROR(__xludf.DUMMYFUNCTION("""COMPUTED_VALUE"""),5145.0)</f>
        <v>5145</v>
      </c>
      <c r="H184" s="232">
        <f>IFERROR(__xludf.DUMMYFUNCTION("""COMPUTED_VALUE"""),46151.78941978009)</f>
        <v>46151.78942</v>
      </c>
      <c r="I184" s="84">
        <f>IFERROR(__xludf.DUMMYFUNCTION("""COMPUTED_VALUE"""),46151.62569976852)</f>
        <v>46151.6257</v>
      </c>
      <c r="J184" s="76">
        <f t="shared" si="2"/>
        <v>0.1637200116</v>
      </c>
      <c r="L184" s="76">
        <f>IFERROR(__xludf.DUMMYFUNCTION("""COMPUTED_VALUE"""),5145.0)</f>
        <v>5145</v>
      </c>
      <c r="M184" s="232">
        <f>IFERROR(__xludf.DUMMYFUNCTION("""COMPUTED_VALUE"""),46153.49722222223)</f>
        <v>46153.49722</v>
      </c>
      <c r="N184" s="84">
        <f>IFERROR(__xludf.DUMMYFUNCTION("""COMPUTED_VALUE"""),46151.625737800925)</f>
        <v>46151.62574</v>
      </c>
      <c r="O184" s="76">
        <f t="shared" si="3"/>
        <v>1.871484421</v>
      </c>
      <c r="Q184" s="76">
        <f>IFERROR(__xludf.DUMMYFUNCTION("""COMPUTED_VALUE"""),5140.0)</f>
        <v>5140</v>
      </c>
      <c r="R184" s="232">
        <f>IFERROR(__xludf.DUMMYFUNCTION("""COMPUTED_VALUE"""),46150.56180555555)</f>
        <v>46150.56181</v>
      </c>
      <c r="S184" s="84">
        <f>IFERROR(__xludf.DUMMYFUNCTION("""COMPUTED_VALUE"""),46148.768132916666)</f>
        <v>46148.76813</v>
      </c>
      <c r="T184" s="76">
        <f t="shared" si="4"/>
        <v>1.793672639</v>
      </c>
      <c r="V184" s="76">
        <f>IFERROR(__xludf.DUMMYFUNCTION("""COMPUTED_VALUE"""),5145.0)</f>
        <v>5145</v>
      </c>
      <c r="W184" s="232">
        <f>IFERROR(__xludf.DUMMYFUNCTION("""COMPUTED_VALUE"""),46154.53888888889)</f>
        <v>46154.53889</v>
      </c>
      <c r="X184" s="84">
        <f>IFERROR(__xludf.DUMMYFUNCTION("""COMPUTED_VALUE"""),46153.4439403125)</f>
        <v>46153.44394</v>
      </c>
      <c r="Y184" s="76">
        <f t="shared" si="5"/>
        <v>1.094948576</v>
      </c>
      <c r="AK184" s="232"/>
      <c r="AL184" s="233"/>
      <c r="AM184" s="173"/>
    </row>
    <row r="185">
      <c r="A185" s="76">
        <f>IFERROR(__xludf.DUMMYFUNCTION("""COMPUTED_VALUE"""),5146.0)</f>
        <v>5146</v>
      </c>
      <c r="B185" s="232">
        <f>IFERROR(__xludf.DUMMYFUNCTION("""COMPUTED_VALUE"""),46151.78390200232)</f>
        <v>46151.7839</v>
      </c>
      <c r="C185" s="84">
        <f>IFERROR(__xludf.DUMMYFUNCTION("""COMPUTED_VALUE"""),46151.6256359838)</f>
        <v>46151.62564</v>
      </c>
      <c r="D185" s="173">
        <f t="shared" si="1"/>
        <v>0.1582660185</v>
      </c>
      <c r="G185" s="76">
        <f>IFERROR(__xludf.DUMMYFUNCTION("""COMPUTED_VALUE"""),5146.0)</f>
        <v>5146</v>
      </c>
      <c r="H185" s="232">
        <f>IFERROR(__xludf.DUMMYFUNCTION("""COMPUTED_VALUE"""),46151.79084644676)</f>
        <v>46151.79085</v>
      </c>
      <c r="I185" s="84">
        <f>IFERROR(__xludf.DUMMYFUNCTION("""COMPUTED_VALUE"""),46151.62569976852)</f>
        <v>46151.6257</v>
      </c>
      <c r="J185" s="76">
        <f t="shared" si="2"/>
        <v>0.1651466782</v>
      </c>
      <c r="L185" s="76">
        <f>IFERROR(__xludf.DUMMYFUNCTION("""COMPUTED_VALUE"""),5146.0)</f>
        <v>5146</v>
      </c>
      <c r="M185" s="232">
        <f>IFERROR(__xludf.DUMMYFUNCTION("""COMPUTED_VALUE"""),46153.498611111114)</f>
        <v>46153.49861</v>
      </c>
      <c r="N185" s="84">
        <f>IFERROR(__xludf.DUMMYFUNCTION("""COMPUTED_VALUE"""),46151.6257447338)</f>
        <v>46151.62574</v>
      </c>
      <c r="O185" s="76">
        <f t="shared" si="3"/>
        <v>1.872866377</v>
      </c>
      <c r="Q185" s="76">
        <f>IFERROR(__xludf.DUMMYFUNCTION("""COMPUTED_VALUE"""),5141.0)</f>
        <v>5141</v>
      </c>
      <c r="R185" s="232">
        <f>IFERROR(__xludf.DUMMYFUNCTION("""COMPUTED_VALUE"""),46151.53333333333)</f>
        <v>46151.53333</v>
      </c>
      <c r="S185" s="84">
        <f>IFERROR(__xludf.DUMMYFUNCTION("""COMPUTED_VALUE"""),46150.47947859953)</f>
        <v>46150.47948</v>
      </c>
      <c r="T185" s="76">
        <f t="shared" si="4"/>
        <v>1.053854734</v>
      </c>
      <c r="V185" s="76">
        <f>IFERROR(__xludf.DUMMYFUNCTION("""COMPUTED_VALUE"""),5146.0)</f>
        <v>5146</v>
      </c>
      <c r="W185" s="232">
        <f>IFERROR(__xludf.DUMMYFUNCTION("""COMPUTED_VALUE"""),46154.54027777778)</f>
        <v>46154.54028</v>
      </c>
      <c r="X185" s="84">
        <f>IFERROR(__xludf.DUMMYFUNCTION("""COMPUTED_VALUE"""),46153.4439472338)</f>
        <v>46153.44395</v>
      </c>
      <c r="Y185" s="76">
        <f t="shared" si="5"/>
        <v>1.096330544</v>
      </c>
      <c r="AK185" s="232"/>
      <c r="AL185" s="233"/>
      <c r="AM185" s="173"/>
    </row>
    <row r="186">
      <c r="A186" s="76">
        <f>IFERROR(__xludf.DUMMYFUNCTION("""COMPUTED_VALUE"""),5147.0)</f>
        <v>5147</v>
      </c>
      <c r="B186" s="232">
        <f>IFERROR(__xludf.DUMMYFUNCTION("""COMPUTED_VALUE"""),46153.45694444444)</f>
        <v>46153.45694</v>
      </c>
      <c r="C186" s="84">
        <f>IFERROR(__xludf.DUMMYFUNCTION("""COMPUTED_VALUE"""),46153.44402101852)</f>
        <v>46153.44402</v>
      </c>
      <c r="D186" s="173">
        <f t="shared" si="1"/>
        <v>0.01292342592</v>
      </c>
      <c r="G186" s="76">
        <f>IFERROR(__xludf.DUMMYFUNCTION("""COMPUTED_VALUE"""),5147.0)</f>
        <v>5147</v>
      </c>
      <c r="H186" s="232">
        <f>IFERROR(__xludf.DUMMYFUNCTION("""COMPUTED_VALUE"""),46153.46388888889)</f>
        <v>46153.46389</v>
      </c>
      <c r="I186" s="84">
        <f>IFERROR(__xludf.DUMMYFUNCTION("""COMPUTED_VALUE"""),46153.444108020834)</f>
        <v>46153.44411</v>
      </c>
      <c r="J186" s="76">
        <f t="shared" si="2"/>
        <v>0.01978086805</v>
      </c>
      <c r="L186" s="76">
        <f>IFERROR(__xludf.DUMMYFUNCTION("""COMPUTED_VALUE"""),5147.0)</f>
        <v>5147</v>
      </c>
      <c r="M186" s="232">
        <f>IFERROR(__xludf.DUMMYFUNCTION("""COMPUTED_VALUE"""),46153.56805555555)</f>
        <v>46153.56806</v>
      </c>
      <c r="N186" s="84">
        <f>IFERROR(__xludf.DUMMYFUNCTION("""COMPUTED_VALUE"""),46153.46864644676)</f>
        <v>46153.46865</v>
      </c>
      <c r="O186" s="76">
        <f t="shared" si="3"/>
        <v>0.09940910879</v>
      </c>
      <c r="Q186" s="76">
        <f>IFERROR(__xludf.DUMMYFUNCTION("""COMPUTED_VALUE"""),5142.0)</f>
        <v>5142</v>
      </c>
      <c r="R186" s="232">
        <f>IFERROR(__xludf.DUMMYFUNCTION("""COMPUTED_VALUE"""),46151.563888888886)</f>
        <v>46151.56389</v>
      </c>
      <c r="S186" s="84">
        <f>IFERROR(__xludf.DUMMYFUNCTION("""COMPUTED_VALUE"""),46150.479497175926)</f>
        <v>46150.4795</v>
      </c>
      <c r="T186" s="76">
        <f t="shared" si="4"/>
        <v>1.084391713</v>
      </c>
      <c r="V186" s="76">
        <f>IFERROR(__xludf.DUMMYFUNCTION("""COMPUTED_VALUE"""),5147.0)</f>
        <v>5147</v>
      </c>
      <c r="W186" s="232">
        <f>IFERROR(__xludf.DUMMYFUNCTION("""COMPUTED_VALUE"""),46154.609722222216)</f>
        <v>46154.60972</v>
      </c>
      <c r="X186" s="84">
        <f>IFERROR(__xludf.DUMMYFUNCTION("""COMPUTED_VALUE"""),46153.468762442135)</f>
        <v>46153.46876</v>
      </c>
      <c r="Y186" s="76">
        <f t="shared" si="5"/>
        <v>1.14095978</v>
      </c>
      <c r="AK186" s="232"/>
      <c r="AL186" s="233"/>
      <c r="AM186" s="173"/>
    </row>
    <row r="187">
      <c r="A187" s="76">
        <f>IFERROR(__xludf.DUMMYFUNCTION("""COMPUTED_VALUE"""),5148.0)</f>
        <v>5148</v>
      </c>
      <c r="B187" s="232">
        <f>IFERROR(__xludf.DUMMYFUNCTION("""COMPUTED_VALUE"""),46153.660740405096)</f>
        <v>46153.66074</v>
      </c>
      <c r="C187" s="84">
        <f>IFERROR(__xludf.DUMMYFUNCTION("""COMPUTED_VALUE"""),46153.65225694444)</f>
        <v>46153.65226</v>
      </c>
      <c r="D187" s="173">
        <f t="shared" si="1"/>
        <v>0.008483460653</v>
      </c>
      <c r="G187" s="76">
        <f>IFERROR(__xludf.DUMMYFUNCTION("""COMPUTED_VALUE"""),5148.0)</f>
        <v>5148</v>
      </c>
      <c r="H187" s="232">
        <f>IFERROR(__xludf.DUMMYFUNCTION("""COMPUTED_VALUE"""),46153.66768484954)</f>
        <v>46153.66768</v>
      </c>
      <c r="I187" s="84">
        <f>IFERROR(__xludf.DUMMYFUNCTION("""COMPUTED_VALUE"""),46153.652280092596)</f>
        <v>46153.65228</v>
      </c>
      <c r="J187" s="76">
        <f t="shared" si="2"/>
        <v>0.01540475694</v>
      </c>
      <c r="L187" s="76">
        <f>IFERROR(__xludf.DUMMYFUNCTION("""COMPUTED_VALUE"""),5148.0)</f>
        <v>5148</v>
      </c>
      <c r="M187" s="232">
        <f>IFERROR(__xludf.DUMMYFUNCTION("""COMPUTED_VALUE"""),46153.771851516205)</f>
        <v>46153.77185</v>
      </c>
      <c r="N187" s="84">
        <f>IFERROR(__xludf.DUMMYFUNCTION("""COMPUTED_VALUE"""),46153.694055127315)</f>
        <v>46153.69406</v>
      </c>
      <c r="O187" s="76">
        <f t="shared" si="3"/>
        <v>0.07779638889</v>
      </c>
      <c r="Q187" s="76">
        <f>IFERROR(__xludf.DUMMYFUNCTION("""COMPUTED_VALUE"""),5143.0)</f>
        <v>5143</v>
      </c>
      <c r="R187" s="232">
        <f>IFERROR(__xludf.DUMMYFUNCTION("""COMPUTED_VALUE"""),46153.597222222226)</f>
        <v>46153.59722</v>
      </c>
      <c r="S187" s="84">
        <f>IFERROR(__xludf.DUMMYFUNCTION("""COMPUTED_VALUE"""),46151.522719201384)</f>
        <v>46151.52272</v>
      </c>
      <c r="T187" s="76">
        <f t="shared" si="4"/>
        <v>2.074503021</v>
      </c>
      <c r="V187" s="76">
        <f>IFERROR(__xludf.DUMMYFUNCTION("""COMPUTED_VALUE"""),5148.0)</f>
        <v>5148</v>
      </c>
      <c r="W187" s="232">
        <f>IFERROR(__xludf.DUMMYFUNCTION("""COMPUTED_VALUE"""),46154.81319444444)</f>
        <v>46154.81319</v>
      </c>
      <c r="X187" s="84">
        <f>IFERROR(__xludf.DUMMYFUNCTION("""COMPUTED_VALUE"""),46154.640967534724)</f>
        <v>46154.64097</v>
      </c>
      <c r="Y187" s="76">
        <f t="shared" si="5"/>
        <v>0.1722269097</v>
      </c>
      <c r="AK187" s="232"/>
      <c r="AL187" s="233"/>
      <c r="AM187" s="173"/>
    </row>
    <row r="188">
      <c r="A188" s="76">
        <f>IFERROR(__xludf.DUMMYFUNCTION("""COMPUTED_VALUE"""),5149.0)</f>
        <v>5149</v>
      </c>
      <c r="B188" s="232">
        <f>IFERROR(__xludf.DUMMYFUNCTION("""COMPUTED_VALUE"""),46154.814396863425)</f>
        <v>46154.8144</v>
      </c>
      <c r="C188" s="84">
        <f>IFERROR(__xludf.DUMMYFUNCTION("""COMPUTED_VALUE"""),46154.6672953125)</f>
        <v>46154.6673</v>
      </c>
      <c r="D188" s="173">
        <f t="shared" si="1"/>
        <v>0.1471015509</v>
      </c>
      <c r="G188" s="76">
        <f>IFERROR(__xludf.DUMMYFUNCTION("""COMPUTED_VALUE"""),5149.0)</f>
        <v>5149</v>
      </c>
      <c r="H188" s="232">
        <f>IFERROR(__xludf.DUMMYFUNCTION("""COMPUTED_VALUE"""),46154.82134130787)</f>
        <v>46154.82134</v>
      </c>
      <c r="I188" s="84">
        <f>IFERROR(__xludf.DUMMYFUNCTION("""COMPUTED_VALUE"""),46154.667386898145)</f>
        <v>46154.66739</v>
      </c>
      <c r="J188" s="76">
        <f t="shared" si="2"/>
        <v>0.1539544097</v>
      </c>
      <c r="L188" s="76">
        <f>IFERROR(__xludf.DUMMYFUNCTION("""COMPUTED_VALUE"""),5149.0)</f>
        <v>5149</v>
      </c>
      <c r="M188" s="232">
        <f>IFERROR(__xludf.DUMMYFUNCTION("""COMPUTED_VALUE"""),46155.52916666667)</f>
        <v>46155.52917</v>
      </c>
      <c r="N188" s="84">
        <f>IFERROR(__xludf.DUMMYFUNCTION("""COMPUTED_VALUE"""),46154.667426747685)</f>
        <v>46154.66743</v>
      </c>
      <c r="O188" s="76">
        <f t="shared" si="3"/>
        <v>0.861739919</v>
      </c>
      <c r="Q188" s="76">
        <f>IFERROR(__xludf.DUMMYFUNCTION("""COMPUTED_VALUE"""),5144.0)</f>
        <v>5144</v>
      </c>
      <c r="R188" s="232">
        <f>IFERROR(__xludf.DUMMYFUNCTION("""COMPUTED_VALUE"""),46153.597916666666)</f>
        <v>46153.59792</v>
      </c>
      <c r="S188" s="84">
        <f>IFERROR(__xludf.DUMMYFUNCTION("""COMPUTED_VALUE"""),46151.52272543982)</f>
        <v>46151.52273</v>
      </c>
      <c r="T188" s="76">
        <f t="shared" si="4"/>
        <v>2.075191227</v>
      </c>
      <c r="V188" s="76">
        <f>IFERROR(__xludf.DUMMYFUNCTION("""COMPUTED_VALUE"""),5149.0)</f>
        <v>5149</v>
      </c>
      <c r="W188" s="232">
        <f>IFERROR(__xludf.DUMMYFUNCTION("""COMPUTED_VALUE"""),46156.57083333333)</f>
        <v>46156.57083</v>
      </c>
      <c r="X188" s="84">
        <f>IFERROR(__xludf.DUMMYFUNCTION("""COMPUTED_VALUE"""),46154.67523842593)</f>
        <v>46154.67524</v>
      </c>
      <c r="Y188" s="76">
        <f t="shared" si="5"/>
        <v>1.895594907</v>
      </c>
      <c r="AK188" s="232"/>
      <c r="AL188" s="233"/>
      <c r="AM188" s="173"/>
    </row>
    <row r="189">
      <c r="A189" s="76">
        <f>IFERROR(__xludf.DUMMYFUNCTION("""COMPUTED_VALUE"""),5150.0)</f>
        <v>5150</v>
      </c>
      <c r="B189" s="232">
        <f>IFERROR(__xludf.DUMMYFUNCTION("""COMPUTED_VALUE"""),46154.81740479166)</f>
        <v>46154.8174</v>
      </c>
      <c r="C189" s="84">
        <f>IFERROR(__xludf.DUMMYFUNCTION("""COMPUTED_VALUE"""),46154.66729525463)</f>
        <v>46154.6673</v>
      </c>
      <c r="D189" s="173">
        <f t="shared" si="1"/>
        <v>0.150109537</v>
      </c>
      <c r="G189" s="76">
        <f>IFERROR(__xludf.DUMMYFUNCTION("""COMPUTED_VALUE"""),5150.0)</f>
        <v>5150</v>
      </c>
      <c r="H189" s="232">
        <f>IFERROR(__xludf.DUMMYFUNCTION("""COMPUTED_VALUE"""),46154.82434923611)</f>
        <v>46154.82435</v>
      </c>
      <c r="I189" s="84">
        <f>IFERROR(__xludf.DUMMYFUNCTION("""COMPUTED_VALUE"""),46154.667442881946)</f>
        <v>46154.66744</v>
      </c>
      <c r="J189" s="76">
        <f t="shared" si="2"/>
        <v>0.1569063542</v>
      </c>
      <c r="L189" s="76">
        <f>IFERROR(__xludf.DUMMYFUNCTION("""COMPUTED_VALUE"""),5150.0)</f>
        <v>5150</v>
      </c>
      <c r="M189" s="232">
        <f>IFERROR(__xludf.DUMMYFUNCTION("""COMPUTED_VALUE"""),46155.532638888886)</f>
        <v>46155.53264</v>
      </c>
      <c r="N189" s="84">
        <f>IFERROR(__xludf.DUMMYFUNCTION("""COMPUTED_VALUE"""),46154.667442881946)</f>
        <v>46154.66744</v>
      </c>
      <c r="O189" s="76">
        <f t="shared" si="3"/>
        <v>0.8651960069</v>
      </c>
      <c r="Q189" s="76">
        <f>IFERROR(__xludf.DUMMYFUNCTION("""COMPUTED_VALUE"""),5145.0)</f>
        <v>5145</v>
      </c>
      <c r="R189" s="232">
        <f>IFERROR(__xludf.DUMMYFUNCTION("""COMPUTED_VALUE"""),46154.49722222223)</f>
        <v>46154.49722</v>
      </c>
      <c r="S189" s="84">
        <f>IFERROR(__xludf.DUMMYFUNCTION("""COMPUTED_VALUE"""),46151.62577782407)</f>
        <v>46151.62578</v>
      </c>
      <c r="T189" s="76">
        <f t="shared" si="4"/>
        <v>2.871444398</v>
      </c>
      <c r="V189" s="76">
        <f>IFERROR(__xludf.DUMMYFUNCTION("""COMPUTED_VALUE"""),5150.0)</f>
        <v>5150</v>
      </c>
      <c r="W189" s="232">
        <f>IFERROR(__xludf.DUMMYFUNCTION("""COMPUTED_VALUE"""),46156.57430555555)</f>
        <v>46156.57431</v>
      </c>
      <c r="X189" s="84">
        <f>IFERROR(__xludf.DUMMYFUNCTION("""COMPUTED_VALUE"""),46156.49759827546)</f>
        <v>46156.4976</v>
      </c>
      <c r="Y189" s="76">
        <f t="shared" si="5"/>
        <v>0.07670728009</v>
      </c>
      <c r="AK189" s="232"/>
      <c r="AL189" s="233"/>
      <c r="AM189" s="173"/>
    </row>
    <row r="190">
      <c r="A190" s="76">
        <f>IFERROR(__xludf.DUMMYFUNCTION("""COMPUTED_VALUE"""),5151.0)</f>
        <v>5151</v>
      </c>
      <c r="B190" s="232">
        <f>IFERROR(__xludf.DUMMYFUNCTION("""COMPUTED_VALUE"""),46155.45277777778)</f>
        <v>46155.45278</v>
      </c>
      <c r="C190" s="84">
        <f>IFERROR(__xludf.DUMMYFUNCTION("""COMPUTED_VALUE"""),46155.43822916667)</f>
        <v>46155.43823</v>
      </c>
      <c r="D190" s="173">
        <f t="shared" si="1"/>
        <v>0.01454861111</v>
      </c>
      <c r="G190" s="76">
        <f>IFERROR(__xludf.DUMMYFUNCTION("""COMPUTED_VALUE"""),5151.0)</f>
        <v>5151</v>
      </c>
      <c r="H190" s="232">
        <f>IFERROR(__xludf.DUMMYFUNCTION("""COMPUTED_VALUE"""),46155.45972222222)</f>
        <v>46155.45972</v>
      </c>
      <c r="I190" s="84">
        <f>IFERROR(__xludf.DUMMYFUNCTION("""COMPUTED_VALUE"""),46155.43832175926)</f>
        <v>46155.43832</v>
      </c>
      <c r="J190" s="76">
        <f t="shared" si="2"/>
        <v>0.02140046296</v>
      </c>
      <c r="L190" s="76">
        <f>IFERROR(__xludf.DUMMYFUNCTION("""COMPUTED_VALUE"""),5151.0)</f>
        <v>5151</v>
      </c>
      <c r="M190" s="232">
        <f>IFERROR(__xludf.DUMMYFUNCTION("""COMPUTED_VALUE"""),46155.563888888886)</f>
        <v>46155.56389</v>
      </c>
      <c r="N190" s="84">
        <f>IFERROR(__xludf.DUMMYFUNCTION("""COMPUTED_VALUE"""),46155.521666712964)</f>
        <v>46155.52167</v>
      </c>
      <c r="O190" s="76">
        <f t="shared" si="3"/>
        <v>0.04222217592</v>
      </c>
      <c r="Q190" s="76">
        <f>IFERROR(__xludf.DUMMYFUNCTION("""COMPUTED_VALUE"""),5146.0)</f>
        <v>5146</v>
      </c>
      <c r="R190" s="232">
        <f>IFERROR(__xludf.DUMMYFUNCTION("""COMPUTED_VALUE"""),46154.498611111114)</f>
        <v>46154.49861</v>
      </c>
      <c r="S190" s="84">
        <f>IFERROR(__xludf.DUMMYFUNCTION("""COMPUTED_VALUE"""),46151.62578960648)</f>
        <v>46151.62579</v>
      </c>
      <c r="T190" s="76">
        <f t="shared" si="4"/>
        <v>2.872821505</v>
      </c>
      <c r="V190" s="76">
        <f>IFERROR(__xludf.DUMMYFUNCTION("""COMPUTED_VALUE"""),5151.0)</f>
        <v>5151</v>
      </c>
      <c r="W190" s="232">
        <f>IFERROR(__xludf.DUMMYFUNCTION("""COMPUTED_VALUE"""),46156.60555555555)</f>
        <v>46156.60556</v>
      </c>
      <c r="X190" s="84">
        <f>IFERROR(__xludf.DUMMYFUNCTION("""COMPUTED_VALUE"""),46155.52286697917)</f>
        <v>46155.52287</v>
      </c>
      <c r="Y190" s="76">
        <f t="shared" si="5"/>
        <v>1.082688576</v>
      </c>
      <c r="AK190" s="232"/>
      <c r="AL190" s="233"/>
      <c r="AM190" s="173"/>
    </row>
    <row r="191">
      <c r="A191" s="76">
        <f>IFERROR(__xludf.DUMMYFUNCTION("""COMPUTED_VALUE"""),5152.0)</f>
        <v>5152</v>
      </c>
      <c r="B191" s="232">
        <f>IFERROR(__xludf.DUMMYFUNCTION("""COMPUTED_VALUE"""),46157.42638888889)</f>
        <v>46157.42639</v>
      </c>
      <c r="C191" s="84">
        <f>IFERROR(__xludf.DUMMYFUNCTION("""COMPUTED_VALUE"""),46156.68101962963)</f>
        <v>46156.68102</v>
      </c>
      <c r="D191" s="173">
        <f t="shared" si="1"/>
        <v>0.7453692593</v>
      </c>
      <c r="G191" s="76">
        <f>IFERROR(__xludf.DUMMYFUNCTION("""COMPUTED_VALUE"""),5152.0)</f>
        <v>5152</v>
      </c>
      <c r="H191" s="232">
        <f>IFERROR(__xludf.DUMMYFUNCTION("""COMPUTED_VALUE"""),46157.433333333334)</f>
        <v>46157.43333</v>
      </c>
      <c r="I191" s="84">
        <f>IFERROR(__xludf.DUMMYFUNCTION("""COMPUTED_VALUE"""),46156.68116489583)</f>
        <v>46156.68116</v>
      </c>
      <c r="J191" s="76">
        <f t="shared" si="2"/>
        <v>0.7521684375</v>
      </c>
      <c r="L191" s="76">
        <f>IFERROR(__xludf.DUMMYFUNCTION("""COMPUTED_VALUE"""),5152.0)</f>
        <v>5152</v>
      </c>
      <c r="M191" s="232">
        <f>IFERROR(__xludf.DUMMYFUNCTION("""COMPUTED_VALUE"""),46157.5375)</f>
        <v>46157.5375</v>
      </c>
      <c r="N191" s="84">
        <f>IFERROR(__xludf.DUMMYFUNCTION("""COMPUTED_VALUE"""),46156.68261871528)</f>
        <v>46156.68262</v>
      </c>
      <c r="O191" s="76">
        <f t="shared" si="3"/>
        <v>0.8548812847</v>
      </c>
      <c r="Q191" s="76">
        <f>IFERROR(__xludf.DUMMYFUNCTION("""COMPUTED_VALUE"""),5147.0)</f>
        <v>5147</v>
      </c>
      <c r="R191" s="232">
        <f>IFERROR(__xludf.DUMMYFUNCTION("""COMPUTED_VALUE"""),46154.56805555555)</f>
        <v>46154.56806</v>
      </c>
      <c r="S191" s="84">
        <f>IFERROR(__xludf.DUMMYFUNCTION("""COMPUTED_VALUE"""),46153.46872547454)</f>
        <v>46153.46873</v>
      </c>
      <c r="T191" s="76">
        <f t="shared" si="4"/>
        <v>1.099330081</v>
      </c>
      <c r="V191" s="76">
        <f>IFERROR(__xludf.DUMMYFUNCTION("""COMPUTED_VALUE"""),5152.0)</f>
        <v>5152</v>
      </c>
      <c r="W191" s="232">
        <f>IFERROR(__xludf.DUMMYFUNCTION("""COMPUTED_VALUE"""),46158.57916666666)</f>
        <v>46158.57917</v>
      </c>
      <c r="X191" s="84">
        <f>IFERROR(__xludf.DUMMYFUNCTION("""COMPUTED_VALUE"""),46156.76137357639)</f>
        <v>46156.76137</v>
      </c>
      <c r="Y191" s="76">
        <f t="shared" si="5"/>
        <v>1.81779309</v>
      </c>
      <c r="AK191" s="232"/>
      <c r="AL191" s="233"/>
      <c r="AM191" s="173"/>
    </row>
    <row r="192">
      <c r="A192" s="76">
        <f>IFERROR(__xludf.DUMMYFUNCTION("""COMPUTED_VALUE"""),5153.0)</f>
        <v>5153</v>
      </c>
      <c r="B192" s="232">
        <f>IFERROR(__xludf.DUMMYFUNCTION("""COMPUTED_VALUE"""),46157.42847222222)</f>
        <v>46157.42847</v>
      </c>
      <c r="C192" s="84">
        <f>IFERROR(__xludf.DUMMYFUNCTION("""COMPUTED_VALUE"""),46156.68105452546)</f>
        <v>46156.68105</v>
      </c>
      <c r="D192" s="173">
        <f t="shared" si="1"/>
        <v>0.7474176968</v>
      </c>
      <c r="G192" s="76">
        <f>IFERROR(__xludf.DUMMYFUNCTION("""COMPUTED_VALUE"""),5153.0)</f>
        <v>5153</v>
      </c>
      <c r="H192" s="232">
        <f>IFERROR(__xludf.DUMMYFUNCTION("""COMPUTED_VALUE"""),46157.43541666667)</f>
        <v>46157.43542</v>
      </c>
      <c r="I192" s="84">
        <f>IFERROR(__xludf.DUMMYFUNCTION("""COMPUTED_VALUE"""),46156.68116658565)</f>
        <v>46156.68117</v>
      </c>
      <c r="J192" s="76">
        <f t="shared" si="2"/>
        <v>0.754250081</v>
      </c>
      <c r="L192" s="76">
        <f>IFERROR(__xludf.DUMMYFUNCTION("""COMPUTED_VALUE"""),5153.0)</f>
        <v>5153</v>
      </c>
      <c r="M192" s="232">
        <f>IFERROR(__xludf.DUMMYFUNCTION("""COMPUTED_VALUE"""),46157.53958333333)</f>
        <v>46157.53958</v>
      </c>
      <c r="N192" s="84">
        <f>IFERROR(__xludf.DUMMYFUNCTION("""COMPUTED_VALUE"""),46156.68249474537)</f>
        <v>46156.68249</v>
      </c>
      <c r="O192" s="76">
        <f t="shared" si="3"/>
        <v>0.857088588</v>
      </c>
      <c r="Q192" s="76">
        <f>IFERROR(__xludf.DUMMYFUNCTION("""COMPUTED_VALUE"""),5148.0)</f>
        <v>5148</v>
      </c>
      <c r="R192" s="232">
        <f>IFERROR(__xludf.DUMMYFUNCTION("""COMPUTED_VALUE"""),46154.771527777775)</f>
        <v>46154.77153</v>
      </c>
      <c r="S192" s="84">
        <f>IFERROR(__xludf.DUMMYFUNCTION("""COMPUTED_VALUE"""),46153.69407453704)</f>
        <v>46153.69407</v>
      </c>
      <c r="T192" s="76">
        <f t="shared" si="4"/>
        <v>1.077453241</v>
      </c>
      <c r="V192" s="76">
        <f>IFERROR(__xludf.DUMMYFUNCTION("""COMPUTED_VALUE"""),5153.0)</f>
        <v>5153</v>
      </c>
      <c r="W192" s="232">
        <f>IFERROR(__xludf.DUMMYFUNCTION("""COMPUTED_VALUE"""),46158.581249999996)</f>
        <v>46158.58125</v>
      </c>
      <c r="X192" s="84">
        <f>IFERROR(__xludf.DUMMYFUNCTION("""COMPUTED_VALUE"""),46156.76136739583)</f>
        <v>46156.76137</v>
      </c>
      <c r="Y192" s="76">
        <f t="shared" si="5"/>
        <v>1.819882604</v>
      </c>
      <c r="AK192" s="232"/>
      <c r="AL192" s="233"/>
      <c r="AM192" s="173"/>
    </row>
    <row r="193">
      <c r="A193" s="76">
        <f>IFERROR(__xludf.DUMMYFUNCTION("""COMPUTED_VALUE"""),5154.0)</f>
        <v>5154</v>
      </c>
      <c r="B193" s="232">
        <f>IFERROR(__xludf.DUMMYFUNCTION("""COMPUTED_VALUE"""),46157.45138888888)</f>
        <v>46157.45139</v>
      </c>
      <c r="C193" s="84">
        <f>IFERROR(__xludf.DUMMYFUNCTION("""COMPUTED_VALUE"""),46156.7173687037)</f>
        <v>46156.71737</v>
      </c>
      <c r="D193" s="173">
        <f t="shared" si="1"/>
        <v>0.7340201852</v>
      </c>
      <c r="G193" s="76">
        <f>IFERROR(__xludf.DUMMYFUNCTION("""COMPUTED_VALUE"""),5154.0)</f>
        <v>5154</v>
      </c>
      <c r="H193" s="232">
        <f>IFERROR(__xludf.DUMMYFUNCTION("""COMPUTED_VALUE"""),46157.45833333333)</f>
        <v>46157.45833</v>
      </c>
      <c r="I193" s="84">
        <f>IFERROR(__xludf.DUMMYFUNCTION("""COMPUTED_VALUE"""),46156.71749892361)</f>
        <v>46156.7175</v>
      </c>
      <c r="J193" s="76">
        <f t="shared" si="2"/>
        <v>0.7408344097</v>
      </c>
      <c r="L193" s="76">
        <f>IFERROR(__xludf.DUMMYFUNCTION("""COMPUTED_VALUE"""),5154.0)</f>
        <v>5154</v>
      </c>
      <c r="M193" s="232">
        <f>IFERROR(__xludf.DUMMYFUNCTION("""COMPUTED_VALUE"""),46157.56249999999)</f>
        <v>46157.5625</v>
      </c>
      <c r="N193" s="84">
        <f>IFERROR(__xludf.DUMMYFUNCTION("""COMPUTED_VALUE"""),46157.46470377315)</f>
        <v>46157.4647</v>
      </c>
      <c r="O193" s="76">
        <f t="shared" si="3"/>
        <v>0.09779622684</v>
      </c>
      <c r="Q193" s="76">
        <f>IFERROR(__xludf.DUMMYFUNCTION("""COMPUTED_VALUE"""),5149.0)</f>
        <v>5149</v>
      </c>
      <c r="R193" s="232">
        <f>IFERROR(__xludf.DUMMYFUNCTION("""COMPUTED_VALUE"""),46156.52916666667)</f>
        <v>46156.52917</v>
      </c>
      <c r="S193" s="84">
        <f>IFERROR(__xludf.DUMMYFUNCTION("""COMPUTED_VALUE"""),46154.67519113426)</f>
        <v>46154.67519</v>
      </c>
      <c r="T193" s="76">
        <f t="shared" si="4"/>
        <v>1.853975532</v>
      </c>
      <c r="V193" s="76">
        <f>IFERROR(__xludf.DUMMYFUNCTION("""COMPUTED_VALUE"""),5154.0)</f>
        <v>5154</v>
      </c>
      <c r="W193" s="232">
        <f>IFERROR(__xludf.DUMMYFUNCTION("""COMPUTED_VALUE"""),46158.604166666664)</f>
        <v>46158.60417</v>
      </c>
      <c r="X193" s="84">
        <f>IFERROR(__xludf.DUMMYFUNCTION("""COMPUTED_VALUE"""),46157.67739686342)</f>
        <v>46157.6774</v>
      </c>
      <c r="Y193" s="76">
        <f t="shared" si="5"/>
        <v>0.9267698032</v>
      </c>
      <c r="AK193" s="232"/>
      <c r="AL193" s="233"/>
      <c r="AM193" s="173"/>
    </row>
    <row r="194">
      <c r="A194" s="76">
        <f>IFERROR(__xludf.DUMMYFUNCTION("""COMPUTED_VALUE"""),5155.0)</f>
        <v>5155</v>
      </c>
      <c r="B194" s="232">
        <f>IFERROR(__xludf.DUMMYFUNCTION("""COMPUTED_VALUE"""),46157.45277777778)</f>
        <v>46157.45278</v>
      </c>
      <c r="C194" s="84">
        <f>IFERROR(__xludf.DUMMYFUNCTION("""COMPUTED_VALUE"""),46156.71702295139)</f>
        <v>46156.71702</v>
      </c>
      <c r="D194" s="173">
        <f t="shared" si="1"/>
        <v>0.7357548264</v>
      </c>
      <c r="G194" s="76">
        <f>IFERROR(__xludf.DUMMYFUNCTION("""COMPUTED_VALUE"""),5155.0)</f>
        <v>5155</v>
      </c>
      <c r="H194" s="232">
        <f>IFERROR(__xludf.DUMMYFUNCTION("""COMPUTED_VALUE"""),46157.45972222222)</f>
        <v>46157.45972</v>
      </c>
      <c r="I194" s="84">
        <f>IFERROR(__xludf.DUMMYFUNCTION("""COMPUTED_VALUE"""),46156.71714987268)</f>
        <v>46156.71715</v>
      </c>
      <c r="J194" s="76">
        <f t="shared" si="2"/>
        <v>0.7425723495</v>
      </c>
      <c r="L194" s="76">
        <f>IFERROR(__xludf.DUMMYFUNCTION("""COMPUTED_VALUE"""),5155.0)</f>
        <v>5155</v>
      </c>
      <c r="M194" s="232">
        <f>IFERROR(__xludf.DUMMYFUNCTION("""COMPUTED_VALUE"""),46157.563888888886)</f>
        <v>46157.56389</v>
      </c>
      <c r="N194" s="84">
        <f>IFERROR(__xludf.DUMMYFUNCTION("""COMPUTED_VALUE"""),46157.46472189815)</f>
        <v>46157.46472</v>
      </c>
      <c r="O194" s="76">
        <f t="shared" si="3"/>
        <v>0.09916699074</v>
      </c>
      <c r="Q194" s="76">
        <f>IFERROR(__xludf.DUMMYFUNCTION("""COMPUTED_VALUE"""),5150.0)</f>
        <v>5150</v>
      </c>
      <c r="R194" s="232">
        <f>IFERROR(__xludf.DUMMYFUNCTION("""COMPUTED_VALUE"""),46156.532638888886)</f>
        <v>46156.53264</v>
      </c>
      <c r="S194" s="84">
        <f>IFERROR(__xludf.DUMMYFUNCTION("""COMPUTED_VALUE"""),46155.52170217593)</f>
        <v>46155.5217</v>
      </c>
      <c r="T194" s="76">
        <f t="shared" si="4"/>
        <v>1.010936713</v>
      </c>
      <c r="V194" s="76">
        <f>IFERROR(__xludf.DUMMYFUNCTION("""COMPUTED_VALUE"""),5155.0)</f>
        <v>5155</v>
      </c>
      <c r="W194" s="232">
        <f>IFERROR(__xludf.DUMMYFUNCTION("""COMPUTED_VALUE"""),46158.60555555555)</f>
        <v>46158.60556</v>
      </c>
      <c r="X194" s="84">
        <f>IFERROR(__xludf.DUMMYFUNCTION("""COMPUTED_VALUE"""),46157.80309100694)</f>
        <v>46157.80309</v>
      </c>
      <c r="Y194" s="76">
        <f t="shared" si="5"/>
        <v>0.8024645486</v>
      </c>
      <c r="AK194" s="232"/>
      <c r="AL194" s="233"/>
      <c r="AM194" s="173"/>
    </row>
    <row r="195">
      <c r="A195" s="76">
        <f>IFERROR(__xludf.DUMMYFUNCTION("""COMPUTED_VALUE"""),5156.0)</f>
        <v>5156</v>
      </c>
      <c r="B195" s="232">
        <f>IFERROR(__xludf.DUMMYFUNCTION("""COMPUTED_VALUE"""),46158.67329053241)</f>
        <v>46158.67329</v>
      </c>
      <c r="C195" s="84">
        <f>IFERROR(__xludf.DUMMYFUNCTION("""COMPUTED_VALUE"""),46158.51603991898)</f>
        <v>46158.51604</v>
      </c>
      <c r="D195" s="173">
        <f t="shared" si="1"/>
        <v>0.1572506134</v>
      </c>
      <c r="G195" s="76">
        <f>IFERROR(__xludf.DUMMYFUNCTION("""COMPUTED_VALUE"""),5156.0)</f>
        <v>5156</v>
      </c>
      <c r="H195" s="232">
        <f>IFERROR(__xludf.DUMMYFUNCTION("""COMPUTED_VALUE"""),46158.680234976855)</f>
        <v>46158.68023</v>
      </c>
      <c r="I195" s="84">
        <f>IFERROR(__xludf.DUMMYFUNCTION("""COMPUTED_VALUE"""),46158.516111018514)</f>
        <v>46158.51611</v>
      </c>
      <c r="J195" s="76">
        <f t="shared" si="2"/>
        <v>0.1641239583</v>
      </c>
      <c r="L195" s="76">
        <f>IFERROR(__xludf.DUMMYFUNCTION("""COMPUTED_VALUE"""),5156.0)</f>
        <v>5156</v>
      </c>
      <c r="M195" s="232">
        <f>IFERROR(__xludf.DUMMYFUNCTION("""COMPUTED_VALUE"""),46158.78440164352)</f>
        <v>46158.7844</v>
      </c>
      <c r="N195" s="84">
        <f>IFERROR(__xludf.DUMMYFUNCTION("""COMPUTED_VALUE"""),46158.51643396991)</f>
        <v>46158.51643</v>
      </c>
      <c r="O195" s="76">
        <f t="shared" si="3"/>
        <v>0.2679676736</v>
      </c>
      <c r="Q195" s="76">
        <f>IFERROR(__xludf.DUMMYFUNCTION("""COMPUTED_VALUE"""),5151.0)</f>
        <v>5151</v>
      </c>
      <c r="R195" s="232">
        <f>IFERROR(__xludf.DUMMYFUNCTION("""COMPUTED_VALUE"""),46156.563888888886)</f>
        <v>46156.56389</v>
      </c>
      <c r="S195" s="84">
        <f>IFERROR(__xludf.DUMMYFUNCTION("""COMPUTED_VALUE"""),46155.52272306713)</f>
        <v>46155.52272</v>
      </c>
      <c r="T195" s="76">
        <f t="shared" si="4"/>
        <v>1.041165822</v>
      </c>
      <c r="V195" s="76">
        <f>IFERROR(__xludf.DUMMYFUNCTION("""COMPUTED_VALUE"""),5156.0)</f>
        <v>5156</v>
      </c>
      <c r="W195" s="232">
        <f>IFERROR(__xludf.DUMMYFUNCTION("""COMPUTED_VALUE"""),46160.825694444444)</f>
        <v>46160.82569</v>
      </c>
      <c r="X195" s="84">
        <f>IFERROR(__xludf.DUMMYFUNCTION("""COMPUTED_VALUE"""),46160.45700524306)</f>
        <v>46160.45701</v>
      </c>
      <c r="Y195" s="76">
        <f t="shared" si="5"/>
        <v>0.3686892014</v>
      </c>
      <c r="AK195" s="232"/>
      <c r="AL195" s="233"/>
      <c r="AM195" s="173"/>
    </row>
    <row r="196">
      <c r="A196" s="76">
        <f>IFERROR(__xludf.DUMMYFUNCTION("""COMPUTED_VALUE"""),5157.0)</f>
        <v>5157</v>
      </c>
      <c r="B196" s="232">
        <f>IFERROR(__xludf.DUMMYFUNCTION("""COMPUTED_VALUE"""),46158.76576278935)</f>
        <v>46158.76576</v>
      </c>
      <c r="C196" s="84">
        <f>IFERROR(__xludf.DUMMYFUNCTION("""COMPUTED_VALUE"""),46158.61087724537)</f>
        <v>46158.61088</v>
      </c>
      <c r="D196" s="173">
        <f t="shared" si="1"/>
        <v>0.154885544</v>
      </c>
      <c r="G196" s="76">
        <f>IFERROR(__xludf.DUMMYFUNCTION("""COMPUTED_VALUE"""),5157.0)</f>
        <v>5157</v>
      </c>
      <c r="H196" s="232">
        <f>IFERROR(__xludf.DUMMYFUNCTION("""COMPUTED_VALUE"""),46158.772707233795)</f>
        <v>46158.77271</v>
      </c>
      <c r="I196" s="84">
        <f>IFERROR(__xludf.DUMMYFUNCTION("""COMPUTED_VALUE"""),46158.6114674537)</f>
        <v>46158.61147</v>
      </c>
      <c r="J196" s="76">
        <f t="shared" si="2"/>
        <v>0.1612397801</v>
      </c>
      <c r="L196" s="76">
        <f>IFERROR(__xludf.DUMMYFUNCTION("""COMPUTED_VALUE"""),5157.0)</f>
        <v>5157</v>
      </c>
      <c r="M196" s="232">
        <f>IFERROR(__xludf.DUMMYFUNCTION("""COMPUTED_VALUE"""),46160.48055555556)</f>
        <v>46160.48056</v>
      </c>
      <c r="N196" s="84">
        <f>IFERROR(__xludf.DUMMYFUNCTION("""COMPUTED_VALUE"""),46158.671946111106)</f>
        <v>46158.67195</v>
      </c>
      <c r="O196" s="76">
        <f t="shared" si="3"/>
        <v>1.808609444</v>
      </c>
      <c r="Q196" s="76">
        <f>IFERROR(__xludf.DUMMYFUNCTION("""COMPUTED_VALUE"""),5152.0)</f>
        <v>5152</v>
      </c>
      <c r="R196" s="232">
        <f>IFERROR(__xludf.DUMMYFUNCTION("""COMPUTED_VALUE"""),46158.5375)</f>
        <v>46158.5375</v>
      </c>
      <c r="S196" s="84">
        <f>IFERROR(__xludf.DUMMYFUNCTION("""COMPUTED_VALUE"""),46156.76127070602)</f>
        <v>46156.76127</v>
      </c>
      <c r="T196" s="76">
        <f t="shared" si="4"/>
        <v>1.776229294</v>
      </c>
      <c r="V196" s="76">
        <f>IFERROR(__xludf.DUMMYFUNCTION("""COMPUTED_VALUE"""),5157.0)</f>
        <v>5157</v>
      </c>
      <c r="W196" s="232">
        <f>IFERROR(__xludf.DUMMYFUNCTION("""COMPUTED_VALUE"""),46161.52222222222)</f>
        <v>46161.52222</v>
      </c>
      <c r="X196" s="84">
        <f>IFERROR(__xludf.DUMMYFUNCTION("""COMPUTED_VALUE"""),46161.464068009256)</f>
        <v>46161.46407</v>
      </c>
      <c r="Y196" s="76">
        <f t="shared" si="5"/>
        <v>0.05815421297</v>
      </c>
      <c r="AK196" s="232"/>
      <c r="AL196" s="233"/>
      <c r="AM196" s="173"/>
    </row>
    <row r="197">
      <c r="A197" s="76">
        <f>IFERROR(__xludf.DUMMYFUNCTION("""COMPUTED_VALUE"""),5158.0)</f>
        <v>5158</v>
      </c>
      <c r="B197" s="232">
        <f>IFERROR(__xludf.DUMMYFUNCTION("""COMPUTED_VALUE"""),46158.768641724535)</f>
        <v>46158.76864</v>
      </c>
      <c r="C197" s="84">
        <f>IFERROR(__xludf.DUMMYFUNCTION("""COMPUTED_VALUE"""),46158.61087724537)</f>
        <v>46158.61088</v>
      </c>
      <c r="D197" s="173">
        <f t="shared" si="1"/>
        <v>0.1577644792</v>
      </c>
      <c r="G197" s="76">
        <f>IFERROR(__xludf.DUMMYFUNCTION("""COMPUTED_VALUE"""),5158.0)</f>
        <v>5158</v>
      </c>
      <c r="H197" s="232">
        <f>IFERROR(__xludf.DUMMYFUNCTION("""COMPUTED_VALUE"""),46158.77558616898)</f>
        <v>46158.77559</v>
      </c>
      <c r="I197" s="84">
        <f>IFERROR(__xludf.DUMMYFUNCTION("""COMPUTED_VALUE"""),46158.6114674537)</f>
        <v>46158.61147</v>
      </c>
      <c r="J197" s="76">
        <f t="shared" si="2"/>
        <v>0.1641187153</v>
      </c>
      <c r="L197" s="76">
        <f>IFERROR(__xludf.DUMMYFUNCTION("""COMPUTED_VALUE"""),5158.0)</f>
        <v>5158</v>
      </c>
      <c r="M197" s="232">
        <f>IFERROR(__xludf.DUMMYFUNCTION("""COMPUTED_VALUE"""),46160.48333333334)</f>
        <v>46160.48333</v>
      </c>
      <c r="N197" s="84">
        <f>IFERROR(__xludf.DUMMYFUNCTION("""COMPUTED_VALUE"""),46158.671946111106)</f>
        <v>46158.67195</v>
      </c>
      <c r="O197" s="76">
        <f t="shared" si="3"/>
        <v>1.811387222</v>
      </c>
      <c r="Q197" s="76">
        <f>IFERROR(__xludf.DUMMYFUNCTION("""COMPUTED_VALUE"""),5153.0)</f>
        <v>5153</v>
      </c>
      <c r="R197" s="232">
        <f>IFERROR(__xludf.DUMMYFUNCTION("""COMPUTED_VALUE"""),46158.53958333333)</f>
        <v>46158.53958</v>
      </c>
      <c r="S197" s="84">
        <f>IFERROR(__xludf.DUMMYFUNCTION("""COMPUTED_VALUE"""),46156.76127209491)</f>
        <v>46156.76127</v>
      </c>
      <c r="T197" s="76">
        <f t="shared" si="4"/>
        <v>1.778311238</v>
      </c>
      <c r="V197" s="76">
        <f>IFERROR(__xludf.DUMMYFUNCTION("""COMPUTED_VALUE"""),5158.0)</f>
        <v>5158</v>
      </c>
      <c r="W197" s="232">
        <f>IFERROR(__xludf.DUMMYFUNCTION("""COMPUTED_VALUE"""),46161.525)</f>
        <v>46161.525</v>
      </c>
      <c r="X197" s="84">
        <f>IFERROR(__xludf.DUMMYFUNCTION("""COMPUTED_VALUE"""),46161.49422519676)</f>
        <v>46161.49423</v>
      </c>
      <c r="Y197" s="76">
        <f t="shared" si="5"/>
        <v>0.03077480324</v>
      </c>
      <c r="AK197" s="232"/>
      <c r="AL197" s="233"/>
      <c r="AM197" s="173"/>
    </row>
    <row r="198">
      <c r="A198" s="76">
        <f>IFERROR(__xludf.DUMMYFUNCTION("""COMPUTED_VALUE"""),5159.0)</f>
        <v>5159</v>
      </c>
      <c r="B198" s="232">
        <f>IFERROR(__xludf.DUMMYFUNCTION("""COMPUTED_VALUE"""),46158.76964898148)</f>
        <v>46158.76965</v>
      </c>
      <c r="C198" s="84">
        <f>IFERROR(__xludf.DUMMYFUNCTION("""COMPUTED_VALUE"""),46158.610886145834)</f>
        <v>46158.61089</v>
      </c>
      <c r="D198" s="173">
        <f t="shared" si="1"/>
        <v>0.1587628356</v>
      </c>
      <c r="G198" s="76">
        <f>IFERROR(__xludf.DUMMYFUNCTION("""COMPUTED_VALUE"""),5159.0)</f>
        <v>5159</v>
      </c>
      <c r="H198" s="232">
        <f>IFERROR(__xludf.DUMMYFUNCTION("""COMPUTED_VALUE"""),46158.77659342592)</f>
        <v>46158.77659</v>
      </c>
      <c r="I198" s="84">
        <f>IFERROR(__xludf.DUMMYFUNCTION("""COMPUTED_VALUE"""),46158.611474247686)</f>
        <v>46158.61147</v>
      </c>
      <c r="J198" s="76">
        <f t="shared" si="2"/>
        <v>0.1651191782</v>
      </c>
      <c r="L198" s="76">
        <f>IFERROR(__xludf.DUMMYFUNCTION("""COMPUTED_VALUE"""),5159.0)</f>
        <v>5159</v>
      </c>
      <c r="M198" s="232">
        <f>IFERROR(__xludf.DUMMYFUNCTION("""COMPUTED_VALUE"""),46160.48472222222)</f>
        <v>46160.48472</v>
      </c>
      <c r="N198" s="84">
        <f>IFERROR(__xludf.DUMMYFUNCTION("""COMPUTED_VALUE"""),46158.67195393518)</f>
        <v>46158.67195</v>
      </c>
      <c r="O198" s="76">
        <f t="shared" si="3"/>
        <v>1.812768287</v>
      </c>
      <c r="Q198" s="76">
        <f>IFERROR(__xludf.DUMMYFUNCTION("""COMPUTED_VALUE"""),5154.0)</f>
        <v>5154</v>
      </c>
      <c r="R198" s="232">
        <f>IFERROR(__xludf.DUMMYFUNCTION("""COMPUTED_VALUE"""),46158.5625)</f>
        <v>46158.5625</v>
      </c>
      <c r="S198" s="84">
        <f>IFERROR(__xludf.DUMMYFUNCTION("""COMPUTED_VALUE"""),46157.67723128472)</f>
        <v>46157.67723</v>
      </c>
      <c r="T198" s="76">
        <f t="shared" si="4"/>
        <v>0.8852687153</v>
      </c>
      <c r="V198" s="76">
        <f>IFERROR(__xludf.DUMMYFUNCTION("""COMPUTED_VALUE"""),5159.0)</f>
        <v>5159</v>
      </c>
      <c r="W198" s="232">
        <f>IFERROR(__xludf.DUMMYFUNCTION("""COMPUTED_VALUE"""),46161.52638888889)</f>
        <v>46161.52639</v>
      </c>
      <c r="X198" s="84">
        <f>IFERROR(__xludf.DUMMYFUNCTION("""COMPUTED_VALUE"""),46161.464095625)</f>
        <v>46161.4641</v>
      </c>
      <c r="Y198" s="76">
        <f t="shared" si="5"/>
        <v>0.06229326389</v>
      </c>
      <c r="AK198" s="232"/>
      <c r="AL198" s="233"/>
      <c r="AM198" s="173"/>
    </row>
    <row r="199">
      <c r="A199" s="76">
        <f>IFERROR(__xludf.DUMMYFUNCTION("""COMPUTED_VALUE"""),5160.0)</f>
        <v>5160</v>
      </c>
      <c r="B199" s="232">
        <f>IFERROR(__xludf.DUMMYFUNCTION("""COMPUTED_VALUE"""),46158.771244791664)</f>
        <v>46158.77124</v>
      </c>
      <c r="C199" s="84">
        <f>IFERROR(__xludf.DUMMYFUNCTION("""COMPUTED_VALUE"""),46158.61090137732)</f>
        <v>46158.6109</v>
      </c>
      <c r="D199" s="173">
        <f t="shared" si="1"/>
        <v>0.1603434143</v>
      </c>
      <c r="G199" s="76">
        <f>IFERROR(__xludf.DUMMYFUNCTION("""COMPUTED_VALUE"""),5160.0)</f>
        <v>5160</v>
      </c>
      <c r="H199" s="232">
        <f>IFERROR(__xludf.DUMMYFUNCTION("""COMPUTED_VALUE"""),46158.77818923611)</f>
        <v>46158.77819</v>
      </c>
      <c r="I199" s="84">
        <f>IFERROR(__xludf.DUMMYFUNCTION("""COMPUTED_VALUE"""),46158.611474247686)</f>
        <v>46158.61147</v>
      </c>
      <c r="J199" s="76">
        <f t="shared" si="2"/>
        <v>0.1667149884</v>
      </c>
      <c r="L199" s="76">
        <f>IFERROR(__xludf.DUMMYFUNCTION("""COMPUTED_VALUE"""),5160.0)</f>
        <v>5160</v>
      </c>
      <c r="M199" s="232">
        <f>IFERROR(__xludf.DUMMYFUNCTION("""COMPUTED_VALUE"""),46160.48611111112)</f>
        <v>46160.48611</v>
      </c>
      <c r="N199" s="84">
        <f>IFERROR(__xludf.DUMMYFUNCTION("""COMPUTED_VALUE"""),46158.67195393518)</f>
        <v>46158.67195</v>
      </c>
      <c r="O199" s="76">
        <f t="shared" si="3"/>
        <v>1.814157176</v>
      </c>
      <c r="Q199" s="76">
        <f>IFERROR(__xludf.DUMMYFUNCTION("""COMPUTED_VALUE"""),5155.0)</f>
        <v>5155</v>
      </c>
      <c r="R199" s="232">
        <f>IFERROR(__xludf.DUMMYFUNCTION("""COMPUTED_VALUE"""),46158.563888888886)</f>
        <v>46158.56389</v>
      </c>
      <c r="S199" s="84">
        <f>IFERROR(__xludf.DUMMYFUNCTION("""COMPUTED_VALUE"""),46157.467050625)</f>
        <v>46157.46705</v>
      </c>
      <c r="T199" s="76">
        <f t="shared" si="4"/>
        <v>1.096838264</v>
      </c>
      <c r="V199" s="76">
        <f>IFERROR(__xludf.DUMMYFUNCTION("""COMPUTED_VALUE"""),5160.0)</f>
        <v>5160</v>
      </c>
      <c r="W199" s="232">
        <f>IFERROR(__xludf.DUMMYFUNCTION("""COMPUTED_VALUE"""),46161.52777777778)</f>
        <v>46161.52778</v>
      </c>
      <c r="X199" s="84">
        <f>IFERROR(__xludf.DUMMYFUNCTION("""COMPUTED_VALUE"""),46161.49433174769)</f>
        <v>46161.49433</v>
      </c>
      <c r="Y199" s="76">
        <f t="shared" si="5"/>
        <v>0.03344603009</v>
      </c>
      <c r="AK199" s="232"/>
      <c r="AL199" s="233"/>
      <c r="AM199" s="173"/>
    </row>
    <row r="200">
      <c r="A200" s="76">
        <f>IFERROR(__xludf.DUMMYFUNCTION("""COMPUTED_VALUE"""),5161.0)</f>
        <v>5161</v>
      </c>
      <c r="B200" s="232">
        <f>IFERROR(__xludf.DUMMYFUNCTION("""COMPUTED_VALUE"""),46158.77221429398)</f>
        <v>46158.77221</v>
      </c>
      <c r="C200" s="84">
        <f>IFERROR(__xludf.DUMMYFUNCTION("""COMPUTED_VALUE"""),46158.61090137732)</f>
        <v>46158.6109</v>
      </c>
      <c r="D200" s="173">
        <f t="shared" si="1"/>
        <v>0.1613129167</v>
      </c>
      <c r="G200" s="76">
        <f>IFERROR(__xludf.DUMMYFUNCTION("""COMPUTED_VALUE"""),5161.0)</f>
        <v>5161</v>
      </c>
      <c r="H200" s="232">
        <f>IFERROR(__xludf.DUMMYFUNCTION("""COMPUTED_VALUE"""),46158.77915873843)</f>
        <v>46158.77916</v>
      </c>
      <c r="I200" s="84">
        <f>IFERROR(__xludf.DUMMYFUNCTION("""COMPUTED_VALUE"""),46158.61148451389)</f>
        <v>46158.61148</v>
      </c>
      <c r="J200" s="76">
        <f t="shared" si="2"/>
        <v>0.1676742245</v>
      </c>
      <c r="L200" s="76">
        <f>IFERROR(__xludf.DUMMYFUNCTION("""COMPUTED_VALUE"""),5161.0)</f>
        <v>5161</v>
      </c>
      <c r="M200" s="232">
        <f>IFERROR(__xludf.DUMMYFUNCTION("""COMPUTED_VALUE"""),46160.486805555556)</f>
        <v>46160.48681</v>
      </c>
      <c r="N200" s="84">
        <f>IFERROR(__xludf.DUMMYFUNCTION("""COMPUTED_VALUE"""),46158.671965208334)</f>
        <v>46158.67197</v>
      </c>
      <c r="O200" s="76">
        <f t="shared" si="3"/>
        <v>1.814840347</v>
      </c>
      <c r="Q200" s="76">
        <f>IFERROR(__xludf.DUMMYFUNCTION("""COMPUTED_VALUE"""),5156.0)</f>
        <v>5156</v>
      </c>
      <c r="R200" s="232">
        <f>IFERROR(__xludf.DUMMYFUNCTION("""COMPUTED_VALUE"""),46160.78402777778)</f>
        <v>46160.78403</v>
      </c>
      <c r="S200" s="84">
        <f>IFERROR(__xludf.DUMMYFUNCTION("""COMPUTED_VALUE"""),46160.45695798611)</f>
        <v>46160.45696</v>
      </c>
      <c r="T200" s="76">
        <f t="shared" si="4"/>
        <v>0.3270697917</v>
      </c>
      <c r="V200" s="76">
        <f>IFERROR(__xludf.DUMMYFUNCTION("""COMPUTED_VALUE"""),5161.0)</f>
        <v>5161</v>
      </c>
      <c r="W200" s="232">
        <f>IFERROR(__xludf.DUMMYFUNCTION("""COMPUTED_VALUE"""),46161.52847222222)</f>
        <v>46161.52847</v>
      </c>
      <c r="X200" s="84">
        <f>IFERROR(__xludf.DUMMYFUNCTION("""COMPUTED_VALUE"""),46161.46411269676)</f>
        <v>46161.46411</v>
      </c>
      <c r="Y200" s="76">
        <f t="shared" si="5"/>
        <v>0.06435952546</v>
      </c>
      <c r="AK200" s="232"/>
      <c r="AL200" s="233"/>
      <c r="AM200" s="173"/>
    </row>
    <row r="201">
      <c r="A201" s="76">
        <f>IFERROR(__xludf.DUMMYFUNCTION("""COMPUTED_VALUE"""),5162.0)</f>
        <v>5162</v>
      </c>
      <c r="B201" s="232">
        <f>IFERROR(__xludf.DUMMYFUNCTION("""COMPUTED_VALUE"""),46160.716191458334)</f>
        <v>46160.71619</v>
      </c>
      <c r="C201" s="84">
        <f>IFERROR(__xludf.DUMMYFUNCTION("""COMPUTED_VALUE"""),46160.62245579861)</f>
        <v>46160.62246</v>
      </c>
      <c r="D201" s="173">
        <f t="shared" si="1"/>
        <v>0.09373565972</v>
      </c>
      <c r="G201" s="76">
        <f>IFERROR(__xludf.DUMMYFUNCTION("""COMPUTED_VALUE"""),5162.0)</f>
        <v>5162</v>
      </c>
      <c r="H201" s="232">
        <f>IFERROR(__xludf.DUMMYFUNCTION("""COMPUTED_VALUE"""),46160.72313590278)</f>
        <v>46160.72314</v>
      </c>
      <c r="I201" s="84">
        <f>IFERROR(__xludf.DUMMYFUNCTION("""COMPUTED_VALUE"""),46160.62256366898)</f>
        <v>46160.62256</v>
      </c>
      <c r="J201" s="76">
        <f t="shared" si="2"/>
        <v>0.1005722338</v>
      </c>
      <c r="L201" s="76">
        <f>IFERROR(__xludf.DUMMYFUNCTION("""COMPUTED_VALUE"""),5162.0)</f>
        <v>5162</v>
      </c>
      <c r="M201" s="232">
        <f>IFERROR(__xludf.DUMMYFUNCTION("""COMPUTED_VALUE"""),46160.82730256944)</f>
        <v>46160.8273</v>
      </c>
      <c r="N201" s="84">
        <f>IFERROR(__xludf.DUMMYFUNCTION("""COMPUTED_VALUE"""),46160.62264275463)</f>
        <v>46160.62264</v>
      </c>
      <c r="O201" s="76">
        <f t="shared" si="3"/>
        <v>0.2046598148</v>
      </c>
      <c r="Q201" s="76">
        <f>IFERROR(__xludf.DUMMYFUNCTION("""COMPUTED_VALUE"""),5157.0)</f>
        <v>5157</v>
      </c>
      <c r="R201" s="232">
        <f>IFERROR(__xludf.DUMMYFUNCTION("""COMPUTED_VALUE"""),46161.48055555556)</f>
        <v>46161.48056</v>
      </c>
      <c r="S201" s="84">
        <f>IFERROR(__xludf.DUMMYFUNCTION("""COMPUTED_VALUE"""),46160.452872002315)</f>
        <v>46160.45287</v>
      </c>
      <c r="T201" s="76">
        <f t="shared" si="4"/>
        <v>1.027683553</v>
      </c>
      <c r="V201" s="76">
        <f>IFERROR(__xludf.DUMMYFUNCTION("""COMPUTED_VALUE"""),5162.0)</f>
        <v>5162</v>
      </c>
      <c r="W201" s="232">
        <f>IFERROR(__xludf.DUMMYFUNCTION("""COMPUTED_VALUE"""),46162.45208333333)</f>
        <v>46162.45208</v>
      </c>
      <c r="X201" s="84">
        <f>IFERROR(__xludf.DUMMYFUNCTION("""COMPUTED_VALUE"""),46160.62273956019)</f>
        <v>46160.62274</v>
      </c>
      <c r="Y201" s="76">
        <f t="shared" si="5"/>
        <v>1.829343773</v>
      </c>
      <c r="AK201" s="232"/>
      <c r="AL201" s="233"/>
      <c r="AM201" s="173"/>
    </row>
    <row r="202">
      <c r="A202" s="76">
        <f>IFERROR(__xludf.DUMMYFUNCTION("""COMPUTED_VALUE"""),5163.0)</f>
        <v>5163</v>
      </c>
      <c r="B202" s="232">
        <f>IFERROR(__xludf.DUMMYFUNCTION("""COMPUTED_VALUE"""),46161.48333333334)</f>
        <v>46161.48333</v>
      </c>
      <c r="C202" s="84">
        <f>IFERROR(__xludf.DUMMYFUNCTION("""COMPUTED_VALUE"""),46160.73612207176)</f>
        <v>46160.73612</v>
      </c>
      <c r="D202" s="173">
        <f t="shared" si="1"/>
        <v>0.7472112616</v>
      </c>
      <c r="G202" s="76">
        <f>IFERROR(__xludf.DUMMYFUNCTION("""COMPUTED_VALUE"""),5163.0)</f>
        <v>5163</v>
      </c>
      <c r="H202" s="232">
        <f>IFERROR(__xludf.DUMMYFUNCTION("""COMPUTED_VALUE"""),46161.49027777778)</f>
        <v>46161.49028</v>
      </c>
      <c r="I202" s="84">
        <f>IFERROR(__xludf.DUMMYFUNCTION("""COMPUTED_VALUE"""),46160.736227430556)</f>
        <v>46160.73623</v>
      </c>
      <c r="J202" s="76">
        <f t="shared" si="2"/>
        <v>0.7540503472</v>
      </c>
      <c r="L202" s="76">
        <f>IFERROR(__xludf.DUMMYFUNCTION("""COMPUTED_VALUE"""),5163.0)</f>
        <v>5163</v>
      </c>
      <c r="M202" s="232">
        <f>IFERROR(__xludf.DUMMYFUNCTION("""COMPUTED_VALUE"""),46161.59444444445)</f>
        <v>46161.59444</v>
      </c>
      <c r="N202" s="84">
        <f>IFERROR(__xludf.DUMMYFUNCTION("""COMPUTED_VALUE"""),46160.73722372685)</f>
        <v>46160.73722</v>
      </c>
      <c r="O202" s="76">
        <f t="shared" si="3"/>
        <v>0.8572207176</v>
      </c>
      <c r="Q202" s="76">
        <f>IFERROR(__xludf.DUMMYFUNCTION("""COMPUTED_VALUE"""),5158.0)</f>
        <v>5158</v>
      </c>
      <c r="R202" s="232">
        <f>IFERROR(__xludf.DUMMYFUNCTION("""COMPUTED_VALUE"""),46161.48333333334)</f>
        <v>46161.48333</v>
      </c>
      <c r="S202" s="84">
        <f>IFERROR(__xludf.DUMMYFUNCTION("""COMPUTED_VALUE"""),46160.452881944446)</f>
        <v>46160.45288</v>
      </c>
      <c r="T202" s="76">
        <f t="shared" si="4"/>
        <v>1.030451389</v>
      </c>
      <c r="V202" s="76">
        <f>IFERROR(__xludf.DUMMYFUNCTION("""COMPUTED_VALUE"""),5163.0)</f>
        <v>5163</v>
      </c>
      <c r="W202" s="232">
        <f>IFERROR(__xludf.DUMMYFUNCTION("""COMPUTED_VALUE"""),46162.63611111111)</f>
        <v>46162.63611</v>
      </c>
      <c r="X202" s="84">
        <f>IFERROR(__xludf.DUMMYFUNCTION("""COMPUTED_VALUE"""),46161.49402996528)</f>
        <v>46161.49403</v>
      </c>
      <c r="Y202" s="76">
        <f t="shared" si="5"/>
        <v>1.142081146</v>
      </c>
      <c r="AK202" s="232"/>
      <c r="AL202" s="233"/>
      <c r="AM202" s="173"/>
    </row>
    <row r="203">
      <c r="A203" s="76">
        <f>IFERROR(__xludf.DUMMYFUNCTION("""COMPUTED_VALUE"""),5164.0)</f>
        <v>5164</v>
      </c>
      <c r="B203" s="232">
        <f>IFERROR(__xludf.DUMMYFUNCTION("""COMPUTED_VALUE"""),46161.48402777778)</f>
        <v>46161.48403</v>
      </c>
      <c r="C203" s="84">
        <f>IFERROR(__xludf.DUMMYFUNCTION("""COMPUTED_VALUE"""),46160.737009895834)</f>
        <v>46160.73701</v>
      </c>
      <c r="D203" s="173">
        <f t="shared" si="1"/>
        <v>0.7470178819</v>
      </c>
      <c r="G203" s="76">
        <f>IFERROR(__xludf.DUMMYFUNCTION("""COMPUTED_VALUE"""),5164.0)</f>
        <v>5164</v>
      </c>
      <c r="H203" s="232">
        <f>IFERROR(__xludf.DUMMYFUNCTION("""COMPUTED_VALUE"""),46161.49097222222)</f>
        <v>46161.49097</v>
      </c>
      <c r="I203" s="84">
        <f>IFERROR(__xludf.DUMMYFUNCTION("""COMPUTED_VALUE"""),46160.73709981481)</f>
        <v>46160.7371</v>
      </c>
      <c r="J203" s="76">
        <f t="shared" si="2"/>
        <v>0.7538724074</v>
      </c>
      <c r="L203" s="76">
        <f>IFERROR(__xludf.DUMMYFUNCTION("""COMPUTED_VALUE"""),5164.0)</f>
        <v>5164</v>
      </c>
      <c r="M203" s="232">
        <f>IFERROR(__xludf.DUMMYFUNCTION("""COMPUTED_VALUE"""),46161.595138888886)</f>
        <v>46161.59514</v>
      </c>
      <c r="N203" s="84">
        <f>IFERROR(__xludf.DUMMYFUNCTION("""COMPUTED_VALUE"""),46160.73724631945)</f>
        <v>46160.73725</v>
      </c>
      <c r="O203" s="76">
        <f t="shared" si="3"/>
        <v>0.8578925694</v>
      </c>
      <c r="Q203" s="76">
        <f>IFERROR(__xludf.DUMMYFUNCTION("""COMPUTED_VALUE"""),5159.0)</f>
        <v>5159</v>
      </c>
      <c r="R203" s="232">
        <f>IFERROR(__xludf.DUMMYFUNCTION("""COMPUTED_VALUE"""),46161.48472222222)</f>
        <v>46161.48472</v>
      </c>
      <c r="S203" s="84">
        <f>IFERROR(__xludf.DUMMYFUNCTION("""COMPUTED_VALUE"""),46160.452836666664)</f>
        <v>46160.45284</v>
      </c>
      <c r="T203" s="76">
        <f t="shared" si="4"/>
        <v>1.031885556</v>
      </c>
      <c r="V203" s="76">
        <f>IFERROR(__xludf.DUMMYFUNCTION("""COMPUTED_VALUE"""),5164.0)</f>
        <v>5164</v>
      </c>
      <c r="W203" s="232">
        <f>IFERROR(__xludf.DUMMYFUNCTION("""COMPUTED_VALUE"""),46162.63680555556)</f>
        <v>46162.63681</v>
      </c>
      <c r="X203" s="84">
        <f>IFERROR(__xludf.DUMMYFUNCTION("""COMPUTED_VALUE"""),46160.816545231486)</f>
        <v>46160.81655</v>
      </c>
      <c r="Y203" s="76">
        <f t="shared" si="5"/>
        <v>1.820260324</v>
      </c>
      <c r="AK203" s="232"/>
      <c r="AL203" s="233"/>
      <c r="AM203" s="173"/>
    </row>
    <row r="204">
      <c r="A204" s="76">
        <f>IFERROR(__xludf.DUMMYFUNCTION("""COMPUTED_VALUE"""),5165.0)</f>
        <v>5165</v>
      </c>
      <c r="B204" s="232">
        <f>IFERROR(__xludf.DUMMYFUNCTION("""COMPUTED_VALUE"""),46161.50069444445)</f>
        <v>46161.50069</v>
      </c>
      <c r="C204" s="84">
        <f>IFERROR(__xludf.DUMMYFUNCTION("""COMPUTED_VALUE"""),46160.75249068287)</f>
        <v>46160.75249</v>
      </c>
      <c r="D204" s="173">
        <f t="shared" si="1"/>
        <v>0.7482037616</v>
      </c>
      <c r="G204" s="76">
        <f>IFERROR(__xludf.DUMMYFUNCTION("""COMPUTED_VALUE"""),5165.0)</f>
        <v>5165</v>
      </c>
      <c r="H204" s="232">
        <f>IFERROR(__xludf.DUMMYFUNCTION("""COMPUTED_VALUE"""),46161.50763888889)</f>
        <v>46161.50764</v>
      </c>
      <c r="I204" s="84">
        <f>IFERROR(__xludf.DUMMYFUNCTION("""COMPUTED_VALUE"""),46160.752249247686)</f>
        <v>46160.75225</v>
      </c>
      <c r="J204" s="76">
        <f t="shared" si="2"/>
        <v>0.7553896412</v>
      </c>
      <c r="L204" s="76">
        <f>IFERROR(__xludf.DUMMYFUNCTION("""COMPUTED_VALUE"""),5165.0)</f>
        <v>5165</v>
      </c>
      <c r="M204" s="232">
        <f>IFERROR(__xludf.DUMMYFUNCTION("""COMPUTED_VALUE"""),46161.611805555556)</f>
        <v>46161.61181</v>
      </c>
      <c r="N204" s="84">
        <f>IFERROR(__xludf.DUMMYFUNCTION("""COMPUTED_VALUE"""),46160.752212708336)</f>
        <v>46160.75221</v>
      </c>
      <c r="O204" s="76">
        <f t="shared" si="3"/>
        <v>0.8595928472</v>
      </c>
      <c r="Q204" s="76">
        <f>IFERROR(__xludf.DUMMYFUNCTION("""COMPUTED_VALUE"""),5160.0)</f>
        <v>5160</v>
      </c>
      <c r="R204" s="232">
        <f>IFERROR(__xludf.DUMMYFUNCTION("""COMPUTED_VALUE"""),46161.48611111112)</f>
        <v>46161.48611</v>
      </c>
      <c r="S204" s="84">
        <f>IFERROR(__xludf.DUMMYFUNCTION("""COMPUTED_VALUE"""),46160.4529449074)</f>
        <v>46160.45294</v>
      </c>
      <c r="T204" s="76">
        <f t="shared" si="4"/>
        <v>1.033166204</v>
      </c>
      <c r="V204" s="76">
        <f>IFERROR(__xludf.DUMMYFUNCTION("""COMPUTED_VALUE"""),5165.0)</f>
        <v>5165</v>
      </c>
      <c r="W204" s="232">
        <f>IFERROR(__xludf.DUMMYFUNCTION("""COMPUTED_VALUE"""),46162.65347222222)</f>
        <v>46162.65347</v>
      </c>
      <c r="X204" s="84">
        <f>IFERROR(__xludf.DUMMYFUNCTION("""COMPUTED_VALUE"""),46161.4944358912)</f>
        <v>46161.49444</v>
      </c>
      <c r="Y204" s="76">
        <f t="shared" si="5"/>
        <v>1.159036331</v>
      </c>
      <c r="AK204" s="232"/>
      <c r="AL204" s="233"/>
      <c r="AM204" s="173"/>
    </row>
    <row r="205">
      <c r="A205" s="76">
        <f>IFERROR(__xludf.DUMMYFUNCTION("""COMPUTED_VALUE"""),5166.0)</f>
        <v>5166</v>
      </c>
      <c r="B205" s="232">
        <f>IFERROR(__xludf.DUMMYFUNCTION("""COMPUTED_VALUE"""),46161.63096199073)</f>
        <v>46161.63096</v>
      </c>
      <c r="C205" s="84">
        <f>IFERROR(__xludf.DUMMYFUNCTION("""COMPUTED_VALUE"""),46161.494539444444)</f>
        <v>46161.49454</v>
      </c>
      <c r="D205" s="173">
        <f t="shared" si="1"/>
        <v>0.1364225463</v>
      </c>
      <c r="G205" s="76">
        <f>IFERROR(__xludf.DUMMYFUNCTION("""COMPUTED_VALUE"""),5166.0)</f>
        <v>5166</v>
      </c>
      <c r="H205" s="232">
        <f>IFERROR(__xludf.DUMMYFUNCTION("""COMPUTED_VALUE"""),46161.63790643518)</f>
        <v>46161.63791</v>
      </c>
      <c r="I205" s="84">
        <f>IFERROR(__xludf.DUMMYFUNCTION("""COMPUTED_VALUE"""),46161.49461247685)</f>
        <v>46161.49461</v>
      </c>
      <c r="J205" s="76">
        <f t="shared" si="2"/>
        <v>0.1432939583</v>
      </c>
      <c r="L205" s="76">
        <f>IFERROR(__xludf.DUMMYFUNCTION("""COMPUTED_VALUE"""),5166.0)</f>
        <v>5166</v>
      </c>
      <c r="M205" s="232">
        <f>IFERROR(__xludf.DUMMYFUNCTION("""COMPUTED_VALUE"""),46161.74207310184)</f>
        <v>46161.74207</v>
      </c>
      <c r="N205" s="84">
        <f>IFERROR(__xludf.DUMMYFUNCTION("""COMPUTED_VALUE"""),46161.521353564814)</f>
        <v>46161.52135</v>
      </c>
      <c r="O205" s="76">
        <f t="shared" si="3"/>
        <v>0.220719537</v>
      </c>
      <c r="Q205" s="76">
        <f>IFERROR(__xludf.DUMMYFUNCTION("""COMPUTED_VALUE"""),5161.0)</f>
        <v>5161</v>
      </c>
      <c r="R205" s="232">
        <f>IFERROR(__xludf.DUMMYFUNCTION("""COMPUTED_VALUE"""),46161.486805555556)</f>
        <v>46161.48681</v>
      </c>
      <c r="S205" s="84">
        <f>IFERROR(__xludf.DUMMYFUNCTION("""COMPUTED_VALUE"""),46160.452976203705)</f>
        <v>46160.45298</v>
      </c>
      <c r="T205" s="76">
        <f t="shared" si="4"/>
        <v>1.033829352</v>
      </c>
      <c r="V205" s="76">
        <f>IFERROR(__xludf.DUMMYFUNCTION("""COMPUTED_VALUE"""),5166.0)</f>
        <v>5166</v>
      </c>
      <c r="W205" s="232">
        <f>IFERROR(__xludf.DUMMYFUNCTION("""COMPUTED_VALUE"""),46162.78333333333)</f>
        <v>46162.78333</v>
      </c>
      <c r="X205" s="84">
        <f>IFERROR(__xludf.DUMMYFUNCTION("""COMPUTED_VALUE"""),46162.65350837963)</f>
        <v>46162.65351</v>
      </c>
      <c r="Y205" s="76">
        <f t="shared" si="5"/>
        <v>0.1298249537</v>
      </c>
      <c r="AK205" s="232"/>
      <c r="AL205" s="233"/>
      <c r="AM205" s="173"/>
    </row>
    <row r="206">
      <c r="A206" s="76">
        <f>IFERROR(__xludf.DUMMYFUNCTION("""COMPUTED_VALUE"""),5167.0)</f>
        <v>5167</v>
      </c>
      <c r="B206" s="232">
        <f>IFERROR(__xludf.DUMMYFUNCTION("""COMPUTED_VALUE"""),46161.68528068287)</f>
        <v>46161.68528</v>
      </c>
      <c r="C206" s="84">
        <f>IFERROR(__xludf.DUMMYFUNCTION("""COMPUTED_VALUE"""),46161.5190977662)</f>
        <v>46161.5191</v>
      </c>
      <c r="D206" s="173">
        <f t="shared" si="1"/>
        <v>0.1661829167</v>
      </c>
      <c r="G206" s="76">
        <f>IFERROR(__xludf.DUMMYFUNCTION("""COMPUTED_VALUE"""),5167.0)</f>
        <v>5167</v>
      </c>
      <c r="H206" s="232">
        <f>IFERROR(__xludf.DUMMYFUNCTION("""COMPUTED_VALUE"""),46161.69222512731)</f>
        <v>46161.69223</v>
      </c>
      <c r="I206" s="84">
        <f>IFERROR(__xludf.DUMMYFUNCTION("""COMPUTED_VALUE"""),46161.51915778936)</f>
        <v>46161.51916</v>
      </c>
      <c r="J206" s="76">
        <f t="shared" si="2"/>
        <v>0.173067338</v>
      </c>
      <c r="L206" s="76">
        <f>IFERROR(__xludf.DUMMYFUNCTION("""COMPUTED_VALUE"""),5167.0)</f>
        <v>5167</v>
      </c>
      <c r="M206" s="232">
        <f>IFERROR(__xludf.DUMMYFUNCTION("""COMPUTED_VALUE"""),46161.79639179398)</f>
        <v>46161.79639</v>
      </c>
      <c r="N206" s="84">
        <f>IFERROR(__xludf.DUMMYFUNCTION("""COMPUTED_VALUE"""),46161.519246979165)</f>
        <v>46161.51925</v>
      </c>
      <c r="O206" s="76">
        <f t="shared" si="3"/>
        <v>0.2771448148</v>
      </c>
      <c r="Q206" s="76">
        <f>IFERROR(__xludf.DUMMYFUNCTION("""COMPUTED_VALUE"""),5162.0)</f>
        <v>5162</v>
      </c>
      <c r="R206" s="232">
        <f>IFERROR(__xludf.DUMMYFUNCTION("""COMPUTED_VALUE"""),46161.82708333333)</f>
        <v>46161.82708</v>
      </c>
      <c r="S206" s="84">
        <f>IFERROR(__xludf.DUMMYFUNCTION("""COMPUTED_VALUE"""),46160.622679618056)</f>
        <v>46160.62268</v>
      </c>
      <c r="T206" s="76">
        <f t="shared" si="4"/>
        <v>1.204403715</v>
      </c>
      <c r="V206" s="76">
        <f>IFERROR(__xludf.DUMMYFUNCTION("""COMPUTED_VALUE"""),5167.0)</f>
        <v>5167</v>
      </c>
      <c r="W206" s="232">
        <f>IFERROR(__xludf.DUMMYFUNCTION("""COMPUTED_VALUE"""),46163.42083333333)</f>
        <v>46163.42083</v>
      </c>
      <c r="X206" s="84">
        <f>IFERROR(__xludf.DUMMYFUNCTION("""COMPUTED_VALUE"""),46161.70466827546)</f>
        <v>46161.70467</v>
      </c>
      <c r="Y206" s="76">
        <f t="shared" si="5"/>
        <v>1.716165058</v>
      </c>
      <c r="AK206" s="232"/>
      <c r="AL206" s="233"/>
      <c r="AM206" s="173"/>
    </row>
    <row r="207">
      <c r="A207" s="76">
        <f>IFERROR(__xludf.DUMMYFUNCTION("""COMPUTED_VALUE"""),5168.0)</f>
        <v>5168</v>
      </c>
      <c r="B207" s="232">
        <f>IFERROR(__xludf.DUMMYFUNCTION("""COMPUTED_VALUE"""),46161.70078831018)</f>
        <v>46161.70079</v>
      </c>
      <c r="C207" s="84">
        <f>IFERROR(__xludf.DUMMYFUNCTION("""COMPUTED_VALUE"""),46161.61566030093)</f>
        <v>46161.61566</v>
      </c>
      <c r="D207" s="173">
        <f t="shared" si="1"/>
        <v>0.08512800925</v>
      </c>
      <c r="G207" s="76">
        <f>IFERROR(__xludf.DUMMYFUNCTION("""COMPUTED_VALUE"""),5168.0)</f>
        <v>5168</v>
      </c>
      <c r="H207" s="232">
        <f>IFERROR(__xludf.DUMMYFUNCTION("""COMPUTED_VALUE"""),46161.70773275463)</f>
        <v>46161.70773</v>
      </c>
      <c r="I207" s="84">
        <f>IFERROR(__xludf.DUMMYFUNCTION("""COMPUTED_VALUE"""),46161.615738981476)</f>
        <v>46161.61574</v>
      </c>
      <c r="J207" s="76">
        <f t="shared" si="2"/>
        <v>0.09199377315</v>
      </c>
      <c r="L207" s="76">
        <f>IFERROR(__xludf.DUMMYFUNCTION("""COMPUTED_VALUE"""),5168.0)</f>
        <v>5168</v>
      </c>
      <c r="M207" s="232">
        <f>IFERROR(__xludf.DUMMYFUNCTION("""COMPUTED_VALUE"""),46161.81189942129)</f>
        <v>46161.8119</v>
      </c>
      <c r="N207" s="84">
        <f>IFERROR(__xludf.DUMMYFUNCTION("""COMPUTED_VALUE"""),46161.61580490741)</f>
        <v>46161.6158</v>
      </c>
      <c r="O207" s="76">
        <f t="shared" si="3"/>
        <v>0.1960945139</v>
      </c>
      <c r="Q207" s="76">
        <f>IFERROR(__xludf.DUMMYFUNCTION("""COMPUTED_VALUE"""),5163.0)</f>
        <v>5163</v>
      </c>
      <c r="R207" s="232">
        <f>IFERROR(__xludf.DUMMYFUNCTION("""COMPUTED_VALUE"""),46162.59444444445)</f>
        <v>46162.59444</v>
      </c>
      <c r="S207" s="84">
        <f>IFERROR(__xludf.DUMMYFUNCTION("""COMPUTED_VALUE"""),46160.81641644676)</f>
        <v>46160.81642</v>
      </c>
      <c r="T207" s="76">
        <f t="shared" si="4"/>
        <v>1.778027998</v>
      </c>
      <c r="V207" s="76">
        <f>IFERROR(__xludf.DUMMYFUNCTION("""COMPUTED_VALUE"""),5168.0)</f>
        <v>5168</v>
      </c>
      <c r="W207" s="232">
        <f>IFERROR(__xludf.DUMMYFUNCTION("""COMPUTED_VALUE"""),46163.43680555555)</f>
        <v>46163.43681</v>
      </c>
      <c r="X207" s="84">
        <f>IFERROR(__xludf.DUMMYFUNCTION("""COMPUTED_VALUE"""),46163.43162525463)</f>
        <v>46163.43163</v>
      </c>
      <c r="Y207" s="76">
        <f t="shared" si="5"/>
        <v>0.005180300926</v>
      </c>
      <c r="AK207" s="232"/>
      <c r="AL207" s="233"/>
      <c r="AM207" s="173"/>
    </row>
    <row r="208">
      <c r="A208" s="76">
        <f>IFERROR(__xludf.DUMMYFUNCTION("""COMPUTED_VALUE"""),5169.0)</f>
        <v>5169</v>
      </c>
      <c r="B208" s="232">
        <f>IFERROR(__xludf.DUMMYFUNCTION("""COMPUTED_VALUE"""),46161.810449398145)</f>
        <v>46161.81045</v>
      </c>
      <c r="C208" s="84">
        <f>IFERROR(__xludf.DUMMYFUNCTION("""COMPUTED_VALUE"""),46161.70339909723)</f>
        <v>46161.7034</v>
      </c>
      <c r="D208" s="173">
        <f t="shared" si="1"/>
        <v>0.1070503009</v>
      </c>
      <c r="G208" s="76">
        <f>IFERROR(__xludf.DUMMYFUNCTION("""COMPUTED_VALUE"""),5169.0)</f>
        <v>5169</v>
      </c>
      <c r="H208" s="232">
        <f>IFERROR(__xludf.DUMMYFUNCTION("""COMPUTED_VALUE"""),46161.81739384259)</f>
        <v>46161.81739</v>
      </c>
      <c r="I208" s="84">
        <f>IFERROR(__xludf.DUMMYFUNCTION("""COMPUTED_VALUE"""),46161.703485729166)</f>
        <v>46161.70349</v>
      </c>
      <c r="J208" s="76">
        <f t="shared" si="2"/>
        <v>0.1139081134</v>
      </c>
      <c r="L208" s="76">
        <f>IFERROR(__xludf.DUMMYFUNCTION("""COMPUTED_VALUE"""),5169.0)</f>
        <v>5169</v>
      </c>
      <c r="M208" s="232">
        <f>IFERROR(__xludf.DUMMYFUNCTION("""COMPUTED_VALUE"""),46162.52569444444)</f>
        <v>46162.52569</v>
      </c>
      <c r="N208" s="84">
        <f>IFERROR(__xludf.DUMMYFUNCTION("""COMPUTED_VALUE"""),46161.70355693287)</f>
        <v>46161.70356</v>
      </c>
      <c r="O208" s="76">
        <f t="shared" si="3"/>
        <v>0.8221375116</v>
      </c>
      <c r="Q208" s="76">
        <f>IFERROR(__xludf.DUMMYFUNCTION("""COMPUTED_VALUE"""),5164.0)</f>
        <v>5164</v>
      </c>
      <c r="R208" s="232">
        <f>IFERROR(__xludf.DUMMYFUNCTION("""COMPUTED_VALUE"""),46162.59513888889)</f>
        <v>46162.59514</v>
      </c>
      <c r="S208" s="84">
        <f>IFERROR(__xludf.DUMMYFUNCTION("""COMPUTED_VALUE"""),46160.75261278935)</f>
        <v>46160.75261</v>
      </c>
      <c r="T208" s="76">
        <f t="shared" si="4"/>
        <v>1.8425261</v>
      </c>
      <c r="V208" s="76">
        <f>IFERROR(__xludf.DUMMYFUNCTION("""COMPUTED_VALUE"""),5169.0)</f>
        <v>5169</v>
      </c>
      <c r="W208" s="232">
        <f>IFERROR(__xludf.DUMMYFUNCTION("""COMPUTED_VALUE"""),46163.567361111105)</f>
        <v>46163.56736</v>
      </c>
      <c r="X208" s="84">
        <f>IFERROR(__xludf.DUMMYFUNCTION("""COMPUTED_VALUE"""),46161.70469079861)</f>
        <v>46161.70469</v>
      </c>
      <c r="Y208" s="76">
        <f t="shared" si="5"/>
        <v>1.862670312</v>
      </c>
      <c r="AK208" s="232"/>
      <c r="AL208" s="233"/>
      <c r="AM208" s="173"/>
    </row>
    <row r="209">
      <c r="A209" s="76">
        <f>IFERROR(__xludf.DUMMYFUNCTION("""COMPUTED_VALUE"""),5170.0)</f>
        <v>5170</v>
      </c>
      <c r="B209" s="232">
        <f>IFERROR(__xludf.DUMMYFUNCTION("""COMPUTED_VALUE"""),46162.493055555555)</f>
        <v>46162.49306</v>
      </c>
      <c r="C209" s="84">
        <f>IFERROR(__xludf.DUMMYFUNCTION("""COMPUTED_VALUE"""),46162.47816726852)</f>
        <v>46162.47817</v>
      </c>
      <c r="D209" s="173">
        <f t="shared" si="1"/>
        <v>0.01488828703</v>
      </c>
      <c r="G209" s="76">
        <f>IFERROR(__xludf.DUMMYFUNCTION("""COMPUTED_VALUE"""),5170.0)</f>
        <v>5170</v>
      </c>
      <c r="H209" s="232">
        <f>IFERROR(__xludf.DUMMYFUNCTION("""COMPUTED_VALUE"""),46162.5)</f>
        <v>46162.5</v>
      </c>
      <c r="I209" s="84">
        <f>IFERROR(__xludf.DUMMYFUNCTION("""COMPUTED_VALUE"""),46162.47822131944)</f>
        <v>46162.47822</v>
      </c>
      <c r="J209" s="76">
        <f t="shared" si="2"/>
        <v>0.02177868056</v>
      </c>
      <c r="L209" s="76">
        <f>IFERROR(__xludf.DUMMYFUNCTION("""COMPUTED_VALUE"""),5170.0)</f>
        <v>5170</v>
      </c>
      <c r="M209" s="232">
        <f>IFERROR(__xludf.DUMMYFUNCTION("""COMPUTED_VALUE"""),46162.604166666664)</f>
        <v>46162.60417</v>
      </c>
      <c r="N209" s="84">
        <f>IFERROR(__xludf.DUMMYFUNCTION("""COMPUTED_VALUE"""),46162.478288796294)</f>
        <v>46162.47829</v>
      </c>
      <c r="O209" s="76">
        <f t="shared" si="3"/>
        <v>0.1258778704</v>
      </c>
      <c r="Q209" s="76">
        <f>IFERROR(__xludf.DUMMYFUNCTION("""COMPUTED_VALUE"""),5165.0)</f>
        <v>5165</v>
      </c>
      <c r="R209" s="232">
        <f>IFERROR(__xludf.DUMMYFUNCTION("""COMPUTED_VALUE"""),46162.611805555556)</f>
        <v>46162.61181</v>
      </c>
      <c r="S209" s="84">
        <f>IFERROR(__xludf.DUMMYFUNCTION("""COMPUTED_VALUE"""),46160.81649629629)</f>
        <v>46160.8165</v>
      </c>
      <c r="T209" s="76">
        <f t="shared" si="4"/>
        <v>1.795309259</v>
      </c>
      <c r="V209" s="76">
        <f>IFERROR(__xludf.DUMMYFUNCTION("""COMPUTED_VALUE"""),5170.0)</f>
        <v>5170</v>
      </c>
      <c r="W209" s="232">
        <f>IFERROR(__xludf.DUMMYFUNCTION("""COMPUTED_VALUE"""),46163.645833333336)</f>
        <v>46163.64583</v>
      </c>
      <c r="X209" s="84">
        <f>IFERROR(__xludf.DUMMYFUNCTION("""COMPUTED_VALUE"""),46162.66984015046)</f>
        <v>46162.66984</v>
      </c>
      <c r="Y209" s="76">
        <f t="shared" si="5"/>
        <v>0.9759931829</v>
      </c>
      <c r="AK209" s="232"/>
      <c r="AL209" s="233"/>
      <c r="AM209" s="173"/>
    </row>
    <row r="210">
      <c r="A210" s="76">
        <f>IFERROR(__xludf.DUMMYFUNCTION("""COMPUTED_VALUE"""),5171.0)</f>
        <v>5171</v>
      </c>
      <c r="B210" s="232">
        <f>IFERROR(__xludf.DUMMYFUNCTION("""COMPUTED_VALUE"""),46163.46319444445)</f>
        <v>46163.46319</v>
      </c>
      <c r="C210" s="84">
        <f>IFERROR(__xludf.DUMMYFUNCTION("""COMPUTED_VALUE"""),46163.43177461806)</f>
        <v>46163.43177</v>
      </c>
      <c r="D210" s="173">
        <f t="shared" si="1"/>
        <v>0.03141982639</v>
      </c>
      <c r="G210" s="76">
        <f>IFERROR(__xludf.DUMMYFUNCTION("""COMPUTED_VALUE"""),5171.0)</f>
        <v>5171</v>
      </c>
      <c r="H210" s="232">
        <f>IFERROR(__xludf.DUMMYFUNCTION("""COMPUTED_VALUE"""),46163.47013888889)</f>
        <v>46163.47014</v>
      </c>
      <c r="I210" s="84">
        <f>IFERROR(__xludf.DUMMYFUNCTION("""COMPUTED_VALUE"""),46163.431932499996)</f>
        <v>46163.43193</v>
      </c>
      <c r="J210" s="76">
        <f t="shared" si="2"/>
        <v>0.0382063889</v>
      </c>
      <c r="L210" s="76">
        <f>IFERROR(__xludf.DUMMYFUNCTION("""COMPUTED_VALUE"""),5171.0)</f>
        <v>5171</v>
      </c>
      <c r="M210" s="232">
        <f>IFERROR(__xludf.DUMMYFUNCTION("""COMPUTED_VALUE"""),46163.57430555556)</f>
        <v>46163.57431</v>
      </c>
      <c r="N210" s="84">
        <f>IFERROR(__xludf.DUMMYFUNCTION("""COMPUTED_VALUE"""),46163.43198136574)</f>
        <v>46163.43198</v>
      </c>
      <c r="O210" s="76">
        <f t="shared" si="3"/>
        <v>0.1423241898</v>
      </c>
      <c r="Q210" s="76">
        <f>IFERROR(__xludf.DUMMYFUNCTION("""COMPUTED_VALUE"""),5166.0)</f>
        <v>5166</v>
      </c>
      <c r="R210" s="232">
        <f>IFERROR(__xludf.DUMMYFUNCTION("""COMPUTED_VALUE"""),46162.74166666667)</f>
        <v>46162.74167</v>
      </c>
      <c r="S210" s="84">
        <f>IFERROR(__xludf.DUMMYFUNCTION("""COMPUTED_VALUE"""),46162.65347858796)</f>
        <v>46162.65348</v>
      </c>
      <c r="T210" s="76">
        <f t="shared" si="4"/>
        <v>0.08818807871</v>
      </c>
      <c r="V210" s="76">
        <f>IFERROR(__xludf.DUMMYFUNCTION("""COMPUTED_VALUE"""),5171.0)</f>
        <v>5171</v>
      </c>
      <c r="W210" s="232">
        <f>IFERROR(__xludf.DUMMYFUNCTION("""COMPUTED_VALUE"""),46164.615972222215)</f>
        <v>46164.61597</v>
      </c>
      <c r="X210" s="84">
        <f>IFERROR(__xludf.DUMMYFUNCTION("""COMPUTED_VALUE"""),46163.70188458334)</f>
        <v>46163.70188</v>
      </c>
      <c r="Y210" s="76">
        <f t="shared" si="5"/>
        <v>0.9140876389</v>
      </c>
      <c r="AK210" s="232"/>
      <c r="AL210" s="233"/>
      <c r="AM210" s="173"/>
    </row>
    <row r="211">
      <c r="A211" s="76">
        <f>IFERROR(__xludf.DUMMYFUNCTION("""COMPUTED_VALUE"""),5172.0)</f>
        <v>5172</v>
      </c>
      <c r="B211" s="232">
        <f>IFERROR(__xludf.DUMMYFUNCTION("""COMPUTED_VALUE"""),46163.62847486111)</f>
        <v>46163.62847</v>
      </c>
      <c r="C211" s="84">
        <f>IFERROR(__xludf.DUMMYFUNCTION("""COMPUTED_VALUE"""),46163.52292459491)</f>
        <v>46163.52292</v>
      </c>
      <c r="D211" s="173">
        <f t="shared" si="1"/>
        <v>0.1055502662</v>
      </c>
      <c r="G211" s="76">
        <f>IFERROR(__xludf.DUMMYFUNCTION("""COMPUTED_VALUE"""),5172.0)</f>
        <v>5172</v>
      </c>
      <c r="H211" s="232">
        <f>IFERROR(__xludf.DUMMYFUNCTION("""COMPUTED_VALUE"""),46163.63541930555)</f>
        <v>46163.63542</v>
      </c>
      <c r="I211" s="84">
        <f>IFERROR(__xludf.DUMMYFUNCTION("""COMPUTED_VALUE"""),46163.523149155095)</f>
        <v>46163.52315</v>
      </c>
      <c r="J211" s="76">
        <f t="shared" si="2"/>
        <v>0.1122701505</v>
      </c>
      <c r="L211" s="76">
        <f>IFERROR(__xludf.DUMMYFUNCTION("""COMPUTED_VALUE"""),5172.0)</f>
        <v>5172</v>
      </c>
      <c r="M211" s="232">
        <f>IFERROR(__xludf.DUMMYFUNCTION("""COMPUTED_VALUE"""),46163.73958597222)</f>
        <v>46163.73959</v>
      </c>
      <c r="N211" s="84">
        <f>IFERROR(__xludf.DUMMYFUNCTION("""COMPUTED_VALUE"""),46163.52333157408)</f>
        <v>46163.52333</v>
      </c>
      <c r="O211" s="76">
        <f t="shared" si="3"/>
        <v>0.2162543981</v>
      </c>
      <c r="Q211" s="76">
        <f>IFERROR(__xludf.DUMMYFUNCTION("""COMPUTED_VALUE"""),5167.0)</f>
        <v>5167</v>
      </c>
      <c r="R211" s="232">
        <f>IFERROR(__xludf.DUMMYFUNCTION("""COMPUTED_VALUE"""),46162.79583333333)</f>
        <v>46162.79583</v>
      </c>
      <c r="S211" s="84">
        <f>IFERROR(__xludf.DUMMYFUNCTION("""COMPUTED_VALUE"""),46161.70373471065)</f>
        <v>46161.70373</v>
      </c>
      <c r="T211" s="76">
        <f t="shared" si="4"/>
        <v>1.092098623</v>
      </c>
      <c r="V211" s="76">
        <f>IFERROR(__xludf.DUMMYFUNCTION("""COMPUTED_VALUE"""),5172.0)</f>
        <v>5172</v>
      </c>
      <c r="W211" s="232">
        <f>IFERROR(__xludf.DUMMYFUNCTION("""COMPUTED_VALUE"""),46164.78125)</f>
        <v>46164.78125</v>
      </c>
      <c r="X211" s="84">
        <f>IFERROR(__xludf.DUMMYFUNCTION("""COMPUTED_VALUE"""),46164.488660138886)</f>
        <v>46164.48866</v>
      </c>
      <c r="Y211" s="76">
        <f t="shared" si="5"/>
        <v>0.2925898611</v>
      </c>
      <c r="AK211" s="232"/>
      <c r="AL211" s="233"/>
      <c r="AM211" s="173"/>
    </row>
    <row r="212">
      <c r="A212" s="76">
        <f>IFERROR(__xludf.DUMMYFUNCTION("""COMPUTED_VALUE"""),5173.0)</f>
        <v>5173</v>
      </c>
      <c r="B212" s="232">
        <f>IFERROR(__xludf.DUMMYFUNCTION("""COMPUTED_VALUE"""),46163.69376879629)</f>
        <v>46163.69377</v>
      </c>
      <c r="C212" s="84">
        <f>IFERROR(__xludf.DUMMYFUNCTION("""COMPUTED_VALUE"""),46163.55700689815)</f>
        <v>46163.55701</v>
      </c>
      <c r="D212" s="173">
        <f t="shared" si="1"/>
        <v>0.1367618981</v>
      </c>
      <c r="G212" s="76">
        <f>IFERROR(__xludf.DUMMYFUNCTION("""COMPUTED_VALUE"""),5173.0)</f>
        <v>5173</v>
      </c>
      <c r="H212" s="232">
        <f>IFERROR(__xludf.DUMMYFUNCTION("""COMPUTED_VALUE"""),46163.70071324074)</f>
        <v>46163.70071</v>
      </c>
      <c r="I212" s="84">
        <f>IFERROR(__xludf.DUMMYFUNCTION("""COMPUTED_VALUE"""),46163.557141122685)</f>
        <v>46163.55714</v>
      </c>
      <c r="J212" s="76">
        <f t="shared" si="2"/>
        <v>0.1435721181</v>
      </c>
      <c r="L212" s="76">
        <f>IFERROR(__xludf.DUMMYFUNCTION("""COMPUTED_VALUE"""),5173.0)</f>
        <v>5173</v>
      </c>
      <c r="M212" s="232">
        <f>IFERROR(__xludf.DUMMYFUNCTION("""COMPUTED_VALUE"""),46163.8048799074)</f>
        <v>46163.80488</v>
      </c>
      <c r="N212" s="84">
        <f>IFERROR(__xludf.DUMMYFUNCTION("""COMPUTED_VALUE"""),46163.557550763886)</f>
        <v>46163.55755</v>
      </c>
      <c r="O212" s="76">
        <f t="shared" si="3"/>
        <v>0.2473291435</v>
      </c>
      <c r="Q212" s="76">
        <f>IFERROR(__xludf.DUMMYFUNCTION("""COMPUTED_VALUE"""),5168.0)</f>
        <v>5168</v>
      </c>
      <c r="R212" s="232">
        <f>IFERROR(__xludf.DUMMYFUNCTION("""COMPUTED_VALUE"""),46162.81180555555)</f>
        <v>46162.81181</v>
      </c>
      <c r="S212" s="84">
        <f>IFERROR(__xludf.DUMMYFUNCTION("""COMPUTED_VALUE"""),46162.65352475694)</f>
        <v>46162.65352</v>
      </c>
      <c r="T212" s="76">
        <f t="shared" si="4"/>
        <v>0.1582807986</v>
      </c>
      <c r="V212" s="76">
        <f>IFERROR(__xludf.DUMMYFUNCTION("""COMPUTED_VALUE"""),5173.0)</f>
        <v>5173</v>
      </c>
      <c r="W212" s="232">
        <f>IFERROR(__xludf.DUMMYFUNCTION("""COMPUTED_VALUE"""),46165.42986111111)</f>
        <v>46165.42986</v>
      </c>
      <c r="X212" s="84">
        <f>IFERROR(__xludf.DUMMYFUNCTION("""COMPUTED_VALUE"""),46163.65139806713)</f>
        <v>46163.6514</v>
      </c>
      <c r="Y212" s="76">
        <f t="shared" si="5"/>
        <v>1.778463044</v>
      </c>
      <c r="AK212" s="232"/>
      <c r="AL212" s="233"/>
      <c r="AM212" s="173"/>
    </row>
    <row r="213">
      <c r="A213" s="76">
        <f>IFERROR(__xludf.DUMMYFUNCTION("""COMPUTED_VALUE"""),5174.0)</f>
        <v>5174</v>
      </c>
      <c r="B213" s="232">
        <f>IFERROR(__xludf.DUMMYFUNCTION("""COMPUTED_VALUE"""),46163.70753893518)</f>
        <v>46163.70754</v>
      </c>
      <c r="C213" s="84">
        <f>IFERROR(__xludf.DUMMYFUNCTION("""COMPUTED_VALUE"""),46163.55703486111)</f>
        <v>46163.55703</v>
      </c>
      <c r="D213" s="173">
        <f t="shared" si="1"/>
        <v>0.1505040741</v>
      </c>
      <c r="G213" s="76">
        <f>IFERROR(__xludf.DUMMYFUNCTION("""COMPUTED_VALUE"""),5174.0)</f>
        <v>5174</v>
      </c>
      <c r="H213" s="232">
        <f>IFERROR(__xludf.DUMMYFUNCTION("""COMPUTED_VALUE"""),46163.71448337963)</f>
        <v>46163.71448</v>
      </c>
      <c r="I213" s="84">
        <f>IFERROR(__xludf.DUMMYFUNCTION("""COMPUTED_VALUE"""),46163.557154305556)</f>
        <v>46163.55715</v>
      </c>
      <c r="J213" s="76">
        <f t="shared" si="2"/>
        <v>0.1573290741</v>
      </c>
      <c r="L213" s="76">
        <f>IFERROR(__xludf.DUMMYFUNCTION("""COMPUTED_VALUE"""),5174.0)</f>
        <v>5174</v>
      </c>
      <c r="M213" s="232">
        <f>IFERROR(__xludf.DUMMYFUNCTION("""COMPUTED_VALUE"""),46163.81865004629)</f>
        <v>46163.81865</v>
      </c>
      <c r="N213" s="84">
        <f>IFERROR(__xludf.DUMMYFUNCTION("""COMPUTED_VALUE"""),46163.55753464121)</f>
        <v>46163.55753</v>
      </c>
      <c r="O213" s="76">
        <f t="shared" si="3"/>
        <v>0.2611154051</v>
      </c>
      <c r="Q213" s="76">
        <f>IFERROR(__xludf.DUMMYFUNCTION("""COMPUTED_VALUE"""),5169.0)</f>
        <v>5169</v>
      </c>
      <c r="R213" s="232">
        <f>IFERROR(__xludf.DUMMYFUNCTION("""COMPUTED_VALUE"""),46163.52569444444)</f>
        <v>46163.52569</v>
      </c>
      <c r="S213" s="84">
        <f>IFERROR(__xludf.DUMMYFUNCTION("""COMPUTED_VALUE"""),46161.70378627315)</f>
        <v>46161.70379</v>
      </c>
      <c r="T213" s="76">
        <f t="shared" si="4"/>
        <v>1.821908171</v>
      </c>
      <c r="V213" s="76">
        <f>IFERROR(__xludf.DUMMYFUNCTION("""COMPUTED_VALUE"""),5174.0)</f>
        <v>5174</v>
      </c>
      <c r="W213" s="232">
        <f>IFERROR(__xludf.DUMMYFUNCTION("""COMPUTED_VALUE"""),46165.44305555555)</f>
        <v>46165.44306</v>
      </c>
      <c r="X213" s="84">
        <f>IFERROR(__xludf.DUMMYFUNCTION("""COMPUTED_VALUE"""),46164.446637824076)</f>
        <v>46164.44664</v>
      </c>
      <c r="Y213" s="76">
        <f t="shared" si="5"/>
        <v>0.9964177315</v>
      </c>
      <c r="AK213" s="232"/>
      <c r="AL213" s="233"/>
      <c r="AM213" s="173"/>
    </row>
    <row r="214">
      <c r="A214" s="76">
        <f>IFERROR(__xludf.DUMMYFUNCTION("""COMPUTED_VALUE"""),5175.0)</f>
        <v>5175</v>
      </c>
      <c r="B214" s="232">
        <f>IFERROR(__xludf.DUMMYFUNCTION("""COMPUTED_VALUE"""),46163.71682987268)</f>
        <v>46163.71683</v>
      </c>
      <c r="C214" s="84">
        <f>IFERROR(__xludf.DUMMYFUNCTION("""COMPUTED_VALUE"""),46163.55721028935)</f>
        <v>46163.55721</v>
      </c>
      <c r="D214" s="173">
        <f t="shared" si="1"/>
        <v>0.1596195833</v>
      </c>
      <c r="G214" s="76">
        <f>IFERROR(__xludf.DUMMYFUNCTION("""COMPUTED_VALUE"""),5175.0)</f>
        <v>5175</v>
      </c>
      <c r="H214" s="232">
        <f>IFERROR(__xludf.DUMMYFUNCTION("""COMPUTED_VALUE"""),46163.72377431713)</f>
        <v>46163.72377</v>
      </c>
      <c r="I214" s="84">
        <f>IFERROR(__xludf.DUMMYFUNCTION("""COMPUTED_VALUE"""),46163.55727723379)</f>
        <v>46163.55728</v>
      </c>
      <c r="J214" s="76">
        <f t="shared" si="2"/>
        <v>0.1664970833</v>
      </c>
      <c r="L214" s="76">
        <f>IFERROR(__xludf.DUMMYFUNCTION("""COMPUTED_VALUE"""),5175.0)</f>
        <v>5175</v>
      </c>
      <c r="M214" s="232">
        <f>IFERROR(__xludf.DUMMYFUNCTION("""COMPUTED_VALUE"""),46163.82794098379)</f>
        <v>46163.82794</v>
      </c>
      <c r="N214" s="84">
        <f>IFERROR(__xludf.DUMMYFUNCTION("""COMPUTED_VALUE"""),46163.557515196764)</f>
        <v>46163.55752</v>
      </c>
      <c r="O214" s="76">
        <f t="shared" si="3"/>
        <v>0.270425787</v>
      </c>
      <c r="Q214" s="76">
        <f>IFERROR(__xludf.DUMMYFUNCTION("""COMPUTED_VALUE"""),5170.0)</f>
        <v>5170</v>
      </c>
      <c r="R214" s="232">
        <f>IFERROR(__xludf.DUMMYFUNCTION("""COMPUTED_VALUE"""),46163.60416666667)</f>
        <v>46163.60417</v>
      </c>
      <c r="S214" s="84">
        <f>IFERROR(__xludf.DUMMYFUNCTION("""COMPUTED_VALUE"""),46162.66981464121)</f>
        <v>46162.66981</v>
      </c>
      <c r="T214" s="76">
        <f t="shared" si="4"/>
        <v>0.9343520255</v>
      </c>
      <c r="V214" s="76">
        <f>IFERROR(__xludf.DUMMYFUNCTION("""COMPUTED_VALUE"""),5175.0)</f>
        <v>5175</v>
      </c>
      <c r="W214" s="232">
        <f>IFERROR(__xludf.DUMMYFUNCTION("""COMPUTED_VALUE"""),46165.45277777778)</f>
        <v>46165.45278</v>
      </c>
      <c r="X214" s="84">
        <f>IFERROR(__xludf.DUMMYFUNCTION("""COMPUTED_VALUE"""),46164.48873629629)</f>
        <v>46164.48874</v>
      </c>
      <c r="Y214" s="76">
        <f t="shared" si="5"/>
        <v>0.9640414815</v>
      </c>
      <c r="AK214" s="232"/>
      <c r="AL214" s="233"/>
      <c r="AM214" s="173"/>
    </row>
    <row r="215">
      <c r="A215" s="76">
        <f>IFERROR(__xludf.DUMMYFUNCTION("""COMPUTED_VALUE"""),5176.0)</f>
        <v>5176</v>
      </c>
      <c r="B215" s="232">
        <f>IFERROR(__xludf.DUMMYFUNCTION("""COMPUTED_VALUE"""),46163.71703822916)</f>
        <v>46163.71704</v>
      </c>
      <c r="C215" s="84">
        <f>IFERROR(__xludf.DUMMYFUNCTION("""COMPUTED_VALUE"""),46163.55735351852)</f>
        <v>46163.55735</v>
      </c>
      <c r="D215" s="173">
        <f t="shared" si="1"/>
        <v>0.1596847106</v>
      </c>
      <c r="G215" s="76">
        <f>IFERROR(__xludf.DUMMYFUNCTION("""COMPUTED_VALUE"""),5176.0)</f>
        <v>5176</v>
      </c>
      <c r="H215" s="232">
        <f>IFERROR(__xludf.DUMMYFUNCTION("""COMPUTED_VALUE"""),46163.723982673604)</f>
        <v>46163.72398</v>
      </c>
      <c r="I215" s="84">
        <f>IFERROR(__xludf.DUMMYFUNCTION("""COMPUTED_VALUE"""),46163.55743826389)</f>
        <v>46163.55744</v>
      </c>
      <c r="J215" s="76">
        <f t="shared" si="2"/>
        <v>0.1665444097</v>
      </c>
      <c r="L215" s="76">
        <f>IFERROR(__xludf.DUMMYFUNCTION("""COMPUTED_VALUE"""),5176.0)</f>
        <v>5176</v>
      </c>
      <c r="M215" s="232">
        <f>IFERROR(__xludf.DUMMYFUNCTION("""COMPUTED_VALUE"""),46163.82814934027)</f>
        <v>46163.82815</v>
      </c>
      <c r="N215" s="84">
        <f>IFERROR(__xludf.DUMMYFUNCTION("""COMPUTED_VALUE"""),46163.55749180556)</f>
        <v>46163.55749</v>
      </c>
      <c r="O215" s="76">
        <f t="shared" si="3"/>
        <v>0.2706575347</v>
      </c>
      <c r="Q215" s="76">
        <f>IFERROR(__xludf.DUMMYFUNCTION("""COMPUTED_VALUE"""),5171.0)</f>
        <v>5171</v>
      </c>
      <c r="R215" s="232">
        <f>IFERROR(__xludf.DUMMYFUNCTION("""COMPUTED_VALUE"""),46164.57430555555)</f>
        <v>46164.57431</v>
      </c>
      <c r="S215" s="84">
        <f>IFERROR(__xludf.DUMMYFUNCTION("""COMPUTED_VALUE"""),46163.701839421294)</f>
        <v>46163.70184</v>
      </c>
      <c r="T215" s="76">
        <f t="shared" si="4"/>
        <v>0.8724661343</v>
      </c>
      <c r="V215" s="76">
        <f>IFERROR(__xludf.DUMMYFUNCTION("""COMPUTED_VALUE"""),5176.0)</f>
        <v>5176</v>
      </c>
      <c r="W215" s="232">
        <f>IFERROR(__xludf.DUMMYFUNCTION("""COMPUTED_VALUE"""),46165.45277777778)</f>
        <v>46165.45278</v>
      </c>
      <c r="X215" s="84">
        <f>IFERROR(__xludf.DUMMYFUNCTION("""COMPUTED_VALUE"""),46163.65141716435)</f>
        <v>46163.65142</v>
      </c>
      <c r="Y215" s="76">
        <f t="shared" si="5"/>
        <v>1.801360613</v>
      </c>
      <c r="AK215" s="232"/>
      <c r="AL215" s="233"/>
      <c r="AM215" s="173"/>
    </row>
    <row r="216">
      <c r="A216" s="76">
        <f>IFERROR(__xludf.DUMMYFUNCTION("""COMPUTED_VALUE"""),5177.0)</f>
        <v>5177</v>
      </c>
      <c r="B216" s="232">
        <f>IFERROR(__xludf.DUMMYFUNCTION("""COMPUTED_VALUE"""),46164.434027777774)</f>
        <v>46164.43403</v>
      </c>
      <c r="C216" s="84">
        <f>IFERROR(__xludf.DUMMYFUNCTION("""COMPUTED_VALUE"""),46163.70153856481)</f>
        <v>46163.70154</v>
      </c>
      <c r="D216" s="173">
        <f t="shared" si="1"/>
        <v>0.732489213</v>
      </c>
      <c r="G216" s="76">
        <f>IFERROR(__xludf.DUMMYFUNCTION("""COMPUTED_VALUE"""),5177.0)</f>
        <v>5177</v>
      </c>
      <c r="H216" s="232">
        <f>IFERROR(__xludf.DUMMYFUNCTION("""COMPUTED_VALUE"""),46164.44097222222)</f>
        <v>46164.44097</v>
      </c>
      <c r="I216" s="84">
        <f>IFERROR(__xludf.DUMMYFUNCTION("""COMPUTED_VALUE"""),46163.70168079861)</f>
        <v>46163.70168</v>
      </c>
      <c r="J216" s="76">
        <f t="shared" si="2"/>
        <v>0.7392914236</v>
      </c>
      <c r="L216" s="76">
        <f>IFERROR(__xludf.DUMMYFUNCTION("""COMPUTED_VALUE"""),5177.0)</f>
        <v>5177</v>
      </c>
      <c r="M216" s="232">
        <f>IFERROR(__xludf.DUMMYFUNCTION("""COMPUTED_VALUE"""),46164.54513888888)</f>
        <v>46164.54514</v>
      </c>
      <c r="N216" s="84">
        <f>IFERROR(__xludf.DUMMYFUNCTION("""COMPUTED_VALUE"""),46163.70171496528)</f>
        <v>46163.70171</v>
      </c>
      <c r="O216" s="76">
        <f t="shared" si="3"/>
        <v>0.8434239236</v>
      </c>
      <c r="Q216" s="76">
        <f>IFERROR(__xludf.DUMMYFUNCTION("""COMPUTED_VALUE"""),5172.0)</f>
        <v>5172</v>
      </c>
      <c r="R216" s="232">
        <f>IFERROR(__xludf.DUMMYFUNCTION("""COMPUTED_VALUE"""),46164.739583333336)</f>
        <v>46164.73958</v>
      </c>
      <c r="S216" s="84">
        <f>IFERROR(__xludf.DUMMYFUNCTION("""COMPUTED_VALUE"""),46164.48861355324)</f>
        <v>46164.48861</v>
      </c>
      <c r="T216" s="76">
        <f t="shared" si="4"/>
        <v>0.2509697801</v>
      </c>
      <c r="V216" s="76">
        <f>IFERROR(__xludf.DUMMYFUNCTION("""COMPUTED_VALUE"""),5177.0)</f>
        <v>5177</v>
      </c>
      <c r="W216" s="232">
        <f>IFERROR(__xludf.DUMMYFUNCTION("""COMPUTED_VALUE"""),46165.58680555555)</f>
        <v>46165.58681</v>
      </c>
      <c r="X216" s="84">
        <f>IFERROR(__xludf.DUMMYFUNCTION("""COMPUTED_VALUE"""),46164.42407569445)</f>
        <v>46164.42408</v>
      </c>
      <c r="Y216" s="76">
        <f t="shared" si="5"/>
        <v>1.162729861</v>
      </c>
      <c r="AK216" s="232"/>
      <c r="AL216" s="233"/>
      <c r="AM216" s="173"/>
    </row>
    <row r="217">
      <c r="A217" s="76">
        <f>IFERROR(__xludf.DUMMYFUNCTION("""COMPUTED_VALUE"""),5178.0)</f>
        <v>5178</v>
      </c>
      <c r="B217" s="232">
        <f>IFERROR(__xludf.DUMMYFUNCTION("""COMPUTED_VALUE"""),46164.43541666667)</f>
        <v>46164.43542</v>
      </c>
      <c r="C217" s="84">
        <f>IFERROR(__xludf.DUMMYFUNCTION("""COMPUTED_VALUE"""),46163.70154789352)</f>
        <v>46163.70155</v>
      </c>
      <c r="D217" s="173">
        <f t="shared" si="1"/>
        <v>0.7338687731</v>
      </c>
      <c r="G217" s="76">
        <f>IFERROR(__xludf.DUMMYFUNCTION("""COMPUTED_VALUE"""),5178.0)</f>
        <v>5178</v>
      </c>
      <c r="H217" s="232">
        <f>IFERROR(__xludf.DUMMYFUNCTION("""COMPUTED_VALUE"""),46164.44236111111)</f>
        <v>46164.44236</v>
      </c>
      <c r="I217" s="84">
        <f>IFERROR(__xludf.DUMMYFUNCTION("""COMPUTED_VALUE"""),46163.70169041667)</f>
        <v>46163.70169</v>
      </c>
      <c r="J217" s="76">
        <f t="shared" si="2"/>
        <v>0.7406706944</v>
      </c>
      <c r="L217" s="76">
        <f>IFERROR(__xludf.DUMMYFUNCTION("""COMPUTED_VALUE"""),5178.0)</f>
        <v>5178</v>
      </c>
      <c r="M217" s="232">
        <f>IFERROR(__xludf.DUMMYFUNCTION("""COMPUTED_VALUE"""),46164.54652777778)</f>
        <v>46164.54653</v>
      </c>
      <c r="N217" s="84">
        <f>IFERROR(__xludf.DUMMYFUNCTION("""COMPUTED_VALUE"""),46164.44635886574)</f>
        <v>46164.44636</v>
      </c>
      <c r="O217" s="76">
        <f t="shared" si="3"/>
        <v>0.100168912</v>
      </c>
      <c r="Q217" s="76">
        <f>IFERROR(__xludf.DUMMYFUNCTION("""COMPUTED_VALUE"""),5173.0)</f>
        <v>5173</v>
      </c>
      <c r="R217" s="232">
        <f>IFERROR(__xludf.DUMMYFUNCTION("""COMPUTED_VALUE"""),46164.80486111111)</f>
        <v>46164.80486</v>
      </c>
      <c r="S217" s="84">
        <f>IFERROR(__xludf.DUMMYFUNCTION("""COMPUTED_VALUE"""),46163.65130957176)</f>
        <v>46163.65131</v>
      </c>
      <c r="T217" s="76">
        <f t="shared" si="4"/>
        <v>1.153551539</v>
      </c>
      <c r="V217" s="76">
        <f>IFERROR(__xludf.DUMMYFUNCTION("""COMPUTED_VALUE"""),5178.0)</f>
        <v>5178</v>
      </c>
      <c r="W217" s="232">
        <f>IFERROR(__xludf.DUMMYFUNCTION("""COMPUTED_VALUE"""),46165.58819444444)</f>
        <v>46165.58819</v>
      </c>
      <c r="X217" s="84">
        <f>IFERROR(__xludf.DUMMYFUNCTION("""COMPUTED_VALUE"""),46164.42409100695)</f>
        <v>46164.42409</v>
      </c>
      <c r="Y217" s="76">
        <f t="shared" si="5"/>
        <v>1.164103437</v>
      </c>
      <c r="AK217" s="232"/>
      <c r="AL217" s="233"/>
      <c r="AM217" s="173"/>
    </row>
    <row r="218">
      <c r="A218" s="76">
        <f>IFERROR(__xludf.DUMMYFUNCTION("""COMPUTED_VALUE"""),5179.0)</f>
        <v>5179</v>
      </c>
      <c r="B218" s="232">
        <f>IFERROR(__xludf.DUMMYFUNCTION("""COMPUTED_VALUE"""),46164.455555555556)</f>
        <v>46164.45556</v>
      </c>
      <c r="C218" s="84">
        <f>IFERROR(__xludf.DUMMYFUNCTION("""COMPUTED_VALUE"""),46163.746767743054)</f>
        <v>46163.74677</v>
      </c>
      <c r="D218" s="173">
        <f t="shared" si="1"/>
        <v>0.7087878125</v>
      </c>
      <c r="G218" s="76">
        <f>IFERROR(__xludf.DUMMYFUNCTION("""COMPUTED_VALUE"""),5179.0)</f>
        <v>5179</v>
      </c>
      <c r="H218" s="232">
        <f>IFERROR(__xludf.DUMMYFUNCTION("""COMPUTED_VALUE"""),46164.4625)</f>
        <v>46164.4625</v>
      </c>
      <c r="I218" s="84">
        <f>IFERROR(__xludf.DUMMYFUNCTION("""COMPUTED_VALUE"""),46163.74683670139)</f>
        <v>46163.74684</v>
      </c>
      <c r="J218" s="76">
        <f t="shared" si="2"/>
        <v>0.7156632986</v>
      </c>
      <c r="L218" s="76">
        <f>IFERROR(__xludf.DUMMYFUNCTION("""COMPUTED_VALUE"""),5179.0)</f>
        <v>5179</v>
      </c>
      <c r="M218" s="232">
        <f>IFERROR(__xludf.DUMMYFUNCTION("""COMPUTED_VALUE"""),46164.566666666666)</f>
        <v>46164.56667</v>
      </c>
      <c r="N218" s="84">
        <f>IFERROR(__xludf.DUMMYFUNCTION("""COMPUTED_VALUE"""),46163.74686762731)</f>
        <v>46163.74687</v>
      </c>
      <c r="O218" s="76">
        <f t="shared" si="3"/>
        <v>0.8197990394</v>
      </c>
      <c r="Q218" s="76">
        <f>IFERROR(__xludf.DUMMYFUNCTION("""COMPUTED_VALUE"""),5174.0)</f>
        <v>5174</v>
      </c>
      <c r="R218" s="232">
        <f>IFERROR(__xludf.DUMMYFUNCTION("""COMPUTED_VALUE"""),46164.81805555555)</f>
        <v>46164.81806</v>
      </c>
      <c r="S218" s="84">
        <f>IFERROR(__xludf.DUMMYFUNCTION("""COMPUTED_VALUE"""),46163.65132449074)</f>
        <v>46163.65132</v>
      </c>
      <c r="T218" s="76">
        <f t="shared" si="4"/>
        <v>1.166731065</v>
      </c>
      <c r="V218" s="76">
        <f>IFERROR(__xludf.DUMMYFUNCTION("""COMPUTED_VALUE"""),5179.0)</f>
        <v>5179</v>
      </c>
      <c r="W218" s="232">
        <f>IFERROR(__xludf.DUMMYFUNCTION("""COMPUTED_VALUE"""),46165.60833333333)</f>
        <v>46165.60833</v>
      </c>
      <c r="X218" s="84">
        <f>IFERROR(__xludf.DUMMYFUNCTION("""COMPUTED_VALUE"""),46163.808476087965)</f>
        <v>46163.80848</v>
      </c>
      <c r="Y218" s="76">
        <f t="shared" si="5"/>
        <v>1.799857245</v>
      </c>
      <c r="AK218" s="232"/>
      <c r="AL218" s="233"/>
      <c r="AM218" s="173"/>
    </row>
    <row r="219">
      <c r="A219" s="76">
        <f>IFERROR(__xludf.DUMMYFUNCTION("""COMPUTED_VALUE"""),5180.0)</f>
        <v>5180</v>
      </c>
      <c r="B219" s="232">
        <f>IFERROR(__xludf.DUMMYFUNCTION("""COMPUTED_VALUE"""),46164.506944444445)</f>
        <v>46164.50694</v>
      </c>
      <c r="C219" s="84">
        <f>IFERROR(__xludf.DUMMYFUNCTION("""COMPUTED_VALUE"""),46163.79924601852)</f>
        <v>46163.79925</v>
      </c>
      <c r="D219" s="173">
        <f t="shared" si="1"/>
        <v>0.7076984259</v>
      </c>
      <c r="G219" s="76">
        <f>IFERROR(__xludf.DUMMYFUNCTION("""COMPUTED_VALUE"""),5180.0)</f>
        <v>5180</v>
      </c>
      <c r="H219" s="232">
        <f>IFERROR(__xludf.DUMMYFUNCTION("""COMPUTED_VALUE"""),46164.51388888889)</f>
        <v>46164.51389</v>
      </c>
      <c r="I219" s="84">
        <f>IFERROR(__xludf.DUMMYFUNCTION("""COMPUTED_VALUE"""),46163.79938041666)</f>
        <v>46163.79938</v>
      </c>
      <c r="J219" s="76">
        <f t="shared" si="2"/>
        <v>0.7145084722</v>
      </c>
      <c r="L219" s="76">
        <f>IFERROR(__xludf.DUMMYFUNCTION("""COMPUTED_VALUE"""),5180.0)</f>
        <v>5180</v>
      </c>
      <c r="M219" s="232">
        <f>IFERROR(__xludf.DUMMYFUNCTION("""COMPUTED_VALUE"""),46164.618055555555)</f>
        <v>46164.61806</v>
      </c>
      <c r="N219" s="84">
        <f>IFERROR(__xludf.DUMMYFUNCTION("""COMPUTED_VALUE"""),46163.799453113425)</f>
        <v>46163.79945</v>
      </c>
      <c r="O219" s="76">
        <f t="shared" si="3"/>
        <v>0.8186024421</v>
      </c>
      <c r="Q219" s="76">
        <f>IFERROR(__xludf.DUMMYFUNCTION("""COMPUTED_VALUE"""),5175.0)</f>
        <v>5175</v>
      </c>
      <c r="R219" s="232">
        <f>IFERROR(__xludf.DUMMYFUNCTION("""COMPUTED_VALUE"""),46164.82777777778)</f>
        <v>46164.82778</v>
      </c>
      <c r="S219" s="84">
        <f>IFERROR(__xludf.DUMMYFUNCTION("""COMPUTED_VALUE"""),46164.48870826389)</f>
        <v>46164.48871</v>
      </c>
      <c r="T219" s="76">
        <f t="shared" si="4"/>
        <v>0.3390695139</v>
      </c>
      <c r="V219" s="76">
        <f>IFERROR(__xludf.DUMMYFUNCTION("""COMPUTED_VALUE"""),5180.0)</f>
        <v>5180</v>
      </c>
      <c r="W219" s="232">
        <f>IFERROR(__xludf.DUMMYFUNCTION("""COMPUTED_VALUE"""),46165.65972222222)</f>
        <v>46165.65972</v>
      </c>
      <c r="X219" s="84">
        <f>IFERROR(__xludf.DUMMYFUNCTION("""COMPUTED_VALUE"""),46164.42414809028)</f>
        <v>46164.42415</v>
      </c>
      <c r="Y219" s="76">
        <f t="shared" si="5"/>
        <v>1.235574132</v>
      </c>
      <c r="AK219" s="232"/>
      <c r="AL219" s="233"/>
      <c r="AM219" s="173"/>
    </row>
    <row r="220">
      <c r="A220" s="76">
        <f>IFERROR(__xludf.DUMMYFUNCTION("""COMPUTED_VALUE"""),5181.0)</f>
        <v>5181</v>
      </c>
      <c r="B220" s="232">
        <f>IFERROR(__xludf.DUMMYFUNCTION("""COMPUTED_VALUE"""),46164.544444444444)</f>
        <v>46164.54444</v>
      </c>
      <c r="C220" s="84">
        <f>IFERROR(__xludf.DUMMYFUNCTION("""COMPUTED_VALUE"""),46163.807949525464)</f>
        <v>46163.80795</v>
      </c>
      <c r="D220" s="173">
        <f t="shared" si="1"/>
        <v>0.736494919</v>
      </c>
      <c r="G220" s="76">
        <f>IFERROR(__xludf.DUMMYFUNCTION("""COMPUTED_VALUE"""),5181.0)</f>
        <v>5181</v>
      </c>
      <c r="H220" s="232">
        <f>IFERROR(__xludf.DUMMYFUNCTION("""COMPUTED_VALUE"""),46164.55138888889)</f>
        <v>46164.55139</v>
      </c>
      <c r="I220" s="84">
        <f>IFERROR(__xludf.DUMMYFUNCTION("""COMPUTED_VALUE"""),46163.80800751157)</f>
        <v>46163.80801</v>
      </c>
      <c r="J220" s="76">
        <f t="shared" si="2"/>
        <v>0.7433813773</v>
      </c>
      <c r="L220" s="76">
        <f>IFERROR(__xludf.DUMMYFUNCTION("""COMPUTED_VALUE"""),5181.0)</f>
        <v>5181</v>
      </c>
      <c r="M220" s="232">
        <f>IFERROR(__xludf.DUMMYFUNCTION("""COMPUTED_VALUE"""),46164.65555555555)</f>
        <v>46164.65556</v>
      </c>
      <c r="N220" s="84">
        <f>IFERROR(__xludf.DUMMYFUNCTION("""COMPUTED_VALUE"""),46163.80807886574)</f>
        <v>46163.80808</v>
      </c>
      <c r="O220" s="76">
        <f t="shared" si="3"/>
        <v>0.8474766898</v>
      </c>
      <c r="Q220" s="76">
        <f>IFERROR(__xludf.DUMMYFUNCTION("""COMPUTED_VALUE"""),5176.0)</f>
        <v>5176</v>
      </c>
      <c r="R220" s="232">
        <f>IFERROR(__xludf.DUMMYFUNCTION("""COMPUTED_VALUE"""),46164.82777777778)</f>
        <v>46164.82778</v>
      </c>
      <c r="S220" s="84">
        <f>IFERROR(__xludf.DUMMYFUNCTION("""COMPUTED_VALUE"""),46163.651269236114)</f>
        <v>46163.65127</v>
      </c>
      <c r="T220" s="76">
        <f t="shared" si="4"/>
        <v>1.176508542</v>
      </c>
      <c r="V220" s="76">
        <f>IFERROR(__xludf.DUMMYFUNCTION("""COMPUTED_VALUE"""),5181.0)</f>
        <v>5181</v>
      </c>
      <c r="W220" s="232">
        <f>IFERROR(__xludf.DUMMYFUNCTION("""COMPUTED_VALUE"""),46165.69722222222)</f>
        <v>46165.69722</v>
      </c>
      <c r="X220" s="84">
        <f>IFERROR(__xludf.DUMMYFUNCTION("""COMPUTED_VALUE"""),46163.80849431713)</f>
        <v>46163.80849</v>
      </c>
      <c r="Y220" s="76">
        <f t="shared" si="5"/>
        <v>1.888727905</v>
      </c>
      <c r="AK220" s="232"/>
      <c r="AL220" s="233"/>
      <c r="AM220" s="173"/>
    </row>
    <row r="221">
      <c r="A221" s="76">
        <f>IFERROR(__xludf.DUMMYFUNCTION("""COMPUTED_VALUE"""),5182.0)</f>
        <v>5182</v>
      </c>
      <c r="B221" s="232">
        <f>IFERROR(__xludf.DUMMYFUNCTION("""COMPUTED_VALUE"""),46164.66656158565)</f>
        <v>46164.66656</v>
      </c>
      <c r="C221" s="84">
        <f>IFERROR(__xludf.DUMMYFUNCTION("""COMPUTED_VALUE"""),46164.60374734954)</f>
        <v>46164.60375</v>
      </c>
      <c r="D221" s="173">
        <f t="shared" si="1"/>
        <v>0.06281423611</v>
      </c>
      <c r="G221" s="76">
        <f>IFERROR(__xludf.DUMMYFUNCTION("""COMPUTED_VALUE"""),5182.0)</f>
        <v>5182</v>
      </c>
      <c r="H221" s="232">
        <f>IFERROR(__xludf.DUMMYFUNCTION("""COMPUTED_VALUE"""),46164.67350603009)</f>
        <v>46164.67351</v>
      </c>
      <c r="I221" s="84">
        <f>IFERROR(__xludf.DUMMYFUNCTION("""COMPUTED_VALUE"""),46164.60382798611)</f>
        <v>46164.60383</v>
      </c>
      <c r="J221" s="76">
        <f t="shared" si="2"/>
        <v>0.06967804398</v>
      </c>
      <c r="L221" s="76">
        <f>IFERROR(__xludf.DUMMYFUNCTION("""COMPUTED_VALUE"""),5182.0)</f>
        <v>5182</v>
      </c>
      <c r="M221" s="232">
        <f>IFERROR(__xludf.DUMMYFUNCTION("""COMPUTED_VALUE"""),46164.77767269676)</f>
        <v>46164.77767</v>
      </c>
      <c r="N221" s="84">
        <f>IFERROR(__xludf.DUMMYFUNCTION("""COMPUTED_VALUE"""),46164.603925752315)</f>
        <v>46164.60393</v>
      </c>
      <c r="O221" s="76">
        <f t="shared" si="3"/>
        <v>0.1737469444</v>
      </c>
      <c r="Q221" s="76">
        <f>IFERROR(__xludf.DUMMYFUNCTION("""COMPUTED_VALUE"""),5177.0)</f>
        <v>5177</v>
      </c>
      <c r="R221" s="232">
        <f>IFERROR(__xludf.DUMMYFUNCTION("""COMPUTED_VALUE"""),46165.54513888888)</f>
        <v>46165.54514</v>
      </c>
      <c r="S221" s="84">
        <f>IFERROR(__xludf.DUMMYFUNCTION("""COMPUTED_VALUE"""),46163.799596550925)</f>
        <v>46163.7996</v>
      </c>
      <c r="T221" s="76">
        <f t="shared" si="4"/>
        <v>1.745542338</v>
      </c>
      <c r="V221" s="76">
        <f>IFERROR(__xludf.DUMMYFUNCTION("""COMPUTED_VALUE"""),5182.0)</f>
        <v>5182</v>
      </c>
      <c r="W221" s="232">
        <f>IFERROR(__xludf.DUMMYFUNCTION("""COMPUTED_VALUE"""),46167.527083333334)</f>
        <v>46167.52708</v>
      </c>
      <c r="X221" s="84">
        <f>IFERROR(__xludf.DUMMYFUNCTION("""COMPUTED_VALUE"""),46167.44362553241)</f>
        <v>46167.44363</v>
      </c>
      <c r="Y221" s="76">
        <f t="shared" si="5"/>
        <v>0.08345780092</v>
      </c>
      <c r="AK221" s="232"/>
      <c r="AL221" s="233"/>
      <c r="AM221" s="173"/>
    </row>
    <row r="222">
      <c r="A222" s="76">
        <f>IFERROR(__xludf.DUMMYFUNCTION("""COMPUTED_VALUE"""),5183.0)</f>
        <v>5183</v>
      </c>
      <c r="B222" s="232">
        <f>IFERROR(__xludf.DUMMYFUNCTION("""COMPUTED_VALUE"""),46164.81773700231)</f>
        <v>46164.81774</v>
      </c>
      <c r="C222" s="84">
        <f>IFERROR(__xludf.DUMMYFUNCTION("""COMPUTED_VALUE"""),46164.755703055554)</f>
        <v>46164.7557</v>
      </c>
      <c r="D222" s="173">
        <f t="shared" si="1"/>
        <v>0.06203394676</v>
      </c>
      <c r="G222" s="76">
        <f>IFERROR(__xludf.DUMMYFUNCTION("""COMPUTED_VALUE"""),5183.0)</f>
        <v>5183</v>
      </c>
      <c r="H222" s="232">
        <f>IFERROR(__xludf.DUMMYFUNCTION("""COMPUTED_VALUE"""),46164.82468144676)</f>
        <v>46164.82468</v>
      </c>
      <c r="I222" s="84">
        <f>IFERROR(__xludf.DUMMYFUNCTION("""COMPUTED_VALUE"""),46164.75580333333)</f>
        <v>46164.7558</v>
      </c>
      <c r="J222" s="76">
        <f t="shared" si="2"/>
        <v>0.06887811342</v>
      </c>
      <c r="L222" s="76">
        <f>IFERROR(__xludf.DUMMYFUNCTION("""COMPUTED_VALUE"""),5183.0)</f>
        <v>5183</v>
      </c>
      <c r="M222" s="232">
        <f>IFERROR(__xludf.DUMMYFUNCTION("""COMPUTED_VALUE"""),46165.532638888886)</f>
        <v>46165.53264</v>
      </c>
      <c r="N222" s="84">
        <f>IFERROR(__xludf.DUMMYFUNCTION("""COMPUTED_VALUE"""),46164.755871030095)</f>
        <v>46164.75587</v>
      </c>
      <c r="O222" s="76">
        <f t="shared" si="3"/>
        <v>0.7767678588</v>
      </c>
      <c r="Q222" s="76">
        <f>IFERROR(__xludf.DUMMYFUNCTION("""COMPUTED_VALUE"""),5178.0)</f>
        <v>5178</v>
      </c>
      <c r="R222" s="232">
        <f>IFERROR(__xludf.DUMMYFUNCTION("""COMPUTED_VALUE"""),46165.54652777778)</f>
        <v>46165.54653</v>
      </c>
      <c r="S222" s="84">
        <f>IFERROR(__xludf.DUMMYFUNCTION("""COMPUTED_VALUE"""),46163.79955898148)</f>
        <v>46163.79956</v>
      </c>
      <c r="T222" s="76">
        <f t="shared" si="4"/>
        <v>1.746968796</v>
      </c>
      <c r="V222" s="76">
        <f>IFERROR(__xludf.DUMMYFUNCTION("""COMPUTED_VALUE"""),5183.0)</f>
        <v>5183</v>
      </c>
      <c r="W222" s="232">
        <f>IFERROR(__xludf.DUMMYFUNCTION("""COMPUTED_VALUE"""),46167.57430555555)</f>
        <v>46167.57431</v>
      </c>
      <c r="X222" s="84">
        <f>IFERROR(__xludf.DUMMYFUNCTION("""COMPUTED_VALUE"""),46164.756105567125)</f>
        <v>46164.75611</v>
      </c>
      <c r="Y222" s="76">
        <f t="shared" si="5"/>
        <v>2.818199988</v>
      </c>
      <c r="AK222" s="232"/>
      <c r="AL222" s="233"/>
      <c r="AM222" s="173"/>
    </row>
    <row r="223">
      <c r="A223" s="76">
        <f>IFERROR(__xludf.DUMMYFUNCTION("""COMPUTED_VALUE"""),5184.0)</f>
        <v>5184</v>
      </c>
      <c r="B223" s="232">
        <f>IFERROR(__xludf.DUMMYFUNCTION("""COMPUTED_VALUE"""),46164.83024833333)</f>
        <v>46164.83025</v>
      </c>
      <c r="C223" s="84">
        <f>IFERROR(__xludf.DUMMYFUNCTION("""COMPUTED_VALUE"""),46164.6908425463)</f>
        <v>46164.69084</v>
      </c>
      <c r="D223" s="173">
        <f t="shared" si="1"/>
        <v>0.139405787</v>
      </c>
      <c r="G223" s="76">
        <f>IFERROR(__xludf.DUMMYFUNCTION("""COMPUTED_VALUE"""),5184.0)</f>
        <v>5184</v>
      </c>
      <c r="H223" s="232">
        <f>IFERROR(__xludf.DUMMYFUNCTION("""COMPUTED_VALUE"""),46165.45486111111)</f>
        <v>46165.45486</v>
      </c>
      <c r="I223" s="84">
        <f>IFERROR(__xludf.DUMMYFUNCTION("""COMPUTED_VALUE"""),46164.69114805556)</f>
        <v>46164.69115</v>
      </c>
      <c r="J223" s="76">
        <f t="shared" si="2"/>
        <v>0.7637130556</v>
      </c>
      <c r="L223" s="76">
        <f>IFERROR(__xludf.DUMMYFUNCTION("""COMPUTED_VALUE"""),5184.0)</f>
        <v>5184</v>
      </c>
      <c r="M223" s="232">
        <f>IFERROR(__xludf.DUMMYFUNCTION("""COMPUTED_VALUE"""),46165.559027777774)</f>
        <v>46165.55903</v>
      </c>
      <c r="N223" s="84">
        <f>IFERROR(__xludf.DUMMYFUNCTION("""COMPUTED_VALUE"""),46164.691309270835)</f>
        <v>46164.69131</v>
      </c>
      <c r="O223" s="76">
        <f t="shared" si="3"/>
        <v>0.8677185069</v>
      </c>
      <c r="Q223" s="76">
        <f>IFERROR(__xludf.DUMMYFUNCTION("""COMPUTED_VALUE"""),5179.0)</f>
        <v>5179</v>
      </c>
      <c r="R223" s="232">
        <f>IFERROR(__xludf.DUMMYFUNCTION("""COMPUTED_VALUE"""),46165.566666666666)</f>
        <v>46165.56667</v>
      </c>
      <c r="S223" s="84">
        <f>IFERROR(__xludf.DUMMYFUNCTION("""COMPUTED_VALUE"""),46163.80844681713)</f>
        <v>46163.80845</v>
      </c>
      <c r="T223" s="76">
        <f t="shared" si="4"/>
        <v>1.75821985</v>
      </c>
      <c r="V223" s="76">
        <f>IFERROR(__xludf.DUMMYFUNCTION("""COMPUTED_VALUE"""),5184.0)</f>
        <v>5184</v>
      </c>
      <c r="W223" s="232">
        <f>IFERROR(__xludf.DUMMYFUNCTION("""COMPUTED_VALUE"""),46167.60069444444)</f>
        <v>46167.60069</v>
      </c>
      <c r="X223" s="84">
        <f>IFERROR(__xludf.DUMMYFUNCTION("""COMPUTED_VALUE"""),46165.46175820602)</f>
        <v>46165.46176</v>
      </c>
      <c r="Y223" s="76">
        <f t="shared" si="5"/>
        <v>2.138936238</v>
      </c>
      <c r="AK223" s="232"/>
      <c r="AL223" s="233"/>
      <c r="AM223" s="173"/>
    </row>
    <row r="224">
      <c r="A224" s="76">
        <f>IFERROR(__xludf.DUMMYFUNCTION("""COMPUTED_VALUE"""),5185.0)</f>
        <v>5185</v>
      </c>
      <c r="B224" s="232">
        <f>IFERROR(__xludf.DUMMYFUNCTION("""COMPUTED_VALUE"""),46164.83193699073)</f>
        <v>46164.83194</v>
      </c>
      <c r="C224" s="84">
        <f>IFERROR(__xludf.DUMMYFUNCTION("""COMPUTED_VALUE"""),46164.69085648148)</f>
        <v>46164.69086</v>
      </c>
      <c r="D224" s="173">
        <f t="shared" si="1"/>
        <v>0.1410805093</v>
      </c>
      <c r="G224" s="76">
        <f>IFERROR(__xludf.DUMMYFUNCTION("""COMPUTED_VALUE"""),5185.0)</f>
        <v>5185</v>
      </c>
      <c r="H224" s="232">
        <f>IFERROR(__xludf.DUMMYFUNCTION("""COMPUTED_VALUE"""),46165.456249999996)</f>
        <v>46165.45625</v>
      </c>
      <c r="I224" s="84">
        <f>IFERROR(__xludf.DUMMYFUNCTION("""COMPUTED_VALUE"""),46164.69114805556)</f>
        <v>46164.69115</v>
      </c>
      <c r="J224" s="76">
        <f t="shared" si="2"/>
        <v>0.7651019444</v>
      </c>
      <c r="L224" s="76">
        <f>IFERROR(__xludf.DUMMYFUNCTION("""COMPUTED_VALUE"""),5185.0)</f>
        <v>5185</v>
      </c>
      <c r="M224" s="232">
        <f>IFERROR(__xludf.DUMMYFUNCTION("""COMPUTED_VALUE"""),46165.56041666666)</f>
        <v>46165.56042</v>
      </c>
      <c r="N224" s="84">
        <f>IFERROR(__xludf.DUMMYFUNCTION("""COMPUTED_VALUE"""),46164.691309444446)</f>
        <v>46164.69131</v>
      </c>
      <c r="O224" s="76">
        <f t="shared" si="3"/>
        <v>0.8691072222</v>
      </c>
      <c r="Q224" s="76">
        <f>IFERROR(__xludf.DUMMYFUNCTION("""COMPUTED_VALUE"""),5180.0)</f>
        <v>5180</v>
      </c>
      <c r="R224" s="232">
        <f>IFERROR(__xludf.DUMMYFUNCTION("""COMPUTED_VALUE"""),46165.618055555555)</f>
        <v>46165.61806</v>
      </c>
      <c r="S224" s="84">
        <f>IFERROR(__xludf.DUMMYFUNCTION("""COMPUTED_VALUE"""),46163.79949480324)</f>
        <v>46163.79949</v>
      </c>
      <c r="T224" s="76">
        <f t="shared" si="4"/>
        <v>1.818560752</v>
      </c>
      <c r="V224" s="76">
        <f>IFERROR(__xludf.DUMMYFUNCTION("""COMPUTED_VALUE"""),5185.0)</f>
        <v>5185</v>
      </c>
      <c r="W224" s="232">
        <f>IFERROR(__xludf.DUMMYFUNCTION("""COMPUTED_VALUE"""),46167.60208333333)</f>
        <v>46167.60208</v>
      </c>
      <c r="X224" s="84">
        <f>IFERROR(__xludf.DUMMYFUNCTION("""COMPUTED_VALUE"""),46165.46175820602)</f>
        <v>46165.46176</v>
      </c>
      <c r="Y224" s="76">
        <f t="shared" si="5"/>
        <v>2.140325127</v>
      </c>
      <c r="AK224" s="232"/>
      <c r="AL224" s="233"/>
      <c r="AM224" s="173"/>
    </row>
    <row r="225">
      <c r="A225" s="76">
        <f>IFERROR(__xludf.DUMMYFUNCTION("""COMPUTED_VALUE"""),5186.0)</f>
        <v>5186</v>
      </c>
      <c r="B225" s="232">
        <f>IFERROR(__xludf.DUMMYFUNCTION("""COMPUTED_VALUE"""),46164.8325036574)</f>
        <v>46164.8325</v>
      </c>
      <c r="C225" s="84">
        <f>IFERROR(__xludf.DUMMYFUNCTION("""COMPUTED_VALUE"""),46164.69086989583)</f>
        <v>46164.69087</v>
      </c>
      <c r="D225" s="173">
        <f t="shared" si="1"/>
        <v>0.1416337616</v>
      </c>
      <c r="G225" s="76">
        <f>IFERROR(__xludf.DUMMYFUNCTION("""COMPUTED_VALUE"""),5186.0)</f>
        <v>5186</v>
      </c>
      <c r="H225" s="232">
        <f>IFERROR(__xludf.DUMMYFUNCTION("""COMPUTED_VALUE"""),46165.45694444444)</f>
        <v>46165.45694</v>
      </c>
      <c r="I225" s="84">
        <f>IFERROR(__xludf.DUMMYFUNCTION("""COMPUTED_VALUE"""),46164.69114805556)</f>
        <v>46164.69115</v>
      </c>
      <c r="J225" s="76">
        <f t="shared" si="2"/>
        <v>0.7657963889</v>
      </c>
      <c r="L225" s="76">
        <f>IFERROR(__xludf.DUMMYFUNCTION("""COMPUTED_VALUE"""),5186.0)</f>
        <v>5186</v>
      </c>
      <c r="M225" s="232">
        <f>IFERROR(__xludf.DUMMYFUNCTION("""COMPUTED_VALUE"""),46165.56111111111)</f>
        <v>46165.56111</v>
      </c>
      <c r="N225" s="84">
        <f>IFERROR(__xludf.DUMMYFUNCTION("""COMPUTED_VALUE"""),46164.691309444446)</f>
        <v>46164.69131</v>
      </c>
      <c r="O225" s="76">
        <f t="shared" si="3"/>
        <v>0.8698016667</v>
      </c>
      <c r="Q225" s="76">
        <f>IFERROR(__xludf.DUMMYFUNCTION("""COMPUTED_VALUE"""),5181.0)</f>
        <v>5181</v>
      </c>
      <c r="R225" s="232">
        <f>IFERROR(__xludf.DUMMYFUNCTION("""COMPUTED_VALUE"""),46165.65555555555)</f>
        <v>46165.65556</v>
      </c>
      <c r="S225" s="84">
        <f>IFERROR(__xludf.DUMMYFUNCTION("""COMPUTED_VALUE"""),46163.808176666666)</f>
        <v>46163.80818</v>
      </c>
      <c r="T225" s="76">
        <f t="shared" si="4"/>
        <v>1.847378889</v>
      </c>
      <c r="V225" s="76">
        <f>IFERROR(__xludf.DUMMYFUNCTION("""COMPUTED_VALUE"""),5186.0)</f>
        <v>5186</v>
      </c>
      <c r="W225" s="232">
        <f>IFERROR(__xludf.DUMMYFUNCTION("""COMPUTED_VALUE"""),46167.60277777777)</f>
        <v>46167.60278</v>
      </c>
      <c r="X225" s="84">
        <f>IFERROR(__xludf.DUMMYFUNCTION("""COMPUTED_VALUE"""),46165.46175820602)</f>
        <v>46165.46176</v>
      </c>
      <c r="Y225" s="76">
        <f t="shared" si="5"/>
        <v>2.141019572</v>
      </c>
      <c r="AK225" s="232"/>
      <c r="AL225" s="233"/>
      <c r="AM225" s="173"/>
    </row>
    <row r="226">
      <c r="A226" s="76">
        <f>IFERROR(__xludf.DUMMYFUNCTION("""COMPUTED_VALUE"""),5187.0)</f>
        <v>5187</v>
      </c>
      <c r="B226" s="232">
        <f>IFERROR(__xludf.DUMMYFUNCTION("""COMPUTED_VALUE"""),46165.419444444444)</f>
        <v>46165.41944</v>
      </c>
      <c r="C226" s="84">
        <f>IFERROR(__xludf.DUMMYFUNCTION("""COMPUTED_VALUE"""),46164.69086989583)</f>
        <v>46164.69087</v>
      </c>
      <c r="D226" s="173">
        <f t="shared" si="1"/>
        <v>0.7285745486</v>
      </c>
      <c r="G226" s="76">
        <f>IFERROR(__xludf.DUMMYFUNCTION("""COMPUTED_VALUE"""),5187.0)</f>
        <v>5187</v>
      </c>
      <c r="H226" s="232">
        <f>IFERROR(__xludf.DUMMYFUNCTION("""COMPUTED_VALUE"""),46165.42638888889)</f>
        <v>46165.42639</v>
      </c>
      <c r="I226" s="84">
        <f>IFERROR(__xludf.DUMMYFUNCTION("""COMPUTED_VALUE"""),46164.69114805556)</f>
        <v>46164.69115</v>
      </c>
      <c r="J226" s="76">
        <f t="shared" si="2"/>
        <v>0.7352408333</v>
      </c>
      <c r="L226" s="76">
        <f>IFERROR(__xludf.DUMMYFUNCTION("""COMPUTED_VALUE"""),5187.0)</f>
        <v>5187</v>
      </c>
      <c r="M226" s="232">
        <f>IFERROR(__xludf.DUMMYFUNCTION("""COMPUTED_VALUE"""),46165.53055555555)</f>
        <v>46165.53056</v>
      </c>
      <c r="N226" s="84">
        <f>IFERROR(__xludf.DUMMYFUNCTION("""COMPUTED_VALUE"""),46164.691309444446)</f>
        <v>46164.69131</v>
      </c>
      <c r="O226" s="76">
        <f t="shared" si="3"/>
        <v>0.8392461111</v>
      </c>
      <c r="Q226" s="76">
        <f>IFERROR(__xludf.DUMMYFUNCTION("""COMPUTED_VALUE"""),5182.0)</f>
        <v>5182</v>
      </c>
      <c r="R226" s="232">
        <f>IFERROR(__xludf.DUMMYFUNCTION("""COMPUTED_VALUE"""),46167.48541666667)</f>
        <v>46167.48542</v>
      </c>
      <c r="S226" s="84">
        <f>IFERROR(__xludf.DUMMYFUNCTION("""COMPUTED_VALUE"""),46167.443592905096)</f>
        <v>46167.44359</v>
      </c>
      <c r="T226" s="76">
        <f t="shared" si="4"/>
        <v>0.04182376157</v>
      </c>
      <c r="V226" s="76">
        <f>IFERROR(__xludf.DUMMYFUNCTION("""COMPUTED_VALUE"""),5187.0)</f>
        <v>5187</v>
      </c>
      <c r="W226" s="232">
        <f>IFERROR(__xludf.DUMMYFUNCTION("""COMPUTED_VALUE"""),46167.57222222222)</f>
        <v>46167.57222</v>
      </c>
      <c r="X226" s="84">
        <f>IFERROR(__xludf.DUMMYFUNCTION("""COMPUTED_VALUE"""),46165.461766238426)</f>
        <v>46165.46177</v>
      </c>
      <c r="Y226" s="76">
        <f t="shared" si="5"/>
        <v>2.110455984</v>
      </c>
      <c r="AK226" s="232"/>
      <c r="AL226" s="233"/>
      <c r="AM226" s="173"/>
    </row>
    <row r="227">
      <c r="A227" s="76">
        <f>IFERROR(__xludf.DUMMYFUNCTION("""COMPUTED_VALUE"""),5188.0)</f>
        <v>5188</v>
      </c>
      <c r="B227" s="232">
        <f>IFERROR(__xludf.DUMMYFUNCTION("""COMPUTED_VALUE"""),46165.42152777778)</f>
        <v>46165.42153</v>
      </c>
      <c r="C227" s="84">
        <f>IFERROR(__xludf.DUMMYFUNCTION("""COMPUTED_VALUE"""),46164.69086989583)</f>
        <v>46164.69087</v>
      </c>
      <c r="D227" s="173">
        <f t="shared" si="1"/>
        <v>0.7306578819</v>
      </c>
      <c r="G227" s="76">
        <f>IFERROR(__xludf.DUMMYFUNCTION("""COMPUTED_VALUE"""),5188.0)</f>
        <v>5188</v>
      </c>
      <c r="H227" s="232">
        <f>IFERROR(__xludf.DUMMYFUNCTION("""COMPUTED_VALUE"""),46165.42847222222)</f>
        <v>46165.42847</v>
      </c>
      <c r="I227" s="84">
        <f>IFERROR(__xludf.DUMMYFUNCTION("""COMPUTED_VALUE"""),46164.69116174769)</f>
        <v>46164.69116</v>
      </c>
      <c r="J227" s="76">
        <f t="shared" si="2"/>
        <v>0.7373104745</v>
      </c>
      <c r="L227" s="76">
        <f>IFERROR(__xludf.DUMMYFUNCTION("""COMPUTED_VALUE"""),5188.0)</f>
        <v>5188</v>
      </c>
      <c r="M227" s="232">
        <f>IFERROR(__xludf.DUMMYFUNCTION("""COMPUTED_VALUE"""),46165.532638888886)</f>
        <v>46165.53264</v>
      </c>
      <c r="N227" s="84">
        <f>IFERROR(__xludf.DUMMYFUNCTION("""COMPUTED_VALUE"""),46164.691309444446)</f>
        <v>46164.69131</v>
      </c>
      <c r="O227" s="76">
        <f t="shared" si="3"/>
        <v>0.8413294444</v>
      </c>
      <c r="Q227" s="76">
        <f>IFERROR(__xludf.DUMMYFUNCTION("""COMPUTED_VALUE"""),5183.0)</f>
        <v>5183</v>
      </c>
      <c r="R227" s="232">
        <f>IFERROR(__xludf.DUMMYFUNCTION("""COMPUTED_VALUE"""),46167.532638888886)</f>
        <v>46167.53264</v>
      </c>
      <c r="S227" s="84">
        <f>IFERROR(__xludf.DUMMYFUNCTION("""COMPUTED_VALUE"""),46164.75604501157)</f>
        <v>46164.75605</v>
      </c>
      <c r="T227" s="76">
        <f t="shared" si="4"/>
        <v>2.776593877</v>
      </c>
      <c r="V227" s="76">
        <f>IFERROR(__xludf.DUMMYFUNCTION("""COMPUTED_VALUE"""),5188.0)</f>
        <v>5188</v>
      </c>
      <c r="W227" s="232">
        <f>IFERROR(__xludf.DUMMYFUNCTION("""COMPUTED_VALUE"""),46167.57430555555)</f>
        <v>46167.57431</v>
      </c>
      <c r="X227" s="84">
        <f>IFERROR(__xludf.DUMMYFUNCTION("""COMPUTED_VALUE"""),46165.461766238426)</f>
        <v>46165.46177</v>
      </c>
      <c r="Y227" s="76">
        <f t="shared" si="5"/>
        <v>2.112539317</v>
      </c>
      <c r="AK227" s="232"/>
      <c r="AL227" s="233"/>
      <c r="AM227" s="173"/>
    </row>
    <row r="228">
      <c r="A228" s="76">
        <f>IFERROR(__xludf.DUMMYFUNCTION("""COMPUTED_VALUE"""),5189.0)</f>
        <v>5189</v>
      </c>
      <c r="B228" s="232">
        <f>IFERROR(__xludf.DUMMYFUNCTION("""COMPUTED_VALUE"""),46165.42361111111)</f>
        <v>46165.42361</v>
      </c>
      <c r="C228" s="84">
        <f>IFERROR(__xludf.DUMMYFUNCTION("""COMPUTED_VALUE"""),46164.69086989583)</f>
        <v>46164.69087</v>
      </c>
      <c r="D228" s="173">
        <f t="shared" si="1"/>
        <v>0.7327412153</v>
      </c>
      <c r="G228" s="76">
        <f>IFERROR(__xludf.DUMMYFUNCTION("""COMPUTED_VALUE"""),5189.0)</f>
        <v>5189</v>
      </c>
      <c r="H228" s="232">
        <f>IFERROR(__xludf.DUMMYFUNCTION("""COMPUTED_VALUE"""),46165.430555555555)</f>
        <v>46165.43056</v>
      </c>
      <c r="I228" s="84">
        <f>IFERROR(__xludf.DUMMYFUNCTION("""COMPUTED_VALUE"""),46164.69119167824)</f>
        <v>46164.69119</v>
      </c>
      <c r="J228" s="76">
        <f t="shared" si="2"/>
        <v>0.7393638773</v>
      </c>
      <c r="L228" s="76">
        <f>IFERROR(__xludf.DUMMYFUNCTION("""COMPUTED_VALUE"""),5189.0)</f>
        <v>5189</v>
      </c>
      <c r="M228" s="232">
        <f>IFERROR(__xludf.DUMMYFUNCTION("""COMPUTED_VALUE"""),46165.53472222222)</f>
        <v>46165.53472</v>
      </c>
      <c r="N228" s="84">
        <f>IFERROR(__xludf.DUMMYFUNCTION("""COMPUTED_VALUE"""),46164.691309444446)</f>
        <v>46164.69131</v>
      </c>
      <c r="O228" s="76">
        <f t="shared" si="3"/>
        <v>0.8434127778</v>
      </c>
      <c r="Q228" s="76">
        <f>IFERROR(__xludf.DUMMYFUNCTION("""COMPUTED_VALUE"""),5184.0)</f>
        <v>5184</v>
      </c>
      <c r="R228" s="232">
        <f>IFERROR(__xludf.DUMMYFUNCTION("""COMPUTED_VALUE"""),46167.559027777774)</f>
        <v>46167.55903</v>
      </c>
      <c r="S228" s="84">
        <f>IFERROR(__xludf.DUMMYFUNCTION("""COMPUTED_VALUE"""),46165.4616687963)</f>
        <v>46165.46167</v>
      </c>
      <c r="T228" s="76">
        <f t="shared" si="4"/>
        <v>2.097358981</v>
      </c>
      <c r="V228" s="76">
        <f>IFERROR(__xludf.DUMMYFUNCTION("""COMPUTED_VALUE"""),5189.0)</f>
        <v>5189</v>
      </c>
      <c r="W228" s="232">
        <f>IFERROR(__xludf.DUMMYFUNCTION("""COMPUTED_VALUE"""),46167.57638888888)</f>
        <v>46167.57639</v>
      </c>
      <c r="X228" s="84">
        <f>IFERROR(__xludf.DUMMYFUNCTION("""COMPUTED_VALUE"""),46165.461766238426)</f>
        <v>46165.46177</v>
      </c>
      <c r="Y228" s="76">
        <f t="shared" si="5"/>
        <v>2.11462265</v>
      </c>
      <c r="AK228" s="232"/>
      <c r="AL228" s="233"/>
      <c r="AM228" s="173"/>
    </row>
    <row r="229">
      <c r="A229" s="76">
        <f>IFERROR(__xludf.DUMMYFUNCTION("""COMPUTED_VALUE"""),5190.0)</f>
        <v>5190</v>
      </c>
      <c r="B229" s="232">
        <f>IFERROR(__xludf.DUMMYFUNCTION("""COMPUTED_VALUE"""),46165.430555555555)</f>
        <v>46165.43056</v>
      </c>
      <c r="C229" s="84">
        <f>IFERROR(__xludf.DUMMYFUNCTION("""COMPUTED_VALUE"""),46164.69088552083)</f>
        <v>46164.69089</v>
      </c>
      <c r="D229" s="173">
        <f t="shared" si="1"/>
        <v>0.7396700347</v>
      </c>
      <c r="G229" s="76">
        <f>IFERROR(__xludf.DUMMYFUNCTION("""COMPUTED_VALUE"""),5190.0)</f>
        <v>5190</v>
      </c>
      <c r="H229" s="232">
        <f>IFERROR(__xludf.DUMMYFUNCTION("""COMPUTED_VALUE"""),46165.4375)</f>
        <v>46165.4375</v>
      </c>
      <c r="I229" s="84">
        <f>IFERROR(__xludf.DUMMYFUNCTION("""COMPUTED_VALUE"""),46164.691198506946)</f>
        <v>46164.6912</v>
      </c>
      <c r="J229" s="76">
        <f t="shared" si="2"/>
        <v>0.7463014931</v>
      </c>
      <c r="L229" s="76">
        <f>IFERROR(__xludf.DUMMYFUNCTION("""COMPUTED_VALUE"""),5190.0)</f>
        <v>5190</v>
      </c>
      <c r="M229" s="232">
        <f>IFERROR(__xludf.DUMMYFUNCTION("""COMPUTED_VALUE"""),46165.541666666664)</f>
        <v>46165.54167</v>
      </c>
      <c r="N229" s="84">
        <f>IFERROR(__xludf.DUMMYFUNCTION("""COMPUTED_VALUE"""),46164.691309444446)</f>
        <v>46164.69131</v>
      </c>
      <c r="O229" s="76">
        <f t="shared" si="3"/>
        <v>0.8503572222</v>
      </c>
      <c r="Q229" s="76">
        <f>IFERROR(__xludf.DUMMYFUNCTION("""COMPUTED_VALUE"""),5185.0)</f>
        <v>5185</v>
      </c>
      <c r="R229" s="232">
        <f>IFERROR(__xludf.DUMMYFUNCTION("""COMPUTED_VALUE"""),46167.56041666667)</f>
        <v>46167.56042</v>
      </c>
      <c r="S229" s="84">
        <f>IFERROR(__xludf.DUMMYFUNCTION("""COMPUTED_VALUE"""),46165.46168548611)</f>
        <v>46165.46169</v>
      </c>
      <c r="T229" s="76">
        <f t="shared" si="4"/>
        <v>2.098731181</v>
      </c>
      <c r="V229" s="76">
        <f>IFERROR(__xludf.DUMMYFUNCTION("""COMPUTED_VALUE"""),5190.0)</f>
        <v>5190</v>
      </c>
      <c r="W229" s="232">
        <f>IFERROR(__xludf.DUMMYFUNCTION("""COMPUTED_VALUE"""),46167.58333333333)</f>
        <v>46167.58333</v>
      </c>
      <c r="X229" s="84">
        <f>IFERROR(__xludf.DUMMYFUNCTION("""COMPUTED_VALUE"""),46165.461774386575)</f>
        <v>46165.46177</v>
      </c>
      <c r="Y229" s="76">
        <f t="shared" si="5"/>
        <v>2.121558947</v>
      </c>
      <c r="AK229" s="232"/>
      <c r="AL229" s="233"/>
      <c r="AM229" s="173"/>
    </row>
    <row r="230">
      <c r="A230" s="76">
        <f>IFERROR(__xludf.DUMMYFUNCTION("""COMPUTED_VALUE"""),5191.0)</f>
        <v>5191</v>
      </c>
      <c r="B230" s="232">
        <f>IFERROR(__xludf.DUMMYFUNCTION("""COMPUTED_VALUE"""),46165.43194444444)</f>
        <v>46165.43194</v>
      </c>
      <c r="C230" s="84">
        <f>IFERROR(__xludf.DUMMYFUNCTION("""COMPUTED_VALUE"""),46164.69089398148)</f>
        <v>46164.69089</v>
      </c>
      <c r="D230" s="173">
        <f t="shared" si="1"/>
        <v>0.741050463</v>
      </c>
      <c r="G230" s="76">
        <f>IFERROR(__xludf.DUMMYFUNCTION("""COMPUTED_VALUE"""),5191.0)</f>
        <v>5191</v>
      </c>
      <c r="H230" s="232">
        <f>IFERROR(__xludf.DUMMYFUNCTION("""COMPUTED_VALUE"""),46165.438888888886)</f>
        <v>46165.43889</v>
      </c>
      <c r="I230" s="84">
        <f>IFERROR(__xludf.DUMMYFUNCTION("""COMPUTED_VALUE"""),46164.69117899306)</f>
        <v>46164.69118</v>
      </c>
      <c r="J230" s="76">
        <f t="shared" si="2"/>
        <v>0.7477098958</v>
      </c>
      <c r="L230" s="76">
        <f>IFERROR(__xludf.DUMMYFUNCTION("""COMPUTED_VALUE"""),5191.0)</f>
        <v>5191</v>
      </c>
      <c r="M230" s="232">
        <f>IFERROR(__xludf.DUMMYFUNCTION("""COMPUTED_VALUE"""),46165.54305555555)</f>
        <v>46165.54306</v>
      </c>
      <c r="N230" s="84">
        <f>IFERROR(__xludf.DUMMYFUNCTION("""COMPUTED_VALUE"""),46164.691309444446)</f>
        <v>46164.69131</v>
      </c>
      <c r="O230" s="76">
        <f t="shared" si="3"/>
        <v>0.8517461111</v>
      </c>
      <c r="Q230" s="76">
        <f>IFERROR(__xludf.DUMMYFUNCTION("""COMPUTED_VALUE"""),5186.0)</f>
        <v>5186</v>
      </c>
      <c r="R230" s="232">
        <f>IFERROR(__xludf.DUMMYFUNCTION("""COMPUTED_VALUE"""),46167.56111111111)</f>
        <v>46167.56111</v>
      </c>
      <c r="S230" s="84">
        <f>IFERROR(__xludf.DUMMYFUNCTION("""COMPUTED_VALUE"""),46165.49507925926)</f>
        <v>46165.49508</v>
      </c>
      <c r="T230" s="76">
        <f t="shared" si="4"/>
        <v>2.066031852</v>
      </c>
      <c r="V230" s="76">
        <f>IFERROR(__xludf.DUMMYFUNCTION("""COMPUTED_VALUE"""),5191.0)</f>
        <v>5191</v>
      </c>
      <c r="W230" s="232">
        <f>IFERROR(__xludf.DUMMYFUNCTION("""COMPUTED_VALUE"""),46167.584722222215)</f>
        <v>46167.58472</v>
      </c>
      <c r="X230" s="84">
        <f>IFERROR(__xludf.DUMMYFUNCTION("""COMPUTED_VALUE"""),46165.461774386575)</f>
        <v>46165.46177</v>
      </c>
      <c r="Y230" s="76">
        <f t="shared" si="5"/>
        <v>2.122947836</v>
      </c>
      <c r="AK230" s="232"/>
      <c r="AL230" s="233"/>
      <c r="AM230" s="173"/>
    </row>
    <row r="231">
      <c r="A231" s="76">
        <f>IFERROR(__xludf.DUMMYFUNCTION("""COMPUTED_VALUE"""),5192.0)</f>
        <v>5192</v>
      </c>
      <c r="B231" s="232">
        <f>IFERROR(__xludf.DUMMYFUNCTION("""COMPUTED_VALUE"""),46165.433333333334)</f>
        <v>46165.43333</v>
      </c>
      <c r="C231" s="84">
        <f>IFERROR(__xludf.DUMMYFUNCTION("""COMPUTED_VALUE"""),46164.69090271991)</f>
        <v>46164.6909</v>
      </c>
      <c r="D231" s="173">
        <f t="shared" si="1"/>
        <v>0.7424306134</v>
      </c>
      <c r="G231" s="76">
        <f>IFERROR(__xludf.DUMMYFUNCTION("""COMPUTED_VALUE"""),5192.0)</f>
        <v>5192</v>
      </c>
      <c r="H231" s="232">
        <f>IFERROR(__xludf.DUMMYFUNCTION("""COMPUTED_VALUE"""),46165.44027777778)</f>
        <v>46165.44028</v>
      </c>
      <c r="I231" s="84">
        <f>IFERROR(__xludf.DUMMYFUNCTION("""COMPUTED_VALUE"""),46164.691242870365)</f>
        <v>46164.69124</v>
      </c>
      <c r="J231" s="76">
        <f t="shared" si="2"/>
        <v>0.7490349074</v>
      </c>
      <c r="L231" s="76">
        <f>IFERROR(__xludf.DUMMYFUNCTION("""COMPUTED_VALUE"""),5192.0)</f>
        <v>5192</v>
      </c>
      <c r="M231" s="232">
        <f>IFERROR(__xludf.DUMMYFUNCTION("""COMPUTED_VALUE"""),46165.544444444444)</f>
        <v>46165.54444</v>
      </c>
      <c r="N231" s="84">
        <f>IFERROR(__xludf.DUMMYFUNCTION("""COMPUTED_VALUE"""),46164.69133581019)</f>
        <v>46164.69134</v>
      </c>
      <c r="O231" s="76">
        <f t="shared" si="3"/>
        <v>0.8531086343</v>
      </c>
      <c r="Q231" s="76">
        <f>IFERROR(__xludf.DUMMYFUNCTION("""COMPUTED_VALUE"""),5187.0)</f>
        <v>5187</v>
      </c>
      <c r="R231" s="232">
        <f>IFERROR(__xludf.DUMMYFUNCTION("""COMPUTED_VALUE"""),46167.53055555555)</f>
        <v>46167.53056</v>
      </c>
      <c r="S231" s="84">
        <f>IFERROR(__xludf.DUMMYFUNCTION("""COMPUTED_VALUE"""),46165.495086423616)</f>
        <v>46165.49509</v>
      </c>
      <c r="T231" s="76">
        <f t="shared" si="4"/>
        <v>2.035469132</v>
      </c>
      <c r="V231" s="76">
        <f>IFERROR(__xludf.DUMMYFUNCTION("""COMPUTED_VALUE"""),5192.0)</f>
        <v>5192</v>
      </c>
      <c r="W231" s="232">
        <f>IFERROR(__xludf.DUMMYFUNCTION("""COMPUTED_VALUE"""),46167.58611111111)</f>
        <v>46167.58611</v>
      </c>
      <c r="X231" s="84">
        <f>IFERROR(__xludf.DUMMYFUNCTION("""COMPUTED_VALUE"""),46165.461782592596)</f>
        <v>46165.46178</v>
      </c>
      <c r="Y231" s="76">
        <f t="shared" si="5"/>
        <v>2.124328519</v>
      </c>
      <c r="AK231" s="232"/>
      <c r="AL231" s="233"/>
      <c r="AM231" s="173"/>
    </row>
    <row r="232">
      <c r="A232" s="76">
        <f>IFERROR(__xludf.DUMMYFUNCTION("""COMPUTED_VALUE"""),5193.0)</f>
        <v>5193</v>
      </c>
      <c r="B232" s="232">
        <f>IFERROR(__xludf.DUMMYFUNCTION("""COMPUTED_VALUE"""),46165.45763888889)</f>
        <v>46165.45764</v>
      </c>
      <c r="C232" s="84">
        <f>IFERROR(__xludf.DUMMYFUNCTION("""COMPUTED_VALUE"""),46164.742656574075)</f>
        <v>46164.74266</v>
      </c>
      <c r="D232" s="173">
        <f t="shared" si="1"/>
        <v>0.7149823148</v>
      </c>
      <c r="G232" s="76">
        <f>IFERROR(__xludf.DUMMYFUNCTION("""COMPUTED_VALUE"""),5193.0)</f>
        <v>5193</v>
      </c>
      <c r="H232" s="232">
        <f>IFERROR(__xludf.DUMMYFUNCTION("""COMPUTED_VALUE"""),46165.464583333334)</f>
        <v>46165.46458</v>
      </c>
      <c r="I232" s="84">
        <f>IFERROR(__xludf.DUMMYFUNCTION("""COMPUTED_VALUE"""),46164.74303194444)</f>
        <v>46164.74303</v>
      </c>
      <c r="J232" s="76">
        <f t="shared" si="2"/>
        <v>0.7215513889</v>
      </c>
      <c r="L232" s="76">
        <f>IFERROR(__xludf.DUMMYFUNCTION("""COMPUTED_VALUE"""),5193.0)</f>
        <v>5193</v>
      </c>
      <c r="M232" s="232">
        <f>IFERROR(__xludf.DUMMYFUNCTION("""COMPUTED_VALUE"""),46165.56875)</f>
        <v>46165.56875</v>
      </c>
      <c r="N232" s="84">
        <f>IFERROR(__xludf.DUMMYFUNCTION("""COMPUTED_VALUE"""),46164.75546489583)</f>
        <v>46164.75546</v>
      </c>
      <c r="O232" s="76">
        <f t="shared" si="3"/>
        <v>0.8132851042</v>
      </c>
      <c r="Q232" s="76">
        <f>IFERROR(__xludf.DUMMYFUNCTION("""COMPUTED_VALUE"""),5188.0)</f>
        <v>5188</v>
      </c>
      <c r="R232" s="232">
        <f>IFERROR(__xludf.DUMMYFUNCTION("""COMPUTED_VALUE"""),46167.532638888886)</f>
        <v>46167.53264</v>
      </c>
      <c r="S232" s="84">
        <f>IFERROR(__xludf.DUMMYFUNCTION("""COMPUTED_VALUE"""),46165.46170341435)</f>
        <v>46165.4617</v>
      </c>
      <c r="T232" s="76">
        <f t="shared" si="4"/>
        <v>2.070935475</v>
      </c>
      <c r="V232" s="76">
        <f>IFERROR(__xludf.DUMMYFUNCTION("""COMPUTED_VALUE"""),5193.0)</f>
        <v>5193</v>
      </c>
      <c r="W232" s="232">
        <f>IFERROR(__xludf.DUMMYFUNCTION("""COMPUTED_VALUE"""),46167.61041666666)</f>
        <v>46167.61042</v>
      </c>
      <c r="X232" s="84">
        <f>IFERROR(__xludf.DUMMYFUNCTION("""COMPUTED_VALUE"""),46164.75555621528)</f>
        <v>46164.75556</v>
      </c>
      <c r="Y232" s="76">
        <f t="shared" si="5"/>
        <v>2.854860451</v>
      </c>
      <c r="AK232" s="232"/>
      <c r="AL232" s="233"/>
      <c r="AM232" s="173"/>
    </row>
    <row r="233">
      <c r="A233" s="76">
        <f>IFERROR(__xludf.DUMMYFUNCTION("""COMPUTED_VALUE"""),5194.0)</f>
        <v>5194</v>
      </c>
      <c r="B233" s="232">
        <f>IFERROR(__xludf.DUMMYFUNCTION("""COMPUTED_VALUE"""),46165.46597222223)</f>
        <v>46165.46597</v>
      </c>
      <c r="C233" s="84">
        <f>IFERROR(__xludf.DUMMYFUNCTION("""COMPUTED_VALUE"""),46164.74267346065)</f>
        <v>46164.74267</v>
      </c>
      <c r="D233" s="173">
        <f t="shared" si="1"/>
        <v>0.7232987616</v>
      </c>
      <c r="G233" s="76">
        <f>IFERROR(__xludf.DUMMYFUNCTION("""COMPUTED_VALUE"""),5194.0)</f>
        <v>5194</v>
      </c>
      <c r="H233" s="232">
        <f>IFERROR(__xludf.DUMMYFUNCTION("""COMPUTED_VALUE"""),46165.47291666667)</f>
        <v>46165.47292</v>
      </c>
      <c r="I233" s="84">
        <f>IFERROR(__xludf.DUMMYFUNCTION("""COMPUTED_VALUE"""),46164.743083622685)</f>
        <v>46164.74308</v>
      </c>
      <c r="J233" s="76">
        <f t="shared" si="2"/>
        <v>0.729833044</v>
      </c>
      <c r="L233" s="76">
        <f>IFERROR(__xludf.DUMMYFUNCTION("""COMPUTED_VALUE"""),5194.0)</f>
        <v>5194</v>
      </c>
      <c r="M233" s="232">
        <f>IFERROR(__xludf.DUMMYFUNCTION("""COMPUTED_VALUE"""),46165.57708333334)</f>
        <v>46165.57708</v>
      </c>
      <c r="N233" s="84">
        <f>IFERROR(__xludf.DUMMYFUNCTION("""COMPUTED_VALUE"""),46164.756316053245)</f>
        <v>46164.75632</v>
      </c>
      <c r="O233" s="76">
        <f t="shared" si="3"/>
        <v>0.8207672801</v>
      </c>
      <c r="Q233" s="76">
        <f>IFERROR(__xludf.DUMMYFUNCTION("""COMPUTED_VALUE"""),5189.0)</f>
        <v>5189</v>
      </c>
      <c r="R233" s="232">
        <f>IFERROR(__xludf.DUMMYFUNCTION("""COMPUTED_VALUE"""),46167.53472222222)</f>
        <v>46167.53472</v>
      </c>
      <c r="S233" s="84">
        <f>IFERROR(__xludf.DUMMYFUNCTION("""COMPUTED_VALUE"""),46165.49510583333)</f>
        <v>46165.49511</v>
      </c>
      <c r="T233" s="76">
        <f t="shared" si="4"/>
        <v>2.039616389</v>
      </c>
      <c r="V233" s="76">
        <f>IFERROR(__xludf.DUMMYFUNCTION("""COMPUTED_VALUE"""),5194.0)</f>
        <v>5194</v>
      </c>
      <c r="W233" s="232">
        <f>IFERROR(__xludf.DUMMYFUNCTION("""COMPUTED_VALUE"""),46167.618749999994)</f>
        <v>46167.61875</v>
      </c>
      <c r="X233" s="84">
        <f>IFERROR(__xludf.DUMMYFUNCTION("""COMPUTED_VALUE"""),46167.429681388894)</f>
        <v>46167.42968</v>
      </c>
      <c r="Y233" s="76">
        <f t="shared" si="5"/>
        <v>0.1890686111</v>
      </c>
      <c r="AK233" s="232"/>
      <c r="AL233" s="233"/>
      <c r="AM233" s="173"/>
    </row>
    <row r="234">
      <c r="A234" s="76">
        <f>IFERROR(__xludf.DUMMYFUNCTION("""COMPUTED_VALUE"""),5195.0)</f>
        <v>5195</v>
      </c>
      <c r="B234" s="232">
        <f>IFERROR(__xludf.DUMMYFUNCTION("""COMPUTED_VALUE"""),46165.47430555556)</f>
        <v>46165.47431</v>
      </c>
      <c r="C234" s="84">
        <f>IFERROR(__xludf.DUMMYFUNCTION("""COMPUTED_VALUE"""),46164.74271090278)</f>
        <v>46164.74271</v>
      </c>
      <c r="D234" s="173">
        <f t="shared" si="1"/>
        <v>0.7315946528</v>
      </c>
      <c r="G234" s="76">
        <f>IFERROR(__xludf.DUMMYFUNCTION("""COMPUTED_VALUE"""),5195.0)</f>
        <v>5195</v>
      </c>
      <c r="H234" s="232">
        <f>IFERROR(__xludf.DUMMYFUNCTION("""COMPUTED_VALUE"""),46165.481250000004)</f>
        <v>46165.48125</v>
      </c>
      <c r="I234" s="84">
        <f>IFERROR(__xludf.DUMMYFUNCTION("""COMPUTED_VALUE"""),46164.74306949074)</f>
        <v>46164.74307</v>
      </c>
      <c r="J234" s="76">
        <f t="shared" si="2"/>
        <v>0.7381805093</v>
      </c>
      <c r="L234" s="76">
        <f>IFERROR(__xludf.DUMMYFUNCTION("""COMPUTED_VALUE"""),5195.0)</f>
        <v>5195</v>
      </c>
      <c r="M234" s="232">
        <f>IFERROR(__xludf.DUMMYFUNCTION("""COMPUTED_VALUE"""),46165.58541666667)</f>
        <v>46165.58542</v>
      </c>
      <c r="N234" s="84">
        <f>IFERROR(__xludf.DUMMYFUNCTION("""COMPUTED_VALUE"""),46164.75632988426)</f>
        <v>46164.75633</v>
      </c>
      <c r="O234" s="76">
        <f t="shared" si="3"/>
        <v>0.8290867824</v>
      </c>
      <c r="Q234" s="76">
        <f>IFERROR(__xludf.DUMMYFUNCTION("""COMPUTED_VALUE"""),5190.0)</f>
        <v>5190</v>
      </c>
      <c r="R234" s="232">
        <f>IFERROR(__xludf.DUMMYFUNCTION("""COMPUTED_VALUE"""),46167.541666666664)</f>
        <v>46167.54167</v>
      </c>
      <c r="S234" s="84">
        <f>IFERROR(__xludf.DUMMYFUNCTION("""COMPUTED_VALUE"""),46165.49511614583)</f>
        <v>46165.49512</v>
      </c>
      <c r="T234" s="76">
        <f t="shared" si="4"/>
        <v>2.046550521</v>
      </c>
      <c r="V234" s="76">
        <f>IFERROR(__xludf.DUMMYFUNCTION("""COMPUTED_VALUE"""),5195.0)</f>
        <v>5195</v>
      </c>
      <c r="W234" s="232">
        <f>IFERROR(__xludf.DUMMYFUNCTION("""COMPUTED_VALUE"""),46167.62708333333)</f>
        <v>46167.62708</v>
      </c>
      <c r="X234" s="84">
        <f>IFERROR(__xludf.DUMMYFUNCTION("""COMPUTED_VALUE"""),46167.4297019213)</f>
        <v>46167.4297</v>
      </c>
      <c r="Y234" s="76">
        <f t="shared" si="5"/>
        <v>0.197381412</v>
      </c>
      <c r="AK234" s="232"/>
      <c r="AL234" s="233"/>
      <c r="AM234" s="173"/>
    </row>
    <row r="235">
      <c r="A235" s="76">
        <f>IFERROR(__xludf.DUMMYFUNCTION("""COMPUTED_VALUE"""),5196.0)</f>
        <v>5196</v>
      </c>
      <c r="B235" s="232">
        <f>IFERROR(__xludf.DUMMYFUNCTION("""COMPUTED_VALUE"""),46165.55423724537)</f>
        <v>46165.55424</v>
      </c>
      <c r="C235" s="84">
        <f>IFERROR(__xludf.DUMMYFUNCTION("""COMPUTED_VALUE"""),46165.46217777778)</f>
        <v>46165.46218</v>
      </c>
      <c r="D235" s="173">
        <f t="shared" si="1"/>
        <v>0.09205946759</v>
      </c>
      <c r="G235" s="76">
        <f>IFERROR(__xludf.DUMMYFUNCTION("""COMPUTED_VALUE"""),5196.0)</f>
        <v>5196</v>
      </c>
      <c r="H235" s="232">
        <f>IFERROR(__xludf.DUMMYFUNCTION("""COMPUTED_VALUE"""),46165.561181689816)</f>
        <v>46165.56118</v>
      </c>
      <c r="I235" s="84">
        <f>IFERROR(__xludf.DUMMYFUNCTION("""COMPUTED_VALUE"""),46165.46223936343)</f>
        <v>46165.46224</v>
      </c>
      <c r="J235" s="76">
        <f t="shared" si="2"/>
        <v>0.09894232639</v>
      </c>
      <c r="L235" s="76">
        <f>IFERROR(__xludf.DUMMYFUNCTION("""COMPUTED_VALUE"""),5196.0)</f>
        <v>5196</v>
      </c>
      <c r="M235" s="232">
        <f>IFERROR(__xludf.DUMMYFUNCTION("""COMPUTED_VALUE"""),46165.66534835648)</f>
        <v>46165.66535</v>
      </c>
      <c r="N235" s="84">
        <f>IFERROR(__xludf.DUMMYFUNCTION("""COMPUTED_VALUE"""),46165.462258680556)</f>
        <v>46165.46226</v>
      </c>
      <c r="O235" s="76">
        <f t="shared" si="3"/>
        <v>0.2030896759</v>
      </c>
      <c r="Q235" s="76">
        <f>IFERROR(__xludf.DUMMYFUNCTION("""COMPUTED_VALUE"""),5191.0)</f>
        <v>5191</v>
      </c>
      <c r="R235" s="232">
        <f>IFERROR(__xludf.DUMMYFUNCTION("""COMPUTED_VALUE"""),46167.54305555555)</f>
        <v>46167.54306</v>
      </c>
      <c r="S235" s="84">
        <f>IFERROR(__xludf.DUMMYFUNCTION("""COMPUTED_VALUE"""),46165.49512197917)</f>
        <v>46165.49512</v>
      </c>
      <c r="T235" s="76">
        <f t="shared" si="4"/>
        <v>2.047933576</v>
      </c>
      <c r="V235" s="76">
        <f>IFERROR(__xludf.DUMMYFUNCTION("""COMPUTED_VALUE"""),5196.0)</f>
        <v>5196</v>
      </c>
      <c r="W235" s="232">
        <f>IFERROR(__xludf.DUMMYFUNCTION("""COMPUTED_VALUE"""),46167.70694444444)</f>
        <v>46167.70694</v>
      </c>
      <c r="X235" s="84">
        <f>IFERROR(__xludf.DUMMYFUNCTION("""COMPUTED_VALUE"""),46165.46233693287)</f>
        <v>46165.46234</v>
      </c>
      <c r="Y235" s="76">
        <f t="shared" si="5"/>
        <v>2.244607512</v>
      </c>
      <c r="AK235" s="232"/>
      <c r="AL235" s="233"/>
      <c r="AM235" s="173"/>
    </row>
    <row r="236">
      <c r="A236" s="76">
        <f>IFERROR(__xludf.DUMMYFUNCTION("""COMPUTED_VALUE"""),5197.0)</f>
        <v>5197</v>
      </c>
      <c r="B236" s="232">
        <f>IFERROR(__xludf.DUMMYFUNCTION("""COMPUTED_VALUE"""),46167.4712037037)</f>
        <v>46167.4712</v>
      </c>
      <c r="C236" s="84">
        <f>IFERROR(__xludf.DUMMYFUNCTION("""COMPUTED_VALUE"""),46165.67224480324)</f>
        <v>46165.67224</v>
      </c>
      <c r="D236" s="173">
        <f t="shared" si="1"/>
        <v>1.7989589</v>
      </c>
      <c r="G236" s="76">
        <f>IFERROR(__xludf.DUMMYFUNCTION("""COMPUTED_VALUE"""),5197.0)</f>
        <v>5197</v>
      </c>
      <c r="H236" s="232">
        <f>IFERROR(__xludf.DUMMYFUNCTION("""COMPUTED_VALUE"""),46167.47814814815)</f>
        <v>46167.47815</v>
      </c>
      <c r="I236" s="84">
        <f>IFERROR(__xludf.DUMMYFUNCTION("""COMPUTED_VALUE"""),46165.67232672454)</f>
        <v>46165.67233</v>
      </c>
      <c r="J236" s="76">
        <f t="shared" si="2"/>
        <v>1.805821424</v>
      </c>
      <c r="L236" s="76">
        <f>IFERROR(__xludf.DUMMYFUNCTION("""COMPUTED_VALUE"""),5197.0)</f>
        <v>5197</v>
      </c>
      <c r="M236" s="232">
        <f>IFERROR(__xludf.DUMMYFUNCTION("""COMPUTED_VALUE"""),46167.58231481481)</f>
        <v>46167.58231</v>
      </c>
      <c r="N236" s="84">
        <f>IFERROR(__xludf.DUMMYFUNCTION("""COMPUTED_VALUE"""),46165.67241472223)</f>
        <v>46165.67241</v>
      </c>
      <c r="O236" s="76">
        <f t="shared" si="3"/>
        <v>1.909900093</v>
      </c>
      <c r="Q236" s="76">
        <f>IFERROR(__xludf.DUMMYFUNCTION("""COMPUTED_VALUE"""),5192.0)</f>
        <v>5192</v>
      </c>
      <c r="R236" s="232">
        <f>IFERROR(__xludf.DUMMYFUNCTION("""COMPUTED_VALUE"""),46167.544444444444)</f>
        <v>46167.54444</v>
      </c>
      <c r="S236" s="84">
        <f>IFERROR(__xludf.DUMMYFUNCTION("""COMPUTED_VALUE"""),46165.49518143518)</f>
        <v>46165.49518</v>
      </c>
      <c r="T236" s="76">
        <f t="shared" si="4"/>
        <v>2.049263009</v>
      </c>
      <c r="V236" s="76">
        <f>IFERROR(__xludf.DUMMYFUNCTION("""COMPUTED_VALUE"""),5197.0)</f>
        <v>5197</v>
      </c>
      <c r="W236" s="232">
        <f>IFERROR(__xludf.DUMMYFUNCTION("""COMPUTED_VALUE"""),46168.62361111111)</f>
        <v>46168.62361</v>
      </c>
      <c r="X236" s="84">
        <f>IFERROR(__xludf.DUMMYFUNCTION("""COMPUTED_VALUE"""),46165.684228680555)</f>
        <v>46165.68423</v>
      </c>
      <c r="Y236" s="76">
        <f t="shared" si="5"/>
        <v>2.939382431</v>
      </c>
      <c r="AK236" s="232"/>
      <c r="AL236" s="233"/>
      <c r="AM236" s="173"/>
    </row>
    <row r="237">
      <c r="A237" s="76">
        <f>IFERROR(__xludf.DUMMYFUNCTION("""COMPUTED_VALUE"""),5198.0)</f>
        <v>5198</v>
      </c>
      <c r="B237" s="232">
        <f>IFERROR(__xludf.DUMMYFUNCTION("""COMPUTED_VALUE"""),46167.67369265046)</f>
        <v>46167.67369</v>
      </c>
      <c r="C237" s="84">
        <f>IFERROR(__xludf.DUMMYFUNCTION("""COMPUTED_VALUE"""),46167.55479247685)</f>
        <v>46167.55479</v>
      </c>
      <c r="D237" s="173">
        <f t="shared" si="1"/>
        <v>0.1189001736</v>
      </c>
      <c r="G237" s="76">
        <f>IFERROR(__xludf.DUMMYFUNCTION("""COMPUTED_VALUE"""),5198.0)</f>
        <v>5198</v>
      </c>
      <c r="H237" s="232">
        <f>IFERROR(__xludf.DUMMYFUNCTION("""COMPUTED_VALUE"""),46167.680637094905)</f>
        <v>46167.68064</v>
      </c>
      <c r="I237" s="84">
        <f>IFERROR(__xludf.DUMMYFUNCTION("""COMPUTED_VALUE"""),46167.554864398146)</f>
        <v>46167.55486</v>
      </c>
      <c r="J237" s="76">
        <f t="shared" si="2"/>
        <v>0.1257726968</v>
      </c>
      <c r="L237" s="76">
        <f>IFERROR(__xludf.DUMMYFUNCTION("""COMPUTED_VALUE"""),5198.0)</f>
        <v>5198</v>
      </c>
      <c r="M237" s="232">
        <f>IFERROR(__xludf.DUMMYFUNCTION("""COMPUTED_VALUE"""),46167.78480376157)</f>
        <v>46167.7848</v>
      </c>
      <c r="N237" s="84">
        <f>IFERROR(__xludf.DUMMYFUNCTION("""COMPUTED_VALUE"""),46167.554885543985)</f>
        <v>46167.55489</v>
      </c>
      <c r="O237" s="76">
        <f t="shared" si="3"/>
        <v>0.2299182176</v>
      </c>
      <c r="Q237" s="76">
        <f>IFERROR(__xludf.DUMMYFUNCTION("""COMPUTED_VALUE"""),5193.0)</f>
        <v>5193</v>
      </c>
      <c r="R237" s="232">
        <f>IFERROR(__xludf.DUMMYFUNCTION("""COMPUTED_VALUE"""),46167.56875)</f>
        <v>46167.56875</v>
      </c>
      <c r="S237" s="84">
        <f>IFERROR(__xludf.DUMMYFUNCTION("""COMPUTED_VALUE"""),46164.75552230324)</f>
        <v>46164.75552</v>
      </c>
      <c r="T237" s="76">
        <f t="shared" si="4"/>
        <v>2.813227697</v>
      </c>
      <c r="V237" s="76">
        <f>IFERROR(__xludf.DUMMYFUNCTION("""COMPUTED_VALUE"""),5198.0)</f>
        <v>5198</v>
      </c>
      <c r="W237" s="232">
        <f>IFERROR(__xludf.DUMMYFUNCTION("""COMPUTED_VALUE"""),46168.82638888888)</f>
        <v>46168.82639</v>
      </c>
      <c r="X237" s="84">
        <f>IFERROR(__xludf.DUMMYFUNCTION("""COMPUTED_VALUE"""),46168.008889861114)</f>
        <v>46168.00889</v>
      </c>
      <c r="Y237" s="76">
        <f t="shared" si="5"/>
        <v>0.8174990278</v>
      </c>
      <c r="AK237" s="232"/>
      <c r="AL237" s="233"/>
      <c r="AM237" s="173"/>
    </row>
    <row r="238">
      <c r="A238" s="76">
        <f>IFERROR(__xludf.DUMMYFUNCTION("""COMPUTED_VALUE"""),5199.0)</f>
        <v>5199</v>
      </c>
      <c r="B238" s="232">
        <f>IFERROR(__xludf.DUMMYFUNCTION("""COMPUTED_VALUE"""),46168.45486111111)</f>
        <v>46168.45486</v>
      </c>
      <c r="C238" s="84">
        <f>IFERROR(__xludf.DUMMYFUNCTION("""COMPUTED_VALUE"""),46167.72818637731)</f>
        <v>46167.72819</v>
      </c>
      <c r="D238" s="173">
        <f t="shared" si="1"/>
        <v>0.7266747338</v>
      </c>
      <c r="G238" s="76">
        <f>IFERROR(__xludf.DUMMYFUNCTION("""COMPUTED_VALUE"""),5199.0)</f>
        <v>5199</v>
      </c>
      <c r="H238" s="232">
        <f>IFERROR(__xludf.DUMMYFUNCTION("""COMPUTED_VALUE"""),46168.461805555555)</f>
        <v>46168.46181</v>
      </c>
      <c r="I238" s="84">
        <f>IFERROR(__xludf.DUMMYFUNCTION("""COMPUTED_VALUE"""),46167.72942982639)</f>
        <v>46167.72943</v>
      </c>
      <c r="J238" s="76">
        <f t="shared" si="2"/>
        <v>0.7323757292</v>
      </c>
      <c r="L238" s="76">
        <f>IFERROR(__xludf.DUMMYFUNCTION("""COMPUTED_VALUE"""),5199.0)</f>
        <v>5199</v>
      </c>
      <c r="M238" s="232">
        <f>IFERROR(__xludf.DUMMYFUNCTION("""COMPUTED_VALUE"""),46168.56597222222)</f>
        <v>46168.56597</v>
      </c>
      <c r="N238" s="84">
        <f>IFERROR(__xludf.DUMMYFUNCTION("""COMPUTED_VALUE"""),46168.00876737268)</f>
        <v>46168.00877</v>
      </c>
      <c r="O238" s="76">
        <f t="shared" si="3"/>
        <v>0.5572048495</v>
      </c>
      <c r="Q238" s="76">
        <f>IFERROR(__xludf.DUMMYFUNCTION("""COMPUTED_VALUE"""),5194.0)</f>
        <v>5194</v>
      </c>
      <c r="R238" s="232">
        <f>IFERROR(__xludf.DUMMYFUNCTION("""COMPUTED_VALUE"""),46167.57708333333)</f>
        <v>46167.57708</v>
      </c>
      <c r="S238" s="84">
        <f>IFERROR(__xludf.DUMMYFUNCTION("""COMPUTED_VALUE"""),46165.49522548611)</f>
        <v>46165.49523</v>
      </c>
      <c r="T238" s="76">
        <f t="shared" si="4"/>
        <v>2.081857847</v>
      </c>
      <c r="V238" s="76">
        <f>IFERROR(__xludf.DUMMYFUNCTION("""COMPUTED_VALUE"""),5199.0)</f>
        <v>5199</v>
      </c>
      <c r="W238" s="232">
        <f>IFERROR(__xludf.DUMMYFUNCTION("""COMPUTED_VALUE"""),46169.60763888888)</f>
        <v>46169.60764</v>
      </c>
      <c r="X238" s="84">
        <f>IFERROR(__xludf.DUMMYFUNCTION("""COMPUTED_VALUE"""),46169.56001527778)</f>
        <v>46169.56002</v>
      </c>
      <c r="Y238" s="76">
        <f t="shared" si="5"/>
        <v>0.04762361111</v>
      </c>
      <c r="AK238" s="232"/>
      <c r="AL238" s="233"/>
      <c r="AM238" s="173"/>
    </row>
    <row r="239">
      <c r="A239" s="76">
        <f>IFERROR(__xludf.DUMMYFUNCTION("""COMPUTED_VALUE"""),5200.0)</f>
        <v>5200</v>
      </c>
      <c r="B239" s="232">
        <f>IFERROR(__xludf.DUMMYFUNCTION("""COMPUTED_VALUE"""),46168.463888888895)</f>
        <v>46168.46389</v>
      </c>
      <c r="C239" s="84">
        <f>IFERROR(__xludf.DUMMYFUNCTION("""COMPUTED_VALUE"""),46167.72820915509)</f>
        <v>46167.72821</v>
      </c>
      <c r="D239" s="173">
        <f t="shared" si="1"/>
        <v>0.7356797338</v>
      </c>
      <c r="G239" s="76">
        <f>IFERROR(__xludf.DUMMYFUNCTION("""COMPUTED_VALUE"""),5200.0)</f>
        <v>5200</v>
      </c>
      <c r="H239" s="232">
        <f>IFERROR(__xludf.DUMMYFUNCTION("""COMPUTED_VALUE"""),46168.47083333334)</f>
        <v>46168.47083</v>
      </c>
      <c r="I239" s="84">
        <f>IFERROR(__xludf.DUMMYFUNCTION("""COMPUTED_VALUE"""),46167.72937908565)</f>
        <v>46167.72938</v>
      </c>
      <c r="J239" s="76">
        <f t="shared" si="2"/>
        <v>0.7414542477</v>
      </c>
      <c r="L239" s="76">
        <f>IFERROR(__xludf.DUMMYFUNCTION("""COMPUTED_VALUE"""),5200.0)</f>
        <v>5200</v>
      </c>
      <c r="M239" s="232">
        <f>IFERROR(__xludf.DUMMYFUNCTION("""COMPUTED_VALUE"""),46168.575000000004)</f>
        <v>46168.575</v>
      </c>
      <c r="N239" s="84">
        <f>IFERROR(__xludf.DUMMYFUNCTION("""COMPUTED_VALUE"""),46167.729455)</f>
        <v>46167.72946</v>
      </c>
      <c r="O239" s="76">
        <f t="shared" si="3"/>
        <v>0.845545</v>
      </c>
      <c r="Q239" s="76">
        <f>IFERROR(__xludf.DUMMYFUNCTION("""COMPUTED_VALUE"""),5195.0)</f>
        <v>5195</v>
      </c>
      <c r="R239" s="232">
        <f>IFERROR(__xludf.DUMMYFUNCTION("""COMPUTED_VALUE"""),46167.58541666667)</f>
        <v>46167.58542</v>
      </c>
      <c r="S239" s="84">
        <f>IFERROR(__xludf.DUMMYFUNCTION("""COMPUTED_VALUE"""),46165.49528498843)</f>
        <v>46165.49528</v>
      </c>
      <c r="T239" s="76">
        <f t="shared" si="4"/>
        <v>2.090131678</v>
      </c>
      <c r="V239" s="76">
        <f>IFERROR(__xludf.DUMMYFUNCTION("""COMPUTED_VALUE"""),5200.0)</f>
        <v>5200</v>
      </c>
      <c r="W239" s="232">
        <f>IFERROR(__xludf.DUMMYFUNCTION("""COMPUTED_VALUE"""),46169.61666666666)</f>
        <v>46169.61667</v>
      </c>
      <c r="X239" s="84">
        <f>IFERROR(__xludf.DUMMYFUNCTION("""COMPUTED_VALUE"""),46168.44589578704)</f>
        <v>46168.4459</v>
      </c>
      <c r="Y239" s="76">
        <f t="shared" si="5"/>
        <v>1.17077088</v>
      </c>
      <c r="AK239" s="232"/>
      <c r="AL239" s="233"/>
      <c r="AM239" s="173"/>
    </row>
    <row r="240">
      <c r="A240" s="76">
        <f>IFERROR(__xludf.DUMMYFUNCTION("""COMPUTED_VALUE"""),5201.0)</f>
        <v>5201</v>
      </c>
      <c r="B240" s="232">
        <f>IFERROR(__xludf.DUMMYFUNCTION("""COMPUTED_VALUE"""),46168.47430555556)</f>
        <v>46168.47431</v>
      </c>
      <c r="C240" s="84">
        <f>IFERROR(__xludf.DUMMYFUNCTION("""COMPUTED_VALUE"""),46167.72817391204)</f>
        <v>46167.72817</v>
      </c>
      <c r="D240" s="173">
        <f t="shared" si="1"/>
        <v>0.7461316435</v>
      </c>
      <c r="G240" s="76">
        <f>IFERROR(__xludf.DUMMYFUNCTION("""COMPUTED_VALUE"""),5201.0)</f>
        <v>5201</v>
      </c>
      <c r="H240" s="232">
        <f>IFERROR(__xludf.DUMMYFUNCTION("""COMPUTED_VALUE"""),46168.481250000004)</f>
        <v>46168.48125</v>
      </c>
      <c r="I240" s="84">
        <f>IFERROR(__xludf.DUMMYFUNCTION("""COMPUTED_VALUE"""),46167.72937908565)</f>
        <v>46167.72938</v>
      </c>
      <c r="J240" s="76">
        <f t="shared" si="2"/>
        <v>0.7518709144</v>
      </c>
      <c r="L240" s="76">
        <f>IFERROR(__xludf.DUMMYFUNCTION("""COMPUTED_VALUE"""),5201.0)</f>
        <v>5201</v>
      </c>
      <c r="M240" s="232">
        <f>IFERROR(__xludf.DUMMYFUNCTION("""COMPUTED_VALUE"""),46168.58541666667)</f>
        <v>46168.58542</v>
      </c>
      <c r="N240" s="84">
        <f>IFERROR(__xludf.DUMMYFUNCTION("""COMPUTED_VALUE"""),46167.72946041667)</f>
        <v>46167.72946</v>
      </c>
      <c r="O240" s="76">
        <f t="shared" si="3"/>
        <v>0.85595625</v>
      </c>
      <c r="Q240" s="76">
        <f>IFERROR(__xludf.DUMMYFUNCTION("""COMPUTED_VALUE"""),5196.0)</f>
        <v>5196</v>
      </c>
      <c r="R240" s="232">
        <f>IFERROR(__xludf.DUMMYFUNCTION("""COMPUTED_VALUE"""),46167.66527777778)</f>
        <v>46167.66528</v>
      </c>
      <c r="S240" s="84">
        <f>IFERROR(__xludf.DUMMYFUNCTION("""COMPUTED_VALUE"""),46165.46228739583)</f>
        <v>46165.46229</v>
      </c>
      <c r="T240" s="76">
        <f t="shared" si="4"/>
        <v>2.202990382</v>
      </c>
      <c r="V240" s="76">
        <f>IFERROR(__xludf.DUMMYFUNCTION("""COMPUTED_VALUE"""),5201.0)</f>
        <v>5201</v>
      </c>
      <c r="W240" s="232">
        <f>IFERROR(__xludf.DUMMYFUNCTION("""COMPUTED_VALUE"""),46169.62708333333)</f>
        <v>46169.62708</v>
      </c>
      <c r="X240" s="84">
        <f>IFERROR(__xludf.DUMMYFUNCTION("""COMPUTED_VALUE"""),46168.44590208333)</f>
        <v>46168.4459</v>
      </c>
      <c r="Y240" s="76">
        <f t="shared" si="5"/>
        <v>1.18118125</v>
      </c>
      <c r="AK240" s="232"/>
      <c r="AL240" s="233"/>
      <c r="AM240" s="173"/>
    </row>
    <row r="241">
      <c r="A241" s="76">
        <f>IFERROR(__xludf.DUMMYFUNCTION("""COMPUTED_VALUE"""),5202.0)</f>
        <v>5202</v>
      </c>
      <c r="B241" s="232">
        <f>IFERROR(__xludf.DUMMYFUNCTION("""COMPUTED_VALUE"""),46168.47638888889)</f>
        <v>46168.47639</v>
      </c>
      <c r="C241" s="84">
        <f>IFERROR(__xludf.DUMMYFUNCTION("""COMPUTED_VALUE"""),46167.72817391204)</f>
        <v>46167.72817</v>
      </c>
      <c r="D241" s="173">
        <f t="shared" si="1"/>
        <v>0.7482149769</v>
      </c>
      <c r="G241" s="76">
        <f>IFERROR(__xludf.DUMMYFUNCTION("""COMPUTED_VALUE"""),5202.0)</f>
        <v>5202</v>
      </c>
      <c r="H241" s="232">
        <f>IFERROR(__xludf.DUMMYFUNCTION("""COMPUTED_VALUE"""),46168.48333333334)</f>
        <v>46168.48333</v>
      </c>
      <c r="I241" s="84">
        <f>IFERROR(__xludf.DUMMYFUNCTION("""COMPUTED_VALUE"""),46167.72938414352)</f>
        <v>46167.72938</v>
      </c>
      <c r="J241" s="76">
        <f t="shared" si="2"/>
        <v>0.7539491898</v>
      </c>
      <c r="L241" s="76">
        <f>IFERROR(__xludf.DUMMYFUNCTION("""COMPUTED_VALUE"""),5202.0)</f>
        <v>5202</v>
      </c>
      <c r="M241" s="232">
        <f>IFERROR(__xludf.DUMMYFUNCTION("""COMPUTED_VALUE"""),46168.5875)</f>
        <v>46168.5875</v>
      </c>
      <c r="N241" s="84">
        <f>IFERROR(__xludf.DUMMYFUNCTION("""COMPUTED_VALUE"""),46167.729469328704)</f>
        <v>46167.72947</v>
      </c>
      <c r="O241" s="76">
        <f t="shared" si="3"/>
        <v>0.8580306713</v>
      </c>
      <c r="Q241" s="76">
        <f>IFERROR(__xludf.DUMMYFUNCTION("""COMPUTED_VALUE"""),5197.0)</f>
        <v>5197</v>
      </c>
      <c r="R241" s="232">
        <f>IFERROR(__xludf.DUMMYFUNCTION("""COMPUTED_VALUE"""),46168.58194444444)</f>
        <v>46168.58194</v>
      </c>
      <c r="S241" s="84">
        <f>IFERROR(__xludf.DUMMYFUNCTION("""COMPUTED_VALUE"""),46165.68420146991)</f>
        <v>46165.6842</v>
      </c>
      <c r="T241" s="76">
        <f t="shared" si="4"/>
        <v>2.897742975</v>
      </c>
      <c r="V241" s="76">
        <f>IFERROR(__xludf.DUMMYFUNCTION("""COMPUTED_VALUE"""),5202.0)</f>
        <v>5202</v>
      </c>
      <c r="W241" s="232">
        <f>IFERROR(__xludf.DUMMYFUNCTION("""COMPUTED_VALUE"""),46169.629166666666)</f>
        <v>46169.62917</v>
      </c>
      <c r="X241" s="84">
        <f>IFERROR(__xludf.DUMMYFUNCTION("""COMPUTED_VALUE"""),46168.44590208333)</f>
        <v>46168.4459</v>
      </c>
      <c r="Y241" s="76">
        <f t="shared" si="5"/>
        <v>1.183264583</v>
      </c>
      <c r="AK241" s="232"/>
      <c r="AL241" s="233"/>
      <c r="AM241" s="173"/>
    </row>
    <row r="242">
      <c r="A242" s="76">
        <f>IFERROR(__xludf.DUMMYFUNCTION("""COMPUTED_VALUE"""),5203.0)</f>
        <v>5203</v>
      </c>
      <c r="B242" s="232">
        <f>IFERROR(__xludf.DUMMYFUNCTION("""COMPUTED_VALUE"""),46168.48611111112)</f>
        <v>46168.48611</v>
      </c>
      <c r="C242" s="84">
        <f>IFERROR(__xludf.DUMMYFUNCTION("""COMPUTED_VALUE"""),46167.7409350463)</f>
        <v>46167.74094</v>
      </c>
      <c r="D242" s="173">
        <f t="shared" si="1"/>
        <v>0.7451760648</v>
      </c>
      <c r="G242" s="76">
        <f>IFERROR(__xludf.DUMMYFUNCTION("""COMPUTED_VALUE"""),5203.0)</f>
        <v>5203</v>
      </c>
      <c r="H242" s="232">
        <f>IFERROR(__xludf.DUMMYFUNCTION("""COMPUTED_VALUE"""),46168.49305555556)</f>
        <v>46168.49306</v>
      </c>
      <c r="I242" s="84">
        <f>IFERROR(__xludf.DUMMYFUNCTION("""COMPUTED_VALUE"""),46167.74098606482)</f>
        <v>46167.74099</v>
      </c>
      <c r="J242" s="76">
        <f t="shared" si="2"/>
        <v>0.7520694907</v>
      </c>
      <c r="L242" s="76">
        <f>IFERROR(__xludf.DUMMYFUNCTION("""COMPUTED_VALUE"""),5203.0)</f>
        <v>5203</v>
      </c>
      <c r="M242" s="232">
        <f>IFERROR(__xludf.DUMMYFUNCTION("""COMPUTED_VALUE"""),46168.597222222226)</f>
        <v>46168.59722</v>
      </c>
      <c r="N242" s="84">
        <f>IFERROR(__xludf.DUMMYFUNCTION("""COMPUTED_VALUE"""),46167.74102458333)</f>
        <v>46167.74102</v>
      </c>
      <c r="O242" s="76">
        <f t="shared" si="3"/>
        <v>0.8561976389</v>
      </c>
      <c r="Q242" s="76">
        <f>IFERROR(__xludf.DUMMYFUNCTION("""COMPUTED_VALUE"""),5198.0)</f>
        <v>5198</v>
      </c>
      <c r="R242" s="232">
        <f>IFERROR(__xludf.DUMMYFUNCTION("""COMPUTED_VALUE"""),46168.78472222222)</f>
        <v>46168.78472</v>
      </c>
      <c r="S242" s="84">
        <f>IFERROR(__xludf.DUMMYFUNCTION("""COMPUTED_VALUE"""),46167.554950694444)</f>
        <v>46167.55495</v>
      </c>
      <c r="T242" s="76">
        <f t="shared" si="4"/>
        <v>1.229771528</v>
      </c>
      <c r="V242" s="76">
        <f>IFERROR(__xludf.DUMMYFUNCTION("""COMPUTED_VALUE"""),5203.0)</f>
        <v>5203</v>
      </c>
      <c r="W242" s="232">
        <f>IFERROR(__xludf.DUMMYFUNCTION("""COMPUTED_VALUE"""),46169.63888888889)</f>
        <v>46169.63889</v>
      </c>
      <c r="X242" s="84">
        <f>IFERROR(__xludf.DUMMYFUNCTION("""COMPUTED_VALUE"""),46168.44590896991)</f>
        <v>46168.44591</v>
      </c>
      <c r="Y242" s="76">
        <f t="shared" si="5"/>
        <v>1.192979919</v>
      </c>
      <c r="AK242" s="232"/>
      <c r="AL242" s="233"/>
      <c r="AM242" s="173"/>
    </row>
    <row r="243">
      <c r="A243" s="76">
        <f>IFERROR(__xludf.DUMMYFUNCTION("""COMPUTED_VALUE"""),5204.0)</f>
        <v>5204</v>
      </c>
      <c r="B243" s="232">
        <f>IFERROR(__xludf.DUMMYFUNCTION("""COMPUTED_VALUE"""),46168.53055555555)</f>
        <v>46168.53056</v>
      </c>
      <c r="C243" s="84">
        <f>IFERROR(__xludf.DUMMYFUNCTION("""COMPUTED_VALUE"""),46168.44553158565)</f>
        <v>46168.44553</v>
      </c>
      <c r="D243" s="173">
        <f t="shared" si="1"/>
        <v>0.08502396991</v>
      </c>
      <c r="G243" s="76">
        <f>IFERROR(__xludf.DUMMYFUNCTION("""COMPUTED_VALUE"""),5204.0)</f>
        <v>5204</v>
      </c>
      <c r="H243" s="232">
        <f>IFERROR(__xludf.DUMMYFUNCTION("""COMPUTED_VALUE"""),46168.5375)</f>
        <v>46168.5375</v>
      </c>
      <c r="I243" s="84">
        <f>IFERROR(__xludf.DUMMYFUNCTION("""COMPUTED_VALUE"""),46168.4456090625)</f>
        <v>46168.44561</v>
      </c>
      <c r="J243" s="76">
        <f t="shared" si="2"/>
        <v>0.0918909375</v>
      </c>
      <c r="L243" s="76">
        <f>IFERROR(__xludf.DUMMYFUNCTION("""COMPUTED_VALUE"""),5204.0)</f>
        <v>5204</v>
      </c>
      <c r="M243" s="232">
        <f>IFERROR(__xludf.DUMMYFUNCTION("""COMPUTED_VALUE"""),46168.64166666666)</f>
        <v>46168.64167</v>
      </c>
      <c r="N243" s="84">
        <f>IFERROR(__xludf.DUMMYFUNCTION("""COMPUTED_VALUE"""),46168.4457625463)</f>
        <v>46168.44576</v>
      </c>
      <c r="O243" s="76">
        <f t="shared" si="3"/>
        <v>0.1959041204</v>
      </c>
      <c r="Q243" s="76">
        <f>IFERROR(__xludf.DUMMYFUNCTION("""COMPUTED_VALUE"""),5199.0)</f>
        <v>5199</v>
      </c>
      <c r="R243" s="232">
        <f>IFERROR(__xludf.DUMMYFUNCTION("""COMPUTED_VALUE"""),46169.56597222222)</f>
        <v>46169.56597</v>
      </c>
      <c r="S243" s="84">
        <f>IFERROR(__xludf.DUMMYFUNCTION("""COMPUTED_VALUE"""),46169.510197361116)</f>
        <v>46169.5102</v>
      </c>
      <c r="T243" s="76">
        <f t="shared" si="4"/>
        <v>0.0557748611</v>
      </c>
      <c r="V243" s="76">
        <f>IFERROR(__xludf.DUMMYFUNCTION("""COMPUTED_VALUE"""),5204.0)</f>
        <v>5204</v>
      </c>
      <c r="W243" s="232">
        <f>IFERROR(__xludf.DUMMYFUNCTION("""COMPUTED_VALUE"""),46169.683333333334)</f>
        <v>46169.68333</v>
      </c>
      <c r="X243" s="84">
        <f>IFERROR(__xludf.DUMMYFUNCTION("""COMPUTED_VALUE"""),46168.77994445602)</f>
        <v>46168.77994</v>
      </c>
      <c r="Y243" s="76">
        <f t="shared" si="5"/>
        <v>0.9033888773</v>
      </c>
      <c r="AK243" s="232"/>
      <c r="AL243" s="233"/>
      <c r="AM243" s="173"/>
    </row>
    <row r="244">
      <c r="A244" s="76">
        <f>IFERROR(__xludf.DUMMYFUNCTION("""COMPUTED_VALUE"""),5205.0)</f>
        <v>5205</v>
      </c>
      <c r="B244" s="232">
        <f>IFERROR(__xludf.DUMMYFUNCTION("""COMPUTED_VALUE"""),46168.53125)</f>
        <v>46168.53125</v>
      </c>
      <c r="C244" s="84">
        <f>IFERROR(__xludf.DUMMYFUNCTION("""COMPUTED_VALUE"""),46168.44553158565)</f>
        <v>46168.44553</v>
      </c>
      <c r="D244" s="173">
        <f t="shared" si="1"/>
        <v>0.08571841435</v>
      </c>
      <c r="G244" s="76">
        <f>IFERROR(__xludf.DUMMYFUNCTION("""COMPUTED_VALUE"""),5205.0)</f>
        <v>5205</v>
      </c>
      <c r="H244" s="232">
        <f>IFERROR(__xludf.DUMMYFUNCTION("""COMPUTED_VALUE"""),46168.538194444445)</f>
        <v>46168.53819</v>
      </c>
      <c r="I244" s="84">
        <f>IFERROR(__xludf.DUMMYFUNCTION("""COMPUTED_VALUE"""),46168.44562929399)</f>
        <v>46168.44563</v>
      </c>
      <c r="J244" s="76">
        <f t="shared" si="2"/>
        <v>0.09256515046</v>
      </c>
      <c r="L244" s="76">
        <f>IFERROR(__xludf.DUMMYFUNCTION("""COMPUTED_VALUE"""),5205.0)</f>
        <v>5205</v>
      </c>
      <c r="M244" s="232">
        <f>IFERROR(__xludf.DUMMYFUNCTION("""COMPUTED_VALUE"""),46168.64236111111)</f>
        <v>46168.64236</v>
      </c>
      <c r="N244" s="84">
        <f>IFERROR(__xludf.DUMMYFUNCTION("""COMPUTED_VALUE"""),46168.4457625463)</f>
        <v>46168.44576</v>
      </c>
      <c r="O244" s="76">
        <f t="shared" si="3"/>
        <v>0.1965985648</v>
      </c>
      <c r="Q244" s="76">
        <f>IFERROR(__xludf.DUMMYFUNCTION("""COMPUTED_VALUE"""),5200.0)</f>
        <v>5200</v>
      </c>
      <c r="R244" s="232">
        <f>IFERROR(__xludf.DUMMYFUNCTION("""COMPUTED_VALUE"""),46169.575)</f>
        <v>46169.575</v>
      </c>
      <c r="S244" s="84">
        <f>IFERROR(__xludf.DUMMYFUNCTION("""COMPUTED_VALUE"""),46168.44572545138)</f>
        <v>46168.44573</v>
      </c>
      <c r="T244" s="76">
        <f t="shared" si="4"/>
        <v>1.129274549</v>
      </c>
      <c r="V244" s="76">
        <f>IFERROR(__xludf.DUMMYFUNCTION("""COMPUTED_VALUE"""),5205.0)</f>
        <v>5205</v>
      </c>
      <c r="W244" s="232">
        <f>IFERROR(__xludf.DUMMYFUNCTION("""COMPUTED_VALUE"""),46169.684027777774)</f>
        <v>46169.68403</v>
      </c>
      <c r="X244" s="84">
        <f>IFERROR(__xludf.DUMMYFUNCTION("""COMPUTED_VALUE"""),46169.44505513889)</f>
        <v>46169.44506</v>
      </c>
      <c r="Y244" s="76">
        <f t="shared" si="5"/>
        <v>0.2389726389</v>
      </c>
      <c r="AK244" s="232"/>
      <c r="AL244" s="233"/>
      <c r="AM244" s="173"/>
    </row>
    <row r="245">
      <c r="A245" s="76">
        <f>IFERROR(__xludf.DUMMYFUNCTION("""COMPUTED_VALUE"""),5206.0)</f>
        <v>5206</v>
      </c>
      <c r="B245" s="232">
        <f>IFERROR(__xludf.DUMMYFUNCTION("""COMPUTED_VALUE"""),46168.532638888886)</f>
        <v>46168.53264</v>
      </c>
      <c r="C245" s="84">
        <f>IFERROR(__xludf.DUMMYFUNCTION("""COMPUTED_VALUE"""),46168.44554137731)</f>
        <v>46168.44554</v>
      </c>
      <c r="D245" s="173">
        <f t="shared" si="1"/>
        <v>0.08709751158</v>
      </c>
      <c r="G245" s="76">
        <f>IFERROR(__xludf.DUMMYFUNCTION("""COMPUTED_VALUE"""),5206.0)</f>
        <v>5206</v>
      </c>
      <c r="H245" s="232">
        <f>IFERROR(__xludf.DUMMYFUNCTION("""COMPUTED_VALUE"""),46168.53958333333)</f>
        <v>46168.53958</v>
      </c>
      <c r="I245" s="84">
        <f>IFERROR(__xludf.DUMMYFUNCTION("""COMPUTED_VALUE"""),46168.44562929399)</f>
        <v>46168.44563</v>
      </c>
      <c r="J245" s="76">
        <f t="shared" si="2"/>
        <v>0.09395403934</v>
      </c>
      <c r="L245" s="76">
        <f>IFERROR(__xludf.DUMMYFUNCTION("""COMPUTED_VALUE"""),5206.0)</f>
        <v>5206</v>
      </c>
      <c r="M245" s="232">
        <f>IFERROR(__xludf.DUMMYFUNCTION("""COMPUTED_VALUE"""),46168.643749999996)</f>
        <v>46168.64375</v>
      </c>
      <c r="N245" s="84">
        <f>IFERROR(__xludf.DUMMYFUNCTION("""COMPUTED_VALUE"""),46168.44577392361)</f>
        <v>46168.44577</v>
      </c>
      <c r="O245" s="76">
        <f t="shared" si="3"/>
        <v>0.1979760764</v>
      </c>
      <c r="Q245" s="76">
        <f>IFERROR(__xludf.DUMMYFUNCTION("""COMPUTED_VALUE"""),5201.0)</f>
        <v>5201</v>
      </c>
      <c r="R245" s="232">
        <f>IFERROR(__xludf.DUMMYFUNCTION("""COMPUTED_VALUE"""),46169.58541666667)</f>
        <v>46169.58542</v>
      </c>
      <c r="S245" s="84">
        <f>IFERROR(__xludf.DUMMYFUNCTION("""COMPUTED_VALUE"""),46168.44572545138)</f>
        <v>46168.44573</v>
      </c>
      <c r="T245" s="76">
        <f t="shared" si="4"/>
        <v>1.139691215</v>
      </c>
      <c r="V245" s="76">
        <f>IFERROR(__xludf.DUMMYFUNCTION("""COMPUTED_VALUE"""),5206.0)</f>
        <v>5206</v>
      </c>
      <c r="W245" s="232">
        <f>IFERROR(__xludf.DUMMYFUNCTION("""COMPUTED_VALUE"""),46169.68541666667)</f>
        <v>46169.68542</v>
      </c>
      <c r="X245" s="84">
        <f>IFERROR(__xludf.DUMMYFUNCTION("""COMPUTED_VALUE"""),46168.779955590275)</f>
        <v>46168.77996</v>
      </c>
      <c r="Y245" s="76">
        <f t="shared" si="5"/>
        <v>0.9054610764</v>
      </c>
      <c r="AK245" s="232"/>
      <c r="AL245" s="233"/>
      <c r="AM245" s="173"/>
    </row>
    <row r="246">
      <c r="A246" s="76">
        <f>IFERROR(__xludf.DUMMYFUNCTION("""COMPUTED_VALUE"""),5207.0)</f>
        <v>5207</v>
      </c>
      <c r="B246" s="232">
        <f>IFERROR(__xludf.DUMMYFUNCTION("""COMPUTED_VALUE"""),46169.42986111111)</f>
        <v>46169.42986</v>
      </c>
      <c r="C246" s="84">
        <f>IFERROR(__xludf.DUMMYFUNCTION("""COMPUTED_VALUE"""),46168.68581084491)</f>
        <v>46168.68581</v>
      </c>
      <c r="D246" s="173">
        <f t="shared" si="1"/>
        <v>0.7440502662</v>
      </c>
      <c r="G246" s="76">
        <f>IFERROR(__xludf.DUMMYFUNCTION("""COMPUTED_VALUE"""),5207.0)</f>
        <v>5207</v>
      </c>
      <c r="H246" s="232">
        <f>IFERROR(__xludf.DUMMYFUNCTION("""COMPUTED_VALUE"""),46169.43680555555)</f>
        <v>46169.43681</v>
      </c>
      <c r="I246" s="84">
        <f>IFERROR(__xludf.DUMMYFUNCTION("""COMPUTED_VALUE"""),46168.68594658565)</f>
        <v>46168.68595</v>
      </c>
      <c r="J246" s="76">
        <f t="shared" si="2"/>
        <v>0.7508589699</v>
      </c>
      <c r="L246" s="76">
        <f>IFERROR(__xludf.DUMMYFUNCTION("""COMPUTED_VALUE"""),5207.0)</f>
        <v>5207</v>
      </c>
      <c r="M246" s="232">
        <f>IFERROR(__xludf.DUMMYFUNCTION("""COMPUTED_VALUE"""),46169.54097222222)</f>
        <v>46169.54097</v>
      </c>
      <c r="N246" s="84">
        <f>IFERROR(__xludf.DUMMYFUNCTION("""COMPUTED_VALUE"""),46168.68597341435)</f>
        <v>46168.68597</v>
      </c>
      <c r="O246" s="76">
        <f t="shared" si="3"/>
        <v>0.8549988079</v>
      </c>
      <c r="Q246" s="76">
        <f>IFERROR(__xludf.DUMMYFUNCTION("""COMPUTED_VALUE"""),5202.0)</f>
        <v>5202</v>
      </c>
      <c r="R246" s="232">
        <f>IFERROR(__xludf.DUMMYFUNCTION("""COMPUTED_VALUE"""),46169.5875)</f>
        <v>46169.5875</v>
      </c>
      <c r="S246" s="84">
        <f>IFERROR(__xludf.DUMMYFUNCTION("""COMPUTED_VALUE"""),46168.44573202546)</f>
        <v>46168.44573</v>
      </c>
      <c r="T246" s="76">
        <f t="shared" si="4"/>
        <v>1.141767975</v>
      </c>
      <c r="V246" s="76">
        <f>IFERROR(__xludf.DUMMYFUNCTION("""COMPUTED_VALUE"""),5207.0)</f>
        <v>5207</v>
      </c>
      <c r="W246" s="232">
        <f>IFERROR(__xludf.DUMMYFUNCTION("""COMPUTED_VALUE"""),46170.58263888889)</f>
        <v>46170.58264</v>
      </c>
      <c r="X246" s="84">
        <f>IFERROR(__xludf.DUMMYFUNCTION("""COMPUTED_VALUE"""),46169.44506262732)</f>
        <v>46169.44506</v>
      </c>
      <c r="Y246" s="76">
        <f t="shared" si="5"/>
        <v>1.137576262</v>
      </c>
      <c r="AK246" s="232"/>
      <c r="AL246" s="233"/>
      <c r="AM246" s="173"/>
    </row>
    <row r="247">
      <c r="A247" s="76">
        <f>IFERROR(__xludf.DUMMYFUNCTION("""COMPUTED_VALUE"""),5208.0)</f>
        <v>5208</v>
      </c>
      <c r="B247" s="232">
        <f>IFERROR(__xludf.DUMMYFUNCTION("""COMPUTED_VALUE"""),46169.6767774537)</f>
        <v>46169.67678</v>
      </c>
      <c r="C247" s="84">
        <f>IFERROR(__xludf.DUMMYFUNCTION("""COMPUTED_VALUE"""),46169.53720892361)</f>
        <v>46169.53721</v>
      </c>
      <c r="D247" s="173">
        <f t="shared" si="1"/>
        <v>0.1395685301</v>
      </c>
      <c r="G247" s="76">
        <f>IFERROR(__xludf.DUMMYFUNCTION("""COMPUTED_VALUE"""),5208.0)</f>
        <v>5208</v>
      </c>
      <c r="H247" s="232">
        <f>IFERROR(__xludf.DUMMYFUNCTION("""COMPUTED_VALUE"""),46169.683721898145)</f>
        <v>46169.68372</v>
      </c>
      <c r="I247" s="84">
        <f>IFERROR(__xludf.DUMMYFUNCTION("""COMPUTED_VALUE"""),46169.53728614583)</f>
        <v>46169.53729</v>
      </c>
      <c r="J247" s="76">
        <f t="shared" si="2"/>
        <v>0.1464357523</v>
      </c>
      <c r="L247" s="76">
        <f>IFERROR(__xludf.DUMMYFUNCTION("""COMPUTED_VALUE"""),5208.0)</f>
        <v>5208</v>
      </c>
      <c r="M247" s="232">
        <f>IFERROR(__xludf.DUMMYFUNCTION("""COMPUTED_VALUE"""),46169.78788856481)</f>
        <v>46169.78789</v>
      </c>
      <c r="N247" s="84">
        <f>IFERROR(__xludf.DUMMYFUNCTION("""COMPUTED_VALUE"""),46169.53741751157)</f>
        <v>46169.53742</v>
      </c>
      <c r="O247" s="76">
        <f t="shared" si="3"/>
        <v>0.2504710532</v>
      </c>
      <c r="Q247" s="76">
        <f>IFERROR(__xludf.DUMMYFUNCTION("""COMPUTED_VALUE"""),5203.0)</f>
        <v>5203</v>
      </c>
      <c r="R247" s="232">
        <f>IFERROR(__xludf.DUMMYFUNCTION("""COMPUTED_VALUE"""),46169.597222222226)</f>
        <v>46169.59722</v>
      </c>
      <c r="S247" s="84">
        <f>IFERROR(__xludf.DUMMYFUNCTION("""COMPUTED_VALUE"""),46168.44573202546)</f>
        <v>46168.44573</v>
      </c>
      <c r="T247" s="76">
        <f t="shared" si="4"/>
        <v>1.151490197</v>
      </c>
      <c r="V247" s="76">
        <f>IFERROR(__xludf.DUMMYFUNCTION("""COMPUTED_VALUE"""),5208.0)</f>
        <v>5208</v>
      </c>
      <c r="W247" s="232">
        <f>IFERROR(__xludf.DUMMYFUNCTION("""COMPUTED_VALUE"""),46170.82916666666)</f>
        <v>46170.82917</v>
      </c>
      <c r="X247" s="84">
        <f>IFERROR(__xludf.DUMMYFUNCTION("""COMPUTED_VALUE"""),46170.67021181713)</f>
        <v>46170.67021</v>
      </c>
      <c r="Y247" s="76">
        <f t="shared" si="5"/>
        <v>0.1589548495</v>
      </c>
      <c r="AK247" s="232"/>
      <c r="AL247" s="233"/>
      <c r="AM247" s="173"/>
    </row>
    <row r="248">
      <c r="A248" s="76">
        <f>IFERROR(__xludf.DUMMYFUNCTION("""COMPUTED_VALUE"""),5209.0)</f>
        <v>5209</v>
      </c>
      <c r="B248" s="232">
        <f>IFERROR(__xludf.DUMMYFUNCTION("""COMPUTED_VALUE"""),46169.819052280094)</f>
        <v>46169.81905</v>
      </c>
      <c r="C248" s="84">
        <f>IFERROR(__xludf.DUMMYFUNCTION("""COMPUTED_VALUE"""),46169.73813858796)</f>
        <v>46169.73814</v>
      </c>
      <c r="D248" s="173">
        <f t="shared" si="1"/>
        <v>0.08091369213</v>
      </c>
      <c r="G248" s="76">
        <f>IFERROR(__xludf.DUMMYFUNCTION("""COMPUTED_VALUE"""),5209.0)</f>
        <v>5209</v>
      </c>
      <c r="H248" s="232">
        <f>IFERROR(__xludf.DUMMYFUNCTION("""COMPUTED_VALUE"""),46169.82599672454)</f>
        <v>46169.826</v>
      </c>
      <c r="I248" s="84">
        <f>IFERROR(__xludf.DUMMYFUNCTION("""COMPUTED_VALUE"""),46169.73827003472)</f>
        <v>46169.73827</v>
      </c>
      <c r="J248" s="76">
        <f t="shared" si="2"/>
        <v>0.08772668982</v>
      </c>
      <c r="L248" s="76">
        <f>IFERROR(__xludf.DUMMYFUNCTION("""COMPUTED_VALUE"""),5209.0)</f>
        <v>5209</v>
      </c>
      <c r="M248" s="232">
        <f>IFERROR(__xludf.DUMMYFUNCTION("""COMPUTED_VALUE"""),46170.53402777778)</f>
        <v>46170.53403</v>
      </c>
      <c r="N248" s="84">
        <f>IFERROR(__xludf.DUMMYFUNCTION("""COMPUTED_VALUE"""),46169.76092881944)</f>
        <v>46169.76093</v>
      </c>
      <c r="O248" s="76">
        <f t="shared" si="3"/>
        <v>0.7730989583</v>
      </c>
      <c r="Q248" s="76">
        <f>IFERROR(__xludf.DUMMYFUNCTION("""COMPUTED_VALUE"""),5204.0)</f>
        <v>5204</v>
      </c>
      <c r="R248" s="232">
        <f>IFERROR(__xludf.DUMMYFUNCTION("""COMPUTED_VALUE"""),46169.64166666667)</f>
        <v>46169.64167</v>
      </c>
      <c r="S248" s="84">
        <f>IFERROR(__xludf.DUMMYFUNCTION("""COMPUTED_VALUE"""),46168.44584193287)</f>
        <v>46168.44584</v>
      </c>
      <c r="T248" s="76">
        <f t="shared" si="4"/>
        <v>1.195824734</v>
      </c>
      <c r="V248" s="76">
        <f>IFERROR(__xludf.DUMMYFUNCTION("""COMPUTED_VALUE"""),5209.0)</f>
        <v>5209</v>
      </c>
      <c r="W248" s="232">
        <f>IFERROR(__xludf.DUMMYFUNCTION("""COMPUTED_VALUE"""),46171.575694444444)</f>
        <v>46171.57569</v>
      </c>
      <c r="X248" s="84">
        <f>IFERROR(__xludf.DUMMYFUNCTION("""COMPUTED_VALUE"""),46170.57615689815)</f>
        <v>46170.57616</v>
      </c>
      <c r="Y248" s="76">
        <f t="shared" si="5"/>
        <v>0.9995375463</v>
      </c>
      <c r="AK248" s="232"/>
      <c r="AL248" s="233"/>
      <c r="AM248" s="173"/>
    </row>
    <row r="249">
      <c r="A249" s="76">
        <f>IFERROR(__xludf.DUMMYFUNCTION("""COMPUTED_VALUE"""),5210.0)</f>
        <v>5210</v>
      </c>
      <c r="B249" s="232">
        <f>IFERROR(__xludf.DUMMYFUNCTION("""COMPUTED_VALUE"""),46170.47916666667)</f>
        <v>46170.47917</v>
      </c>
      <c r="C249" s="84">
        <f>IFERROR(__xludf.DUMMYFUNCTION("""COMPUTED_VALUE"""),46169.7381171875)</f>
        <v>46169.73812</v>
      </c>
      <c r="D249" s="173">
        <f t="shared" si="1"/>
        <v>0.7410494792</v>
      </c>
      <c r="G249" s="76">
        <f>IFERROR(__xludf.DUMMYFUNCTION("""COMPUTED_VALUE"""),5210.0)</f>
        <v>5210</v>
      </c>
      <c r="H249" s="232">
        <f>IFERROR(__xludf.DUMMYFUNCTION("""COMPUTED_VALUE"""),46170.48611111112)</f>
        <v>46170.48611</v>
      </c>
      <c r="I249" s="84">
        <f>IFERROR(__xludf.DUMMYFUNCTION("""COMPUTED_VALUE"""),46169.73845030092)</f>
        <v>46169.73845</v>
      </c>
      <c r="J249" s="76">
        <f t="shared" si="2"/>
        <v>0.7476608102</v>
      </c>
      <c r="L249" s="76">
        <f>IFERROR(__xludf.DUMMYFUNCTION("""COMPUTED_VALUE"""),5210.0)</f>
        <v>5210</v>
      </c>
      <c r="M249" s="232">
        <f>IFERROR(__xludf.DUMMYFUNCTION("""COMPUTED_VALUE"""),46170.59027777778)</f>
        <v>46170.59028</v>
      </c>
      <c r="N249" s="84">
        <f>IFERROR(__xludf.DUMMYFUNCTION("""COMPUTED_VALUE"""),46169.76094436343)</f>
        <v>46169.76094</v>
      </c>
      <c r="O249" s="76">
        <f t="shared" si="3"/>
        <v>0.8293334144</v>
      </c>
      <c r="Q249" s="76">
        <f>IFERROR(__xludf.DUMMYFUNCTION("""COMPUTED_VALUE"""),5205.0)</f>
        <v>5205</v>
      </c>
      <c r="R249" s="232">
        <f>IFERROR(__xludf.DUMMYFUNCTION("""COMPUTED_VALUE"""),46169.64236111111)</f>
        <v>46169.64236</v>
      </c>
      <c r="S249" s="84">
        <f>IFERROR(__xludf.DUMMYFUNCTION("""COMPUTED_VALUE"""),46168.44584193287)</f>
        <v>46168.44584</v>
      </c>
      <c r="T249" s="76">
        <f t="shared" si="4"/>
        <v>1.196519178</v>
      </c>
      <c r="V249" s="76">
        <f>IFERROR(__xludf.DUMMYFUNCTION("""COMPUTED_VALUE"""),5210.0)</f>
        <v>5210</v>
      </c>
      <c r="W249" s="232">
        <f>IFERROR(__xludf.DUMMYFUNCTION("""COMPUTED_VALUE"""),46171.631944444445)</f>
        <v>46171.63194</v>
      </c>
      <c r="X249" s="84">
        <f>IFERROR(__xludf.DUMMYFUNCTION("""COMPUTED_VALUE"""),46169.76111846065)</f>
        <v>46169.76112</v>
      </c>
      <c r="Y249" s="76">
        <f t="shared" si="5"/>
        <v>1.870825984</v>
      </c>
      <c r="AK249" s="232"/>
      <c r="AL249" s="233"/>
      <c r="AM249" s="173"/>
    </row>
    <row r="250">
      <c r="A250" s="76">
        <f>IFERROR(__xludf.DUMMYFUNCTION("""COMPUTED_VALUE"""),5211.0)</f>
        <v>5211</v>
      </c>
      <c r="B250" s="232">
        <f>IFERROR(__xludf.DUMMYFUNCTION("""COMPUTED_VALUE"""),46170.48055555556)</f>
        <v>46170.48056</v>
      </c>
      <c r="C250" s="84">
        <f>IFERROR(__xludf.DUMMYFUNCTION("""COMPUTED_VALUE"""),46169.73810449074)</f>
        <v>46169.7381</v>
      </c>
      <c r="D250" s="173">
        <f t="shared" si="1"/>
        <v>0.7424510648</v>
      </c>
      <c r="G250" s="76">
        <f>IFERROR(__xludf.DUMMYFUNCTION("""COMPUTED_VALUE"""),5211.0)</f>
        <v>5211</v>
      </c>
      <c r="H250" s="232">
        <f>IFERROR(__xludf.DUMMYFUNCTION("""COMPUTED_VALUE"""),46170.4875)</f>
        <v>46170.4875</v>
      </c>
      <c r="I250" s="84">
        <f>IFERROR(__xludf.DUMMYFUNCTION("""COMPUTED_VALUE"""),46169.73827858796)</f>
        <v>46169.73828</v>
      </c>
      <c r="J250" s="76">
        <f t="shared" si="2"/>
        <v>0.749221412</v>
      </c>
      <c r="L250" s="76">
        <f>IFERROR(__xludf.DUMMYFUNCTION("""COMPUTED_VALUE"""),5211.0)</f>
        <v>5211</v>
      </c>
      <c r="M250" s="232">
        <f>IFERROR(__xludf.DUMMYFUNCTION("""COMPUTED_VALUE"""),46170.59166666667)</f>
        <v>46170.59167</v>
      </c>
      <c r="N250" s="84">
        <f>IFERROR(__xludf.DUMMYFUNCTION("""COMPUTED_VALUE"""),46169.760960162035)</f>
        <v>46169.76096</v>
      </c>
      <c r="O250" s="76">
        <f t="shared" si="3"/>
        <v>0.8307065046</v>
      </c>
      <c r="Q250" s="76">
        <f>IFERROR(__xludf.DUMMYFUNCTION("""COMPUTED_VALUE"""),5206.0)</f>
        <v>5206</v>
      </c>
      <c r="R250" s="232">
        <f>IFERROR(__xludf.DUMMYFUNCTION("""COMPUTED_VALUE"""),46169.64375)</f>
        <v>46169.64375</v>
      </c>
      <c r="S250" s="84">
        <f>IFERROR(__xludf.DUMMYFUNCTION("""COMPUTED_VALUE"""),46168.44584655092)</f>
        <v>46168.44585</v>
      </c>
      <c r="T250" s="76">
        <f t="shared" si="4"/>
        <v>1.197903449</v>
      </c>
      <c r="V250" s="76">
        <f>IFERROR(__xludf.DUMMYFUNCTION("""COMPUTED_VALUE"""),5211.0)</f>
        <v>5211</v>
      </c>
      <c r="W250" s="232">
        <f>IFERROR(__xludf.DUMMYFUNCTION("""COMPUTED_VALUE"""),46171.63333333333)</f>
        <v>46171.63333</v>
      </c>
      <c r="X250" s="84">
        <f>IFERROR(__xludf.DUMMYFUNCTION("""COMPUTED_VALUE"""),46169.7952534838)</f>
        <v>46169.79525</v>
      </c>
      <c r="Y250" s="76">
        <f t="shared" si="5"/>
        <v>1.83807985</v>
      </c>
      <c r="AK250" s="232"/>
      <c r="AL250" s="233"/>
      <c r="AM250" s="173"/>
    </row>
    <row r="251">
      <c r="A251" s="76">
        <f>IFERROR(__xludf.DUMMYFUNCTION("""COMPUTED_VALUE"""),5212.0)</f>
        <v>5212</v>
      </c>
      <c r="B251" s="232">
        <f>IFERROR(__xludf.DUMMYFUNCTION("""COMPUTED_VALUE"""),46170.703330717595)</f>
        <v>46170.70333</v>
      </c>
      <c r="C251" s="84">
        <f>IFERROR(__xludf.DUMMYFUNCTION("""COMPUTED_VALUE"""),46170.588698368054)</f>
        <v>46170.5887</v>
      </c>
      <c r="D251" s="173">
        <f t="shared" si="1"/>
        <v>0.1146323495</v>
      </c>
      <c r="G251" s="76">
        <f>IFERROR(__xludf.DUMMYFUNCTION("""COMPUTED_VALUE"""),5212.0)</f>
        <v>5212</v>
      </c>
      <c r="H251" s="232">
        <f>IFERROR(__xludf.DUMMYFUNCTION("""COMPUTED_VALUE"""),46170.71027516204)</f>
        <v>46170.71028</v>
      </c>
      <c r="I251" s="84">
        <f>IFERROR(__xludf.DUMMYFUNCTION("""COMPUTED_VALUE"""),46170.588804224535)</f>
        <v>46170.5888</v>
      </c>
      <c r="J251" s="76">
        <f t="shared" si="2"/>
        <v>0.1214709375</v>
      </c>
      <c r="L251" s="76">
        <f>IFERROR(__xludf.DUMMYFUNCTION("""COMPUTED_VALUE"""),5212.0)</f>
        <v>5212</v>
      </c>
      <c r="M251" s="232">
        <f>IFERROR(__xludf.DUMMYFUNCTION("""COMPUTED_VALUE"""),46170.814441828705)</f>
        <v>46170.81444</v>
      </c>
      <c r="N251" s="84">
        <f>IFERROR(__xludf.DUMMYFUNCTION("""COMPUTED_VALUE"""),46170.58884268519)</f>
        <v>46170.58884</v>
      </c>
      <c r="O251" s="76">
        <f t="shared" si="3"/>
        <v>0.2255991435</v>
      </c>
      <c r="Q251" s="76">
        <f>IFERROR(__xludf.DUMMYFUNCTION("""COMPUTED_VALUE"""),5207.0)</f>
        <v>5207</v>
      </c>
      <c r="R251" s="232">
        <f>IFERROR(__xludf.DUMMYFUNCTION("""COMPUTED_VALUE"""),46170.540972222225)</f>
        <v>46170.54097</v>
      </c>
      <c r="S251" s="84">
        <f>IFERROR(__xludf.DUMMYFUNCTION("""COMPUTED_VALUE"""),46168.77991702546)</f>
        <v>46168.77992</v>
      </c>
      <c r="T251" s="76">
        <f t="shared" si="4"/>
        <v>1.761055197</v>
      </c>
      <c r="V251" s="76">
        <f>IFERROR(__xludf.DUMMYFUNCTION("""COMPUTED_VALUE"""),5212.0)</f>
        <v>5212</v>
      </c>
      <c r="W251" s="232">
        <f>IFERROR(__xludf.DUMMYFUNCTION("""COMPUTED_VALUE"""),46172.438888888886)</f>
        <v>46172.43889</v>
      </c>
      <c r="X251" s="84">
        <f>IFERROR(__xludf.DUMMYFUNCTION("""COMPUTED_VALUE"""),46170.67013951389)</f>
        <v>46170.67014</v>
      </c>
      <c r="Y251" s="76">
        <f t="shared" si="5"/>
        <v>1.768749375</v>
      </c>
      <c r="AK251" s="232"/>
      <c r="AL251" s="233"/>
      <c r="AM251" s="173"/>
    </row>
    <row r="252">
      <c r="A252" s="76">
        <f>IFERROR(__xludf.DUMMYFUNCTION("""COMPUTED_VALUE"""),5213.0)</f>
        <v>5213</v>
      </c>
      <c r="B252" s="232">
        <f>IFERROR(__xludf.DUMMYFUNCTION("""COMPUTED_VALUE"""),46170.78692369213)</f>
        <v>46170.78692</v>
      </c>
      <c r="C252" s="84">
        <f>IFERROR(__xludf.DUMMYFUNCTION("""COMPUTED_VALUE"""),46170.66955385417)</f>
        <v>46170.66955</v>
      </c>
      <c r="D252" s="173">
        <f t="shared" si="1"/>
        <v>0.117369838</v>
      </c>
      <c r="G252" s="76">
        <f>IFERROR(__xludf.DUMMYFUNCTION("""COMPUTED_VALUE"""),5213.0)</f>
        <v>5213</v>
      </c>
      <c r="H252" s="232">
        <f>IFERROR(__xludf.DUMMYFUNCTION("""COMPUTED_VALUE"""),46170.79386813658)</f>
        <v>46170.79387</v>
      </c>
      <c r="I252" s="84">
        <f>IFERROR(__xludf.DUMMYFUNCTION("""COMPUTED_VALUE"""),46170.66992032407)</f>
        <v>46170.66992</v>
      </c>
      <c r="J252" s="76">
        <f t="shared" si="2"/>
        <v>0.1239478125</v>
      </c>
      <c r="L252" s="76">
        <f>IFERROR(__xludf.DUMMYFUNCTION("""COMPUTED_VALUE"""),5213.0)</f>
        <v>5213</v>
      </c>
      <c r="M252" s="232">
        <f>IFERROR(__xludf.DUMMYFUNCTION("""COMPUTED_VALUE"""),46171.46041666667)</f>
        <v>46171.46042</v>
      </c>
      <c r="N252" s="84">
        <f>IFERROR(__xludf.DUMMYFUNCTION("""COMPUTED_VALUE"""),46170.72437193287)</f>
        <v>46170.72437</v>
      </c>
      <c r="O252" s="76">
        <f t="shared" si="3"/>
        <v>0.7360447338</v>
      </c>
      <c r="Q252" s="76">
        <f>IFERROR(__xludf.DUMMYFUNCTION("""COMPUTED_VALUE"""),5208.0)</f>
        <v>5208</v>
      </c>
      <c r="R252" s="232">
        <f>IFERROR(__xludf.DUMMYFUNCTION("""COMPUTED_VALUE"""),46170.7875)</f>
        <v>46170.7875</v>
      </c>
      <c r="S252" s="84">
        <f>IFERROR(__xludf.DUMMYFUNCTION("""COMPUTED_VALUE"""),46169.79532038195)</f>
        <v>46169.79532</v>
      </c>
      <c r="T252" s="76">
        <f t="shared" si="4"/>
        <v>0.992179618</v>
      </c>
      <c r="V252" s="76">
        <f>IFERROR(__xludf.DUMMYFUNCTION("""COMPUTED_VALUE"""),5213.0)</f>
        <v>5213</v>
      </c>
      <c r="W252" s="232">
        <f>IFERROR(__xludf.DUMMYFUNCTION("""COMPUTED_VALUE"""),46172.50208333333)</f>
        <v>46172.50208</v>
      </c>
      <c r="X252" s="84">
        <f>IFERROR(__xludf.DUMMYFUNCTION("""COMPUTED_VALUE"""),46170.67013951389)</f>
        <v>46170.67014</v>
      </c>
      <c r="Y252" s="76">
        <f t="shared" si="5"/>
        <v>1.831943819</v>
      </c>
      <c r="AK252" s="232"/>
      <c r="AL252" s="233"/>
      <c r="AM252" s="173"/>
    </row>
    <row r="253">
      <c r="A253" s="76">
        <f>IFERROR(__xludf.DUMMYFUNCTION("""COMPUTED_VALUE"""),5214.0)</f>
        <v>5214</v>
      </c>
      <c r="B253" s="232">
        <f>IFERROR(__xludf.DUMMYFUNCTION("""COMPUTED_VALUE"""),46170.78793673611)</f>
        <v>46170.78794</v>
      </c>
      <c r="C253" s="84">
        <f>IFERROR(__xludf.DUMMYFUNCTION("""COMPUTED_VALUE"""),46170.66959333333)</f>
        <v>46170.66959</v>
      </c>
      <c r="D253" s="173">
        <f t="shared" si="1"/>
        <v>0.1183434028</v>
      </c>
      <c r="G253" s="76">
        <f>IFERROR(__xludf.DUMMYFUNCTION("""COMPUTED_VALUE"""),5214.0)</f>
        <v>5214</v>
      </c>
      <c r="H253" s="232">
        <f>IFERROR(__xludf.DUMMYFUNCTION("""COMPUTED_VALUE"""),46170.794881180555)</f>
        <v>46170.79488</v>
      </c>
      <c r="I253" s="84">
        <f>IFERROR(__xludf.DUMMYFUNCTION("""COMPUTED_VALUE"""),46170.6699396412)</f>
        <v>46170.66994</v>
      </c>
      <c r="J253" s="76">
        <f t="shared" si="2"/>
        <v>0.1249415394</v>
      </c>
      <c r="L253" s="76">
        <f>IFERROR(__xludf.DUMMYFUNCTION("""COMPUTED_VALUE"""),5214.0)</f>
        <v>5214</v>
      </c>
      <c r="M253" s="232">
        <f>IFERROR(__xludf.DUMMYFUNCTION("""COMPUTED_VALUE"""),46171.461111111115)</f>
        <v>46171.46111</v>
      </c>
      <c r="N253" s="84">
        <f>IFERROR(__xludf.DUMMYFUNCTION("""COMPUTED_VALUE"""),46170.72437193287)</f>
        <v>46170.72437</v>
      </c>
      <c r="O253" s="76">
        <f t="shared" si="3"/>
        <v>0.7367391782</v>
      </c>
      <c r="Q253" s="76">
        <f>IFERROR(__xludf.DUMMYFUNCTION("""COMPUTED_VALUE"""),5209.0)</f>
        <v>5209</v>
      </c>
      <c r="R253" s="232">
        <f>IFERROR(__xludf.DUMMYFUNCTION("""COMPUTED_VALUE"""),46171.53402777778)</f>
        <v>46171.53403</v>
      </c>
      <c r="S253" s="84">
        <f>IFERROR(__xludf.DUMMYFUNCTION("""COMPUTED_VALUE"""),46170.57608835648)</f>
        <v>46170.57609</v>
      </c>
      <c r="T253" s="76">
        <f t="shared" si="4"/>
        <v>0.9579394213</v>
      </c>
      <c r="V253" s="76">
        <f>IFERROR(__xludf.DUMMYFUNCTION("""COMPUTED_VALUE"""),5214.0)</f>
        <v>5214</v>
      </c>
      <c r="W253" s="232">
        <f>IFERROR(__xludf.DUMMYFUNCTION("""COMPUTED_VALUE"""),46172.50277777778)</f>
        <v>46172.50278</v>
      </c>
      <c r="X253" s="84">
        <f>IFERROR(__xludf.DUMMYFUNCTION("""COMPUTED_VALUE"""),46172.46915538194)</f>
        <v>46172.46916</v>
      </c>
      <c r="Y253" s="76">
        <f t="shared" si="5"/>
        <v>0.03362239584</v>
      </c>
      <c r="AK253" s="232"/>
      <c r="AL253" s="233"/>
      <c r="AM253" s="173"/>
    </row>
    <row r="254">
      <c r="A254" s="76">
        <f>IFERROR(__xludf.DUMMYFUNCTION("""COMPUTED_VALUE"""),5215.0)</f>
        <v>5215</v>
      </c>
      <c r="B254" s="232">
        <f>IFERROR(__xludf.DUMMYFUNCTION("""COMPUTED_VALUE"""),46170.7887186574)</f>
        <v>46170.78872</v>
      </c>
      <c r="C254" s="84">
        <f>IFERROR(__xludf.DUMMYFUNCTION("""COMPUTED_VALUE"""),46170.6704921875)</f>
        <v>46170.67049</v>
      </c>
      <c r="D254" s="173">
        <f t="shared" si="1"/>
        <v>0.1182264699</v>
      </c>
      <c r="G254" s="76">
        <f>IFERROR(__xludf.DUMMYFUNCTION("""COMPUTED_VALUE"""),5215.0)</f>
        <v>5215</v>
      </c>
      <c r="H254" s="232">
        <f>IFERROR(__xludf.DUMMYFUNCTION("""COMPUTED_VALUE"""),46170.795663101846)</f>
        <v>46170.79566</v>
      </c>
      <c r="I254" s="84">
        <f>IFERROR(__xludf.DUMMYFUNCTION("""COMPUTED_VALUE"""),46170.66995984953)</f>
        <v>46170.66996</v>
      </c>
      <c r="J254" s="76">
        <f t="shared" si="2"/>
        <v>0.1257032523</v>
      </c>
      <c r="L254" s="76">
        <f>IFERROR(__xludf.DUMMYFUNCTION("""COMPUTED_VALUE"""),5215.0)</f>
        <v>5215</v>
      </c>
      <c r="M254" s="232">
        <f>IFERROR(__xludf.DUMMYFUNCTION("""COMPUTED_VALUE"""),46171.461805555555)</f>
        <v>46171.46181</v>
      </c>
      <c r="N254" s="84">
        <f>IFERROR(__xludf.DUMMYFUNCTION("""COMPUTED_VALUE"""),46170.724375046295)</f>
        <v>46170.72438</v>
      </c>
      <c r="O254" s="76">
        <f t="shared" si="3"/>
        <v>0.7374305093</v>
      </c>
      <c r="Q254" s="76">
        <f>IFERROR(__xludf.DUMMYFUNCTION("""COMPUTED_VALUE"""),5210.0)</f>
        <v>5210</v>
      </c>
      <c r="R254" s="232">
        <f>IFERROR(__xludf.DUMMYFUNCTION("""COMPUTED_VALUE"""),46171.59027777778)</f>
        <v>46171.59028</v>
      </c>
      <c r="S254" s="84">
        <f>IFERROR(__xludf.DUMMYFUNCTION("""COMPUTED_VALUE"""),46169.761047002314)</f>
        <v>46169.76105</v>
      </c>
      <c r="T254" s="76">
        <f t="shared" si="4"/>
        <v>1.829230775</v>
      </c>
      <c r="V254" s="76">
        <f>IFERROR(__xludf.DUMMYFUNCTION("""COMPUTED_VALUE"""),5215.0)</f>
        <v>5215</v>
      </c>
      <c r="W254" s="232">
        <f>IFERROR(__xludf.DUMMYFUNCTION("""COMPUTED_VALUE"""),46172.50347222222)</f>
        <v>46172.50347</v>
      </c>
      <c r="X254" s="84">
        <f>IFERROR(__xludf.DUMMYFUNCTION("""COMPUTED_VALUE"""),46172.46917302083)</f>
        <v>46172.46917</v>
      </c>
      <c r="Y254" s="76">
        <f t="shared" si="5"/>
        <v>0.03429920139</v>
      </c>
      <c r="AK254" s="232"/>
      <c r="AL254" s="233"/>
      <c r="AM254" s="173"/>
    </row>
    <row r="255">
      <c r="A255" s="76">
        <f>IFERROR(__xludf.DUMMYFUNCTION("""COMPUTED_VALUE"""),5216.0)</f>
        <v>5216</v>
      </c>
      <c r="B255" s="232">
        <f>IFERROR(__xludf.DUMMYFUNCTION("""COMPUTED_VALUE"""),46170.81943679398)</f>
        <v>46170.81944</v>
      </c>
      <c r="C255" s="84">
        <f>IFERROR(__xludf.DUMMYFUNCTION("""COMPUTED_VALUE"""),46170.669613252314)</f>
        <v>46170.66961</v>
      </c>
      <c r="D255" s="173">
        <f t="shared" si="1"/>
        <v>0.1498235417</v>
      </c>
      <c r="G255" s="76">
        <f>IFERROR(__xludf.DUMMYFUNCTION("""COMPUTED_VALUE"""),5216.0)</f>
        <v>5216</v>
      </c>
      <c r="H255" s="232">
        <f>IFERROR(__xludf.DUMMYFUNCTION("""COMPUTED_VALUE"""),46170.826381238425)</f>
        <v>46170.82638</v>
      </c>
      <c r="I255" s="84">
        <f>IFERROR(__xludf.DUMMYFUNCTION("""COMPUTED_VALUE"""),46170.6699940625)</f>
        <v>46170.66999</v>
      </c>
      <c r="J255" s="76">
        <f t="shared" si="2"/>
        <v>0.1563871759</v>
      </c>
      <c r="L255" s="76">
        <f>IFERROR(__xludf.DUMMYFUNCTION("""COMPUTED_VALUE"""),5216.0)</f>
        <v>5216</v>
      </c>
      <c r="M255" s="232">
        <f>IFERROR(__xludf.DUMMYFUNCTION("""COMPUTED_VALUE"""),46171.53402777778)</f>
        <v>46171.53403</v>
      </c>
      <c r="N255" s="84">
        <f>IFERROR(__xludf.DUMMYFUNCTION("""COMPUTED_VALUE"""),46170.724375046295)</f>
        <v>46170.72438</v>
      </c>
      <c r="O255" s="76">
        <f t="shared" si="3"/>
        <v>0.8096527315</v>
      </c>
      <c r="Q255" s="76">
        <f>IFERROR(__xludf.DUMMYFUNCTION("""COMPUTED_VALUE"""),5211.0)</f>
        <v>5211</v>
      </c>
      <c r="R255" s="232">
        <f>IFERROR(__xludf.DUMMYFUNCTION("""COMPUTED_VALUE"""),46171.59166666667)</f>
        <v>46171.59167</v>
      </c>
      <c r="S255" s="84">
        <f>IFERROR(__xludf.DUMMYFUNCTION("""COMPUTED_VALUE"""),46169.795219629625)</f>
        <v>46169.79522</v>
      </c>
      <c r="T255" s="76">
        <f t="shared" si="4"/>
        <v>1.796447037</v>
      </c>
      <c r="V255" s="76">
        <f>IFERROR(__xludf.DUMMYFUNCTION("""COMPUTED_VALUE"""),5216.0)</f>
        <v>5216</v>
      </c>
      <c r="W255" s="232">
        <f>IFERROR(__xludf.DUMMYFUNCTION("""COMPUTED_VALUE"""),46172.575694444444)</f>
        <v>46172.57569</v>
      </c>
      <c r="X255" s="84">
        <f>IFERROR(__xludf.DUMMYFUNCTION("""COMPUTED_VALUE"""),46171.66237039352)</f>
        <v>46171.66237</v>
      </c>
      <c r="Y255" s="76">
        <f t="shared" si="5"/>
        <v>0.9133240509</v>
      </c>
      <c r="AK255" s="232"/>
      <c r="AL255" s="233"/>
      <c r="AM255" s="173"/>
    </row>
    <row r="256">
      <c r="A256" s="76">
        <f>IFERROR(__xludf.DUMMYFUNCTION("""COMPUTED_VALUE"""),5217.0)</f>
        <v>5217</v>
      </c>
      <c r="B256" s="232">
        <f>IFERROR(__xludf.DUMMYFUNCTION("""COMPUTED_VALUE"""),46171.45486111111)</f>
        <v>46171.45486</v>
      </c>
      <c r="C256" s="84">
        <f>IFERROR(__xludf.DUMMYFUNCTION("""COMPUTED_VALUE"""),46170.72411729167)</f>
        <v>46170.72412</v>
      </c>
      <c r="D256" s="173">
        <f t="shared" si="1"/>
        <v>0.7307438194</v>
      </c>
      <c r="G256" s="76">
        <f>IFERROR(__xludf.DUMMYFUNCTION("""COMPUTED_VALUE"""),5217.0)</f>
        <v>5217</v>
      </c>
      <c r="H256" s="232">
        <f>IFERROR(__xludf.DUMMYFUNCTION("""COMPUTED_VALUE"""),46171.461805555555)</f>
        <v>46171.46181</v>
      </c>
      <c r="I256" s="84">
        <f>IFERROR(__xludf.DUMMYFUNCTION("""COMPUTED_VALUE"""),46170.724300891205)</f>
        <v>46170.7243</v>
      </c>
      <c r="J256" s="76">
        <f t="shared" si="2"/>
        <v>0.7375046644</v>
      </c>
      <c r="L256" s="76">
        <f>IFERROR(__xludf.DUMMYFUNCTION("""COMPUTED_VALUE"""),5217.0)</f>
        <v>5217</v>
      </c>
      <c r="M256" s="232">
        <f>IFERROR(__xludf.DUMMYFUNCTION("""COMPUTED_VALUE"""),46171.56597222222)</f>
        <v>46171.56597</v>
      </c>
      <c r="N256" s="84">
        <f>IFERROR(__xludf.DUMMYFUNCTION("""COMPUTED_VALUE"""),46170.72438048611)</f>
        <v>46170.72438</v>
      </c>
      <c r="O256" s="76">
        <f t="shared" si="3"/>
        <v>0.8415917361</v>
      </c>
      <c r="Q256" s="76">
        <f>IFERROR(__xludf.DUMMYFUNCTION("""COMPUTED_VALUE"""),5212.0)</f>
        <v>5212</v>
      </c>
      <c r="R256" s="232">
        <f>IFERROR(__xludf.DUMMYFUNCTION("""COMPUTED_VALUE"""),46171.813888888886)</f>
        <v>46171.81389</v>
      </c>
      <c r="S256" s="84">
        <f>IFERROR(__xludf.DUMMYFUNCTION("""COMPUTED_VALUE"""),46170.67010292824)</f>
        <v>46170.6701</v>
      </c>
      <c r="T256" s="76">
        <f t="shared" si="4"/>
        <v>1.143785961</v>
      </c>
      <c r="V256" s="76">
        <f>IFERROR(__xludf.DUMMYFUNCTION("""COMPUTED_VALUE"""),5217.0)</f>
        <v>5217</v>
      </c>
      <c r="W256" s="232">
        <f>IFERROR(__xludf.DUMMYFUNCTION("""COMPUTED_VALUE"""),46172.60763888888)</f>
        <v>46172.60764</v>
      </c>
      <c r="X256" s="84">
        <f>IFERROR(__xludf.DUMMYFUNCTION("""COMPUTED_VALUE"""),46172.469193576384)</f>
        <v>46172.46919</v>
      </c>
      <c r="Y256" s="76">
        <f t="shared" si="5"/>
        <v>0.1384453125</v>
      </c>
      <c r="AK256" s="232"/>
      <c r="AL256" s="233"/>
      <c r="AM256" s="173"/>
    </row>
    <row r="257">
      <c r="A257" s="76">
        <f>IFERROR(__xludf.DUMMYFUNCTION("""COMPUTED_VALUE"""),5218.0)</f>
        <v>5218</v>
      </c>
      <c r="B257" s="232">
        <f>IFERROR(__xludf.DUMMYFUNCTION("""COMPUTED_VALUE"""),46171.45763888889)</f>
        <v>46171.45764</v>
      </c>
      <c r="C257" s="84">
        <f>IFERROR(__xludf.DUMMYFUNCTION("""COMPUTED_VALUE"""),46170.72411729167)</f>
        <v>46170.72412</v>
      </c>
      <c r="D257" s="173">
        <f t="shared" si="1"/>
        <v>0.7335215972</v>
      </c>
      <c r="G257" s="76">
        <f>IFERROR(__xludf.DUMMYFUNCTION("""COMPUTED_VALUE"""),5218.0)</f>
        <v>5218</v>
      </c>
      <c r="H257" s="232">
        <f>IFERROR(__xludf.DUMMYFUNCTION("""COMPUTED_VALUE"""),46171.464583333334)</f>
        <v>46171.46458</v>
      </c>
      <c r="I257" s="84">
        <f>IFERROR(__xludf.DUMMYFUNCTION("""COMPUTED_VALUE"""),46170.724300891205)</f>
        <v>46170.7243</v>
      </c>
      <c r="J257" s="76">
        <f t="shared" si="2"/>
        <v>0.7402824421</v>
      </c>
      <c r="L257" s="76">
        <f>IFERROR(__xludf.DUMMYFUNCTION("""COMPUTED_VALUE"""),5218.0)</f>
        <v>5218</v>
      </c>
      <c r="M257" s="232">
        <f>IFERROR(__xludf.DUMMYFUNCTION("""COMPUTED_VALUE"""),46171.56875)</f>
        <v>46171.56875</v>
      </c>
      <c r="N257" s="84">
        <f>IFERROR(__xludf.DUMMYFUNCTION("""COMPUTED_VALUE"""),46170.72438048611)</f>
        <v>46170.72438</v>
      </c>
      <c r="O257" s="76">
        <f t="shared" si="3"/>
        <v>0.8443695139</v>
      </c>
      <c r="Q257" s="76">
        <f>IFERROR(__xludf.DUMMYFUNCTION("""COMPUTED_VALUE"""),5213.0)</f>
        <v>5213</v>
      </c>
      <c r="R257" s="232">
        <f>IFERROR(__xludf.DUMMYFUNCTION("""COMPUTED_VALUE"""),46172.46041666667)</f>
        <v>46172.46042</v>
      </c>
      <c r="S257" s="84">
        <f>IFERROR(__xludf.DUMMYFUNCTION("""COMPUTED_VALUE"""),46170.7245165625)</f>
        <v>46170.72452</v>
      </c>
      <c r="T257" s="76">
        <f t="shared" si="4"/>
        <v>1.735900104</v>
      </c>
      <c r="V257" s="76">
        <f>IFERROR(__xludf.DUMMYFUNCTION("""COMPUTED_VALUE"""),5218.0)</f>
        <v>5218</v>
      </c>
      <c r="W257" s="232">
        <f>IFERROR(__xludf.DUMMYFUNCTION("""COMPUTED_VALUE"""),46172.61041666666)</f>
        <v>46172.61042</v>
      </c>
      <c r="X257" s="84">
        <f>IFERROR(__xludf.DUMMYFUNCTION("""COMPUTED_VALUE"""),46172.469208877315)</f>
        <v>46172.46921</v>
      </c>
      <c r="Y257" s="76">
        <f t="shared" si="5"/>
        <v>0.1412077893</v>
      </c>
      <c r="AK257" s="232"/>
      <c r="AL257" s="233"/>
      <c r="AM257" s="173"/>
    </row>
    <row r="258">
      <c r="A258" s="76">
        <f>IFERROR(__xludf.DUMMYFUNCTION("""COMPUTED_VALUE"""),5219.0)</f>
        <v>5219</v>
      </c>
      <c r="B258" s="232">
        <f>IFERROR(__xludf.DUMMYFUNCTION("""COMPUTED_VALUE"""),46171.45972222222)</f>
        <v>46171.45972</v>
      </c>
      <c r="C258" s="84">
        <f>IFERROR(__xludf.DUMMYFUNCTION("""COMPUTED_VALUE"""),46170.72414792824)</f>
        <v>46170.72415</v>
      </c>
      <c r="D258" s="173">
        <f t="shared" si="1"/>
        <v>0.735574294</v>
      </c>
      <c r="G258" s="76">
        <f>IFERROR(__xludf.DUMMYFUNCTION("""COMPUTED_VALUE"""),5219.0)</f>
        <v>5219</v>
      </c>
      <c r="H258" s="232">
        <f>IFERROR(__xludf.DUMMYFUNCTION("""COMPUTED_VALUE"""),46171.46666666667)</f>
        <v>46171.46667</v>
      </c>
      <c r="I258" s="84">
        <f>IFERROR(__xludf.DUMMYFUNCTION("""COMPUTED_VALUE"""),46170.7243059375)</f>
        <v>46170.72431</v>
      </c>
      <c r="J258" s="76">
        <f t="shared" si="2"/>
        <v>0.7423607292</v>
      </c>
      <c r="L258" s="76">
        <f>IFERROR(__xludf.DUMMYFUNCTION("""COMPUTED_VALUE"""),5219.0)</f>
        <v>5219</v>
      </c>
      <c r="M258" s="232">
        <f>IFERROR(__xludf.DUMMYFUNCTION("""COMPUTED_VALUE"""),46171.57083333333)</f>
        <v>46171.57083</v>
      </c>
      <c r="N258" s="84">
        <f>IFERROR(__xludf.DUMMYFUNCTION("""COMPUTED_VALUE"""),46170.72438407407)</f>
        <v>46170.72438</v>
      </c>
      <c r="O258" s="76">
        <f t="shared" si="3"/>
        <v>0.8464492593</v>
      </c>
      <c r="Q258" s="76">
        <f>IFERROR(__xludf.DUMMYFUNCTION("""COMPUTED_VALUE"""),5214.0)</f>
        <v>5214</v>
      </c>
      <c r="R258" s="232">
        <f>IFERROR(__xludf.DUMMYFUNCTION("""COMPUTED_VALUE"""),46172.461111111115)</f>
        <v>46172.46111</v>
      </c>
      <c r="S258" s="84">
        <f>IFERROR(__xludf.DUMMYFUNCTION("""COMPUTED_VALUE"""),46170.724521620374)</f>
        <v>46170.72452</v>
      </c>
      <c r="T258" s="76">
        <f t="shared" si="4"/>
        <v>1.736589491</v>
      </c>
      <c r="V258" s="76">
        <f>IFERROR(__xludf.DUMMYFUNCTION("""COMPUTED_VALUE"""),5219.0)</f>
        <v>5219</v>
      </c>
      <c r="W258" s="232">
        <f>IFERROR(__xludf.DUMMYFUNCTION("""COMPUTED_VALUE"""),46172.612499999996)</f>
        <v>46172.6125</v>
      </c>
      <c r="X258" s="84">
        <f>IFERROR(__xludf.DUMMYFUNCTION("""COMPUTED_VALUE"""),46172.46920717593)</f>
        <v>46172.46921</v>
      </c>
      <c r="Y258" s="76">
        <f t="shared" si="5"/>
        <v>0.1432928241</v>
      </c>
      <c r="AK258" s="232"/>
      <c r="AL258" s="233"/>
      <c r="AM258" s="173"/>
    </row>
    <row r="259">
      <c r="A259" s="76">
        <f>IFERROR(__xludf.DUMMYFUNCTION("""COMPUTED_VALUE"""),5220.0)</f>
        <v>5220</v>
      </c>
      <c r="B259" s="232">
        <f>IFERROR(__xludf.DUMMYFUNCTION("""COMPUTED_VALUE"""),46171.53888888889)</f>
        <v>46171.53889</v>
      </c>
      <c r="C259" s="84">
        <f>IFERROR(__xludf.DUMMYFUNCTION("""COMPUTED_VALUE"""),46171.458450983795)</f>
        <v>46171.45845</v>
      </c>
      <c r="D259" s="173">
        <f t="shared" si="1"/>
        <v>0.0804379051</v>
      </c>
      <c r="G259" s="76">
        <f>IFERROR(__xludf.DUMMYFUNCTION("""COMPUTED_VALUE"""),5220.0)</f>
        <v>5220</v>
      </c>
      <c r="H259" s="232">
        <f>IFERROR(__xludf.DUMMYFUNCTION("""COMPUTED_VALUE"""),46171.54583333334)</f>
        <v>46171.54583</v>
      </c>
      <c r="I259" s="84">
        <f>IFERROR(__xludf.DUMMYFUNCTION("""COMPUTED_VALUE"""),46171.45849925926)</f>
        <v>46171.4585</v>
      </c>
      <c r="J259" s="76">
        <f t="shared" si="2"/>
        <v>0.08733407408</v>
      </c>
      <c r="L259" s="76">
        <f>IFERROR(__xludf.DUMMYFUNCTION("""COMPUTED_VALUE"""),5220.0)</f>
        <v>5220</v>
      </c>
      <c r="M259" s="232">
        <f>IFERROR(__xludf.DUMMYFUNCTION("""COMPUTED_VALUE"""),46171.65)</f>
        <v>46171.65</v>
      </c>
      <c r="N259" s="84">
        <f>IFERROR(__xludf.DUMMYFUNCTION("""COMPUTED_VALUE"""),46171.45851795139)</f>
        <v>46171.45852</v>
      </c>
      <c r="O259" s="76">
        <f t="shared" si="3"/>
        <v>0.1914820486</v>
      </c>
      <c r="Q259" s="76">
        <f>IFERROR(__xludf.DUMMYFUNCTION("""COMPUTED_VALUE"""),5215.0)</f>
        <v>5215</v>
      </c>
      <c r="R259" s="232">
        <f>IFERROR(__xludf.DUMMYFUNCTION("""COMPUTED_VALUE"""),46172.461805555555)</f>
        <v>46172.46181</v>
      </c>
      <c r="S259" s="84">
        <f>IFERROR(__xludf.DUMMYFUNCTION("""COMPUTED_VALUE"""),46171.66247686342)</f>
        <v>46171.66248</v>
      </c>
      <c r="T259" s="76">
        <f t="shared" si="4"/>
        <v>0.7993286921</v>
      </c>
      <c r="V259" s="76">
        <f>IFERROR(__xludf.DUMMYFUNCTION("""COMPUTED_VALUE"""),5220.0)</f>
        <v>5220</v>
      </c>
      <c r="W259" s="232">
        <f>IFERROR(__xludf.DUMMYFUNCTION("""COMPUTED_VALUE"""),46172.691666666666)</f>
        <v>46172.69167</v>
      </c>
      <c r="X259" s="84">
        <f>IFERROR(__xludf.DUMMYFUNCTION("""COMPUTED_VALUE"""),46172.46930376157)</f>
        <v>46172.4693</v>
      </c>
      <c r="Y259" s="76">
        <f t="shared" si="5"/>
        <v>0.2223629051</v>
      </c>
      <c r="AK259" s="232"/>
      <c r="AL259" s="233"/>
      <c r="AM259" s="173"/>
    </row>
    <row r="260">
      <c r="A260" s="76">
        <f>IFERROR(__xludf.DUMMYFUNCTION("""COMPUTED_VALUE"""),5221.0)</f>
        <v>5221</v>
      </c>
      <c r="B260" s="232">
        <f>IFERROR(__xludf.DUMMYFUNCTION("""COMPUTED_VALUE"""),46171.63341809027)</f>
        <v>46171.63342</v>
      </c>
      <c r="C260" s="84">
        <f>IFERROR(__xludf.DUMMYFUNCTION("""COMPUTED_VALUE"""),46171.47692677083)</f>
        <v>46171.47693</v>
      </c>
      <c r="D260" s="173">
        <f t="shared" si="1"/>
        <v>0.1564913194</v>
      </c>
      <c r="G260" s="76">
        <f>IFERROR(__xludf.DUMMYFUNCTION("""COMPUTED_VALUE"""),5221.0)</f>
        <v>5221</v>
      </c>
      <c r="H260" s="232">
        <f>IFERROR(__xludf.DUMMYFUNCTION("""COMPUTED_VALUE"""),46171.640362534716)</f>
        <v>46171.64036</v>
      </c>
      <c r="I260" s="84">
        <f>IFERROR(__xludf.DUMMYFUNCTION("""COMPUTED_VALUE"""),46171.477008877315)</f>
        <v>46171.47701</v>
      </c>
      <c r="J260" s="76">
        <f t="shared" si="2"/>
        <v>0.1633536574</v>
      </c>
      <c r="L260" s="76">
        <f>IFERROR(__xludf.DUMMYFUNCTION("""COMPUTED_VALUE"""),5221.0)</f>
        <v>5221</v>
      </c>
      <c r="M260" s="232">
        <f>IFERROR(__xludf.DUMMYFUNCTION("""COMPUTED_VALUE"""),46171.74452920138)</f>
        <v>46171.74453</v>
      </c>
      <c r="N260" s="84">
        <f>IFERROR(__xludf.DUMMYFUNCTION("""COMPUTED_VALUE"""),46171.47707981482)</f>
        <v>46171.47708</v>
      </c>
      <c r="O260" s="76">
        <f t="shared" si="3"/>
        <v>0.2674493866</v>
      </c>
      <c r="Q260" s="76">
        <f>IFERROR(__xludf.DUMMYFUNCTION("""COMPUTED_VALUE"""),5216.0)</f>
        <v>5216</v>
      </c>
      <c r="R260" s="232">
        <f>IFERROR(__xludf.DUMMYFUNCTION("""COMPUTED_VALUE"""),46172.53402777778)</f>
        <v>46172.53403</v>
      </c>
      <c r="S260" s="84">
        <f>IFERROR(__xludf.DUMMYFUNCTION("""COMPUTED_VALUE"""),46171.66232478009)</f>
        <v>46171.66232</v>
      </c>
      <c r="T260" s="76">
        <f t="shared" si="4"/>
        <v>0.8717029977</v>
      </c>
      <c r="V260" s="76">
        <f>IFERROR(__xludf.DUMMYFUNCTION("""COMPUTED_VALUE"""),5221.0)</f>
        <v>5221</v>
      </c>
      <c r="W260" s="232">
        <f>IFERROR(__xludf.DUMMYFUNCTION("""COMPUTED_VALUE"""),46172.78611111111)</f>
        <v>46172.78611</v>
      </c>
      <c r="X260" s="84">
        <f>IFERROR(__xludf.DUMMYFUNCTION("""COMPUTED_VALUE"""),46172.46949971065)</f>
        <v>46172.4695</v>
      </c>
      <c r="Y260" s="76">
        <f t="shared" si="5"/>
        <v>0.3166114005</v>
      </c>
      <c r="AK260" s="232"/>
      <c r="AL260" s="233"/>
      <c r="AM260" s="173"/>
    </row>
    <row r="261">
      <c r="A261" s="76">
        <f>IFERROR(__xludf.DUMMYFUNCTION("""COMPUTED_VALUE"""),5222.0)</f>
        <v>5222</v>
      </c>
      <c r="B261" s="232">
        <f>IFERROR(__xludf.DUMMYFUNCTION("""COMPUTED_VALUE"""),46171.660307280086)</f>
        <v>46171.66031</v>
      </c>
      <c r="C261" s="84">
        <f>IFERROR(__xludf.DUMMYFUNCTION("""COMPUTED_VALUE"""),46171.52664614584)</f>
        <v>46171.52665</v>
      </c>
      <c r="D261" s="173">
        <f t="shared" si="1"/>
        <v>0.1336611342</v>
      </c>
      <c r="G261" s="76">
        <f>IFERROR(__xludf.DUMMYFUNCTION("""COMPUTED_VALUE"""),5222.0)</f>
        <v>5222</v>
      </c>
      <c r="H261" s="232">
        <f>IFERROR(__xludf.DUMMYFUNCTION("""COMPUTED_VALUE"""),46171.66725172453)</f>
        <v>46171.66725</v>
      </c>
      <c r="I261" s="84">
        <f>IFERROR(__xludf.DUMMYFUNCTION("""COMPUTED_VALUE"""),46171.52672976852)</f>
        <v>46171.52673</v>
      </c>
      <c r="J261" s="76">
        <f t="shared" si="2"/>
        <v>0.140521956</v>
      </c>
      <c r="L261" s="76">
        <f>IFERROR(__xludf.DUMMYFUNCTION("""COMPUTED_VALUE"""),5222.0)</f>
        <v>5222</v>
      </c>
      <c r="M261" s="232">
        <f>IFERROR(__xludf.DUMMYFUNCTION("""COMPUTED_VALUE"""),46171.771418391196)</f>
        <v>46171.77142</v>
      </c>
      <c r="N261" s="84">
        <f>IFERROR(__xludf.DUMMYFUNCTION("""COMPUTED_VALUE"""),46171.52675989583)</f>
        <v>46171.52676</v>
      </c>
      <c r="O261" s="76">
        <f t="shared" si="3"/>
        <v>0.2446584954</v>
      </c>
      <c r="Q261" s="76">
        <f>IFERROR(__xludf.DUMMYFUNCTION("""COMPUTED_VALUE"""),5217.0)</f>
        <v>5217</v>
      </c>
      <c r="R261" s="232">
        <f>IFERROR(__xludf.DUMMYFUNCTION("""COMPUTED_VALUE"""),46172.56597222222)</f>
        <v>46172.56597</v>
      </c>
      <c r="S261" s="84">
        <f>IFERROR(__xludf.DUMMYFUNCTION("""COMPUTED_VALUE"""),46170.72454613426)</f>
        <v>46170.72455</v>
      </c>
      <c r="T261" s="76">
        <f t="shared" si="4"/>
        <v>1.841426088</v>
      </c>
      <c r="V261" s="76">
        <f>IFERROR(__xludf.DUMMYFUNCTION("""COMPUTED_VALUE"""),5222.0)</f>
        <v>5222</v>
      </c>
      <c r="W261" s="232">
        <f>IFERROR(__xludf.DUMMYFUNCTION("""COMPUTED_VALUE"""),46172.8125)</f>
        <v>46172.8125</v>
      </c>
      <c r="X261" s="84">
        <f>IFERROR(__xludf.DUMMYFUNCTION("""COMPUTED_VALUE"""),46172.469505497684)</f>
        <v>46172.46951</v>
      </c>
      <c r="Y261" s="76">
        <f t="shared" si="5"/>
        <v>0.3429945023</v>
      </c>
      <c r="AK261" s="232"/>
      <c r="AL261" s="233"/>
      <c r="AM261" s="173"/>
    </row>
    <row r="262">
      <c r="A262" s="76">
        <f>IFERROR(__xludf.DUMMYFUNCTION("""COMPUTED_VALUE"""),5223.0)</f>
        <v>5223</v>
      </c>
      <c r="B262" s="232">
        <f>IFERROR(__xludf.DUMMYFUNCTION("""COMPUTED_VALUE"""),46171.81084486111)</f>
        <v>46171.81084</v>
      </c>
      <c r="C262" s="84">
        <f>IFERROR(__xludf.DUMMYFUNCTION("""COMPUTED_VALUE"""),46171.662059027774)</f>
        <v>46171.66206</v>
      </c>
      <c r="D262" s="173">
        <f t="shared" si="1"/>
        <v>0.1487858333</v>
      </c>
      <c r="G262" s="76">
        <f>IFERROR(__xludf.DUMMYFUNCTION("""COMPUTED_VALUE"""),5223.0)</f>
        <v>5223</v>
      </c>
      <c r="H262" s="232">
        <f>IFERROR(__xludf.DUMMYFUNCTION("""COMPUTED_VALUE"""),46171.817789305554)</f>
        <v>46171.81779</v>
      </c>
      <c r="I262" s="84">
        <f>IFERROR(__xludf.DUMMYFUNCTION("""COMPUTED_VALUE"""),46171.66214738426)</f>
        <v>46171.66215</v>
      </c>
      <c r="J262" s="76">
        <f t="shared" si="2"/>
        <v>0.1556419213</v>
      </c>
      <c r="L262" s="76">
        <f>IFERROR(__xludf.DUMMYFUNCTION("""COMPUTED_VALUE"""),5223.0)</f>
        <v>5223</v>
      </c>
      <c r="M262" s="232">
        <f>IFERROR(__xludf.DUMMYFUNCTION("""COMPUTED_VALUE"""),46172.52569444444)</f>
        <v>46172.52569</v>
      </c>
      <c r="N262" s="84">
        <f>IFERROR(__xludf.DUMMYFUNCTION("""COMPUTED_VALUE"""),46171.66218743056)</f>
        <v>46171.66219</v>
      </c>
      <c r="O262" s="76">
        <f t="shared" si="3"/>
        <v>0.8635070139</v>
      </c>
      <c r="Q262" s="76">
        <f>IFERROR(__xludf.DUMMYFUNCTION("""COMPUTED_VALUE"""),5218.0)</f>
        <v>5218</v>
      </c>
      <c r="R262" s="232">
        <f>IFERROR(__xludf.DUMMYFUNCTION("""COMPUTED_VALUE"""),46172.56875)</f>
        <v>46172.56875</v>
      </c>
      <c r="S262" s="84">
        <f>IFERROR(__xludf.DUMMYFUNCTION("""COMPUTED_VALUE"""),46170.72454982639)</f>
        <v>46170.72455</v>
      </c>
      <c r="T262" s="76">
        <f t="shared" si="4"/>
        <v>1.844200174</v>
      </c>
      <c r="V262" s="76">
        <f>IFERROR(__xludf.DUMMYFUNCTION("""COMPUTED_VALUE"""),5223.0)</f>
        <v>5223</v>
      </c>
      <c r="W262" s="232">
        <f>IFERROR(__xludf.DUMMYFUNCTION("""COMPUTED_VALUE"""),46174.567361111105)</f>
        <v>46174.56736</v>
      </c>
      <c r="X262" s="84">
        <f>IFERROR(__xludf.DUMMYFUNCTION("""COMPUTED_VALUE"""),46171.73716633102)</f>
        <v>46171.73717</v>
      </c>
      <c r="Y262" s="76">
        <f t="shared" si="5"/>
        <v>2.83019478</v>
      </c>
      <c r="AK262" s="232"/>
      <c r="AL262" s="233"/>
      <c r="AM262" s="173"/>
    </row>
    <row r="263">
      <c r="A263" s="76">
        <f>IFERROR(__xludf.DUMMYFUNCTION("""COMPUTED_VALUE"""),5224.0)</f>
        <v>5224</v>
      </c>
      <c r="B263" s="232">
        <f>IFERROR(__xludf.DUMMYFUNCTION("""COMPUTED_VALUE"""),46172.43472222222)</f>
        <v>46172.43472</v>
      </c>
      <c r="C263" s="84">
        <f>IFERROR(__xludf.DUMMYFUNCTION("""COMPUTED_VALUE"""),46171.736904143516)</f>
        <v>46171.7369</v>
      </c>
      <c r="D263" s="173">
        <f t="shared" si="1"/>
        <v>0.6978180787</v>
      </c>
      <c r="G263" s="76">
        <f>IFERROR(__xludf.DUMMYFUNCTION("""COMPUTED_VALUE"""),5224.0)</f>
        <v>5224</v>
      </c>
      <c r="H263" s="232">
        <f>IFERROR(__xludf.DUMMYFUNCTION("""COMPUTED_VALUE"""),46172.441666666666)</f>
        <v>46172.44167</v>
      </c>
      <c r="I263" s="84">
        <f>IFERROR(__xludf.DUMMYFUNCTION("""COMPUTED_VALUE"""),46171.736995370375)</f>
        <v>46171.737</v>
      </c>
      <c r="J263" s="76">
        <f t="shared" si="2"/>
        <v>0.7046712963</v>
      </c>
      <c r="L263" s="76">
        <f>IFERROR(__xludf.DUMMYFUNCTION("""COMPUTED_VALUE"""),5224.0)</f>
        <v>5224</v>
      </c>
      <c r="M263" s="232">
        <f>IFERROR(__xludf.DUMMYFUNCTION("""COMPUTED_VALUE"""),46172.54583333333)</f>
        <v>46172.54583</v>
      </c>
      <c r="N263" s="84">
        <f>IFERROR(__xludf.DUMMYFUNCTION("""COMPUTED_VALUE"""),46171.737043194444)</f>
        <v>46171.73704</v>
      </c>
      <c r="O263" s="76">
        <f t="shared" si="3"/>
        <v>0.8087901389</v>
      </c>
      <c r="Q263" s="76">
        <f>IFERROR(__xludf.DUMMYFUNCTION("""COMPUTED_VALUE"""),5219.0)</f>
        <v>5219</v>
      </c>
      <c r="R263" s="232">
        <f>IFERROR(__xludf.DUMMYFUNCTION("""COMPUTED_VALUE"""),46172.57083333333)</f>
        <v>46172.57083</v>
      </c>
      <c r="S263" s="84">
        <f>IFERROR(__xludf.DUMMYFUNCTION("""COMPUTED_VALUE"""),46170.724559953705)</f>
        <v>46170.72456</v>
      </c>
      <c r="T263" s="76">
        <f t="shared" si="4"/>
        <v>1.84627338</v>
      </c>
      <c r="V263" s="76">
        <f>IFERROR(__xludf.DUMMYFUNCTION("""COMPUTED_VALUE"""),5224.0)</f>
        <v>5224</v>
      </c>
      <c r="W263" s="232">
        <f>IFERROR(__xludf.DUMMYFUNCTION("""COMPUTED_VALUE"""),46174.587499999994)</f>
        <v>46174.5875</v>
      </c>
      <c r="X263" s="84">
        <f>IFERROR(__xludf.DUMMYFUNCTION("""COMPUTED_VALUE"""),46174.534467592595)</f>
        <v>46174.53447</v>
      </c>
      <c r="Y263" s="76">
        <f t="shared" si="5"/>
        <v>0.0530324074</v>
      </c>
      <c r="AK263" s="232"/>
      <c r="AL263" s="233"/>
      <c r="AM263" s="173"/>
    </row>
    <row r="264">
      <c r="A264" s="76">
        <f>IFERROR(__xludf.DUMMYFUNCTION("""COMPUTED_VALUE"""),5225.0)</f>
        <v>5225</v>
      </c>
      <c r="B264" s="232">
        <f>IFERROR(__xludf.DUMMYFUNCTION("""COMPUTED_VALUE"""),46174.65394731481)</f>
        <v>46174.65395</v>
      </c>
      <c r="C264" s="84">
        <f>IFERROR(__xludf.DUMMYFUNCTION("""COMPUTED_VALUE"""),46174.62059027778)</f>
        <v>46174.62059</v>
      </c>
      <c r="D264" s="173">
        <f t="shared" si="1"/>
        <v>0.03335703703</v>
      </c>
      <c r="G264" s="76">
        <f>IFERROR(__xludf.DUMMYFUNCTION("""COMPUTED_VALUE"""),5225.0)</f>
        <v>5225</v>
      </c>
      <c r="H264" s="232">
        <f>IFERROR(__xludf.DUMMYFUNCTION("""COMPUTED_VALUE"""),46174.66089175925)</f>
        <v>46174.66089</v>
      </c>
      <c r="I264" s="84">
        <f>IFERROR(__xludf.DUMMYFUNCTION("""COMPUTED_VALUE"""),46174.74623060186)</f>
        <v>46174.74623</v>
      </c>
      <c r="J264" s="76">
        <f t="shared" si="2"/>
        <v>-0.0853388426</v>
      </c>
      <c r="L264" s="76">
        <f>IFERROR(__xludf.DUMMYFUNCTION("""COMPUTED_VALUE"""),5225.0)</f>
        <v>5225</v>
      </c>
      <c r="M264" s="232">
        <f>IFERROR(__xludf.DUMMYFUNCTION("""COMPUTED_VALUE"""),46174.76505842592)</f>
        <v>46174.76506</v>
      </c>
      <c r="N264" s="84">
        <f>IFERROR(__xludf.DUMMYFUNCTION("""COMPUTED_VALUE"""),46174.74635778935)</f>
        <v>46174.74636</v>
      </c>
      <c r="O264" s="76">
        <f t="shared" si="3"/>
        <v>0.01870063657</v>
      </c>
      <c r="Q264" s="76">
        <f>IFERROR(__xludf.DUMMYFUNCTION("""COMPUTED_VALUE"""),5220.0)</f>
        <v>5220</v>
      </c>
      <c r="R264" s="232">
        <f>IFERROR(__xludf.DUMMYFUNCTION("""COMPUTED_VALUE"""),46172.65)</f>
        <v>46172.65</v>
      </c>
      <c r="S264" s="84">
        <f>IFERROR(__xludf.DUMMYFUNCTION("""COMPUTED_VALUE"""),46172.46927556713)</f>
        <v>46172.46928</v>
      </c>
      <c r="T264" s="76">
        <f t="shared" si="4"/>
        <v>0.1807244329</v>
      </c>
      <c r="V264" s="76">
        <f>IFERROR(__xludf.DUMMYFUNCTION("""COMPUTED_VALUE"""),5225.0)</f>
        <v>5225</v>
      </c>
      <c r="W264" s="232">
        <f>IFERROR(__xludf.DUMMYFUNCTION("""COMPUTED_VALUE"""),46175.806249999994)</f>
        <v>46175.80625</v>
      </c>
      <c r="X264" s="84">
        <f>IFERROR(__xludf.DUMMYFUNCTION("""COMPUTED_VALUE"""),46175.470826805555)</f>
        <v>46175.47083</v>
      </c>
      <c r="Y264" s="76">
        <f t="shared" si="5"/>
        <v>0.3354231944</v>
      </c>
      <c r="AK264" s="232"/>
      <c r="AL264" s="233"/>
      <c r="AM264" s="173"/>
    </row>
    <row r="265">
      <c r="A265" s="76">
        <f>IFERROR(__xludf.DUMMYFUNCTION("""COMPUTED_VALUE"""),5226.0)</f>
        <v>5226</v>
      </c>
      <c r="B265" s="232">
        <f>IFERROR(__xludf.DUMMYFUNCTION("""COMPUTED_VALUE"""),46174.67741028935)</f>
        <v>46174.67741</v>
      </c>
      <c r="C265" s="84">
        <f>IFERROR(__xludf.DUMMYFUNCTION("""COMPUTED_VALUE"""),46174.62059027778)</f>
        <v>46174.62059</v>
      </c>
      <c r="D265" s="173">
        <f t="shared" si="1"/>
        <v>0.05682001157</v>
      </c>
      <c r="G265" s="76">
        <f>IFERROR(__xludf.DUMMYFUNCTION("""COMPUTED_VALUE"""),5226.0)</f>
        <v>5226</v>
      </c>
      <c r="H265" s="232">
        <f>IFERROR(__xludf.DUMMYFUNCTION("""COMPUTED_VALUE"""),46174.68435473379)</f>
        <v>46174.68435</v>
      </c>
      <c r="I265" s="84">
        <f>IFERROR(__xludf.DUMMYFUNCTION("""COMPUTED_VALUE"""),46174.74625189815)</f>
        <v>46174.74625</v>
      </c>
      <c r="J265" s="76">
        <f t="shared" si="2"/>
        <v>-0.06189716436</v>
      </c>
      <c r="L265" s="76">
        <f>IFERROR(__xludf.DUMMYFUNCTION("""COMPUTED_VALUE"""),5226.0)</f>
        <v>5226</v>
      </c>
      <c r="M265" s="232">
        <f>IFERROR(__xludf.DUMMYFUNCTION("""COMPUTED_VALUE"""),46174.78852140046)</f>
        <v>46174.78852</v>
      </c>
      <c r="N265" s="84">
        <f>IFERROR(__xludf.DUMMYFUNCTION("""COMPUTED_VALUE"""),46174.74638309028)</f>
        <v>46174.74638</v>
      </c>
      <c r="O265" s="76">
        <f t="shared" si="3"/>
        <v>0.04213831018</v>
      </c>
      <c r="Q265" s="76">
        <f>IFERROR(__xludf.DUMMYFUNCTION("""COMPUTED_VALUE"""),5221.0)</f>
        <v>5221</v>
      </c>
      <c r="R265" s="232">
        <f>IFERROR(__xludf.DUMMYFUNCTION("""COMPUTED_VALUE"""),46172.74444444445)</f>
        <v>46172.74444</v>
      </c>
      <c r="S265" s="84">
        <f>IFERROR(__xludf.DUMMYFUNCTION("""COMPUTED_VALUE"""),46172.469330821754)</f>
        <v>46172.46933</v>
      </c>
      <c r="T265" s="76">
        <f t="shared" si="4"/>
        <v>0.2751136227</v>
      </c>
      <c r="V265" s="76">
        <f>IFERROR(__xludf.DUMMYFUNCTION("""COMPUTED_VALUE"""),5226.0)</f>
        <v>5226</v>
      </c>
      <c r="W265" s="232">
        <f>IFERROR(__xludf.DUMMYFUNCTION("""COMPUTED_VALUE"""),46175.82986111111)</f>
        <v>46175.82986</v>
      </c>
      <c r="X265" s="84">
        <f>IFERROR(__xludf.DUMMYFUNCTION("""COMPUTED_VALUE"""),46175.66741340278)</f>
        <v>46175.66741</v>
      </c>
      <c r="Y265" s="76">
        <f t="shared" si="5"/>
        <v>0.1624477083</v>
      </c>
      <c r="AK265" s="232"/>
      <c r="AL265" s="233"/>
      <c r="AM265" s="173"/>
    </row>
    <row r="266">
      <c r="A266" s="76">
        <f>IFERROR(__xludf.DUMMYFUNCTION("""COMPUTED_VALUE"""),5227.0)</f>
        <v>5227</v>
      </c>
      <c r="B266" s="232">
        <f>IFERROR(__xludf.DUMMYFUNCTION("""COMPUTED_VALUE"""),46175.823413067126)</f>
        <v>46175.82341</v>
      </c>
      <c r="C266" s="84">
        <f>IFERROR(__xludf.DUMMYFUNCTION("""COMPUTED_VALUE"""),46175.667029606484)</f>
        <v>46175.66703</v>
      </c>
      <c r="D266" s="173">
        <f t="shared" si="1"/>
        <v>0.1563834606</v>
      </c>
      <c r="G266" s="76">
        <f>IFERROR(__xludf.DUMMYFUNCTION("""COMPUTED_VALUE"""),5227.0)</f>
        <v>5227</v>
      </c>
      <c r="H266" s="232">
        <f>IFERROR(__xludf.DUMMYFUNCTION("""COMPUTED_VALUE"""),46175.83035751157)</f>
        <v>46175.83036</v>
      </c>
      <c r="I266" s="84">
        <f>IFERROR(__xludf.DUMMYFUNCTION("""COMPUTED_VALUE"""),46175.66715138889)</f>
        <v>46175.66715</v>
      </c>
      <c r="J266" s="76">
        <f t="shared" si="2"/>
        <v>0.1632061227</v>
      </c>
      <c r="L266" s="76">
        <f>IFERROR(__xludf.DUMMYFUNCTION("""COMPUTED_VALUE"""),5227.0)</f>
        <v>5227</v>
      </c>
      <c r="M266" s="232">
        <f>IFERROR(__xludf.DUMMYFUNCTION("""COMPUTED_VALUE"""),46176.538194444445)</f>
        <v>46176.53819</v>
      </c>
      <c r="N266" s="84">
        <f>IFERROR(__xludf.DUMMYFUNCTION("""COMPUTED_VALUE"""),46175.667229548606)</f>
        <v>46175.66723</v>
      </c>
      <c r="O266" s="76">
        <f t="shared" si="3"/>
        <v>0.8709648958</v>
      </c>
      <c r="Q266" s="76">
        <f>IFERROR(__xludf.DUMMYFUNCTION("""COMPUTED_VALUE"""),5222.0)</f>
        <v>5222</v>
      </c>
      <c r="R266" s="232">
        <f>IFERROR(__xludf.DUMMYFUNCTION("""COMPUTED_VALUE"""),46172.770833333336)</f>
        <v>46172.77083</v>
      </c>
      <c r="S266" s="84">
        <f>IFERROR(__xludf.DUMMYFUNCTION("""COMPUTED_VALUE"""),46172.48049277777)</f>
        <v>46172.48049</v>
      </c>
      <c r="T266" s="76">
        <f t="shared" si="4"/>
        <v>0.2903405556</v>
      </c>
      <c r="V266" s="76">
        <f>IFERROR(__xludf.DUMMYFUNCTION("""COMPUTED_VALUE"""),5227.0)</f>
        <v>5227</v>
      </c>
      <c r="W266" s="232">
        <f>IFERROR(__xludf.DUMMYFUNCTION("""COMPUTED_VALUE"""),46177.57986111111)</f>
        <v>46177.57986</v>
      </c>
      <c r="X266" s="84">
        <f>IFERROR(__xludf.DUMMYFUNCTION("""COMPUTED_VALUE"""),46175.676983831014)</f>
        <v>46175.67698</v>
      </c>
      <c r="Y266" s="76">
        <f t="shared" si="5"/>
        <v>1.90287728</v>
      </c>
      <c r="AK266" s="232"/>
      <c r="AL266" s="233"/>
      <c r="AM266" s="173"/>
    </row>
    <row r="267">
      <c r="A267" s="76">
        <f>IFERROR(__xludf.DUMMYFUNCTION("""COMPUTED_VALUE"""),5228.0)</f>
        <v>5228</v>
      </c>
      <c r="B267" s="232">
        <f>IFERROR(__xludf.DUMMYFUNCTION("""COMPUTED_VALUE"""),46176.42013888888)</f>
        <v>46176.42014</v>
      </c>
      <c r="C267" s="84">
        <f>IFERROR(__xludf.DUMMYFUNCTION("""COMPUTED_VALUE"""),46175.67672747685)</f>
        <v>46175.67673</v>
      </c>
      <c r="D267" s="173">
        <f t="shared" si="1"/>
        <v>0.743411412</v>
      </c>
      <c r="G267" s="76">
        <f>IFERROR(__xludf.DUMMYFUNCTION("""COMPUTED_VALUE"""),5228.0)</f>
        <v>5228</v>
      </c>
      <c r="H267" s="232">
        <f>IFERROR(__xludf.DUMMYFUNCTION("""COMPUTED_VALUE"""),46176.42708333333)</f>
        <v>46176.42708</v>
      </c>
      <c r="I267" s="84">
        <f>IFERROR(__xludf.DUMMYFUNCTION("""COMPUTED_VALUE"""),46175.67687836806)</f>
        <v>46175.67688</v>
      </c>
      <c r="J267" s="76">
        <f t="shared" si="2"/>
        <v>0.7502049653</v>
      </c>
      <c r="L267" s="76">
        <f>IFERROR(__xludf.DUMMYFUNCTION("""COMPUTED_VALUE"""),5228.0)</f>
        <v>5228</v>
      </c>
      <c r="M267" s="232">
        <f>IFERROR(__xludf.DUMMYFUNCTION("""COMPUTED_VALUE"""),46176.53124999999)</f>
        <v>46176.53125</v>
      </c>
      <c r="N267" s="84">
        <f>IFERROR(__xludf.DUMMYFUNCTION("""COMPUTED_VALUE"""),46175.67690568287)</f>
        <v>46175.67691</v>
      </c>
      <c r="O267" s="76">
        <f t="shared" si="3"/>
        <v>0.8543443171</v>
      </c>
      <c r="Q267" s="76">
        <f>IFERROR(__xludf.DUMMYFUNCTION("""COMPUTED_VALUE"""),5223.0)</f>
        <v>5223</v>
      </c>
      <c r="R267" s="232">
        <f>IFERROR(__xludf.DUMMYFUNCTION("""COMPUTED_VALUE"""),46174.52569444444)</f>
        <v>46174.52569</v>
      </c>
      <c r="S267" s="84">
        <f>IFERROR(__xludf.DUMMYFUNCTION("""COMPUTED_VALUE"""),46171.737132442126)</f>
        <v>46171.73713</v>
      </c>
      <c r="T267" s="76">
        <f t="shared" si="4"/>
        <v>2.788562002</v>
      </c>
      <c r="V267" s="76">
        <f>IFERROR(__xludf.DUMMYFUNCTION("""COMPUTED_VALUE"""),5228.0)</f>
        <v>5228</v>
      </c>
      <c r="W267" s="232">
        <f>IFERROR(__xludf.DUMMYFUNCTION("""COMPUTED_VALUE"""),46177.572916666664)</f>
        <v>46177.57292</v>
      </c>
      <c r="X267" s="84">
        <f>IFERROR(__xludf.DUMMYFUNCTION("""COMPUTED_VALUE"""),46176.54626105324)</f>
        <v>46176.54626</v>
      </c>
      <c r="Y267" s="76">
        <f t="shared" si="5"/>
        <v>1.026655613</v>
      </c>
      <c r="AK267" s="232"/>
      <c r="AL267" s="233"/>
      <c r="AM267" s="173"/>
    </row>
    <row r="268">
      <c r="A268" s="76">
        <f>IFERROR(__xludf.DUMMYFUNCTION("""COMPUTED_VALUE"""),5229.0)</f>
        <v>5229</v>
      </c>
      <c r="B268" s="232">
        <f>IFERROR(__xludf.DUMMYFUNCTION("""COMPUTED_VALUE"""),46176.42291666666)</f>
        <v>46176.42292</v>
      </c>
      <c r="C268" s="84">
        <f>IFERROR(__xludf.DUMMYFUNCTION("""COMPUTED_VALUE"""),46175.676725972226)</f>
        <v>46175.67673</v>
      </c>
      <c r="D268" s="173">
        <f t="shared" si="1"/>
        <v>0.7461906944</v>
      </c>
      <c r="G268" s="76">
        <f>IFERROR(__xludf.DUMMYFUNCTION("""COMPUTED_VALUE"""),5229.0)</f>
        <v>5229</v>
      </c>
      <c r="H268" s="232">
        <f>IFERROR(__xludf.DUMMYFUNCTION("""COMPUTED_VALUE"""),46176.42986111111)</f>
        <v>46176.42986</v>
      </c>
      <c r="I268" s="84">
        <f>IFERROR(__xludf.DUMMYFUNCTION("""COMPUTED_VALUE"""),46175.676885775465)</f>
        <v>46175.67689</v>
      </c>
      <c r="J268" s="76">
        <f t="shared" si="2"/>
        <v>0.7529753356</v>
      </c>
      <c r="L268" s="76">
        <f>IFERROR(__xludf.DUMMYFUNCTION("""COMPUTED_VALUE"""),5229.0)</f>
        <v>5229</v>
      </c>
      <c r="M268" s="232">
        <f>IFERROR(__xludf.DUMMYFUNCTION("""COMPUTED_VALUE"""),46176.53402777777)</f>
        <v>46176.53403</v>
      </c>
      <c r="N268" s="84">
        <f>IFERROR(__xludf.DUMMYFUNCTION("""COMPUTED_VALUE"""),46175.67692096064)</f>
        <v>46175.67692</v>
      </c>
      <c r="O268" s="76">
        <f t="shared" si="3"/>
        <v>0.8571068171</v>
      </c>
      <c r="Q268" s="76">
        <f>IFERROR(__xludf.DUMMYFUNCTION("""COMPUTED_VALUE"""),5224.0)</f>
        <v>5224</v>
      </c>
      <c r="R268" s="232">
        <f>IFERROR(__xludf.DUMMYFUNCTION("""COMPUTED_VALUE"""),46174.54583333333)</f>
        <v>46174.54583</v>
      </c>
      <c r="S268" s="84">
        <f>IFERROR(__xludf.DUMMYFUNCTION("""COMPUTED_VALUE"""),46174.534212962964)</f>
        <v>46174.53421</v>
      </c>
      <c r="T268" s="76">
        <f t="shared" si="4"/>
        <v>0.01162037037</v>
      </c>
      <c r="V268" s="76">
        <f>IFERROR(__xludf.DUMMYFUNCTION("""COMPUTED_VALUE"""),5229.0)</f>
        <v>5229</v>
      </c>
      <c r="W268" s="232">
        <f>IFERROR(__xludf.DUMMYFUNCTION("""COMPUTED_VALUE"""),46177.575694444444)</f>
        <v>46177.57569</v>
      </c>
      <c r="X268" s="84">
        <f>IFERROR(__xludf.DUMMYFUNCTION("""COMPUTED_VALUE"""),46177.4715052199)</f>
        <v>46177.47151</v>
      </c>
      <c r="Y268" s="76">
        <f t="shared" si="5"/>
        <v>0.1041892245</v>
      </c>
      <c r="AK268" s="232"/>
      <c r="AL268" s="233"/>
      <c r="AM268" s="173"/>
    </row>
    <row r="269">
      <c r="A269" s="76">
        <f>IFERROR(__xludf.DUMMYFUNCTION("""COMPUTED_VALUE"""),5230.0)</f>
        <v>5230</v>
      </c>
      <c r="B269" s="232">
        <f>IFERROR(__xludf.DUMMYFUNCTION("""COMPUTED_VALUE"""),46176.662736990744)</f>
        <v>46176.66274</v>
      </c>
      <c r="C269" s="84">
        <f>IFERROR(__xludf.DUMMYFUNCTION("""COMPUTED_VALUE"""),46176.50804875)</f>
        <v>46176.50805</v>
      </c>
      <c r="D269" s="173">
        <f t="shared" si="1"/>
        <v>0.1546882407</v>
      </c>
      <c r="G269" s="76">
        <f>IFERROR(__xludf.DUMMYFUNCTION("""COMPUTED_VALUE"""),5230.0)</f>
        <v>5230</v>
      </c>
      <c r="H269" s="232">
        <f>IFERROR(__xludf.DUMMYFUNCTION("""COMPUTED_VALUE"""),46176.66968143519)</f>
        <v>46176.66968</v>
      </c>
      <c r="I269" s="84">
        <f>IFERROR(__xludf.DUMMYFUNCTION("""COMPUTED_VALUE"""),46176.50808759259)</f>
        <v>46176.50809</v>
      </c>
      <c r="J269" s="76">
        <f t="shared" si="2"/>
        <v>0.1615938426</v>
      </c>
      <c r="L269" s="76">
        <f>IFERROR(__xludf.DUMMYFUNCTION("""COMPUTED_VALUE"""),5230.0)</f>
        <v>5230</v>
      </c>
      <c r="M269" s="232">
        <f>IFERROR(__xludf.DUMMYFUNCTION("""COMPUTED_VALUE"""),46176.77384810185)</f>
        <v>46176.77385</v>
      </c>
      <c r="N269" s="84">
        <f>IFERROR(__xludf.DUMMYFUNCTION("""COMPUTED_VALUE"""),46176.5081762037)</f>
        <v>46176.50818</v>
      </c>
      <c r="O269" s="76">
        <f t="shared" si="3"/>
        <v>0.2656718982</v>
      </c>
      <c r="Q269" s="76">
        <f>IFERROR(__xludf.DUMMYFUNCTION("""COMPUTED_VALUE"""),5225.0)</f>
        <v>5225</v>
      </c>
      <c r="R269" s="232">
        <f>IFERROR(__xludf.DUMMYFUNCTION("""COMPUTED_VALUE"""),46175.76458333333)</f>
        <v>46175.76458</v>
      </c>
      <c r="S269" s="84">
        <f>IFERROR(__xludf.DUMMYFUNCTION("""COMPUTED_VALUE"""),46175.47078795139)</f>
        <v>46175.47079</v>
      </c>
      <c r="T269" s="76">
        <f t="shared" si="4"/>
        <v>0.2937953819</v>
      </c>
      <c r="V269" s="76">
        <f>IFERROR(__xludf.DUMMYFUNCTION("""COMPUTED_VALUE"""),5230.0)</f>
        <v>5230</v>
      </c>
      <c r="W269" s="232">
        <f>IFERROR(__xludf.DUMMYFUNCTION("""COMPUTED_VALUE"""),46177.81527777777)</f>
        <v>46177.81528</v>
      </c>
      <c r="X269" s="84">
        <f>IFERROR(__xludf.DUMMYFUNCTION("""COMPUTED_VALUE"""),46177.68689777778)</f>
        <v>46177.6869</v>
      </c>
      <c r="Y269" s="76">
        <f t="shared" si="5"/>
        <v>0.12838</v>
      </c>
      <c r="AK269" s="232"/>
      <c r="AL269" s="233"/>
      <c r="AM269" s="173"/>
    </row>
    <row r="270">
      <c r="A270" s="76">
        <f>IFERROR(__xludf.DUMMYFUNCTION("""COMPUTED_VALUE"""),5231.0)</f>
        <v>5231</v>
      </c>
      <c r="B270" s="232">
        <f>IFERROR(__xludf.DUMMYFUNCTION("""COMPUTED_VALUE"""),46177.44375)</f>
        <v>46177.44375</v>
      </c>
      <c r="C270" s="84">
        <f>IFERROR(__xludf.DUMMYFUNCTION("""COMPUTED_VALUE"""),46176.746293530094)</f>
        <v>46176.74629</v>
      </c>
      <c r="D270" s="173">
        <f t="shared" si="1"/>
        <v>0.6974564699</v>
      </c>
      <c r="G270" s="76">
        <f>IFERROR(__xludf.DUMMYFUNCTION("""COMPUTED_VALUE"""),5231.0)</f>
        <v>5231</v>
      </c>
      <c r="H270" s="232">
        <f>IFERROR(__xludf.DUMMYFUNCTION("""COMPUTED_VALUE"""),46177.450694444444)</f>
        <v>46177.45069</v>
      </c>
      <c r="I270" s="84">
        <f>IFERROR(__xludf.DUMMYFUNCTION("""COMPUTED_VALUE"""),46176.7465943287)</f>
        <v>46176.74659</v>
      </c>
      <c r="J270" s="76">
        <f t="shared" si="2"/>
        <v>0.7041001157</v>
      </c>
      <c r="L270" s="76">
        <f>IFERROR(__xludf.DUMMYFUNCTION("""COMPUTED_VALUE"""),5231.0)</f>
        <v>5231</v>
      </c>
      <c r="M270" s="232">
        <f>IFERROR(__xludf.DUMMYFUNCTION("""COMPUTED_VALUE"""),46177.55486111111)</f>
        <v>46177.55486</v>
      </c>
      <c r="N270" s="84">
        <f>IFERROR(__xludf.DUMMYFUNCTION("""COMPUTED_VALUE"""),46176.74667511574)</f>
        <v>46176.74668</v>
      </c>
      <c r="O270" s="76">
        <f t="shared" si="3"/>
        <v>0.8081859954</v>
      </c>
      <c r="Q270" s="76">
        <f>IFERROR(__xludf.DUMMYFUNCTION("""COMPUTED_VALUE"""),5226.0)</f>
        <v>5226</v>
      </c>
      <c r="R270" s="232">
        <f>IFERROR(__xludf.DUMMYFUNCTION("""COMPUTED_VALUE"""),46175.788194444445)</f>
        <v>46175.78819</v>
      </c>
      <c r="S270" s="84">
        <f>IFERROR(__xludf.DUMMYFUNCTION("""COMPUTED_VALUE"""),46175.66738799769)</f>
        <v>46175.66739</v>
      </c>
      <c r="T270" s="76">
        <f t="shared" si="4"/>
        <v>0.1208064468</v>
      </c>
      <c r="V270" s="76">
        <f>IFERROR(__xludf.DUMMYFUNCTION("""COMPUTED_VALUE"""),5231.0)</f>
        <v>5231</v>
      </c>
      <c r="W270" s="232">
        <f>IFERROR(__xludf.DUMMYFUNCTION("""COMPUTED_VALUE"""),46178.59652777777)</f>
        <v>46178.59653</v>
      </c>
      <c r="X270" s="84">
        <f>IFERROR(__xludf.DUMMYFUNCTION("""COMPUTED_VALUE"""),46176.79600832176)</f>
        <v>46176.79601</v>
      </c>
      <c r="Y270" s="76">
        <f t="shared" si="5"/>
        <v>1.800519456</v>
      </c>
      <c r="AK270" s="232"/>
      <c r="AL270" s="233"/>
      <c r="AM270" s="173"/>
    </row>
    <row r="271">
      <c r="A271" s="76">
        <f>IFERROR(__xludf.DUMMYFUNCTION("""COMPUTED_VALUE"""),5232.0)</f>
        <v>5232</v>
      </c>
      <c r="B271" s="232">
        <f>IFERROR(__xludf.DUMMYFUNCTION("""COMPUTED_VALUE"""),46177.44652777778)</f>
        <v>46177.44653</v>
      </c>
      <c r="C271" s="84">
        <f>IFERROR(__xludf.DUMMYFUNCTION("""COMPUTED_VALUE"""),46176.7463712037)</f>
        <v>46176.74637</v>
      </c>
      <c r="D271" s="173">
        <f t="shared" si="1"/>
        <v>0.7001565741</v>
      </c>
      <c r="G271" s="76">
        <f>IFERROR(__xludf.DUMMYFUNCTION("""COMPUTED_VALUE"""),5232.0)</f>
        <v>5232</v>
      </c>
      <c r="H271" s="232">
        <f>IFERROR(__xludf.DUMMYFUNCTION("""COMPUTED_VALUE"""),46177.45347222222)</f>
        <v>46177.45347</v>
      </c>
      <c r="I271" s="84">
        <f>IFERROR(__xludf.DUMMYFUNCTION("""COMPUTED_VALUE"""),46176.7466092824)</f>
        <v>46176.74661</v>
      </c>
      <c r="J271" s="76">
        <f t="shared" si="2"/>
        <v>0.7068629398</v>
      </c>
      <c r="L271" s="76">
        <f>IFERROR(__xludf.DUMMYFUNCTION("""COMPUTED_VALUE"""),5232.0)</f>
        <v>5232</v>
      </c>
      <c r="M271" s="232">
        <f>IFERROR(__xludf.DUMMYFUNCTION("""COMPUTED_VALUE"""),46177.55763888889)</f>
        <v>46177.55764</v>
      </c>
      <c r="N271" s="84">
        <f>IFERROR(__xludf.DUMMYFUNCTION("""COMPUTED_VALUE"""),46176.74669175926)</f>
        <v>46176.74669</v>
      </c>
      <c r="O271" s="76">
        <f t="shared" si="3"/>
        <v>0.8109471296</v>
      </c>
      <c r="Q271" s="76">
        <f>IFERROR(__xludf.DUMMYFUNCTION("""COMPUTED_VALUE"""),5227.0)</f>
        <v>5227</v>
      </c>
      <c r="R271" s="232">
        <f>IFERROR(__xludf.DUMMYFUNCTION("""COMPUTED_VALUE"""),46177.538194444445)</f>
        <v>46177.53819</v>
      </c>
      <c r="S271" s="84">
        <f>IFERROR(__xludf.DUMMYFUNCTION("""COMPUTED_VALUE"""),46175.66726431713)</f>
        <v>46175.66726</v>
      </c>
      <c r="T271" s="76">
        <f t="shared" si="4"/>
        <v>1.870930127</v>
      </c>
      <c r="V271" s="76">
        <f>IFERROR(__xludf.DUMMYFUNCTION("""COMPUTED_VALUE"""),5232.0)</f>
        <v>5232</v>
      </c>
      <c r="W271" s="232">
        <f>IFERROR(__xludf.DUMMYFUNCTION("""COMPUTED_VALUE"""),46178.59930555555)</f>
        <v>46178.59931</v>
      </c>
      <c r="X271" s="84">
        <f>IFERROR(__xludf.DUMMYFUNCTION("""COMPUTED_VALUE"""),46176.79602815972)</f>
        <v>46176.79603</v>
      </c>
      <c r="Y271" s="76">
        <f t="shared" si="5"/>
        <v>1.803277396</v>
      </c>
      <c r="AK271" s="232"/>
      <c r="AL271" s="233"/>
      <c r="AM271" s="173"/>
    </row>
    <row r="272">
      <c r="A272" s="76">
        <f>IFERROR(__xludf.DUMMYFUNCTION("""COMPUTED_VALUE"""),5233.0)</f>
        <v>5233</v>
      </c>
      <c r="B272" s="232">
        <f>IFERROR(__xludf.DUMMYFUNCTION("""COMPUTED_VALUE"""),46177.45416666666)</f>
        <v>46177.45417</v>
      </c>
      <c r="C272" s="84">
        <f>IFERROR(__xludf.DUMMYFUNCTION("""COMPUTED_VALUE"""),46176.74647474537)</f>
        <v>46176.74647</v>
      </c>
      <c r="D272" s="173">
        <f t="shared" si="1"/>
        <v>0.7076919213</v>
      </c>
      <c r="G272" s="76">
        <f>IFERROR(__xludf.DUMMYFUNCTION("""COMPUTED_VALUE"""),5233.0)</f>
        <v>5233</v>
      </c>
      <c r="H272" s="232">
        <f>IFERROR(__xludf.DUMMYFUNCTION("""COMPUTED_VALUE"""),46177.46111111111)</f>
        <v>46177.46111</v>
      </c>
      <c r="I272" s="84">
        <f>IFERROR(__xludf.DUMMYFUNCTION("""COMPUTED_VALUE"""),46176.74663422453)</f>
        <v>46176.74663</v>
      </c>
      <c r="J272" s="76">
        <f t="shared" si="2"/>
        <v>0.7144768866</v>
      </c>
      <c r="L272" s="76">
        <f>IFERROR(__xludf.DUMMYFUNCTION("""COMPUTED_VALUE"""),5233.0)</f>
        <v>5233</v>
      </c>
      <c r="M272" s="232">
        <f>IFERROR(__xludf.DUMMYFUNCTION("""COMPUTED_VALUE"""),46177.56527777777)</f>
        <v>46177.56528</v>
      </c>
      <c r="N272" s="84">
        <f>IFERROR(__xludf.DUMMYFUNCTION("""COMPUTED_VALUE"""),46176.74671172454)</f>
        <v>46176.74671</v>
      </c>
      <c r="O272" s="76">
        <f t="shared" si="3"/>
        <v>0.8185660532</v>
      </c>
      <c r="Q272" s="76">
        <f>IFERROR(__xludf.DUMMYFUNCTION("""COMPUTED_VALUE"""),5228.0)</f>
        <v>5228</v>
      </c>
      <c r="R272" s="232">
        <f>IFERROR(__xludf.DUMMYFUNCTION("""COMPUTED_VALUE"""),46177.53125)</f>
        <v>46177.53125</v>
      </c>
      <c r="S272" s="84">
        <f>IFERROR(__xludf.DUMMYFUNCTION("""COMPUTED_VALUE"""),46176.54623394676)</f>
        <v>46176.54623</v>
      </c>
      <c r="T272" s="76">
        <f t="shared" si="4"/>
        <v>0.9850160532</v>
      </c>
      <c r="V272" s="76">
        <f>IFERROR(__xludf.DUMMYFUNCTION("""COMPUTED_VALUE"""),5233.0)</f>
        <v>5233</v>
      </c>
      <c r="W272" s="232">
        <f>IFERROR(__xludf.DUMMYFUNCTION("""COMPUTED_VALUE"""),46178.60694444444)</f>
        <v>46178.60694</v>
      </c>
      <c r="X272" s="84">
        <f>IFERROR(__xludf.DUMMYFUNCTION("""COMPUTED_VALUE"""),46177.47169015046)</f>
        <v>46177.47169</v>
      </c>
      <c r="Y272" s="76">
        <f t="shared" si="5"/>
        <v>1.135254294</v>
      </c>
      <c r="AK272" s="232"/>
      <c r="AL272" s="233"/>
      <c r="AM272" s="173"/>
    </row>
    <row r="273">
      <c r="A273" s="76">
        <f>IFERROR(__xludf.DUMMYFUNCTION("""COMPUTED_VALUE"""),5234.0)</f>
        <v>5234</v>
      </c>
      <c r="B273" s="232">
        <f>IFERROR(__xludf.DUMMYFUNCTION("""COMPUTED_VALUE"""),46177.81364134259)</f>
        <v>46177.81364</v>
      </c>
      <c r="C273" s="84">
        <f>IFERROR(__xludf.DUMMYFUNCTION("""COMPUTED_VALUE"""),46177.68716957176)</f>
        <v>46177.68717</v>
      </c>
      <c r="D273" s="173">
        <f t="shared" si="1"/>
        <v>0.1264717708</v>
      </c>
      <c r="G273" s="76">
        <f>IFERROR(__xludf.DUMMYFUNCTION("""COMPUTED_VALUE"""),5234.0)</f>
        <v>5234</v>
      </c>
      <c r="H273" s="232">
        <f>IFERROR(__xludf.DUMMYFUNCTION("""COMPUTED_VALUE"""),46177.820585787034)</f>
        <v>46177.82059</v>
      </c>
      <c r="I273" s="84">
        <f>IFERROR(__xludf.DUMMYFUNCTION("""COMPUTED_VALUE"""),46177.68726092593)</f>
        <v>46177.68726</v>
      </c>
      <c r="J273" s="76">
        <f t="shared" si="2"/>
        <v>0.1333248611</v>
      </c>
      <c r="L273" s="76">
        <f>IFERROR(__xludf.DUMMYFUNCTION("""COMPUTED_VALUE"""),5234.0)</f>
        <v>5234</v>
      </c>
      <c r="M273" s="232">
        <f>IFERROR(__xludf.DUMMYFUNCTION("""COMPUTED_VALUE"""),46178.52847222222)</f>
        <v>46178.52847</v>
      </c>
      <c r="N273" s="84">
        <f>IFERROR(__xludf.DUMMYFUNCTION("""COMPUTED_VALUE"""),46177.720631909724)</f>
        <v>46177.72063</v>
      </c>
      <c r="O273" s="76">
        <f t="shared" si="3"/>
        <v>0.8078403125</v>
      </c>
      <c r="Q273" s="76">
        <f>IFERROR(__xludf.DUMMYFUNCTION("""COMPUTED_VALUE"""),5229.0)</f>
        <v>5229</v>
      </c>
      <c r="R273" s="232">
        <f>IFERROR(__xludf.DUMMYFUNCTION("""COMPUTED_VALUE"""),46177.53402777778)</f>
        <v>46177.53403</v>
      </c>
      <c r="S273" s="84">
        <f>IFERROR(__xludf.DUMMYFUNCTION("""COMPUTED_VALUE"""),46177.471459374996)</f>
        <v>46177.47146</v>
      </c>
      <c r="T273" s="76">
        <f t="shared" si="4"/>
        <v>0.06256840278</v>
      </c>
      <c r="V273" s="76">
        <f>IFERROR(__xludf.DUMMYFUNCTION("""COMPUTED_VALUE"""),5234.0)</f>
        <v>5234</v>
      </c>
      <c r="W273" s="232">
        <f>IFERROR(__xludf.DUMMYFUNCTION("""COMPUTED_VALUE"""),46179.570138888885)</f>
        <v>46179.57014</v>
      </c>
      <c r="X273" s="84">
        <f>IFERROR(__xludf.DUMMYFUNCTION("""COMPUTED_VALUE"""),46178.55677601852)</f>
        <v>46178.55678</v>
      </c>
      <c r="Y273" s="76">
        <f t="shared" si="5"/>
        <v>1.01336287</v>
      </c>
      <c r="AK273" s="232"/>
      <c r="AL273" s="233"/>
      <c r="AM273" s="173"/>
    </row>
    <row r="274">
      <c r="A274" s="76">
        <f>IFERROR(__xludf.DUMMYFUNCTION("""COMPUTED_VALUE"""),5235.0)</f>
        <v>5235</v>
      </c>
      <c r="B274" s="232">
        <f>IFERROR(__xludf.DUMMYFUNCTION("""COMPUTED_VALUE"""),46178.641065902775)</f>
        <v>46178.64107</v>
      </c>
      <c r="C274" s="84">
        <f>IFERROR(__xludf.DUMMYFUNCTION("""COMPUTED_VALUE"""),46178.50721402778)</f>
        <v>46178.50721</v>
      </c>
      <c r="D274" s="173">
        <f t="shared" si="1"/>
        <v>0.133851875</v>
      </c>
      <c r="G274" s="76">
        <f>IFERROR(__xludf.DUMMYFUNCTION("""COMPUTED_VALUE"""),5235.0)</f>
        <v>5235</v>
      </c>
      <c r="H274" s="232">
        <f>IFERROR(__xludf.DUMMYFUNCTION("""COMPUTED_VALUE"""),46178.64801034722)</f>
        <v>46178.64801</v>
      </c>
      <c r="I274" s="84">
        <f>IFERROR(__xludf.DUMMYFUNCTION("""COMPUTED_VALUE"""),46178.50725210649)</f>
        <v>46178.50725</v>
      </c>
      <c r="J274" s="76">
        <f t="shared" si="2"/>
        <v>0.1407582407</v>
      </c>
      <c r="L274" s="76">
        <f>IFERROR(__xludf.DUMMYFUNCTION("""COMPUTED_VALUE"""),5235.0)</f>
        <v>5235</v>
      </c>
      <c r="M274" s="232">
        <f>IFERROR(__xludf.DUMMYFUNCTION("""COMPUTED_VALUE"""),46178.752177013885)</f>
        <v>46178.75218</v>
      </c>
      <c r="N274" s="84">
        <f>IFERROR(__xludf.DUMMYFUNCTION("""COMPUTED_VALUE"""),46178.60946715278)</f>
        <v>46178.60947</v>
      </c>
      <c r="O274" s="76">
        <f t="shared" si="3"/>
        <v>0.1427098611</v>
      </c>
      <c r="Q274" s="76">
        <f>IFERROR(__xludf.DUMMYFUNCTION("""COMPUTED_VALUE"""),5230.0)</f>
        <v>5230</v>
      </c>
      <c r="R274" s="232">
        <f>IFERROR(__xludf.DUMMYFUNCTION("""COMPUTED_VALUE"""),46177.77361111111)</f>
        <v>46177.77361</v>
      </c>
      <c r="S274" s="84">
        <f>IFERROR(__xludf.DUMMYFUNCTION("""COMPUTED_VALUE"""),46177.68686707176)</f>
        <v>46177.68687</v>
      </c>
      <c r="T274" s="76">
        <f t="shared" si="4"/>
        <v>0.08674403935</v>
      </c>
      <c r="V274" s="76">
        <f>IFERROR(__xludf.DUMMYFUNCTION("""COMPUTED_VALUE"""),5235.0)</f>
        <v>5235</v>
      </c>
      <c r="W274" s="232">
        <f>IFERROR(__xludf.DUMMYFUNCTION("""COMPUTED_VALUE"""),46179.79375)</f>
        <v>46179.79375</v>
      </c>
      <c r="X274" s="84">
        <f>IFERROR(__xludf.DUMMYFUNCTION("""COMPUTED_VALUE"""),46179.6731158912)</f>
        <v>46179.67312</v>
      </c>
      <c r="Y274" s="76">
        <f t="shared" si="5"/>
        <v>0.1206341088</v>
      </c>
      <c r="AK274" s="232"/>
      <c r="AL274" s="233"/>
      <c r="AM274" s="173"/>
    </row>
    <row r="275">
      <c r="A275" s="76">
        <f>IFERROR(__xludf.DUMMYFUNCTION("""COMPUTED_VALUE"""),5236.0)</f>
        <v>5236</v>
      </c>
      <c r="B275" s="232">
        <f>IFERROR(__xludf.DUMMYFUNCTION("""COMPUTED_VALUE"""),46179.424305555556)</f>
        <v>46179.42431</v>
      </c>
      <c r="C275" s="84">
        <f>IFERROR(__xludf.DUMMYFUNCTION("""COMPUTED_VALUE"""),46178.72100986111)</f>
        <v>46178.72101</v>
      </c>
      <c r="D275" s="173">
        <f t="shared" si="1"/>
        <v>0.7032956944</v>
      </c>
      <c r="G275" s="76">
        <f>IFERROR(__xludf.DUMMYFUNCTION("""COMPUTED_VALUE"""),5236.0)</f>
        <v>5236</v>
      </c>
      <c r="H275" s="232">
        <f>IFERROR(__xludf.DUMMYFUNCTION("""COMPUTED_VALUE"""),46179.43125)</f>
        <v>46179.43125</v>
      </c>
      <c r="I275" s="84">
        <f>IFERROR(__xludf.DUMMYFUNCTION("""COMPUTED_VALUE"""),46178.72110650463)</f>
        <v>46178.72111</v>
      </c>
      <c r="J275" s="76">
        <f t="shared" si="2"/>
        <v>0.7101434954</v>
      </c>
      <c r="L275" s="76">
        <f>IFERROR(__xludf.DUMMYFUNCTION("""COMPUTED_VALUE"""),5236.0)</f>
        <v>5236</v>
      </c>
      <c r="M275" s="232">
        <f>IFERROR(__xludf.DUMMYFUNCTION("""COMPUTED_VALUE"""),46179.535416666666)</f>
        <v>46179.53542</v>
      </c>
      <c r="N275" s="84">
        <f>IFERROR(__xludf.DUMMYFUNCTION("""COMPUTED_VALUE"""),46178.72155402778)</f>
        <v>46178.72155</v>
      </c>
      <c r="O275" s="76">
        <f t="shared" si="3"/>
        <v>0.8138626389</v>
      </c>
      <c r="Q275" s="76">
        <f>IFERROR(__xludf.DUMMYFUNCTION("""COMPUTED_VALUE"""),5231.0)</f>
        <v>5231</v>
      </c>
      <c r="R275" s="232">
        <f>IFERROR(__xludf.DUMMYFUNCTION("""COMPUTED_VALUE"""),46178.55486111111)</f>
        <v>46178.55486</v>
      </c>
      <c r="S275" s="84">
        <f>IFERROR(__xludf.DUMMYFUNCTION("""COMPUTED_VALUE"""),46176.79582543981)</f>
        <v>46176.79583</v>
      </c>
      <c r="T275" s="76">
        <f t="shared" si="4"/>
        <v>1.759035671</v>
      </c>
      <c r="V275" s="76">
        <f>IFERROR(__xludf.DUMMYFUNCTION("""COMPUTED_VALUE"""),5236.0)</f>
        <v>5236</v>
      </c>
      <c r="W275" s="232">
        <f>IFERROR(__xludf.DUMMYFUNCTION("""COMPUTED_VALUE"""),46181.57708333333)</f>
        <v>46181.57708</v>
      </c>
      <c r="X275" s="84">
        <f>IFERROR(__xludf.DUMMYFUNCTION("""COMPUTED_VALUE"""),46181.45615974537)</f>
        <v>46181.45616</v>
      </c>
      <c r="Y275" s="76">
        <f t="shared" si="5"/>
        <v>0.120923588</v>
      </c>
      <c r="AK275" s="232"/>
      <c r="AL275" s="233"/>
      <c r="AM275" s="173"/>
    </row>
    <row r="276">
      <c r="A276" s="76">
        <f>IFERROR(__xludf.DUMMYFUNCTION("""COMPUTED_VALUE"""),5237.0)</f>
        <v>5237</v>
      </c>
      <c r="B276" s="232">
        <f>IFERROR(__xludf.DUMMYFUNCTION("""COMPUTED_VALUE"""),46179.427777777775)</f>
        <v>46179.42778</v>
      </c>
      <c r="C276" s="84">
        <f>IFERROR(__xludf.DUMMYFUNCTION("""COMPUTED_VALUE"""),46178.7210272338)</f>
        <v>46178.72103</v>
      </c>
      <c r="D276" s="173">
        <f t="shared" si="1"/>
        <v>0.706750544</v>
      </c>
      <c r="G276" s="76">
        <f>IFERROR(__xludf.DUMMYFUNCTION("""COMPUTED_VALUE"""),5237.0)</f>
        <v>5237</v>
      </c>
      <c r="H276" s="232">
        <f>IFERROR(__xludf.DUMMYFUNCTION("""COMPUTED_VALUE"""),46179.43472222222)</f>
        <v>46179.43472</v>
      </c>
      <c r="I276" s="84">
        <f>IFERROR(__xludf.DUMMYFUNCTION("""COMPUTED_VALUE"""),46178.72112505787)</f>
        <v>46178.72113</v>
      </c>
      <c r="J276" s="76">
        <f t="shared" si="2"/>
        <v>0.7135971644</v>
      </c>
      <c r="L276" s="76">
        <f>IFERROR(__xludf.DUMMYFUNCTION("""COMPUTED_VALUE"""),5237.0)</f>
        <v>5237</v>
      </c>
      <c r="M276" s="232">
        <f>IFERROR(__xludf.DUMMYFUNCTION("""COMPUTED_VALUE"""),46179.538888888885)</f>
        <v>46179.53889</v>
      </c>
      <c r="N276" s="84">
        <f>IFERROR(__xludf.DUMMYFUNCTION("""COMPUTED_VALUE"""),46178.72157152778)</f>
        <v>46178.72157</v>
      </c>
      <c r="O276" s="76">
        <f t="shared" si="3"/>
        <v>0.8173173611</v>
      </c>
      <c r="Q276" s="76">
        <f>IFERROR(__xludf.DUMMYFUNCTION("""COMPUTED_VALUE"""),5232.0)</f>
        <v>5232</v>
      </c>
      <c r="R276" s="232">
        <f>IFERROR(__xludf.DUMMYFUNCTION("""COMPUTED_VALUE"""),46178.55763888889)</f>
        <v>46178.55764</v>
      </c>
      <c r="S276" s="84">
        <f>IFERROR(__xludf.DUMMYFUNCTION("""COMPUTED_VALUE"""),46176.795913877315)</f>
        <v>46176.79591</v>
      </c>
      <c r="T276" s="76">
        <f t="shared" si="4"/>
        <v>1.761725012</v>
      </c>
      <c r="V276" s="76">
        <f>IFERROR(__xludf.DUMMYFUNCTION("""COMPUTED_VALUE"""),5237.0)</f>
        <v>5237</v>
      </c>
      <c r="W276" s="232">
        <f>IFERROR(__xludf.DUMMYFUNCTION("""COMPUTED_VALUE"""),46181.580555555556)</f>
        <v>46181.58056</v>
      </c>
      <c r="X276" s="84">
        <f>IFERROR(__xludf.DUMMYFUNCTION("""COMPUTED_VALUE"""),46181.456108240745)</f>
        <v>46181.45611</v>
      </c>
      <c r="Y276" s="76">
        <f t="shared" si="5"/>
        <v>0.1244473148</v>
      </c>
      <c r="AK276" s="232"/>
      <c r="AL276" s="233"/>
      <c r="AM276" s="173"/>
    </row>
    <row r="277">
      <c r="A277" s="76">
        <f>IFERROR(__xludf.DUMMYFUNCTION("""COMPUTED_VALUE"""),5238.0)</f>
        <v>5238</v>
      </c>
      <c r="B277" s="232">
        <f>IFERROR(__xludf.DUMMYFUNCTION("""COMPUTED_VALUE"""),46181.42638888889)</f>
        <v>46181.42639</v>
      </c>
      <c r="C277" s="84">
        <f>IFERROR(__xludf.DUMMYFUNCTION("""COMPUTED_VALUE"""),46179.68797653935)</f>
        <v>46179.68798</v>
      </c>
      <c r="D277" s="173">
        <f t="shared" si="1"/>
        <v>1.73841235</v>
      </c>
      <c r="G277" s="76">
        <f>IFERROR(__xludf.DUMMYFUNCTION("""COMPUTED_VALUE"""),5238.0)</f>
        <v>5238</v>
      </c>
      <c r="H277" s="232">
        <f>IFERROR(__xludf.DUMMYFUNCTION("""COMPUTED_VALUE"""),46181.433333333334)</f>
        <v>46181.43333</v>
      </c>
      <c r="I277" s="84">
        <f>IFERROR(__xludf.DUMMYFUNCTION("""COMPUTED_VALUE"""),46179.68802206019)</f>
        <v>46179.68802</v>
      </c>
      <c r="J277" s="76">
        <f t="shared" si="2"/>
        <v>1.745311273</v>
      </c>
      <c r="L277" s="76">
        <f>IFERROR(__xludf.DUMMYFUNCTION("""COMPUTED_VALUE"""),5238.0)</f>
        <v>5238</v>
      </c>
      <c r="M277" s="232">
        <f>IFERROR(__xludf.DUMMYFUNCTION("""COMPUTED_VALUE"""),46181.5375)</f>
        <v>46181.5375</v>
      </c>
      <c r="N277" s="84">
        <f>IFERROR(__xludf.DUMMYFUNCTION("""COMPUTED_VALUE"""),46179.68803859953)</f>
        <v>46179.68804</v>
      </c>
      <c r="O277" s="76">
        <f t="shared" si="3"/>
        <v>1.8494614</v>
      </c>
      <c r="Q277" s="76">
        <f>IFERROR(__xludf.DUMMYFUNCTION("""COMPUTED_VALUE"""),5233.0)</f>
        <v>5233</v>
      </c>
      <c r="R277" s="232">
        <f>IFERROR(__xludf.DUMMYFUNCTION("""COMPUTED_VALUE"""),46178.56527777777)</f>
        <v>46178.56528</v>
      </c>
      <c r="S277" s="84">
        <f>IFERROR(__xludf.DUMMYFUNCTION("""COMPUTED_VALUE"""),46177.471666087964)</f>
        <v>46177.47167</v>
      </c>
      <c r="T277" s="76">
        <f t="shared" si="4"/>
        <v>1.09361169</v>
      </c>
      <c r="V277" s="76">
        <f>IFERROR(__xludf.DUMMYFUNCTION("""COMPUTED_VALUE"""),5238.0)</f>
        <v>5238</v>
      </c>
      <c r="W277" s="232">
        <f>IFERROR(__xludf.DUMMYFUNCTION("""COMPUTED_VALUE"""),46182.57916666666)</f>
        <v>46182.57917</v>
      </c>
      <c r="X277" s="84">
        <f>IFERROR(__xludf.DUMMYFUNCTION("""COMPUTED_VALUE"""),46181.45614226852)</f>
        <v>46181.45614</v>
      </c>
      <c r="Y277" s="76">
        <f t="shared" si="5"/>
        <v>1.123024398</v>
      </c>
      <c r="AK277" s="232"/>
      <c r="AL277" s="233"/>
      <c r="AM277" s="173"/>
    </row>
    <row r="278">
      <c r="A278" s="76">
        <f>IFERROR(__xludf.DUMMYFUNCTION("""COMPUTED_VALUE"""),5239.0)</f>
        <v>5239</v>
      </c>
      <c r="B278" s="232">
        <f>IFERROR(__xludf.DUMMYFUNCTION("""COMPUTED_VALUE"""),46182.42013888888)</f>
        <v>46182.42014</v>
      </c>
      <c r="C278" s="84">
        <f>IFERROR(__xludf.DUMMYFUNCTION("""COMPUTED_VALUE"""),46181.679712349534)</f>
        <v>46181.67971</v>
      </c>
      <c r="D278" s="173">
        <f t="shared" si="1"/>
        <v>0.7404265393</v>
      </c>
      <c r="G278" s="76">
        <f>IFERROR(__xludf.DUMMYFUNCTION("""COMPUTED_VALUE"""),5239.0)</f>
        <v>5239</v>
      </c>
      <c r="H278" s="232">
        <f>IFERROR(__xludf.DUMMYFUNCTION("""COMPUTED_VALUE"""),46182.46874999999)</f>
        <v>46182.46875</v>
      </c>
      <c r="I278" s="84">
        <f>IFERROR(__xludf.DUMMYFUNCTION("""COMPUTED_VALUE"""),46182.45254142361)</f>
        <v>46182.45254</v>
      </c>
      <c r="J278" s="76">
        <f t="shared" si="2"/>
        <v>0.01620857638</v>
      </c>
      <c r="L278" s="76">
        <f>IFERROR(__xludf.DUMMYFUNCTION("""COMPUTED_VALUE"""),5239.0)</f>
        <v>5239</v>
      </c>
      <c r="M278" s="232">
        <f>IFERROR(__xludf.DUMMYFUNCTION("""COMPUTED_VALUE"""),46182.61458333332)</f>
        <v>46182.61458</v>
      </c>
      <c r="N278" s="84">
        <f>IFERROR(__xludf.DUMMYFUNCTION("""COMPUTED_VALUE"""),46182.45258262732)</f>
        <v>46182.45258</v>
      </c>
      <c r="O278" s="76">
        <f t="shared" si="3"/>
        <v>0.162000706</v>
      </c>
      <c r="Q278" s="76">
        <f>IFERROR(__xludf.DUMMYFUNCTION("""COMPUTED_VALUE"""),5234.0)</f>
        <v>5234</v>
      </c>
      <c r="R278" s="232">
        <f>IFERROR(__xludf.DUMMYFUNCTION("""COMPUTED_VALUE"""),46179.52847222222)</f>
        <v>46179.52847</v>
      </c>
      <c r="S278" s="84">
        <f>IFERROR(__xludf.DUMMYFUNCTION("""COMPUTED_VALUE"""),46178.556758425926)</f>
        <v>46178.55676</v>
      </c>
      <c r="T278" s="76">
        <f t="shared" si="4"/>
        <v>0.9717137963</v>
      </c>
      <c r="V278" s="76">
        <f>IFERROR(__xludf.DUMMYFUNCTION("""COMPUTED_VALUE"""),5239.0)</f>
        <v>5239</v>
      </c>
      <c r="W278" s="232">
        <f>IFERROR(__xludf.DUMMYFUNCTION("""COMPUTED_VALUE"""),46183.65625)</f>
        <v>46183.65625</v>
      </c>
      <c r="X278" s="84">
        <f>IFERROR(__xludf.DUMMYFUNCTION("""COMPUTED_VALUE"""),46182.7212709375)</f>
        <v>46182.72127</v>
      </c>
      <c r="Y278" s="76">
        <f t="shared" si="5"/>
        <v>0.9349790625</v>
      </c>
      <c r="AK278" s="232"/>
      <c r="AL278" s="233"/>
      <c r="AM278" s="173"/>
    </row>
    <row r="279">
      <c r="A279" s="76">
        <f>IFERROR(__xludf.DUMMYFUNCTION("""COMPUTED_VALUE"""),5240.0)</f>
        <v>5240</v>
      </c>
      <c r="B279" s="232">
        <f>IFERROR(__xludf.DUMMYFUNCTION("""COMPUTED_VALUE"""),46182.48958333333)</f>
        <v>46182.48958</v>
      </c>
      <c r="C279" s="84">
        <f>IFERROR(__xludf.DUMMYFUNCTION("""COMPUTED_VALUE"""),46182.45240017361)</f>
        <v>46182.4524</v>
      </c>
      <c r="D279" s="173">
        <f t="shared" si="1"/>
        <v>0.03718315971</v>
      </c>
      <c r="G279" s="76">
        <f>IFERROR(__xludf.DUMMYFUNCTION("""COMPUTED_VALUE"""),5240.0)</f>
        <v>5240</v>
      </c>
      <c r="H279" s="232">
        <f>IFERROR(__xludf.DUMMYFUNCTION("""COMPUTED_VALUE"""),46182.496527777774)</f>
        <v>46182.49653</v>
      </c>
      <c r="I279" s="84">
        <f>IFERROR(__xludf.DUMMYFUNCTION("""COMPUTED_VALUE"""),46182.4525531713)</f>
        <v>46182.45255</v>
      </c>
      <c r="J279" s="76">
        <f t="shared" si="2"/>
        <v>0.04397460647</v>
      </c>
      <c r="L279" s="76">
        <f>IFERROR(__xludf.DUMMYFUNCTION("""COMPUTED_VALUE"""),5240.0)</f>
        <v>5240</v>
      </c>
      <c r="M279" s="232">
        <f>IFERROR(__xludf.DUMMYFUNCTION("""COMPUTED_VALUE"""),46182.60069444444)</f>
        <v>46182.60069</v>
      </c>
      <c r="N279" s="84">
        <f>IFERROR(__xludf.DUMMYFUNCTION("""COMPUTED_VALUE"""),46182.452595254625)</f>
        <v>46182.4526</v>
      </c>
      <c r="O279" s="76">
        <f t="shared" si="3"/>
        <v>0.1480991898</v>
      </c>
      <c r="Q279" s="76">
        <f>IFERROR(__xludf.DUMMYFUNCTION("""COMPUTED_VALUE"""),5235.0)</f>
        <v>5235</v>
      </c>
      <c r="R279" s="232">
        <f>IFERROR(__xludf.DUMMYFUNCTION("""COMPUTED_VALUE"""),46179.75208333333)</f>
        <v>46179.75208</v>
      </c>
      <c r="S279" s="84">
        <f>IFERROR(__xludf.DUMMYFUNCTION("""COMPUTED_VALUE"""),46179.45394684028)</f>
        <v>46179.45395</v>
      </c>
      <c r="T279" s="76">
        <f t="shared" si="4"/>
        <v>0.2981364931</v>
      </c>
      <c r="V279" s="76">
        <f>IFERROR(__xludf.DUMMYFUNCTION("""COMPUTED_VALUE"""),5240.0)</f>
        <v>5240</v>
      </c>
      <c r="W279" s="232">
        <f>IFERROR(__xludf.DUMMYFUNCTION("""COMPUTED_VALUE"""),46183.64236111111)</f>
        <v>46183.64236</v>
      </c>
      <c r="X279" s="84">
        <f>IFERROR(__xludf.DUMMYFUNCTION("""COMPUTED_VALUE"""),46182.468466238424)</f>
        <v>46182.46847</v>
      </c>
      <c r="Y279" s="76">
        <f t="shared" si="5"/>
        <v>1.173894873</v>
      </c>
      <c r="AK279" s="232"/>
      <c r="AL279" s="233"/>
      <c r="AM279" s="173"/>
    </row>
    <row r="280">
      <c r="A280" s="76">
        <f>IFERROR(__xludf.DUMMYFUNCTION("""COMPUTED_VALUE"""),5241.0)</f>
        <v>5241</v>
      </c>
      <c r="B280" s="232">
        <f>IFERROR(__xludf.DUMMYFUNCTION("""COMPUTED_VALUE"""),46182.79559642361)</f>
        <v>46182.7956</v>
      </c>
      <c r="C280" s="84">
        <f>IFERROR(__xludf.DUMMYFUNCTION("""COMPUTED_VALUE"""),46182.71803679398)</f>
        <v>46182.71804</v>
      </c>
      <c r="D280" s="173">
        <f t="shared" si="1"/>
        <v>0.07755962963</v>
      </c>
      <c r="G280" s="76">
        <f>IFERROR(__xludf.DUMMYFUNCTION("""COMPUTED_VALUE"""),5241.0)</f>
        <v>5241</v>
      </c>
      <c r="H280" s="232">
        <f>IFERROR(__xludf.DUMMYFUNCTION("""COMPUTED_VALUE"""),46182.802540868055)</f>
        <v>46182.80254</v>
      </c>
      <c r="I280" s="84">
        <f>IFERROR(__xludf.DUMMYFUNCTION("""COMPUTED_VALUE"""),46182.71818336805)</f>
        <v>46182.71818</v>
      </c>
      <c r="J280" s="76">
        <f t="shared" si="2"/>
        <v>0.0843575</v>
      </c>
      <c r="L280" s="76">
        <f>IFERROR(__xludf.DUMMYFUNCTION("""COMPUTED_VALUE"""),5241.0)</f>
        <v>5241</v>
      </c>
      <c r="M280" s="232">
        <f>IFERROR(__xludf.DUMMYFUNCTION("""COMPUTED_VALUE"""),46183.46875)</f>
        <v>46183.46875</v>
      </c>
      <c r="N280" s="84">
        <f>IFERROR(__xludf.DUMMYFUNCTION("""COMPUTED_VALUE"""),46182.7182471875)</f>
        <v>46182.71825</v>
      </c>
      <c r="O280" s="76">
        <f t="shared" si="3"/>
        <v>0.7505028125</v>
      </c>
      <c r="Q280" s="76">
        <f>IFERROR(__xludf.DUMMYFUNCTION("""COMPUTED_VALUE"""),5236.0)</f>
        <v>5236</v>
      </c>
      <c r="R280" s="232">
        <f>IFERROR(__xludf.DUMMYFUNCTION("""COMPUTED_VALUE"""),46181.535416666666)</f>
        <v>46181.53542</v>
      </c>
      <c r="S280" s="84">
        <f>IFERROR(__xludf.DUMMYFUNCTION("""COMPUTED_VALUE"""),46179.454014918985)</f>
        <v>46179.45401</v>
      </c>
      <c r="T280" s="76">
        <f t="shared" si="4"/>
        <v>2.081401748</v>
      </c>
      <c r="V280" s="76">
        <f>IFERROR(__xludf.DUMMYFUNCTION("""COMPUTED_VALUE"""),5241.0)</f>
        <v>5241</v>
      </c>
      <c r="W280" s="232">
        <f>IFERROR(__xludf.DUMMYFUNCTION("""COMPUTED_VALUE"""),46184.510416666664)</f>
        <v>46184.51042</v>
      </c>
      <c r="X280" s="84">
        <f>IFERROR(__xludf.DUMMYFUNCTION("""COMPUTED_VALUE"""),46184.46471571759)</f>
        <v>46184.46472</v>
      </c>
      <c r="Y280" s="76">
        <f t="shared" si="5"/>
        <v>0.04570094907</v>
      </c>
      <c r="AK280" s="232"/>
      <c r="AL280" s="233"/>
      <c r="AM280" s="173"/>
    </row>
    <row r="281">
      <c r="A281" s="76">
        <f>IFERROR(__xludf.DUMMYFUNCTION("""COMPUTED_VALUE"""),5242.0)</f>
        <v>5242</v>
      </c>
      <c r="B281" s="232">
        <f>IFERROR(__xludf.DUMMYFUNCTION("""COMPUTED_VALUE"""),46183.42152777778)</f>
        <v>46183.42153</v>
      </c>
      <c r="C281" s="84">
        <f>IFERROR(__xludf.DUMMYFUNCTION("""COMPUTED_VALUE"""),46182.718111678245)</f>
        <v>46182.71811</v>
      </c>
      <c r="D281" s="173">
        <f t="shared" si="1"/>
        <v>0.7034160995</v>
      </c>
      <c r="G281" s="76">
        <f>IFERROR(__xludf.DUMMYFUNCTION("""COMPUTED_VALUE"""),5242.0)</f>
        <v>5242</v>
      </c>
      <c r="H281" s="232">
        <f>IFERROR(__xludf.DUMMYFUNCTION("""COMPUTED_VALUE"""),46183.42847222222)</f>
        <v>46183.42847</v>
      </c>
      <c r="I281" s="84">
        <f>IFERROR(__xludf.DUMMYFUNCTION("""COMPUTED_VALUE"""),46182.718209768514)</f>
        <v>46182.71821</v>
      </c>
      <c r="J281" s="76">
        <f t="shared" si="2"/>
        <v>0.7102624537</v>
      </c>
      <c r="L281" s="76">
        <f>IFERROR(__xludf.DUMMYFUNCTION("""COMPUTED_VALUE"""),5242.0)</f>
        <v>5242</v>
      </c>
      <c r="M281" s="232">
        <f>IFERROR(__xludf.DUMMYFUNCTION("""COMPUTED_VALUE"""),46183.532638888886)</f>
        <v>46183.53264</v>
      </c>
      <c r="N281" s="84">
        <f>IFERROR(__xludf.DUMMYFUNCTION("""COMPUTED_VALUE"""),46182.71827121528)</f>
        <v>46182.71827</v>
      </c>
      <c r="O281" s="76">
        <f t="shared" si="3"/>
        <v>0.8143676736</v>
      </c>
      <c r="Q281" s="76">
        <f>IFERROR(__xludf.DUMMYFUNCTION("""COMPUTED_VALUE"""),5237.0)</f>
        <v>5237</v>
      </c>
      <c r="R281" s="232">
        <f>IFERROR(__xludf.DUMMYFUNCTION("""COMPUTED_VALUE"""),46181.53888888889)</f>
        <v>46181.53889</v>
      </c>
      <c r="S281" s="84">
        <f>IFERROR(__xludf.DUMMYFUNCTION("""COMPUTED_VALUE"""),46179.68807767361)</f>
        <v>46179.68808</v>
      </c>
      <c r="T281" s="76">
        <f t="shared" si="4"/>
        <v>1.850811215</v>
      </c>
      <c r="V281" s="76">
        <f>IFERROR(__xludf.DUMMYFUNCTION("""COMPUTED_VALUE"""),5242.0)</f>
        <v>5242</v>
      </c>
      <c r="W281" s="232">
        <f>IFERROR(__xludf.DUMMYFUNCTION("""COMPUTED_VALUE"""),46184.57430555555)</f>
        <v>46184.57431</v>
      </c>
      <c r="X281" s="84">
        <f>IFERROR(__xludf.DUMMYFUNCTION("""COMPUTED_VALUE"""),46182.74149842592)</f>
        <v>46182.7415</v>
      </c>
      <c r="Y281" s="76">
        <f t="shared" si="5"/>
        <v>1.83280713</v>
      </c>
      <c r="AK281" s="232"/>
      <c r="AL281" s="233"/>
      <c r="AM281" s="173"/>
    </row>
    <row r="282">
      <c r="A282" s="76">
        <f>IFERROR(__xludf.DUMMYFUNCTION("""COMPUTED_VALUE"""),5243.0)</f>
        <v>5243</v>
      </c>
      <c r="B282" s="232">
        <f>IFERROR(__xludf.DUMMYFUNCTION("""COMPUTED_VALUE"""),46183.61766649305)</f>
        <v>46183.61767</v>
      </c>
      <c r="C282" s="84">
        <f>IFERROR(__xludf.DUMMYFUNCTION("""COMPUTED_VALUE"""),46183.46534392361)</f>
        <v>46183.46534</v>
      </c>
      <c r="D282" s="173">
        <f t="shared" si="1"/>
        <v>0.1523225694</v>
      </c>
      <c r="G282" s="76">
        <f>IFERROR(__xludf.DUMMYFUNCTION("""COMPUTED_VALUE"""),5243.0)</f>
        <v>5243</v>
      </c>
      <c r="H282" s="232">
        <f>IFERROR(__xludf.DUMMYFUNCTION("""COMPUTED_VALUE"""),46183.6246109375)</f>
        <v>46183.62461</v>
      </c>
      <c r="I282" s="84">
        <f>IFERROR(__xludf.DUMMYFUNCTION("""COMPUTED_VALUE"""),46183.46538371527)</f>
        <v>46183.46538</v>
      </c>
      <c r="J282" s="76">
        <f t="shared" si="2"/>
        <v>0.1592272222</v>
      </c>
      <c r="L282" s="76">
        <f>IFERROR(__xludf.DUMMYFUNCTION("""COMPUTED_VALUE"""),5243.0)</f>
        <v>5243</v>
      </c>
      <c r="M282" s="232">
        <f>IFERROR(__xludf.DUMMYFUNCTION("""COMPUTED_VALUE"""),46183.72877760416)</f>
        <v>46183.72878</v>
      </c>
      <c r="N282" s="84">
        <f>IFERROR(__xludf.DUMMYFUNCTION("""COMPUTED_VALUE"""),46183.46543189815)</f>
        <v>46183.46543</v>
      </c>
      <c r="O282" s="76">
        <f t="shared" si="3"/>
        <v>0.263345706</v>
      </c>
      <c r="Q282" s="76">
        <f>IFERROR(__xludf.DUMMYFUNCTION("""COMPUTED_VALUE"""),5238.0)</f>
        <v>5238</v>
      </c>
      <c r="R282" s="232">
        <f>IFERROR(__xludf.DUMMYFUNCTION("""COMPUTED_VALUE"""),46182.5375)</f>
        <v>46182.5375</v>
      </c>
      <c r="S282" s="84">
        <f>IFERROR(__xludf.DUMMYFUNCTION("""COMPUTED_VALUE"""),46179.68807767361)</f>
        <v>46179.68808</v>
      </c>
      <c r="T282" s="76">
        <f t="shared" si="4"/>
        <v>2.849422326</v>
      </c>
      <c r="V282" s="76">
        <f>IFERROR(__xludf.DUMMYFUNCTION("""COMPUTED_VALUE"""),5243.0)</f>
        <v>5243</v>
      </c>
      <c r="W282" s="232">
        <f>IFERROR(__xludf.DUMMYFUNCTION("""COMPUTED_VALUE"""),46184.77013888889)</f>
        <v>46184.77014</v>
      </c>
      <c r="X282" s="84">
        <f>IFERROR(__xludf.DUMMYFUNCTION("""COMPUTED_VALUE"""),46183.46553752315)</f>
        <v>46183.46554</v>
      </c>
      <c r="Y282" s="76">
        <f t="shared" si="5"/>
        <v>1.304601366</v>
      </c>
      <c r="AK282" s="232"/>
      <c r="AL282" s="233"/>
      <c r="AM282" s="173"/>
    </row>
    <row r="283">
      <c r="A283" s="76">
        <f>IFERROR(__xludf.DUMMYFUNCTION("""COMPUTED_VALUE"""),5244.0)</f>
        <v>5244</v>
      </c>
      <c r="B283" s="232">
        <f>IFERROR(__xludf.DUMMYFUNCTION("""COMPUTED_VALUE"""),46183.673278993054)</f>
        <v>46183.67328</v>
      </c>
      <c r="C283" s="84">
        <f>IFERROR(__xludf.DUMMYFUNCTION("""COMPUTED_VALUE"""),46183.56470721065)</f>
        <v>46183.56471</v>
      </c>
      <c r="D283" s="173">
        <f t="shared" si="1"/>
        <v>0.1085717824</v>
      </c>
      <c r="G283" s="76">
        <f>IFERROR(__xludf.DUMMYFUNCTION("""COMPUTED_VALUE"""),5244.0)</f>
        <v>5244</v>
      </c>
      <c r="H283" s="232">
        <f>IFERROR(__xludf.DUMMYFUNCTION("""COMPUTED_VALUE"""),46183.6802234375)</f>
        <v>46183.68022</v>
      </c>
      <c r="I283" s="84">
        <f>IFERROR(__xludf.DUMMYFUNCTION("""COMPUTED_VALUE"""),46183.56496982639)</f>
        <v>46183.56497</v>
      </c>
      <c r="J283" s="76">
        <f t="shared" si="2"/>
        <v>0.1152536111</v>
      </c>
      <c r="L283" s="76">
        <f>IFERROR(__xludf.DUMMYFUNCTION("""COMPUTED_VALUE"""),5244.0)</f>
        <v>5244</v>
      </c>
      <c r="M283" s="232">
        <f>IFERROR(__xludf.DUMMYFUNCTION("""COMPUTED_VALUE"""),46183.78439010416)</f>
        <v>46183.78439</v>
      </c>
      <c r="N283" s="84">
        <f>IFERROR(__xludf.DUMMYFUNCTION("""COMPUTED_VALUE"""),46184.50612569445)</f>
        <v>46184.50613</v>
      </c>
      <c r="O283" s="76">
        <f t="shared" si="3"/>
        <v>-0.7217355903</v>
      </c>
      <c r="Q283" s="76">
        <f>IFERROR(__xludf.DUMMYFUNCTION("""COMPUTED_VALUE"""),5239.0)</f>
        <v>5239</v>
      </c>
      <c r="R283" s="232">
        <f>IFERROR(__xludf.DUMMYFUNCTION("""COMPUTED_VALUE"""),46183.614583333336)</f>
        <v>46183.61458</v>
      </c>
      <c r="S283" s="84">
        <f>IFERROR(__xludf.DUMMYFUNCTION("""COMPUTED_VALUE"""),46182.45270850694)</f>
        <v>46182.45271</v>
      </c>
      <c r="T283" s="76">
        <f t="shared" si="4"/>
        <v>1.161874826</v>
      </c>
      <c r="V283" s="76">
        <f>IFERROR(__xludf.DUMMYFUNCTION("""COMPUTED_VALUE"""),5244.0)</f>
        <v>5244</v>
      </c>
      <c r="W283" s="232">
        <f>IFERROR(__xludf.DUMMYFUNCTION("""COMPUTED_VALUE"""),46184.825694444444)</f>
        <v>46184.82569</v>
      </c>
      <c r="X283" s="84">
        <f>IFERROR(__xludf.DUMMYFUNCTION("""COMPUTED_VALUE"""),46184.50628253473)</f>
        <v>46184.50628</v>
      </c>
      <c r="Y283" s="76">
        <f t="shared" si="5"/>
        <v>0.3194119097</v>
      </c>
      <c r="AK283" s="232"/>
      <c r="AL283" s="233"/>
      <c r="AM283" s="173"/>
    </row>
    <row r="284">
      <c r="A284" s="76">
        <f>IFERROR(__xludf.DUMMYFUNCTION("""COMPUTED_VALUE"""),5245.0)</f>
        <v>5245</v>
      </c>
      <c r="B284" s="232">
        <f>IFERROR(__xludf.DUMMYFUNCTION("""COMPUTED_VALUE"""),46183.6743243287)</f>
        <v>46183.67432</v>
      </c>
      <c r="C284" s="84">
        <f>IFERROR(__xludf.DUMMYFUNCTION("""COMPUTED_VALUE"""),46183.56472408565)</f>
        <v>46183.56472</v>
      </c>
      <c r="D284" s="173">
        <f t="shared" si="1"/>
        <v>0.109600243</v>
      </c>
      <c r="G284" s="76">
        <f>IFERROR(__xludf.DUMMYFUNCTION("""COMPUTED_VALUE"""),5245.0)</f>
        <v>5245</v>
      </c>
      <c r="H284" s="232">
        <f>IFERROR(__xludf.DUMMYFUNCTION("""COMPUTED_VALUE"""),46183.68126877314)</f>
        <v>46183.68127</v>
      </c>
      <c r="I284" s="84">
        <f>IFERROR(__xludf.DUMMYFUNCTION("""COMPUTED_VALUE"""),46183.56498623843)</f>
        <v>46183.56499</v>
      </c>
      <c r="J284" s="76">
        <f t="shared" si="2"/>
        <v>0.1162825347</v>
      </c>
      <c r="L284" s="76">
        <f>IFERROR(__xludf.DUMMYFUNCTION("""COMPUTED_VALUE"""),5245.0)</f>
        <v>5245</v>
      </c>
      <c r="M284" s="232">
        <f>IFERROR(__xludf.DUMMYFUNCTION("""COMPUTED_VALUE"""),46183.78543543981)</f>
        <v>46183.78544</v>
      </c>
      <c r="N284" s="84">
        <f>IFERROR(__xludf.DUMMYFUNCTION("""COMPUTED_VALUE"""),46183.76110287037)</f>
        <v>46183.7611</v>
      </c>
      <c r="O284" s="76">
        <f t="shared" si="3"/>
        <v>0.02433256944</v>
      </c>
      <c r="Q284" s="76">
        <f>IFERROR(__xludf.DUMMYFUNCTION("""COMPUTED_VALUE"""),5240.0)</f>
        <v>5240</v>
      </c>
      <c r="R284" s="232">
        <f>IFERROR(__xludf.DUMMYFUNCTION("""COMPUTED_VALUE"""),46183.600694444445)</f>
        <v>46183.60069</v>
      </c>
      <c r="S284" s="84">
        <f>IFERROR(__xludf.DUMMYFUNCTION("""COMPUTED_VALUE"""),46182.45271662037)</f>
        <v>46182.45272</v>
      </c>
      <c r="T284" s="76">
        <f t="shared" si="4"/>
        <v>1.147977824</v>
      </c>
      <c r="V284" s="76">
        <f>IFERROR(__xludf.DUMMYFUNCTION("""COMPUTED_VALUE"""),5245.0)</f>
        <v>5245</v>
      </c>
      <c r="W284" s="232">
        <f>IFERROR(__xludf.DUMMYFUNCTION("""COMPUTED_VALUE"""),46184.82708333333)</f>
        <v>46184.82708</v>
      </c>
      <c r="X284" s="84">
        <f>IFERROR(__xludf.DUMMYFUNCTION("""COMPUTED_VALUE"""),46183.761159745365)</f>
        <v>46183.76116</v>
      </c>
      <c r="Y284" s="76">
        <f t="shared" si="5"/>
        <v>1.065923588</v>
      </c>
      <c r="AK284" s="232"/>
      <c r="AL284" s="233"/>
      <c r="AM284" s="173"/>
    </row>
    <row r="285">
      <c r="A285" s="76">
        <f>IFERROR(__xludf.DUMMYFUNCTION("""COMPUTED_VALUE"""),5246.0)</f>
        <v>5246</v>
      </c>
      <c r="B285" s="232">
        <f>IFERROR(__xludf.DUMMYFUNCTION("""COMPUTED_VALUE"""),46183.68628495371)</f>
        <v>46183.68628</v>
      </c>
      <c r="C285" s="84">
        <f>IFERROR(__xludf.DUMMYFUNCTION("""COMPUTED_VALUE"""),46183.564752349535)</f>
        <v>46183.56475</v>
      </c>
      <c r="D285" s="173">
        <f t="shared" si="1"/>
        <v>0.1215326042</v>
      </c>
      <c r="G285" s="76">
        <f>IFERROR(__xludf.DUMMYFUNCTION("""COMPUTED_VALUE"""),5246.0)</f>
        <v>5246</v>
      </c>
      <c r="H285" s="232">
        <f>IFERROR(__xludf.DUMMYFUNCTION("""COMPUTED_VALUE"""),46183.69322939815)</f>
        <v>46183.69323</v>
      </c>
      <c r="I285" s="84">
        <f>IFERROR(__xludf.DUMMYFUNCTION("""COMPUTED_VALUE"""),46183.56501200232)</f>
        <v>46183.56501</v>
      </c>
      <c r="J285" s="76">
        <f t="shared" si="2"/>
        <v>0.1282173958</v>
      </c>
      <c r="L285" s="76">
        <f>IFERROR(__xludf.DUMMYFUNCTION("""COMPUTED_VALUE"""),5246.0)</f>
        <v>5246</v>
      </c>
      <c r="M285" s="232">
        <f>IFERROR(__xludf.DUMMYFUNCTION("""COMPUTED_VALUE"""),46183.797396064816)</f>
        <v>46183.7974</v>
      </c>
      <c r="N285" s="84">
        <f>IFERROR(__xludf.DUMMYFUNCTION("""COMPUTED_VALUE"""),46183.797842245374)</f>
        <v>46183.79784</v>
      </c>
      <c r="O285" s="76">
        <f t="shared" si="3"/>
        <v>-0.0004461805584</v>
      </c>
      <c r="Q285" s="76">
        <f>IFERROR(__xludf.DUMMYFUNCTION("""COMPUTED_VALUE"""),5241.0)</f>
        <v>5241</v>
      </c>
      <c r="R285" s="232">
        <f>IFERROR(__xludf.DUMMYFUNCTION("""COMPUTED_VALUE"""),46184.46875)</f>
        <v>46184.46875</v>
      </c>
      <c r="S285" s="84">
        <f>IFERROR(__xludf.DUMMYFUNCTION("""COMPUTED_VALUE"""),46183.80051685185)</f>
        <v>46183.80052</v>
      </c>
      <c r="T285" s="76">
        <f t="shared" si="4"/>
        <v>0.6682331481</v>
      </c>
      <c r="V285" s="76">
        <f>IFERROR(__xludf.DUMMYFUNCTION("""COMPUTED_VALUE"""),5246.0)</f>
        <v>5246</v>
      </c>
      <c r="W285" s="232">
        <f>IFERROR(__xludf.DUMMYFUNCTION("""COMPUTED_VALUE"""),46185.42222222222)</f>
        <v>46185.42222</v>
      </c>
      <c r="X285" s="84">
        <f>IFERROR(__xludf.DUMMYFUNCTION("""COMPUTED_VALUE"""),46183.79790006945)</f>
        <v>46183.7979</v>
      </c>
      <c r="Y285" s="76">
        <f t="shared" si="5"/>
        <v>1.624322153</v>
      </c>
      <c r="AK285" s="232"/>
      <c r="AL285" s="233"/>
      <c r="AM285" s="173"/>
    </row>
    <row r="286">
      <c r="A286" s="76">
        <f>IFERROR(__xludf.DUMMYFUNCTION("""COMPUTED_VALUE"""),5247.0)</f>
        <v>5247</v>
      </c>
      <c r="B286" s="232">
        <f>IFERROR(__xludf.DUMMYFUNCTION("""COMPUTED_VALUE"""),46183.733544375)</f>
        <v>46183.73354</v>
      </c>
      <c r="C286" s="84">
        <f>IFERROR(__xludf.DUMMYFUNCTION("""COMPUTED_VALUE"""),46183.76053328704)</f>
        <v>46183.76053</v>
      </c>
      <c r="D286" s="173">
        <f t="shared" si="1"/>
        <v>-0.02698891204</v>
      </c>
      <c r="G286" s="76">
        <f>IFERROR(__xludf.DUMMYFUNCTION("""COMPUTED_VALUE"""),5247.0)</f>
        <v>5247</v>
      </c>
      <c r="H286" s="232">
        <f>IFERROR(__xludf.DUMMYFUNCTION("""COMPUTED_VALUE"""),46183.74048881944)</f>
        <v>46183.74049</v>
      </c>
      <c r="I286" s="84">
        <f>IFERROR(__xludf.DUMMYFUNCTION("""COMPUTED_VALUE"""),46183.760666145834)</f>
        <v>46183.76067</v>
      </c>
      <c r="J286" s="76">
        <f t="shared" si="2"/>
        <v>-0.02017732639</v>
      </c>
      <c r="L286" s="76">
        <f>IFERROR(__xludf.DUMMYFUNCTION("""COMPUTED_VALUE"""),5247.0)</f>
        <v>5247</v>
      </c>
      <c r="M286" s="232">
        <f>IFERROR(__xludf.DUMMYFUNCTION("""COMPUTED_VALUE"""),46184.44861111111)</f>
        <v>46184.44861</v>
      </c>
      <c r="N286" s="84">
        <f>IFERROR(__xludf.DUMMYFUNCTION("""COMPUTED_VALUE"""),46183.797954803245)</f>
        <v>46183.79795</v>
      </c>
      <c r="O286" s="76">
        <f t="shared" si="3"/>
        <v>0.6506563079</v>
      </c>
      <c r="Q286" s="76">
        <f>IFERROR(__xludf.DUMMYFUNCTION("""COMPUTED_VALUE"""),5242.0)</f>
        <v>5242</v>
      </c>
      <c r="R286" s="232">
        <f>IFERROR(__xludf.DUMMYFUNCTION("""COMPUTED_VALUE"""),46184.532638888886)</f>
        <v>46184.53264</v>
      </c>
      <c r="S286" s="84">
        <f>IFERROR(__xludf.DUMMYFUNCTION("""COMPUTED_VALUE"""),46182.74150001157)</f>
        <v>46182.7415</v>
      </c>
      <c r="T286" s="76">
        <f t="shared" si="4"/>
        <v>1.791138877</v>
      </c>
      <c r="V286" s="76">
        <f>IFERROR(__xludf.DUMMYFUNCTION("""COMPUTED_VALUE"""),5247.0)</f>
        <v>5247</v>
      </c>
      <c r="W286" s="232">
        <f>IFERROR(__xludf.DUMMYFUNCTION("""COMPUTED_VALUE"""),46185.490277777775)</f>
        <v>46185.49028</v>
      </c>
      <c r="X286" s="84">
        <f>IFERROR(__xludf.DUMMYFUNCTION("""COMPUTED_VALUE"""),46185.487650497686)</f>
        <v>46185.48765</v>
      </c>
      <c r="Y286" s="76">
        <f t="shared" si="5"/>
        <v>0.00262728009</v>
      </c>
      <c r="AK286" s="232"/>
      <c r="AL286" s="233"/>
      <c r="AM286" s="173"/>
    </row>
    <row r="287">
      <c r="A287" s="76">
        <f>IFERROR(__xludf.DUMMYFUNCTION("""COMPUTED_VALUE"""),5248.0)</f>
        <v>5248</v>
      </c>
      <c r="B287" s="232">
        <f>IFERROR(__xludf.DUMMYFUNCTION("""COMPUTED_VALUE"""),46183.77031923611)</f>
        <v>46183.77032</v>
      </c>
      <c r="C287" s="84">
        <f>IFERROR(__xludf.DUMMYFUNCTION("""COMPUTED_VALUE"""),46183.760561793984)</f>
        <v>46183.76056</v>
      </c>
      <c r="D287" s="173">
        <f t="shared" si="1"/>
        <v>0.009757442123</v>
      </c>
      <c r="G287" s="76">
        <f>IFERROR(__xludf.DUMMYFUNCTION("""COMPUTED_VALUE"""),5248.0)</f>
        <v>5248</v>
      </c>
      <c r="H287" s="232">
        <f>IFERROR(__xludf.DUMMYFUNCTION("""COMPUTED_VALUE"""),46183.77726368055)</f>
        <v>46183.77726</v>
      </c>
      <c r="I287" s="84">
        <f>IFERROR(__xludf.DUMMYFUNCTION("""COMPUTED_VALUE"""),46183.76068738426)</f>
        <v>46183.76069</v>
      </c>
      <c r="J287" s="76">
        <f t="shared" si="2"/>
        <v>0.01657629629</v>
      </c>
      <c r="L287" s="76">
        <f>IFERROR(__xludf.DUMMYFUNCTION("""COMPUTED_VALUE"""),5248.0)</f>
        <v>5248</v>
      </c>
      <c r="M287" s="232">
        <f>IFERROR(__xludf.DUMMYFUNCTION("""COMPUTED_VALUE"""),46184.48541666667)</f>
        <v>46184.48542</v>
      </c>
      <c r="N287" s="84">
        <f>IFERROR(__xludf.DUMMYFUNCTION("""COMPUTED_VALUE"""),46183.79797494213)</f>
        <v>46183.79797</v>
      </c>
      <c r="O287" s="76">
        <f t="shared" si="3"/>
        <v>0.6874417245</v>
      </c>
      <c r="Q287" s="76">
        <f>IFERROR(__xludf.DUMMYFUNCTION("""COMPUTED_VALUE"""),5243.0)</f>
        <v>5243</v>
      </c>
      <c r="R287" s="232">
        <f>IFERROR(__xludf.DUMMYFUNCTION("""COMPUTED_VALUE"""),46184.728472222225)</f>
        <v>46184.72847</v>
      </c>
      <c r="S287" s="84">
        <f>IFERROR(__xludf.DUMMYFUNCTION("""COMPUTED_VALUE"""),46183.46549431713)</f>
        <v>46183.46549</v>
      </c>
      <c r="T287" s="76">
        <f t="shared" si="4"/>
        <v>1.262977905</v>
      </c>
      <c r="V287" s="76">
        <f>IFERROR(__xludf.DUMMYFUNCTION("""COMPUTED_VALUE"""),5248.0)</f>
        <v>5248</v>
      </c>
      <c r="W287" s="232">
        <f>IFERROR(__xludf.DUMMYFUNCTION("""COMPUTED_VALUE"""),46185.527083333334)</f>
        <v>46185.52708</v>
      </c>
      <c r="X287" s="84">
        <f>IFERROR(__xludf.DUMMYFUNCTION("""COMPUTED_VALUE"""),46185.48757657407)</f>
        <v>46185.48758</v>
      </c>
      <c r="Y287" s="76">
        <f t="shared" si="5"/>
        <v>0.03950675926</v>
      </c>
      <c r="AK287" s="232"/>
      <c r="AL287" s="233"/>
      <c r="AM287" s="173"/>
    </row>
    <row r="288">
      <c r="A288" s="76">
        <f>IFERROR(__xludf.DUMMYFUNCTION("""COMPUTED_VALUE"""),5249.0)</f>
        <v>5249</v>
      </c>
      <c r="B288" s="232">
        <f>IFERROR(__xludf.DUMMYFUNCTION("""COMPUTED_VALUE"""),46185.79201380787)</f>
        <v>46185.79201</v>
      </c>
      <c r="C288" s="84">
        <f>IFERROR(__xludf.DUMMYFUNCTION("""COMPUTED_VALUE"""),46185.72223)</f>
        <v>46185.72223</v>
      </c>
      <c r="D288" s="173">
        <f t="shared" si="1"/>
        <v>0.06978380787</v>
      </c>
      <c r="G288" s="76">
        <f>IFERROR(__xludf.DUMMYFUNCTION("""COMPUTED_VALUE"""),5249.0)</f>
        <v>5249</v>
      </c>
      <c r="H288" s="232">
        <f>IFERROR(__xludf.DUMMYFUNCTION("""COMPUTED_VALUE"""),46185.798958252315)</f>
        <v>46185.79896</v>
      </c>
      <c r="I288" s="84">
        <f>IFERROR(__xludf.DUMMYFUNCTION("""COMPUTED_VALUE"""),46185.72235085648)</f>
        <v>46185.72235</v>
      </c>
      <c r="J288" s="76">
        <f t="shared" si="2"/>
        <v>0.07660739584</v>
      </c>
      <c r="L288" s="76">
        <f>IFERROR(__xludf.DUMMYFUNCTION("""COMPUTED_VALUE"""),5249.0)</f>
        <v>5249</v>
      </c>
      <c r="M288" s="232">
        <f>IFERROR(__xludf.DUMMYFUNCTION("""COMPUTED_VALUE"""),46186.46527777778)</f>
        <v>46186.46528</v>
      </c>
      <c r="N288" s="84">
        <f>IFERROR(__xludf.DUMMYFUNCTION("""COMPUTED_VALUE"""),46185.72239949074)</f>
        <v>46185.7224</v>
      </c>
      <c r="O288" s="76">
        <f t="shared" si="3"/>
        <v>0.742878287</v>
      </c>
      <c r="Q288" s="76">
        <f>IFERROR(__xludf.DUMMYFUNCTION("""COMPUTED_VALUE"""),5244.0)</f>
        <v>5244</v>
      </c>
      <c r="R288" s="232">
        <f>IFERROR(__xludf.DUMMYFUNCTION("""COMPUTED_VALUE"""),46184.78402777778)</f>
        <v>46184.78403</v>
      </c>
      <c r="S288" s="84">
        <f>IFERROR(__xludf.DUMMYFUNCTION("""COMPUTED_VALUE"""),46184.50615199074)</f>
        <v>46184.50615</v>
      </c>
      <c r="T288" s="76">
        <f t="shared" si="4"/>
        <v>0.277875787</v>
      </c>
      <c r="V288" s="76">
        <f>IFERROR(__xludf.DUMMYFUNCTION("""COMPUTED_VALUE"""),5249.0)</f>
        <v>5249</v>
      </c>
      <c r="W288" s="232">
        <f>IFERROR(__xludf.DUMMYFUNCTION("""COMPUTED_VALUE"""),46188.506944444445)</f>
        <v>46188.50694</v>
      </c>
      <c r="X288" s="84">
        <f>IFERROR(__xludf.DUMMYFUNCTION("""COMPUTED_VALUE"""),46188.34738425926)</f>
        <v>46188.34738</v>
      </c>
      <c r="Y288" s="76">
        <f t="shared" si="5"/>
        <v>0.1595601852</v>
      </c>
      <c r="AK288" s="232"/>
      <c r="AL288" s="233"/>
      <c r="AM288" s="173"/>
    </row>
    <row r="289">
      <c r="A289" s="76">
        <f>IFERROR(__xludf.DUMMYFUNCTION("""COMPUTED_VALUE"""),5250.0)</f>
        <v>5250</v>
      </c>
      <c r="B289" s="232">
        <f>IFERROR(__xludf.DUMMYFUNCTION("""COMPUTED_VALUE"""),46185.7928039699)</f>
        <v>46185.7928</v>
      </c>
      <c r="C289" s="84">
        <f>IFERROR(__xludf.DUMMYFUNCTION("""COMPUTED_VALUE"""),46185.75891203704)</f>
        <v>46185.75891</v>
      </c>
      <c r="D289" s="173">
        <f t="shared" si="1"/>
        <v>0.03389193286</v>
      </c>
      <c r="G289" s="76">
        <f>IFERROR(__xludf.DUMMYFUNCTION("""COMPUTED_VALUE"""),5250.0)</f>
        <v>5250</v>
      </c>
      <c r="H289" s="232">
        <f>IFERROR(__xludf.DUMMYFUNCTION("""COMPUTED_VALUE"""),46185.79974841435)</f>
        <v>46185.79975</v>
      </c>
      <c r="I289" s="84">
        <f>IFERROR(__xludf.DUMMYFUNCTION("""COMPUTED_VALUE"""),46185.759409722225)</f>
        <v>46185.75941</v>
      </c>
      <c r="J289" s="76">
        <f t="shared" si="2"/>
        <v>0.04033869212</v>
      </c>
      <c r="L289" s="76">
        <f>IFERROR(__xludf.DUMMYFUNCTION("""COMPUTED_VALUE"""),5250.0)</f>
        <v>5250</v>
      </c>
      <c r="M289" s="232">
        <f>IFERROR(__xludf.DUMMYFUNCTION("""COMPUTED_VALUE"""),46186.46597222223)</f>
        <v>46186.46597</v>
      </c>
      <c r="N289" s="84">
        <f>IFERROR(__xludf.DUMMYFUNCTION("""COMPUTED_VALUE"""),46185.84266784722)</f>
        <v>46185.84267</v>
      </c>
      <c r="O289" s="76">
        <f t="shared" si="3"/>
        <v>0.623304375</v>
      </c>
      <c r="Q289" s="76">
        <f>IFERROR(__xludf.DUMMYFUNCTION("""COMPUTED_VALUE"""),5245.0)</f>
        <v>5245</v>
      </c>
      <c r="R289" s="232">
        <f>IFERROR(__xludf.DUMMYFUNCTION("""COMPUTED_VALUE"""),46184.785416666666)</f>
        <v>46184.78542</v>
      </c>
      <c r="S289" s="84">
        <f>IFERROR(__xludf.DUMMYFUNCTION("""COMPUTED_VALUE"""),46183.76112372685)</f>
        <v>46183.76112</v>
      </c>
      <c r="T289" s="76">
        <f t="shared" si="4"/>
        <v>1.02429294</v>
      </c>
      <c r="V289" s="76">
        <f>IFERROR(__xludf.DUMMYFUNCTION("""COMPUTED_VALUE"""),5250.0)</f>
        <v>5250</v>
      </c>
      <c r="W289" s="232">
        <f>IFERROR(__xludf.DUMMYFUNCTION("""COMPUTED_VALUE"""),46188.50763888889)</f>
        <v>46188.50764</v>
      </c>
      <c r="X289" s="84">
        <f>IFERROR(__xludf.DUMMYFUNCTION("""COMPUTED_VALUE"""),46188.50712962963)</f>
        <v>46188.50713</v>
      </c>
      <c r="Y289" s="76">
        <f t="shared" si="5"/>
        <v>0.0005092592619</v>
      </c>
      <c r="AK289" s="232"/>
      <c r="AL289" s="233"/>
      <c r="AM289" s="173"/>
    </row>
    <row r="290">
      <c r="A290" s="76">
        <f>IFERROR(__xludf.DUMMYFUNCTION("""COMPUTED_VALUE"""),5251.0)</f>
        <v>5251</v>
      </c>
      <c r="B290" s="232">
        <f>IFERROR(__xludf.DUMMYFUNCTION("""COMPUTED_VALUE"""),46186.455555555556)</f>
        <v>46186.45556</v>
      </c>
      <c r="C290" s="84">
        <f>IFERROR(__xludf.DUMMYFUNCTION("""COMPUTED_VALUE"""),46185.72224524306)</f>
        <v>46185.72225</v>
      </c>
      <c r="D290" s="173">
        <f t="shared" si="1"/>
        <v>0.7333103125</v>
      </c>
      <c r="G290" s="76">
        <f>IFERROR(__xludf.DUMMYFUNCTION("""COMPUTED_VALUE"""),5251.0)</f>
        <v>5251</v>
      </c>
      <c r="H290" s="232">
        <f>IFERROR(__xludf.DUMMYFUNCTION("""COMPUTED_VALUE"""),46186.4625)</f>
        <v>46186.4625</v>
      </c>
      <c r="I290" s="84">
        <f>IFERROR(__xludf.DUMMYFUNCTION("""COMPUTED_VALUE"""),46185.722376736114)</f>
        <v>46185.72238</v>
      </c>
      <c r="J290" s="76">
        <f t="shared" si="2"/>
        <v>0.7401232639</v>
      </c>
      <c r="L290" s="76">
        <f>IFERROR(__xludf.DUMMYFUNCTION("""COMPUTED_VALUE"""),5251.0)</f>
        <v>5251</v>
      </c>
      <c r="M290" s="232">
        <f>IFERROR(__xludf.DUMMYFUNCTION("""COMPUTED_VALUE"""),46186.566666666666)</f>
        <v>46186.56667</v>
      </c>
      <c r="N290" s="84">
        <f>IFERROR(__xludf.DUMMYFUNCTION("""COMPUTED_VALUE"""),46185.72240613426)</f>
        <v>46185.72241</v>
      </c>
      <c r="O290" s="76">
        <f t="shared" si="3"/>
        <v>0.8442605324</v>
      </c>
      <c r="Q290" s="76">
        <f>IFERROR(__xludf.DUMMYFUNCTION("""COMPUTED_VALUE"""),5246.0)</f>
        <v>5246</v>
      </c>
      <c r="R290" s="232">
        <f>IFERROR(__xludf.DUMMYFUNCTION("""COMPUTED_VALUE"""),46184.79722222222)</f>
        <v>46184.79722</v>
      </c>
      <c r="S290" s="84">
        <f>IFERROR(__xludf.DUMMYFUNCTION("""COMPUTED_VALUE"""),46183.797871574076)</f>
        <v>46183.79787</v>
      </c>
      <c r="T290" s="76">
        <f t="shared" si="4"/>
        <v>0.9993506481</v>
      </c>
      <c r="V290" s="76">
        <f>IFERROR(__xludf.DUMMYFUNCTION("""COMPUTED_VALUE"""),5251.0)</f>
        <v>5251</v>
      </c>
      <c r="W290" s="232">
        <f>IFERROR(__xludf.DUMMYFUNCTION("""COMPUTED_VALUE"""),46188.60833333333)</f>
        <v>46188.60833</v>
      </c>
      <c r="X290" s="84">
        <f>IFERROR(__xludf.DUMMYFUNCTION("""COMPUTED_VALUE"""),46188.59431971065)</f>
        <v>46188.59432</v>
      </c>
      <c r="Y290" s="76">
        <f t="shared" si="5"/>
        <v>0.01401362268</v>
      </c>
      <c r="AK290" s="232"/>
      <c r="AL290" s="233"/>
      <c r="AM290" s="173"/>
    </row>
    <row r="291">
      <c r="A291" s="76">
        <f>IFERROR(__xludf.DUMMYFUNCTION("""COMPUTED_VALUE"""),5252.0)</f>
        <v>5252</v>
      </c>
      <c r="B291" s="232">
        <f>IFERROR(__xludf.DUMMYFUNCTION("""COMPUTED_VALUE"""),46186.66893490741)</f>
        <v>46186.66893</v>
      </c>
      <c r="C291" s="84">
        <f>IFERROR(__xludf.DUMMYFUNCTION("""COMPUTED_VALUE"""),46186.51332290509)</f>
        <v>46186.51332</v>
      </c>
      <c r="D291" s="173">
        <f t="shared" si="1"/>
        <v>0.1556120023</v>
      </c>
      <c r="G291" s="76">
        <f>IFERROR(__xludf.DUMMYFUNCTION("""COMPUTED_VALUE"""),5252.0)</f>
        <v>5252</v>
      </c>
      <c r="H291" s="232">
        <f>IFERROR(__xludf.DUMMYFUNCTION("""COMPUTED_VALUE"""),46186.67587935185)</f>
        <v>46186.67588</v>
      </c>
      <c r="I291" s="84">
        <f>IFERROR(__xludf.DUMMYFUNCTION("""COMPUTED_VALUE"""),46186.51340039352)</f>
        <v>46186.5134</v>
      </c>
      <c r="J291" s="76">
        <f t="shared" si="2"/>
        <v>0.1624789583</v>
      </c>
      <c r="L291" s="76">
        <f>IFERROR(__xludf.DUMMYFUNCTION("""COMPUTED_VALUE"""),5252.0)</f>
        <v>5252</v>
      </c>
      <c r="M291" s="232">
        <f>IFERROR(__xludf.DUMMYFUNCTION("""COMPUTED_VALUE"""),46186.78004601852)</f>
        <v>46186.78005</v>
      </c>
      <c r="N291" s="84">
        <f>IFERROR(__xludf.DUMMYFUNCTION("""COMPUTED_VALUE"""),46186.51342091435)</f>
        <v>46186.51342</v>
      </c>
      <c r="O291" s="76">
        <f t="shared" si="3"/>
        <v>0.2666251042</v>
      </c>
      <c r="Q291" s="76">
        <f>IFERROR(__xludf.DUMMYFUNCTION("""COMPUTED_VALUE"""),5247.0)</f>
        <v>5247</v>
      </c>
      <c r="R291" s="232">
        <f>IFERROR(__xludf.DUMMYFUNCTION("""COMPUTED_VALUE"""),46185.44861111111)</f>
        <v>46185.44861</v>
      </c>
      <c r="S291" s="84">
        <f>IFERROR(__xludf.DUMMYFUNCTION("""COMPUTED_VALUE"""),46183.79800488426)</f>
        <v>46183.798</v>
      </c>
      <c r="T291" s="76">
        <f t="shared" si="4"/>
        <v>1.650606227</v>
      </c>
      <c r="V291" s="76">
        <f>IFERROR(__xludf.DUMMYFUNCTION("""COMPUTED_VALUE"""),5252.0)</f>
        <v>5252</v>
      </c>
      <c r="W291" s="232">
        <f>IFERROR(__xludf.DUMMYFUNCTION("""COMPUTED_VALUE"""),46188.82152777778)</f>
        <v>46188.82153</v>
      </c>
      <c r="X291" s="84">
        <f>IFERROR(__xludf.DUMMYFUNCTION("""COMPUTED_VALUE"""),46188.51497063658)</f>
        <v>46188.51497</v>
      </c>
      <c r="Y291" s="76">
        <f t="shared" si="5"/>
        <v>0.3065571412</v>
      </c>
      <c r="AK291" s="232"/>
      <c r="AL291" s="233"/>
      <c r="AM291" s="173"/>
    </row>
    <row r="292">
      <c r="A292" s="76">
        <f>IFERROR(__xludf.DUMMYFUNCTION("""COMPUTED_VALUE"""),5253.0)</f>
        <v>5253</v>
      </c>
      <c r="B292" s="232">
        <f>IFERROR(__xludf.DUMMYFUNCTION("""COMPUTED_VALUE"""),46186.72426604166)</f>
        <v>46186.72427</v>
      </c>
      <c r="C292" s="84">
        <f>IFERROR(__xludf.DUMMYFUNCTION("""COMPUTED_VALUE"""),46186.55878979167)</f>
        <v>46186.55879</v>
      </c>
      <c r="D292" s="173">
        <f t="shared" si="1"/>
        <v>0.16547625</v>
      </c>
      <c r="G292" s="76">
        <f>IFERROR(__xludf.DUMMYFUNCTION("""COMPUTED_VALUE"""),5253.0)</f>
        <v>5253</v>
      </c>
      <c r="H292" s="232">
        <f>IFERROR(__xludf.DUMMYFUNCTION("""COMPUTED_VALUE"""),46186.731210486105)</f>
        <v>46186.73121</v>
      </c>
      <c r="I292" s="84">
        <f>IFERROR(__xludf.DUMMYFUNCTION("""COMPUTED_VALUE"""),46186.60828005787)</f>
        <v>46186.60828</v>
      </c>
      <c r="J292" s="76">
        <f t="shared" si="2"/>
        <v>0.1229304282</v>
      </c>
      <c r="L292" s="76">
        <f>IFERROR(__xludf.DUMMYFUNCTION("""COMPUTED_VALUE"""),5253.0)</f>
        <v>5253</v>
      </c>
      <c r="M292" s="232">
        <f>IFERROR(__xludf.DUMMYFUNCTION("""COMPUTED_VALUE"""),46188.438888888886)</f>
        <v>46188.43889</v>
      </c>
      <c r="N292" s="84">
        <f>IFERROR(__xludf.DUMMYFUNCTION("""COMPUTED_VALUE"""),46187.50489994213)</f>
        <v>46187.5049</v>
      </c>
      <c r="O292" s="76">
        <f t="shared" si="3"/>
        <v>0.9339889468</v>
      </c>
      <c r="Q292" s="76">
        <f>IFERROR(__xludf.DUMMYFUNCTION("""COMPUTED_VALUE"""),5248.0)</f>
        <v>5248</v>
      </c>
      <c r="R292" s="232">
        <f>IFERROR(__xludf.DUMMYFUNCTION("""COMPUTED_VALUE"""),46185.48541666667)</f>
        <v>46185.48542</v>
      </c>
      <c r="S292" s="84">
        <f>IFERROR(__xludf.DUMMYFUNCTION("""COMPUTED_VALUE"""),46183.79802611111)</f>
        <v>46183.79803</v>
      </c>
      <c r="T292" s="76">
        <f t="shared" si="4"/>
        <v>1.687390556</v>
      </c>
      <c r="V292" s="76">
        <f>IFERROR(__xludf.DUMMYFUNCTION("""COMPUTED_VALUE"""),5253.0)</f>
        <v>5253</v>
      </c>
      <c r="W292" s="232">
        <f>IFERROR(__xludf.DUMMYFUNCTION("""COMPUTED_VALUE"""),46189.48055555555)</f>
        <v>46189.48056</v>
      </c>
      <c r="X292" s="84">
        <f>IFERROR(__xludf.DUMMYFUNCTION("""COMPUTED_VALUE"""),46189.43304483796)</f>
        <v>46189.43304</v>
      </c>
      <c r="Y292" s="76">
        <f t="shared" si="5"/>
        <v>0.04751071759</v>
      </c>
      <c r="AK292" s="232"/>
      <c r="AL292" s="233"/>
      <c r="AM292" s="173"/>
    </row>
    <row r="293">
      <c r="A293" s="76">
        <f>IFERROR(__xludf.DUMMYFUNCTION("""COMPUTED_VALUE"""),5254.0)</f>
        <v>5254</v>
      </c>
      <c r="B293" s="232">
        <f>IFERROR(__xludf.DUMMYFUNCTION("""COMPUTED_VALUE"""),46186.727582361105)</f>
        <v>46186.72758</v>
      </c>
      <c r="C293" s="84">
        <f>IFERROR(__xludf.DUMMYFUNCTION("""COMPUTED_VALUE"""),46186.60767596065)</f>
        <v>46186.60768</v>
      </c>
      <c r="D293" s="173">
        <f t="shared" si="1"/>
        <v>0.1199064005</v>
      </c>
      <c r="G293" s="76">
        <f>IFERROR(__xludf.DUMMYFUNCTION("""COMPUTED_VALUE"""),5254.0)</f>
        <v>5254</v>
      </c>
      <c r="H293" s="232">
        <f>IFERROR(__xludf.DUMMYFUNCTION("""COMPUTED_VALUE"""),46186.73452680555)</f>
        <v>46186.73453</v>
      </c>
      <c r="I293" s="84">
        <f>IFERROR(__xludf.DUMMYFUNCTION("""COMPUTED_VALUE"""),46186.608298287036)</f>
        <v>46186.6083</v>
      </c>
      <c r="J293" s="76">
        <f t="shared" si="2"/>
        <v>0.1262285185</v>
      </c>
      <c r="L293" s="76">
        <f>IFERROR(__xludf.DUMMYFUNCTION("""COMPUTED_VALUE"""),5254.0)</f>
        <v>5254</v>
      </c>
      <c r="M293" s="232">
        <f>IFERROR(__xludf.DUMMYFUNCTION("""COMPUTED_VALUE"""),46188.442361111105)</f>
        <v>46188.44236</v>
      </c>
      <c r="N293" s="84">
        <f>IFERROR(__xludf.DUMMYFUNCTION("""COMPUTED_VALUE"""),46187.5054093287)</f>
        <v>46187.50541</v>
      </c>
      <c r="O293" s="76">
        <f t="shared" si="3"/>
        <v>0.9369517824</v>
      </c>
      <c r="Q293" s="76">
        <f>IFERROR(__xludf.DUMMYFUNCTION("""COMPUTED_VALUE"""),5249.0)</f>
        <v>5249</v>
      </c>
      <c r="R293" s="232">
        <f>IFERROR(__xludf.DUMMYFUNCTION("""COMPUTED_VALUE"""),46188.46527777778)</f>
        <v>46188.46528</v>
      </c>
      <c r="S293" s="84">
        <f>IFERROR(__xludf.DUMMYFUNCTION("""COMPUTED_VALUE"""),46187.7840115625)</f>
        <v>46187.78401</v>
      </c>
      <c r="T293" s="76">
        <f t="shared" si="4"/>
        <v>0.6812662153</v>
      </c>
      <c r="V293" s="76">
        <f>IFERROR(__xludf.DUMMYFUNCTION("""COMPUTED_VALUE"""),5254.0)</f>
        <v>5254</v>
      </c>
      <c r="W293" s="232">
        <f>IFERROR(__xludf.DUMMYFUNCTION("""COMPUTED_VALUE"""),46189.48402777777)</f>
        <v>46189.48403</v>
      </c>
      <c r="X293" s="84">
        <f>IFERROR(__xludf.DUMMYFUNCTION("""COMPUTED_VALUE"""),46189.433063923614)</f>
        <v>46189.43306</v>
      </c>
      <c r="Y293" s="76">
        <f t="shared" si="5"/>
        <v>0.05096385416</v>
      </c>
      <c r="AK293" s="232"/>
      <c r="AL293" s="233"/>
      <c r="AM293" s="173"/>
    </row>
    <row r="294">
      <c r="A294" s="76">
        <f>IFERROR(__xludf.DUMMYFUNCTION("""COMPUTED_VALUE"""),5255.0)</f>
        <v>5255</v>
      </c>
      <c r="B294" s="232">
        <f>IFERROR(__xludf.DUMMYFUNCTION("""COMPUTED_VALUE"""),46186.72988348379)</f>
        <v>46186.72988</v>
      </c>
      <c r="C294" s="84">
        <f>IFERROR(__xludf.DUMMYFUNCTION("""COMPUTED_VALUE"""),46186.607712627316)</f>
        <v>46186.60771</v>
      </c>
      <c r="D294" s="173">
        <f t="shared" si="1"/>
        <v>0.1221708565</v>
      </c>
      <c r="G294" s="76">
        <f>IFERROR(__xludf.DUMMYFUNCTION("""COMPUTED_VALUE"""),5255.0)</f>
        <v>5255</v>
      </c>
      <c r="H294" s="232">
        <f>IFERROR(__xludf.DUMMYFUNCTION("""COMPUTED_VALUE"""),46186.73682792824)</f>
        <v>46186.73683</v>
      </c>
      <c r="I294" s="84">
        <f>IFERROR(__xludf.DUMMYFUNCTION("""COMPUTED_VALUE"""),46186.608315578706)</f>
        <v>46186.60832</v>
      </c>
      <c r="J294" s="76">
        <f t="shared" si="2"/>
        <v>0.1285123495</v>
      </c>
      <c r="L294" s="76">
        <f>IFERROR(__xludf.DUMMYFUNCTION("""COMPUTED_VALUE"""),5255.0)</f>
        <v>5255</v>
      </c>
      <c r="M294" s="232">
        <f>IFERROR(__xludf.DUMMYFUNCTION("""COMPUTED_VALUE"""),46188.445138888885)</f>
        <v>46188.44514</v>
      </c>
      <c r="N294" s="84">
        <f>IFERROR(__xludf.DUMMYFUNCTION("""COMPUTED_VALUE"""),46187.50526864584)</f>
        <v>46187.50527</v>
      </c>
      <c r="O294" s="76">
        <f t="shared" si="3"/>
        <v>0.939870243</v>
      </c>
      <c r="Q294" s="76">
        <f>IFERROR(__xludf.DUMMYFUNCTION("""COMPUTED_VALUE"""),5250.0)</f>
        <v>5250</v>
      </c>
      <c r="R294" s="232">
        <f>IFERROR(__xludf.DUMMYFUNCTION("""COMPUTED_VALUE"""),46188.46597222223)</f>
        <v>46188.46597</v>
      </c>
      <c r="S294" s="84">
        <f>IFERROR(__xludf.DUMMYFUNCTION("""COMPUTED_VALUE"""),46187.784033159725)</f>
        <v>46187.78403</v>
      </c>
      <c r="T294" s="76">
        <f t="shared" si="4"/>
        <v>0.6819390625</v>
      </c>
      <c r="V294" s="76">
        <f>IFERROR(__xludf.DUMMYFUNCTION("""COMPUTED_VALUE"""),5255.0)</f>
        <v>5255</v>
      </c>
      <c r="W294" s="232">
        <f>IFERROR(__xludf.DUMMYFUNCTION("""COMPUTED_VALUE"""),46189.48680555555)</f>
        <v>46189.48681</v>
      </c>
      <c r="X294" s="84">
        <f>IFERROR(__xludf.DUMMYFUNCTION("""COMPUTED_VALUE"""),46189.433083993055)</f>
        <v>46189.43308</v>
      </c>
      <c r="Y294" s="76">
        <f t="shared" si="5"/>
        <v>0.05372156249</v>
      </c>
      <c r="AK294" s="232"/>
      <c r="AL294" s="233"/>
      <c r="AM294" s="173"/>
    </row>
    <row r="295">
      <c r="A295" s="76">
        <f>IFERROR(__xludf.DUMMYFUNCTION("""COMPUTED_VALUE"""),5256.0)</f>
        <v>5256</v>
      </c>
      <c r="B295" s="232">
        <f>IFERROR(__xludf.DUMMYFUNCTION("""COMPUTED_VALUE"""),46186.73301766204)</f>
        <v>46186.73302</v>
      </c>
      <c r="C295" s="84">
        <f>IFERROR(__xludf.DUMMYFUNCTION("""COMPUTED_VALUE"""),46186.607726284725)</f>
        <v>46186.60773</v>
      </c>
      <c r="D295" s="173">
        <f t="shared" si="1"/>
        <v>0.1252913773</v>
      </c>
      <c r="G295" s="76">
        <f>IFERROR(__xludf.DUMMYFUNCTION("""COMPUTED_VALUE"""),5256.0)</f>
        <v>5256</v>
      </c>
      <c r="H295" s="232">
        <f>IFERROR(__xludf.DUMMYFUNCTION("""COMPUTED_VALUE"""),46186.73996210648)</f>
        <v>46186.73996</v>
      </c>
      <c r="I295" s="84">
        <f>IFERROR(__xludf.DUMMYFUNCTION("""COMPUTED_VALUE"""),46186.60833673611)</f>
        <v>46186.60834</v>
      </c>
      <c r="J295" s="76">
        <f t="shared" si="2"/>
        <v>0.1316253704</v>
      </c>
      <c r="L295" s="76">
        <f>IFERROR(__xludf.DUMMYFUNCTION("""COMPUTED_VALUE"""),5256.0)</f>
        <v>5256</v>
      </c>
      <c r="M295" s="232">
        <f>IFERROR(__xludf.DUMMYFUNCTION("""COMPUTED_VALUE"""),46188.447916666664)</f>
        <v>46188.44792</v>
      </c>
      <c r="N295" s="84">
        <f>IFERROR(__xludf.DUMMYFUNCTION("""COMPUTED_VALUE"""),46187.50528875)</f>
        <v>46187.50529</v>
      </c>
      <c r="O295" s="76">
        <f t="shared" si="3"/>
        <v>0.9426279167</v>
      </c>
      <c r="Q295" s="76">
        <f>IFERROR(__xludf.DUMMYFUNCTION("""COMPUTED_VALUE"""),5251.0)</f>
        <v>5251</v>
      </c>
      <c r="R295" s="232">
        <f>IFERROR(__xludf.DUMMYFUNCTION("""COMPUTED_VALUE"""),46188.566666666666)</f>
        <v>46188.56667</v>
      </c>
      <c r="S295" s="84">
        <f>IFERROR(__xludf.DUMMYFUNCTION("""COMPUTED_VALUE"""),46188.51474549768)</f>
        <v>46188.51475</v>
      </c>
      <c r="T295" s="76">
        <f t="shared" si="4"/>
        <v>0.05192116898</v>
      </c>
      <c r="V295" s="76">
        <f>IFERROR(__xludf.DUMMYFUNCTION("""COMPUTED_VALUE"""),5256.0)</f>
        <v>5256</v>
      </c>
      <c r="W295" s="232">
        <f>IFERROR(__xludf.DUMMYFUNCTION("""COMPUTED_VALUE"""),46189.48958333333)</f>
        <v>46189.48958</v>
      </c>
      <c r="X295" s="84">
        <f>IFERROR(__xludf.DUMMYFUNCTION("""COMPUTED_VALUE"""),46189.43310913195)</f>
        <v>46189.43311</v>
      </c>
      <c r="Y295" s="76">
        <f t="shared" si="5"/>
        <v>0.05647420138</v>
      </c>
      <c r="AK295" s="232"/>
      <c r="AL295" s="233"/>
      <c r="AM295" s="173"/>
    </row>
    <row r="296">
      <c r="A296" s="76">
        <f>IFERROR(__xludf.DUMMYFUNCTION("""COMPUTED_VALUE"""),5257.0)</f>
        <v>5257</v>
      </c>
      <c r="B296" s="232">
        <f>IFERROR(__xludf.DUMMYFUNCTION("""COMPUTED_VALUE"""),46186.7370102662)</f>
        <v>46186.73701</v>
      </c>
      <c r="C296" s="84">
        <f>IFERROR(__xludf.DUMMYFUNCTION("""COMPUTED_VALUE"""),46186.60775069444)</f>
        <v>46186.60775</v>
      </c>
      <c r="D296" s="173">
        <f t="shared" si="1"/>
        <v>0.1292595718</v>
      </c>
      <c r="G296" s="76">
        <f>IFERROR(__xludf.DUMMYFUNCTION("""COMPUTED_VALUE"""),5257.0)</f>
        <v>5257</v>
      </c>
      <c r="H296" s="232">
        <f>IFERROR(__xludf.DUMMYFUNCTION("""COMPUTED_VALUE"""),46186.74395471065)</f>
        <v>46186.74395</v>
      </c>
      <c r="I296" s="84">
        <f>IFERROR(__xludf.DUMMYFUNCTION("""COMPUTED_VALUE"""),46186.60836111111)</f>
        <v>46186.60836</v>
      </c>
      <c r="J296" s="76">
        <f t="shared" si="2"/>
        <v>0.1355935995</v>
      </c>
      <c r="L296" s="76">
        <f>IFERROR(__xludf.DUMMYFUNCTION("""COMPUTED_VALUE"""),5257.0)</f>
        <v>5257</v>
      </c>
      <c r="M296" s="232">
        <f>IFERROR(__xludf.DUMMYFUNCTION("""COMPUTED_VALUE"""),46188.45208333333)</f>
        <v>46188.45208</v>
      </c>
      <c r="N296" s="84">
        <f>IFERROR(__xludf.DUMMYFUNCTION("""COMPUTED_VALUE"""),46187.50531180555)</f>
        <v>46187.50531</v>
      </c>
      <c r="O296" s="76">
        <f t="shared" si="3"/>
        <v>0.9467715278</v>
      </c>
      <c r="Q296" s="76">
        <f>IFERROR(__xludf.DUMMYFUNCTION("""COMPUTED_VALUE"""),5252.0)</f>
        <v>5252</v>
      </c>
      <c r="R296" s="232">
        <f>IFERROR(__xludf.DUMMYFUNCTION("""COMPUTED_VALUE"""),46188.779861111114)</f>
        <v>46188.77986</v>
      </c>
      <c r="S296" s="84">
        <f>IFERROR(__xludf.DUMMYFUNCTION("""COMPUTED_VALUE"""),46188.51488636574)</f>
        <v>46188.51489</v>
      </c>
      <c r="T296" s="76">
        <f t="shared" si="4"/>
        <v>0.2649747454</v>
      </c>
      <c r="V296" s="76">
        <f>IFERROR(__xludf.DUMMYFUNCTION("""COMPUTED_VALUE"""),5257.0)</f>
        <v>5257</v>
      </c>
      <c r="W296" s="232">
        <f>IFERROR(__xludf.DUMMYFUNCTION("""COMPUTED_VALUE"""),46189.493749999994)</f>
        <v>46189.49375</v>
      </c>
      <c r="X296" s="84">
        <f>IFERROR(__xludf.DUMMYFUNCTION("""COMPUTED_VALUE"""),46189.433125763884)</f>
        <v>46189.43313</v>
      </c>
      <c r="Y296" s="76">
        <f t="shared" si="5"/>
        <v>0.06062423611</v>
      </c>
      <c r="AK296" s="232"/>
      <c r="AL296" s="233"/>
      <c r="AM296" s="173"/>
    </row>
    <row r="297">
      <c r="A297" s="76">
        <f>IFERROR(__xludf.DUMMYFUNCTION("""COMPUTED_VALUE"""),5258.0)</f>
        <v>5258</v>
      </c>
      <c r="B297" s="232">
        <f>IFERROR(__xludf.DUMMYFUNCTION("""COMPUTED_VALUE"""),46186.740306064814)</f>
        <v>46186.74031</v>
      </c>
      <c r="C297" s="84">
        <f>IFERROR(__xludf.DUMMYFUNCTION("""COMPUTED_VALUE"""),46186.607779618054)</f>
        <v>46186.60778</v>
      </c>
      <c r="D297" s="173">
        <f t="shared" si="1"/>
        <v>0.1325264468</v>
      </c>
      <c r="G297" s="76">
        <f>IFERROR(__xludf.DUMMYFUNCTION("""COMPUTED_VALUE"""),5258.0)</f>
        <v>5258</v>
      </c>
      <c r="H297" s="232">
        <f>IFERROR(__xludf.DUMMYFUNCTION("""COMPUTED_VALUE"""),46186.74725050926)</f>
        <v>46186.74725</v>
      </c>
      <c r="I297" s="84">
        <f>IFERROR(__xludf.DUMMYFUNCTION("""COMPUTED_VALUE"""),46186.60839460648)</f>
        <v>46186.60839</v>
      </c>
      <c r="J297" s="76">
        <f t="shared" si="2"/>
        <v>0.1388559028</v>
      </c>
      <c r="L297" s="76">
        <f>IFERROR(__xludf.DUMMYFUNCTION("""COMPUTED_VALUE"""),5258.0)</f>
        <v>5258</v>
      </c>
      <c r="M297" s="232">
        <f>IFERROR(__xludf.DUMMYFUNCTION("""COMPUTED_VALUE"""),46188.455555555556)</f>
        <v>46188.45556</v>
      </c>
      <c r="N297" s="84">
        <f>IFERROR(__xludf.DUMMYFUNCTION("""COMPUTED_VALUE"""),46187.50533554398)</f>
        <v>46187.50534</v>
      </c>
      <c r="O297" s="76">
        <f t="shared" si="3"/>
        <v>0.9502200116</v>
      </c>
      <c r="Q297" s="76">
        <f>IFERROR(__xludf.DUMMYFUNCTION("""COMPUTED_VALUE"""),5253.0)</f>
        <v>5253</v>
      </c>
      <c r="R297" s="232">
        <f>IFERROR(__xludf.DUMMYFUNCTION("""COMPUTED_VALUE"""),46189.438888888886)</f>
        <v>46189.43889</v>
      </c>
      <c r="S297" s="84">
        <f>IFERROR(__xludf.DUMMYFUNCTION("""COMPUTED_VALUE"""),46188.51501653936)</f>
        <v>46188.51502</v>
      </c>
      <c r="T297" s="76">
        <f t="shared" si="4"/>
        <v>0.9238723495</v>
      </c>
      <c r="V297" s="76">
        <f>IFERROR(__xludf.DUMMYFUNCTION("""COMPUTED_VALUE"""),5258.0)</f>
        <v>5258</v>
      </c>
      <c r="W297" s="232">
        <f>IFERROR(__xludf.DUMMYFUNCTION("""COMPUTED_VALUE"""),46189.49722222222)</f>
        <v>46189.49722</v>
      </c>
      <c r="X297" s="84">
        <f>IFERROR(__xludf.DUMMYFUNCTION("""COMPUTED_VALUE"""),46189.43314613426)</f>
        <v>46189.43315</v>
      </c>
      <c r="Y297" s="76">
        <f t="shared" si="5"/>
        <v>0.06407608796</v>
      </c>
      <c r="AK297" s="232"/>
      <c r="AL297" s="233"/>
      <c r="AM297" s="173"/>
    </row>
    <row r="298">
      <c r="A298" s="76">
        <f>IFERROR(__xludf.DUMMYFUNCTION("""COMPUTED_VALUE"""),5259.0)</f>
        <v>5259</v>
      </c>
      <c r="B298" s="232">
        <f>IFERROR(__xludf.DUMMYFUNCTION("""COMPUTED_VALUE"""),46186.74329747685)</f>
        <v>46186.7433</v>
      </c>
      <c r="C298" s="84">
        <f>IFERROR(__xludf.DUMMYFUNCTION("""COMPUTED_VALUE"""),46186.60779923611)</f>
        <v>46186.6078</v>
      </c>
      <c r="D298" s="173">
        <f t="shared" si="1"/>
        <v>0.1354982407</v>
      </c>
      <c r="G298" s="76">
        <f>IFERROR(__xludf.DUMMYFUNCTION("""COMPUTED_VALUE"""),5259.0)</f>
        <v>5259</v>
      </c>
      <c r="H298" s="232">
        <f>IFERROR(__xludf.DUMMYFUNCTION("""COMPUTED_VALUE"""),46186.7502419213)</f>
        <v>46186.75024</v>
      </c>
      <c r="I298" s="84">
        <f>IFERROR(__xludf.DUMMYFUNCTION("""COMPUTED_VALUE"""),46186.60841892361)</f>
        <v>46186.60842</v>
      </c>
      <c r="J298" s="76">
        <f t="shared" si="2"/>
        <v>0.1418229977</v>
      </c>
      <c r="L298" s="76">
        <f>IFERROR(__xludf.DUMMYFUNCTION("""COMPUTED_VALUE"""),5259.0)</f>
        <v>5259</v>
      </c>
      <c r="M298" s="232">
        <f>IFERROR(__xludf.DUMMYFUNCTION("""COMPUTED_VALUE"""),46188.416666666664)</f>
        <v>46188.41667</v>
      </c>
      <c r="N298" s="84">
        <f>IFERROR(__xludf.DUMMYFUNCTION("""COMPUTED_VALUE"""),46187.50536618056)</f>
        <v>46187.50537</v>
      </c>
      <c r="O298" s="76">
        <f t="shared" si="3"/>
        <v>0.9113004861</v>
      </c>
      <c r="Q298" s="76">
        <f>IFERROR(__xludf.DUMMYFUNCTION("""COMPUTED_VALUE"""),5254.0)</f>
        <v>5254</v>
      </c>
      <c r="R298" s="232">
        <f>IFERROR(__xludf.DUMMYFUNCTION("""COMPUTED_VALUE"""),46189.442361111105)</f>
        <v>46189.44236</v>
      </c>
      <c r="S298" s="84">
        <f>IFERROR(__xludf.DUMMYFUNCTION("""COMPUTED_VALUE"""),46188.51503090278)</f>
        <v>46188.51503</v>
      </c>
      <c r="T298" s="76">
        <f t="shared" si="4"/>
        <v>0.9273302083</v>
      </c>
      <c r="V298" s="76">
        <f>IFERROR(__xludf.DUMMYFUNCTION("""COMPUTED_VALUE"""),5259.0)</f>
        <v>5259</v>
      </c>
      <c r="W298" s="232">
        <f>IFERROR(__xludf.DUMMYFUNCTION("""COMPUTED_VALUE"""),46189.45833333333)</f>
        <v>46189.45833</v>
      </c>
      <c r="X298" s="84">
        <f>IFERROR(__xludf.DUMMYFUNCTION("""COMPUTED_VALUE"""),46189.433166944444)</f>
        <v>46189.43317</v>
      </c>
      <c r="Y298" s="76">
        <f t="shared" si="5"/>
        <v>0.02516638888</v>
      </c>
      <c r="AK298" s="232"/>
      <c r="AL298" s="233"/>
      <c r="AM298" s="173"/>
    </row>
    <row r="299">
      <c r="A299" s="76">
        <f>IFERROR(__xludf.DUMMYFUNCTION("""COMPUTED_VALUE"""),5260.0)</f>
        <v>5260</v>
      </c>
      <c r="B299" s="232">
        <f>IFERROR(__xludf.DUMMYFUNCTION("""COMPUTED_VALUE"""),46188.55962822916)</f>
        <v>46188.55963</v>
      </c>
      <c r="C299" s="84">
        <f>IFERROR(__xludf.DUMMYFUNCTION("""COMPUTED_VALUE"""),46188.46219983796)</f>
        <v>46188.4622</v>
      </c>
      <c r="D299" s="173">
        <f t="shared" si="1"/>
        <v>0.0974283912</v>
      </c>
      <c r="G299" s="76">
        <f>IFERROR(__xludf.DUMMYFUNCTION("""COMPUTED_VALUE"""),5260.0)</f>
        <v>5260</v>
      </c>
      <c r="H299" s="232">
        <f>IFERROR(__xludf.DUMMYFUNCTION("""COMPUTED_VALUE"""),46188.566572673604)</f>
        <v>46188.56657</v>
      </c>
      <c r="I299" s="84">
        <f>IFERROR(__xludf.DUMMYFUNCTION("""COMPUTED_VALUE"""),46188.46240071759)</f>
        <v>46188.4624</v>
      </c>
      <c r="J299" s="76">
        <f t="shared" si="2"/>
        <v>0.104171956</v>
      </c>
      <c r="L299" s="76">
        <f>IFERROR(__xludf.DUMMYFUNCTION("""COMPUTED_VALUE"""),5260.0)</f>
        <v>5260</v>
      </c>
      <c r="M299" s="232">
        <f>IFERROR(__xludf.DUMMYFUNCTION("""COMPUTED_VALUE"""),46188.67073934027)</f>
        <v>46188.67074</v>
      </c>
      <c r="N299" s="84">
        <f>IFERROR(__xludf.DUMMYFUNCTION("""COMPUTED_VALUE"""),46188.462528715274)</f>
        <v>46188.46253</v>
      </c>
      <c r="O299" s="76">
        <f t="shared" si="3"/>
        <v>0.208210625</v>
      </c>
      <c r="Q299" s="76">
        <f>IFERROR(__xludf.DUMMYFUNCTION("""COMPUTED_VALUE"""),5255.0)</f>
        <v>5255</v>
      </c>
      <c r="R299" s="232">
        <f>IFERROR(__xludf.DUMMYFUNCTION("""COMPUTED_VALUE"""),46189.445138888885)</f>
        <v>46189.44514</v>
      </c>
      <c r="S299" s="84">
        <f>IFERROR(__xludf.DUMMYFUNCTION("""COMPUTED_VALUE"""),46188.517017175924)</f>
        <v>46188.51702</v>
      </c>
      <c r="T299" s="76">
        <f t="shared" si="4"/>
        <v>0.928121713</v>
      </c>
      <c r="V299" s="76">
        <f>IFERROR(__xludf.DUMMYFUNCTION("""COMPUTED_VALUE"""),5260.0)</f>
        <v>5260</v>
      </c>
      <c r="W299" s="232">
        <f>IFERROR(__xludf.DUMMYFUNCTION("""COMPUTED_VALUE"""),46189.71180555555)</f>
        <v>46189.71181</v>
      </c>
      <c r="X299" s="84">
        <f>IFERROR(__xludf.DUMMYFUNCTION("""COMPUTED_VALUE"""),46188.516892037034)</f>
        <v>46188.51689</v>
      </c>
      <c r="Y299" s="76">
        <f t="shared" si="5"/>
        <v>1.194913519</v>
      </c>
      <c r="AK299" s="232"/>
      <c r="AL299" s="233"/>
      <c r="AM299" s="173"/>
    </row>
    <row r="300">
      <c r="A300" s="76">
        <f>IFERROR(__xludf.DUMMYFUNCTION("""COMPUTED_VALUE"""),5261.0)</f>
        <v>5261</v>
      </c>
      <c r="B300" s="232">
        <f>IFERROR(__xludf.DUMMYFUNCTION("""COMPUTED_VALUE"""),46188.62541729166)</f>
        <v>46188.62542</v>
      </c>
      <c r="C300" s="84">
        <f>IFERROR(__xludf.DUMMYFUNCTION("""COMPUTED_VALUE"""),46188.46222649305)</f>
        <v>46188.46223</v>
      </c>
      <c r="D300" s="173">
        <f t="shared" si="1"/>
        <v>0.1631907986</v>
      </c>
      <c r="G300" s="76">
        <f>IFERROR(__xludf.DUMMYFUNCTION("""COMPUTED_VALUE"""),5261.0)</f>
        <v>5261</v>
      </c>
      <c r="H300" s="232">
        <f>IFERROR(__xludf.DUMMYFUNCTION("""COMPUTED_VALUE"""),46188.632361736105)</f>
        <v>46188.63236</v>
      </c>
      <c r="I300" s="84">
        <f>IFERROR(__xludf.DUMMYFUNCTION("""COMPUTED_VALUE"""),46188.46239778935)</f>
        <v>46188.4624</v>
      </c>
      <c r="J300" s="76">
        <f t="shared" si="2"/>
        <v>0.1699639468</v>
      </c>
      <c r="L300" s="76">
        <f>IFERROR(__xludf.DUMMYFUNCTION("""COMPUTED_VALUE"""),5261.0)</f>
        <v>5261</v>
      </c>
      <c r="M300" s="232">
        <f>IFERROR(__xludf.DUMMYFUNCTION("""COMPUTED_VALUE"""),46188.73652840277)</f>
        <v>46188.73653</v>
      </c>
      <c r="N300" s="84">
        <f>IFERROR(__xludf.DUMMYFUNCTION("""COMPUTED_VALUE"""),46188.462528715274)</f>
        <v>46188.46253</v>
      </c>
      <c r="O300" s="76">
        <f t="shared" si="3"/>
        <v>0.2739996875</v>
      </c>
      <c r="Q300" s="76">
        <f>IFERROR(__xludf.DUMMYFUNCTION("""COMPUTED_VALUE"""),5256.0)</f>
        <v>5256</v>
      </c>
      <c r="R300" s="232">
        <f>IFERROR(__xludf.DUMMYFUNCTION("""COMPUTED_VALUE"""),46189.447916666664)</f>
        <v>46189.44792</v>
      </c>
      <c r="S300" s="84">
        <f>IFERROR(__xludf.DUMMYFUNCTION("""COMPUTED_VALUE"""),46188.51703650463)</f>
        <v>46188.51704</v>
      </c>
      <c r="T300" s="76">
        <f t="shared" si="4"/>
        <v>0.930880162</v>
      </c>
      <c r="V300" s="76">
        <f>IFERROR(__xludf.DUMMYFUNCTION("""COMPUTED_VALUE"""),5261.0)</f>
        <v>5261</v>
      </c>
      <c r="W300" s="232">
        <f>IFERROR(__xludf.DUMMYFUNCTION("""COMPUTED_VALUE"""),46189.77777777778)</f>
        <v>46189.77778</v>
      </c>
      <c r="X300" s="84">
        <f>IFERROR(__xludf.DUMMYFUNCTION("""COMPUTED_VALUE"""),46188.516916782406)</f>
        <v>46188.51692</v>
      </c>
      <c r="Y300" s="76">
        <f t="shared" si="5"/>
        <v>1.260860995</v>
      </c>
      <c r="AK300" s="232"/>
      <c r="AL300" s="233"/>
      <c r="AM300" s="173"/>
    </row>
    <row r="301">
      <c r="A301" s="76">
        <f>IFERROR(__xludf.DUMMYFUNCTION("""COMPUTED_VALUE"""),5262.0)</f>
        <v>5262</v>
      </c>
      <c r="B301" s="232">
        <f>IFERROR(__xludf.DUMMYFUNCTION("""COMPUTED_VALUE"""),46189.623024629625)</f>
        <v>46189.62302</v>
      </c>
      <c r="C301" s="84">
        <f>IFERROR(__xludf.DUMMYFUNCTION("""COMPUTED_VALUE"""),46189.48472337963)</f>
        <v>46189.48472</v>
      </c>
      <c r="D301" s="173">
        <f t="shared" si="1"/>
        <v>0.13830125</v>
      </c>
      <c r="G301" s="76">
        <f>IFERROR(__xludf.DUMMYFUNCTION("""COMPUTED_VALUE"""),5262.0)</f>
        <v>5262</v>
      </c>
      <c r="H301" s="232">
        <f>IFERROR(__xludf.DUMMYFUNCTION("""COMPUTED_VALUE"""),46189.62996907407)</f>
        <v>46189.62997</v>
      </c>
      <c r="I301" s="84">
        <f>IFERROR(__xludf.DUMMYFUNCTION("""COMPUTED_VALUE"""),46189.48855148148)</f>
        <v>46189.48855</v>
      </c>
      <c r="J301" s="76">
        <f t="shared" si="2"/>
        <v>0.1414175926</v>
      </c>
      <c r="L301" s="76">
        <f>IFERROR(__xludf.DUMMYFUNCTION("""COMPUTED_VALUE"""),5262.0)</f>
        <v>5262</v>
      </c>
      <c r="M301" s="232">
        <f>IFERROR(__xludf.DUMMYFUNCTION("""COMPUTED_VALUE"""),46189.734135740735)</f>
        <v>46189.73414</v>
      </c>
      <c r="N301" s="84">
        <f>IFERROR(__xludf.DUMMYFUNCTION("""COMPUTED_VALUE"""),46189.5259571412)</f>
        <v>46189.52596</v>
      </c>
      <c r="O301" s="76">
        <f t="shared" si="3"/>
        <v>0.2081785995</v>
      </c>
      <c r="Q301" s="76">
        <f>IFERROR(__xludf.DUMMYFUNCTION("""COMPUTED_VALUE"""),5257.0)</f>
        <v>5257</v>
      </c>
      <c r="R301" s="232">
        <f>IFERROR(__xludf.DUMMYFUNCTION("""COMPUTED_VALUE"""),46189.45208333333)</f>
        <v>46189.45208</v>
      </c>
      <c r="S301" s="84">
        <f>IFERROR(__xludf.DUMMYFUNCTION("""COMPUTED_VALUE"""),46188.51717516204)</f>
        <v>46188.51718</v>
      </c>
      <c r="T301" s="76">
        <f t="shared" si="4"/>
        <v>0.9349081713</v>
      </c>
      <c r="V301" s="76">
        <f>IFERROR(__xludf.DUMMYFUNCTION("""COMPUTED_VALUE"""),5262.0)</f>
        <v>5262</v>
      </c>
      <c r="W301" s="232">
        <f>IFERROR(__xludf.DUMMYFUNCTION("""COMPUTED_VALUE"""),46190.77569444444)</f>
        <v>46190.77569</v>
      </c>
      <c r="X301" s="84">
        <f>IFERROR(__xludf.DUMMYFUNCTION("""COMPUTED_VALUE"""),46190.54088706018)</f>
        <v>46190.54089</v>
      </c>
      <c r="Y301" s="76">
        <f t="shared" si="5"/>
        <v>0.2348073843</v>
      </c>
      <c r="AK301" s="232"/>
      <c r="AL301" s="233"/>
      <c r="AM301" s="173"/>
    </row>
    <row r="302">
      <c r="A302" s="76">
        <f>IFERROR(__xludf.DUMMYFUNCTION("""COMPUTED_VALUE"""),5263.0)</f>
        <v>5263</v>
      </c>
      <c r="B302" s="232">
        <f>IFERROR(__xludf.DUMMYFUNCTION("""COMPUTED_VALUE"""),46189.623809675926)</f>
        <v>46189.62381</v>
      </c>
      <c r="C302" s="84">
        <f>IFERROR(__xludf.DUMMYFUNCTION("""COMPUTED_VALUE"""),46189.484747939816)</f>
        <v>46189.48475</v>
      </c>
      <c r="D302" s="173">
        <f t="shared" si="1"/>
        <v>0.1390617361</v>
      </c>
      <c r="G302" s="76">
        <f>IFERROR(__xludf.DUMMYFUNCTION("""COMPUTED_VALUE"""),5263.0)</f>
        <v>5263</v>
      </c>
      <c r="H302" s="232">
        <f>IFERROR(__xludf.DUMMYFUNCTION("""COMPUTED_VALUE"""),46189.63075412037)</f>
        <v>46189.63075</v>
      </c>
      <c r="I302" s="84">
        <f>IFERROR(__xludf.DUMMYFUNCTION("""COMPUTED_VALUE"""),46189.48856857639)</f>
        <v>46189.48857</v>
      </c>
      <c r="J302" s="76">
        <f t="shared" si="2"/>
        <v>0.142185544</v>
      </c>
      <c r="L302" s="76">
        <f>IFERROR(__xludf.DUMMYFUNCTION("""COMPUTED_VALUE"""),5263.0)</f>
        <v>5263</v>
      </c>
      <c r="M302" s="232">
        <f>IFERROR(__xludf.DUMMYFUNCTION("""COMPUTED_VALUE"""),46189.734920787036)</f>
        <v>46189.73492</v>
      </c>
      <c r="N302" s="84">
        <f>IFERROR(__xludf.DUMMYFUNCTION("""COMPUTED_VALUE"""),46189.525982638894)</f>
        <v>46189.52598</v>
      </c>
      <c r="O302" s="76">
        <f t="shared" si="3"/>
        <v>0.2089381481</v>
      </c>
      <c r="Q302" s="76">
        <f>IFERROR(__xludf.DUMMYFUNCTION("""COMPUTED_VALUE"""),5258.0)</f>
        <v>5258</v>
      </c>
      <c r="R302" s="232">
        <f>IFERROR(__xludf.DUMMYFUNCTION("""COMPUTED_VALUE"""),46189.455555555556)</f>
        <v>46189.45556</v>
      </c>
      <c r="S302" s="84">
        <f>IFERROR(__xludf.DUMMYFUNCTION("""COMPUTED_VALUE"""),46188.51706197917)</f>
        <v>46188.51706</v>
      </c>
      <c r="T302" s="76">
        <f t="shared" si="4"/>
        <v>0.9384935764</v>
      </c>
      <c r="V302" s="76">
        <f>IFERROR(__xludf.DUMMYFUNCTION("""COMPUTED_VALUE"""),5263.0)</f>
        <v>5263</v>
      </c>
      <c r="W302" s="232">
        <f>IFERROR(__xludf.DUMMYFUNCTION("""COMPUTED_VALUE"""),46190.77638888889)</f>
        <v>46190.77639</v>
      </c>
      <c r="X302" s="84">
        <f>IFERROR(__xludf.DUMMYFUNCTION("""COMPUTED_VALUE"""),46190.54091016203)</f>
        <v>46190.54091</v>
      </c>
      <c r="Y302" s="76">
        <f t="shared" si="5"/>
        <v>0.2354787269</v>
      </c>
      <c r="AK302" s="232"/>
      <c r="AL302" s="233"/>
      <c r="AM302" s="173"/>
    </row>
    <row r="303">
      <c r="A303" s="76">
        <f>IFERROR(__xludf.DUMMYFUNCTION("""COMPUTED_VALUE"""),5264.0)</f>
        <v>5264</v>
      </c>
      <c r="B303" s="232">
        <f>IFERROR(__xludf.DUMMYFUNCTION("""COMPUTED_VALUE"""),46189.62571667824)</f>
        <v>46189.62572</v>
      </c>
      <c r="C303" s="84">
        <f>IFERROR(__xludf.DUMMYFUNCTION("""COMPUTED_VALUE"""),46189.48483611111)</f>
        <v>46189.48484</v>
      </c>
      <c r="D303" s="173">
        <f t="shared" si="1"/>
        <v>0.1408805671</v>
      </c>
      <c r="G303" s="76">
        <f>IFERROR(__xludf.DUMMYFUNCTION("""COMPUTED_VALUE"""),5264.0)</f>
        <v>5264</v>
      </c>
      <c r="H303" s="232">
        <f>IFERROR(__xludf.DUMMYFUNCTION("""COMPUTED_VALUE"""),46189.63266112268)</f>
        <v>46189.63266</v>
      </c>
      <c r="I303" s="84">
        <f>IFERROR(__xludf.DUMMYFUNCTION("""COMPUTED_VALUE"""),46189.48858734954)</f>
        <v>46189.48859</v>
      </c>
      <c r="J303" s="76">
        <f t="shared" si="2"/>
        <v>0.1440737731</v>
      </c>
      <c r="L303" s="76">
        <f>IFERROR(__xludf.DUMMYFUNCTION("""COMPUTED_VALUE"""),5264.0)</f>
        <v>5264</v>
      </c>
      <c r="M303" s="232">
        <f>IFERROR(__xludf.DUMMYFUNCTION("""COMPUTED_VALUE"""),46189.73682778935)</f>
        <v>46189.73683</v>
      </c>
      <c r="N303" s="84">
        <f>IFERROR(__xludf.DUMMYFUNCTION("""COMPUTED_VALUE"""),46189.525992083334)</f>
        <v>46189.52599</v>
      </c>
      <c r="O303" s="76">
        <f t="shared" si="3"/>
        <v>0.210835706</v>
      </c>
      <c r="Q303" s="76">
        <f>IFERROR(__xludf.DUMMYFUNCTION("""COMPUTED_VALUE"""),5259.0)</f>
        <v>5259</v>
      </c>
      <c r="R303" s="232">
        <f>IFERROR(__xludf.DUMMYFUNCTION("""COMPUTED_VALUE"""),46189.416666666664)</f>
        <v>46189.41667</v>
      </c>
      <c r="S303" s="84">
        <f>IFERROR(__xludf.DUMMYFUNCTION("""COMPUTED_VALUE"""),46188.51707869213)</f>
        <v>46188.51708</v>
      </c>
      <c r="T303" s="76">
        <f t="shared" si="4"/>
        <v>0.8995879745</v>
      </c>
      <c r="V303" s="76">
        <f>IFERROR(__xludf.DUMMYFUNCTION("""COMPUTED_VALUE"""),5264.0)</f>
        <v>5264</v>
      </c>
      <c r="W303" s="232">
        <f>IFERROR(__xludf.DUMMYFUNCTION("""COMPUTED_VALUE"""),46190.77847222222)</f>
        <v>46190.77847</v>
      </c>
      <c r="X303" s="84">
        <f>IFERROR(__xludf.DUMMYFUNCTION("""COMPUTED_VALUE"""),46190.54095436343)</f>
        <v>46190.54095</v>
      </c>
      <c r="Y303" s="76">
        <f t="shared" si="5"/>
        <v>0.2375178588</v>
      </c>
      <c r="AK303" s="232"/>
      <c r="AL303" s="233"/>
      <c r="AM303" s="173"/>
    </row>
    <row r="304">
      <c r="A304" s="76">
        <f>IFERROR(__xludf.DUMMYFUNCTION("""COMPUTED_VALUE"""),5265.0)</f>
        <v>5265</v>
      </c>
      <c r="B304" s="232">
        <f>IFERROR(__xludf.DUMMYFUNCTION("""COMPUTED_VALUE"""),46189.627978356475)</f>
        <v>46189.62798</v>
      </c>
      <c r="C304" s="84">
        <f>IFERROR(__xludf.DUMMYFUNCTION("""COMPUTED_VALUE"""),46189.48845642361)</f>
        <v>46189.48846</v>
      </c>
      <c r="D304" s="173">
        <f t="shared" si="1"/>
        <v>0.1395219329</v>
      </c>
      <c r="G304" s="76">
        <f>IFERROR(__xludf.DUMMYFUNCTION("""COMPUTED_VALUE"""),5265.0)</f>
        <v>5265</v>
      </c>
      <c r="H304" s="232">
        <f>IFERROR(__xludf.DUMMYFUNCTION("""COMPUTED_VALUE"""),46189.63492280092)</f>
        <v>46189.63492</v>
      </c>
      <c r="I304" s="84">
        <f>IFERROR(__xludf.DUMMYFUNCTION("""COMPUTED_VALUE"""),46189.48860670139)</f>
        <v>46189.48861</v>
      </c>
      <c r="J304" s="76">
        <f t="shared" si="2"/>
        <v>0.1463160995</v>
      </c>
      <c r="L304" s="76">
        <f>IFERROR(__xludf.DUMMYFUNCTION("""COMPUTED_VALUE"""),5265.0)</f>
        <v>5265</v>
      </c>
      <c r="M304" s="232">
        <f>IFERROR(__xludf.DUMMYFUNCTION("""COMPUTED_VALUE"""),46189.739089467585)</f>
        <v>46189.73909</v>
      </c>
      <c r="N304" s="84">
        <f>IFERROR(__xludf.DUMMYFUNCTION("""COMPUTED_VALUE"""),46189.5260115625)</f>
        <v>46189.52601</v>
      </c>
      <c r="O304" s="76">
        <f t="shared" si="3"/>
        <v>0.2130779051</v>
      </c>
      <c r="Q304" s="76">
        <f>IFERROR(__xludf.DUMMYFUNCTION("""COMPUTED_VALUE"""),5260.0)</f>
        <v>5260</v>
      </c>
      <c r="R304" s="232">
        <f>IFERROR(__xludf.DUMMYFUNCTION("""COMPUTED_VALUE"""),46189.67013888888)</f>
        <v>46189.67014</v>
      </c>
      <c r="S304" s="84">
        <f>IFERROR(__xludf.DUMMYFUNCTION("""COMPUTED_VALUE"""),46188.51682416667)</f>
        <v>46188.51682</v>
      </c>
      <c r="T304" s="76">
        <f t="shared" si="4"/>
        <v>1.153314722</v>
      </c>
      <c r="V304" s="76">
        <f>IFERROR(__xludf.DUMMYFUNCTION("""COMPUTED_VALUE"""),5265.0)</f>
        <v>5265</v>
      </c>
      <c r="W304" s="232">
        <f>IFERROR(__xludf.DUMMYFUNCTION("""COMPUTED_VALUE"""),46190.78055555555)</f>
        <v>46190.78056</v>
      </c>
      <c r="X304" s="84">
        <f>IFERROR(__xludf.DUMMYFUNCTION("""COMPUTED_VALUE"""),46190.54097707176)</f>
        <v>46190.54098</v>
      </c>
      <c r="Y304" s="76">
        <f t="shared" si="5"/>
        <v>0.2395784838</v>
      </c>
      <c r="AK304" s="232"/>
      <c r="AL304" s="233"/>
      <c r="AM304" s="173"/>
    </row>
    <row r="305">
      <c r="A305" s="76">
        <f>IFERROR(__xludf.DUMMYFUNCTION("""COMPUTED_VALUE"""),5266.0)</f>
        <v>5266</v>
      </c>
      <c r="B305" s="232">
        <f>IFERROR(__xludf.DUMMYFUNCTION("""COMPUTED_VALUE"""),46189.76797594907)</f>
        <v>46189.76798</v>
      </c>
      <c r="C305" s="84">
        <f>IFERROR(__xludf.DUMMYFUNCTION("""COMPUTED_VALUE"""),46189.62555165509)</f>
        <v>46189.62555</v>
      </c>
      <c r="D305" s="173">
        <f t="shared" si="1"/>
        <v>0.142424294</v>
      </c>
      <c r="G305" s="76">
        <f>IFERROR(__xludf.DUMMYFUNCTION("""COMPUTED_VALUE"""),5266.0)</f>
        <v>5266</v>
      </c>
      <c r="H305" s="232">
        <f>IFERROR(__xludf.DUMMYFUNCTION("""COMPUTED_VALUE"""),46189.77492039352)</f>
        <v>46189.77492</v>
      </c>
      <c r="I305" s="84">
        <f>IFERROR(__xludf.DUMMYFUNCTION("""COMPUTED_VALUE"""),46189.62560140046)</f>
        <v>46189.6256</v>
      </c>
      <c r="J305" s="76">
        <f t="shared" si="2"/>
        <v>0.1493189931</v>
      </c>
      <c r="L305" s="76">
        <f>IFERROR(__xludf.DUMMYFUNCTION("""COMPUTED_VALUE"""),5266.0)</f>
        <v>5266</v>
      </c>
      <c r="M305" s="232">
        <f>IFERROR(__xludf.DUMMYFUNCTION("""COMPUTED_VALUE"""),46190.48263888889)</f>
        <v>46190.48264</v>
      </c>
      <c r="N305" s="84">
        <f>IFERROR(__xludf.DUMMYFUNCTION("""COMPUTED_VALUE"""),46189.631185763894)</f>
        <v>46189.63119</v>
      </c>
      <c r="O305" s="76">
        <f t="shared" si="3"/>
        <v>0.851453125</v>
      </c>
      <c r="Q305" s="76">
        <f>IFERROR(__xludf.DUMMYFUNCTION("""COMPUTED_VALUE"""),5261.0)</f>
        <v>5261</v>
      </c>
      <c r="R305" s="232">
        <f>IFERROR(__xludf.DUMMYFUNCTION("""COMPUTED_VALUE"""),46189.73611111112)</f>
        <v>46189.73611</v>
      </c>
      <c r="S305" s="84">
        <f>IFERROR(__xludf.DUMMYFUNCTION("""COMPUTED_VALUE"""),46188.516840069446)</f>
        <v>46188.51684</v>
      </c>
      <c r="T305" s="76">
        <f t="shared" si="4"/>
        <v>1.219271042</v>
      </c>
      <c r="V305" s="76">
        <f>IFERROR(__xludf.DUMMYFUNCTION("""COMPUTED_VALUE"""),5266.0)</f>
        <v>5266</v>
      </c>
      <c r="W305" s="232">
        <f>IFERROR(__xludf.DUMMYFUNCTION("""COMPUTED_VALUE"""),46191.524305555555)</f>
        <v>46191.52431</v>
      </c>
      <c r="X305" s="84">
        <f>IFERROR(__xludf.DUMMYFUNCTION("""COMPUTED_VALUE"""),46189.63123452546)</f>
        <v>46189.63123</v>
      </c>
      <c r="Y305" s="76">
        <f t="shared" si="5"/>
        <v>1.89307103</v>
      </c>
      <c r="AK305" s="232"/>
      <c r="AL305" s="233"/>
      <c r="AM305" s="173"/>
    </row>
    <row r="306">
      <c r="A306" s="76">
        <f>IFERROR(__xludf.DUMMYFUNCTION("""COMPUTED_VALUE"""),5267.0)</f>
        <v>5267</v>
      </c>
      <c r="B306" s="232">
        <f>IFERROR(__xludf.DUMMYFUNCTION("""COMPUTED_VALUE"""),46190.44305555555)</f>
        <v>46190.44306</v>
      </c>
      <c r="C306" s="84">
        <f>IFERROR(__xludf.DUMMYFUNCTION("""COMPUTED_VALUE"""),46189.81911773148)</f>
        <v>46189.81912</v>
      </c>
      <c r="D306" s="173">
        <f t="shared" si="1"/>
        <v>0.6239378241</v>
      </c>
      <c r="G306" s="76">
        <f>IFERROR(__xludf.DUMMYFUNCTION("""COMPUTED_VALUE"""),5267.0)</f>
        <v>5267</v>
      </c>
      <c r="H306" s="232">
        <f>IFERROR(__xludf.DUMMYFUNCTION("""COMPUTED_VALUE"""),46190.45)</f>
        <v>46190.45</v>
      </c>
      <c r="I306" s="84">
        <f>IFERROR(__xludf.DUMMYFUNCTION("""COMPUTED_VALUE"""),46189.81917236111)</f>
        <v>46189.81917</v>
      </c>
      <c r="J306" s="76">
        <f t="shared" si="2"/>
        <v>0.6308276389</v>
      </c>
      <c r="L306" s="76">
        <f>IFERROR(__xludf.DUMMYFUNCTION("""COMPUTED_VALUE"""),5267.0)</f>
        <v>5267</v>
      </c>
      <c r="M306" s="232">
        <f>IFERROR(__xludf.DUMMYFUNCTION("""COMPUTED_VALUE"""),46190.55416666666)</f>
        <v>46190.55417</v>
      </c>
      <c r="N306" s="84">
        <f>IFERROR(__xludf.DUMMYFUNCTION("""COMPUTED_VALUE"""),46189.819224363426)</f>
        <v>46189.81922</v>
      </c>
      <c r="O306" s="76">
        <f t="shared" si="3"/>
        <v>0.7349423032</v>
      </c>
      <c r="Q306" s="76">
        <f>IFERROR(__xludf.DUMMYFUNCTION("""COMPUTED_VALUE"""),5262.0)</f>
        <v>5262</v>
      </c>
      <c r="R306" s="232">
        <f>IFERROR(__xludf.DUMMYFUNCTION("""COMPUTED_VALUE"""),46190.73402777778)</f>
        <v>46190.73403</v>
      </c>
      <c r="S306" s="84">
        <f>IFERROR(__xludf.DUMMYFUNCTION("""COMPUTED_VALUE"""),46190.54079517361)</f>
        <v>46190.5408</v>
      </c>
      <c r="T306" s="76">
        <f t="shared" si="4"/>
        <v>0.1932326042</v>
      </c>
      <c r="V306" s="76">
        <f>IFERROR(__xludf.DUMMYFUNCTION("""COMPUTED_VALUE"""),5267.0)</f>
        <v>5267</v>
      </c>
      <c r="W306" s="232">
        <f>IFERROR(__xludf.DUMMYFUNCTION("""COMPUTED_VALUE"""),46191.595833333326)</f>
        <v>46191.59583</v>
      </c>
      <c r="X306" s="84">
        <f>IFERROR(__xludf.DUMMYFUNCTION("""COMPUTED_VALUE"""),46190.54514505787)</f>
        <v>46190.54515</v>
      </c>
      <c r="Y306" s="76">
        <f t="shared" si="5"/>
        <v>1.050688275</v>
      </c>
      <c r="AK306" s="232"/>
      <c r="AL306" s="233"/>
      <c r="AM306" s="173"/>
    </row>
    <row r="307">
      <c r="A307" s="76">
        <f>IFERROR(__xludf.DUMMYFUNCTION("""COMPUTED_VALUE"""),5268.0)</f>
        <v>5268</v>
      </c>
      <c r="B307" s="232">
        <f>IFERROR(__xludf.DUMMYFUNCTION("""COMPUTED_VALUE"""),46190.64932630787)</f>
        <v>46190.64933</v>
      </c>
      <c r="C307" s="84">
        <f>IFERROR(__xludf.DUMMYFUNCTION("""COMPUTED_VALUE"""),46190.5109540625)</f>
        <v>46190.51095</v>
      </c>
      <c r="D307" s="173">
        <f t="shared" si="1"/>
        <v>0.1383722454</v>
      </c>
      <c r="G307" s="76">
        <f>IFERROR(__xludf.DUMMYFUNCTION("""COMPUTED_VALUE"""),5268.0)</f>
        <v>5268</v>
      </c>
      <c r="H307" s="232">
        <f>IFERROR(__xludf.DUMMYFUNCTION("""COMPUTED_VALUE"""),46190.65627075231)</f>
        <v>46190.65627</v>
      </c>
      <c r="I307" s="84">
        <f>IFERROR(__xludf.DUMMYFUNCTION("""COMPUTED_VALUE"""),46190.51109101852)</f>
        <v>46190.51109</v>
      </c>
      <c r="J307" s="76">
        <f t="shared" si="2"/>
        <v>0.1451797338</v>
      </c>
      <c r="L307" s="76">
        <f>IFERROR(__xludf.DUMMYFUNCTION("""COMPUTED_VALUE"""),5268.0)</f>
        <v>5268</v>
      </c>
      <c r="M307" s="232">
        <f>IFERROR(__xludf.DUMMYFUNCTION("""COMPUTED_VALUE"""),46190.760437418976)</f>
        <v>46190.76044</v>
      </c>
      <c r="N307" s="232">
        <f>IFERROR(__xludf.DUMMYFUNCTION("""COMPUTED_VALUE"""),46190.51109101852)</f>
        <v>46190.51109</v>
      </c>
      <c r="O307" s="76">
        <f t="shared" si="3"/>
        <v>0.2493464005</v>
      </c>
      <c r="Q307" s="76">
        <f>IFERROR(__xludf.DUMMYFUNCTION("""COMPUTED_VALUE"""),5263.0)</f>
        <v>5263</v>
      </c>
      <c r="R307" s="232">
        <f>IFERROR(__xludf.DUMMYFUNCTION("""COMPUTED_VALUE"""),46190.73472222222)</f>
        <v>46190.73472</v>
      </c>
      <c r="S307" s="84">
        <f>IFERROR(__xludf.DUMMYFUNCTION("""COMPUTED_VALUE"""),46190.54083788194)</f>
        <v>46190.54084</v>
      </c>
      <c r="T307" s="76">
        <f t="shared" si="4"/>
        <v>0.1938843403</v>
      </c>
      <c r="V307" s="76">
        <f>IFERROR(__xludf.DUMMYFUNCTION("""COMPUTED_VALUE"""),5268.0)</f>
        <v>5268</v>
      </c>
      <c r="W307" s="232">
        <f>IFERROR(__xludf.DUMMYFUNCTION("""COMPUTED_VALUE"""),46191.80208333333)</f>
        <v>46191.80208</v>
      </c>
      <c r="X307" s="84">
        <f>IFERROR(__xludf.DUMMYFUNCTION("""COMPUTED_VALUE"""),46191.52180509259)</f>
        <v>46191.52181</v>
      </c>
      <c r="Y307" s="76">
        <f t="shared" si="5"/>
        <v>0.2802782407</v>
      </c>
      <c r="AK307" s="232"/>
      <c r="AL307" s="233"/>
      <c r="AM307" s="173"/>
    </row>
    <row r="308">
      <c r="A308" s="76">
        <f>IFERROR(__xludf.DUMMYFUNCTION("""COMPUTED_VALUE"""),5269.0)</f>
        <v>5269</v>
      </c>
      <c r="B308" s="232">
        <f>IFERROR(__xludf.DUMMYFUNCTION("""COMPUTED_VALUE"""),46190.78487065972)</f>
        <v>46190.78487</v>
      </c>
      <c r="C308" s="84">
        <f>IFERROR(__xludf.DUMMYFUNCTION("""COMPUTED_VALUE"""),46190.72489045138)</f>
        <v>46190.72489</v>
      </c>
      <c r="D308" s="173">
        <f t="shared" si="1"/>
        <v>0.05998020834</v>
      </c>
      <c r="G308" s="76">
        <f>IFERROR(__xludf.DUMMYFUNCTION("""COMPUTED_VALUE"""),5269.0)</f>
        <v>5269</v>
      </c>
      <c r="H308" s="232">
        <f>IFERROR(__xludf.DUMMYFUNCTION("""COMPUTED_VALUE"""),46190.79181510417)</f>
        <v>46190.79182</v>
      </c>
      <c r="I308" s="84">
        <f>IFERROR(__xludf.DUMMYFUNCTION("""COMPUTED_VALUE"""),46190.72508150463)</f>
        <v>46190.72508</v>
      </c>
      <c r="J308" s="76">
        <f t="shared" si="2"/>
        <v>0.06673359954</v>
      </c>
      <c r="L308" s="76">
        <f>IFERROR(__xludf.DUMMYFUNCTION("""COMPUTED_VALUE"""),5269.0)</f>
        <v>5269</v>
      </c>
      <c r="M308" s="232">
        <f>IFERROR(__xludf.DUMMYFUNCTION("""COMPUTED_VALUE"""),46191.458333333336)</f>
        <v>46191.45833</v>
      </c>
      <c r="N308" s="84">
        <f>IFERROR(__xludf.DUMMYFUNCTION("""COMPUTED_VALUE"""),46191.43800925926)</f>
        <v>46191.43801</v>
      </c>
      <c r="O308" s="76">
        <f t="shared" si="3"/>
        <v>0.02032407407</v>
      </c>
      <c r="Q308" s="76">
        <f>IFERROR(__xludf.DUMMYFUNCTION("""COMPUTED_VALUE"""),5264.0)</f>
        <v>5264</v>
      </c>
      <c r="R308" s="232">
        <f>IFERROR(__xludf.DUMMYFUNCTION("""COMPUTED_VALUE"""),46190.736805555556)</f>
        <v>46190.73681</v>
      </c>
      <c r="S308" s="84">
        <f>IFERROR(__xludf.DUMMYFUNCTION("""COMPUTED_VALUE"""),46189.819448124996)</f>
        <v>46189.81945</v>
      </c>
      <c r="T308" s="76">
        <f t="shared" si="4"/>
        <v>0.9173574306</v>
      </c>
      <c r="V308" s="76">
        <f>IFERROR(__xludf.DUMMYFUNCTION("""COMPUTED_VALUE"""),5269.0)</f>
        <v>5269</v>
      </c>
      <c r="W308" s="232">
        <f>IFERROR(__xludf.DUMMYFUNCTION("""COMPUTED_VALUE"""),46192.5)</f>
        <v>46192.5</v>
      </c>
      <c r="X308" s="84">
        <f>IFERROR(__xludf.DUMMYFUNCTION("""COMPUTED_VALUE"""),46191.521747349536)</f>
        <v>46191.52175</v>
      </c>
      <c r="Y308" s="76">
        <f t="shared" si="5"/>
        <v>0.9782526505</v>
      </c>
      <c r="AK308" s="232"/>
      <c r="AL308" s="233"/>
      <c r="AM308" s="173"/>
    </row>
    <row r="309">
      <c r="A309" s="76">
        <f>IFERROR(__xludf.DUMMYFUNCTION("""COMPUTED_VALUE"""),5270.0)</f>
        <v>5270</v>
      </c>
      <c r="B309" s="232">
        <f>IFERROR(__xludf.DUMMYFUNCTION("""COMPUTED_VALUE"""),46190.81960701389)</f>
        <v>46190.81961</v>
      </c>
      <c r="C309" s="84">
        <f>IFERROR(__xludf.DUMMYFUNCTION("""COMPUTED_VALUE"""),46190.724920243054)</f>
        <v>46190.72492</v>
      </c>
      <c r="D309" s="173">
        <f t="shared" si="1"/>
        <v>0.09468677083</v>
      </c>
      <c r="G309" s="76">
        <f>IFERROR(__xludf.DUMMYFUNCTION("""COMPUTED_VALUE"""),5270.0)</f>
        <v>5270</v>
      </c>
      <c r="H309" s="232">
        <f>IFERROR(__xludf.DUMMYFUNCTION("""COMPUTED_VALUE"""),46190.82655145833)</f>
        <v>46190.82655</v>
      </c>
      <c r="I309" s="84">
        <f>IFERROR(__xludf.DUMMYFUNCTION("""COMPUTED_VALUE"""),46190.72510083333)</f>
        <v>46190.7251</v>
      </c>
      <c r="J309" s="76">
        <f t="shared" si="2"/>
        <v>0.101450625</v>
      </c>
      <c r="L309" s="76">
        <f>IFERROR(__xludf.DUMMYFUNCTION("""COMPUTED_VALUE"""),5270.0)</f>
        <v>5270</v>
      </c>
      <c r="M309" s="232">
        <f>IFERROR(__xludf.DUMMYFUNCTION("""COMPUTED_VALUE"""),46191.53472222222)</f>
        <v>46191.53472</v>
      </c>
      <c r="N309" s="84">
        <f>IFERROR(__xludf.DUMMYFUNCTION("""COMPUTED_VALUE"""),46191.52134150463)</f>
        <v>46191.52134</v>
      </c>
      <c r="O309" s="76">
        <f t="shared" si="3"/>
        <v>0.01338071759</v>
      </c>
      <c r="Q309" s="76">
        <f>IFERROR(__xludf.DUMMYFUNCTION("""COMPUTED_VALUE"""),5265.0)</f>
        <v>5265</v>
      </c>
      <c r="R309" s="232">
        <f>IFERROR(__xludf.DUMMYFUNCTION("""COMPUTED_VALUE"""),46190.73888888889)</f>
        <v>46190.73889</v>
      </c>
      <c r="S309" s="84">
        <f>IFERROR(__xludf.DUMMYFUNCTION("""COMPUTED_VALUE"""),46189.819460949075)</f>
        <v>46189.81946</v>
      </c>
      <c r="T309" s="76">
        <f t="shared" si="4"/>
        <v>0.9194279398</v>
      </c>
      <c r="V309" s="76">
        <f>IFERROR(__xludf.DUMMYFUNCTION("""COMPUTED_VALUE"""),5270.0)</f>
        <v>5270</v>
      </c>
      <c r="W309" s="232">
        <f>IFERROR(__xludf.DUMMYFUNCTION("""COMPUTED_VALUE"""),46192.57638888888)</f>
        <v>46192.57639</v>
      </c>
      <c r="X309" s="84">
        <f>IFERROR(__xludf.DUMMYFUNCTION("""COMPUTED_VALUE"""),46191.7097059838)</f>
        <v>46191.70971</v>
      </c>
      <c r="Y309" s="76">
        <f t="shared" si="5"/>
        <v>0.8666829051</v>
      </c>
      <c r="AK309" s="232"/>
      <c r="AL309" s="233"/>
      <c r="AM309" s="173"/>
    </row>
    <row r="310">
      <c r="A310" s="76">
        <f>IFERROR(__xludf.DUMMYFUNCTION("""COMPUTED_VALUE"""),5271.0)</f>
        <v>5271</v>
      </c>
      <c r="B310" s="232">
        <f>IFERROR(__xludf.DUMMYFUNCTION("""COMPUTED_VALUE"""),46191.67890063657)</f>
        <v>46191.6789</v>
      </c>
      <c r="C310" s="84">
        <f>IFERROR(__xludf.DUMMYFUNCTION("""COMPUTED_VALUE"""),46191.513196099535)</f>
        <v>46191.5132</v>
      </c>
      <c r="D310" s="173">
        <f t="shared" si="1"/>
        <v>0.165704537</v>
      </c>
      <c r="G310" s="76">
        <f>IFERROR(__xludf.DUMMYFUNCTION("""COMPUTED_VALUE"""),5271.0)</f>
        <v>5271</v>
      </c>
      <c r="H310" s="232">
        <f>IFERROR(__xludf.DUMMYFUNCTION("""COMPUTED_VALUE"""),46191.68584508102)</f>
        <v>46191.68585</v>
      </c>
      <c r="I310" s="84">
        <f>IFERROR(__xludf.DUMMYFUNCTION("""COMPUTED_VALUE"""),46191.51322987268)</f>
        <v>46191.51323</v>
      </c>
      <c r="J310" s="76">
        <f t="shared" si="2"/>
        <v>0.1726152083</v>
      </c>
      <c r="L310" s="76">
        <f>IFERROR(__xludf.DUMMYFUNCTION("""COMPUTED_VALUE"""),5271.0)</f>
        <v>5271</v>
      </c>
      <c r="M310" s="232">
        <f>IFERROR(__xludf.DUMMYFUNCTION("""COMPUTED_VALUE"""),46191.79001174768)</f>
        <v>46191.79001</v>
      </c>
      <c r="N310" s="84">
        <f>IFERROR(__xludf.DUMMYFUNCTION("""COMPUTED_VALUE"""),46191.51324944444)</f>
        <v>46191.51325</v>
      </c>
      <c r="O310" s="76">
        <f t="shared" si="3"/>
        <v>0.2767623032</v>
      </c>
      <c r="Q310" s="76">
        <f>IFERROR(__xludf.DUMMYFUNCTION("""COMPUTED_VALUE"""),5266.0)</f>
        <v>5266</v>
      </c>
      <c r="R310" s="232">
        <f>IFERROR(__xludf.DUMMYFUNCTION("""COMPUTED_VALUE"""),46191.48263888889)</f>
        <v>46191.48264</v>
      </c>
      <c r="S310" s="84">
        <f>IFERROR(__xludf.DUMMYFUNCTION("""COMPUTED_VALUE"""),46189.63121407408)</f>
        <v>46189.63121</v>
      </c>
      <c r="T310" s="76">
        <f t="shared" si="4"/>
        <v>1.851424815</v>
      </c>
      <c r="V310" s="76">
        <f>IFERROR(__xludf.DUMMYFUNCTION("""COMPUTED_VALUE"""),5271.0)</f>
        <v>5271</v>
      </c>
      <c r="W310" s="232">
        <f>IFERROR(__xludf.DUMMYFUNCTION("""COMPUTED_VALUE"""),46192.831249999996)</f>
        <v>46192.83125</v>
      </c>
      <c r="X310" s="84">
        <f>IFERROR(__xludf.DUMMYFUNCTION("""COMPUTED_VALUE"""),46192.64001657408)</f>
        <v>46192.64002</v>
      </c>
      <c r="Y310" s="76">
        <f t="shared" si="5"/>
        <v>0.1912334259</v>
      </c>
      <c r="AK310" s="232"/>
      <c r="AL310" s="233"/>
      <c r="AM310" s="173"/>
    </row>
    <row r="311">
      <c r="A311" s="76">
        <f>IFERROR(__xludf.DUMMYFUNCTION("""COMPUTED_VALUE"""),5272.0)</f>
        <v>5272</v>
      </c>
      <c r="B311" s="232">
        <f>IFERROR(__xludf.DUMMYFUNCTION("""COMPUTED_VALUE"""),46191.68488363426)</f>
        <v>46191.68488</v>
      </c>
      <c r="C311" s="84">
        <f>IFERROR(__xludf.DUMMYFUNCTION("""COMPUTED_VALUE"""),46191.52100978009)</f>
        <v>46191.52101</v>
      </c>
      <c r="D311" s="173">
        <f t="shared" si="1"/>
        <v>0.1638738542</v>
      </c>
      <c r="G311" s="76">
        <f>IFERROR(__xludf.DUMMYFUNCTION("""COMPUTED_VALUE"""),5272.0)</f>
        <v>5272</v>
      </c>
      <c r="H311" s="232">
        <f>IFERROR(__xludf.DUMMYFUNCTION("""COMPUTED_VALUE"""),46191.69182807871)</f>
        <v>46191.69183</v>
      </c>
      <c r="I311" s="84">
        <f>IFERROR(__xludf.DUMMYFUNCTION("""COMPUTED_VALUE"""),46191.52112340278)</f>
        <v>46191.52112</v>
      </c>
      <c r="J311" s="76">
        <f t="shared" si="2"/>
        <v>0.1707046759</v>
      </c>
      <c r="L311" s="76">
        <f>IFERROR(__xludf.DUMMYFUNCTION("""COMPUTED_VALUE"""),5272.0)</f>
        <v>5272</v>
      </c>
      <c r="M311" s="232">
        <f>IFERROR(__xludf.DUMMYFUNCTION("""COMPUTED_VALUE"""),46191.79599474537)</f>
        <v>46191.79599</v>
      </c>
      <c r="N311" s="84">
        <f>IFERROR(__xludf.DUMMYFUNCTION("""COMPUTED_VALUE"""),46191.521371435185)</f>
        <v>46191.52137</v>
      </c>
      <c r="O311" s="76">
        <f t="shared" si="3"/>
        <v>0.2746233102</v>
      </c>
      <c r="Q311" s="76">
        <f>IFERROR(__xludf.DUMMYFUNCTION("""COMPUTED_VALUE"""),5267.0)</f>
        <v>5267</v>
      </c>
      <c r="R311" s="232">
        <f>IFERROR(__xludf.DUMMYFUNCTION("""COMPUTED_VALUE"""),46191.55416666666)</f>
        <v>46191.55417</v>
      </c>
      <c r="S311" s="84">
        <f>IFERROR(__xludf.DUMMYFUNCTION("""COMPUTED_VALUE"""),46189.8192490625)</f>
        <v>46189.81925</v>
      </c>
      <c r="T311" s="76">
        <f t="shared" si="4"/>
        <v>1.734917604</v>
      </c>
      <c r="V311" s="76">
        <f>IFERROR(__xludf.DUMMYFUNCTION("""COMPUTED_VALUE"""),5272.0)</f>
        <v>5272</v>
      </c>
      <c r="W311" s="232">
        <f>IFERROR(__xludf.DUMMYFUNCTION("""COMPUTED_VALUE"""),46193.42083333333)</f>
        <v>46193.42083</v>
      </c>
      <c r="X311" s="84">
        <f>IFERROR(__xludf.DUMMYFUNCTION("""COMPUTED_VALUE"""),46191.53275226852)</f>
        <v>46191.53275</v>
      </c>
      <c r="Y311" s="76">
        <f t="shared" si="5"/>
        <v>1.888081065</v>
      </c>
      <c r="AK311" s="232"/>
      <c r="AL311" s="233"/>
      <c r="AM311" s="173"/>
    </row>
    <row r="312">
      <c r="A312" s="76">
        <f>IFERROR(__xludf.DUMMYFUNCTION("""COMPUTED_VALUE"""),5273.0)</f>
        <v>5273</v>
      </c>
      <c r="B312" s="232">
        <f>IFERROR(__xludf.DUMMYFUNCTION("""COMPUTED_VALUE"""),46192.64722222222)</f>
        <v>46192.64722</v>
      </c>
      <c r="C312" s="84">
        <f>IFERROR(__xludf.DUMMYFUNCTION("""COMPUTED_VALUE"""),46192.490397905094)</f>
        <v>46192.4904</v>
      </c>
      <c r="D312" s="173">
        <f t="shared" si="1"/>
        <v>0.1568243171</v>
      </c>
      <c r="G312" s="76">
        <f>IFERROR(__xludf.DUMMYFUNCTION("""COMPUTED_VALUE"""),5273.0)</f>
        <v>5273</v>
      </c>
      <c r="H312" s="232">
        <f>IFERROR(__xludf.DUMMYFUNCTION("""COMPUTED_VALUE"""),46192.65416666667)</f>
        <v>46192.65417</v>
      </c>
      <c r="I312" s="84">
        <f>IFERROR(__xludf.DUMMYFUNCTION("""COMPUTED_VALUE"""),46192.49048350695)</f>
        <v>46192.49048</v>
      </c>
      <c r="J312" s="76">
        <f t="shared" si="2"/>
        <v>0.1636831597</v>
      </c>
      <c r="L312" s="76">
        <f>IFERROR(__xludf.DUMMYFUNCTION("""COMPUTED_VALUE"""),5273.0)</f>
        <v>5273</v>
      </c>
      <c r="M312" s="232">
        <f>IFERROR(__xludf.DUMMYFUNCTION("""COMPUTED_VALUE"""),46192.75833333333)</f>
        <v>46192.75833</v>
      </c>
      <c r="N312" s="84">
        <f>IFERROR(__xludf.DUMMYFUNCTION("""COMPUTED_VALUE"""),46192.51566546297)</f>
        <v>46192.51567</v>
      </c>
      <c r="O312" s="76">
        <f t="shared" si="3"/>
        <v>0.2426678704</v>
      </c>
      <c r="Q312" s="76">
        <f>IFERROR(__xludf.DUMMYFUNCTION("""COMPUTED_VALUE"""),5268.0)</f>
        <v>5268</v>
      </c>
      <c r="R312" s="232">
        <f>IFERROR(__xludf.DUMMYFUNCTION("""COMPUTED_VALUE"""),46191.760416666664)</f>
        <v>46191.76042</v>
      </c>
      <c r="S312" s="84">
        <f>IFERROR(__xludf.DUMMYFUNCTION("""COMPUTED_VALUE"""),46190.71120106481)</f>
        <v>46190.7112</v>
      </c>
      <c r="T312" s="76">
        <f t="shared" si="4"/>
        <v>1.049215602</v>
      </c>
      <c r="V312" s="76">
        <f>IFERROR(__xludf.DUMMYFUNCTION("""COMPUTED_VALUE"""),5273.0)</f>
        <v>5273</v>
      </c>
      <c r="W312" s="232">
        <f>IFERROR(__xludf.DUMMYFUNCTION("""COMPUTED_VALUE"""),46195.46666666666)</f>
        <v>46195.46667</v>
      </c>
      <c r="X312" s="84">
        <f>IFERROR(__xludf.DUMMYFUNCTION("""COMPUTED_VALUE"""),46193.65237193287)</f>
        <v>46193.65237</v>
      </c>
      <c r="Y312" s="76">
        <f t="shared" si="5"/>
        <v>1.814294734</v>
      </c>
      <c r="AK312" s="232"/>
      <c r="AL312" s="233"/>
      <c r="AM312" s="173"/>
    </row>
    <row r="313">
      <c r="A313" s="76">
        <f>IFERROR(__xludf.DUMMYFUNCTION("""COMPUTED_VALUE"""),5274.0)</f>
        <v>5274</v>
      </c>
      <c r="B313" s="232">
        <f>IFERROR(__xludf.DUMMYFUNCTION("""COMPUTED_VALUE"""),46192.778720752314)</f>
        <v>46192.77872</v>
      </c>
      <c r="C313" s="84">
        <f>IFERROR(__xludf.DUMMYFUNCTION("""COMPUTED_VALUE"""),46192.61469681713)</f>
        <v>46192.6147</v>
      </c>
      <c r="D313" s="173">
        <f t="shared" si="1"/>
        <v>0.1640239352</v>
      </c>
      <c r="G313" s="76">
        <f>IFERROR(__xludf.DUMMYFUNCTION("""COMPUTED_VALUE"""),5274.0)</f>
        <v>5274</v>
      </c>
      <c r="H313" s="232">
        <f>IFERROR(__xludf.DUMMYFUNCTION("""COMPUTED_VALUE"""),46192.78566519676)</f>
        <v>46192.78567</v>
      </c>
      <c r="I313" s="84">
        <f>IFERROR(__xludf.DUMMYFUNCTION("""COMPUTED_VALUE"""),46192.614802083335)</f>
        <v>46192.6148</v>
      </c>
      <c r="J313" s="76">
        <f t="shared" si="2"/>
        <v>0.1708631134</v>
      </c>
      <c r="L313" s="76">
        <f>IFERROR(__xludf.DUMMYFUNCTION("""COMPUTED_VALUE"""),5274.0)</f>
        <v>5274</v>
      </c>
      <c r="M313" s="232">
        <f>IFERROR(__xludf.DUMMYFUNCTION("""COMPUTED_VALUE"""),46193.49375)</f>
        <v>46193.49375</v>
      </c>
      <c r="N313" s="84">
        <f>IFERROR(__xludf.DUMMYFUNCTION("""COMPUTED_VALUE"""),46192.614891516205)</f>
        <v>46192.61489</v>
      </c>
      <c r="O313" s="76">
        <f t="shared" si="3"/>
        <v>0.8788584838</v>
      </c>
      <c r="Q313" s="76">
        <f>IFERROR(__xludf.DUMMYFUNCTION("""COMPUTED_VALUE"""),5269.0)</f>
        <v>5269</v>
      </c>
      <c r="R313" s="232">
        <f>IFERROR(__xludf.DUMMYFUNCTION("""COMPUTED_VALUE"""),46192.458333333336)</f>
        <v>46192.45833</v>
      </c>
      <c r="S313" s="84">
        <f>IFERROR(__xludf.DUMMYFUNCTION("""COMPUTED_VALUE"""),46191.521619837964)</f>
        <v>46191.52162</v>
      </c>
      <c r="T313" s="76">
        <f t="shared" si="4"/>
        <v>0.9367134954</v>
      </c>
      <c r="V313" s="76">
        <f>IFERROR(__xludf.DUMMYFUNCTION("""COMPUTED_VALUE"""),5274.0)</f>
        <v>5274</v>
      </c>
      <c r="W313" s="232">
        <f>IFERROR(__xludf.DUMMYFUNCTION("""COMPUTED_VALUE"""),46195.535416666666)</f>
        <v>46195.53542</v>
      </c>
      <c r="X313" s="84">
        <f>IFERROR(__xludf.DUMMYFUNCTION("""COMPUTED_VALUE"""),46192.66749255787)</f>
        <v>46192.66749</v>
      </c>
      <c r="Y313" s="76">
        <f t="shared" si="5"/>
        <v>2.867924109</v>
      </c>
      <c r="AK313" s="232"/>
      <c r="AL313" s="233"/>
      <c r="AM313" s="173"/>
    </row>
    <row r="314">
      <c r="A314" s="76">
        <f>IFERROR(__xludf.DUMMYFUNCTION("""COMPUTED_VALUE"""),5275.0)</f>
        <v>5275</v>
      </c>
      <c r="B314" s="232">
        <f>IFERROR(__xludf.DUMMYFUNCTION("""COMPUTED_VALUE"""),46193.44930555555)</f>
        <v>46193.44931</v>
      </c>
      <c r="C314" s="84">
        <f>IFERROR(__xludf.DUMMYFUNCTION("""COMPUTED_VALUE"""),46192.75037886574)</f>
        <v>46192.75038</v>
      </c>
      <c r="D314" s="173">
        <f t="shared" si="1"/>
        <v>0.6989266898</v>
      </c>
      <c r="G314" s="76">
        <f>IFERROR(__xludf.DUMMYFUNCTION("""COMPUTED_VALUE"""),5275.0)</f>
        <v>5275</v>
      </c>
      <c r="H314" s="232">
        <f>IFERROR(__xludf.DUMMYFUNCTION("""COMPUTED_VALUE"""),46193.456249999996)</f>
        <v>46193.45625</v>
      </c>
      <c r="I314" s="84">
        <f>IFERROR(__xludf.DUMMYFUNCTION("""COMPUTED_VALUE"""),46192.75053409723)</f>
        <v>46192.75053</v>
      </c>
      <c r="J314" s="76">
        <f t="shared" si="2"/>
        <v>0.7057159028</v>
      </c>
      <c r="L314" s="76">
        <f>IFERROR(__xludf.DUMMYFUNCTION("""COMPUTED_VALUE"""),5275.0)</f>
        <v>5275</v>
      </c>
      <c r="M314" s="232">
        <f>IFERROR(__xludf.DUMMYFUNCTION("""COMPUTED_VALUE"""),46193.56041666666)</f>
        <v>46193.56042</v>
      </c>
      <c r="N314" s="84">
        <f>IFERROR(__xludf.DUMMYFUNCTION("""COMPUTED_VALUE"""),46192.75062363426)</f>
        <v>46192.75062</v>
      </c>
      <c r="O314" s="76">
        <f t="shared" si="3"/>
        <v>0.8097930324</v>
      </c>
      <c r="Q314" s="76">
        <f>IFERROR(__xludf.DUMMYFUNCTION("""COMPUTED_VALUE"""),5270.0)</f>
        <v>5270</v>
      </c>
      <c r="R314" s="232">
        <f>IFERROR(__xludf.DUMMYFUNCTION("""COMPUTED_VALUE"""),46192.53472222222)</f>
        <v>46192.53472</v>
      </c>
      <c r="S314" s="84">
        <f>IFERROR(__xludf.DUMMYFUNCTION("""COMPUTED_VALUE"""),46191.70963677083)</f>
        <v>46191.70964</v>
      </c>
      <c r="T314" s="76">
        <f t="shared" si="4"/>
        <v>0.8250854514</v>
      </c>
      <c r="V314" s="76">
        <f>IFERROR(__xludf.DUMMYFUNCTION("""COMPUTED_VALUE"""),5275.0)</f>
        <v>5275</v>
      </c>
      <c r="W314" s="232">
        <f>IFERROR(__xludf.DUMMYFUNCTION("""COMPUTED_VALUE"""),46195.60208333333)</f>
        <v>46195.60208</v>
      </c>
      <c r="X314" s="84">
        <f>IFERROR(__xludf.DUMMYFUNCTION("""COMPUTED_VALUE"""),46192.79039318287)</f>
        <v>46192.79039</v>
      </c>
      <c r="Y314" s="76">
        <f t="shared" si="5"/>
        <v>2.81169015</v>
      </c>
      <c r="AK314" s="232"/>
      <c r="AL314" s="233"/>
      <c r="AM314" s="173"/>
    </row>
    <row r="315">
      <c r="A315" s="76">
        <f>IFERROR(__xludf.DUMMYFUNCTION("""COMPUTED_VALUE"""),5276.0)</f>
        <v>5276</v>
      </c>
      <c r="B315" s="232">
        <f>IFERROR(__xludf.DUMMYFUNCTION("""COMPUTED_VALUE"""),46193.475694444445)</f>
        <v>46193.47569</v>
      </c>
      <c r="C315" s="84">
        <f>IFERROR(__xludf.DUMMYFUNCTION("""COMPUTED_VALUE"""),46192.750405231476)</f>
        <v>46192.75041</v>
      </c>
      <c r="D315" s="173">
        <f t="shared" si="1"/>
        <v>0.725289213</v>
      </c>
      <c r="G315" s="76">
        <f>IFERROR(__xludf.DUMMYFUNCTION("""COMPUTED_VALUE"""),5276.0)</f>
        <v>5276</v>
      </c>
      <c r="H315" s="232">
        <f>IFERROR(__xludf.DUMMYFUNCTION("""COMPUTED_VALUE"""),46193.48263888889)</f>
        <v>46193.48264</v>
      </c>
      <c r="I315" s="84">
        <f>IFERROR(__xludf.DUMMYFUNCTION("""COMPUTED_VALUE"""),46192.75055952546)</f>
        <v>46192.75056</v>
      </c>
      <c r="J315" s="76">
        <f t="shared" si="2"/>
        <v>0.7320793634</v>
      </c>
      <c r="L315" s="76">
        <f>IFERROR(__xludf.DUMMYFUNCTION("""COMPUTED_VALUE"""),5276.0)</f>
        <v>5276</v>
      </c>
      <c r="M315" s="232">
        <f>IFERROR(__xludf.DUMMYFUNCTION("""COMPUTED_VALUE"""),46193.586805555555)</f>
        <v>46193.58681</v>
      </c>
      <c r="N315" s="84">
        <f>IFERROR(__xludf.DUMMYFUNCTION("""COMPUTED_VALUE"""),46192.75064853009)</f>
        <v>46192.75065</v>
      </c>
      <c r="O315" s="76">
        <f t="shared" si="3"/>
        <v>0.8361570255</v>
      </c>
      <c r="Q315" s="76">
        <f>IFERROR(__xludf.DUMMYFUNCTION("""COMPUTED_VALUE"""),5271.0)</f>
        <v>5271</v>
      </c>
      <c r="R315" s="232">
        <f>IFERROR(__xludf.DUMMYFUNCTION("""COMPUTED_VALUE"""),46192.78958333333)</f>
        <v>46192.78958</v>
      </c>
      <c r="S315" s="84">
        <f>IFERROR(__xludf.DUMMYFUNCTION("""COMPUTED_VALUE"""),46191.51327018518)</f>
        <v>46191.51327</v>
      </c>
      <c r="T315" s="76">
        <f t="shared" si="4"/>
        <v>1.276313148</v>
      </c>
      <c r="V315" s="76">
        <f>IFERROR(__xludf.DUMMYFUNCTION("""COMPUTED_VALUE"""),5276.0)</f>
        <v>5276</v>
      </c>
      <c r="W315" s="232">
        <f>IFERROR(__xludf.DUMMYFUNCTION("""COMPUTED_VALUE"""),46195.62847222222)</f>
        <v>46195.62847</v>
      </c>
      <c r="X315" s="84">
        <f>IFERROR(__xludf.DUMMYFUNCTION("""COMPUTED_VALUE"""),46192.79041724537)</f>
        <v>46192.79042</v>
      </c>
      <c r="Y315" s="76">
        <f t="shared" si="5"/>
        <v>2.838054977</v>
      </c>
      <c r="AK315" s="232"/>
      <c r="AL315" s="233"/>
      <c r="AM315" s="173"/>
    </row>
    <row r="316">
      <c r="A316" s="76">
        <f>IFERROR(__xludf.DUMMYFUNCTION("""COMPUTED_VALUE"""),5277.0)</f>
        <v>5277</v>
      </c>
      <c r="B316" s="232">
        <f>IFERROR(__xludf.DUMMYFUNCTION("""COMPUTED_VALUE"""),46193.71199113425)</f>
        <v>46193.71199</v>
      </c>
      <c r="C316" s="84">
        <f>IFERROR(__xludf.DUMMYFUNCTION("""COMPUTED_VALUE"""),46193.55734378472)</f>
        <v>46193.55734</v>
      </c>
      <c r="D316" s="173">
        <f t="shared" si="1"/>
        <v>0.1546473495</v>
      </c>
      <c r="G316" s="76">
        <f>IFERROR(__xludf.DUMMYFUNCTION("""COMPUTED_VALUE"""),5277.0)</f>
        <v>5277</v>
      </c>
      <c r="H316" s="232">
        <f>IFERROR(__xludf.DUMMYFUNCTION("""COMPUTED_VALUE"""),46193.7189355787)</f>
        <v>46193.71894</v>
      </c>
      <c r="I316" s="84">
        <f>IFERROR(__xludf.DUMMYFUNCTION("""COMPUTED_VALUE"""),46193.55748928241)</f>
        <v>46193.55749</v>
      </c>
      <c r="J316" s="76">
        <f t="shared" si="2"/>
        <v>0.1614462963</v>
      </c>
      <c r="L316" s="76">
        <f>IFERROR(__xludf.DUMMYFUNCTION("""COMPUTED_VALUE"""),5277.0)</f>
        <v>5277</v>
      </c>
      <c r="M316" s="232">
        <f>IFERROR(__xludf.DUMMYFUNCTION("""COMPUTED_VALUE"""),46193.82310224536)</f>
        <v>46193.8231</v>
      </c>
      <c r="N316" s="84">
        <f>IFERROR(__xludf.DUMMYFUNCTION("""COMPUTED_VALUE"""),46193.55755027778)</f>
        <v>46193.55755</v>
      </c>
      <c r="O316" s="76">
        <f t="shared" si="3"/>
        <v>0.2655519676</v>
      </c>
      <c r="Q316" s="76">
        <f>IFERROR(__xludf.DUMMYFUNCTION("""COMPUTED_VALUE"""),5272.0)</f>
        <v>5272</v>
      </c>
      <c r="R316" s="232">
        <f>IFERROR(__xludf.DUMMYFUNCTION("""COMPUTED_VALUE"""),46192.79583333333)</f>
        <v>46192.79583</v>
      </c>
      <c r="S316" s="84">
        <f>IFERROR(__xludf.DUMMYFUNCTION("""COMPUTED_VALUE"""),46191.53271075232)</f>
        <v>46191.53271</v>
      </c>
      <c r="T316" s="76">
        <f t="shared" si="4"/>
        <v>1.263122581</v>
      </c>
      <c r="V316" s="76">
        <f>IFERROR(__xludf.DUMMYFUNCTION("""COMPUTED_VALUE"""),5277.0)</f>
        <v>5277</v>
      </c>
      <c r="W316" s="232">
        <f>IFERROR(__xludf.DUMMYFUNCTION("""COMPUTED_VALUE"""),46196.447916666664)</f>
        <v>46196.44792</v>
      </c>
      <c r="X316" s="84">
        <f>IFERROR(__xludf.DUMMYFUNCTION("""COMPUTED_VALUE"""),46195.481490578706)</f>
        <v>46195.48149</v>
      </c>
      <c r="Y316" s="76">
        <f t="shared" si="5"/>
        <v>0.966426088</v>
      </c>
      <c r="AK316" s="232"/>
      <c r="AL316" s="233"/>
      <c r="AM316" s="173"/>
    </row>
    <row r="317">
      <c r="A317" s="76">
        <f>IFERROR(__xludf.DUMMYFUNCTION("""COMPUTED_VALUE"""),5278.0)</f>
        <v>5278</v>
      </c>
      <c r="B317" s="232">
        <f>IFERROR(__xludf.DUMMYFUNCTION("""COMPUTED_VALUE"""),46193.72749322917)</f>
        <v>46193.72749</v>
      </c>
      <c r="C317" s="84">
        <f>IFERROR(__xludf.DUMMYFUNCTION("""COMPUTED_VALUE"""),46193.6525017824)</f>
        <v>46193.6525</v>
      </c>
      <c r="D317" s="173">
        <f t="shared" si="1"/>
        <v>0.07499144677</v>
      </c>
      <c r="G317" s="76">
        <f>IFERROR(__xludf.DUMMYFUNCTION("""COMPUTED_VALUE"""),5278.0)</f>
        <v>5278</v>
      </c>
      <c r="H317" s="232">
        <f>IFERROR(__xludf.DUMMYFUNCTION("""COMPUTED_VALUE"""),46193.734437673615)</f>
        <v>46193.73444</v>
      </c>
      <c r="I317" s="84">
        <f>IFERROR(__xludf.DUMMYFUNCTION("""COMPUTED_VALUE"""),46193.65256288194)</f>
        <v>46193.65256</v>
      </c>
      <c r="J317" s="76">
        <f t="shared" si="2"/>
        <v>0.08187479167</v>
      </c>
      <c r="L317" s="76">
        <f>IFERROR(__xludf.DUMMYFUNCTION("""COMPUTED_VALUE"""),5278.0)</f>
        <v>5278</v>
      </c>
      <c r="M317" s="232">
        <f>IFERROR(__xludf.DUMMYFUNCTION("""COMPUTED_VALUE"""),46195.442361111105)</f>
        <v>46195.44236</v>
      </c>
      <c r="N317" s="84">
        <f>IFERROR(__xludf.DUMMYFUNCTION("""COMPUTED_VALUE"""),46193.652605462965)</f>
        <v>46193.65261</v>
      </c>
      <c r="O317" s="76">
        <f t="shared" si="3"/>
        <v>1.789755648</v>
      </c>
      <c r="Q317" s="76">
        <f>IFERROR(__xludf.DUMMYFUNCTION("""COMPUTED_VALUE"""),5273.0)</f>
        <v>5273</v>
      </c>
      <c r="R317" s="232">
        <f>IFERROR(__xludf.DUMMYFUNCTION("""COMPUTED_VALUE"""),46193.75833333333)</f>
        <v>46193.75833</v>
      </c>
      <c r="S317" s="84">
        <f>IFERROR(__xludf.DUMMYFUNCTION("""COMPUTED_VALUE"""),46192.515727418984)</f>
        <v>46192.51573</v>
      </c>
      <c r="T317" s="76">
        <f t="shared" si="4"/>
        <v>1.242605914</v>
      </c>
      <c r="V317" s="76">
        <f>IFERROR(__xludf.DUMMYFUNCTION("""COMPUTED_VALUE"""),5278.0)</f>
        <v>5278</v>
      </c>
      <c r="W317" s="232">
        <f>IFERROR(__xludf.DUMMYFUNCTION("""COMPUTED_VALUE"""),46196.48402777777)</f>
        <v>46196.48403</v>
      </c>
      <c r="X317" s="84">
        <f>IFERROR(__xludf.DUMMYFUNCTION("""COMPUTED_VALUE"""),46195.48153605324)</f>
        <v>46195.48154</v>
      </c>
      <c r="Y317" s="76">
        <f t="shared" si="5"/>
        <v>1.002491725</v>
      </c>
      <c r="AK317" s="232"/>
      <c r="AL317" s="233"/>
      <c r="AM317" s="173"/>
    </row>
    <row r="318">
      <c r="A318" s="76">
        <f>IFERROR(__xludf.DUMMYFUNCTION("""COMPUTED_VALUE"""),5279.0)</f>
        <v>5279</v>
      </c>
      <c r="B318" s="232">
        <f>IFERROR(__xludf.DUMMYFUNCTION("""COMPUTED_VALUE"""),46193.827452638885)</f>
        <v>46193.82745</v>
      </c>
      <c r="C318" s="84">
        <f>IFERROR(__xludf.DUMMYFUNCTION("""COMPUTED_VALUE"""),46193.69802855324)</f>
        <v>46193.69803</v>
      </c>
      <c r="D318" s="173">
        <f t="shared" si="1"/>
        <v>0.1294240856</v>
      </c>
      <c r="G318" s="76">
        <f>IFERROR(__xludf.DUMMYFUNCTION("""COMPUTED_VALUE"""),5279.0)</f>
        <v>5279</v>
      </c>
      <c r="H318" s="232">
        <f>IFERROR(__xludf.DUMMYFUNCTION("""COMPUTED_VALUE"""),46195.45208333333)</f>
        <v>46195.45208</v>
      </c>
      <c r="I318" s="84">
        <f>IFERROR(__xludf.DUMMYFUNCTION("""COMPUTED_VALUE"""),46193.698395706015)</f>
        <v>46193.6984</v>
      </c>
      <c r="J318" s="76">
        <f t="shared" si="2"/>
        <v>1.753687627</v>
      </c>
      <c r="L318" s="76">
        <f>IFERROR(__xludf.DUMMYFUNCTION("""COMPUTED_VALUE"""),5279.0)</f>
        <v>5279</v>
      </c>
      <c r="M318" s="232">
        <f>IFERROR(__xludf.DUMMYFUNCTION("""COMPUTED_VALUE"""),46195.556249999994)</f>
        <v>46195.55625</v>
      </c>
      <c r="N318" s="84">
        <f>IFERROR(__xludf.DUMMYFUNCTION("""COMPUTED_VALUE"""),46193.69859662037)</f>
        <v>46193.6986</v>
      </c>
      <c r="O318" s="76">
        <f t="shared" si="3"/>
        <v>1.85765338</v>
      </c>
      <c r="Q318" s="76">
        <f>IFERROR(__xludf.DUMMYFUNCTION("""COMPUTED_VALUE"""),5274.0)</f>
        <v>5274</v>
      </c>
      <c r="R318" s="232">
        <f>IFERROR(__xludf.DUMMYFUNCTION("""COMPUTED_VALUE"""),46195.49375)</f>
        <v>46195.49375</v>
      </c>
      <c r="S318" s="84">
        <f>IFERROR(__xludf.DUMMYFUNCTION("""COMPUTED_VALUE"""),46192.66745674769)</f>
        <v>46192.66746</v>
      </c>
      <c r="T318" s="76">
        <f t="shared" si="4"/>
        <v>2.826293252</v>
      </c>
      <c r="V318" s="76">
        <f>IFERROR(__xludf.DUMMYFUNCTION("""COMPUTED_VALUE"""),5279.0)</f>
        <v>5279</v>
      </c>
      <c r="W318" s="232">
        <f>IFERROR(__xludf.DUMMYFUNCTION("""COMPUTED_VALUE"""),46196.59791666666)</f>
        <v>46196.59792</v>
      </c>
      <c r="X318" s="84">
        <f>IFERROR(__xludf.DUMMYFUNCTION("""COMPUTED_VALUE"""),46195.50163483796)</f>
        <v>46195.50163</v>
      </c>
      <c r="Y318" s="76">
        <f t="shared" si="5"/>
        <v>1.096281829</v>
      </c>
      <c r="AK318" s="232"/>
      <c r="AL318" s="233"/>
      <c r="AM318" s="173"/>
    </row>
    <row r="319">
      <c r="A319" s="76">
        <f>IFERROR(__xludf.DUMMYFUNCTION("""COMPUTED_VALUE"""),5280.0)</f>
        <v>5280</v>
      </c>
      <c r="B319" s="232">
        <f>IFERROR(__xludf.DUMMYFUNCTION("""COMPUTED_VALUE"""),46193.828269548605)</f>
        <v>46193.82827</v>
      </c>
      <c r="C319" s="84">
        <f>IFERROR(__xludf.DUMMYFUNCTION("""COMPUTED_VALUE"""),46193.69805071759)</f>
        <v>46193.69805</v>
      </c>
      <c r="D319" s="173">
        <f t="shared" si="1"/>
        <v>0.130218831</v>
      </c>
      <c r="G319" s="76">
        <f>IFERROR(__xludf.DUMMYFUNCTION("""COMPUTED_VALUE"""),5280.0)</f>
        <v>5280</v>
      </c>
      <c r="H319" s="232">
        <f>IFERROR(__xludf.DUMMYFUNCTION("""COMPUTED_VALUE"""),46195.45277777778)</f>
        <v>46195.45278</v>
      </c>
      <c r="I319" s="84">
        <f>IFERROR(__xludf.DUMMYFUNCTION("""COMPUTED_VALUE"""),46193.69845668982)</f>
        <v>46193.69846</v>
      </c>
      <c r="J319" s="76">
        <f t="shared" si="2"/>
        <v>1.754321088</v>
      </c>
      <c r="L319" s="76">
        <f>IFERROR(__xludf.DUMMYFUNCTION("""COMPUTED_VALUE"""),5280.0)</f>
        <v>5280</v>
      </c>
      <c r="M319" s="232">
        <f>IFERROR(__xludf.DUMMYFUNCTION("""COMPUTED_VALUE"""),46195.55694444444)</f>
        <v>46195.55694</v>
      </c>
      <c r="N319" s="84">
        <f>IFERROR(__xludf.DUMMYFUNCTION("""COMPUTED_VALUE"""),46193.69862037037)</f>
        <v>46193.69862</v>
      </c>
      <c r="O319" s="76">
        <f t="shared" si="3"/>
        <v>1.858324074</v>
      </c>
      <c r="Q319" s="76">
        <f>IFERROR(__xludf.DUMMYFUNCTION("""COMPUTED_VALUE"""),5275.0)</f>
        <v>5275</v>
      </c>
      <c r="R319" s="232">
        <f>IFERROR(__xludf.DUMMYFUNCTION("""COMPUTED_VALUE"""),46195.56041666667)</f>
        <v>46195.56042</v>
      </c>
      <c r="S319" s="84">
        <f>IFERROR(__xludf.DUMMYFUNCTION("""COMPUTED_VALUE"""),46192.790331006945)</f>
        <v>46192.79033</v>
      </c>
      <c r="T319" s="76">
        <f t="shared" si="4"/>
        <v>2.77008566</v>
      </c>
      <c r="V319" s="76">
        <f>IFERROR(__xludf.DUMMYFUNCTION("""COMPUTED_VALUE"""),5280.0)</f>
        <v>5280</v>
      </c>
      <c r="W319" s="232">
        <f>IFERROR(__xludf.DUMMYFUNCTION("""COMPUTED_VALUE"""),46196.598611111105)</f>
        <v>46196.59861</v>
      </c>
      <c r="X319" s="84">
        <f>IFERROR(__xludf.DUMMYFUNCTION("""COMPUTED_VALUE"""),46195.50166829861)</f>
        <v>46195.50167</v>
      </c>
      <c r="Y319" s="76">
        <f t="shared" si="5"/>
        <v>1.096942812</v>
      </c>
      <c r="AK319" s="232"/>
      <c r="AL319" s="233"/>
      <c r="AM319" s="173"/>
    </row>
    <row r="320">
      <c r="A320" s="76">
        <f>IFERROR(__xludf.DUMMYFUNCTION("""COMPUTED_VALUE"""),5281.0)</f>
        <v>5281</v>
      </c>
      <c r="B320" s="232">
        <f>IFERROR(__xludf.DUMMYFUNCTION("""COMPUTED_VALUE"""),46193.8291290625)</f>
        <v>46193.82913</v>
      </c>
      <c r="C320" s="84">
        <f>IFERROR(__xludf.DUMMYFUNCTION("""COMPUTED_VALUE"""),46193.69806954861)</f>
        <v>46193.69807</v>
      </c>
      <c r="D320" s="173">
        <f t="shared" si="1"/>
        <v>0.1310595139</v>
      </c>
      <c r="G320" s="76">
        <f>IFERROR(__xludf.DUMMYFUNCTION("""COMPUTED_VALUE"""),5281.0)</f>
        <v>5281</v>
      </c>
      <c r="H320" s="232">
        <f>IFERROR(__xludf.DUMMYFUNCTION("""COMPUTED_VALUE"""),46195.45347222222)</f>
        <v>46195.45347</v>
      </c>
      <c r="I320" s="84">
        <f>IFERROR(__xludf.DUMMYFUNCTION("""COMPUTED_VALUE"""),46193.698506898145)</f>
        <v>46193.69851</v>
      </c>
      <c r="J320" s="76">
        <f t="shared" si="2"/>
        <v>1.754965324</v>
      </c>
      <c r="L320" s="76">
        <f>IFERROR(__xludf.DUMMYFUNCTION("""COMPUTED_VALUE"""),5281.0)</f>
        <v>5281</v>
      </c>
      <c r="M320" s="232">
        <f>IFERROR(__xludf.DUMMYFUNCTION("""COMPUTED_VALUE"""),46195.55763888889)</f>
        <v>46195.55764</v>
      </c>
      <c r="N320" s="84">
        <f>IFERROR(__xludf.DUMMYFUNCTION("""COMPUTED_VALUE"""),46193.69865289352)</f>
        <v>46193.69865</v>
      </c>
      <c r="O320" s="76">
        <f t="shared" si="3"/>
        <v>1.858985995</v>
      </c>
      <c r="Q320" s="76">
        <f>IFERROR(__xludf.DUMMYFUNCTION("""COMPUTED_VALUE"""),5276.0)</f>
        <v>5276</v>
      </c>
      <c r="R320" s="232">
        <f>IFERROR(__xludf.DUMMYFUNCTION("""COMPUTED_VALUE"""),46195.586805555555)</f>
        <v>46195.58681</v>
      </c>
      <c r="S320" s="84">
        <f>IFERROR(__xludf.DUMMYFUNCTION("""COMPUTED_VALUE"""),46192.790347118054)</f>
        <v>46192.79035</v>
      </c>
      <c r="T320" s="76">
        <f t="shared" si="4"/>
        <v>2.796458438</v>
      </c>
      <c r="V320" s="76">
        <f>IFERROR(__xludf.DUMMYFUNCTION("""COMPUTED_VALUE"""),5281.0)</f>
        <v>5281</v>
      </c>
      <c r="W320" s="232">
        <f>IFERROR(__xludf.DUMMYFUNCTION("""COMPUTED_VALUE"""),46196.59930555555)</f>
        <v>46196.59931</v>
      </c>
      <c r="X320" s="84">
        <f>IFERROR(__xludf.DUMMYFUNCTION("""COMPUTED_VALUE"""),46195.501695694446)</f>
        <v>46195.5017</v>
      </c>
      <c r="Y320" s="76">
        <f t="shared" si="5"/>
        <v>1.097609861</v>
      </c>
      <c r="AK320" s="232"/>
      <c r="AL320" s="233"/>
      <c r="AM320" s="173"/>
    </row>
    <row r="321">
      <c r="A321" s="76">
        <f>IFERROR(__xludf.DUMMYFUNCTION("""COMPUTED_VALUE"""),5282.0)</f>
        <v>5282</v>
      </c>
      <c r="B321" s="232">
        <f>IFERROR(__xludf.DUMMYFUNCTION("""COMPUTED_VALUE"""),46195.691083749996)</f>
        <v>46195.69108</v>
      </c>
      <c r="C321" s="84">
        <f>IFERROR(__xludf.DUMMYFUNCTION("""COMPUTED_VALUE"""),46195.61792831018)</f>
        <v>46195.61793</v>
      </c>
      <c r="D321" s="173">
        <f t="shared" si="1"/>
        <v>0.07315543982</v>
      </c>
      <c r="G321" s="76">
        <f>IFERROR(__xludf.DUMMYFUNCTION("""COMPUTED_VALUE"""),5282.0)</f>
        <v>5282</v>
      </c>
      <c r="H321" s="232">
        <f>IFERROR(__xludf.DUMMYFUNCTION("""COMPUTED_VALUE"""),46195.69802819444)</f>
        <v>46195.69803</v>
      </c>
      <c r="I321" s="84">
        <f>IFERROR(__xludf.DUMMYFUNCTION("""COMPUTED_VALUE"""),46195.61805766204)</f>
        <v>46195.61806</v>
      </c>
      <c r="J321" s="76">
        <f t="shared" si="2"/>
        <v>0.0799705324</v>
      </c>
      <c r="L321" s="76">
        <f>IFERROR(__xludf.DUMMYFUNCTION("""COMPUTED_VALUE"""),5282.0)</f>
        <v>5282</v>
      </c>
      <c r="M321" s="232">
        <f>IFERROR(__xludf.DUMMYFUNCTION("""COMPUTED_VALUE"""),46195.802194861106)</f>
        <v>46195.80219</v>
      </c>
      <c r="N321" s="84">
        <f>IFERROR(__xludf.DUMMYFUNCTION("""COMPUTED_VALUE"""),46195.618129780094)</f>
        <v>46195.61813</v>
      </c>
      <c r="O321" s="76">
        <f t="shared" si="3"/>
        <v>0.184065081</v>
      </c>
      <c r="Q321" s="76">
        <f>IFERROR(__xludf.DUMMYFUNCTION("""COMPUTED_VALUE"""),5277.0)</f>
        <v>5277</v>
      </c>
      <c r="R321" s="232">
        <f>IFERROR(__xludf.DUMMYFUNCTION("""COMPUTED_VALUE"""),46195.822916666664)</f>
        <v>46195.82292</v>
      </c>
      <c r="S321" s="84">
        <f>IFERROR(__xludf.DUMMYFUNCTION("""COMPUTED_VALUE"""),46193.65265164352)</f>
        <v>46193.65265</v>
      </c>
      <c r="T321" s="76">
        <f t="shared" si="4"/>
        <v>2.170265023</v>
      </c>
      <c r="V321" s="76">
        <f>IFERROR(__xludf.DUMMYFUNCTION("""COMPUTED_VALUE"""),5282.0)</f>
        <v>5282</v>
      </c>
      <c r="W321" s="232">
        <f>IFERROR(__xludf.DUMMYFUNCTION("""COMPUTED_VALUE"""),46197.42708333333)</f>
        <v>46197.42708</v>
      </c>
      <c r="X321" s="84">
        <f>IFERROR(__xludf.DUMMYFUNCTION("""COMPUTED_VALUE"""),46196.778204629634)</f>
        <v>46196.7782</v>
      </c>
      <c r="Y321" s="76">
        <f t="shared" si="5"/>
        <v>0.6488787037</v>
      </c>
      <c r="AK321" s="232"/>
      <c r="AL321" s="233"/>
      <c r="AM321" s="173"/>
    </row>
    <row r="322">
      <c r="A322" s="76">
        <f>IFERROR(__xludf.DUMMYFUNCTION("""COMPUTED_VALUE"""),5283.0)</f>
        <v>5283</v>
      </c>
      <c r="B322" s="232">
        <f>IFERROR(__xludf.DUMMYFUNCTION("""COMPUTED_VALUE"""),46195.692017048605)</f>
        <v>46195.69202</v>
      </c>
      <c r="C322" s="84">
        <f>IFERROR(__xludf.DUMMYFUNCTION("""COMPUTED_VALUE"""),46195.617928541666)</f>
        <v>46195.61793</v>
      </c>
      <c r="D322" s="173">
        <f t="shared" si="1"/>
        <v>0.07408850694</v>
      </c>
      <c r="G322" s="76">
        <f>IFERROR(__xludf.DUMMYFUNCTION("""COMPUTED_VALUE"""),5283.0)</f>
        <v>5283</v>
      </c>
      <c r="H322" s="232">
        <f>IFERROR(__xludf.DUMMYFUNCTION("""COMPUTED_VALUE"""),46195.69896149305)</f>
        <v>46195.69896</v>
      </c>
      <c r="I322" s="84">
        <f>IFERROR(__xludf.DUMMYFUNCTION("""COMPUTED_VALUE"""),46195.61807201389)</f>
        <v>46195.61807</v>
      </c>
      <c r="J322" s="76">
        <f t="shared" si="2"/>
        <v>0.08088947916</v>
      </c>
      <c r="L322" s="76">
        <f>IFERROR(__xludf.DUMMYFUNCTION("""COMPUTED_VALUE"""),5283.0)</f>
        <v>5283</v>
      </c>
      <c r="M322" s="232">
        <f>IFERROR(__xludf.DUMMYFUNCTION("""COMPUTED_VALUE"""),46195.803128159714)</f>
        <v>46195.80313</v>
      </c>
      <c r="N322" s="84">
        <f>IFERROR(__xludf.DUMMYFUNCTION("""COMPUTED_VALUE"""),46195.61815241898)</f>
        <v>46195.61815</v>
      </c>
      <c r="O322" s="76">
        <f t="shared" si="3"/>
        <v>0.1849757407</v>
      </c>
      <c r="Q322" s="76">
        <f>IFERROR(__xludf.DUMMYFUNCTION("""COMPUTED_VALUE"""),5278.0)</f>
        <v>5278</v>
      </c>
      <c r="R322" s="232">
        <f>IFERROR(__xludf.DUMMYFUNCTION("""COMPUTED_VALUE"""),46196.442361111105)</f>
        <v>46196.44236</v>
      </c>
      <c r="S322" s="84">
        <f>IFERROR(__xludf.DUMMYFUNCTION("""COMPUTED_VALUE"""),46193.65265164352)</f>
        <v>46193.65265</v>
      </c>
      <c r="T322" s="76">
        <f t="shared" si="4"/>
        <v>2.789709468</v>
      </c>
      <c r="V322" s="76">
        <f>IFERROR(__xludf.DUMMYFUNCTION("""COMPUTED_VALUE"""),5283.0)</f>
        <v>5283</v>
      </c>
      <c r="W322" s="232">
        <f>IFERROR(__xludf.DUMMYFUNCTION("""COMPUTED_VALUE"""),46197.427777777775)</f>
        <v>46197.42778</v>
      </c>
      <c r="X322" s="84">
        <f>IFERROR(__xludf.DUMMYFUNCTION("""COMPUTED_VALUE"""),46196.778204629634)</f>
        <v>46196.7782</v>
      </c>
      <c r="Y322" s="76">
        <f t="shared" si="5"/>
        <v>0.6495731481</v>
      </c>
      <c r="AK322" s="232"/>
      <c r="AL322" s="233"/>
      <c r="AM322" s="173"/>
    </row>
    <row r="323">
      <c r="A323" s="76">
        <f>IFERROR(__xludf.DUMMYFUNCTION("""COMPUTED_VALUE"""),5284.0)</f>
        <v>5284</v>
      </c>
      <c r="B323" s="232">
        <f>IFERROR(__xludf.DUMMYFUNCTION("""COMPUTED_VALUE"""),46195.81782945601)</f>
        <v>46195.81783</v>
      </c>
      <c r="C323" s="84">
        <f>IFERROR(__xludf.DUMMYFUNCTION("""COMPUTED_VALUE"""),46195.71824269676)</f>
        <v>46195.71824</v>
      </c>
      <c r="D323" s="173">
        <f t="shared" si="1"/>
        <v>0.09958675925</v>
      </c>
      <c r="G323" s="76">
        <f>IFERROR(__xludf.DUMMYFUNCTION("""COMPUTED_VALUE"""),5284.0)</f>
        <v>5284</v>
      </c>
      <c r="H323" s="232">
        <f>IFERROR(__xludf.DUMMYFUNCTION("""COMPUTED_VALUE"""),46195.82477390046)</f>
        <v>46195.82477</v>
      </c>
      <c r="I323" s="84">
        <f>IFERROR(__xludf.DUMMYFUNCTION("""COMPUTED_VALUE"""),46195.718442337966)</f>
        <v>46195.71844</v>
      </c>
      <c r="J323" s="76">
        <f t="shared" si="2"/>
        <v>0.1063315625</v>
      </c>
      <c r="L323" s="76">
        <f>IFERROR(__xludf.DUMMYFUNCTION("""COMPUTED_VALUE"""),5284.0)</f>
        <v>5284</v>
      </c>
      <c r="M323" s="232">
        <f>IFERROR(__xludf.DUMMYFUNCTION("""COMPUTED_VALUE"""),46196.532638888886)</f>
        <v>46196.53264</v>
      </c>
      <c r="N323" s="84">
        <f>IFERROR(__xludf.DUMMYFUNCTION("""COMPUTED_VALUE"""),46195.797917013886)</f>
        <v>46195.79792</v>
      </c>
      <c r="O323" s="76">
        <f t="shared" si="3"/>
        <v>0.734721875</v>
      </c>
      <c r="Q323" s="76">
        <f>IFERROR(__xludf.DUMMYFUNCTION("""COMPUTED_VALUE"""),5279.0)</f>
        <v>5279</v>
      </c>
      <c r="R323" s="232">
        <f>IFERROR(__xludf.DUMMYFUNCTION("""COMPUTED_VALUE"""),46196.556249999994)</f>
        <v>46196.55625</v>
      </c>
      <c r="S323" s="84">
        <f>IFERROR(__xludf.DUMMYFUNCTION("""COMPUTED_VALUE"""),46195.50152614583)</f>
        <v>46195.50153</v>
      </c>
      <c r="T323" s="76">
        <f t="shared" si="4"/>
        <v>1.054723854</v>
      </c>
      <c r="V323" s="76">
        <f>IFERROR(__xludf.DUMMYFUNCTION("""COMPUTED_VALUE"""),5284.0)</f>
        <v>5284</v>
      </c>
      <c r="W323" s="232">
        <f>IFERROR(__xludf.DUMMYFUNCTION("""COMPUTED_VALUE"""),46197.57430555555)</f>
        <v>46197.57431</v>
      </c>
      <c r="X323" s="84">
        <f>IFERROR(__xludf.DUMMYFUNCTION("""COMPUTED_VALUE"""),46196.77829743056)</f>
        <v>46196.7783</v>
      </c>
      <c r="Y323" s="76">
        <f t="shared" si="5"/>
        <v>0.796008125</v>
      </c>
      <c r="AK323" s="232"/>
      <c r="AL323" s="233"/>
      <c r="AM323" s="173"/>
    </row>
    <row r="324">
      <c r="A324" s="76">
        <f>IFERROR(__xludf.DUMMYFUNCTION("""COMPUTED_VALUE"""),5285.0)</f>
        <v>5285</v>
      </c>
      <c r="B324" s="232">
        <f>IFERROR(__xludf.DUMMYFUNCTION("""COMPUTED_VALUE"""),46196.42291666666)</f>
        <v>46196.42292</v>
      </c>
      <c r="C324" s="84">
        <f>IFERROR(__xludf.DUMMYFUNCTION("""COMPUTED_VALUE"""),46195.71825232639)</f>
        <v>46195.71825</v>
      </c>
      <c r="D324" s="173">
        <f t="shared" si="1"/>
        <v>0.7046643403</v>
      </c>
      <c r="G324" s="76">
        <f>IFERROR(__xludf.DUMMYFUNCTION("""COMPUTED_VALUE"""),5285.0)</f>
        <v>5285</v>
      </c>
      <c r="H324" s="232">
        <f>IFERROR(__xludf.DUMMYFUNCTION("""COMPUTED_VALUE"""),46196.42986111111)</f>
        <v>46196.42986</v>
      </c>
      <c r="I324" s="84">
        <f>IFERROR(__xludf.DUMMYFUNCTION("""COMPUTED_VALUE"""),46195.71849506944)</f>
        <v>46195.7185</v>
      </c>
      <c r="J324" s="76">
        <f t="shared" si="2"/>
        <v>0.7113660417</v>
      </c>
      <c r="L324" s="76">
        <f>IFERROR(__xludf.DUMMYFUNCTION("""COMPUTED_VALUE"""),5285.0)</f>
        <v>5285</v>
      </c>
      <c r="M324" s="232">
        <f>IFERROR(__xludf.DUMMYFUNCTION("""COMPUTED_VALUE"""),46196.53402777777)</f>
        <v>46196.53403</v>
      </c>
      <c r="N324" s="84">
        <f>IFERROR(__xludf.DUMMYFUNCTION("""COMPUTED_VALUE"""),46195.7978659838)</f>
        <v>46195.79787</v>
      </c>
      <c r="O324" s="76">
        <f t="shared" si="3"/>
        <v>0.736161794</v>
      </c>
      <c r="Q324" s="76">
        <f>IFERROR(__xludf.DUMMYFUNCTION("""COMPUTED_VALUE"""),5280.0)</f>
        <v>5280</v>
      </c>
      <c r="R324" s="232">
        <f>IFERROR(__xludf.DUMMYFUNCTION("""COMPUTED_VALUE"""),46196.55694444444)</f>
        <v>46196.55694</v>
      </c>
      <c r="S324" s="84">
        <f>IFERROR(__xludf.DUMMYFUNCTION("""COMPUTED_VALUE"""),46195.501544108796)</f>
        <v>46195.50154</v>
      </c>
      <c r="T324" s="76">
        <f t="shared" si="4"/>
        <v>1.055400336</v>
      </c>
      <c r="V324" s="76">
        <f>IFERROR(__xludf.DUMMYFUNCTION("""COMPUTED_VALUE"""),5285.0)</f>
        <v>5285</v>
      </c>
      <c r="W324" s="232">
        <f>IFERROR(__xludf.DUMMYFUNCTION("""COMPUTED_VALUE"""),46197.575694444444)</f>
        <v>46197.57569</v>
      </c>
      <c r="X324" s="84">
        <f>IFERROR(__xludf.DUMMYFUNCTION("""COMPUTED_VALUE"""),46197.49038670139)</f>
        <v>46197.49039</v>
      </c>
      <c r="Y324" s="76">
        <f t="shared" si="5"/>
        <v>0.08530774305</v>
      </c>
      <c r="AK324" s="232"/>
      <c r="AL324" s="233"/>
      <c r="AM324" s="173"/>
    </row>
    <row r="325">
      <c r="A325" s="76">
        <f>IFERROR(__xludf.DUMMYFUNCTION("""COMPUTED_VALUE"""),5286.0)</f>
        <v>5286</v>
      </c>
      <c r="B325" s="232">
        <f>IFERROR(__xludf.DUMMYFUNCTION("""COMPUTED_VALUE"""),46196.75590273148)</f>
        <v>46196.7559</v>
      </c>
      <c r="C325" s="84">
        <f>IFERROR(__xludf.DUMMYFUNCTION("""COMPUTED_VALUE"""),46196.777947581024)</f>
        <v>46196.77795</v>
      </c>
      <c r="D325" s="173">
        <f t="shared" si="1"/>
        <v>-0.02204484955</v>
      </c>
      <c r="G325" s="76">
        <f>IFERROR(__xludf.DUMMYFUNCTION("""COMPUTED_VALUE"""),5286.0)</f>
        <v>5286</v>
      </c>
      <c r="H325" s="232">
        <f>IFERROR(__xludf.DUMMYFUNCTION("""COMPUTED_VALUE"""),46196.76284717592)</f>
        <v>46196.76285</v>
      </c>
      <c r="I325" s="84">
        <f>IFERROR(__xludf.DUMMYFUNCTION("""COMPUTED_VALUE"""),46196.77801375)</f>
        <v>46196.77801</v>
      </c>
      <c r="J325" s="76">
        <f t="shared" si="2"/>
        <v>-0.01516657408</v>
      </c>
      <c r="L325" s="76">
        <f>IFERROR(__xludf.DUMMYFUNCTION("""COMPUTED_VALUE"""),5286.0)</f>
        <v>5286</v>
      </c>
      <c r="M325" s="232">
        <f>IFERROR(__xludf.DUMMYFUNCTION("""COMPUTED_VALUE"""),46197.42916666666)</f>
        <v>46197.42917</v>
      </c>
      <c r="N325" s="84">
        <f>IFERROR(__xludf.DUMMYFUNCTION("""COMPUTED_VALUE"""),46196.77804077546)</f>
        <v>46196.77804</v>
      </c>
      <c r="O325" s="76">
        <f t="shared" si="3"/>
        <v>0.6511258912</v>
      </c>
      <c r="Q325" s="76">
        <f>IFERROR(__xludf.DUMMYFUNCTION("""COMPUTED_VALUE"""),5281.0)</f>
        <v>5281</v>
      </c>
      <c r="R325" s="232">
        <f>IFERROR(__xludf.DUMMYFUNCTION("""COMPUTED_VALUE"""),46196.55763888889)</f>
        <v>46196.55764</v>
      </c>
      <c r="S325" s="84">
        <f>IFERROR(__xludf.DUMMYFUNCTION("""COMPUTED_VALUE"""),46195.501569976856)</f>
        <v>46195.50157</v>
      </c>
      <c r="T325" s="76">
        <f t="shared" si="4"/>
        <v>1.056068912</v>
      </c>
      <c r="V325" s="76">
        <f>IFERROR(__xludf.DUMMYFUNCTION("""COMPUTED_VALUE"""),5286.0)</f>
        <v>5286</v>
      </c>
      <c r="W325" s="232">
        <f>IFERROR(__xludf.DUMMYFUNCTION("""COMPUTED_VALUE"""),46198.470833333326)</f>
        <v>46198.47083</v>
      </c>
      <c r="X325" s="84">
        <f>IFERROR(__xludf.DUMMYFUNCTION("""COMPUTED_VALUE"""),46198.406896863424)</f>
        <v>46198.4069</v>
      </c>
      <c r="Y325" s="76">
        <f t="shared" si="5"/>
        <v>0.0639364699</v>
      </c>
      <c r="AK325" s="232"/>
      <c r="AL325" s="233"/>
      <c r="AM325" s="173"/>
    </row>
    <row r="326">
      <c r="A326" s="76">
        <f>IFERROR(__xludf.DUMMYFUNCTION("""COMPUTED_VALUE"""),5287.0)</f>
        <v>5287</v>
      </c>
      <c r="B326" s="232">
        <f>IFERROR(__xludf.DUMMYFUNCTION("""COMPUTED_VALUE"""),46197.65346195602)</f>
        <v>46197.65346</v>
      </c>
      <c r="C326" s="84">
        <f>IFERROR(__xludf.DUMMYFUNCTION("""COMPUTED_VALUE"""),46197.490100532406)</f>
        <v>46197.4901</v>
      </c>
      <c r="D326" s="173">
        <f t="shared" si="1"/>
        <v>0.1633614236</v>
      </c>
      <c r="G326" s="76">
        <f>IFERROR(__xludf.DUMMYFUNCTION("""COMPUTED_VALUE"""),5287.0)</f>
        <v>5287</v>
      </c>
      <c r="H326" s="232">
        <f>IFERROR(__xludf.DUMMYFUNCTION("""COMPUTED_VALUE"""),46197.660406400464)</f>
        <v>46197.66041</v>
      </c>
      <c r="I326" s="84">
        <f>IFERROR(__xludf.DUMMYFUNCTION("""COMPUTED_VALUE"""),46197.490248194445)</f>
        <v>46197.49025</v>
      </c>
      <c r="J326" s="76">
        <f t="shared" si="2"/>
        <v>0.170158206</v>
      </c>
      <c r="L326" s="76">
        <f>IFERROR(__xludf.DUMMYFUNCTION("""COMPUTED_VALUE"""),5287.0)</f>
        <v>5287</v>
      </c>
      <c r="M326" s="232">
        <f>IFERROR(__xludf.DUMMYFUNCTION("""COMPUTED_VALUE"""),46197.76457306713)</f>
        <v>46197.76457</v>
      </c>
      <c r="N326" s="84">
        <f>IFERROR(__xludf.DUMMYFUNCTION("""COMPUTED_VALUE"""),46197.561658715276)</f>
        <v>46197.56166</v>
      </c>
      <c r="O326" s="76">
        <f t="shared" si="3"/>
        <v>0.2029143519</v>
      </c>
      <c r="Q326" s="76">
        <f>IFERROR(__xludf.DUMMYFUNCTION("""COMPUTED_VALUE"""),5282.0)</f>
        <v>5282</v>
      </c>
      <c r="R326" s="232">
        <f>IFERROR(__xludf.DUMMYFUNCTION("""COMPUTED_VALUE"""),46196.80208333333)</f>
        <v>46196.80208</v>
      </c>
      <c r="S326" s="84">
        <f>IFERROR(__xludf.DUMMYFUNCTION("""COMPUTED_VALUE"""),46196.559962175925)</f>
        <v>46196.55996</v>
      </c>
      <c r="T326" s="76">
        <f t="shared" si="4"/>
        <v>0.2421211574</v>
      </c>
      <c r="V326" s="76">
        <f>IFERROR(__xludf.DUMMYFUNCTION("""COMPUTED_VALUE"""),5287.0)</f>
        <v>5287</v>
      </c>
      <c r="W326" s="232">
        <f>IFERROR(__xludf.DUMMYFUNCTION("""COMPUTED_VALUE"""),46198.805555555555)</f>
        <v>46198.80556</v>
      </c>
      <c r="X326" s="84">
        <f>IFERROR(__xludf.DUMMYFUNCTION("""COMPUTED_VALUE"""),46198.47339326389)</f>
        <v>46198.47339</v>
      </c>
      <c r="Y326" s="76">
        <f t="shared" si="5"/>
        <v>0.3321622917</v>
      </c>
      <c r="AK326" s="232"/>
      <c r="AL326" s="233"/>
      <c r="AM326" s="173"/>
    </row>
    <row r="327">
      <c r="A327" s="76">
        <f>IFERROR(__xludf.DUMMYFUNCTION("""COMPUTED_VALUE"""),5288.0)</f>
        <v>5288</v>
      </c>
      <c r="B327" s="232">
        <f>IFERROR(__xludf.DUMMYFUNCTION("""COMPUTED_VALUE"""),46197.68333949074)</f>
        <v>46197.68334</v>
      </c>
      <c r="C327" s="84">
        <f>IFERROR(__xludf.DUMMYFUNCTION("""COMPUTED_VALUE"""),46197.51777659722)</f>
        <v>46197.51778</v>
      </c>
      <c r="D327" s="173">
        <f t="shared" si="1"/>
        <v>0.1655628935</v>
      </c>
      <c r="G327" s="76">
        <f>IFERROR(__xludf.DUMMYFUNCTION("""COMPUTED_VALUE"""),5288.0)</f>
        <v>5288</v>
      </c>
      <c r="H327" s="232">
        <f>IFERROR(__xludf.DUMMYFUNCTION("""COMPUTED_VALUE"""),46197.69028393518)</f>
        <v>46197.69028</v>
      </c>
      <c r="I327" s="84">
        <f>IFERROR(__xludf.DUMMYFUNCTION("""COMPUTED_VALUE"""),46197.51805219907)</f>
        <v>46197.51805</v>
      </c>
      <c r="J327" s="76">
        <f t="shared" si="2"/>
        <v>0.1722317361</v>
      </c>
      <c r="L327" s="76">
        <f>IFERROR(__xludf.DUMMYFUNCTION("""COMPUTED_VALUE"""),5288.0)</f>
        <v>5288</v>
      </c>
      <c r="M327" s="232">
        <f>IFERROR(__xludf.DUMMYFUNCTION("""COMPUTED_VALUE"""),46197.79445060185)</f>
        <v>46197.79445</v>
      </c>
      <c r="N327" s="84">
        <f>IFERROR(__xludf.DUMMYFUNCTION("""COMPUTED_VALUE"""),46197.51809893519)</f>
        <v>46197.5181</v>
      </c>
      <c r="O327" s="76">
        <f t="shared" si="3"/>
        <v>0.2763516667</v>
      </c>
      <c r="Q327" s="76">
        <f>IFERROR(__xludf.DUMMYFUNCTION("""COMPUTED_VALUE"""),5283.0)</f>
        <v>5283</v>
      </c>
      <c r="R327" s="232">
        <f>IFERROR(__xludf.DUMMYFUNCTION("""COMPUTED_VALUE"""),46196.802777777775)</f>
        <v>46196.80278</v>
      </c>
      <c r="S327" s="84">
        <f>IFERROR(__xludf.DUMMYFUNCTION("""COMPUTED_VALUE"""),46196.55997984954)</f>
        <v>46196.55998</v>
      </c>
      <c r="T327" s="76">
        <f t="shared" si="4"/>
        <v>0.2427979282</v>
      </c>
      <c r="V327" s="76">
        <f>IFERROR(__xludf.DUMMYFUNCTION("""COMPUTED_VALUE"""),5288.0)</f>
        <v>5288</v>
      </c>
      <c r="W327" s="232">
        <f>IFERROR(__xludf.DUMMYFUNCTION("""COMPUTED_VALUE"""),46199.419444444444)</f>
        <v>46199.41944</v>
      </c>
      <c r="X327" s="84">
        <f>IFERROR(__xludf.DUMMYFUNCTION("""COMPUTED_VALUE"""),46197.628682511575)</f>
        <v>46197.62868</v>
      </c>
      <c r="Y327" s="76">
        <f t="shared" si="5"/>
        <v>1.790761933</v>
      </c>
      <c r="AK327" s="232"/>
      <c r="AL327" s="233"/>
      <c r="AM327" s="173"/>
    </row>
    <row r="328">
      <c r="A328" s="76">
        <f>IFERROR(__xludf.DUMMYFUNCTION("""COMPUTED_VALUE"""),5289.0)</f>
        <v>5289</v>
      </c>
      <c r="B328" s="232">
        <f>IFERROR(__xludf.DUMMYFUNCTION("""COMPUTED_VALUE"""),46197.69233966435)</f>
        <v>46197.69234</v>
      </c>
      <c r="C328" s="84">
        <f>IFERROR(__xludf.DUMMYFUNCTION("""COMPUTED_VALUE"""),46197.54557239583)</f>
        <v>46197.54557</v>
      </c>
      <c r="D328" s="173">
        <f t="shared" si="1"/>
        <v>0.1467672685</v>
      </c>
      <c r="G328" s="76">
        <f>IFERROR(__xludf.DUMMYFUNCTION("""COMPUTED_VALUE"""),5289.0)</f>
        <v>5289</v>
      </c>
      <c r="H328" s="232">
        <f>IFERROR(__xludf.DUMMYFUNCTION("""COMPUTED_VALUE"""),46197.69928410879)</f>
        <v>46197.69928</v>
      </c>
      <c r="I328" s="84">
        <f>IFERROR(__xludf.DUMMYFUNCTION("""COMPUTED_VALUE"""),46197.5457237963)</f>
        <v>46197.54572</v>
      </c>
      <c r="J328" s="76">
        <f t="shared" si="2"/>
        <v>0.1535603125</v>
      </c>
      <c r="L328" s="76">
        <f>IFERROR(__xludf.DUMMYFUNCTION("""COMPUTED_VALUE"""),5289.0)</f>
        <v>5289</v>
      </c>
      <c r="M328" s="232">
        <f>IFERROR(__xludf.DUMMYFUNCTION("""COMPUTED_VALUE"""),46197.80345077546)</f>
        <v>46197.80345</v>
      </c>
      <c r="N328" s="84">
        <f>IFERROR(__xludf.DUMMYFUNCTION("""COMPUTED_VALUE"""),46197.54582179398)</f>
        <v>46197.54582</v>
      </c>
      <c r="O328" s="76">
        <f t="shared" si="3"/>
        <v>0.2576289815</v>
      </c>
      <c r="Q328" s="76">
        <f>IFERROR(__xludf.DUMMYFUNCTION("""COMPUTED_VALUE"""),5284.0)</f>
        <v>5284</v>
      </c>
      <c r="R328" s="232">
        <f>IFERROR(__xludf.DUMMYFUNCTION("""COMPUTED_VALUE"""),46197.532638888886)</f>
        <v>46197.53264</v>
      </c>
      <c r="S328" s="84">
        <f>IFERROR(__xludf.DUMMYFUNCTION("""COMPUTED_VALUE"""),46196.77825290509)</f>
        <v>46196.77825</v>
      </c>
      <c r="T328" s="76">
        <f t="shared" si="4"/>
        <v>0.7543859838</v>
      </c>
      <c r="V328" s="76">
        <f>IFERROR(__xludf.DUMMYFUNCTION("""COMPUTED_VALUE"""),5289.0)</f>
        <v>5289</v>
      </c>
      <c r="W328" s="232">
        <f>IFERROR(__xludf.DUMMYFUNCTION("""COMPUTED_VALUE"""),46199.427777777775)</f>
        <v>46199.42778</v>
      </c>
      <c r="X328" s="84">
        <f>IFERROR(__xludf.DUMMYFUNCTION("""COMPUTED_VALUE"""),46197.587793784725)</f>
        <v>46197.58779</v>
      </c>
      <c r="Y328" s="76">
        <f t="shared" si="5"/>
        <v>1.839983993</v>
      </c>
      <c r="AK328" s="232"/>
      <c r="AL328" s="233"/>
      <c r="AM328" s="173"/>
    </row>
    <row r="329">
      <c r="A329" s="76">
        <f>IFERROR(__xludf.DUMMYFUNCTION("""COMPUTED_VALUE"""),5290.0)</f>
        <v>5290</v>
      </c>
      <c r="B329" s="232">
        <f>IFERROR(__xludf.DUMMYFUNCTION("""COMPUTED_VALUE"""),46197.706610821755)</f>
        <v>46197.70661</v>
      </c>
      <c r="C329" s="84">
        <f>IFERROR(__xludf.DUMMYFUNCTION("""COMPUTED_VALUE"""),46197.54561087963)</f>
        <v>46197.54561</v>
      </c>
      <c r="D329" s="173">
        <f t="shared" si="1"/>
        <v>0.1609999421</v>
      </c>
      <c r="G329" s="76">
        <f>IFERROR(__xludf.DUMMYFUNCTION("""COMPUTED_VALUE"""),5290.0)</f>
        <v>5290</v>
      </c>
      <c r="H329" s="232">
        <f>IFERROR(__xludf.DUMMYFUNCTION("""COMPUTED_VALUE"""),46197.7135552662)</f>
        <v>46197.71356</v>
      </c>
      <c r="I329" s="84">
        <f>IFERROR(__xludf.DUMMYFUNCTION("""COMPUTED_VALUE"""),46197.54574475695)</f>
        <v>46197.54574</v>
      </c>
      <c r="J329" s="76">
        <f t="shared" si="2"/>
        <v>0.1678105093</v>
      </c>
      <c r="L329" s="76">
        <f>IFERROR(__xludf.DUMMYFUNCTION("""COMPUTED_VALUE"""),5290.0)</f>
        <v>5290</v>
      </c>
      <c r="M329" s="232">
        <f>IFERROR(__xludf.DUMMYFUNCTION("""COMPUTED_VALUE"""),46197.817721932865)</f>
        <v>46197.81772</v>
      </c>
      <c r="N329" s="84">
        <f>IFERROR(__xludf.DUMMYFUNCTION("""COMPUTED_VALUE"""),46197.545843217595)</f>
        <v>46197.54584</v>
      </c>
      <c r="O329" s="76">
        <f t="shared" si="3"/>
        <v>0.2718787153</v>
      </c>
      <c r="Q329" s="76">
        <f>IFERROR(__xludf.DUMMYFUNCTION("""COMPUTED_VALUE"""),5285.0)</f>
        <v>5285</v>
      </c>
      <c r="R329" s="232">
        <f>IFERROR(__xludf.DUMMYFUNCTION("""COMPUTED_VALUE"""),46197.53402777778)</f>
        <v>46197.53403</v>
      </c>
      <c r="S329" s="84">
        <f>IFERROR(__xludf.DUMMYFUNCTION("""COMPUTED_VALUE"""),46197.49032203703)</f>
        <v>46197.49032</v>
      </c>
      <c r="T329" s="76">
        <f t="shared" si="4"/>
        <v>0.04370574075</v>
      </c>
      <c r="V329" s="76">
        <f>IFERROR(__xludf.DUMMYFUNCTION("""COMPUTED_VALUE"""),5290.0)</f>
        <v>5290</v>
      </c>
      <c r="W329" s="232">
        <f>IFERROR(__xludf.DUMMYFUNCTION("""COMPUTED_VALUE"""),46199.442361111105)</f>
        <v>46199.44236</v>
      </c>
      <c r="X329" s="84">
        <f>IFERROR(__xludf.DUMMYFUNCTION("""COMPUTED_VALUE"""),46197.80344268518)</f>
        <v>46197.80344</v>
      </c>
      <c r="Y329" s="76">
        <f t="shared" si="5"/>
        <v>1.638918426</v>
      </c>
      <c r="AK329" s="232"/>
      <c r="AL329" s="233"/>
      <c r="AM329" s="173"/>
    </row>
    <row r="330">
      <c r="A330" s="76">
        <f>IFERROR(__xludf.DUMMYFUNCTION("""COMPUTED_VALUE"""),5291.0)</f>
        <v>5291</v>
      </c>
      <c r="B330" s="232">
        <f>IFERROR(__xludf.DUMMYFUNCTION("""COMPUTED_VALUE"""),46197.718710277775)</f>
        <v>46197.71871</v>
      </c>
      <c r="C330" s="84">
        <f>IFERROR(__xludf.DUMMYFUNCTION("""COMPUTED_VALUE"""),46197.56126699074)</f>
        <v>46197.56127</v>
      </c>
      <c r="D330" s="173">
        <f t="shared" si="1"/>
        <v>0.157443287</v>
      </c>
      <c r="G330" s="76">
        <f>IFERROR(__xludf.DUMMYFUNCTION("""COMPUTED_VALUE"""),5291.0)</f>
        <v>5291</v>
      </c>
      <c r="H330" s="232">
        <f>IFERROR(__xludf.DUMMYFUNCTION("""COMPUTED_VALUE"""),46197.72565472222)</f>
        <v>46197.72565</v>
      </c>
      <c r="I330" s="84">
        <f>IFERROR(__xludf.DUMMYFUNCTION("""COMPUTED_VALUE"""),46197.56148263889)</f>
        <v>46197.56148</v>
      </c>
      <c r="J330" s="76">
        <f t="shared" si="2"/>
        <v>0.1641720833</v>
      </c>
      <c r="L330" s="76">
        <f>IFERROR(__xludf.DUMMYFUNCTION("""COMPUTED_VALUE"""),5291.0)</f>
        <v>5291</v>
      </c>
      <c r="M330" s="232">
        <f>IFERROR(__xludf.DUMMYFUNCTION("""COMPUTED_VALUE"""),46197.829821388885)</f>
        <v>46197.82982</v>
      </c>
      <c r="N330" s="84">
        <f>IFERROR(__xludf.DUMMYFUNCTION("""COMPUTED_VALUE"""),46197.561598622684)</f>
        <v>46197.5616</v>
      </c>
      <c r="O330" s="76">
        <f t="shared" si="3"/>
        <v>0.2682227662</v>
      </c>
      <c r="Q330" s="76">
        <f>IFERROR(__xludf.DUMMYFUNCTION("""COMPUTED_VALUE"""),5286.0)</f>
        <v>5286</v>
      </c>
      <c r="R330" s="232">
        <f>IFERROR(__xludf.DUMMYFUNCTION("""COMPUTED_VALUE"""),46198.42916666666)</f>
        <v>46198.42917</v>
      </c>
      <c r="S330" s="84">
        <f>IFERROR(__xludf.DUMMYFUNCTION("""COMPUTED_VALUE"""),46198.406847094906)</f>
        <v>46198.40685</v>
      </c>
      <c r="T330" s="76">
        <f t="shared" si="4"/>
        <v>0.02231957176</v>
      </c>
      <c r="V330" s="76">
        <f>IFERROR(__xludf.DUMMYFUNCTION("""COMPUTED_VALUE"""),5291.0)</f>
        <v>5291</v>
      </c>
      <c r="W330" s="232">
        <f>IFERROR(__xludf.DUMMYFUNCTION("""COMPUTED_VALUE"""),46199.45416666666)</f>
        <v>46199.45417</v>
      </c>
      <c r="X330" s="84">
        <f>IFERROR(__xludf.DUMMYFUNCTION("""COMPUTED_VALUE"""),46199.454086655096)</f>
        <v>46199.45409</v>
      </c>
      <c r="Y330" s="76">
        <f t="shared" si="5"/>
        <v>0.00008001156675</v>
      </c>
      <c r="AK330" s="232"/>
      <c r="AL330" s="233"/>
      <c r="AM330" s="173"/>
    </row>
    <row r="331">
      <c r="A331" s="76">
        <f>IFERROR(__xludf.DUMMYFUNCTION("""COMPUTED_VALUE"""),5292.0)</f>
        <v>5292</v>
      </c>
      <c r="B331" s="232">
        <f>IFERROR(__xludf.DUMMYFUNCTION("""COMPUTED_VALUE"""),46197.72608142361)</f>
        <v>46197.72608</v>
      </c>
      <c r="C331" s="84">
        <f>IFERROR(__xludf.DUMMYFUNCTION("""COMPUTED_VALUE"""),46197.56128840278)</f>
        <v>46197.56129</v>
      </c>
      <c r="D331" s="173">
        <f t="shared" si="1"/>
        <v>0.1647930208</v>
      </c>
      <c r="G331" s="76">
        <f>IFERROR(__xludf.DUMMYFUNCTION("""COMPUTED_VALUE"""),5292.0)</f>
        <v>5292</v>
      </c>
      <c r="H331" s="232">
        <f>IFERROR(__xludf.DUMMYFUNCTION("""COMPUTED_VALUE"""),46197.73302586805)</f>
        <v>46197.73303</v>
      </c>
      <c r="I331" s="84">
        <f>IFERROR(__xludf.DUMMYFUNCTION("""COMPUTED_VALUE"""),46197.56149847222)</f>
        <v>46197.5615</v>
      </c>
      <c r="J331" s="76">
        <f t="shared" si="2"/>
        <v>0.1715273958</v>
      </c>
      <c r="L331" s="76">
        <f>IFERROR(__xludf.DUMMYFUNCTION("""COMPUTED_VALUE"""),5292.0)</f>
        <v>5292</v>
      </c>
      <c r="M331" s="232">
        <f>IFERROR(__xludf.DUMMYFUNCTION("""COMPUTED_VALUE"""),46198.44097222222)</f>
        <v>46198.44097</v>
      </c>
      <c r="N331" s="84">
        <f>IFERROR(__xludf.DUMMYFUNCTION("""COMPUTED_VALUE"""),46197.561616203704)</f>
        <v>46197.56162</v>
      </c>
      <c r="O331" s="76">
        <f t="shared" si="3"/>
        <v>0.8793560185</v>
      </c>
      <c r="Q331" s="76">
        <f>IFERROR(__xludf.DUMMYFUNCTION("""COMPUTED_VALUE"""),5287.0)</f>
        <v>5287</v>
      </c>
      <c r="R331" s="232">
        <f>IFERROR(__xludf.DUMMYFUNCTION("""COMPUTED_VALUE"""),46198.76388888889)</f>
        <v>46198.76389</v>
      </c>
      <c r="S331" s="84">
        <f>IFERROR(__xludf.DUMMYFUNCTION("""COMPUTED_VALUE"""),46198.47336199074)</f>
        <v>46198.47336</v>
      </c>
      <c r="T331" s="76">
        <f t="shared" si="4"/>
        <v>0.2905268981</v>
      </c>
      <c r="V331" s="76">
        <f>IFERROR(__xludf.DUMMYFUNCTION("""COMPUTED_VALUE"""),5292.0)</f>
        <v>5292</v>
      </c>
      <c r="W331" s="232">
        <f>IFERROR(__xludf.DUMMYFUNCTION("""COMPUTED_VALUE"""),46199.48263888888)</f>
        <v>46199.48264</v>
      </c>
      <c r="X331" s="84">
        <f>IFERROR(__xludf.DUMMYFUNCTION("""COMPUTED_VALUE"""),46199.45393013889)</f>
        <v>46199.45393</v>
      </c>
      <c r="Y331" s="76">
        <f t="shared" si="5"/>
        <v>0.02870875</v>
      </c>
      <c r="AK331" s="232"/>
      <c r="AL331" s="233"/>
      <c r="AM331" s="173"/>
    </row>
    <row r="332">
      <c r="A332" s="76">
        <f>IFERROR(__xludf.DUMMYFUNCTION("""COMPUTED_VALUE"""),5293.0)</f>
        <v>5293</v>
      </c>
      <c r="B332" s="232">
        <f>IFERROR(__xludf.DUMMYFUNCTION("""COMPUTED_VALUE"""),46198.444444444445)</f>
        <v>46198.44444</v>
      </c>
      <c r="C332" s="84">
        <f>IFERROR(__xludf.DUMMYFUNCTION("""COMPUTED_VALUE"""),46197.80331004629)</f>
        <v>46197.80331</v>
      </c>
      <c r="D332" s="173">
        <f t="shared" si="1"/>
        <v>0.6411343982</v>
      </c>
      <c r="G332" s="76">
        <f>IFERROR(__xludf.DUMMYFUNCTION("""COMPUTED_VALUE"""),5293.0)</f>
        <v>5293</v>
      </c>
      <c r="H332" s="232">
        <f>IFERROR(__xludf.DUMMYFUNCTION("""COMPUTED_VALUE"""),46198.45138888889)</f>
        <v>46198.45139</v>
      </c>
      <c r="I332" s="84">
        <f>IFERROR(__xludf.DUMMYFUNCTION("""COMPUTED_VALUE"""),46197.803510972226)</f>
        <v>46197.80351</v>
      </c>
      <c r="J332" s="76">
        <f t="shared" si="2"/>
        <v>0.6478779167</v>
      </c>
      <c r="L332" s="76">
        <f>IFERROR(__xludf.DUMMYFUNCTION("""COMPUTED_VALUE"""),5293.0)</f>
        <v>5293</v>
      </c>
      <c r="M332" s="232">
        <f>IFERROR(__xludf.DUMMYFUNCTION("""COMPUTED_VALUE"""),46198.555555555555)</f>
        <v>46198.55556</v>
      </c>
      <c r="N332" s="84">
        <f>IFERROR(__xludf.DUMMYFUNCTION("""COMPUTED_VALUE"""),46198.472965671295)</f>
        <v>46198.47297</v>
      </c>
      <c r="O332" s="76">
        <f t="shared" si="3"/>
        <v>0.08258988426</v>
      </c>
      <c r="Q332" s="76">
        <f>IFERROR(__xludf.DUMMYFUNCTION("""COMPUTED_VALUE"""),5288.0)</f>
        <v>5288</v>
      </c>
      <c r="R332" s="232">
        <f>IFERROR(__xludf.DUMMYFUNCTION("""COMPUTED_VALUE"""),46198.794444444444)</f>
        <v>46198.79444</v>
      </c>
      <c r="S332" s="84">
        <f>IFERROR(__xludf.DUMMYFUNCTION("""COMPUTED_VALUE"""),46197.628656076384)</f>
        <v>46197.62866</v>
      </c>
      <c r="T332" s="76">
        <f t="shared" si="4"/>
        <v>1.165788368</v>
      </c>
      <c r="V332" s="76">
        <f>IFERROR(__xludf.DUMMYFUNCTION("""COMPUTED_VALUE"""),5293.0)</f>
        <v>5293</v>
      </c>
      <c r="W332" s="232">
        <f>IFERROR(__xludf.DUMMYFUNCTION("""COMPUTED_VALUE"""),46199.59722222222)</f>
        <v>46199.59722</v>
      </c>
      <c r="X332" s="84">
        <f>IFERROR(__xludf.DUMMYFUNCTION("""COMPUTED_VALUE"""),46199.454299363424)</f>
        <v>46199.4543</v>
      </c>
      <c r="Y332" s="76">
        <f t="shared" si="5"/>
        <v>0.1429228588</v>
      </c>
      <c r="AK332" s="232"/>
      <c r="AL332" s="233"/>
      <c r="AM332" s="173"/>
    </row>
    <row r="333">
      <c r="A333" s="76">
        <f>IFERROR(__xludf.DUMMYFUNCTION("""COMPUTED_VALUE"""),5294.0)</f>
        <v>5294</v>
      </c>
      <c r="B333" s="232">
        <f>IFERROR(__xludf.DUMMYFUNCTION("""COMPUTED_VALUE"""),46198.64252945602)</f>
        <v>46198.64253</v>
      </c>
      <c r="C333" s="84">
        <f>IFERROR(__xludf.DUMMYFUNCTION("""COMPUTED_VALUE"""),46198.47623784722)</f>
        <v>46198.47624</v>
      </c>
      <c r="D333" s="173">
        <f t="shared" si="1"/>
        <v>0.1662916088</v>
      </c>
      <c r="G333" s="76">
        <f>IFERROR(__xludf.DUMMYFUNCTION("""COMPUTED_VALUE"""),5294.0)</f>
        <v>5294</v>
      </c>
      <c r="H333" s="232">
        <f>IFERROR(__xludf.DUMMYFUNCTION("""COMPUTED_VALUE"""),46198.64947390046)</f>
        <v>46198.64947</v>
      </c>
      <c r="I333" s="84">
        <f>IFERROR(__xludf.DUMMYFUNCTION("""COMPUTED_VALUE"""),46198.47630465278)</f>
        <v>46198.4763</v>
      </c>
      <c r="J333" s="76">
        <f t="shared" si="2"/>
        <v>0.1731692477</v>
      </c>
      <c r="L333" s="76">
        <f>IFERROR(__xludf.DUMMYFUNCTION("""COMPUTED_VALUE"""),5294.0)</f>
        <v>5294</v>
      </c>
      <c r="M333" s="232">
        <f>IFERROR(__xludf.DUMMYFUNCTION("""COMPUTED_VALUE"""),46198.75364056713)</f>
        <v>46198.75364</v>
      </c>
      <c r="N333" s="84">
        <f>IFERROR(__xludf.DUMMYFUNCTION("""COMPUTED_VALUE"""),46198.476329537036)</f>
        <v>46198.47633</v>
      </c>
      <c r="O333" s="76">
        <f t="shared" si="3"/>
        <v>0.2773110301</v>
      </c>
      <c r="Q333" s="76">
        <f>IFERROR(__xludf.DUMMYFUNCTION("""COMPUTED_VALUE"""),5289.0)</f>
        <v>5289</v>
      </c>
      <c r="R333" s="232">
        <f>IFERROR(__xludf.DUMMYFUNCTION("""COMPUTED_VALUE"""),46198.802777777775)</f>
        <v>46198.80278</v>
      </c>
      <c r="S333" s="84">
        <f>IFERROR(__xludf.DUMMYFUNCTION("""COMPUTED_VALUE"""),46197.58766928241)</f>
        <v>46197.58767</v>
      </c>
      <c r="T333" s="76">
        <f t="shared" si="4"/>
        <v>1.215108495</v>
      </c>
      <c r="V333" s="76">
        <f>IFERROR(__xludf.DUMMYFUNCTION("""COMPUTED_VALUE"""),5294.0)</f>
        <v>5294</v>
      </c>
      <c r="W333" s="232">
        <f>IFERROR(__xludf.DUMMYFUNCTION("""COMPUTED_VALUE"""),46199.79513888888)</f>
        <v>46199.79514</v>
      </c>
      <c r="X333" s="84">
        <f>IFERROR(__xludf.DUMMYFUNCTION("""COMPUTED_VALUE"""),46198.703975069446)</f>
        <v>46198.70398</v>
      </c>
      <c r="Y333" s="76">
        <f t="shared" si="5"/>
        <v>1.091163819</v>
      </c>
      <c r="AK333" s="232"/>
      <c r="AL333" s="233"/>
      <c r="AM333" s="173"/>
    </row>
    <row r="334">
      <c r="A334" s="76">
        <f>IFERROR(__xludf.DUMMYFUNCTION("""COMPUTED_VALUE"""),5295.0)</f>
        <v>5295</v>
      </c>
      <c r="B334" s="232">
        <f>IFERROR(__xludf.DUMMYFUNCTION("""COMPUTED_VALUE"""),46198.66934563657)</f>
        <v>46198.66935</v>
      </c>
      <c r="C334" s="84">
        <f>IFERROR(__xludf.DUMMYFUNCTION("""COMPUTED_VALUE"""),46198.605956064814)</f>
        <v>46198.60596</v>
      </c>
      <c r="D334" s="173">
        <f t="shared" si="1"/>
        <v>0.06338957175</v>
      </c>
      <c r="G334" s="76">
        <f>IFERROR(__xludf.DUMMYFUNCTION("""COMPUTED_VALUE"""),5295.0)</f>
        <v>5295</v>
      </c>
      <c r="H334" s="232">
        <f>IFERROR(__xludf.DUMMYFUNCTION("""COMPUTED_VALUE"""),46198.67629008101)</f>
        <v>46198.67629</v>
      </c>
      <c r="I334" s="84">
        <f>IFERROR(__xludf.DUMMYFUNCTION("""COMPUTED_VALUE"""),46198.60607032407)</f>
        <v>46198.60607</v>
      </c>
      <c r="J334" s="76">
        <f t="shared" si="2"/>
        <v>0.07021975694</v>
      </c>
      <c r="L334" s="76">
        <f>IFERROR(__xludf.DUMMYFUNCTION("""COMPUTED_VALUE"""),5295.0)</f>
        <v>5295</v>
      </c>
      <c r="M334" s="232">
        <f>IFERROR(__xludf.DUMMYFUNCTION("""COMPUTED_VALUE"""),46198.78045674768)</f>
        <v>46198.78046</v>
      </c>
      <c r="N334" s="84">
        <f>IFERROR(__xludf.DUMMYFUNCTION("""COMPUTED_VALUE"""),46198.60609541667)</f>
        <v>46198.6061</v>
      </c>
      <c r="O334" s="76">
        <f t="shared" si="3"/>
        <v>0.174361331</v>
      </c>
      <c r="Q334" s="76">
        <f>IFERROR(__xludf.DUMMYFUNCTION("""COMPUTED_VALUE"""),5290.0)</f>
        <v>5290</v>
      </c>
      <c r="R334" s="232">
        <f>IFERROR(__xludf.DUMMYFUNCTION("""COMPUTED_VALUE"""),46198.817361111105)</f>
        <v>46198.81736</v>
      </c>
      <c r="S334" s="84">
        <f>IFERROR(__xludf.DUMMYFUNCTION("""COMPUTED_VALUE"""),46197.80340563657)</f>
        <v>46197.80341</v>
      </c>
      <c r="T334" s="76">
        <f t="shared" si="4"/>
        <v>1.013955475</v>
      </c>
      <c r="V334" s="76">
        <f>IFERROR(__xludf.DUMMYFUNCTION("""COMPUTED_VALUE"""),5295.0)</f>
        <v>5295</v>
      </c>
      <c r="W334" s="232">
        <f>IFERROR(__xludf.DUMMYFUNCTION("""COMPUTED_VALUE"""),46199.82152777778)</f>
        <v>46199.82153</v>
      </c>
      <c r="X334" s="84">
        <f>IFERROR(__xludf.DUMMYFUNCTION("""COMPUTED_VALUE"""),46199.617616504634)</f>
        <v>46199.61762</v>
      </c>
      <c r="Y334" s="76">
        <f t="shared" si="5"/>
        <v>0.2039112731</v>
      </c>
      <c r="AK334" s="232"/>
      <c r="AL334" s="233"/>
      <c r="AM334" s="173"/>
    </row>
    <row r="335">
      <c r="A335" s="76">
        <f>IFERROR(__xludf.DUMMYFUNCTION("""COMPUTED_VALUE"""),5296.0)</f>
        <v>5296</v>
      </c>
      <c r="B335" s="232">
        <f>IFERROR(__xludf.DUMMYFUNCTION("""COMPUTED_VALUE"""),46198.682239421294)</f>
        <v>46198.68224</v>
      </c>
      <c r="C335" s="84">
        <f>IFERROR(__xludf.DUMMYFUNCTION("""COMPUTED_VALUE"""),46198.605956064814)</f>
        <v>46198.60596</v>
      </c>
      <c r="D335" s="173">
        <f t="shared" si="1"/>
        <v>0.07628335648</v>
      </c>
      <c r="G335" s="76">
        <f>IFERROR(__xludf.DUMMYFUNCTION("""COMPUTED_VALUE"""),5296.0)</f>
        <v>5296</v>
      </c>
      <c r="H335" s="232">
        <f>IFERROR(__xludf.DUMMYFUNCTION("""COMPUTED_VALUE"""),46198.68918386574)</f>
        <v>46198.68918</v>
      </c>
      <c r="I335" s="84">
        <f>IFERROR(__xludf.DUMMYFUNCTION("""COMPUTED_VALUE"""),46198.60607032407)</f>
        <v>46198.60607</v>
      </c>
      <c r="J335" s="76">
        <f t="shared" si="2"/>
        <v>0.08311354167</v>
      </c>
      <c r="L335" s="76">
        <f>IFERROR(__xludf.DUMMYFUNCTION("""COMPUTED_VALUE"""),5296.0)</f>
        <v>5296</v>
      </c>
      <c r="M335" s="232">
        <f>IFERROR(__xludf.DUMMYFUNCTION("""COMPUTED_VALUE"""),46198.7933505324)</f>
        <v>46198.79335</v>
      </c>
      <c r="N335" s="84">
        <f>IFERROR(__xludf.DUMMYFUNCTION("""COMPUTED_VALUE"""),46198.60609541667)</f>
        <v>46198.6061</v>
      </c>
      <c r="O335" s="76">
        <f t="shared" si="3"/>
        <v>0.1872551157</v>
      </c>
      <c r="Q335" s="76">
        <f>IFERROR(__xludf.DUMMYFUNCTION("""COMPUTED_VALUE"""),5291.0)</f>
        <v>5291</v>
      </c>
      <c r="R335" s="232">
        <f>IFERROR(__xludf.DUMMYFUNCTION("""COMPUTED_VALUE"""),46198.82916666666)</f>
        <v>46198.82917</v>
      </c>
      <c r="S335" s="84">
        <f>IFERROR(__xludf.DUMMYFUNCTION("""COMPUTED_VALUE"""),46198.498661273145)</f>
        <v>46198.49866</v>
      </c>
      <c r="T335" s="76">
        <f t="shared" si="4"/>
        <v>0.3305053935</v>
      </c>
      <c r="V335" s="76">
        <f>IFERROR(__xludf.DUMMYFUNCTION("""COMPUTED_VALUE"""),5296.0)</f>
        <v>5296</v>
      </c>
      <c r="W335" s="232">
        <f>IFERROR(__xludf.DUMMYFUNCTION("""COMPUTED_VALUE"""),46200.41805555555)</f>
        <v>46200.41806</v>
      </c>
      <c r="X335" s="84">
        <f>IFERROR(__xludf.DUMMYFUNCTION("""COMPUTED_VALUE"""),46199.46787864583)</f>
        <v>46199.46788</v>
      </c>
      <c r="Y335" s="76">
        <f t="shared" si="5"/>
        <v>0.9501769097</v>
      </c>
      <c r="AK335" s="232"/>
      <c r="AL335" s="233"/>
      <c r="AM335" s="173"/>
    </row>
    <row r="336">
      <c r="A336" s="76">
        <f>IFERROR(__xludf.DUMMYFUNCTION("""COMPUTED_VALUE"""),5297.0)</f>
        <v>5297</v>
      </c>
      <c r="B336" s="232">
        <f>IFERROR(__xludf.DUMMYFUNCTION("""COMPUTED_VALUE"""),46199.50833333333)</f>
        <v>46199.50833</v>
      </c>
      <c r="C336" s="84">
        <f>IFERROR(__xludf.DUMMYFUNCTION("""COMPUTED_VALUE"""),46198.762278263894)</f>
        <v>46198.76228</v>
      </c>
      <c r="D336" s="173">
        <f t="shared" si="1"/>
        <v>0.7460550694</v>
      </c>
      <c r="G336" s="76">
        <f>IFERROR(__xludf.DUMMYFUNCTION("""COMPUTED_VALUE"""),5297.0)</f>
        <v>5297</v>
      </c>
      <c r="H336" s="232">
        <f>IFERROR(__xludf.DUMMYFUNCTION("""COMPUTED_VALUE"""),46199.51527777778)</f>
        <v>46199.51528</v>
      </c>
      <c r="I336" s="84">
        <f>IFERROR(__xludf.DUMMYFUNCTION("""COMPUTED_VALUE"""),46198.76231475694)</f>
        <v>46198.76231</v>
      </c>
      <c r="J336" s="76">
        <f t="shared" si="2"/>
        <v>0.7529630208</v>
      </c>
      <c r="L336" s="76">
        <f>IFERROR(__xludf.DUMMYFUNCTION("""COMPUTED_VALUE"""),5297.0)</f>
        <v>5297</v>
      </c>
      <c r="M336" s="232">
        <f>IFERROR(__xludf.DUMMYFUNCTION("""COMPUTED_VALUE"""),46199.61944444444)</f>
        <v>46199.61944</v>
      </c>
      <c r="N336" s="84">
        <f>IFERROR(__xludf.DUMMYFUNCTION("""COMPUTED_VALUE"""),46198.76236122685)</f>
        <v>46198.76236</v>
      </c>
      <c r="O336" s="76">
        <f t="shared" si="3"/>
        <v>0.8570832176</v>
      </c>
      <c r="Q336" s="76">
        <f>IFERROR(__xludf.DUMMYFUNCTION("""COMPUTED_VALUE"""),5292.0)</f>
        <v>5292</v>
      </c>
      <c r="R336" s="232">
        <f>IFERROR(__xludf.DUMMYFUNCTION("""COMPUTED_VALUE"""),46199.44097222222)</f>
        <v>46199.44097</v>
      </c>
      <c r="S336" s="84">
        <f>IFERROR(__xludf.DUMMYFUNCTION("""COMPUTED_VALUE"""),46199.45384120371)</f>
        <v>46199.45384</v>
      </c>
      <c r="T336" s="76">
        <f t="shared" si="4"/>
        <v>-0.01286898149</v>
      </c>
      <c r="V336" s="76">
        <f>IFERROR(__xludf.DUMMYFUNCTION("""COMPUTED_VALUE"""),5297.0)</f>
        <v>5297</v>
      </c>
      <c r="W336" s="232">
        <f>IFERROR(__xludf.DUMMYFUNCTION("""COMPUTED_VALUE"""),46200.66111111111)</f>
        <v>46200.66111</v>
      </c>
      <c r="X336" s="84">
        <f>IFERROR(__xludf.DUMMYFUNCTION("""COMPUTED_VALUE"""),46199.4678828125)</f>
        <v>46199.46788</v>
      </c>
      <c r="Y336" s="76">
        <f t="shared" si="5"/>
        <v>1.193228299</v>
      </c>
      <c r="AK336" s="232"/>
      <c r="AL336" s="233"/>
      <c r="AM336" s="173"/>
    </row>
    <row r="337">
      <c r="A337" s="76">
        <f>IFERROR(__xludf.DUMMYFUNCTION("""COMPUTED_VALUE"""),5298.0)</f>
        <v>5298</v>
      </c>
      <c r="B337" s="232">
        <f>IFERROR(__xludf.DUMMYFUNCTION("""COMPUTED_VALUE"""),46199.549999999996)</f>
        <v>46199.55</v>
      </c>
      <c r="C337" s="84">
        <f>IFERROR(__xludf.DUMMYFUNCTION("""COMPUTED_VALUE"""),46198.80231423611)</f>
        <v>46198.80231</v>
      </c>
      <c r="D337" s="173">
        <f t="shared" si="1"/>
        <v>0.7476857639</v>
      </c>
      <c r="G337" s="76">
        <f>IFERROR(__xludf.DUMMYFUNCTION("""COMPUTED_VALUE"""),5298.0)</f>
        <v>5298</v>
      </c>
      <c r="H337" s="232">
        <f>IFERROR(__xludf.DUMMYFUNCTION("""COMPUTED_VALUE"""),46199.55694444444)</f>
        <v>46199.55694</v>
      </c>
      <c r="I337" s="84">
        <f>IFERROR(__xludf.DUMMYFUNCTION("""COMPUTED_VALUE"""),46198.802426435184)</f>
        <v>46198.80243</v>
      </c>
      <c r="J337" s="76">
        <f t="shared" si="2"/>
        <v>0.7545180093</v>
      </c>
      <c r="L337" s="76">
        <f>IFERROR(__xludf.DUMMYFUNCTION("""COMPUTED_VALUE"""),5298.0)</f>
        <v>5298</v>
      </c>
      <c r="M337" s="232">
        <f>IFERROR(__xludf.DUMMYFUNCTION("""COMPUTED_VALUE"""),46199.661111111105)</f>
        <v>46199.66111</v>
      </c>
      <c r="N337" s="84">
        <f>IFERROR(__xludf.DUMMYFUNCTION("""COMPUTED_VALUE"""),46198.80359361111)</f>
        <v>46198.80359</v>
      </c>
      <c r="O337" s="76">
        <f t="shared" si="3"/>
        <v>0.8575175</v>
      </c>
      <c r="Q337" s="76">
        <f>IFERROR(__xludf.DUMMYFUNCTION("""COMPUTED_VALUE"""),5293.0)</f>
        <v>5293</v>
      </c>
      <c r="R337" s="232">
        <f>IFERROR(__xludf.DUMMYFUNCTION("""COMPUTED_VALUE"""),46199.555555555555)</f>
        <v>46199.55556</v>
      </c>
      <c r="S337" s="84">
        <f>IFERROR(__xludf.DUMMYFUNCTION("""COMPUTED_VALUE"""),46199.45427130787)</f>
        <v>46199.45427</v>
      </c>
      <c r="T337" s="76">
        <f t="shared" si="4"/>
        <v>0.1012842477</v>
      </c>
      <c r="V337" s="76">
        <f>IFERROR(__xludf.DUMMYFUNCTION("""COMPUTED_VALUE"""),5298.0)</f>
        <v>5298</v>
      </c>
      <c r="W337" s="232">
        <f>IFERROR(__xludf.DUMMYFUNCTION("""COMPUTED_VALUE"""),46200.70277777778)</f>
        <v>46200.70278</v>
      </c>
      <c r="X337" s="84">
        <f>IFERROR(__xludf.DUMMYFUNCTION("""COMPUTED_VALUE"""),46200.4458821875)</f>
        <v>46200.44588</v>
      </c>
      <c r="Y337" s="76">
        <f t="shared" si="5"/>
        <v>0.2568955903</v>
      </c>
      <c r="AK337" s="232"/>
      <c r="AL337" s="233"/>
      <c r="AM337" s="173"/>
    </row>
    <row r="338">
      <c r="A338" s="76">
        <f>IFERROR(__xludf.DUMMYFUNCTION("""COMPUTED_VALUE"""),5299.0)</f>
        <v>5299</v>
      </c>
      <c r="B338" s="232">
        <f>IFERROR(__xludf.DUMMYFUNCTION("""COMPUTED_VALUE"""),46199.55138888889)</f>
        <v>46199.55139</v>
      </c>
      <c r="C338" s="84">
        <f>IFERROR(__xludf.DUMMYFUNCTION("""COMPUTED_VALUE"""),46198.802349641206)</f>
        <v>46198.80235</v>
      </c>
      <c r="D338" s="173">
        <f t="shared" si="1"/>
        <v>0.7490392477</v>
      </c>
      <c r="G338" s="76">
        <f>IFERROR(__xludf.DUMMYFUNCTION("""COMPUTED_VALUE"""),5299.0)</f>
        <v>5299</v>
      </c>
      <c r="H338" s="232">
        <f>IFERROR(__xludf.DUMMYFUNCTION("""COMPUTED_VALUE"""),46199.558333333334)</f>
        <v>46199.55833</v>
      </c>
      <c r="I338" s="84">
        <f>IFERROR(__xludf.DUMMYFUNCTION("""COMPUTED_VALUE"""),46198.80239033565)</f>
        <v>46198.80239</v>
      </c>
      <c r="J338" s="76">
        <f t="shared" si="2"/>
        <v>0.7559429977</v>
      </c>
      <c r="L338" s="76">
        <f>IFERROR(__xludf.DUMMYFUNCTION("""COMPUTED_VALUE"""),5299.0)</f>
        <v>5299</v>
      </c>
      <c r="M338" s="232">
        <f>IFERROR(__xludf.DUMMYFUNCTION("""COMPUTED_VALUE"""),46199.6625)</f>
        <v>46199.6625</v>
      </c>
      <c r="N338" s="84">
        <f>IFERROR(__xludf.DUMMYFUNCTION("""COMPUTED_VALUE"""),46198.803628124995)</f>
        <v>46198.80363</v>
      </c>
      <c r="O338" s="76">
        <f t="shared" si="3"/>
        <v>0.858871875</v>
      </c>
      <c r="Q338" s="76">
        <f>IFERROR(__xludf.DUMMYFUNCTION("""COMPUTED_VALUE"""),5294.0)</f>
        <v>5294</v>
      </c>
      <c r="R338" s="232">
        <f>IFERROR(__xludf.DUMMYFUNCTION("""COMPUTED_VALUE"""),46199.75347222222)</f>
        <v>46199.75347</v>
      </c>
      <c r="S338" s="84">
        <f>IFERROR(__xludf.DUMMYFUNCTION("""COMPUTED_VALUE"""),46198.70390635417)</f>
        <v>46198.70391</v>
      </c>
      <c r="T338" s="76">
        <f t="shared" si="4"/>
        <v>1.049565868</v>
      </c>
      <c r="V338" s="76">
        <f>IFERROR(__xludf.DUMMYFUNCTION("""COMPUTED_VALUE"""),5299.0)</f>
        <v>5299</v>
      </c>
      <c r="W338" s="232">
        <f>IFERROR(__xludf.DUMMYFUNCTION("""COMPUTED_VALUE"""),46200.70416666666)</f>
        <v>46200.70417</v>
      </c>
      <c r="X338" s="84">
        <f>IFERROR(__xludf.DUMMYFUNCTION("""COMPUTED_VALUE"""),46200.44591270833)</f>
        <v>46200.44591</v>
      </c>
      <c r="Y338" s="76">
        <f t="shared" si="5"/>
        <v>0.2582539583</v>
      </c>
      <c r="AK338" s="232"/>
      <c r="AL338" s="233"/>
      <c r="AM338" s="173"/>
    </row>
    <row r="339">
      <c r="A339" s="76">
        <f>IFERROR(__xludf.DUMMYFUNCTION("""COMPUTED_VALUE"""),5300.0)</f>
        <v>5300</v>
      </c>
      <c r="B339" s="232">
        <f>IFERROR(__xludf.DUMMYFUNCTION("""COMPUTED_VALUE"""),46199.552777777775)</f>
        <v>46199.55278</v>
      </c>
      <c r="C339" s="84">
        <f>IFERROR(__xludf.DUMMYFUNCTION("""COMPUTED_VALUE"""),46198.80347324074)</f>
        <v>46198.80347</v>
      </c>
      <c r="D339" s="173">
        <f t="shared" si="1"/>
        <v>0.749304537</v>
      </c>
      <c r="G339" s="76">
        <f>IFERROR(__xludf.DUMMYFUNCTION("""COMPUTED_VALUE"""),5300.0)</f>
        <v>5300</v>
      </c>
      <c r="H339" s="232">
        <f>IFERROR(__xludf.DUMMYFUNCTION("""COMPUTED_VALUE"""),46199.55972222222)</f>
        <v>46199.55972</v>
      </c>
      <c r="I339" s="84">
        <f>IFERROR(__xludf.DUMMYFUNCTION("""COMPUTED_VALUE"""),46198.80353439815)</f>
        <v>46198.80353</v>
      </c>
      <c r="J339" s="76">
        <f t="shared" si="2"/>
        <v>0.7561878241</v>
      </c>
      <c r="L339" s="76">
        <f>IFERROR(__xludf.DUMMYFUNCTION("""COMPUTED_VALUE"""),5300.0)</f>
        <v>5300</v>
      </c>
      <c r="M339" s="232">
        <f>IFERROR(__xludf.DUMMYFUNCTION("""COMPUTED_VALUE"""),46199.663888888885)</f>
        <v>46199.66389</v>
      </c>
      <c r="N339" s="84">
        <f>IFERROR(__xludf.DUMMYFUNCTION("""COMPUTED_VALUE"""),46198.803645821754)</f>
        <v>46198.80365</v>
      </c>
      <c r="O339" s="76">
        <f t="shared" si="3"/>
        <v>0.8602430671</v>
      </c>
      <c r="Q339" s="76">
        <f>IFERROR(__xludf.DUMMYFUNCTION("""COMPUTED_VALUE"""),5295.0)</f>
        <v>5295</v>
      </c>
      <c r="R339" s="232">
        <f>IFERROR(__xludf.DUMMYFUNCTION("""COMPUTED_VALUE"""),46199.779861111114)</f>
        <v>46199.77986</v>
      </c>
      <c r="S339" s="84">
        <f>IFERROR(__xludf.DUMMYFUNCTION("""COMPUTED_VALUE"""),46199.61757971065)</f>
        <v>46199.61758</v>
      </c>
      <c r="T339" s="76">
        <f t="shared" si="4"/>
        <v>0.1622814005</v>
      </c>
      <c r="V339" s="76">
        <f>IFERROR(__xludf.DUMMYFUNCTION("""COMPUTED_VALUE"""),5300.0)</f>
        <v>5300</v>
      </c>
      <c r="W339" s="232">
        <f>IFERROR(__xludf.DUMMYFUNCTION("""COMPUTED_VALUE"""),46200.705555555556)</f>
        <v>46200.70556</v>
      </c>
      <c r="X339" s="84">
        <f>IFERROR(__xludf.DUMMYFUNCTION("""COMPUTED_VALUE"""),46200.44592774306)</f>
        <v>46200.44593</v>
      </c>
      <c r="Y339" s="76">
        <f t="shared" si="5"/>
        <v>0.2596278125</v>
      </c>
      <c r="AK339" s="232"/>
      <c r="AL339" s="233"/>
      <c r="AM339" s="173"/>
    </row>
    <row r="340">
      <c r="A340" s="76">
        <f>IFERROR(__xludf.DUMMYFUNCTION("""COMPUTED_VALUE"""),5301.0)</f>
        <v>5301</v>
      </c>
      <c r="B340" s="232">
        <f>IFERROR(__xludf.DUMMYFUNCTION("""COMPUTED_VALUE"""),46199.559027777774)</f>
        <v>46199.55903</v>
      </c>
      <c r="C340" s="84">
        <f>IFERROR(__xludf.DUMMYFUNCTION("""COMPUTED_VALUE"""),46199.38168274306)</f>
        <v>46199.38168</v>
      </c>
      <c r="D340" s="173">
        <f t="shared" si="1"/>
        <v>0.1773450347</v>
      </c>
      <c r="G340" s="76">
        <f>IFERROR(__xludf.DUMMYFUNCTION("""COMPUTED_VALUE"""),5301.0)</f>
        <v>5301</v>
      </c>
      <c r="H340" s="232">
        <f>IFERROR(__xludf.DUMMYFUNCTION("""COMPUTED_VALUE"""),46199.56597222222)</f>
        <v>46199.56597</v>
      </c>
      <c r="I340" s="84">
        <f>IFERROR(__xludf.DUMMYFUNCTION("""COMPUTED_VALUE"""),46199.381937928236)</f>
        <v>46199.38194</v>
      </c>
      <c r="J340" s="76">
        <f t="shared" si="2"/>
        <v>0.184034294</v>
      </c>
      <c r="L340" s="76">
        <f>IFERROR(__xludf.DUMMYFUNCTION("""COMPUTED_VALUE"""),5301.0)</f>
        <v>5301</v>
      </c>
      <c r="M340" s="232">
        <f>IFERROR(__xludf.DUMMYFUNCTION("""COMPUTED_VALUE"""),46199.67013888888)</f>
        <v>46199.67014</v>
      </c>
      <c r="N340" s="84">
        <f>IFERROR(__xludf.DUMMYFUNCTION("""COMPUTED_VALUE"""),46199.382068217594)</f>
        <v>46199.38207</v>
      </c>
      <c r="O340" s="76">
        <f t="shared" si="3"/>
        <v>0.2880706713</v>
      </c>
      <c r="Q340" s="76">
        <f>IFERROR(__xludf.DUMMYFUNCTION("""COMPUTED_VALUE"""),5296.0)</f>
        <v>5296</v>
      </c>
      <c r="R340" s="232">
        <f>IFERROR(__xludf.DUMMYFUNCTION("""COMPUTED_VALUE"""),46199.79305555555)</f>
        <v>46199.79306</v>
      </c>
      <c r="S340" s="84">
        <f>IFERROR(__xludf.DUMMYFUNCTION("""COMPUTED_VALUE"""),46199.46784722222)</f>
        <v>46199.46785</v>
      </c>
      <c r="T340" s="76">
        <f t="shared" si="4"/>
        <v>0.3252083333</v>
      </c>
      <c r="V340" s="76">
        <f>IFERROR(__xludf.DUMMYFUNCTION("""COMPUTED_VALUE"""),5301.0)</f>
        <v>5301</v>
      </c>
      <c r="W340" s="232">
        <f>IFERROR(__xludf.DUMMYFUNCTION("""COMPUTED_VALUE"""),46200.71180555555)</f>
        <v>46200.71181</v>
      </c>
      <c r="X340" s="84">
        <f>IFERROR(__xludf.DUMMYFUNCTION("""COMPUTED_VALUE"""),46200.445983935184)</f>
        <v>46200.44598</v>
      </c>
      <c r="Y340" s="76">
        <f t="shared" si="5"/>
        <v>0.2658216204</v>
      </c>
      <c r="AK340" s="232"/>
      <c r="AL340" s="233"/>
      <c r="AM340" s="173"/>
    </row>
    <row r="341">
      <c r="A341" s="76">
        <f>IFERROR(__xludf.DUMMYFUNCTION("""COMPUTED_VALUE"""),5302.0)</f>
        <v>5302</v>
      </c>
      <c r="B341" s="232">
        <f>IFERROR(__xludf.DUMMYFUNCTION("""COMPUTED_VALUE"""),46199.55972222222)</f>
        <v>46199.55972</v>
      </c>
      <c r="C341" s="84">
        <f>IFERROR(__xludf.DUMMYFUNCTION("""COMPUTED_VALUE"""),46199.38171784722)</f>
        <v>46199.38172</v>
      </c>
      <c r="D341" s="173">
        <f t="shared" si="1"/>
        <v>0.178004375</v>
      </c>
      <c r="G341" s="76">
        <f>IFERROR(__xludf.DUMMYFUNCTION("""COMPUTED_VALUE"""),5302.0)</f>
        <v>5302</v>
      </c>
      <c r="H341" s="232">
        <f>IFERROR(__xludf.DUMMYFUNCTION("""COMPUTED_VALUE"""),46199.566666666666)</f>
        <v>46199.56667</v>
      </c>
      <c r="I341" s="84">
        <f>IFERROR(__xludf.DUMMYFUNCTION("""COMPUTED_VALUE"""),46199.38196318287)</f>
        <v>46199.38196</v>
      </c>
      <c r="J341" s="76">
        <f t="shared" si="2"/>
        <v>0.1847034838</v>
      </c>
      <c r="L341" s="76">
        <f>IFERROR(__xludf.DUMMYFUNCTION("""COMPUTED_VALUE"""),5302.0)</f>
        <v>5302</v>
      </c>
      <c r="M341" s="232">
        <f>IFERROR(__xludf.DUMMYFUNCTION("""COMPUTED_VALUE"""),46199.67083333333)</f>
        <v>46199.67083</v>
      </c>
      <c r="N341" s="84">
        <f>IFERROR(__xludf.DUMMYFUNCTION("""COMPUTED_VALUE"""),46199.382101006944)</f>
        <v>46199.3821</v>
      </c>
      <c r="O341" s="76">
        <f t="shared" si="3"/>
        <v>0.2887323264</v>
      </c>
      <c r="Q341" s="76">
        <f>IFERROR(__xludf.DUMMYFUNCTION("""COMPUTED_VALUE"""),5297.0)</f>
        <v>5297</v>
      </c>
      <c r="R341" s="232">
        <f>IFERROR(__xludf.DUMMYFUNCTION("""COMPUTED_VALUE"""),46200.61944444445)</f>
        <v>46200.61944</v>
      </c>
      <c r="S341" s="84">
        <f>IFERROR(__xludf.DUMMYFUNCTION("""COMPUTED_VALUE"""),46199.467854525465)</f>
        <v>46199.46785</v>
      </c>
      <c r="T341" s="76">
        <f t="shared" si="4"/>
        <v>1.151589919</v>
      </c>
      <c r="V341" s="76">
        <f>IFERROR(__xludf.DUMMYFUNCTION("""COMPUTED_VALUE"""),5302.0)</f>
        <v>5302</v>
      </c>
      <c r="W341" s="232">
        <f>IFERROR(__xludf.DUMMYFUNCTION("""COMPUTED_VALUE"""),46200.712499999994)</f>
        <v>46200.7125</v>
      </c>
      <c r="X341" s="84">
        <f>IFERROR(__xludf.DUMMYFUNCTION("""COMPUTED_VALUE"""),46200.44600545139)</f>
        <v>46200.44601</v>
      </c>
      <c r="Y341" s="76">
        <f t="shared" si="5"/>
        <v>0.2664945486</v>
      </c>
      <c r="AK341" s="232"/>
      <c r="AL341" s="233"/>
      <c r="AM341" s="173"/>
    </row>
    <row r="342">
      <c r="A342" s="76">
        <f>IFERROR(__xludf.DUMMYFUNCTION("""COMPUTED_VALUE"""),5303.0)</f>
        <v>5303</v>
      </c>
      <c r="B342" s="232">
        <f>IFERROR(__xludf.DUMMYFUNCTION("""COMPUTED_VALUE"""),46199.56041666667)</f>
        <v>46199.56042</v>
      </c>
      <c r="C342" s="84">
        <f>IFERROR(__xludf.DUMMYFUNCTION("""COMPUTED_VALUE"""),46199.381774560185)</f>
        <v>46199.38177</v>
      </c>
      <c r="D342" s="173">
        <f t="shared" si="1"/>
        <v>0.1786421065</v>
      </c>
      <c r="G342" s="76">
        <f>IFERROR(__xludf.DUMMYFUNCTION("""COMPUTED_VALUE"""),5303.0)</f>
        <v>5303</v>
      </c>
      <c r="H342" s="232">
        <f>IFERROR(__xludf.DUMMYFUNCTION("""COMPUTED_VALUE"""),46199.56736111111)</f>
        <v>46199.56736</v>
      </c>
      <c r="I342" s="84">
        <f>IFERROR(__xludf.DUMMYFUNCTION("""COMPUTED_VALUE"""),46199.38199969908)</f>
        <v>46199.382</v>
      </c>
      <c r="J342" s="76">
        <f t="shared" si="2"/>
        <v>0.185361412</v>
      </c>
      <c r="L342" s="76">
        <f>IFERROR(__xludf.DUMMYFUNCTION("""COMPUTED_VALUE"""),5303.0)</f>
        <v>5303</v>
      </c>
      <c r="M342" s="232">
        <f>IFERROR(__xludf.DUMMYFUNCTION("""COMPUTED_VALUE"""),46199.67152777778)</f>
        <v>46199.67153</v>
      </c>
      <c r="N342" s="84">
        <f>IFERROR(__xludf.DUMMYFUNCTION("""COMPUTED_VALUE"""),46199.382141979164)</f>
        <v>46199.38214</v>
      </c>
      <c r="O342" s="76">
        <f t="shared" si="3"/>
        <v>0.2893857986</v>
      </c>
      <c r="Q342" s="76">
        <f>IFERROR(__xludf.DUMMYFUNCTION("""COMPUTED_VALUE"""),5298.0)</f>
        <v>5298</v>
      </c>
      <c r="R342" s="232">
        <f>IFERROR(__xludf.DUMMYFUNCTION("""COMPUTED_VALUE"""),46200.66111111111)</f>
        <v>46200.66111</v>
      </c>
      <c r="S342" s="84">
        <f>IFERROR(__xludf.DUMMYFUNCTION("""COMPUTED_VALUE"""),46198.80370503472)</f>
        <v>46198.80371</v>
      </c>
      <c r="T342" s="76">
        <f t="shared" si="4"/>
        <v>1.857406076</v>
      </c>
      <c r="V342" s="76">
        <f>IFERROR(__xludf.DUMMYFUNCTION("""COMPUTED_VALUE"""),5303.0)</f>
        <v>5303</v>
      </c>
      <c r="W342" s="232">
        <f>IFERROR(__xludf.DUMMYFUNCTION("""COMPUTED_VALUE"""),46200.71319444444)</f>
        <v>46200.71319</v>
      </c>
      <c r="X342" s="84">
        <f>IFERROR(__xludf.DUMMYFUNCTION("""COMPUTED_VALUE"""),46200.44779233796)</f>
        <v>46200.44779</v>
      </c>
      <c r="Y342" s="76">
        <f t="shared" si="5"/>
        <v>0.2654021065</v>
      </c>
      <c r="AK342" s="232"/>
      <c r="AL342" s="233"/>
      <c r="AM342" s="173"/>
    </row>
    <row r="343">
      <c r="A343" s="76">
        <f>IFERROR(__xludf.DUMMYFUNCTION("""COMPUTED_VALUE"""),5304.0)</f>
        <v>5304</v>
      </c>
      <c r="B343" s="232">
        <f>IFERROR(__xludf.DUMMYFUNCTION("""COMPUTED_VALUE"""),46199.56180555555)</f>
        <v>46199.56181</v>
      </c>
      <c r="C343" s="84">
        <f>IFERROR(__xludf.DUMMYFUNCTION("""COMPUTED_VALUE"""),46199.38254572917)</f>
        <v>46199.38255</v>
      </c>
      <c r="D343" s="173">
        <f t="shared" si="1"/>
        <v>0.1792598264</v>
      </c>
      <c r="G343" s="76">
        <f>IFERROR(__xludf.DUMMYFUNCTION("""COMPUTED_VALUE"""),5304.0)</f>
        <v>5304</v>
      </c>
      <c r="H343" s="232">
        <f>IFERROR(__xludf.DUMMYFUNCTION("""COMPUTED_VALUE"""),46199.56875)</f>
        <v>46199.56875</v>
      </c>
      <c r="I343" s="84">
        <f>IFERROR(__xludf.DUMMYFUNCTION("""COMPUTED_VALUE"""),46199.38276483797)</f>
        <v>46199.38276</v>
      </c>
      <c r="J343" s="76">
        <f t="shared" si="2"/>
        <v>0.185985162</v>
      </c>
      <c r="L343" s="76">
        <f>IFERROR(__xludf.DUMMYFUNCTION("""COMPUTED_VALUE"""),5304.0)</f>
        <v>5304</v>
      </c>
      <c r="M343" s="232">
        <f>IFERROR(__xludf.DUMMYFUNCTION("""COMPUTED_VALUE"""),46199.67291666666)</f>
        <v>46199.67292</v>
      </c>
      <c r="N343" s="84">
        <f>IFERROR(__xludf.DUMMYFUNCTION("""COMPUTED_VALUE"""),46199.38290388889)</f>
        <v>46199.3829</v>
      </c>
      <c r="O343" s="76">
        <f t="shared" si="3"/>
        <v>0.2900127778</v>
      </c>
      <c r="Q343" s="76">
        <f>IFERROR(__xludf.DUMMYFUNCTION("""COMPUTED_VALUE"""),5299.0)</f>
        <v>5299</v>
      </c>
      <c r="R343" s="232">
        <f>IFERROR(__xludf.DUMMYFUNCTION("""COMPUTED_VALUE"""),46200.6625)</f>
        <v>46200.6625</v>
      </c>
      <c r="S343" s="84">
        <f>IFERROR(__xludf.DUMMYFUNCTION("""COMPUTED_VALUE"""),46198.803728009254)</f>
        <v>46198.80373</v>
      </c>
      <c r="T343" s="76">
        <f t="shared" si="4"/>
        <v>1.858771991</v>
      </c>
      <c r="V343" s="76">
        <f>IFERROR(__xludf.DUMMYFUNCTION("""COMPUTED_VALUE"""),5304.0)</f>
        <v>5304</v>
      </c>
      <c r="W343" s="232">
        <f>IFERROR(__xludf.DUMMYFUNCTION("""COMPUTED_VALUE"""),46200.71458333333)</f>
        <v>46200.71458</v>
      </c>
      <c r="X343" s="84">
        <f>IFERROR(__xludf.DUMMYFUNCTION("""COMPUTED_VALUE"""),46200.44780967593)</f>
        <v>46200.44781</v>
      </c>
      <c r="Y343" s="76">
        <f t="shared" si="5"/>
        <v>0.2667736574</v>
      </c>
      <c r="AK343" s="232"/>
      <c r="AL343" s="233"/>
      <c r="AM343" s="173"/>
    </row>
    <row r="344">
      <c r="A344" s="76">
        <f>IFERROR(__xludf.DUMMYFUNCTION("""COMPUTED_VALUE"""),5305.0)</f>
        <v>5305</v>
      </c>
      <c r="B344" s="232">
        <f>IFERROR(__xludf.DUMMYFUNCTION("""COMPUTED_VALUE"""),46199.56319444444)</f>
        <v>46199.56319</v>
      </c>
      <c r="C344" s="84">
        <f>IFERROR(__xludf.DUMMYFUNCTION("""COMPUTED_VALUE"""),46199.38258125)</f>
        <v>46199.38258</v>
      </c>
      <c r="D344" s="173">
        <f t="shared" si="1"/>
        <v>0.1806131944</v>
      </c>
      <c r="G344" s="76">
        <f>IFERROR(__xludf.DUMMYFUNCTION("""COMPUTED_VALUE"""),5305.0)</f>
        <v>5305</v>
      </c>
      <c r="H344" s="232">
        <f>IFERROR(__xludf.DUMMYFUNCTION("""COMPUTED_VALUE"""),46199.570138888885)</f>
        <v>46199.57014</v>
      </c>
      <c r="I344" s="84">
        <f>IFERROR(__xludf.DUMMYFUNCTION("""COMPUTED_VALUE"""),46199.38280295139)</f>
        <v>46199.3828</v>
      </c>
      <c r="J344" s="76">
        <f t="shared" si="2"/>
        <v>0.1873359375</v>
      </c>
      <c r="L344" s="76">
        <f>IFERROR(__xludf.DUMMYFUNCTION("""COMPUTED_VALUE"""),5305.0)</f>
        <v>5305</v>
      </c>
      <c r="M344" s="232">
        <f>IFERROR(__xludf.DUMMYFUNCTION("""COMPUTED_VALUE"""),46199.67430555555)</f>
        <v>46199.67431</v>
      </c>
      <c r="N344" s="84">
        <f>IFERROR(__xludf.DUMMYFUNCTION("""COMPUTED_VALUE"""),46199.38286578703)</f>
        <v>46199.38287</v>
      </c>
      <c r="O344" s="76">
        <f t="shared" si="3"/>
        <v>0.2914397685</v>
      </c>
      <c r="Q344" s="76">
        <f>IFERROR(__xludf.DUMMYFUNCTION("""COMPUTED_VALUE"""),5300.0)</f>
        <v>5300</v>
      </c>
      <c r="R344" s="232">
        <f>IFERROR(__xludf.DUMMYFUNCTION("""COMPUTED_VALUE"""),46200.66388888889)</f>
        <v>46200.66389</v>
      </c>
      <c r="S344" s="84">
        <f>IFERROR(__xludf.DUMMYFUNCTION("""COMPUTED_VALUE"""),46198.80377747685)</f>
        <v>46198.80378</v>
      </c>
      <c r="T344" s="76">
        <f t="shared" si="4"/>
        <v>1.860111412</v>
      </c>
      <c r="V344" s="76">
        <f>IFERROR(__xludf.DUMMYFUNCTION("""COMPUTED_VALUE"""),5305.0)</f>
        <v>5305</v>
      </c>
      <c r="W344" s="232">
        <f>IFERROR(__xludf.DUMMYFUNCTION("""COMPUTED_VALUE"""),46200.71597222222)</f>
        <v>46200.71597</v>
      </c>
      <c r="X344" s="84">
        <f>IFERROR(__xludf.DUMMYFUNCTION("""COMPUTED_VALUE"""),46200.44786663195)</f>
        <v>46200.44787</v>
      </c>
      <c r="Y344" s="76">
        <f t="shared" si="5"/>
        <v>0.2681055903</v>
      </c>
      <c r="AK344" s="232"/>
      <c r="AL344" s="233"/>
      <c r="AM344" s="173"/>
    </row>
    <row r="345">
      <c r="A345" s="76">
        <f>IFERROR(__xludf.DUMMYFUNCTION("""COMPUTED_VALUE"""),5306.0)</f>
        <v>5306</v>
      </c>
      <c r="B345" s="232">
        <f>IFERROR(__xludf.DUMMYFUNCTION("""COMPUTED_VALUE"""),46199.61425126157)</f>
        <v>46199.61425</v>
      </c>
      <c r="C345" s="84">
        <f>IFERROR(__xludf.DUMMYFUNCTION("""COMPUTED_VALUE"""),46199.46730736111)</f>
        <v>46199.46731</v>
      </c>
      <c r="D345" s="173">
        <f t="shared" si="1"/>
        <v>0.1469439005</v>
      </c>
      <c r="G345" s="76">
        <f>IFERROR(__xludf.DUMMYFUNCTION("""COMPUTED_VALUE"""),5306.0)</f>
        <v>5306</v>
      </c>
      <c r="H345" s="232">
        <f>IFERROR(__xludf.DUMMYFUNCTION("""COMPUTED_VALUE"""),46199.621195706015)</f>
        <v>46199.6212</v>
      </c>
      <c r="I345" s="84">
        <f>IFERROR(__xludf.DUMMYFUNCTION("""COMPUTED_VALUE"""),46199.46737355324)</f>
        <v>46199.46737</v>
      </c>
      <c r="J345" s="76">
        <f t="shared" si="2"/>
        <v>0.1538221528</v>
      </c>
      <c r="L345" s="76">
        <f>IFERROR(__xludf.DUMMYFUNCTION("""COMPUTED_VALUE"""),5306.0)</f>
        <v>5306</v>
      </c>
      <c r="M345" s="232">
        <f>IFERROR(__xludf.DUMMYFUNCTION("""COMPUTED_VALUE"""),46199.72536237268)</f>
        <v>46199.72536</v>
      </c>
      <c r="N345" s="84">
        <f>IFERROR(__xludf.DUMMYFUNCTION("""COMPUTED_VALUE"""),46199.46739435185)</f>
        <v>46199.46739</v>
      </c>
      <c r="O345" s="76">
        <f t="shared" si="3"/>
        <v>0.2579680208</v>
      </c>
      <c r="Q345" s="76">
        <f>IFERROR(__xludf.DUMMYFUNCTION("""COMPUTED_VALUE"""),5301.0)</f>
        <v>5301</v>
      </c>
      <c r="R345" s="232">
        <f>IFERROR(__xludf.DUMMYFUNCTION("""COMPUTED_VALUE"""),46200.67013888888)</f>
        <v>46200.67014</v>
      </c>
      <c r="S345" s="84">
        <f>IFERROR(__xludf.DUMMYFUNCTION("""COMPUTED_VALUE"""),46199.382226898146)</f>
        <v>46199.38223</v>
      </c>
      <c r="T345" s="76">
        <f t="shared" si="4"/>
        <v>1.287911991</v>
      </c>
      <c r="V345" s="76">
        <f>IFERROR(__xludf.DUMMYFUNCTION("""COMPUTED_VALUE"""),5306.0)</f>
        <v>5306</v>
      </c>
      <c r="W345" s="232">
        <f>IFERROR(__xludf.DUMMYFUNCTION("""COMPUTED_VALUE"""),46200.76666666667)</f>
        <v>46200.76667</v>
      </c>
      <c r="X345" s="84">
        <f>IFERROR(__xludf.DUMMYFUNCTION("""COMPUTED_VALUE"""),46200.56258996528)</f>
        <v>46200.56259</v>
      </c>
      <c r="Y345" s="76">
        <f t="shared" si="5"/>
        <v>0.2040767014</v>
      </c>
      <c r="AK345" s="232"/>
      <c r="AL345" s="233"/>
      <c r="AM345" s="173"/>
    </row>
    <row r="346">
      <c r="A346" s="76">
        <f>IFERROR(__xludf.DUMMYFUNCTION("""COMPUTED_VALUE"""),5307.0)</f>
        <v>5307</v>
      </c>
      <c r="B346" s="232">
        <f>IFERROR(__xludf.DUMMYFUNCTION("""COMPUTED_VALUE"""),46200.48611111112)</f>
        <v>46200.48611</v>
      </c>
      <c r="C346" s="84">
        <f>IFERROR(__xludf.DUMMYFUNCTION("""COMPUTED_VALUE"""),46199.76846528935)</f>
        <v>46199.76847</v>
      </c>
      <c r="D346" s="173">
        <f t="shared" si="1"/>
        <v>0.7176458218</v>
      </c>
      <c r="G346" s="76">
        <f>IFERROR(__xludf.DUMMYFUNCTION("""COMPUTED_VALUE"""),5307.0)</f>
        <v>5307</v>
      </c>
      <c r="H346" s="232">
        <f>IFERROR(__xludf.DUMMYFUNCTION("""COMPUTED_VALUE"""),46200.49305555556)</f>
        <v>46200.49306</v>
      </c>
      <c r="I346" s="84">
        <f>IFERROR(__xludf.DUMMYFUNCTION("""COMPUTED_VALUE"""),46199.76864545139)</f>
        <v>46199.76865</v>
      </c>
      <c r="J346" s="76">
        <f t="shared" si="2"/>
        <v>0.7244101042</v>
      </c>
      <c r="L346" s="76">
        <f>IFERROR(__xludf.DUMMYFUNCTION("""COMPUTED_VALUE"""),5307.0)</f>
        <v>5307</v>
      </c>
      <c r="M346" s="232">
        <f>IFERROR(__xludf.DUMMYFUNCTION("""COMPUTED_VALUE"""),46200.597222222226)</f>
        <v>46200.59722</v>
      </c>
      <c r="N346" s="84">
        <f>IFERROR(__xludf.DUMMYFUNCTION("""COMPUTED_VALUE"""),46200.5519221875)</f>
        <v>46200.55192</v>
      </c>
      <c r="O346" s="76">
        <f t="shared" si="3"/>
        <v>0.04530003473</v>
      </c>
      <c r="Q346" s="76">
        <f>IFERROR(__xludf.DUMMYFUNCTION("""COMPUTED_VALUE"""),5302.0)</f>
        <v>5302</v>
      </c>
      <c r="R346" s="232">
        <f>IFERROR(__xludf.DUMMYFUNCTION("""COMPUTED_VALUE"""),46200.67083333333)</f>
        <v>46200.67083</v>
      </c>
      <c r="S346" s="84">
        <f>IFERROR(__xludf.DUMMYFUNCTION("""COMPUTED_VALUE"""),46199.38227125)</f>
        <v>46199.38227</v>
      </c>
      <c r="T346" s="76">
        <f t="shared" si="4"/>
        <v>1.288562083</v>
      </c>
      <c r="V346" s="76">
        <f>IFERROR(__xludf.DUMMYFUNCTION("""COMPUTED_VALUE"""),5307.0)</f>
        <v>5307</v>
      </c>
      <c r="W346" s="232">
        <f>IFERROR(__xludf.DUMMYFUNCTION("""COMPUTED_VALUE"""),46202.63888888889)</f>
        <v>46202.63889</v>
      </c>
      <c r="X346" s="84">
        <f>IFERROR(__xludf.DUMMYFUNCTION("""COMPUTED_VALUE"""),46202.45741528935)</f>
        <v>46202.45742</v>
      </c>
      <c r="Y346" s="76">
        <f t="shared" si="5"/>
        <v>0.1814735995</v>
      </c>
      <c r="AK346" s="232"/>
      <c r="AL346" s="233"/>
      <c r="AM346" s="173"/>
    </row>
    <row r="347">
      <c r="A347" s="76">
        <f>IFERROR(__xludf.DUMMYFUNCTION("""COMPUTED_VALUE"""),5308.0)</f>
        <v>5308</v>
      </c>
      <c r="B347" s="232">
        <f>IFERROR(__xludf.DUMMYFUNCTION("""COMPUTED_VALUE"""),46200.50486111111)</f>
        <v>46200.50486</v>
      </c>
      <c r="C347" s="84">
        <f>IFERROR(__xludf.DUMMYFUNCTION("""COMPUTED_VALUE"""),46199.768481701394)</f>
        <v>46199.76848</v>
      </c>
      <c r="D347" s="173">
        <f t="shared" si="1"/>
        <v>0.7363794097</v>
      </c>
      <c r="G347" s="76">
        <f>IFERROR(__xludf.DUMMYFUNCTION("""COMPUTED_VALUE"""),5308.0)</f>
        <v>5308</v>
      </c>
      <c r="H347" s="232">
        <f>IFERROR(__xludf.DUMMYFUNCTION("""COMPUTED_VALUE"""),46200.51180555556)</f>
        <v>46200.51181</v>
      </c>
      <c r="I347" s="84">
        <f>IFERROR(__xludf.DUMMYFUNCTION("""COMPUTED_VALUE"""),46199.768667349534)</f>
        <v>46199.76867</v>
      </c>
      <c r="J347" s="76">
        <f t="shared" si="2"/>
        <v>0.743138206</v>
      </c>
      <c r="L347" s="76">
        <f>IFERROR(__xludf.DUMMYFUNCTION("""COMPUTED_VALUE"""),5308.0)</f>
        <v>5308</v>
      </c>
      <c r="M347" s="232">
        <f>IFERROR(__xludf.DUMMYFUNCTION("""COMPUTED_VALUE"""),46200.61597222222)</f>
        <v>46200.61597</v>
      </c>
      <c r="N347" s="84">
        <f>IFERROR(__xludf.DUMMYFUNCTION("""COMPUTED_VALUE"""),46200.55194240741)</f>
        <v>46200.55194</v>
      </c>
      <c r="O347" s="76">
        <f t="shared" si="3"/>
        <v>0.06402981481</v>
      </c>
      <c r="Q347" s="76">
        <f>IFERROR(__xludf.DUMMYFUNCTION("""COMPUTED_VALUE"""),5303.0)</f>
        <v>5303</v>
      </c>
      <c r="R347" s="232">
        <f>IFERROR(__xludf.DUMMYFUNCTION("""COMPUTED_VALUE"""),46200.67152777778)</f>
        <v>46200.67153</v>
      </c>
      <c r="S347" s="84">
        <f>IFERROR(__xludf.DUMMYFUNCTION("""COMPUTED_VALUE"""),46199.382302384256)</f>
        <v>46199.3823</v>
      </c>
      <c r="T347" s="76">
        <f t="shared" si="4"/>
        <v>1.289225394</v>
      </c>
      <c r="V347" s="76">
        <f>IFERROR(__xludf.DUMMYFUNCTION("""COMPUTED_VALUE"""),5308.0)</f>
        <v>5308</v>
      </c>
      <c r="W347" s="232">
        <f>IFERROR(__xludf.DUMMYFUNCTION("""COMPUTED_VALUE"""),46202.657638888886)</f>
        <v>46202.65764</v>
      </c>
      <c r="X347" s="84">
        <f>IFERROR(__xludf.DUMMYFUNCTION("""COMPUTED_VALUE"""),46202.45745350694)</f>
        <v>46202.45745</v>
      </c>
      <c r="Y347" s="76">
        <f t="shared" si="5"/>
        <v>0.2001853819</v>
      </c>
      <c r="AK347" s="232"/>
      <c r="AL347" s="233"/>
      <c r="AM347" s="173"/>
    </row>
    <row r="348">
      <c r="A348" s="76">
        <f>IFERROR(__xludf.DUMMYFUNCTION("""COMPUTED_VALUE"""),5309.0)</f>
        <v>5309</v>
      </c>
      <c r="B348" s="232">
        <f>IFERROR(__xludf.DUMMYFUNCTION("""COMPUTED_VALUE"""),46200.63140759259)</f>
        <v>46200.63141</v>
      </c>
      <c r="C348" s="84">
        <f>IFERROR(__xludf.DUMMYFUNCTION("""COMPUTED_VALUE"""),46200.49773836805)</f>
        <v>46200.49774</v>
      </c>
      <c r="D348" s="173">
        <f t="shared" si="1"/>
        <v>0.1336692245</v>
      </c>
      <c r="G348" s="76">
        <f>IFERROR(__xludf.DUMMYFUNCTION("""COMPUTED_VALUE"""),5309.0)</f>
        <v>5309</v>
      </c>
      <c r="H348" s="232">
        <f>IFERROR(__xludf.DUMMYFUNCTION("""COMPUTED_VALUE"""),46200.63835203704)</f>
        <v>46200.63835</v>
      </c>
      <c r="I348" s="84">
        <f>IFERROR(__xludf.DUMMYFUNCTION("""COMPUTED_VALUE"""),46200.49790616898)</f>
        <v>46200.49791</v>
      </c>
      <c r="J348" s="76">
        <f t="shared" si="2"/>
        <v>0.1404458681</v>
      </c>
      <c r="L348" s="76">
        <f>IFERROR(__xludf.DUMMYFUNCTION("""COMPUTED_VALUE"""),5309.0)</f>
        <v>5309</v>
      </c>
      <c r="M348" s="232">
        <f>IFERROR(__xludf.DUMMYFUNCTION("""COMPUTED_VALUE"""),46200.7425187037)</f>
        <v>46200.74252</v>
      </c>
      <c r="N348" s="84">
        <f>IFERROR(__xludf.DUMMYFUNCTION("""COMPUTED_VALUE"""),46200.551958819444)</f>
        <v>46200.55196</v>
      </c>
      <c r="O348" s="76">
        <f t="shared" si="3"/>
        <v>0.1905598843</v>
      </c>
      <c r="Q348" s="76">
        <f>IFERROR(__xludf.DUMMYFUNCTION("""COMPUTED_VALUE"""),5304.0)</f>
        <v>5304</v>
      </c>
      <c r="R348" s="232">
        <f>IFERROR(__xludf.DUMMYFUNCTION("""COMPUTED_VALUE"""),46200.67291666666)</f>
        <v>46200.67292</v>
      </c>
      <c r="S348" s="84">
        <f>IFERROR(__xludf.DUMMYFUNCTION("""COMPUTED_VALUE"""),46199.382969363425)</f>
        <v>46199.38297</v>
      </c>
      <c r="T348" s="76">
        <f t="shared" si="4"/>
        <v>1.289947303</v>
      </c>
      <c r="V348" s="76">
        <f>IFERROR(__xludf.DUMMYFUNCTION("""COMPUTED_VALUE"""),5309.0)</f>
        <v>5309</v>
      </c>
      <c r="W348" s="232">
        <f>IFERROR(__xludf.DUMMYFUNCTION("""COMPUTED_VALUE"""),46202.78402777778)</f>
        <v>46202.78403</v>
      </c>
      <c r="X348" s="84">
        <f>IFERROR(__xludf.DUMMYFUNCTION("""COMPUTED_VALUE"""),46202.45747850694)</f>
        <v>46202.45748</v>
      </c>
      <c r="Y348" s="76">
        <f t="shared" si="5"/>
        <v>0.3265492708</v>
      </c>
      <c r="AK348" s="232"/>
      <c r="AL348" s="233"/>
      <c r="AM348" s="173"/>
    </row>
    <row r="349">
      <c r="A349" s="76">
        <f>IFERROR(__xludf.DUMMYFUNCTION("""COMPUTED_VALUE"""),5310.0)</f>
        <v>5310</v>
      </c>
      <c r="B349" s="232">
        <f>IFERROR(__xludf.DUMMYFUNCTION("""COMPUTED_VALUE"""),46200.64734349537)</f>
        <v>46200.64734</v>
      </c>
      <c r="C349" s="84">
        <f>IFERROR(__xludf.DUMMYFUNCTION("""COMPUTED_VALUE"""),46200.49784600694)</f>
        <v>46200.49785</v>
      </c>
      <c r="D349" s="173">
        <f t="shared" si="1"/>
        <v>0.1494974884</v>
      </c>
      <c r="G349" s="76">
        <f>IFERROR(__xludf.DUMMYFUNCTION("""COMPUTED_VALUE"""),5310.0)</f>
        <v>5310</v>
      </c>
      <c r="H349" s="232">
        <f>IFERROR(__xludf.DUMMYFUNCTION("""COMPUTED_VALUE"""),46200.65428793982)</f>
        <v>46200.65429</v>
      </c>
      <c r="I349" s="84">
        <f>IFERROR(__xludf.DUMMYFUNCTION("""COMPUTED_VALUE"""),46200.49792927083)</f>
        <v>46200.49793</v>
      </c>
      <c r="J349" s="76">
        <f t="shared" si="2"/>
        <v>0.156358669</v>
      </c>
      <c r="L349" s="76">
        <f>IFERROR(__xludf.DUMMYFUNCTION("""COMPUTED_VALUE"""),5310.0)</f>
        <v>5310</v>
      </c>
      <c r="M349" s="232">
        <f>IFERROR(__xludf.DUMMYFUNCTION("""COMPUTED_VALUE"""),46200.75845460648)</f>
        <v>46200.75845</v>
      </c>
      <c r="N349" s="84">
        <f>IFERROR(__xludf.DUMMYFUNCTION("""COMPUTED_VALUE"""),46200.551877453705)</f>
        <v>46200.55188</v>
      </c>
      <c r="O349" s="76">
        <f t="shared" si="3"/>
        <v>0.2065771528</v>
      </c>
      <c r="Q349" s="76">
        <f>IFERROR(__xludf.DUMMYFUNCTION("""COMPUTED_VALUE"""),5305.0)</f>
        <v>5305</v>
      </c>
      <c r="R349" s="232">
        <f>IFERROR(__xludf.DUMMYFUNCTION("""COMPUTED_VALUE"""),46200.674305555556)</f>
        <v>46200.67431</v>
      </c>
      <c r="S349" s="84">
        <f>IFERROR(__xludf.DUMMYFUNCTION("""COMPUTED_VALUE"""),46199.38301078704)</f>
        <v>46199.38301</v>
      </c>
      <c r="T349" s="76">
        <f t="shared" si="4"/>
        <v>1.291294769</v>
      </c>
      <c r="V349" s="76">
        <f>IFERROR(__xludf.DUMMYFUNCTION("""COMPUTED_VALUE"""),5310.0)</f>
        <v>5310</v>
      </c>
      <c r="W349" s="232">
        <f>IFERROR(__xludf.DUMMYFUNCTION("""COMPUTED_VALUE"""),46202.799999999996)</f>
        <v>46202.8</v>
      </c>
      <c r="X349" s="84">
        <f>IFERROR(__xludf.DUMMYFUNCTION("""COMPUTED_VALUE"""),46202.45750063658)</f>
        <v>46202.4575</v>
      </c>
      <c r="Y349" s="76">
        <f t="shared" si="5"/>
        <v>0.3424993634</v>
      </c>
      <c r="AK349" s="232"/>
      <c r="AL349" s="233"/>
      <c r="AM349" s="173"/>
    </row>
    <row r="350">
      <c r="A350" s="76">
        <f>IFERROR(__xludf.DUMMYFUNCTION("""COMPUTED_VALUE"""),5311.0)</f>
        <v>5311</v>
      </c>
      <c r="B350" s="232">
        <f>IFERROR(__xludf.DUMMYFUNCTION("""COMPUTED_VALUE"""),46202.50833333333)</f>
        <v>46202.50833</v>
      </c>
      <c r="C350" s="84">
        <f>IFERROR(__xludf.DUMMYFUNCTION("""COMPUTED_VALUE"""),46202.45767567129)</f>
        <v>46202.45768</v>
      </c>
      <c r="D350" s="173">
        <f t="shared" si="1"/>
        <v>0.05065766204</v>
      </c>
      <c r="G350" s="76">
        <f>IFERROR(__xludf.DUMMYFUNCTION("""COMPUTED_VALUE"""),5311.0)</f>
        <v>5311</v>
      </c>
      <c r="H350" s="232">
        <f>IFERROR(__xludf.DUMMYFUNCTION("""COMPUTED_VALUE"""),46202.51527777778)</f>
        <v>46202.51528</v>
      </c>
      <c r="I350" s="84">
        <f>IFERROR(__xludf.DUMMYFUNCTION("""COMPUTED_VALUE"""),46202.45771290509)</f>
        <v>46202.45771</v>
      </c>
      <c r="J350" s="76">
        <f t="shared" si="2"/>
        <v>0.05756487269</v>
      </c>
      <c r="L350" s="76">
        <f>IFERROR(__xludf.DUMMYFUNCTION("""COMPUTED_VALUE"""),5311.0)</f>
        <v>5311</v>
      </c>
      <c r="M350" s="232">
        <f>IFERROR(__xludf.DUMMYFUNCTION("""COMPUTED_VALUE"""),46202.61944444444)</f>
        <v>46202.61944</v>
      </c>
      <c r="N350" s="84">
        <f>IFERROR(__xludf.DUMMYFUNCTION("""COMPUTED_VALUE"""),46202.4577434838)</f>
        <v>46202.45774</v>
      </c>
      <c r="O350" s="76">
        <f t="shared" si="3"/>
        <v>0.1617009606</v>
      </c>
      <c r="Q350" s="76">
        <f>IFERROR(__xludf.DUMMYFUNCTION("""COMPUTED_VALUE"""),5306.0)</f>
        <v>5306</v>
      </c>
      <c r="R350" s="232">
        <f>IFERROR(__xludf.DUMMYFUNCTION("""COMPUTED_VALUE"""),46200.725000000006)</f>
        <v>46200.725</v>
      </c>
      <c r="S350" s="84">
        <f>IFERROR(__xludf.DUMMYFUNCTION("""COMPUTED_VALUE"""),46200.56253892361)</f>
        <v>46200.56254</v>
      </c>
      <c r="T350" s="76">
        <f t="shared" si="4"/>
        <v>0.1624610764</v>
      </c>
      <c r="V350" s="76">
        <f>IFERROR(__xludf.DUMMYFUNCTION("""COMPUTED_VALUE"""),5311.0)</f>
        <v>5311</v>
      </c>
      <c r="W350" s="232">
        <f>IFERROR(__xludf.DUMMYFUNCTION("""COMPUTED_VALUE"""),46203.66111111111)</f>
        <v>46203.66111</v>
      </c>
      <c r="X350" s="84">
        <f>IFERROR(__xludf.DUMMYFUNCTION("""COMPUTED_VALUE"""),46202.65909233796)</f>
        <v>46202.65909</v>
      </c>
      <c r="Y350" s="76">
        <f t="shared" si="5"/>
        <v>1.002018773</v>
      </c>
      <c r="AK350" s="232"/>
      <c r="AL350" s="233"/>
      <c r="AM350" s="173"/>
    </row>
    <row r="351">
      <c r="A351" s="76">
        <f>IFERROR(__xludf.DUMMYFUNCTION("""COMPUTED_VALUE"""),5312.0)</f>
        <v>5312</v>
      </c>
      <c r="B351" s="232">
        <f>IFERROR(__xludf.DUMMYFUNCTION("""COMPUTED_VALUE"""),46202.654258090275)</f>
        <v>46202.65426</v>
      </c>
      <c r="C351" s="84">
        <f>IFERROR(__xludf.DUMMYFUNCTION("""COMPUTED_VALUE"""),46202.51188986111)</f>
        <v>46202.51189</v>
      </c>
      <c r="D351" s="173">
        <f t="shared" si="1"/>
        <v>0.1423682292</v>
      </c>
      <c r="G351" s="76">
        <f>IFERROR(__xludf.DUMMYFUNCTION("""COMPUTED_VALUE"""),5312.0)</f>
        <v>5312</v>
      </c>
      <c r="H351" s="232">
        <f>IFERROR(__xludf.DUMMYFUNCTION("""COMPUTED_VALUE"""),46202.66120253472)</f>
        <v>46202.6612</v>
      </c>
      <c r="I351" s="84">
        <f>IFERROR(__xludf.DUMMYFUNCTION("""COMPUTED_VALUE"""),46202.512022916664)</f>
        <v>46202.51202</v>
      </c>
      <c r="J351" s="76">
        <f t="shared" si="2"/>
        <v>0.1491796181</v>
      </c>
      <c r="L351" s="76">
        <f>IFERROR(__xludf.DUMMYFUNCTION("""COMPUTED_VALUE"""),5312.0)</f>
        <v>5312</v>
      </c>
      <c r="M351" s="232">
        <f>IFERROR(__xludf.DUMMYFUNCTION("""COMPUTED_VALUE"""),46202.765369201385)</f>
        <v>46202.76537</v>
      </c>
      <c r="N351" s="84">
        <f>IFERROR(__xludf.DUMMYFUNCTION("""COMPUTED_VALUE"""),46202.512086331015)</f>
        <v>46202.51209</v>
      </c>
      <c r="O351" s="76">
        <f t="shared" si="3"/>
        <v>0.2532828704</v>
      </c>
      <c r="Q351" s="76">
        <f>IFERROR(__xludf.DUMMYFUNCTION("""COMPUTED_VALUE"""),5307.0)</f>
        <v>5307</v>
      </c>
      <c r="R351" s="232">
        <f>IFERROR(__xludf.DUMMYFUNCTION("""COMPUTED_VALUE"""),46202.597222222226)</f>
        <v>46202.59722</v>
      </c>
      <c r="S351" s="84">
        <f>IFERROR(__xludf.DUMMYFUNCTION("""COMPUTED_VALUE"""),46200.68360372685)</f>
        <v>46200.6836</v>
      </c>
      <c r="T351" s="76">
        <f t="shared" si="4"/>
        <v>1.913618495</v>
      </c>
      <c r="V351" s="76">
        <f>IFERROR(__xludf.DUMMYFUNCTION("""COMPUTED_VALUE"""),5312.0)</f>
        <v>5312</v>
      </c>
      <c r="W351" s="232">
        <f>IFERROR(__xludf.DUMMYFUNCTION("""COMPUTED_VALUE"""),46203.80694444444)</f>
        <v>46203.80694</v>
      </c>
      <c r="X351" s="84">
        <f>IFERROR(__xludf.DUMMYFUNCTION("""COMPUTED_VALUE"""),46202.65912304398)</f>
        <v>46202.65912</v>
      </c>
      <c r="Y351" s="76">
        <f t="shared" si="5"/>
        <v>1.1478214</v>
      </c>
      <c r="AK351" s="232"/>
      <c r="AL351" s="233"/>
      <c r="AM351" s="173"/>
    </row>
    <row r="352">
      <c r="A352" s="76">
        <f>IFERROR(__xludf.DUMMYFUNCTION("""COMPUTED_VALUE"""),5313.0)</f>
        <v>5313</v>
      </c>
      <c r="B352" s="232">
        <f>IFERROR(__xludf.DUMMYFUNCTION("""COMPUTED_VALUE"""),46202.83032347222)</f>
        <v>46202.83032</v>
      </c>
      <c r="C352" s="84">
        <f>IFERROR(__xludf.DUMMYFUNCTION("""COMPUTED_VALUE"""),46202.687457974534)</f>
        <v>46202.68746</v>
      </c>
      <c r="D352" s="173">
        <f t="shared" si="1"/>
        <v>0.1428654977</v>
      </c>
      <c r="G352" s="76">
        <f>IFERROR(__xludf.DUMMYFUNCTION("""COMPUTED_VALUE"""),5313.0)</f>
        <v>5313</v>
      </c>
      <c r="H352" s="232">
        <f>IFERROR(__xludf.DUMMYFUNCTION("""COMPUTED_VALUE"""),46203.45486111111)</f>
        <v>46203.45486</v>
      </c>
      <c r="I352" s="84">
        <f>IFERROR(__xludf.DUMMYFUNCTION("""COMPUTED_VALUE"""),46202.68753555555)</f>
        <v>46202.68754</v>
      </c>
      <c r="J352" s="76">
        <f t="shared" si="2"/>
        <v>0.7673255556</v>
      </c>
      <c r="L352" s="76">
        <f>IFERROR(__xludf.DUMMYFUNCTION("""COMPUTED_VALUE"""),5313.0)</f>
        <v>5313</v>
      </c>
      <c r="M352" s="232">
        <f>IFERROR(__xludf.DUMMYFUNCTION("""COMPUTED_VALUE"""),46203.559027777774)</f>
        <v>46203.55903</v>
      </c>
      <c r="N352" s="84">
        <f>IFERROR(__xludf.DUMMYFUNCTION("""COMPUTED_VALUE"""),46202.68954953704)</f>
        <v>46202.68955</v>
      </c>
      <c r="O352" s="76">
        <f t="shared" si="3"/>
        <v>0.8694782407</v>
      </c>
      <c r="Q352" s="76">
        <f>IFERROR(__xludf.DUMMYFUNCTION("""COMPUTED_VALUE"""),5308.0)</f>
        <v>5308</v>
      </c>
      <c r="R352" s="232">
        <f>IFERROR(__xludf.DUMMYFUNCTION("""COMPUTED_VALUE"""),46202.61597222222)</f>
        <v>46202.61597</v>
      </c>
      <c r="S352" s="84">
        <f>IFERROR(__xludf.DUMMYFUNCTION("""COMPUTED_VALUE"""),46200.68363662037)</f>
        <v>46200.68364</v>
      </c>
      <c r="T352" s="76">
        <f t="shared" si="4"/>
        <v>1.932335602</v>
      </c>
      <c r="V352" s="76">
        <f>IFERROR(__xludf.DUMMYFUNCTION("""COMPUTED_VALUE"""),5313.0)</f>
        <v>5313</v>
      </c>
      <c r="W352" s="232">
        <f>IFERROR(__xludf.DUMMYFUNCTION("""COMPUTED_VALUE"""),46204.60069444444)</f>
        <v>46204.60069</v>
      </c>
      <c r="X352" s="84">
        <f>IFERROR(__xludf.DUMMYFUNCTION("""COMPUTED_VALUE"""),46202.68973670139)</f>
        <v>46202.68974</v>
      </c>
      <c r="Y352" s="76">
        <f t="shared" si="5"/>
        <v>1.910957743</v>
      </c>
      <c r="AK352" s="232"/>
      <c r="AL352" s="233"/>
      <c r="AM352" s="173"/>
    </row>
    <row r="353">
      <c r="A353" s="76">
        <f>IFERROR(__xludf.DUMMYFUNCTION("""COMPUTED_VALUE"""),5314.0)</f>
        <v>5314</v>
      </c>
      <c r="B353" s="232">
        <f>IFERROR(__xludf.DUMMYFUNCTION("""COMPUTED_VALUE"""),46203.655841817126)</f>
        <v>46203.65584</v>
      </c>
      <c r="C353" s="84">
        <f>IFERROR(__xludf.DUMMYFUNCTION("""COMPUTED_VALUE"""),46203.54985304398)</f>
        <v>46203.54985</v>
      </c>
      <c r="D353" s="173">
        <f t="shared" si="1"/>
        <v>0.1059887731</v>
      </c>
      <c r="G353" s="76">
        <f>IFERROR(__xludf.DUMMYFUNCTION("""COMPUTED_VALUE"""),5314.0)</f>
        <v>5314</v>
      </c>
      <c r="H353" s="232">
        <f>IFERROR(__xludf.DUMMYFUNCTION("""COMPUTED_VALUE"""),46203.66278626157)</f>
        <v>46203.66279</v>
      </c>
      <c r="I353" s="84">
        <f>IFERROR(__xludf.DUMMYFUNCTION("""COMPUTED_VALUE"""),46203.54992741898)</f>
        <v>46203.54993</v>
      </c>
      <c r="J353" s="76">
        <f t="shared" si="2"/>
        <v>0.1128588426</v>
      </c>
      <c r="L353" s="76">
        <f>IFERROR(__xludf.DUMMYFUNCTION("""COMPUTED_VALUE"""),5314.0)</f>
        <v>5314</v>
      </c>
      <c r="M353" s="232">
        <f>IFERROR(__xludf.DUMMYFUNCTION("""COMPUTED_VALUE"""),46203.766952928236)</f>
        <v>46203.76695</v>
      </c>
      <c r="N353" s="84">
        <f>IFERROR(__xludf.DUMMYFUNCTION("""COMPUTED_VALUE"""),46203.675033217594)</f>
        <v>46203.67503</v>
      </c>
      <c r="O353" s="76">
        <f t="shared" si="3"/>
        <v>0.09191971064</v>
      </c>
      <c r="Q353" s="76">
        <f>IFERROR(__xludf.DUMMYFUNCTION("""COMPUTED_VALUE"""),5309.0)</f>
        <v>5309</v>
      </c>
      <c r="R353" s="232">
        <f>IFERROR(__xludf.DUMMYFUNCTION("""COMPUTED_VALUE"""),46202.742361111115)</f>
        <v>46202.74236</v>
      </c>
      <c r="S353" s="84">
        <f>IFERROR(__xludf.DUMMYFUNCTION("""COMPUTED_VALUE"""),46200.68364320602)</f>
        <v>46200.68364</v>
      </c>
      <c r="T353" s="76">
        <f t="shared" si="4"/>
        <v>2.058717905</v>
      </c>
      <c r="V353" s="76">
        <f>IFERROR(__xludf.DUMMYFUNCTION("""COMPUTED_VALUE"""),5314.0)</f>
        <v>5314</v>
      </c>
      <c r="W353" s="232">
        <f>IFERROR(__xludf.DUMMYFUNCTION("""COMPUTED_VALUE"""),46204.808333333334)</f>
        <v>46204.80833</v>
      </c>
      <c r="X353" s="84">
        <f>IFERROR(__xludf.DUMMYFUNCTION("""COMPUTED_VALUE"""),46204.47642604167)</f>
        <v>46204.47643</v>
      </c>
      <c r="Y353" s="76">
        <f t="shared" si="5"/>
        <v>0.3319072917</v>
      </c>
      <c r="AK353" s="232"/>
      <c r="AL353" s="233"/>
      <c r="AM353" s="173"/>
    </row>
    <row r="354">
      <c r="A354" s="76">
        <f>IFERROR(__xludf.DUMMYFUNCTION("""COMPUTED_VALUE"""),5315.0)</f>
        <v>5315</v>
      </c>
      <c r="B354" s="232">
        <f>IFERROR(__xludf.DUMMYFUNCTION("""COMPUTED_VALUE"""),46203.67378351851)</f>
        <v>46203.67378</v>
      </c>
      <c r="C354" s="84">
        <f>IFERROR(__xludf.DUMMYFUNCTION("""COMPUTED_VALUE"""),46203.54987065972)</f>
        <v>46203.54987</v>
      </c>
      <c r="D354" s="173">
        <f t="shared" si="1"/>
        <v>0.1239128588</v>
      </c>
      <c r="G354" s="76">
        <f>IFERROR(__xludf.DUMMYFUNCTION("""COMPUTED_VALUE"""),5315.0)</f>
        <v>5315</v>
      </c>
      <c r="H354" s="232">
        <f>IFERROR(__xludf.DUMMYFUNCTION("""COMPUTED_VALUE"""),46203.68072796296)</f>
        <v>46203.68073</v>
      </c>
      <c r="I354" s="84">
        <f>IFERROR(__xludf.DUMMYFUNCTION("""COMPUTED_VALUE"""),46203.549947824074)</f>
        <v>46203.54995</v>
      </c>
      <c r="J354" s="76">
        <f t="shared" si="2"/>
        <v>0.1307801389</v>
      </c>
      <c r="L354" s="76">
        <f>IFERROR(__xludf.DUMMYFUNCTION("""COMPUTED_VALUE"""),5315.0)</f>
        <v>5315</v>
      </c>
      <c r="M354" s="232">
        <f>IFERROR(__xludf.DUMMYFUNCTION("""COMPUTED_VALUE"""),46203.78489462962)</f>
        <v>46203.78489</v>
      </c>
      <c r="N354" s="84">
        <f>IFERROR(__xludf.DUMMYFUNCTION("""COMPUTED_VALUE"""),46203.67323173611)</f>
        <v>46203.67323</v>
      </c>
      <c r="O354" s="76">
        <f t="shared" si="3"/>
        <v>0.1116628935</v>
      </c>
      <c r="Q354" s="76">
        <f>IFERROR(__xludf.DUMMYFUNCTION("""COMPUTED_VALUE"""),5310.0)</f>
        <v>5310</v>
      </c>
      <c r="R354" s="232">
        <f>IFERROR(__xludf.DUMMYFUNCTION("""COMPUTED_VALUE"""),46202.75833333333)</f>
        <v>46202.75833</v>
      </c>
      <c r="S354" s="84">
        <f>IFERROR(__xludf.DUMMYFUNCTION("""COMPUTED_VALUE"""),46200.683678518515)</f>
        <v>46200.68368</v>
      </c>
      <c r="T354" s="76">
        <f t="shared" si="4"/>
        <v>2.074654815</v>
      </c>
      <c r="V354" s="76">
        <f>IFERROR(__xludf.DUMMYFUNCTION("""COMPUTED_VALUE"""),5315.0)</f>
        <v>5315</v>
      </c>
      <c r="W354" s="232">
        <f>IFERROR(__xludf.DUMMYFUNCTION("""COMPUTED_VALUE"""),46204.82638888888)</f>
        <v>46204.82639</v>
      </c>
      <c r="X354" s="84">
        <f>IFERROR(__xludf.DUMMYFUNCTION("""COMPUTED_VALUE"""),46204.45453945602)</f>
        <v>46204.45454</v>
      </c>
      <c r="Y354" s="76">
        <f t="shared" si="5"/>
        <v>0.3718494329</v>
      </c>
      <c r="AK354" s="232"/>
      <c r="AL354" s="233"/>
      <c r="AM354" s="173"/>
    </row>
    <row r="355">
      <c r="A355" s="76">
        <f>IFERROR(__xludf.DUMMYFUNCTION("""COMPUTED_VALUE"""),5316.0)</f>
        <v>5316</v>
      </c>
      <c r="B355" s="232">
        <f>IFERROR(__xludf.DUMMYFUNCTION("""COMPUTED_VALUE"""),46203.77165103009)</f>
        <v>46203.77165</v>
      </c>
      <c r="C355" s="84">
        <f>IFERROR(__xludf.DUMMYFUNCTION("""COMPUTED_VALUE"""),46203.67329938657)</f>
        <v>46203.6733</v>
      </c>
      <c r="D355" s="173">
        <f t="shared" si="1"/>
        <v>0.09835164352</v>
      </c>
      <c r="G355" s="76">
        <f>IFERROR(__xludf.DUMMYFUNCTION("""COMPUTED_VALUE"""),5316.0)</f>
        <v>5316</v>
      </c>
      <c r="H355" s="232">
        <f>IFERROR(__xludf.DUMMYFUNCTION("""COMPUTED_VALUE"""),46203.778595474534)</f>
        <v>46203.7786</v>
      </c>
      <c r="I355" s="84">
        <f>IFERROR(__xludf.DUMMYFUNCTION("""COMPUTED_VALUE"""),46203.67491984954)</f>
        <v>46203.67492</v>
      </c>
      <c r="J355" s="76">
        <f t="shared" si="2"/>
        <v>0.103675625</v>
      </c>
      <c r="L355" s="76">
        <f>IFERROR(__xludf.DUMMYFUNCTION("""COMPUTED_VALUE"""),5316.0)</f>
        <v>5316</v>
      </c>
      <c r="M355" s="232">
        <f>IFERROR(__xludf.DUMMYFUNCTION("""COMPUTED_VALUE"""),46204.486805555556)</f>
        <v>46204.48681</v>
      </c>
      <c r="N355" s="84">
        <f>IFERROR(__xludf.DUMMYFUNCTION("""COMPUTED_VALUE"""),46203.675074872684)</f>
        <v>46203.67507</v>
      </c>
      <c r="O355" s="76">
        <f t="shared" si="3"/>
        <v>0.8117306829</v>
      </c>
      <c r="Q355" s="76">
        <f>IFERROR(__xludf.DUMMYFUNCTION("""COMPUTED_VALUE"""),5311.0)</f>
        <v>5311</v>
      </c>
      <c r="R355" s="232">
        <f>IFERROR(__xludf.DUMMYFUNCTION("""COMPUTED_VALUE"""),46203.61944444445)</f>
        <v>46203.61944</v>
      </c>
      <c r="S355" s="84">
        <f>IFERROR(__xludf.DUMMYFUNCTION("""COMPUTED_VALUE"""),46202.65901074074)</f>
        <v>46202.65901</v>
      </c>
      <c r="T355" s="76">
        <f t="shared" si="4"/>
        <v>0.9604337037</v>
      </c>
      <c r="V355" s="76">
        <f>IFERROR(__xludf.DUMMYFUNCTION("""COMPUTED_VALUE"""),5316.0)</f>
        <v>5316</v>
      </c>
      <c r="W355" s="232">
        <f>IFERROR(__xludf.DUMMYFUNCTION("""COMPUTED_VALUE"""),46205.52847222222)</f>
        <v>46205.52847</v>
      </c>
      <c r="X355" s="84">
        <f>IFERROR(__xludf.DUMMYFUNCTION("""COMPUTED_VALUE"""),46204.64016902778)</f>
        <v>46204.64017</v>
      </c>
      <c r="Y355" s="76">
        <f t="shared" si="5"/>
        <v>0.8883031944</v>
      </c>
      <c r="AK355" s="232"/>
      <c r="AL355" s="233"/>
      <c r="AM355" s="173"/>
    </row>
    <row r="356">
      <c r="A356" s="76">
        <f>IFERROR(__xludf.DUMMYFUNCTION("""COMPUTED_VALUE"""),5317.0)</f>
        <v>5317</v>
      </c>
      <c r="B356" s="232">
        <f>IFERROR(__xludf.DUMMYFUNCTION("""COMPUTED_VALUE"""),46203.81306299769)</f>
        <v>46203.81306</v>
      </c>
      <c r="C356" s="84">
        <f>IFERROR(__xludf.DUMMYFUNCTION("""COMPUTED_VALUE"""),46203.67480444444)</f>
        <v>46203.6748</v>
      </c>
      <c r="D356" s="173">
        <f t="shared" si="1"/>
        <v>0.1382585532</v>
      </c>
      <c r="G356" s="76">
        <f>IFERROR(__xludf.DUMMYFUNCTION("""COMPUTED_VALUE"""),5317.0)</f>
        <v>5317</v>
      </c>
      <c r="H356" s="232">
        <f>IFERROR(__xludf.DUMMYFUNCTION("""COMPUTED_VALUE"""),46203.82000744213)</f>
        <v>46203.82001</v>
      </c>
      <c r="I356" s="84">
        <f>IFERROR(__xludf.DUMMYFUNCTION("""COMPUTED_VALUE"""),46203.675127083334)</f>
        <v>46203.67513</v>
      </c>
      <c r="J356" s="76">
        <f t="shared" si="2"/>
        <v>0.1448803588</v>
      </c>
      <c r="L356" s="76">
        <f>IFERROR(__xludf.DUMMYFUNCTION("""COMPUTED_VALUE"""),5317.0)</f>
        <v>5317</v>
      </c>
      <c r="M356" s="232">
        <f>IFERROR(__xludf.DUMMYFUNCTION("""COMPUTED_VALUE"""),46204.52777777778)</f>
        <v>46204.52778</v>
      </c>
      <c r="N356" s="84">
        <f>IFERROR(__xludf.DUMMYFUNCTION("""COMPUTED_VALUE"""),46203.67520694445)</f>
        <v>46203.67521</v>
      </c>
      <c r="O356" s="76">
        <f t="shared" si="3"/>
        <v>0.8525708333</v>
      </c>
      <c r="Q356" s="76">
        <f>IFERROR(__xludf.DUMMYFUNCTION("""COMPUTED_VALUE"""),5312.0)</f>
        <v>5312</v>
      </c>
      <c r="R356" s="232">
        <f>IFERROR(__xludf.DUMMYFUNCTION("""COMPUTED_VALUE"""),46203.76527777778)</f>
        <v>46203.76528</v>
      </c>
      <c r="S356" s="84">
        <f>IFERROR(__xludf.DUMMYFUNCTION("""COMPUTED_VALUE"""),46202.65902146991)</f>
        <v>46202.65902</v>
      </c>
      <c r="T356" s="76">
        <f t="shared" si="4"/>
        <v>1.106256308</v>
      </c>
      <c r="V356" s="76">
        <f>IFERROR(__xludf.DUMMYFUNCTION("""COMPUTED_VALUE"""),5317.0)</f>
        <v>5317</v>
      </c>
      <c r="W356" s="232">
        <f>IFERROR(__xludf.DUMMYFUNCTION("""COMPUTED_VALUE"""),46205.569444444445)</f>
        <v>46205.56944</v>
      </c>
      <c r="X356" s="84">
        <f>IFERROR(__xludf.DUMMYFUNCTION("""COMPUTED_VALUE"""),46204.640243437505)</f>
        <v>46204.64024</v>
      </c>
      <c r="Y356" s="76">
        <f t="shared" si="5"/>
        <v>0.9292010069</v>
      </c>
      <c r="AK356" s="232"/>
      <c r="AL356" s="233"/>
      <c r="AM356" s="173"/>
    </row>
    <row r="357">
      <c r="A357" s="76">
        <f>IFERROR(__xludf.DUMMYFUNCTION("""COMPUTED_VALUE"""),5318.0)</f>
        <v>5318</v>
      </c>
      <c r="B357" s="232">
        <f>IFERROR(__xludf.DUMMYFUNCTION("""COMPUTED_VALUE"""),46204.434027777774)</f>
        <v>46204.43403</v>
      </c>
      <c r="C357" s="84">
        <f>IFERROR(__xludf.DUMMYFUNCTION("""COMPUTED_VALUE"""),46203.720708912035)</f>
        <v>46203.72071</v>
      </c>
      <c r="D357" s="173">
        <f t="shared" si="1"/>
        <v>0.7133188657</v>
      </c>
      <c r="G357" s="76">
        <f>IFERROR(__xludf.DUMMYFUNCTION("""COMPUTED_VALUE"""),5318.0)</f>
        <v>5318</v>
      </c>
      <c r="H357" s="232">
        <f>IFERROR(__xludf.DUMMYFUNCTION("""COMPUTED_VALUE"""),46204.44097222222)</f>
        <v>46204.44097</v>
      </c>
      <c r="I357" s="84">
        <f>IFERROR(__xludf.DUMMYFUNCTION("""COMPUTED_VALUE"""),46203.675127083334)</f>
        <v>46203.67513</v>
      </c>
      <c r="J357" s="76">
        <f t="shared" si="2"/>
        <v>0.7658451389</v>
      </c>
      <c r="L357" s="76">
        <f>IFERROR(__xludf.DUMMYFUNCTION("""COMPUTED_VALUE"""),5318.0)</f>
        <v>5318</v>
      </c>
      <c r="M357" s="232">
        <f>IFERROR(__xludf.DUMMYFUNCTION("""COMPUTED_VALUE"""),46204.54513888888)</f>
        <v>46204.54514</v>
      </c>
      <c r="N357" s="84">
        <f>IFERROR(__xludf.DUMMYFUNCTION("""COMPUTED_VALUE"""),46203.783256979164)</f>
        <v>46203.78326</v>
      </c>
      <c r="O357" s="76">
        <f t="shared" si="3"/>
        <v>0.7618819097</v>
      </c>
      <c r="Q357" s="76">
        <f>IFERROR(__xludf.DUMMYFUNCTION("""COMPUTED_VALUE"""),5313.0)</f>
        <v>5313</v>
      </c>
      <c r="R357" s="232">
        <f>IFERROR(__xludf.DUMMYFUNCTION("""COMPUTED_VALUE"""),46204.559027777774)</f>
        <v>46204.55903</v>
      </c>
      <c r="S357" s="84">
        <f>IFERROR(__xludf.DUMMYFUNCTION("""COMPUTED_VALUE"""),46202.689628657405)</f>
        <v>46202.68963</v>
      </c>
      <c r="T357" s="76">
        <f t="shared" si="4"/>
        <v>1.86939912</v>
      </c>
      <c r="V357" s="76">
        <f>IFERROR(__xludf.DUMMYFUNCTION("""COMPUTED_VALUE"""),5318.0)</f>
        <v>5318</v>
      </c>
      <c r="W357" s="232">
        <f>IFERROR(__xludf.DUMMYFUNCTION("""COMPUTED_VALUE"""),46205.58680555555)</f>
        <v>46205.58681</v>
      </c>
      <c r="X357" s="84">
        <f>IFERROR(__xludf.DUMMYFUNCTION("""COMPUTED_VALUE"""),46203.7833377662)</f>
        <v>46203.78334</v>
      </c>
      <c r="Y357" s="76">
        <f t="shared" si="5"/>
        <v>1.803467789</v>
      </c>
      <c r="AK357" s="232"/>
      <c r="AL357" s="233"/>
      <c r="AM357" s="173"/>
    </row>
    <row r="358">
      <c r="A358" s="76">
        <f>IFERROR(__xludf.DUMMYFUNCTION("""COMPUTED_VALUE"""),5319.0)</f>
        <v>5319</v>
      </c>
      <c r="B358" s="232">
        <f>IFERROR(__xludf.DUMMYFUNCTION("""COMPUTED_VALUE"""),46204.60277777778)</f>
        <v>46204.60278</v>
      </c>
      <c r="C358" s="84">
        <f>IFERROR(__xludf.DUMMYFUNCTION("""COMPUTED_VALUE"""),46204.43940209491)</f>
        <v>46204.4394</v>
      </c>
      <c r="D358" s="173">
        <f t="shared" si="1"/>
        <v>0.1633756829</v>
      </c>
      <c r="G358" s="76">
        <f>IFERROR(__xludf.DUMMYFUNCTION("""COMPUTED_VALUE"""),5319.0)</f>
        <v>5319</v>
      </c>
      <c r="H358" s="232">
        <f>IFERROR(__xludf.DUMMYFUNCTION("""COMPUTED_VALUE"""),46204.60972222222)</f>
        <v>46204.60972</v>
      </c>
      <c r="I358" s="84">
        <f>IFERROR(__xludf.DUMMYFUNCTION("""COMPUTED_VALUE"""),46204.43944711806)</f>
        <v>46204.43945</v>
      </c>
      <c r="J358" s="76">
        <f t="shared" si="2"/>
        <v>0.1702751042</v>
      </c>
      <c r="L358" s="76">
        <f>IFERROR(__xludf.DUMMYFUNCTION("""COMPUTED_VALUE"""),5319.0)</f>
        <v>5319</v>
      </c>
      <c r="M358" s="232">
        <f>IFERROR(__xludf.DUMMYFUNCTION("""COMPUTED_VALUE"""),46204.71388888889)</f>
        <v>46204.71389</v>
      </c>
      <c r="N358" s="84">
        <f>IFERROR(__xludf.DUMMYFUNCTION("""COMPUTED_VALUE"""),46204.4394675)</f>
        <v>46204.43947</v>
      </c>
      <c r="O358" s="76">
        <f t="shared" si="3"/>
        <v>0.2744213889</v>
      </c>
      <c r="Q358" s="76">
        <f>IFERROR(__xludf.DUMMYFUNCTION("""COMPUTED_VALUE"""),5314.0)</f>
        <v>5314</v>
      </c>
      <c r="R358" s="232">
        <f>IFERROR(__xludf.DUMMYFUNCTION("""COMPUTED_VALUE"""),46204.76666666667)</f>
        <v>46204.76667</v>
      </c>
      <c r="S358" s="84">
        <f>IFERROR(__xludf.DUMMYFUNCTION("""COMPUTED_VALUE"""),46204.448189745366)</f>
        <v>46204.44819</v>
      </c>
      <c r="T358" s="76">
        <f t="shared" si="4"/>
        <v>0.3184769213</v>
      </c>
      <c r="V358" s="76">
        <f>IFERROR(__xludf.DUMMYFUNCTION("""COMPUTED_VALUE"""),5319.0)</f>
        <v>5319</v>
      </c>
      <c r="W358" s="232">
        <f>IFERROR(__xludf.DUMMYFUNCTION("""COMPUTED_VALUE"""),46205.75555555556)</f>
        <v>46205.75556</v>
      </c>
      <c r="X358" s="84">
        <f>IFERROR(__xludf.DUMMYFUNCTION("""COMPUTED_VALUE"""),46204.68990548611)</f>
        <v>46204.68991</v>
      </c>
      <c r="Y358" s="76">
        <f t="shared" si="5"/>
        <v>1.065650069</v>
      </c>
      <c r="AK358" s="232"/>
      <c r="AL358" s="233"/>
      <c r="AM358" s="173"/>
    </row>
    <row r="359">
      <c r="A359" s="76">
        <f>IFERROR(__xludf.DUMMYFUNCTION("""COMPUTED_VALUE"""),5320.0)</f>
        <v>5320</v>
      </c>
      <c r="B359" s="232">
        <f>IFERROR(__xludf.DUMMYFUNCTION("""COMPUTED_VALUE"""),46204.79897255787)</f>
        <v>46204.79897</v>
      </c>
      <c r="C359" s="84">
        <f>IFERROR(__xludf.DUMMYFUNCTION("""COMPUTED_VALUE"""),46204.64060878472)</f>
        <v>46204.64061</v>
      </c>
      <c r="D359" s="173">
        <f t="shared" si="1"/>
        <v>0.1583637731</v>
      </c>
      <c r="G359" s="76">
        <f>IFERROR(__xludf.DUMMYFUNCTION("""COMPUTED_VALUE"""),5320.0)</f>
        <v>5320</v>
      </c>
      <c r="H359" s="232">
        <f>IFERROR(__xludf.DUMMYFUNCTION("""COMPUTED_VALUE"""),46204.80591700231)</f>
        <v>46204.80592</v>
      </c>
      <c r="I359" s="84">
        <f>IFERROR(__xludf.DUMMYFUNCTION("""COMPUTED_VALUE"""),46204.64122194445)</f>
        <v>46204.64122</v>
      </c>
      <c r="J359" s="76">
        <f t="shared" si="2"/>
        <v>0.1646950579</v>
      </c>
      <c r="L359" s="76">
        <f>IFERROR(__xludf.DUMMYFUNCTION("""COMPUTED_VALUE"""),5320.0)</f>
        <v>5320</v>
      </c>
      <c r="M359" s="232">
        <f>IFERROR(__xludf.DUMMYFUNCTION("""COMPUTED_VALUE"""),46205.472222222226)</f>
        <v>46205.47222</v>
      </c>
      <c r="N359" s="84">
        <f>IFERROR(__xludf.DUMMYFUNCTION("""COMPUTED_VALUE"""),46204.64135690972)</f>
        <v>46204.64136</v>
      </c>
      <c r="O359" s="76">
        <f t="shared" si="3"/>
        <v>0.8308653125</v>
      </c>
      <c r="Q359" s="76">
        <f>IFERROR(__xludf.DUMMYFUNCTION("""COMPUTED_VALUE"""),5315.0)</f>
        <v>5315</v>
      </c>
      <c r="R359" s="232">
        <f>IFERROR(__xludf.DUMMYFUNCTION("""COMPUTED_VALUE"""),46204.78472222222)</f>
        <v>46204.78472</v>
      </c>
      <c r="S359" s="84">
        <f>IFERROR(__xludf.DUMMYFUNCTION("""COMPUTED_VALUE"""),46204.44825832176)</f>
        <v>46204.44826</v>
      </c>
      <c r="T359" s="76">
        <f t="shared" si="4"/>
        <v>0.3364639005</v>
      </c>
      <c r="V359" s="76">
        <f>IFERROR(__xludf.DUMMYFUNCTION("""COMPUTED_VALUE"""),5320.0)</f>
        <v>5320</v>
      </c>
      <c r="W359" s="232">
        <f>IFERROR(__xludf.DUMMYFUNCTION("""COMPUTED_VALUE"""),46206.51388888889)</f>
        <v>46206.51389</v>
      </c>
      <c r="X359" s="84">
        <f>IFERROR(__xludf.DUMMYFUNCTION("""COMPUTED_VALUE"""),46206.48157050926)</f>
        <v>46206.48157</v>
      </c>
      <c r="Y359" s="76">
        <f t="shared" si="5"/>
        <v>0.03231837963</v>
      </c>
      <c r="AK359" s="232"/>
      <c r="AL359" s="233"/>
      <c r="AM359" s="173"/>
    </row>
    <row r="360">
      <c r="A360" s="76">
        <f>IFERROR(__xludf.DUMMYFUNCTION("""COMPUTED_VALUE"""),5321.0)</f>
        <v>5321</v>
      </c>
      <c r="B360" s="232">
        <f>IFERROR(__xludf.DUMMYFUNCTION("""COMPUTED_VALUE"""),46204.80028510416)</f>
        <v>46204.80029</v>
      </c>
      <c r="C360" s="84">
        <f>IFERROR(__xludf.DUMMYFUNCTION("""COMPUTED_VALUE"""),46204.640819050925)</f>
        <v>46204.64082</v>
      </c>
      <c r="D360" s="173">
        <f t="shared" si="1"/>
        <v>0.1594660532</v>
      </c>
      <c r="G360" s="76">
        <f>IFERROR(__xludf.DUMMYFUNCTION("""COMPUTED_VALUE"""),5321.0)</f>
        <v>5321</v>
      </c>
      <c r="H360" s="232">
        <f>IFERROR(__xludf.DUMMYFUNCTION("""COMPUTED_VALUE"""),46204.807229548605)</f>
        <v>46204.80723</v>
      </c>
      <c r="I360" s="84">
        <f>IFERROR(__xludf.DUMMYFUNCTION("""COMPUTED_VALUE"""),46204.64127584491)</f>
        <v>46204.64128</v>
      </c>
      <c r="J360" s="76">
        <f t="shared" si="2"/>
        <v>0.1659537037</v>
      </c>
      <c r="L360" s="76">
        <f>IFERROR(__xludf.DUMMYFUNCTION("""COMPUTED_VALUE"""),5321.0)</f>
        <v>5321</v>
      </c>
      <c r="M360" s="232">
        <f>IFERROR(__xludf.DUMMYFUNCTION("""COMPUTED_VALUE"""),46205.47361111111)</f>
        <v>46205.47361</v>
      </c>
      <c r="N360" s="84">
        <f>IFERROR(__xludf.DUMMYFUNCTION("""COMPUTED_VALUE"""),46204.64137405093)</f>
        <v>46204.64137</v>
      </c>
      <c r="O360" s="76">
        <f t="shared" si="3"/>
        <v>0.8322370602</v>
      </c>
      <c r="Q360" s="76">
        <f>IFERROR(__xludf.DUMMYFUNCTION("""COMPUTED_VALUE"""),5316.0)</f>
        <v>5316</v>
      </c>
      <c r="R360" s="232">
        <f>IFERROR(__xludf.DUMMYFUNCTION("""COMPUTED_VALUE"""),46205.486805555556)</f>
        <v>46205.48681</v>
      </c>
      <c r="S360" s="84">
        <f>IFERROR(__xludf.DUMMYFUNCTION("""COMPUTED_VALUE"""),46204.64012957176)</f>
        <v>46204.64013</v>
      </c>
      <c r="T360" s="76">
        <f t="shared" si="4"/>
        <v>0.8466759838</v>
      </c>
      <c r="V360" s="76">
        <f>IFERROR(__xludf.DUMMYFUNCTION("""COMPUTED_VALUE"""),5321.0)</f>
        <v>5321</v>
      </c>
      <c r="W360" s="232">
        <f>IFERROR(__xludf.DUMMYFUNCTION("""COMPUTED_VALUE"""),46206.51527777778)</f>
        <v>46206.51528</v>
      </c>
      <c r="X360" s="84">
        <f>IFERROR(__xludf.DUMMYFUNCTION("""COMPUTED_VALUE"""),46206.48157483796)</f>
        <v>46206.48157</v>
      </c>
      <c r="Y360" s="76">
        <f t="shared" si="5"/>
        <v>0.03370293981</v>
      </c>
      <c r="AK360" s="232"/>
      <c r="AL360" s="233"/>
      <c r="AM360" s="173"/>
    </row>
    <row r="361">
      <c r="A361" s="76">
        <f>IFERROR(__xludf.DUMMYFUNCTION("""COMPUTED_VALUE"""),5322.0)</f>
        <v>5322</v>
      </c>
      <c r="B361" s="232">
        <f>IFERROR(__xludf.DUMMYFUNCTION("""COMPUTED_VALUE"""),46204.8013311574)</f>
        <v>46204.80133</v>
      </c>
      <c r="C361" s="84">
        <f>IFERROR(__xludf.DUMMYFUNCTION("""COMPUTED_VALUE"""),46204.64091417824)</f>
        <v>46204.64091</v>
      </c>
      <c r="D361" s="173">
        <f t="shared" si="1"/>
        <v>0.1604169792</v>
      </c>
      <c r="G361" s="76">
        <f>IFERROR(__xludf.DUMMYFUNCTION("""COMPUTED_VALUE"""),5322.0)</f>
        <v>5322</v>
      </c>
      <c r="H361" s="232">
        <f>IFERROR(__xludf.DUMMYFUNCTION("""COMPUTED_VALUE"""),46204.80827560185)</f>
        <v>46204.80828</v>
      </c>
      <c r="I361" s="84">
        <f>IFERROR(__xludf.DUMMYFUNCTION("""COMPUTED_VALUE"""),46204.64124957176)</f>
        <v>46204.64125</v>
      </c>
      <c r="J361" s="76">
        <f t="shared" si="2"/>
        <v>0.1670260301</v>
      </c>
      <c r="L361" s="76">
        <f>IFERROR(__xludf.DUMMYFUNCTION("""COMPUTED_VALUE"""),5322.0)</f>
        <v>5322</v>
      </c>
      <c r="M361" s="232">
        <f>IFERROR(__xludf.DUMMYFUNCTION("""COMPUTED_VALUE"""),46205.47430555556)</f>
        <v>46205.47431</v>
      </c>
      <c r="N361" s="84">
        <f>IFERROR(__xludf.DUMMYFUNCTION("""COMPUTED_VALUE"""),46204.64139230324)</f>
        <v>46204.64139</v>
      </c>
      <c r="O361" s="76">
        <f t="shared" si="3"/>
        <v>0.8329132523</v>
      </c>
      <c r="Q361" s="76">
        <f>IFERROR(__xludf.DUMMYFUNCTION("""COMPUTED_VALUE"""),5317.0)</f>
        <v>5317</v>
      </c>
      <c r="R361" s="232">
        <f>IFERROR(__xludf.DUMMYFUNCTION("""COMPUTED_VALUE"""),46205.52777777778)</f>
        <v>46205.52778</v>
      </c>
      <c r="S361" s="84">
        <f>IFERROR(__xludf.DUMMYFUNCTION("""COMPUTED_VALUE"""),46204.64021789352)</f>
        <v>46204.64022</v>
      </c>
      <c r="T361" s="76">
        <f t="shared" si="4"/>
        <v>0.8875598843</v>
      </c>
      <c r="V361" s="76">
        <f>IFERROR(__xludf.DUMMYFUNCTION("""COMPUTED_VALUE"""),5322.0)</f>
        <v>5322</v>
      </c>
      <c r="W361" s="232">
        <f>IFERROR(__xludf.DUMMYFUNCTION("""COMPUTED_VALUE"""),46206.51597222222)</f>
        <v>46206.51597</v>
      </c>
      <c r="X361" s="84">
        <f>IFERROR(__xludf.DUMMYFUNCTION("""COMPUTED_VALUE"""),46206.48157483796)</f>
        <v>46206.48157</v>
      </c>
      <c r="Y361" s="76">
        <f t="shared" si="5"/>
        <v>0.03439738426</v>
      </c>
      <c r="AK361" s="232"/>
      <c r="AL361" s="233"/>
      <c r="AM361" s="173"/>
    </row>
    <row r="362">
      <c r="A362" s="76">
        <f>IFERROR(__xludf.DUMMYFUNCTION("""COMPUTED_VALUE"""),5323.0)</f>
        <v>5323</v>
      </c>
      <c r="B362" s="232">
        <f>IFERROR(__xludf.DUMMYFUNCTION("""COMPUTED_VALUE"""),46204.80428825231)</f>
        <v>46204.80429</v>
      </c>
      <c r="C362" s="84">
        <f>IFERROR(__xludf.DUMMYFUNCTION("""COMPUTED_VALUE"""),46204.641109502314)</f>
        <v>46204.64111</v>
      </c>
      <c r="D362" s="173">
        <f t="shared" si="1"/>
        <v>0.16317875</v>
      </c>
      <c r="G362" s="76">
        <f>IFERROR(__xludf.DUMMYFUNCTION("""COMPUTED_VALUE"""),5323.0)</f>
        <v>5323</v>
      </c>
      <c r="H362" s="232">
        <f>IFERROR(__xludf.DUMMYFUNCTION("""COMPUTED_VALUE"""),46204.81123269675)</f>
        <v>46204.81123</v>
      </c>
      <c r="I362" s="84">
        <f>IFERROR(__xludf.DUMMYFUNCTION("""COMPUTED_VALUE"""),46204.64127778936)</f>
        <v>46204.64128</v>
      </c>
      <c r="J362" s="76">
        <f t="shared" si="2"/>
        <v>0.1699549074</v>
      </c>
      <c r="L362" s="76">
        <f>IFERROR(__xludf.DUMMYFUNCTION("""COMPUTED_VALUE"""),5323.0)</f>
        <v>5323</v>
      </c>
      <c r="M362" s="232">
        <f>IFERROR(__xludf.DUMMYFUNCTION("""COMPUTED_VALUE"""),46205.47777777778)</f>
        <v>46205.47778</v>
      </c>
      <c r="N362" s="84">
        <f>IFERROR(__xludf.DUMMYFUNCTION("""COMPUTED_VALUE"""),46204.64141474537)</f>
        <v>46204.64141</v>
      </c>
      <c r="O362" s="76">
        <f t="shared" si="3"/>
        <v>0.8363630324</v>
      </c>
      <c r="Q362" s="76">
        <f>IFERROR(__xludf.DUMMYFUNCTION("""COMPUTED_VALUE"""),5318.0)</f>
        <v>5318</v>
      </c>
      <c r="R362" s="232">
        <f>IFERROR(__xludf.DUMMYFUNCTION("""COMPUTED_VALUE"""),46205.54513888888)</f>
        <v>46205.54514</v>
      </c>
      <c r="S362" s="84">
        <f>IFERROR(__xludf.DUMMYFUNCTION("""COMPUTED_VALUE"""),46203.783303749995)</f>
        <v>46203.7833</v>
      </c>
      <c r="T362" s="76">
        <f t="shared" si="4"/>
        <v>1.761835139</v>
      </c>
      <c r="V362" s="76">
        <f>IFERROR(__xludf.DUMMYFUNCTION("""COMPUTED_VALUE"""),5323.0)</f>
        <v>5323</v>
      </c>
      <c r="W362" s="232">
        <f>IFERROR(__xludf.DUMMYFUNCTION("""COMPUTED_VALUE"""),46206.51944444444)</f>
        <v>46206.51944</v>
      </c>
      <c r="X362" s="84">
        <f>IFERROR(__xludf.DUMMYFUNCTION("""COMPUTED_VALUE"""),46204.718289571756)</f>
        <v>46204.71829</v>
      </c>
      <c r="Y362" s="76">
        <f t="shared" si="5"/>
        <v>1.801154873</v>
      </c>
      <c r="AK362" s="232"/>
      <c r="AL362" s="233"/>
      <c r="AM362" s="173"/>
    </row>
    <row r="363">
      <c r="A363" s="76">
        <f>IFERROR(__xludf.DUMMYFUNCTION("""COMPUTED_VALUE"""),5324.0)</f>
        <v>5324</v>
      </c>
      <c r="B363" s="232">
        <f>IFERROR(__xludf.DUMMYFUNCTION("""COMPUTED_VALUE"""),46205.42361111111)</f>
        <v>46205.42361</v>
      </c>
      <c r="C363" s="84">
        <f>IFERROR(__xludf.DUMMYFUNCTION("""COMPUTED_VALUE"""),46204.68552344908)</f>
        <v>46204.68552</v>
      </c>
      <c r="D363" s="173">
        <f t="shared" si="1"/>
        <v>0.738087662</v>
      </c>
      <c r="G363" s="76">
        <f>IFERROR(__xludf.DUMMYFUNCTION("""COMPUTED_VALUE"""),5324.0)</f>
        <v>5324</v>
      </c>
      <c r="H363" s="232">
        <f>IFERROR(__xludf.DUMMYFUNCTION("""COMPUTED_VALUE"""),46205.430555555555)</f>
        <v>46205.43056</v>
      </c>
      <c r="I363" s="84">
        <f>IFERROR(__xludf.DUMMYFUNCTION("""COMPUTED_VALUE"""),46204.685412129635)</f>
        <v>46204.68541</v>
      </c>
      <c r="J363" s="76">
        <f t="shared" si="2"/>
        <v>0.7451434259</v>
      </c>
      <c r="L363" s="76">
        <f>IFERROR(__xludf.DUMMYFUNCTION("""COMPUTED_VALUE"""),5324.0)</f>
        <v>5324</v>
      </c>
      <c r="M363" s="232">
        <f>IFERROR(__xludf.DUMMYFUNCTION("""COMPUTED_VALUE"""),46205.53472222222)</f>
        <v>46205.53472</v>
      </c>
      <c r="N363" s="84">
        <f>IFERROR(__xludf.DUMMYFUNCTION("""COMPUTED_VALUE"""),46204.71769315972)</f>
        <v>46204.71769</v>
      </c>
      <c r="O363" s="76">
        <f t="shared" si="3"/>
        <v>0.8170290625</v>
      </c>
      <c r="Q363" s="76">
        <f>IFERROR(__xludf.DUMMYFUNCTION("""COMPUTED_VALUE"""),5319.0)</f>
        <v>5319</v>
      </c>
      <c r="R363" s="232">
        <f>IFERROR(__xludf.DUMMYFUNCTION("""COMPUTED_VALUE"""),46205.713888888895)</f>
        <v>46205.71389</v>
      </c>
      <c r="S363" s="84">
        <f>IFERROR(__xludf.DUMMYFUNCTION("""COMPUTED_VALUE"""),46204.68988664352)</f>
        <v>46204.68989</v>
      </c>
      <c r="T363" s="76">
        <f t="shared" si="4"/>
        <v>1.024002245</v>
      </c>
      <c r="V363" s="76">
        <f>IFERROR(__xludf.DUMMYFUNCTION("""COMPUTED_VALUE"""),5324.0)</f>
        <v>5324</v>
      </c>
      <c r="W363" s="232">
        <f>IFERROR(__xludf.DUMMYFUNCTION("""COMPUTED_VALUE"""),46206.57638888888)</f>
        <v>46206.57639</v>
      </c>
      <c r="X363" s="84">
        <f>IFERROR(__xludf.DUMMYFUNCTION("""COMPUTED_VALUE"""),46206.48148864583)</f>
        <v>46206.48149</v>
      </c>
      <c r="Y363" s="76">
        <f t="shared" si="5"/>
        <v>0.09490024305</v>
      </c>
      <c r="AK363" s="232"/>
      <c r="AL363" s="233"/>
      <c r="AM363" s="173"/>
    </row>
    <row r="364">
      <c r="A364" s="76">
        <f>IFERROR(__xludf.DUMMYFUNCTION("""COMPUTED_VALUE"""),5325.0)</f>
        <v>5325</v>
      </c>
      <c r="B364" s="232">
        <f>IFERROR(__xludf.DUMMYFUNCTION("""COMPUTED_VALUE"""),46206.501388888886)</f>
        <v>46206.50139</v>
      </c>
      <c r="C364" s="84">
        <f>IFERROR(__xludf.DUMMYFUNCTION("""COMPUTED_VALUE"""),46205.75881033565)</f>
        <v>46205.75881</v>
      </c>
      <c r="D364" s="173">
        <f t="shared" si="1"/>
        <v>0.7425785532</v>
      </c>
      <c r="G364" s="76">
        <f>IFERROR(__xludf.DUMMYFUNCTION("""COMPUTED_VALUE"""),5325.0)</f>
        <v>5325</v>
      </c>
      <c r="H364" s="232">
        <f>IFERROR(__xludf.DUMMYFUNCTION("""COMPUTED_VALUE"""),46206.50833333333)</f>
        <v>46206.50833</v>
      </c>
      <c r="I364" s="84">
        <f>IFERROR(__xludf.DUMMYFUNCTION("""COMPUTED_VALUE"""),46206.46954428241)</f>
        <v>46206.46954</v>
      </c>
      <c r="J364" s="76">
        <f t="shared" si="2"/>
        <v>0.03878905092</v>
      </c>
      <c r="L364" s="76">
        <f>IFERROR(__xludf.DUMMYFUNCTION("""COMPUTED_VALUE"""),5325.0)</f>
        <v>5325</v>
      </c>
      <c r="M364" s="232">
        <f>IFERROR(__xludf.DUMMYFUNCTION("""COMPUTED_VALUE"""),46206.612499999996)</f>
        <v>46206.6125</v>
      </c>
      <c r="N364" s="84">
        <f>IFERROR(__xludf.DUMMYFUNCTION("""COMPUTED_VALUE"""),46206.48129571759)</f>
        <v>46206.4813</v>
      </c>
      <c r="O364" s="76">
        <f t="shared" si="3"/>
        <v>0.1312042824</v>
      </c>
      <c r="Q364" s="76">
        <f>IFERROR(__xludf.DUMMYFUNCTION("""COMPUTED_VALUE"""),5320.0)</f>
        <v>5320</v>
      </c>
      <c r="R364" s="232">
        <f>IFERROR(__xludf.DUMMYFUNCTION("""COMPUTED_VALUE"""),46206.472222222226)</f>
        <v>46206.47222</v>
      </c>
      <c r="S364" s="84">
        <f>IFERROR(__xludf.DUMMYFUNCTION("""COMPUTED_VALUE"""),46205.74152616898)</f>
        <v>46205.74153</v>
      </c>
      <c r="T364" s="76">
        <f t="shared" si="4"/>
        <v>0.7306960532</v>
      </c>
      <c r="V364" s="76">
        <f>IFERROR(__xludf.DUMMYFUNCTION("""COMPUTED_VALUE"""),5325.0)</f>
        <v>5325</v>
      </c>
      <c r="W364" s="232">
        <f>IFERROR(__xludf.DUMMYFUNCTION("""COMPUTED_VALUE"""),46207.65416666667)</f>
        <v>46207.65417</v>
      </c>
      <c r="X364" s="84">
        <f>IFERROR(__xludf.DUMMYFUNCTION("""COMPUTED_VALUE"""),46206.687336863426)</f>
        <v>46206.68734</v>
      </c>
      <c r="Y364" s="76">
        <f t="shared" si="5"/>
        <v>0.9668298032</v>
      </c>
      <c r="AK364" s="232"/>
      <c r="AL364" s="233"/>
      <c r="AM364" s="173"/>
    </row>
    <row r="365">
      <c r="A365" s="76">
        <f>IFERROR(__xludf.DUMMYFUNCTION("""COMPUTED_VALUE"""),5326.0)</f>
        <v>5326</v>
      </c>
      <c r="B365" s="232">
        <f>IFERROR(__xludf.DUMMYFUNCTION("""COMPUTED_VALUE"""),46206.635982291664)</f>
        <v>46206.63598</v>
      </c>
      <c r="C365" s="84">
        <f>IFERROR(__xludf.DUMMYFUNCTION("""COMPUTED_VALUE"""),46206.46963554398)</f>
        <v>46206.46964</v>
      </c>
      <c r="D365" s="173">
        <f t="shared" si="1"/>
        <v>0.1663467477</v>
      </c>
      <c r="G365" s="76">
        <f>IFERROR(__xludf.DUMMYFUNCTION("""COMPUTED_VALUE"""),5326.0)</f>
        <v>5326</v>
      </c>
      <c r="H365" s="232">
        <f>IFERROR(__xludf.DUMMYFUNCTION("""COMPUTED_VALUE"""),46206.64292673611)</f>
        <v>46206.64293</v>
      </c>
      <c r="I365" s="84">
        <f>IFERROR(__xludf.DUMMYFUNCTION("""COMPUTED_VALUE"""),46206.46972825231)</f>
        <v>46206.46973</v>
      </c>
      <c r="J365" s="76">
        <f t="shared" si="2"/>
        <v>0.1731984838</v>
      </c>
      <c r="L365" s="76">
        <f>IFERROR(__xludf.DUMMYFUNCTION("""COMPUTED_VALUE"""),5326.0)</f>
        <v>5326</v>
      </c>
      <c r="M365" s="232">
        <f>IFERROR(__xludf.DUMMYFUNCTION("""COMPUTED_VALUE"""),46206.74709340277)</f>
        <v>46206.74709</v>
      </c>
      <c r="N365" s="84">
        <f>IFERROR(__xludf.DUMMYFUNCTION("""COMPUTED_VALUE"""),46206.46989798611)</f>
        <v>46206.4699</v>
      </c>
      <c r="O365" s="76">
        <f t="shared" si="3"/>
        <v>0.2771954167</v>
      </c>
      <c r="Q365" s="76">
        <f>IFERROR(__xludf.DUMMYFUNCTION("""COMPUTED_VALUE"""),5321.0)</f>
        <v>5321</v>
      </c>
      <c r="R365" s="232">
        <f>IFERROR(__xludf.DUMMYFUNCTION("""COMPUTED_VALUE"""),46206.47361111111)</f>
        <v>46206.47361</v>
      </c>
      <c r="S365" s="84">
        <f>IFERROR(__xludf.DUMMYFUNCTION("""COMPUTED_VALUE"""),46205.74152997685)</f>
        <v>46205.74153</v>
      </c>
      <c r="T365" s="76">
        <f t="shared" si="4"/>
        <v>0.7320811343</v>
      </c>
      <c r="V365" s="76">
        <f>IFERROR(__xludf.DUMMYFUNCTION("""COMPUTED_VALUE"""),5326.0)</f>
        <v>5326</v>
      </c>
      <c r="W365" s="232">
        <f>IFERROR(__xludf.DUMMYFUNCTION("""COMPUTED_VALUE"""),46207.788194444445)</f>
        <v>46207.78819</v>
      </c>
      <c r="X365" s="84">
        <f>IFERROR(__xludf.DUMMYFUNCTION("""COMPUTED_VALUE"""),46206.68749049769)</f>
        <v>46206.68749</v>
      </c>
      <c r="Y365" s="76">
        <f t="shared" si="5"/>
        <v>1.100703947</v>
      </c>
      <c r="AK365" s="232"/>
      <c r="AL365" s="233"/>
      <c r="AM365" s="173"/>
    </row>
    <row r="366">
      <c r="A366" s="76">
        <f>IFERROR(__xludf.DUMMYFUNCTION("""COMPUTED_VALUE"""),5327.0)</f>
        <v>5327</v>
      </c>
      <c r="B366" s="232">
        <f>IFERROR(__xludf.DUMMYFUNCTION("""COMPUTED_VALUE"""),46206.63760033565)</f>
        <v>46206.6376</v>
      </c>
      <c r="C366" s="84">
        <f>IFERROR(__xludf.DUMMYFUNCTION("""COMPUTED_VALUE"""),46206.480920243055)</f>
        <v>46206.48092</v>
      </c>
      <c r="D366" s="173">
        <f t="shared" si="1"/>
        <v>0.1566800926</v>
      </c>
      <c r="G366" s="76">
        <f>IFERROR(__xludf.DUMMYFUNCTION("""COMPUTED_VALUE"""),5327.0)</f>
        <v>5327</v>
      </c>
      <c r="H366" s="232">
        <f>IFERROR(__xludf.DUMMYFUNCTION("""COMPUTED_VALUE"""),46206.644544780094)</f>
        <v>46206.64454</v>
      </c>
      <c r="I366" s="84">
        <f>IFERROR(__xludf.DUMMYFUNCTION("""COMPUTED_VALUE"""),46206.481084687504)</f>
        <v>46206.48108</v>
      </c>
      <c r="J366" s="76">
        <f t="shared" si="2"/>
        <v>0.1634600926</v>
      </c>
      <c r="L366" s="76">
        <f>IFERROR(__xludf.DUMMYFUNCTION("""COMPUTED_VALUE"""),5327.0)</f>
        <v>5327</v>
      </c>
      <c r="M366" s="232">
        <f>IFERROR(__xludf.DUMMYFUNCTION("""COMPUTED_VALUE"""),46206.74871144676)</f>
        <v>46206.74871</v>
      </c>
      <c r="N366" s="84">
        <f>IFERROR(__xludf.DUMMYFUNCTION("""COMPUTED_VALUE"""),46206.481107569445)</f>
        <v>46206.48111</v>
      </c>
      <c r="O366" s="76">
        <f t="shared" si="3"/>
        <v>0.2676038773</v>
      </c>
      <c r="Q366" s="76">
        <f>IFERROR(__xludf.DUMMYFUNCTION("""COMPUTED_VALUE"""),5322.0)</f>
        <v>5322</v>
      </c>
      <c r="R366" s="232">
        <f>IFERROR(__xludf.DUMMYFUNCTION("""COMPUTED_VALUE"""),46206.47430555556)</f>
        <v>46206.47431</v>
      </c>
      <c r="S366" s="84">
        <f>IFERROR(__xludf.DUMMYFUNCTION("""COMPUTED_VALUE"""),46204.75824552083)</f>
        <v>46204.75825</v>
      </c>
      <c r="T366" s="76">
        <f t="shared" si="4"/>
        <v>1.716060035</v>
      </c>
      <c r="V366" s="76">
        <f>IFERROR(__xludf.DUMMYFUNCTION("""COMPUTED_VALUE"""),5327.0)</f>
        <v>5327</v>
      </c>
      <c r="W366" s="232">
        <f>IFERROR(__xludf.DUMMYFUNCTION("""COMPUTED_VALUE"""),46207.79027777778)</f>
        <v>46207.79028</v>
      </c>
      <c r="X366" s="84">
        <f>IFERROR(__xludf.DUMMYFUNCTION("""COMPUTED_VALUE"""),46206.694086076386)</f>
        <v>46206.69409</v>
      </c>
      <c r="Y366" s="76">
        <f t="shared" si="5"/>
        <v>1.096191701</v>
      </c>
      <c r="AK366" s="232"/>
      <c r="AL366" s="233"/>
      <c r="AM366" s="173"/>
    </row>
    <row r="367">
      <c r="A367" s="76">
        <f>IFERROR(__xludf.DUMMYFUNCTION("""COMPUTED_VALUE"""),5328.0)</f>
        <v>5328</v>
      </c>
      <c r="B367" s="232">
        <f>IFERROR(__xludf.DUMMYFUNCTION("""COMPUTED_VALUE"""),46206.658121099535)</f>
        <v>46206.65812</v>
      </c>
      <c r="C367" s="84">
        <f>IFERROR(__xludf.DUMMYFUNCTION("""COMPUTED_VALUE"""),46206.496740682865)</f>
        <v>46206.49674</v>
      </c>
      <c r="D367" s="173">
        <f t="shared" si="1"/>
        <v>0.1613804167</v>
      </c>
      <c r="G367" s="76">
        <f>IFERROR(__xludf.DUMMYFUNCTION("""COMPUTED_VALUE"""),5328.0)</f>
        <v>5328</v>
      </c>
      <c r="H367" s="232">
        <f>IFERROR(__xludf.DUMMYFUNCTION("""COMPUTED_VALUE"""),46206.66506554398)</f>
        <v>46206.66507</v>
      </c>
      <c r="I367" s="84">
        <f>IFERROR(__xludf.DUMMYFUNCTION("""COMPUTED_VALUE"""),46206.496821574074)</f>
        <v>46206.49682</v>
      </c>
      <c r="J367" s="76">
        <f t="shared" si="2"/>
        <v>0.1682439699</v>
      </c>
      <c r="L367" s="76">
        <f>IFERROR(__xludf.DUMMYFUNCTION("""COMPUTED_VALUE"""),5328.0)</f>
        <v>5328</v>
      </c>
      <c r="M367" s="232">
        <f>IFERROR(__xludf.DUMMYFUNCTION("""COMPUTED_VALUE"""),46206.769232210645)</f>
        <v>46206.76923</v>
      </c>
      <c r="N367" s="84">
        <f>IFERROR(__xludf.DUMMYFUNCTION("""COMPUTED_VALUE"""),46206.49684806713)</f>
        <v>46206.49685</v>
      </c>
      <c r="O367" s="76">
        <f t="shared" si="3"/>
        <v>0.2723841435</v>
      </c>
      <c r="Q367" s="76">
        <f>IFERROR(__xludf.DUMMYFUNCTION("""COMPUTED_VALUE"""),5323.0)</f>
        <v>5323</v>
      </c>
      <c r="R367" s="232">
        <f>IFERROR(__xludf.DUMMYFUNCTION("""COMPUTED_VALUE"""),46206.47777777778)</f>
        <v>46206.47778</v>
      </c>
      <c r="S367" s="84">
        <f>IFERROR(__xludf.DUMMYFUNCTION("""COMPUTED_VALUE"""),46204.7182249537)</f>
        <v>46204.71822</v>
      </c>
      <c r="T367" s="76">
        <f t="shared" si="4"/>
        <v>1.759552824</v>
      </c>
      <c r="V367" s="76">
        <f>IFERROR(__xludf.DUMMYFUNCTION("""COMPUTED_VALUE"""),5328.0)</f>
        <v>5328</v>
      </c>
      <c r="W367" s="232">
        <f>IFERROR(__xludf.DUMMYFUNCTION("""COMPUTED_VALUE"""),46207.81041666667)</f>
        <v>46207.81042</v>
      </c>
      <c r="X367" s="84">
        <f>IFERROR(__xludf.DUMMYFUNCTION("""COMPUTED_VALUE"""),46207.552749780094)</f>
        <v>46207.55275</v>
      </c>
      <c r="Y367" s="76">
        <f t="shared" si="5"/>
        <v>0.2576668866</v>
      </c>
      <c r="AK367" s="232"/>
      <c r="AL367" s="233"/>
      <c r="AM367" s="173"/>
    </row>
    <row r="368">
      <c r="A368" s="76">
        <f>IFERROR(__xludf.DUMMYFUNCTION("""COMPUTED_VALUE"""),5329.0)</f>
        <v>5329</v>
      </c>
      <c r="B368" s="232">
        <f>IFERROR(__xludf.DUMMYFUNCTION("""COMPUTED_VALUE"""),46206.717498136575)</f>
        <v>46206.7175</v>
      </c>
      <c r="C368" s="84">
        <f>IFERROR(__xludf.DUMMYFUNCTION("""COMPUTED_VALUE"""),46206.55207167824)</f>
        <v>46206.55207</v>
      </c>
      <c r="D368" s="173">
        <f t="shared" si="1"/>
        <v>0.1654264583</v>
      </c>
      <c r="G368" s="76">
        <f>IFERROR(__xludf.DUMMYFUNCTION("""COMPUTED_VALUE"""),5329.0)</f>
        <v>5329</v>
      </c>
      <c r="H368" s="232">
        <f>IFERROR(__xludf.DUMMYFUNCTION("""COMPUTED_VALUE"""),46206.72444258102)</f>
        <v>46206.72444</v>
      </c>
      <c r="I368" s="84">
        <f>IFERROR(__xludf.DUMMYFUNCTION("""COMPUTED_VALUE"""),46206.55214842592)</f>
        <v>46206.55215</v>
      </c>
      <c r="J368" s="76">
        <f t="shared" si="2"/>
        <v>0.1722941551</v>
      </c>
      <c r="L368" s="76">
        <f>IFERROR(__xludf.DUMMYFUNCTION("""COMPUTED_VALUE"""),5329.0)</f>
        <v>5329</v>
      </c>
      <c r="M368" s="232">
        <f>IFERROR(__xludf.DUMMYFUNCTION("""COMPUTED_VALUE"""),46206.828609247685)</f>
        <v>46206.82861</v>
      </c>
      <c r="N368" s="84">
        <f>IFERROR(__xludf.DUMMYFUNCTION("""COMPUTED_VALUE"""),46206.55217945602)</f>
        <v>46206.55218</v>
      </c>
      <c r="O368" s="76">
        <f t="shared" si="3"/>
        <v>0.2764297917</v>
      </c>
      <c r="Q368" s="76">
        <f>IFERROR(__xludf.DUMMYFUNCTION("""COMPUTED_VALUE"""),5324.0)</f>
        <v>5324</v>
      </c>
      <c r="R368" s="232">
        <f>IFERROR(__xludf.DUMMYFUNCTION("""COMPUTED_VALUE"""),46206.53472222222)</f>
        <v>46206.53472</v>
      </c>
      <c r="S368" s="84">
        <f>IFERROR(__xludf.DUMMYFUNCTION("""COMPUTED_VALUE"""),46206.481334247685)</f>
        <v>46206.48133</v>
      </c>
      <c r="T368" s="76">
        <f t="shared" si="4"/>
        <v>0.05338797453</v>
      </c>
      <c r="V368" s="76">
        <f>IFERROR(__xludf.DUMMYFUNCTION("""COMPUTED_VALUE"""),5329.0)</f>
        <v>5329</v>
      </c>
      <c r="W368" s="232">
        <f>IFERROR(__xludf.DUMMYFUNCTION("""COMPUTED_VALUE"""),46209.45347222222)</f>
        <v>46209.45347</v>
      </c>
      <c r="X368" s="84">
        <f>IFERROR(__xludf.DUMMYFUNCTION("""COMPUTED_VALUE"""),46206.68156037037)</f>
        <v>46206.68156</v>
      </c>
      <c r="Y368" s="76">
        <f t="shared" si="5"/>
        <v>2.771911852</v>
      </c>
      <c r="AK368" s="232"/>
      <c r="AL368" s="233"/>
      <c r="AM368" s="173"/>
    </row>
    <row r="369">
      <c r="A369" s="76">
        <f>IFERROR(__xludf.DUMMYFUNCTION("""COMPUTED_VALUE"""),5330.0)</f>
        <v>5330</v>
      </c>
      <c r="B369" s="232">
        <f>IFERROR(__xludf.DUMMYFUNCTION("""COMPUTED_VALUE"""),46207.45)</f>
        <v>46207.45</v>
      </c>
      <c r="C369" s="84">
        <f>IFERROR(__xludf.DUMMYFUNCTION("""COMPUTED_VALUE"""),46206.74919074074)</f>
        <v>46206.74919</v>
      </c>
      <c r="D369" s="173">
        <f t="shared" si="1"/>
        <v>0.7008092593</v>
      </c>
      <c r="G369" s="76">
        <f>IFERROR(__xludf.DUMMYFUNCTION("""COMPUTED_VALUE"""),5330.0)</f>
        <v>5330</v>
      </c>
      <c r="H369" s="232">
        <f>IFERROR(__xludf.DUMMYFUNCTION("""COMPUTED_VALUE"""),46207.45694444444)</f>
        <v>46207.45694</v>
      </c>
      <c r="I369" s="84">
        <f>IFERROR(__xludf.DUMMYFUNCTION("""COMPUTED_VALUE"""),46206.80403266204)</f>
        <v>46206.80403</v>
      </c>
      <c r="J369" s="76">
        <f t="shared" si="2"/>
        <v>0.6529117824</v>
      </c>
      <c r="L369" s="76">
        <f>IFERROR(__xludf.DUMMYFUNCTION("""COMPUTED_VALUE"""),5330.0)</f>
        <v>5330</v>
      </c>
      <c r="M369" s="232">
        <f>IFERROR(__xludf.DUMMYFUNCTION("""COMPUTED_VALUE"""),46207.56111111111)</f>
        <v>46207.56111</v>
      </c>
      <c r="N369" s="84">
        <f>IFERROR(__xludf.DUMMYFUNCTION("""COMPUTED_VALUE"""),46206.80424539352)</f>
        <v>46206.80425</v>
      </c>
      <c r="O369" s="76">
        <f t="shared" si="3"/>
        <v>0.7568657176</v>
      </c>
      <c r="Q369" s="76">
        <f>IFERROR(__xludf.DUMMYFUNCTION("""COMPUTED_VALUE"""),5325.0)</f>
        <v>5325</v>
      </c>
      <c r="R369" s="232">
        <f>IFERROR(__xludf.DUMMYFUNCTION("""COMPUTED_VALUE"""),46207.6125)</f>
        <v>46207.6125</v>
      </c>
      <c r="S369" s="84">
        <f>IFERROR(__xludf.DUMMYFUNCTION("""COMPUTED_VALUE"""),46206.54541269676)</f>
        <v>46206.54541</v>
      </c>
      <c r="T369" s="76">
        <f t="shared" si="4"/>
        <v>1.067087303</v>
      </c>
      <c r="V369" s="76">
        <f>IFERROR(__xludf.DUMMYFUNCTION("""COMPUTED_VALUE"""),5330.0)</f>
        <v>5330</v>
      </c>
      <c r="W369" s="232">
        <f>IFERROR(__xludf.DUMMYFUNCTION("""COMPUTED_VALUE"""),46209.60277777777)</f>
        <v>46209.60278</v>
      </c>
      <c r="X369" s="84">
        <f>IFERROR(__xludf.DUMMYFUNCTION("""COMPUTED_VALUE"""),46206.74930560185)</f>
        <v>46206.74931</v>
      </c>
      <c r="Y369" s="76">
        <f t="shared" si="5"/>
        <v>2.853472176</v>
      </c>
      <c r="AK369" s="232"/>
      <c r="AL369" s="233"/>
      <c r="AM369" s="173"/>
    </row>
    <row r="370">
      <c r="A370" s="76">
        <f>IFERROR(__xludf.DUMMYFUNCTION("""COMPUTED_VALUE"""),5331.0)</f>
        <v>5331</v>
      </c>
      <c r="B370" s="232">
        <f>IFERROR(__xludf.DUMMYFUNCTION("""COMPUTED_VALUE"""),46207.50555555556)</f>
        <v>46207.50556</v>
      </c>
      <c r="C370" s="84">
        <f>IFERROR(__xludf.DUMMYFUNCTION("""COMPUTED_VALUE"""),46206.803681087964)</f>
        <v>46206.80368</v>
      </c>
      <c r="D370" s="173">
        <f t="shared" si="1"/>
        <v>0.7018744676</v>
      </c>
      <c r="G370" s="76">
        <f>IFERROR(__xludf.DUMMYFUNCTION("""COMPUTED_VALUE"""),5331.0)</f>
        <v>5331</v>
      </c>
      <c r="H370" s="232">
        <f>IFERROR(__xludf.DUMMYFUNCTION("""COMPUTED_VALUE"""),46207.512500000004)</f>
        <v>46207.5125</v>
      </c>
      <c r="I370" s="84">
        <f>IFERROR(__xludf.DUMMYFUNCTION("""COMPUTED_VALUE"""),46206.803896620375)</f>
        <v>46206.8039</v>
      </c>
      <c r="J370" s="76">
        <f t="shared" si="2"/>
        <v>0.7086033796</v>
      </c>
      <c r="L370" s="76">
        <f>IFERROR(__xludf.DUMMYFUNCTION("""COMPUTED_VALUE"""),5331.0)</f>
        <v>5331</v>
      </c>
      <c r="M370" s="232">
        <f>IFERROR(__xludf.DUMMYFUNCTION("""COMPUTED_VALUE"""),46207.61666666667)</f>
        <v>46207.61667</v>
      </c>
      <c r="N370" s="84">
        <f>IFERROR(__xludf.DUMMYFUNCTION("""COMPUTED_VALUE"""),46207.40392244213)</f>
        <v>46207.40392</v>
      </c>
      <c r="O370" s="76">
        <f t="shared" si="3"/>
        <v>0.2127442245</v>
      </c>
      <c r="Q370" s="76">
        <f>IFERROR(__xludf.DUMMYFUNCTION("""COMPUTED_VALUE"""),5326.0)</f>
        <v>5326</v>
      </c>
      <c r="R370" s="232">
        <f>IFERROR(__xludf.DUMMYFUNCTION("""COMPUTED_VALUE"""),46207.74652777778)</f>
        <v>46207.74653</v>
      </c>
      <c r="S370" s="84">
        <f>IFERROR(__xludf.DUMMYFUNCTION("""COMPUTED_VALUE"""),46206.5522603125)</f>
        <v>46206.55226</v>
      </c>
      <c r="T370" s="76">
        <f t="shared" si="4"/>
        <v>1.194267465</v>
      </c>
      <c r="V370" s="76">
        <f>IFERROR(__xludf.DUMMYFUNCTION("""COMPUTED_VALUE"""),5331.0)</f>
        <v>5331</v>
      </c>
      <c r="W370" s="232">
        <f>IFERROR(__xludf.DUMMYFUNCTION("""COMPUTED_VALUE"""),46209.65833333333)</f>
        <v>46209.65833</v>
      </c>
      <c r="X370" s="84">
        <f>IFERROR(__xludf.DUMMYFUNCTION("""COMPUTED_VALUE"""),46207.40405662037)</f>
        <v>46207.40406</v>
      </c>
      <c r="Y370" s="76">
        <f t="shared" si="5"/>
        <v>2.254276713</v>
      </c>
      <c r="AK370" s="232"/>
      <c r="AL370" s="233"/>
      <c r="AM370" s="173"/>
    </row>
    <row r="371">
      <c r="A371" s="76">
        <f>IFERROR(__xludf.DUMMYFUNCTION("""COMPUTED_VALUE"""),5332.0)</f>
        <v>5332</v>
      </c>
      <c r="B371" s="232">
        <f>IFERROR(__xludf.DUMMYFUNCTION("""COMPUTED_VALUE"""),46213.486783842585)</f>
        <v>46213.48678</v>
      </c>
      <c r="C371" s="84">
        <f>IFERROR(__xludf.DUMMYFUNCTION("""COMPUTED_VALUE"""),46209.4296800463)</f>
        <v>46209.42968</v>
      </c>
      <c r="D371" s="173">
        <f t="shared" si="1"/>
        <v>4.057103796</v>
      </c>
      <c r="G371" s="76">
        <f>IFERROR(__xludf.DUMMYFUNCTION("""COMPUTED_VALUE"""),5332.0)</f>
        <v>5332</v>
      </c>
      <c r="H371" s="232">
        <f>IFERROR(__xludf.DUMMYFUNCTION("""COMPUTED_VALUE"""),46213.49372828703)</f>
        <v>46213.49373</v>
      </c>
      <c r="I371" s="84">
        <f>IFERROR(__xludf.DUMMYFUNCTION("""COMPUTED_VALUE"""),46209.42983298611)</f>
        <v>46209.42983</v>
      </c>
      <c r="J371" s="76">
        <f t="shared" si="2"/>
        <v>4.063895301</v>
      </c>
      <c r="L371" s="76">
        <f>IFERROR(__xludf.DUMMYFUNCTION("""COMPUTED_VALUE"""),5332.0)</f>
        <v>5332</v>
      </c>
      <c r="M371" s="232">
        <f>IFERROR(__xludf.DUMMYFUNCTION("""COMPUTED_VALUE"""),46213.597894953695)</f>
        <v>46213.59789</v>
      </c>
      <c r="N371" s="84">
        <f>IFERROR(__xludf.DUMMYFUNCTION("""COMPUTED_VALUE"""),46209.48372350694)</f>
        <v>46209.48372</v>
      </c>
      <c r="O371" s="76">
        <f t="shared" si="3"/>
        <v>4.114171447</v>
      </c>
      <c r="Q371" s="76">
        <f>IFERROR(__xludf.DUMMYFUNCTION("""COMPUTED_VALUE"""),5327.0)</f>
        <v>5327</v>
      </c>
      <c r="R371" s="232">
        <f>IFERROR(__xludf.DUMMYFUNCTION("""COMPUTED_VALUE"""),46207.748611111114)</f>
        <v>46207.74861</v>
      </c>
      <c r="S371" s="84">
        <f>IFERROR(__xludf.DUMMYFUNCTION("""COMPUTED_VALUE"""),46206.69403384259)</f>
        <v>46206.69403</v>
      </c>
      <c r="T371" s="76">
        <f t="shared" si="4"/>
        <v>1.054577269</v>
      </c>
      <c r="V371" s="76">
        <f>IFERROR(__xludf.DUMMYFUNCTION("""COMPUTED_VALUE"""),5332.0)</f>
        <v>5332</v>
      </c>
      <c r="W371" s="232">
        <f>IFERROR(__xludf.DUMMYFUNCTION("""COMPUTED_VALUE"""),46214.63888888889)</f>
        <v>46214.63889</v>
      </c>
      <c r="X371" s="84">
        <f>IFERROR(__xludf.DUMMYFUNCTION("""COMPUTED_VALUE"""),46209.72901177083)</f>
        <v>46209.72901</v>
      </c>
      <c r="Y371" s="76">
        <f t="shared" si="5"/>
        <v>4.909877118</v>
      </c>
      <c r="AK371" s="232"/>
      <c r="AL371" s="233"/>
      <c r="AM371" s="173"/>
    </row>
    <row r="372">
      <c r="A372" s="76">
        <f>IFERROR(__xludf.DUMMYFUNCTION("""COMPUTED_VALUE"""),5333.0)</f>
        <v>5333</v>
      </c>
      <c r="B372" s="232">
        <f>IFERROR(__xludf.DUMMYFUNCTION("""COMPUTED_VALUE"""),46209.52361111111)</f>
        <v>46209.52361</v>
      </c>
      <c r="C372" s="84">
        <f>IFERROR(__xludf.DUMMYFUNCTION("""COMPUTED_VALUE"""),46209.42971490741)</f>
        <v>46209.42971</v>
      </c>
      <c r="D372" s="173">
        <f t="shared" si="1"/>
        <v>0.0938962037</v>
      </c>
      <c r="G372" s="76">
        <f>IFERROR(__xludf.DUMMYFUNCTION("""COMPUTED_VALUE"""),5333.0)</f>
        <v>5333</v>
      </c>
      <c r="H372" s="232">
        <f>IFERROR(__xludf.DUMMYFUNCTION("""COMPUTED_VALUE"""),46209.53055555555)</f>
        <v>46209.53056</v>
      </c>
      <c r="I372" s="84">
        <f>IFERROR(__xludf.DUMMYFUNCTION("""COMPUTED_VALUE"""),46209.429866782404)</f>
        <v>46209.42987</v>
      </c>
      <c r="J372" s="76">
        <f t="shared" si="2"/>
        <v>0.1006887731</v>
      </c>
      <c r="L372" s="76">
        <f>IFERROR(__xludf.DUMMYFUNCTION("""COMPUTED_VALUE"""),5333.0)</f>
        <v>5333</v>
      </c>
      <c r="M372" s="232">
        <f>IFERROR(__xludf.DUMMYFUNCTION("""COMPUTED_VALUE"""),46209.63472222222)</f>
        <v>46209.63472</v>
      </c>
      <c r="N372" s="84">
        <f>IFERROR(__xludf.DUMMYFUNCTION("""COMPUTED_VALUE"""),46209.48374473379)</f>
        <v>46209.48374</v>
      </c>
      <c r="O372" s="76">
        <f t="shared" si="3"/>
        <v>0.1509774884</v>
      </c>
      <c r="Q372" s="76">
        <f>IFERROR(__xludf.DUMMYFUNCTION("""COMPUTED_VALUE"""),5328.0)</f>
        <v>5328</v>
      </c>
      <c r="R372" s="232">
        <f>IFERROR(__xludf.DUMMYFUNCTION("""COMPUTED_VALUE"""),46207.76875)</f>
        <v>46207.76875</v>
      </c>
      <c r="S372" s="84">
        <f>IFERROR(__xludf.DUMMYFUNCTION("""COMPUTED_VALUE"""),46207.552717962964)</f>
        <v>46207.55272</v>
      </c>
      <c r="T372" s="76">
        <f t="shared" si="4"/>
        <v>0.216032037</v>
      </c>
      <c r="V372" s="76">
        <f>IFERROR(__xludf.DUMMYFUNCTION("""COMPUTED_VALUE"""),5333.0)</f>
        <v>5333</v>
      </c>
      <c r="W372" s="232">
        <f>IFERROR(__xludf.DUMMYFUNCTION("""COMPUTED_VALUE"""),46210.67638888889)</f>
        <v>46210.67639</v>
      </c>
      <c r="X372" s="84">
        <f>IFERROR(__xludf.DUMMYFUNCTION("""COMPUTED_VALUE"""),46209.72904416667)</f>
        <v>46209.72904</v>
      </c>
      <c r="Y372" s="76">
        <f t="shared" si="5"/>
        <v>0.9473447222</v>
      </c>
      <c r="AK372" s="232"/>
      <c r="AL372" s="233"/>
      <c r="AM372" s="173"/>
    </row>
    <row r="373">
      <c r="A373" s="76">
        <f>IFERROR(__xludf.DUMMYFUNCTION("""COMPUTED_VALUE"""),5334.0)</f>
        <v>5334</v>
      </c>
      <c r="B373" s="232">
        <f>IFERROR(__xludf.DUMMYFUNCTION("""COMPUTED_VALUE"""),46209.61183577546)</f>
        <v>46209.61184</v>
      </c>
      <c r="C373" s="84">
        <f>IFERROR(__xludf.DUMMYFUNCTION("""COMPUTED_VALUE"""),46209.48327420139)</f>
        <v>46209.48327</v>
      </c>
      <c r="D373" s="173">
        <f t="shared" si="1"/>
        <v>0.1285615741</v>
      </c>
      <c r="G373" s="76">
        <f>IFERROR(__xludf.DUMMYFUNCTION("""COMPUTED_VALUE"""),5334.0)</f>
        <v>5334</v>
      </c>
      <c r="H373" s="232">
        <f>IFERROR(__xludf.DUMMYFUNCTION("""COMPUTED_VALUE"""),46209.618780219906)</f>
        <v>46209.61878</v>
      </c>
      <c r="I373" s="84">
        <f>IFERROR(__xludf.DUMMYFUNCTION("""COMPUTED_VALUE"""),46209.48349827546)</f>
        <v>46209.4835</v>
      </c>
      <c r="J373" s="76">
        <f t="shared" si="2"/>
        <v>0.1352819444</v>
      </c>
      <c r="L373" s="76">
        <f>IFERROR(__xludf.DUMMYFUNCTION("""COMPUTED_VALUE"""),5334.0)</f>
        <v>5334</v>
      </c>
      <c r="M373" s="232">
        <f>IFERROR(__xludf.DUMMYFUNCTION("""COMPUTED_VALUE"""),46209.72294688657)</f>
        <v>46209.72295</v>
      </c>
      <c r="N373" s="84">
        <f>IFERROR(__xludf.DUMMYFUNCTION("""COMPUTED_VALUE"""),46209.48353707176)</f>
        <v>46209.48354</v>
      </c>
      <c r="O373" s="76">
        <f t="shared" si="3"/>
        <v>0.2394098148</v>
      </c>
      <c r="Q373" s="76">
        <f>IFERROR(__xludf.DUMMYFUNCTION("""COMPUTED_VALUE"""),5329.0)</f>
        <v>5329</v>
      </c>
      <c r="R373" s="232">
        <f>IFERROR(__xludf.DUMMYFUNCTION("""COMPUTED_VALUE"""),46207.82847222222)</f>
        <v>46207.82847</v>
      </c>
      <c r="S373" s="84">
        <f>IFERROR(__xludf.DUMMYFUNCTION("""COMPUTED_VALUE"""),46206.66195952546)</f>
        <v>46206.66196</v>
      </c>
      <c r="T373" s="76">
        <f t="shared" si="4"/>
        <v>1.166512697</v>
      </c>
      <c r="V373" s="76">
        <f>IFERROR(__xludf.DUMMYFUNCTION("""COMPUTED_VALUE"""),5334.0)</f>
        <v>5334</v>
      </c>
      <c r="W373" s="232">
        <f>IFERROR(__xludf.DUMMYFUNCTION("""COMPUTED_VALUE"""),46210.76458333333)</f>
        <v>46210.76458</v>
      </c>
      <c r="X373" s="84">
        <f>IFERROR(__xludf.DUMMYFUNCTION("""COMPUTED_VALUE"""),46209.6353822338)</f>
        <v>46209.63538</v>
      </c>
      <c r="Y373" s="76">
        <f t="shared" si="5"/>
        <v>1.1292011</v>
      </c>
      <c r="AK373" s="232"/>
      <c r="AL373" s="233"/>
      <c r="AM373" s="173"/>
    </row>
    <row r="374">
      <c r="A374" s="76">
        <f>IFERROR(__xludf.DUMMYFUNCTION("""COMPUTED_VALUE"""),5335.0)</f>
        <v>5335</v>
      </c>
      <c r="B374" s="232">
        <f>IFERROR(__xludf.DUMMYFUNCTION("""COMPUTED_VALUE"""),46209.65279609954)</f>
        <v>46209.6528</v>
      </c>
      <c r="C374" s="84">
        <f>IFERROR(__xludf.DUMMYFUNCTION("""COMPUTED_VALUE"""),46209.497089930555)</f>
        <v>46209.49709</v>
      </c>
      <c r="D374" s="173">
        <f t="shared" si="1"/>
        <v>0.155706169</v>
      </c>
      <c r="G374" s="76">
        <f>IFERROR(__xludf.DUMMYFUNCTION("""COMPUTED_VALUE"""),5335.0)</f>
        <v>5335</v>
      </c>
      <c r="H374" s="232">
        <f>IFERROR(__xludf.DUMMYFUNCTION("""COMPUTED_VALUE"""),46209.65974054398)</f>
        <v>46209.65974</v>
      </c>
      <c r="I374" s="84">
        <f>IFERROR(__xludf.DUMMYFUNCTION("""COMPUTED_VALUE"""),46209.49719083333)</f>
        <v>46209.49719</v>
      </c>
      <c r="J374" s="76">
        <f t="shared" si="2"/>
        <v>0.1625497107</v>
      </c>
      <c r="L374" s="76">
        <f>IFERROR(__xludf.DUMMYFUNCTION("""COMPUTED_VALUE"""),5335.0)</f>
        <v>5335</v>
      </c>
      <c r="M374" s="232">
        <f>IFERROR(__xludf.DUMMYFUNCTION("""COMPUTED_VALUE"""),46209.76390721065)</f>
        <v>46209.76391</v>
      </c>
      <c r="N374" s="84">
        <f>IFERROR(__xludf.DUMMYFUNCTION("""COMPUTED_VALUE"""),46209.58801143519)</f>
        <v>46209.58801</v>
      </c>
      <c r="O374" s="76">
        <f t="shared" si="3"/>
        <v>0.1758957755</v>
      </c>
      <c r="Q374" s="76">
        <f>IFERROR(__xludf.DUMMYFUNCTION("""COMPUTED_VALUE"""),5330.0)</f>
        <v>5330</v>
      </c>
      <c r="R374" s="232">
        <f>IFERROR(__xludf.DUMMYFUNCTION("""COMPUTED_VALUE"""),46209.56111111111)</f>
        <v>46209.56111</v>
      </c>
      <c r="S374" s="84">
        <f>IFERROR(__xludf.DUMMYFUNCTION("""COMPUTED_VALUE"""),46206.74928001157)</f>
        <v>46206.74928</v>
      </c>
      <c r="T374" s="76">
        <f t="shared" si="4"/>
        <v>2.8118311</v>
      </c>
      <c r="V374" s="76">
        <f>IFERROR(__xludf.DUMMYFUNCTION("""COMPUTED_VALUE"""),5335.0)</f>
        <v>5335</v>
      </c>
      <c r="W374" s="232">
        <f>IFERROR(__xludf.DUMMYFUNCTION("""COMPUTED_VALUE"""),46210.805555555555)</f>
        <v>46210.80556</v>
      </c>
      <c r="X374" s="84">
        <f>IFERROR(__xludf.DUMMYFUNCTION("""COMPUTED_VALUE"""),46209.63542818287)</f>
        <v>46209.63543</v>
      </c>
      <c r="Y374" s="76">
        <f t="shared" si="5"/>
        <v>1.170127373</v>
      </c>
      <c r="AK374" s="232"/>
      <c r="AL374" s="233"/>
      <c r="AM374" s="173"/>
    </row>
    <row r="375">
      <c r="A375" s="76">
        <f>IFERROR(__xludf.DUMMYFUNCTION("""COMPUTED_VALUE"""),5336.0)</f>
        <v>5336</v>
      </c>
      <c r="B375" s="232">
        <f>IFERROR(__xludf.DUMMYFUNCTION("""COMPUTED_VALUE"""),46209.69316856481)</f>
        <v>46209.69317</v>
      </c>
      <c r="C375" s="84">
        <f>IFERROR(__xludf.DUMMYFUNCTION("""COMPUTED_VALUE"""),46209.587876840276)</f>
        <v>46209.58788</v>
      </c>
      <c r="D375" s="173">
        <f t="shared" si="1"/>
        <v>0.1052917245</v>
      </c>
      <c r="G375" s="76">
        <f>IFERROR(__xludf.DUMMYFUNCTION("""COMPUTED_VALUE"""),5336.0)</f>
        <v>5336</v>
      </c>
      <c r="H375" s="232">
        <f>IFERROR(__xludf.DUMMYFUNCTION("""COMPUTED_VALUE"""),46209.700113009254)</f>
        <v>46209.70011</v>
      </c>
      <c r="I375" s="84">
        <f>IFERROR(__xludf.DUMMYFUNCTION("""COMPUTED_VALUE"""),46209.58796472222)</f>
        <v>46209.58796</v>
      </c>
      <c r="J375" s="76">
        <f t="shared" si="2"/>
        <v>0.112148287</v>
      </c>
      <c r="L375" s="76">
        <f>IFERROR(__xludf.DUMMYFUNCTION("""COMPUTED_VALUE"""),5336.0)</f>
        <v>5336</v>
      </c>
      <c r="M375" s="232">
        <f>IFERROR(__xludf.DUMMYFUNCTION("""COMPUTED_VALUE"""),46209.80427967592)</f>
        <v>46209.80428</v>
      </c>
      <c r="N375" s="84">
        <f>IFERROR(__xludf.DUMMYFUNCTION("""COMPUTED_VALUE"""),46209.58801143519)</f>
        <v>46209.58801</v>
      </c>
      <c r="O375" s="76">
        <f t="shared" si="3"/>
        <v>0.2162682407</v>
      </c>
      <c r="Q375" s="76">
        <f>IFERROR(__xludf.DUMMYFUNCTION("""COMPUTED_VALUE"""),5331.0)</f>
        <v>5331</v>
      </c>
      <c r="R375" s="232">
        <f>IFERROR(__xludf.DUMMYFUNCTION("""COMPUTED_VALUE"""),46209.61666666667)</f>
        <v>46209.61667</v>
      </c>
      <c r="S375" s="84">
        <f>IFERROR(__xludf.DUMMYFUNCTION("""COMPUTED_VALUE"""),46207.40403391204)</f>
        <v>46207.40403</v>
      </c>
      <c r="T375" s="76">
        <f t="shared" si="4"/>
        <v>2.212632755</v>
      </c>
      <c r="V375" s="76">
        <f>IFERROR(__xludf.DUMMYFUNCTION("""COMPUTED_VALUE"""),5336.0)</f>
        <v>5336</v>
      </c>
      <c r="W375" s="232">
        <f>IFERROR(__xludf.DUMMYFUNCTION("""COMPUTED_VALUE"""),46211.42916666666)</f>
        <v>46211.42917</v>
      </c>
      <c r="X375" s="84">
        <f>IFERROR(__xludf.DUMMYFUNCTION("""COMPUTED_VALUE"""),46210.50347041667)</f>
        <v>46210.50347</v>
      </c>
      <c r="Y375" s="76">
        <f t="shared" si="5"/>
        <v>0.92569625</v>
      </c>
      <c r="AK375" s="232"/>
      <c r="AL375" s="233"/>
      <c r="AM375" s="173"/>
    </row>
    <row r="376">
      <c r="A376" s="76">
        <f>IFERROR(__xludf.DUMMYFUNCTION("""COMPUTED_VALUE"""),5337.0)</f>
        <v>5337</v>
      </c>
      <c r="B376" s="232">
        <f>IFERROR(__xludf.DUMMYFUNCTION("""COMPUTED_VALUE"""),46209.75285592592)</f>
        <v>46209.75286</v>
      </c>
      <c r="C376" s="84">
        <f>IFERROR(__xludf.DUMMYFUNCTION("""COMPUTED_VALUE"""),46209.58788584491)</f>
        <v>46209.58789</v>
      </c>
      <c r="D376" s="173">
        <f t="shared" si="1"/>
        <v>0.164970081</v>
      </c>
      <c r="G376" s="76">
        <f>IFERROR(__xludf.DUMMYFUNCTION("""COMPUTED_VALUE"""),5337.0)</f>
        <v>5337</v>
      </c>
      <c r="H376" s="232">
        <f>IFERROR(__xludf.DUMMYFUNCTION("""COMPUTED_VALUE"""),46209.75980037037)</f>
        <v>46209.7598</v>
      </c>
      <c r="I376" s="84">
        <f>IFERROR(__xludf.DUMMYFUNCTION("""COMPUTED_VALUE"""),46209.5882899537)</f>
        <v>46209.58829</v>
      </c>
      <c r="J376" s="76">
        <f t="shared" si="2"/>
        <v>0.1715104167</v>
      </c>
      <c r="L376" s="76">
        <f>IFERROR(__xludf.DUMMYFUNCTION("""COMPUTED_VALUE"""),5337.0)</f>
        <v>5337</v>
      </c>
      <c r="M376" s="232">
        <f>IFERROR(__xludf.DUMMYFUNCTION("""COMPUTED_VALUE"""),46210.42638888889)</f>
        <v>46210.42639</v>
      </c>
      <c r="N376" s="84">
        <f>IFERROR(__xludf.DUMMYFUNCTION("""COMPUTED_VALUE"""),46209.58802248843)</f>
        <v>46209.58802</v>
      </c>
      <c r="O376" s="76">
        <f t="shared" si="3"/>
        <v>0.8383664005</v>
      </c>
      <c r="Q376" s="76">
        <f>IFERROR(__xludf.DUMMYFUNCTION("""COMPUTED_VALUE"""),5332.0)</f>
        <v>5332</v>
      </c>
      <c r="R376" s="232">
        <f>IFERROR(__xludf.DUMMYFUNCTION("""COMPUTED_VALUE"""),46214.597222222226)</f>
        <v>46214.59722</v>
      </c>
      <c r="S376" s="84">
        <f>IFERROR(__xludf.DUMMYFUNCTION("""COMPUTED_VALUE"""),46209.49657570602)</f>
        <v>46209.49658</v>
      </c>
      <c r="T376" s="76">
        <f t="shared" si="4"/>
        <v>5.100646516</v>
      </c>
      <c r="V376" s="76">
        <f>IFERROR(__xludf.DUMMYFUNCTION("""COMPUTED_VALUE"""),5337.0)</f>
        <v>5337</v>
      </c>
      <c r="W376" s="232">
        <f>IFERROR(__xludf.DUMMYFUNCTION("""COMPUTED_VALUE"""),46211.46805555555)</f>
        <v>46211.46806</v>
      </c>
      <c r="X376" s="84">
        <f>IFERROR(__xludf.DUMMYFUNCTION("""COMPUTED_VALUE"""),46209.72888872685)</f>
        <v>46209.72889</v>
      </c>
      <c r="Y376" s="76">
        <f t="shared" si="5"/>
        <v>1.739166829</v>
      </c>
      <c r="AK376" s="232"/>
      <c r="AL376" s="233"/>
      <c r="AM376" s="173"/>
    </row>
    <row r="377">
      <c r="A377" s="76">
        <f>IFERROR(__xludf.DUMMYFUNCTION("""COMPUTED_VALUE"""),5338.0)</f>
        <v>5338</v>
      </c>
      <c r="B377" s="288">
        <f>IFERROR(__xludf.DUMMYFUNCTION("""COMPUTED_VALUE"""),46210.45806712963)</f>
        <v>46210.45807</v>
      </c>
      <c r="C377" s="84">
        <f>IFERROR(__xludf.DUMMYFUNCTION("""COMPUTED_VALUE"""),46209.72742420139)</f>
        <v>46209.72742</v>
      </c>
      <c r="D377" s="173">
        <f t="shared" si="1"/>
        <v>0.7306429282</v>
      </c>
      <c r="G377" s="76">
        <f>IFERROR(__xludf.DUMMYFUNCTION("""COMPUTED_VALUE"""),5338.0)</f>
        <v>5338</v>
      </c>
      <c r="H377" s="232">
        <f>IFERROR(__xludf.DUMMYFUNCTION("""COMPUTED_VALUE"""),46210.46501157407)</f>
        <v>46210.46501</v>
      </c>
      <c r="I377" s="84">
        <f>IFERROR(__xludf.DUMMYFUNCTION("""COMPUTED_VALUE"""),46209.727510324075)</f>
        <v>46209.72751</v>
      </c>
      <c r="J377" s="76">
        <f t="shared" si="2"/>
        <v>0.73750125</v>
      </c>
      <c r="L377" s="76">
        <f>IFERROR(__xludf.DUMMYFUNCTION("""COMPUTED_VALUE"""),5338.0)</f>
        <v>5338</v>
      </c>
      <c r="M377" s="232">
        <f>IFERROR(__xludf.DUMMYFUNCTION("""COMPUTED_VALUE"""),46210.56917824074)</f>
        <v>46210.56918</v>
      </c>
      <c r="N377" s="84">
        <f>IFERROR(__xludf.DUMMYFUNCTION("""COMPUTED_VALUE"""),46210.49348146991)</f>
        <v>46210.49348</v>
      </c>
      <c r="O377" s="76">
        <f t="shared" si="3"/>
        <v>0.07569677083</v>
      </c>
      <c r="Q377" s="76">
        <f>IFERROR(__xludf.DUMMYFUNCTION("""COMPUTED_VALUE"""),5333.0)</f>
        <v>5333</v>
      </c>
      <c r="R377" s="232">
        <f>IFERROR(__xludf.DUMMYFUNCTION("""COMPUTED_VALUE"""),46210.634722222225)</f>
        <v>46210.63472</v>
      </c>
      <c r="S377" s="84">
        <f>IFERROR(__xludf.DUMMYFUNCTION("""COMPUTED_VALUE"""),46209.4966678125)</f>
        <v>46209.49667</v>
      </c>
      <c r="T377" s="76">
        <f t="shared" si="4"/>
        <v>1.13805441</v>
      </c>
      <c r="V377" s="76">
        <f>IFERROR(__xludf.DUMMYFUNCTION("""COMPUTED_VALUE"""),5338.0)</f>
        <v>5338</v>
      </c>
      <c r="W377" s="232">
        <f>IFERROR(__xludf.DUMMYFUNCTION("""COMPUTED_VALUE"""),46211.61041666666)</f>
        <v>46211.61042</v>
      </c>
      <c r="X377" s="84">
        <f>IFERROR(__xludf.DUMMYFUNCTION("""COMPUTED_VALUE"""),46211.44665684028)</f>
        <v>46211.44666</v>
      </c>
      <c r="Y377" s="76">
        <f t="shared" si="5"/>
        <v>0.1637598264</v>
      </c>
      <c r="AK377" s="232"/>
      <c r="AL377" s="233"/>
      <c r="AM377" s="173"/>
    </row>
    <row r="378">
      <c r="A378" s="76">
        <f>IFERROR(__xludf.DUMMYFUNCTION("""COMPUTED_VALUE"""),5339.0)</f>
        <v>5339</v>
      </c>
      <c r="B378" s="232">
        <f>IFERROR(__xludf.DUMMYFUNCTION("""COMPUTED_VALUE"""),46210.450694444444)</f>
        <v>46210.45069</v>
      </c>
      <c r="C378" s="84">
        <f>IFERROR(__xludf.DUMMYFUNCTION("""COMPUTED_VALUE"""),46209.72860538194)</f>
        <v>46209.72861</v>
      </c>
      <c r="D378" s="173">
        <f t="shared" si="1"/>
        <v>0.7220890625</v>
      </c>
      <c r="G378" s="76">
        <f>IFERROR(__xludf.DUMMYFUNCTION("""COMPUTED_VALUE"""),5339.0)</f>
        <v>5339</v>
      </c>
      <c r="H378" s="232">
        <f>IFERROR(__xludf.DUMMYFUNCTION("""COMPUTED_VALUE"""),46210.45763888889)</f>
        <v>46210.45764</v>
      </c>
      <c r="I378" s="84">
        <f>IFERROR(__xludf.DUMMYFUNCTION("""COMPUTED_VALUE"""),46209.72753421296)</f>
        <v>46209.72753</v>
      </c>
      <c r="J378" s="76">
        <f t="shared" si="2"/>
        <v>0.7301046759</v>
      </c>
      <c r="L378" s="76">
        <f>IFERROR(__xludf.DUMMYFUNCTION("""COMPUTED_VALUE"""),5339.0)</f>
        <v>5339</v>
      </c>
      <c r="M378" s="232">
        <f>IFERROR(__xludf.DUMMYFUNCTION("""COMPUTED_VALUE"""),46210.56180555555)</f>
        <v>46210.56181</v>
      </c>
      <c r="N378" s="84">
        <f>IFERROR(__xludf.DUMMYFUNCTION("""COMPUTED_VALUE"""),46209.72877162037)</f>
        <v>46209.72877</v>
      </c>
      <c r="O378" s="76">
        <f t="shared" si="3"/>
        <v>0.8330339352</v>
      </c>
      <c r="Q378" s="76">
        <f>IFERROR(__xludf.DUMMYFUNCTION("""COMPUTED_VALUE"""),5334.0)</f>
        <v>5334</v>
      </c>
      <c r="R378" s="232">
        <f>IFERROR(__xludf.DUMMYFUNCTION("""COMPUTED_VALUE"""),46210.722916666666)</f>
        <v>46210.72292</v>
      </c>
      <c r="S378" s="84">
        <f>IFERROR(__xludf.DUMMYFUNCTION("""COMPUTED_VALUE"""),46209.49684190973)</f>
        <v>46209.49684</v>
      </c>
      <c r="T378" s="76">
        <f t="shared" si="4"/>
        <v>1.226074757</v>
      </c>
      <c r="V378" s="76">
        <f>IFERROR(__xludf.DUMMYFUNCTION("""COMPUTED_VALUE"""),5339.0)</f>
        <v>5339</v>
      </c>
      <c r="W378" s="232">
        <f>IFERROR(__xludf.DUMMYFUNCTION("""COMPUTED_VALUE"""),46211.60347222222)</f>
        <v>46211.60347</v>
      </c>
      <c r="X378" s="84">
        <f>IFERROR(__xludf.DUMMYFUNCTION("""COMPUTED_VALUE"""),46209.72892296297)</f>
        <v>46209.72892</v>
      </c>
      <c r="Y378" s="76">
        <f t="shared" si="5"/>
        <v>1.874549259</v>
      </c>
      <c r="AK378" s="232"/>
      <c r="AL378" s="233"/>
      <c r="AM378" s="173"/>
    </row>
    <row r="379">
      <c r="A379" s="76">
        <f>IFERROR(__xludf.DUMMYFUNCTION("""COMPUTED_VALUE"""),5340.0)</f>
        <v>5340</v>
      </c>
      <c r="B379" s="232">
        <f>IFERROR(__xludf.DUMMYFUNCTION("""COMPUTED_VALUE"""),46210.69559671296)</f>
        <v>46210.6956</v>
      </c>
      <c r="C379" s="84">
        <f>IFERROR(__xludf.DUMMYFUNCTION("""COMPUTED_VALUE"""),46210.61863622685)</f>
        <v>46210.61864</v>
      </c>
      <c r="D379" s="173">
        <f t="shared" si="1"/>
        <v>0.07696048611</v>
      </c>
      <c r="G379" s="76">
        <f>IFERROR(__xludf.DUMMYFUNCTION("""COMPUTED_VALUE"""),5340.0)</f>
        <v>5340</v>
      </c>
      <c r="H379" s="232">
        <f>IFERROR(__xludf.DUMMYFUNCTION("""COMPUTED_VALUE"""),46210.70254115741)</f>
        <v>46210.70254</v>
      </c>
      <c r="I379" s="84">
        <f>IFERROR(__xludf.DUMMYFUNCTION("""COMPUTED_VALUE"""),46210.618744224535)</f>
        <v>46210.61874</v>
      </c>
      <c r="J379" s="76">
        <f t="shared" si="2"/>
        <v>0.08379693287</v>
      </c>
      <c r="L379" s="76">
        <f>IFERROR(__xludf.DUMMYFUNCTION("""COMPUTED_VALUE"""),5340.0)</f>
        <v>5340</v>
      </c>
      <c r="M379" s="232">
        <f>IFERROR(__xludf.DUMMYFUNCTION("""COMPUTED_VALUE"""),46210.80670782407)</f>
        <v>46210.80671</v>
      </c>
      <c r="N379" s="84">
        <f>IFERROR(__xludf.DUMMYFUNCTION("""COMPUTED_VALUE"""),46210.618770706016)</f>
        <v>46210.61877</v>
      </c>
      <c r="O379" s="76">
        <f t="shared" si="3"/>
        <v>0.1879371181</v>
      </c>
      <c r="Q379" s="76">
        <f>IFERROR(__xludf.DUMMYFUNCTION("""COMPUTED_VALUE"""),5335.0)</f>
        <v>5335</v>
      </c>
      <c r="R379" s="232">
        <f>IFERROR(__xludf.DUMMYFUNCTION("""COMPUTED_VALUE"""),46210.76388888889)</f>
        <v>46210.76389</v>
      </c>
      <c r="S379" s="84">
        <f>IFERROR(__xludf.DUMMYFUNCTION("""COMPUTED_VALUE"""),46209.58815273148)</f>
        <v>46209.58815</v>
      </c>
      <c r="T379" s="76">
        <f t="shared" si="4"/>
        <v>1.175736157</v>
      </c>
      <c r="V379" s="76">
        <f>IFERROR(__xludf.DUMMYFUNCTION("""COMPUTED_VALUE"""),5340.0)</f>
        <v>5340</v>
      </c>
      <c r="W379" s="232">
        <f>IFERROR(__xludf.DUMMYFUNCTION("""COMPUTED_VALUE"""),46212.431249999994)</f>
        <v>46212.43125</v>
      </c>
      <c r="X379" s="84">
        <f>IFERROR(__xludf.DUMMYFUNCTION("""COMPUTED_VALUE"""),46211.46249366898)</f>
        <v>46211.46249</v>
      </c>
      <c r="Y379" s="76">
        <f t="shared" si="5"/>
        <v>0.968756331</v>
      </c>
      <c r="AK379" s="232"/>
      <c r="AL379" s="233"/>
      <c r="AM379" s="173"/>
    </row>
    <row r="380">
      <c r="A380" s="76">
        <f>IFERROR(__xludf.DUMMYFUNCTION("""COMPUTED_VALUE"""),5341.0)</f>
        <v>5341</v>
      </c>
      <c r="B380" s="232">
        <f>IFERROR(__xludf.DUMMYFUNCTION("""COMPUTED_VALUE"""),46211.648946932866)</f>
        <v>46211.64895</v>
      </c>
      <c r="C380" s="84">
        <f>IFERROR(__xludf.DUMMYFUNCTION("""COMPUTED_VALUE"""),46211.526876331016)</f>
        <v>46211.52688</v>
      </c>
      <c r="D380" s="173">
        <f t="shared" si="1"/>
        <v>0.1220706019</v>
      </c>
      <c r="G380" s="76">
        <f>IFERROR(__xludf.DUMMYFUNCTION("""COMPUTED_VALUE"""),5341.0)</f>
        <v>5341</v>
      </c>
      <c r="H380" s="232">
        <f>IFERROR(__xludf.DUMMYFUNCTION("""COMPUTED_VALUE"""),46211.65589137731)</f>
        <v>46211.65589</v>
      </c>
      <c r="I380" s="84">
        <f>IFERROR(__xludf.DUMMYFUNCTION("""COMPUTED_VALUE"""),46211.52723706019)</f>
        <v>46211.52724</v>
      </c>
      <c r="J380" s="76">
        <f t="shared" si="2"/>
        <v>0.1286543171</v>
      </c>
      <c r="L380" s="76">
        <f>IFERROR(__xludf.DUMMYFUNCTION("""COMPUTED_VALUE"""),5341.0)</f>
        <v>5341</v>
      </c>
      <c r="M380" s="232">
        <f>IFERROR(__xludf.DUMMYFUNCTION("""COMPUTED_VALUE"""),46211.760058043976)</f>
        <v>46211.76006</v>
      </c>
      <c r="N380" s="84">
        <f>IFERROR(__xludf.DUMMYFUNCTION("""COMPUTED_VALUE"""),46211.7559375)</f>
        <v>46211.75594</v>
      </c>
      <c r="O380" s="76">
        <f t="shared" si="3"/>
        <v>0.004120543977</v>
      </c>
      <c r="Q380" s="76">
        <f>IFERROR(__xludf.DUMMYFUNCTION("""COMPUTED_VALUE"""),5336.0)</f>
        <v>5336</v>
      </c>
      <c r="R380" s="232">
        <f>IFERROR(__xludf.DUMMYFUNCTION("""COMPUTED_VALUE"""),46210.80416666666)</f>
        <v>46210.80417</v>
      </c>
      <c r="S380" s="84">
        <f>IFERROR(__xludf.DUMMYFUNCTION("""COMPUTED_VALUE"""),46209.588076064814)</f>
        <v>46209.58808</v>
      </c>
      <c r="T380" s="76">
        <f t="shared" si="4"/>
        <v>1.216090602</v>
      </c>
      <c r="V380" s="76">
        <f>IFERROR(__xludf.DUMMYFUNCTION("""COMPUTED_VALUE"""),5341.0)</f>
        <v>5341</v>
      </c>
      <c r="W380" s="232">
        <f>IFERROR(__xludf.DUMMYFUNCTION("""COMPUTED_VALUE"""),46212.80138888889)</f>
        <v>46212.80139</v>
      </c>
      <c r="X380" s="84">
        <f>IFERROR(__xludf.DUMMYFUNCTION("""COMPUTED_VALUE"""),46213.44923611111)</f>
        <v>46213.44924</v>
      </c>
      <c r="Y380" s="76">
        <f t="shared" si="5"/>
        <v>-0.6478472222</v>
      </c>
      <c r="AK380" s="288"/>
      <c r="AL380" s="233"/>
      <c r="AM380" s="173"/>
    </row>
    <row r="381">
      <c r="A381" s="76">
        <f>IFERROR(__xludf.DUMMYFUNCTION("""COMPUTED_VALUE"""),5342.0)</f>
        <v>5342</v>
      </c>
      <c r="B381" s="232">
        <f>IFERROR(__xludf.DUMMYFUNCTION("""COMPUTED_VALUE"""),46211.7226171412)</f>
        <v>46211.72262</v>
      </c>
      <c r="C381" s="84">
        <f>IFERROR(__xludf.DUMMYFUNCTION("""COMPUTED_VALUE"""),46211.64642983796)</f>
        <v>46211.64643</v>
      </c>
      <c r="D381" s="173">
        <f t="shared" si="1"/>
        <v>0.07618730324</v>
      </c>
      <c r="G381" s="76">
        <f>IFERROR(__xludf.DUMMYFUNCTION("""COMPUTED_VALUE"""),5342.0)</f>
        <v>5342</v>
      </c>
      <c r="H381" s="232">
        <f>IFERROR(__xludf.DUMMYFUNCTION("""COMPUTED_VALUE"""),46211.72956158564)</f>
        <v>46211.72956</v>
      </c>
      <c r="I381" s="84">
        <f>IFERROR(__xludf.DUMMYFUNCTION("""COMPUTED_VALUE"""),46211.64664846065)</f>
        <v>46211.64665</v>
      </c>
      <c r="J381" s="76">
        <f t="shared" si="2"/>
        <v>0.08291312499</v>
      </c>
      <c r="L381" s="76">
        <f>IFERROR(__xludf.DUMMYFUNCTION("""COMPUTED_VALUE"""),5342.0)</f>
        <v>5342</v>
      </c>
      <c r="M381" s="232">
        <f>IFERROR(__xludf.DUMMYFUNCTION("""COMPUTED_VALUE"""),46212.4375)</f>
        <v>46212.4375</v>
      </c>
      <c r="N381" s="84">
        <f>IFERROR(__xludf.DUMMYFUNCTION("""COMPUTED_VALUE"""),46211.78353576389)</f>
        <v>46211.78354</v>
      </c>
      <c r="O381" s="76">
        <f t="shared" si="3"/>
        <v>0.6539642361</v>
      </c>
      <c r="Q381" s="76">
        <f>IFERROR(__xludf.DUMMYFUNCTION("""COMPUTED_VALUE"""),5337.0)</f>
        <v>5337</v>
      </c>
      <c r="R381" s="232">
        <f>IFERROR(__xludf.DUMMYFUNCTION("""COMPUTED_VALUE"""),46211.42638888889)</f>
        <v>46211.42639</v>
      </c>
      <c r="S381" s="84">
        <f>IFERROR(__xludf.DUMMYFUNCTION("""COMPUTED_VALUE"""),46209.728852291664)</f>
        <v>46209.72885</v>
      </c>
      <c r="T381" s="76">
        <f t="shared" si="4"/>
        <v>1.697536597</v>
      </c>
      <c r="V381" s="76">
        <f>IFERROR(__xludf.DUMMYFUNCTION("""COMPUTED_VALUE"""),5343.0)</f>
        <v>5343</v>
      </c>
      <c r="W381" s="232">
        <f>IFERROR(__xludf.DUMMYFUNCTION("""COMPUTED_VALUE"""),46213.47708333333)</f>
        <v>46213.47708</v>
      </c>
      <c r="X381" s="84">
        <f>IFERROR(__xludf.DUMMYFUNCTION("""COMPUTED_VALUE"""),46212.74445042824)</f>
        <v>46212.74445</v>
      </c>
      <c r="Y381" s="76">
        <f t="shared" si="5"/>
        <v>0.7326329051</v>
      </c>
      <c r="AK381" s="232"/>
      <c r="AL381" s="233"/>
      <c r="AM381" s="173"/>
    </row>
    <row r="382">
      <c r="A382" s="76">
        <f>IFERROR(__xludf.DUMMYFUNCTION("""COMPUTED_VALUE"""),5343.0)</f>
        <v>5343</v>
      </c>
      <c r="B382" s="232">
        <f>IFERROR(__xludf.DUMMYFUNCTION("""COMPUTED_VALUE"""),46211.76186371527)</f>
        <v>46211.76186</v>
      </c>
      <c r="C382" s="84">
        <f>IFERROR(__xludf.DUMMYFUNCTION("""COMPUTED_VALUE"""),46211.646463564815)</f>
        <v>46211.64646</v>
      </c>
      <c r="D382" s="173">
        <f t="shared" si="1"/>
        <v>0.1154001505</v>
      </c>
      <c r="G382" s="76">
        <f>IFERROR(__xludf.DUMMYFUNCTION("""COMPUTED_VALUE"""),5343.0)</f>
        <v>5343</v>
      </c>
      <c r="H382" s="232">
        <f>IFERROR(__xludf.DUMMYFUNCTION("""COMPUTED_VALUE"""),46211.768808159715)</f>
        <v>46211.76881</v>
      </c>
      <c r="I382" s="84">
        <f>IFERROR(__xludf.DUMMYFUNCTION("""COMPUTED_VALUE"""),46211.64663618055)</f>
        <v>46211.64664</v>
      </c>
      <c r="J382" s="76">
        <f t="shared" si="2"/>
        <v>0.1221719792</v>
      </c>
      <c r="L382" s="76">
        <f>IFERROR(__xludf.DUMMYFUNCTION("""COMPUTED_VALUE"""),5343.0)</f>
        <v>5343</v>
      </c>
      <c r="M382" s="232">
        <f>IFERROR(__xludf.DUMMYFUNCTION("""COMPUTED_VALUE"""),46212.43541666667)</f>
        <v>46212.43542</v>
      </c>
      <c r="N382" s="84">
        <f>IFERROR(__xludf.DUMMYFUNCTION("""COMPUTED_VALUE"""),46211.783550520835)</f>
        <v>46211.78355</v>
      </c>
      <c r="O382" s="76">
        <f t="shared" si="3"/>
        <v>0.6518661458</v>
      </c>
      <c r="Q382" s="76">
        <f>IFERROR(__xludf.DUMMYFUNCTION("""COMPUTED_VALUE"""),5338.0)</f>
        <v>5338</v>
      </c>
      <c r="R382" s="232">
        <f>IFERROR(__xludf.DUMMYFUNCTION("""COMPUTED_VALUE"""),46211.56875)</f>
        <v>46211.56875</v>
      </c>
      <c r="S382" s="84">
        <f>IFERROR(__xludf.DUMMYFUNCTION("""COMPUTED_VALUE"""),46211.44663871528)</f>
        <v>46211.44664</v>
      </c>
      <c r="T382" s="76">
        <f t="shared" si="4"/>
        <v>0.1221112847</v>
      </c>
      <c r="V382" s="76">
        <f>IFERROR(__xludf.DUMMYFUNCTION("""COMPUTED_VALUE"""),5344.0)</f>
        <v>5344</v>
      </c>
      <c r="W382" s="232">
        <f>IFERROR(__xludf.DUMMYFUNCTION("""COMPUTED_VALUE"""),46213.62847222222)</f>
        <v>46213.62847</v>
      </c>
      <c r="X382" s="84">
        <f>IFERROR(__xludf.DUMMYFUNCTION("""COMPUTED_VALUE"""),46213.56623842593)</f>
        <v>46213.56624</v>
      </c>
      <c r="Y382" s="76">
        <f t="shared" si="5"/>
        <v>0.06223379629</v>
      </c>
      <c r="AK382" s="232"/>
      <c r="AL382" s="233"/>
      <c r="AM382" s="173"/>
    </row>
    <row r="383">
      <c r="A383" s="76">
        <f>IFERROR(__xludf.DUMMYFUNCTION("""COMPUTED_VALUE"""),5344.0)</f>
        <v>5344</v>
      </c>
      <c r="B383" s="232">
        <f>IFERROR(__xludf.DUMMYFUNCTION("""COMPUTED_VALUE"""),46212.475694444445)</f>
        <v>46212.47569</v>
      </c>
      <c r="C383" s="84">
        <f>IFERROR(__xludf.DUMMYFUNCTION("""COMPUTED_VALUE"""),46211.72734082176)</f>
        <v>46211.72734</v>
      </c>
      <c r="D383" s="173">
        <f t="shared" si="1"/>
        <v>0.7483536227</v>
      </c>
      <c r="G383" s="76">
        <f>IFERROR(__xludf.DUMMYFUNCTION("""COMPUTED_VALUE"""),5344.0)</f>
        <v>5344</v>
      </c>
      <c r="H383" s="232">
        <f>IFERROR(__xludf.DUMMYFUNCTION("""COMPUTED_VALUE"""),46212.48263888889)</f>
        <v>46212.48264</v>
      </c>
      <c r="I383" s="84">
        <f>IFERROR(__xludf.DUMMYFUNCTION("""COMPUTED_VALUE"""),46211.727420613424)</f>
        <v>46211.72742</v>
      </c>
      <c r="J383" s="76">
        <f t="shared" si="2"/>
        <v>0.7552182755</v>
      </c>
      <c r="L383" s="76">
        <f>IFERROR(__xludf.DUMMYFUNCTION("""COMPUTED_VALUE"""),5344.0)</f>
        <v>5344</v>
      </c>
      <c r="M383" s="232">
        <f>IFERROR(__xludf.DUMMYFUNCTION("""COMPUTED_VALUE"""),46212.586805555555)</f>
        <v>46212.58681</v>
      </c>
      <c r="N383" s="84">
        <f>IFERROR(__xludf.DUMMYFUNCTION("""COMPUTED_VALUE"""),46211.72746217593)</f>
        <v>46211.72746</v>
      </c>
      <c r="O383" s="76">
        <f t="shared" si="3"/>
        <v>0.8593433796</v>
      </c>
      <c r="Q383" s="76">
        <f>IFERROR(__xludf.DUMMYFUNCTION("""COMPUTED_VALUE"""),5339.0)</f>
        <v>5339</v>
      </c>
      <c r="R383" s="232">
        <f>IFERROR(__xludf.DUMMYFUNCTION("""COMPUTED_VALUE"""),46211.56180555555)</f>
        <v>46211.56181</v>
      </c>
      <c r="S383" s="84">
        <f>IFERROR(__xludf.DUMMYFUNCTION("""COMPUTED_VALUE"""),46209.72880542824)</f>
        <v>46209.72881</v>
      </c>
      <c r="T383" s="76">
        <f t="shared" si="4"/>
        <v>1.833000127</v>
      </c>
      <c r="V383" s="76">
        <f>IFERROR(__xludf.DUMMYFUNCTION("""COMPUTED_VALUE"""),5345.0)</f>
        <v>5345</v>
      </c>
      <c r="W383" s="232">
        <f>IFERROR(__xludf.DUMMYFUNCTION("""COMPUTED_VALUE"""),46213.6375)</f>
        <v>46213.6375</v>
      </c>
      <c r="X383" s="84">
        <f>IFERROR(__xludf.DUMMYFUNCTION("""COMPUTED_VALUE"""),46213.56626157407)</f>
        <v>46213.56626</v>
      </c>
      <c r="Y383" s="76">
        <f t="shared" si="5"/>
        <v>0.07123842592</v>
      </c>
      <c r="AK383" s="232"/>
      <c r="AL383" s="233"/>
      <c r="AM383" s="173"/>
    </row>
    <row r="384">
      <c r="A384" s="76">
        <f>IFERROR(__xludf.DUMMYFUNCTION("""COMPUTED_VALUE"""),5345.0)</f>
        <v>5345</v>
      </c>
      <c r="B384" s="232">
        <f>IFERROR(__xludf.DUMMYFUNCTION("""COMPUTED_VALUE"""),46212.48472222222)</f>
        <v>46212.48472</v>
      </c>
      <c r="C384" s="84">
        <f>IFERROR(__xludf.DUMMYFUNCTION("""COMPUTED_VALUE"""),46211.73889502315)</f>
        <v>46211.7389</v>
      </c>
      <c r="D384" s="173">
        <f t="shared" si="1"/>
        <v>0.7458271991</v>
      </c>
      <c r="G384" s="76">
        <f>IFERROR(__xludf.DUMMYFUNCTION("""COMPUTED_VALUE"""),5345.0)</f>
        <v>5345</v>
      </c>
      <c r="H384" s="232">
        <f>IFERROR(__xludf.DUMMYFUNCTION("""COMPUTED_VALUE"""),46212.49166666667)</f>
        <v>46212.49167</v>
      </c>
      <c r="I384" s="84">
        <f>IFERROR(__xludf.DUMMYFUNCTION("""COMPUTED_VALUE"""),46211.73906408565)</f>
        <v>46211.73906</v>
      </c>
      <c r="J384" s="76">
        <f t="shared" si="2"/>
        <v>0.752602581</v>
      </c>
      <c r="L384" s="76">
        <f>IFERROR(__xludf.DUMMYFUNCTION("""COMPUTED_VALUE"""),5345.0)</f>
        <v>5345</v>
      </c>
      <c r="M384" s="232">
        <f>IFERROR(__xludf.DUMMYFUNCTION("""COMPUTED_VALUE"""),46212.59583333333)</f>
        <v>46212.59583</v>
      </c>
      <c r="N384" s="84">
        <f>IFERROR(__xludf.DUMMYFUNCTION("""COMPUTED_VALUE"""),46211.73922956019)</f>
        <v>46211.73923</v>
      </c>
      <c r="O384" s="76">
        <f t="shared" si="3"/>
        <v>0.8566037731</v>
      </c>
      <c r="Q384" s="76">
        <f>IFERROR(__xludf.DUMMYFUNCTION("""COMPUTED_VALUE"""),5340.0)</f>
        <v>5340</v>
      </c>
      <c r="R384" s="232">
        <f>IFERROR(__xludf.DUMMYFUNCTION("""COMPUTED_VALUE"""),46211.806249999994)</f>
        <v>46211.80625</v>
      </c>
      <c r="S384" s="84">
        <f>IFERROR(__xludf.DUMMYFUNCTION("""COMPUTED_VALUE"""),46211.4477671875)</f>
        <v>46211.44777</v>
      </c>
      <c r="T384" s="76">
        <f t="shared" si="4"/>
        <v>0.3584828125</v>
      </c>
      <c r="V384" s="76">
        <f>IFERROR(__xludf.DUMMYFUNCTION("""COMPUTED_VALUE"""),5346.0)</f>
        <v>5346</v>
      </c>
      <c r="W384" s="232">
        <f>IFERROR(__xludf.DUMMYFUNCTION("""COMPUTED_VALUE"""),46213.63958333333)</f>
        <v>46213.63958</v>
      </c>
      <c r="X384" s="84">
        <f>IFERROR(__xludf.DUMMYFUNCTION("""COMPUTED_VALUE"""),46213.56627314815)</f>
        <v>46213.56627</v>
      </c>
      <c r="Y384" s="76">
        <f t="shared" si="5"/>
        <v>0.07331018518</v>
      </c>
      <c r="AK384" s="232"/>
      <c r="AL384" s="233"/>
      <c r="AM384" s="173"/>
    </row>
    <row r="385">
      <c r="A385" s="76">
        <f>IFERROR(__xludf.DUMMYFUNCTION("""COMPUTED_VALUE"""),5346.0)</f>
        <v>5346</v>
      </c>
      <c r="B385" s="232">
        <f>IFERROR(__xludf.DUMMYFUNCTION("""COMPUTED_VALUE"""),46212.486805555556)</f>
        <v>46212.48681</v>
      </c>
      <c r="C385" s="84">
        <f>IFERROR(__xludf.DUMMYFUNCTION("""COMPUTED_VALUE"""),46211.738941550924)</f>
        <v>46211.73894</v>
      </c>
      <c r="D385" s="173">
        <f t="shared" si="1"/>
        <v>0.7478640046</v>
      </c>
      <c r="G385" s="76">
        <f>IFERROR(__xludf.DUMMYFUNCTION("""COMPUTED_VALUE"""),5346.0)</f>
        <v>5346</v>
      </c>
      <c r="H385" s="232">
        <f>IFERROR(__xludf.DUMMYFUNCTION("""COMPUTED_VALUE"""),46212.49375)</f>
        <v>46212.49375</v>
      </c>
      <c r="I385" s="84">
        <f>IFERROR(__xludf.DUMMYFUNCTION("""COMPUTED_VALUE"""),46211.73908403935)</f>
        <v>46211.73908</v>
      </c>
      <c r="J385" s="76">
        <f t="shared" si="2"/>
        <v>0.7546659607</v>
      </c>
      <c r="L385" s="76">
        <f>IFERROR(__xludf.DUMMYFUNCTION("""COMPUTED_VALUE"""),5346.0)</f>
        <v>5346</v>
      </c>
      <c r="M385" s="232">
        <f>IFERROR(__xludf.DUMMYFUNCTION("""COMPUTED_VALUE"""),46212.597916666666)</f>
        <v>46212.59792</v>
      </c>
      <c r="N385" s="84">
        <f>IFERROR(__xludf.DUMMYFUNCTION("""COMPUTED_VALUE"""),46211.73920621528)</f>
        <v>46211.73921</v>
      </c>
      <c r="O385" s="76">
        <f t="shared" si="3"/>
        <v>0.8587104514</v>
      </c>
      <c r="Q385" s="76">
        <f>IFERROR(__xludf.DUMMYFUNCTION("""COMPUTED_VALUE"""),5341.0)</f>
        <v>5341</v>
      </c>
      <c r="R385" s="232">
        <f>IFERROR(__xludf.DUMMYFUNCTION("""COMPUTED_VALUE"""),46212.759722222225)</f>
        <v>46212.75972</v>
      </c>
      <c r="S385" s="84">
        <f>IFERROR(__xludf.DUMMYFUNCTION("""COMPUTED_VALUE"""),46211.78412540509)</f>
        <v>46211.78413</v>
      </c>
      <c r="T385" s="76">
        <f t="shared" si="4"/>
        <v>0.9755968171</v>
      </c>
      <c r="V385" s="76">
        <f>IFERROR(__xludf.DUMMYFUNCTION("""COMPUTED_VALUE"""),5347.0)</f>
        <v>5347</v>
      </c>
      <c r="W385" s="232">
        <f>IFERROR(__xludf.DUMMYFUNCTION("""COMPUTED_VALUE"""),46213.64097222222)</f>
        <v>46213.64097</v>
      </c>
      <c r="X385" s="84">
        <f>IFERROR(__xludf.DUMMYFUNCTION("""COMPUTED_VALUE"""),46213.567025462966)</f>
        <v>46213.56703</v>
      </c>
      <c r="Y385" s="76">
        <f t="shared" si="5"/>
        <v>0.07394675926</v>
      </c>
      <c r="AK385" s="232"/>
      <c r="AL385" s="233"/>
      <c r="AM385" s="173"/>
    </row>
    <row r="386">
      <c r="A386" s="76">
        <f>IFERROR(__xludf.DUMMYFUNCTION("""COMPUTED_VALUE"""),5347.0)</f>
        <v>5347</v>
      </c>
      <c r="B386" s="232">
        <f>IFERROR(__xludf.DUMMYFUNCTION("""COMPUTED_VALUE"""),46212.48819444445)</f>
        <v>46212.48819</v>
      </c>
      <c r="C386" s="84">
        <f>IFERROR(__xludf.DUMMYFUNCTION("""COMPUTED_VALUE"""),46211.73901449074)</f>
        <v>46211.73901</v>
      </c>
      <c r="D386" s="173">
        <f t="shared" si="1"/>
        <v>0.7491799537</v>
      </c>
      <c r="G386" s="76">
        <f>IFERROR(__xludf.DUMMYFUNCTION("""COMPUTED_VALUE"""),5347.0)</f>
        <v>5347</v>
      </c>
      <c r="H386" s="232">
        <f>IFERROR(__xludf.DUMMYFUNCTION("""COMPUTED_VALUE"""),46212.495138888895)</f>
        <v>46212.49514</v>
      </c>
      <c r="I386" s="84">
        <f>IFERROR(__xludf.DUMMYFUNCTION("""COMPUTED_VALUE"""),46211.73910938657)</f>
        <v>46211.73911</v>
      </c>
      <c r="J386" s="76">
        <f t="shared" si="2"/>
        <v>0.7560295023</v>
      </c>
      <c r="L386" s="76">
        <f>IFERROR(__xludf.DUMMYFUNCTION("""COMPUTED_VALUE"""),5347.0)</f>
        <v>5347</v>
      </c>
      <c r="M386" s="232">
        <f>IFERROR(__xludf.DUMMYFUNCTION("""COMPUTED_VALUE"""),46212.59930555556)</f>
        <v>46212.59931</v>
      </c>
      <c r="N386" s="84">
        <f>IFERROR(__xludf.DUMMYFUNCTION("""COMPUTED_VALUE"""),46211.73918480324)</f>
        <v>46211.73918</v>
      </c>
      <c r="O386" s="76">
        <f t="shared" si="3"/>
        <v>0.8601207523</v>
      </c>
      <c r="Q386" s="76">
        <f>IFERROR(__xludf.DUMMYFUNCTION("""COMPUTED_VALUE"""),5342.0)</f>
        <v>5342</v>
      </c>
      <c r="R386" s="232">
        <f>IFERROR(__xludf.DUMMYFUNCTION("""COMPUTED_VALUE"""),46213.4375)</f>
        <v>46213.4375</v>
      </c>
      <c r="S386" s="84">
        <f>IFERROR(__xludf.DUMMYFUNCTION("""COMPUTED_VALUE"""),46211.784143854165)</f>
        <v>46211.78414</v>
      </c>
      <c r="T386" s="76">
        <f t="shared" si="4"/>
        <v>1.653356146</v>
      </c>
      <c r="V386" s="76">
        <f>IFERROR(__xludf.DUMMYFUNCTION("""COMPUTED_VALUE"""),5348.0)</f>
        <v>5348</v>
      </c>
      <c r="W386" s="232">
        <f>IFERROR(__xludf.DUMMYFUNCTION("""COMPUTED_VALUE"""),46213.75)</f>
        <v>46213.75</v>
      </c>
      <c r="X386" s="84">
        <f>IFERROR(__xludf.DUMMYFUNCTION("""COMPUTED_VALUE"""),46212.78592055556)</f>
        <v>46212.78592</v>
      </c>
      <c r="Y386" s="76">
        <f t="shared" si="5"/>
        <v>0.9640794444</v>
      </c>
      <c r="AK386" s="232"/>
      <c r="AL386" s="233"/>
      <c r="AM386" s="173"/>
    </row>
    <row r="387">
      <c r="A387" s="76">
        <f>IFERROR(__xludf.DUMMYFUNCTION("""COMPUTED_VALUE"""),5348.0)</f>
        <v>5348</v>
      </c>
      <c r="B387" s="232">
        <f>IFERROR(__xludf.DUMMYFUNCTION("""COMPUTED_VALUE"""),46212.59787886574)</f>
        <v>46212.59788</v>
      </c>
      <c r="C387" s="84">
        <f>IFERROR(__xludf.DUMMYFUNCTION("""COMPUTED_VALUE"""),46212.44942355324)</f>
        <v>46212.44942</v>
      </c>
      <c r="D387" s="173">
        <f t="shared" si="1"/>
        <v>0.1484553125</v>
      </c>
      <c r="G387" s="76">
        <f>IFERROR(__xludf.DUMMYFUNCTION("""COMPUTED_VALUE"""),5348.0)</f>
        <v>5348</v>
      </c>
      <c r="H387" s="232">
        <f>IFERROR(__xludf.DUMMYFUNCTION("""COMPUTED_VALUE"""),46212.60482331018)</f>
        <v>46212.60482</v>
      </c>
      <c r="I387" s="84">
        <f>IFERROR(__xludf.DUMMYFUNCTION("""COMPUTED_VALUE"""),46212.449615034726)</f>
        <v>46212.44962</v>
      </c>
      <c r="J387" s="76">
        <f t="shared" si="2"/>
        <v>0.1552082755</v>
      </c>
      <c r="L387" s="76">
        <f>IFERROR(__xludf.DUMMYFUNCTION("""COMPUTED_VALUE"""),5348.0)</f>
        <v>5348</v>
      </c>
      <c r="M387" s="232">
        <f>IFERROR(__xludf.DUMMYFUNCTION("""COMPUTED_VALUE"""),46212.70898997685)</f>
        <v>46212.70899</v>
      </c>
      <c r="N387" s="84">
        <f>IFERROR(__xludf.DUMMYFUNCTION("""COMPUTED_VALUE"""),46212.44973931713)</f>
        <v>46212.44974</v>
      </c>
      <c r="O387" s="76">
        <f t="shared" si="3"/>
        <v>0.2592506597</v>
      </c>
      <c r="Q387" s="76">
        <f>IFERROR(__xludf.DUMMYFUNCTION("""COMPUTED_VALUE"""),5343.0)</f>
        <v>5343</v>
      </c>
      <c r="R387" s="232">
        <f>IFERROR(__xludf.DUMMYFUNCTION("""COMPUTED_VALUE"""),46213.43541666667)</f>
        <v>46213.43542</v>
      </c>
      <c r="S387" s="84">
        <f>IFERROR(__xludf.DUMMYFUNCTION("""COMPUTED_VALUE"""),46211.7836025463)</f>
        <v>46211.7836</v>
      </c>
      <c r="T387" s="76">
        <f t="shared" si="4"/>
        <v>1.65181412</v>
      </c>
      <c r="V387" s="76">
        <f>IFERROR(__xludf.DUMMYFUNCTION("""COMPUTED_VALUE"""),5349.0)</f>
        <v>5349</v>
      </c>
      <c r="W387" s="232">
        <f>IFERROR(__xludf.DUMMYFUNCTION("""COMPUTED_VALUE"""),46213.75347222222)</f>
        <v>46213.75347</v>
      </c>
      <c r="X387" s="84">
        <f>IFERROR(__xludf.DUMMYFUNCTION("""COMPUTED_VALUE"""),46212.574551875005)</f>
        <v>46212.57455</v>
      </c>
      <c r="Y387" s="76">
        <f t="shared" si="5"/>
        <v>1.178920347</v>
      </c>
      <c r="AK387" s="232"/>
      <c r="AL387" s="233"/>
      <c r="AM387" s="173"/>
    </row>
    <row r="388">
      <c r="A388" s="76">
        <f>IFERROR(__xludf.DUMMYFUNCTION("""COMPUTED_VALUE"""),5349.0)</f>
        <v>5349</v>
      </c>
      <c r="B388" s="232">
        <f>IFERROR(__xludf.DUMMYFUNCTION("""COMPUTED_VALUE"""),46212.60082055555)</f>
        <v>46212.60082</v>
      </c>
      <c r="C388" s="84">
        <f>IFERROR(__xludf.DUMMYFUNCTION("""COMPUTED_VALUE"""),46212.449443668986)</f>
        <v>46212.44944</v>
      </c>
      <c r="D388" s="173">
        <f t="shared" si="1"/>
        <v>0.1513768866</v>
      </c>
      <c r="G388" s="76">
        <f>IFERROR(__xludf.DUMMYFUNCTION("""COMPUTED_VALUE"""),5349.0)</f>
        <v>5349</v>
      </c>
      <c r="H388" s="232">
        <f>IFERROR(__xludf.DUMMYFUNCTION("""COMPUTED_VALUE"""),46212.60776499999)</f>
        <v>46212.60777</v>
      </c>
      <c r="I388" s="84">
        <f>IFERROR(__xludf.DUMMYFUNCTION("""COMPUTED_VALUE"""),46212.44963038195)</f>
        <v>46212.44963</v>
      </c>
      <c r="J388" s="76">
        <f t="shared" si="2"/>
        <v>0.158134618</v>
      </c>
      <c r="L388" s="76">
        <f>IFERROR(__xludf.DUMMYFUNCTION("""COMPUTED_VALUE"""),5349.0)</f>
        <v>5349</v>
      </c>
      <c r="M388" s="232">
        <f>IFERROR(__xludf.DUMMYFUNCTION("""COMPUTED_VALUE"""),46212.71193166666)</f>
        <v>46212.71193</v>
      </c>
      <c r="N388" s="84">
        <f>IFERROR(__xludf.DUMMYFUNCTION("""COMPUTED_VALUE"""),46212.449747708335)</f>
        <v>46212.44975</v>
      </c>
      <c r="O388" s="76">
        <f t="shared" si="3"/>
        <v>0.2621839583</v>
      </c>
      <c r="Q388" s="76">
        <f>IFERROR(__xludf.DUMMYFUNCTION("""COMPUTED_VALUE"""),5344.0)</f>
        <v>5344</v>
      </c>
      <c r="R388" s="232">
        <f>IFERROR(__xludf.DUMMYFUNCTION("""COMPUTED_VALUE"""),46213.586805555555)</f>
        <v>46213.58681</v>
      </c>
      <c r="S388" s="84">
        <f>IFERROR(__xludf.DUMMYFUNCTION("""COMPUTED_VALUE"""),46213.52396990741)</f>
        <v>46213.52397</v>
      </c>
      <c r="T388" s="76">
        <f t="shared" si="4"/>
        <v>0.06283564815</v>
      </c>
      <c r="V388" s="76">
        <f>IFERROR(__xludf.DUMMYFUNCTION("""COMPUTED_VALUE"""),5350.0)</f>
        <v>5350</v>
      </c>
      <c r="W388" s="232">
        <f>IFERROR(__xludf.DUMMYFUNCTION("""COMPUTED_VALUE"""),46213.76388888889)</f>
        <v>46213.76389</v>
      </c>
      <c r="X388" s="84">
        <f>IFERROR(__xludf.DUMMYFUNCTION("""COMPUTED_VALUE"""),46212.785790671296)</f>
        <v>46212.78579</v>
      </c>
      <c r="Y388" s="76">
        <f t="shared" si="5"/>
        <v>0.9780982176</v>
      </c>
      <c r="AK388" s="232"/>
      <c r="AL388" s="233"/>
      <c r="AM388" s="173"/>
    </row>
    <row r="389">
      <c r="A389" s="76">
        <f>IFERROR(__xludf.DUMMYFUNCTION("""COMPUTED_VALUE"""),5350.0)</f>
        <v>5350</v>
      </c>
      <c r="B389" s="232">
        <f>IFERROR(__xludf.DUMMYFUNCTION("""COMPUTED_VALUE"""),46212.61168879629)</f>
        <v>46212.61169</v>
      </c>
      <c r="C389" s="84">
        <f>IFERROR(__xludf.DUMMYFUNCTION("""COMPUTED_VALUE"""),46212.44946717593)</f>
        <v>46212.44947</v>
      </c>
      <c r="D389" s="173">
        <f t="shared" si="1"/>
        <v>0.1622216204</v>
      </c>
      <c r="G389" s="76">
        <f>IFERROR(__xludf.DUMMYFUNCTION("""COMPUTED_VALUE"""),5350.0)</f>
        <v>5350</v>
      </c>
      <c r="H389" s="232">
        <f>IFERROR(__xludf.DUMMYFUNCTION("""COMPUTED_VALUE"""),46212.61863324074)</f>
        <v>46212.61863</v>
      </c>
      <c r="I389" s="84">
        <f>IFERROR(__xludf.DUMMYFUNCTION("""COMPUTED_VALUE"""),46212.44964918982)</f>
        <v>46212.44965</v>
      </c>
      <c r="J389" s="76">
        <f t="shared" si="2"/>
        <v>0.1689840509</v>
      </c>
      <c r="L389" s="76">
        <f>IFERROR(__xludf.DUMMYFUNCTION("""COMPUTED_VALUE"""),5350.0)</f>
        <v>5350</v>
      </c>
      <c r="M389" s="232">
        <f>IFERROR(__xludf.DUMMYFUNCTION("""COMPUTED_VALUE"""),46212.7227999074)</f>
        <v>46212.7228</v>
      </c>
      <c r="N389" s="84">
        <f>IFERROR(__xludf.DUMMYFUNCTION("""COMPUTED_VALUE"""),46212.44976783565)</f>
        <v>46212.44977</v>
      </c>
      <c r="O389" s="76">
        <f t="shared" si="3"/>
        <v>0.2730320718</v>
      </c>
      <c r="Q389" s="76">
        <f>IFERROR(__xludf.DUMMYFUNCTION("""COMPUTED_VALUE"""),5345.0)</f>
        <v>5345</v>
      </c>
      <c r="R389" s="232">
        <f>IFERROR(__xludf.DUMMYFUNCTION("""COMPUTED_VALUE"""),46213.59583333333)</f>
        <v>46213.59583</v>
      </c>
      <c r="S389" s="84">
        <f>IFERROR(__xludf.DUMMYFUNCTION("""COMPUTED_VALUE"""),46213.523993055554)</f>
        <v>46213.52399</v>
      </c>
      <c r="T389" s="76">
        <f t="shared" si="4"/>
        <v>0.07184027778</v>
      </c>
      <c r="V389" s="76">
        <f>IFERROR(__xludf.DUMMYFUNCTION("""COMPUTED_VALUE"""),5351.0)</f>
        <v>5351</v>
      </c>
      <c r="W389" s="232">
        <f>IFERROR(__xludf.DUMMYFUNCTION("""COMPUTED_VALUE"""),46216.44305555555)</f>
        <v>46216.44306</v>
      </c>
      <c r="X389" s="84">
        <f>IFERROR(__xludf.DUMMYFUNCTION("""COMPUTED_VALUE"""),46213.64330206018)</f>
        <v>46213.6433</v>
      </c>
      <c r="Y389" s="76">
        <f t="shared" si="5"/>
        <v>2.799753495</v>
      </c>
      <c r="AK389" s="232"/>
      <c r="AL389" s="233"/>
      <c r="AM389" s="173"/>
    </row>
    <row r="390">
      <c r="A390" s="76">
        <f>IFERROR(__xludf.DUMMYFUNCTION("""COMPUTED_VALUE"""),5351.0)</f>
        <v>5351</v>
      </c>
      <c r="B390" s="232">
        <f>IFERROR(__xludf.DUMMYFUNCTION("""COMPUTED_VALUE"""),46213.707304143514)</f>
        <v>46213.7073</v>
      </c>
      <c r="C390" s="84">
        <f>IFERROR(__xludf.DUMMYFUNCTION("""COMPUTED_VALUE"""),46213.622243969905)</f>
        <v>46213.62224</v>
      </c>
      <c r="D390" s="173">
        <f t="shared" si="1"/>
        <v>0.08506017361</v>
      </c>
      <c r="G390" s="76">
        <f>IFERROR(__xludf.DUMMYFUNCTION("""COMPUTED_VALUE"""),5351.0)</f>
        <v>5351</v>
      </c>
      <c r="H390" s="232">
        <f>IFERROR(__xludf.DUMMYFUNCTION("""COMPUTED_VALUE"""),46213.71424858796)</f>
        <v>46213.71425</v>
      </c>
      <c r="I390" s="84">
        <f>IFERROR(__xludf.DUMMYFUNCTION("""COMPUTED_VALUE"""),46213.62241988426)</f>
        <v>46213.62242</v>
      </c>
      <c r="J390" s="76">
        <f t="shared" si="2"/>
        <v>0.0918287037</v>
      </c>
      <c r="L390" s="76">
        <f>IFERROR(__xludf.DUMMYFUNCTION("""COMPUTED_VALUE"""),5351.0)</f>
        <v>5351</v>
      </c>
      <c r="M390" s="232">
        <f>IFERROR(__xludf.DUMMYFUNCTION("""COMPUTED_VALUE"""),46213.818415254624)</f>
        <v>46213.81842</v>
      </c>
      <c r="N390" s="84">
        <f>IFERROR(__xludf.DUMMYFUNCTION("""COMPUTED_VALUE"""),46213.64323987269)</f>
        <v>46213.64324</v>
      </c>
      <c r="O390" s="76">
        <f t="shared" si="3"/>
        <v>0.1751753819</v>
      </c>
      <c r="Q390" s="76">
        <f>IFERROR(__xludf.DUMMYFUNCTION("""COMPUTED_VALUE"""),5346.0)</f>
        <v>5346</v>
      </c>
      <c r="R390" s="232">
        <f>IFERROR(__xludf.DUMMYFUNCTION("""COMPUTED_VALUE"""),46213.597916666666)</f>
        <v>46213.59792</v>
      </c>
      <c r="S390" s="84">
        <f>IFERROR(__xludf.DUMMYFUNCTION("""COMPUTED_VALUE"""),46213.52402777778)</f>
        <v>46213.52403</v>
      </c>
      <c r="T390" s="76">
        <f t="shared" si="4"/>
        <v>0.07388888889</v>
      </c>
      <c r="V390" s="76">
        <f>IFERROR(__xludf.DUMMYFUNCTION("""COMPUTED_VALUE"""),5352.0)</f>
        <v>5352</v>
      </c>
      <c r="W390" s="232">
        <f>IFERROR(__xludf.DUMMYFUNCTION("""COMPUTED_VALUE"""),46216.49583333333)</f>
        <v>46216.49583</v>
      </c>
      <c r="X390" s="84">
        <f>IFERROR(__xludf.DUMMYFUNCTION("""COMPUTED_VALUE"""),46214.45830096064)</f>
        <v>46214.4583</v>
      </c>
      <c r="Y390" s="76">
        <f t="shared" si="5"/>
        <v>2.037532373</v>
      </c>
      <c r="AK390" s="232"/>
      <c r="AL390" s="233"/>
      <c r="AM390" s="173"/>
    </row>
    <row r="391">
      <c r="A391" s="76">
        <f>IFERROR(__xludf.DUMMYFUNCTION("""COMPUTED_VALUE"""),5352.0)</f>
        <v>5352</v>
      </c>
      <c r="B391" s="232">
        <f>IFERROR(__xludf.DUMMYFUNCTION("""COMPUTED_VALUE"""),46213.73897208333)</f>
        <v>46213.73897</v>
      </c>
      <c r="C391" s="84">
        <f>IFERROR(__xludf.DUMMYFUNCTION("""COMPUTED_VALUE"""),46213.62228123842)</f>
        <v>46213.62228</v>
      </c>
      <c r="D391" s="173">
        <f t="shared" si="1"/>
        <v>0.1166908449</v>
      </c>
      <c r="G391" s="76">
        <f>IFERROR(__xludf.DUMMYFUNCTION("""COMPUTED_VALUE"""),5352.0)</f>
        <v>5352</v>
      </c>
      <c r="H391" s="232">
        <f>IFERROR(__xludf.DUMMYFUNCTION("""COMPUTED_VALUE"""),46213.745916527776)</f>
        <v>46213.74592</v>
      </c>
      <c r="I391" s="84">
        <f>IFERROR(__xludf.DUMMYFUNCTION("""COMPUTED_VALUE"""),46213.622444085646)</f>
        <v>46213.62244</v>
      </c>
      <c r="J391" s="76">
        <f t="shared" si="2"/>
        <v>0.1234724421</v>
      </c>
      <c r="L391" s="76">
        <f>IFERROR(__xludf.DUMMYFUNCTION("""COMPUTED_VALUE"""),5352.0)</f>
        <v>5352</v>
      </c>
      <c r="M391" s="232">
        <f>IFERROR(__xludf.DUMMYFUNCTION("""COMPUTED_VALUE"""),46214.45416666666)</f>
        <v>46214.45417</v>
      </c>
      <c r="N391" s="84">
        <f>IFERROR(__xludf.DUMMYFUNCTION("""COMPUTED_VALUE"""),46213.64873564815)</f>
        <v>46213.64874</v>
      </c>
      <c r="O391" s="76">
        <f t="shared" si="3"/>
        <v>0.8054310185</v>
      </c>
      <c r="Q391" s="76">
        <f>IFERROR(__xludf.DUMMYFUNCTION("""COMPUTED_VALUE"""),5347.0)</f>
        <v>5347</v>
      </c>
      <c r="R391" s="232">
        <f>IFERROR(__xludf.DUMMYFUNCTION("""COMPUTED_VALUE"""),46213.59930555556)</f>
        <v>46213.59931</v>
      </c>
      <c r="S391" s="84">
        <f>IFERROR(__xludf.DUMMYFUNCTION("""COMPUTED_VALUE"""),46213.524976851855)</f>
        <v>46213.52498</v>
      </c>
      <c r="T391" s="76">
        <f t="shared" si="4"/>
        <v>0.0743287037</v>
      </c>
      <c r="V391" s="76">
        <f>IFERROR(__xludf.DUMMYFUNCTION("""COMPUTED_VALUE"""),5353.0)</f>
        <v>5353</v>
      </c>
      <c r="W391" s="232">
        <f>IFERROR(__xludf.DUMMYFUNCTION("""COMPUTED_VALUE"""),46216.56805555555)</f>
        <v>46216.56806</v>
      </c>
      <c r="X391" s="84">
        <f>IFERROR(__xludf.DUMMYFUNCTION("""COMPUTED_VALUE"""),46214.45832803241)</f>
        <v>46214.45833</v>
      </c>
      <c r="Y391" s="76">
        <f t="shared" si="5"/>
        <v>2.109727523</v>
      </c>
      <c r="AK391" s="232"/>
      <c r="AL391" s="233"/>
      <c r="AM391" s="173"/>
    </row>
    <row r="392">
      <c r="A392" s="76">
        <f>IFERROR(__xludf.DUMMYFUNCTION("""COMPUTED_VALUE"""),5353.0)</f>
        <v>5353</v>
      </c>
      <c r="B392" s="232">
        <f>IFERROR(__xludf.DUMMYFUNCTION("""COMPUTED_VALUE"""),46213.81123162037)</f>
        <v>46213.81123</v>
      </c>
      <c r="C392" s="84">
        <f>IFERROR(__xludf.DUMMYFUNCTION("""COMPUTED_VALUE"""),46213.64851800926)</f>
        <v>46213.64852</v>
      </c>
      <c r="D392" s="173">
        <f t="shared" si="1"/>
        <v>0.1627136111</v>
      </c>
      <c r="G392" s="76">
        <f>IFERROR(__xludf.DUMMYFUNCTION("""COMPUTED_VALUE"""),5353.0)</f>
        <v>5353</v>
      </c>
      <c r="H392" s="232">
        <f>IFERROR(__xludf.DUMMYFUNCTION("""COMPUTED_VALUE"""),46213.818176064815)</f>
        <v>46213.81818</v>
      </c>
      <c r="I392" s="84">
        <f>IFERROR(__xludf.DUMMYFUNCTION("""COMPUTED_VALUE"""),46213.64860497685)</f>
        <v>46213.6486</v>
      </c>
      <c r="J392" s="76">
        <f t="shared" si="2"/>
        <v>0.169571088</v>
      </c>
      <c r="L392" s="76">
        <f>IFERROR(__xludf.DUMMYFUNCTION("""COMPUTED_VALUE"""),5353.0)</f>
        <v>5353</v>
      </c>
      <c r="M392" s="232">
        <f>IFERROR(__xludf.DUMMYFUNCTION("""COMPUTED_VALUE"""),46214.52638888889)</f>
        <v>46214.52639</v>
      </c>
      <c r="N392" s="84">
        <f>IFERROR(__xludf.DUMMYFUNCTION("""COMPUTED_VALUE"""),46213.648756423616)</f>
        <v>46213.64876</v>
      </c>
      <c r="O392" s="76">
        <f t="shared" si="3"/>
        <v>0.8776324653</v>
      </c>
      <c r="Q392" s="76">
        <f>IFERROR(__xludf.DUMMYFUNCTION("""COMPUTED_VALUE"""),5348.0)</f>
        <v>5348</v>
      </c>
      <c r="R392" s="232">
        <f>IFERROR(__xludf.DUMMYFUNCTION("""COMPUTED_VALUE"""),46213.708333333336)</f>
        <v>46213.70833</v>
      </c>
      <c r="S392" s="84">
        <f>IFERROR(__xludf.DUMMYFUNCTION("""COMPUTED_VALUE"""),46212.78586239583)</f>
        <v>46212.78586</v>
      </c>
      <c r="T392" s="76">
        <f t="shared" si="4"/>
        <v>0.9224709375</v>
      </c>
      <c r="V392" s="76">
        <f>IFERROR(__xludf.DUMMYFUNCTION("""COMPUTED_VALUE"""),5354.0)</f>
        <v>5354</v>
      </c>
      <c r="W392" s="232">
        <f>IFERROR(__xludf.DUMMYFUNCTION("""COMPUTED_VALUE"""),46216.8125)</f>
        <v>46216.8125</v>
      </c>
      <c r="X392" s="84">
        <f>IFERROR(__xludf.DUMMYFUNCTION("""COMPUTED_VALUE"""),46214.72318061342)</f>
        <v>46214.72318</v>
      </c>
      <c r="Y392" s="76">
        <f t="shared" si="5"/>
        <v>2.089319387</v>
      </c>
      <c r="AK392" s="232"/>
      <c r="AL392" s="233"/>
      <c r="AM392" s="173"/>
    </row>
    <row r="393">
      <c r="A393" s="76">
        <f>IFERROR(__xludf.DUMMYFUNCTION("""COMPUTED_VALUE"""),5354.0)</f>
        <v>5354</v>
      </c>
      <c r="B393" s="232">
        <f>IFERROR(__xludf.DUMMYFUNCTION("""COMPUTED_VALUE"""),46214.66002116898)</f>
        <v>46214.66002</v>
      </c>
      <c r="C393" s="84">
        <f>IFERROR(__xludf.DUMMYFUNCTION("""COMPUTED_VALUE"""),46214.498421805554)</f>
        <v>46214.49842</v>
      </c>
      <c r="D393" s="173">
        <f t="shared" si="1"/>
        <v>0.1615993634</v>
      </c>
      <c r="G393" s="76">
        <f>IFERROR(__xludf.DUMMYFUNCTION("""COMPUTED_VALUE"""),5354.0)</f>
        <v>5354</v>
      </c>
      <c r="H393" s="232">
        <f>IFERROR(__xludf.DUMMYFUNCTION("""COMPUTED_VALUE"""),46214.666965613425)</f>
        <v>46214.66697</v>
      </c>
      <c r="I393" s="84">
        <f>IFERROR(__xludf.DUMMYFUNCTION("""COMPUTED_VALUE"""),46214.49860435185)</f>
        <v>46214.4986</v>
      </c>
      <c r="J393" s="76">
        <f t="shared" si="2"/>
        <v>0.1683612616</v>
      </c>
      <c r="L393" s="76">
        <f>IFERROR(__xludf.DUMMYFUNCTION("""COMPUTED_VALUE"""),5354.0)</f>
        <v>5354</v>
      </c>
      <c r="M393" s="232">
        <f>IFERROR(__xludf.DUMMYFUNCTION("""COMPUTED_VALUE"""),46214.77113228009)</f>
        <v>46214.77113</v>
      </c>
      <c r="N393" s="84">
        <f>IFERROR(__xludf.DUMMYFUNCTION("""COMPUTED_VALUE"""),46214.49863725694)</f>
        <v>46214.49864</v>
      </c>
      <c r="O393" s="76">
        <f t="shared" si="3"/>
        <v>0.2724950231</v>
      </c>
      <c r="Q393" s="76">
        <f>IFERROR(__xludf.DUMMYFUNCTION("""COMPUTED_VALUE"""),5349.0)</f>
        <v>5349</v>
      </c>
      <c r="R393" s="232">
        <f>IFERROR(__xludf.DUMMYFUNCTION("""COMPUTED_VALUE"""),46213.711805555555)</f>
        <v>46213.71181</v>
      </c>
      <c r="S393" s="84">
        <f>IFERROR(__xludf.DUMMYFUNCTION("""COMPUTED_VALUE"""),46212.57450534722)</f>
        <v>46212.57451</v>
      </c>
      <c r="T393" s="76">
        <f t="shared" si="4"/>
        <v>1.137300208</v>
      </c>
      <c r="V393" s="76">
        <f>IFERROR(__xludf.DUMMYFUNCTION("""COMPUTED_VALUE"""),5355.0)</f>
        <v>5355</v>
      </c>
      <c r="W393" s="232">
        <f>IFERROR(__xludf.DUMMYFUNCTION("""COMPUTED_VALUE"""),46216.830555555556)</f>
        <v>46216.83056</v>
      </c>
      <c r="X393" s="84">
        <f>IFERROR(__xludf.DUMMYFUNCTION("""COMPUTED_VALUE"""),46216.50176321759)</f>
        <v>46216.50176</v>
      </c>
      <c r="Y393" s="76">
        <f t="shared" si="5"/>
        <v>0.328792338</v>
      </c>
      <c r="AK393" s="232"/>
      <c r="AL393" s="233"/>
      <c r="AM393" s="173"/>
    </row>
    <row r="394">
      <c r="A394" s="76">
        <f>IFERROR(__xludf.DUMMYFUNCTION("""COMPUTED_VALUE"""),5355.0)</f>
        <v>5355</v>
      </c>
      <c r="B394" s="232">
        <f>IFERROR(__xludf.DUMMYFUNCTION("""COMPUTED_VALUE"""),46214.67842815972)</f>
        <v>46214.67843</v>
      </c>
      <c r="C394" s="84">
        <f>IFERROR(__xludf.DUMMYFUNCTION("""COMPUTED_VALUE"""),46214.72270813657)</f>
        <v>46214.72271</v>
      </c>
      <c r="D394" s="173">
        <f t="shared" si="1"/>
        <v>-0.04427997685</v>
      </c>
      <c r="G394" s="76">
        <f>IFERROR(__xludf.DUMMYFUNCTION("""COMPUTED_VALUE"""),5355.0)</f>
        <v>5355</v>
      </c>
      <c r="H394" s="232">
        <f>IFERROR(__xludf.DUMMYFUNCTION("""COMPUTED_VALUE"""),46214.685372604166)</f>
        <v>46214.68537</v>
      </c>
      <c r="I394" s="84">
        <f>IFERROR(__xludf.DUMMYFUNCTION("""COMPUTED_VALUE"""),46214.72297701389)</f>
        <v>46214.72298</v>
      </c>
      <c r="J394" s="76">
        <f t="shared" si="2"/>
        <v>-0.03760440972</v>
      </c>
      <c r="L394" s="76">
        <f>IFERROR(__xludf.DUMMYFUNCTION("""COMPUTED_VALUE"""),5355.0)</f>
        <v>5355</v>
      </c>
      <c r="M394" s="232">
        <f>IFERROR(__xludf.DUMMYFUNCTION("""COMPUTED_VALUE"""),46214.78953927083)</f>
        <v>46214.78954</v>
      </c>
      <c r="N394" s="84">
        <f>IFERROR(__xludf.DUMMYFUNCTION("""COMPUTED_VALUE"""),46214.72303342592)</f>
        <v>46214.72303</v>
      </c>
      <c r="O394" s="76">
        <f t="shared" si="3"/>
        <v>0.06650584491</v>
      </c>
      <c r="Q394" s="76">
        <f>IFERROR(__xludf.DUMMYFUNCTION("""COMPUTED_VALUE"""),5350.0)</f>
        <v>5350</v>
      </c>
      <c r="R394" s="232">
        <f>IFERROR(__xludf.DUMMYFUNCTION("""COMPUTED_VALUE"""),46213.722222222226)</f>
        <v>46213.72222</v>
      </c>
      <c r="S394" s="84">
        <f>IFERROR(__xludf.DUMMYFUNCTION("""COMPUTED_VALUE"""),46212.78571759259)</f>
        <v>46212.78572</v>
      </c>
      <c r="T394" s="76">
        <f t="shared" si="4"/>
        <v>0.9365046296</v>
      </c>
      <c r="V394" s="76">
        <f>IFERROR(__xludf.DUMMYFUNCTION("""COMPUTED_VALUE"""),5356.0)</f>
        <v>5356</v>
      </c>
      <c r="W394" s="232">
        <f>IFERROR(__xludf.DUMMYFUNCTION("""COMPUTED_VALUE"""),46217.57708333333)</f>
        <v>46217.57708</v>
      </c>
      <c r="X394" s="84">
        <f>IFERROR(__xludf.DUMMYFUNCTION("""COMPUTED_VALUE"""),46216.50178162037)</f>
        <v>46216.50178</v>
      </c>
      <c r="Y394" s="76">
        <f t="shared" si="5"/>
        <v>1.075301713</v>
      </c>
      <c r="AK394" s="232"/>
      <c r="AL394" s="233"/>
      <c r="AM394" s="173"/>
    </row>
    <row r="395">
      <c r="A395" s="76">
        <f>IFERROR(__xludf.DUMMYFUNCTION("""COMPUTED_VALUE"""),5356.0)</f>
        <v>5356</v>
      </c>
      <c r="B395" s="232">
        <f>IFERROR(__xludf.DUMMYFUNCTION("""COMPUTED_VALUE"""),46216.424305555556)</f>
        <v>46216.42431</v>
      </c>
      <c r="C395" s="84">
        <f>IFERROR(__xludf.DUMMYFUNCTION("""COMPUTED_VALUE"""),46214.72273378472)</f>
        <v>46214.72273</v>
      </c>
      <c r="D395" s="173">
        <f t="shared" si="1"/>
        <v>1.701571771</v>
      </c>
      <c r="G395" s="76">
        <f>IFERROR(__xludf.DUMMYFUNCTION("""COMPUTED_VALUE"""),5356.0)</f>
        <v>5356</v>
      </c>
      <c r="H395" s="232">
        <f>IFERROR(__xludf.DUMMYFUNCTION("""COMPUTED_VALUE"""),46216.43125)</f>
        <v>46216.43125</v>
      </c>
      <c r="I395" s="84">
        <f>IFERROR(__xludf.DUMMYFUNCTION("""COMPUTED_VALUE"""),46214.722996331024)</f>
        <v>46214.723</v>
      </c>
      <c r="J395" s="76">
        <f t="shared" si="2"/>
        <v>1.708253669</v>
      </c>
      <c r="L395" s="76">
        <f>IFERROR(__xludf.DUMMYFUNCTION("""COMPUTED_VALUE"""),5356.0)</f>
        <v>5356</v>
      </c>
      <c r="M395" s="232">
        <f>IFERROR(__xludf.DUMMYFUNCTION("""COMPUTED_VALUE"""),46216.535416666666)</f>
        <v>46216.53542</v>
      </c>
      <c r="N395" s="84">
        <f>IFERROR(__xludf.DUMMYFUNCTION("""COMPUTED_VALUE"""),46214.72305178241)</f>
        <v>46214.72305</v>
      </c>
      <c r="O395" s="76">
        <f t="shared" si="3"/>
        <v>1.812364884</v>
      </c>
      <c r="Q395" s="76">
        <f>IFERROR(__xludf.DUMMYFUNCTION("""COMPUTED_VALUE"""),5351.0)</f>
        <v>5351</v>
      </c>
      <c r="R395" s="232">
        <f>IFERROR(__xludf.DUMMYFUNCTION("""COMPUTED_VALUE"""),46214.81805555555)</f>
        <v>46214.81806</v>
      </c>
      <c r="S395" s="84">
        <f>IFERROR(__xludf.DUMMYFUNCTION("""COMPUTED_VALUE"""),46213.64328048611)</f>
        <v>46213.64328</v>
      </c>
      <c r="T395" s="76">
        <f t="shared" si="4"/>
        <v>1.174775069</v>
      </c>
      <c r="V395" s="76">
        <f>IFERROR(__xludf.DUMMYFUNCTION("""COMPUTED_VALUE"""),5357.0)</f>
        <v>5357</v>
      </c>
      <c r="W395" s="232">
        <f>IFERROR(__xludf.DUMMYFUNCTION("""COMPUTED_VALUE"""),46217.80347222222)</f>
        <v>46217.80347</v>
      </c>
      <c r="X395" s="84">
        <f>IFERROR(__xludf.DUMMYFUNCTION("""COMPUTED_VALUE"""),46216.55284729166)</f>
        <v>46216.55285</v>
      </c>
      <c r="Y395" s="76">
        <f t="shared" si="5"/>
        <v>1.250624931</v>
      </c>
      <c r="AK395" s="232"/>
      <c r="AL395" s="233"/>
      <c r="AM395" s="173"/>
    </row>
    <row r="396">
      <c r="A396" s="76">
        <f>IFERROR(__xludf.DUMMYFUNCTION("""COMPUTED_VALUE"""),5357.0)</f>
        <v>5357</v>
      </c>
      <c r="B396" s="232">
        <f>IFERROR(__xludf.DUMMYFUNCTION("""COMPUTED_VALUE"""),46216.65122966435)</f>
        <v>46216.65123</v>
      </c>
      <c r="C396" s="84">
        <f>IFERROR(__xludf.DUMMYFUNCTION("""COMPUTED_VALUE"""),46216.50161736111)</f>
        <v>46216.50162</v>
      </c>
      <c r="D396" s="173">
        <f t="shared" si="1"/>
        <v>0.1496123032</v>
      </c>
      <c r="G396" s="76">
        <f>IFERROR(__xludf.DUMMYFUNCTION("""COMPUTED_VALUE"""),5357.0)</f>
        <v>5357</v>
      </c>
      <c r="H396" s="232">
        <f>IFERROR(__xludf.DUMMYFUNCTION("""COMPUTED_VALUE"""),46216.658174108794)</f>
        <v>46216.65817</v>
      </c>
      <c r="I396" s="84">
        <f>IFERROR(__xludf.DUMMYFUNCTION("""COMPUTED_VALUE"""),46216.50171766204)</f>
        <v>46216.50172</v>
      </c>
      <c r="J396" s="76">
        <f t="shared" si="2"/>
        <v>0.1564564468</v>
      </c>
      <c r="L396" s="76">
        <f>IFERROR(__xludf.DUMMYFUNCTION("""COMPUTED_VALUE"""),5357.0)</f>
        <v>5357</v>
      </c>
      <c r="M396" s="232">
        <f>IFERROR(__xludf.DUMMYFUNCTION("""COMPUTED_VALUE"""),46216.76234077546)</f>
        <v>46216.76234</v>
      </c>
      <c r="N396" s="84">
        <f>IFERROR(__xludf.DUMMYFUNCTION("""COMPUTED_VALUE"""),46216.55251826389)</f>
        <v>46216.55252</v>
      </c>
      <c r="O396" s="76">
        <f t="shared" si="3"/>
        <v>0.2098225116</v>
      </c>
      <c r="Q396" s="76">
        <f>IFERROR(__xludf.DUMMYFUNCTION("""COMPUTED_VALUE"""),5352.0)</f>
        <v>5352</v>
      </c>
      <c r="R396" s="232">
        <f>IFERROR(__xludf.DUMMYFUNCTION("""COMPUTED_VALUE"""),46216.45416666666)</f>
        <v>46216.45417</v>
      </c>
      <c r="S396" s="84">
        <f>IFERROR(__xludf.DUMMYFUNCTION("""COMPUTED_VALUE"""),46214.45853138889)</f>
        <v>46214.45853</v>
      </c>
      <c r="T396" s="76">
        <f t="shared" si="4"/>
        <v>1.995635278</v>
      </c>
      <c r="V396" s="76">
        <f>IFERROR(__xludf.DUMMYFUNCTION("""COMPUTED_VALUE"""),5358.0)</f>
        <v>5358</v>
      </c>
      <c r="W396" s="232">
        <f>IFERROR(__xludf.DUMMYFUNCTION("""COMPUTED_VALUE"""),46218.442361111105)</f>
        <v>46218.44236</v>
      </c>
      <c r="X396" s="84">
        <f>IFERROR(__xludf.DUMMYFUNCTION("""COMPUTED_VALUE"""),46217.817763495375)</f>
        <v>46217.81776</v>
      </c>
      <c r="Y396" s="76">
        <f t="shared" si="5"/>
        <v>0.6245976157</v>
      </c>
      <c r="AK396" s="232"/>
      <c r="AL396" s="233"/>
      <c r="AM396" s="173"/>
    </row>
    <row r="397">
      <c r="A397" s="76">
        <f>IFERROR(__xludf.DUMMYFUNCTION("""COMPUTED_VALUE"""),5358.0)</f>
        <v>5358</v>
      </c>
      <c r="B397" s="232">
        <f>IFERROR(__xludf.DUMMYFUNCTION("""COMPUTED_VALUE"""),46216.706391064814)</f>
        <v>46216.70639</v>
      </c>
      <c r="C397" s="84">
        <f>IFERROR(__xludf.DUMMYFUNCTION("""COMPUTED_VALUE"""),46216.55227166667)</f>
        <v>46216.55227</v>
      </c>
      <c r="D397" s="173">
        <f t="shared" si="1"/>
        <v>0.1541193981</v>
      </c>
      <c r="G397" s="76">
        <f>IFERROR(__xludf.DUMMYFUNCTION("""COMPUTED_VALUE"""),5358.0)</f>
        <v>5358</v>
      </c>
      <c r="H397" s="232">
        <f>IFERROR(__xludf.DUMMYFUNCTION("""COMPUTED_VALUE"""),46216.71333550926)</f>
        <v>46216.71334</v>
      </c>
      <c r="I397" s="84">
        <f>IFERROR(__xludf.DUMMYFUNCTION("""COMPUTED_VALUE"""),46216.55235201389)</f>
        <v>46216.55235</v>
      </c>
      <c r="J397" s="76">
        <f t="shared" si="2"/>
        <v>0.1609834954</v>
      </c>
      <c r="L397" s="76">
        <f>IFERROR(__xludf.DUMMYFUNCTION("""COMPUTED_VALUE"""),5358.0)</f>
        <v>5358</v>
      </c>
      <c r="M397" s="232">
        <f>IFERROR(__xludf.DUMMYFUNCTION("""COMPUTED_VALUE"""),46216.81750217592)</f>
        <v>46216.8175</v>
      </c>
      <c r="N397" s="84">
        <f>IFERROR(__xludf.DUMMYFUNCTION("""COMPUTED_VALUE"""),46216.55253178241)</f>
        <v>46216.55253</v>
      </c>
      <c r="O397" s="76">
        <f t="shared" si="3"/>
        <v>0.2649703935</v>
      </c>
      <c r="Q397" s="76">
        <f>IFERROR(__xludf.DUMMYFUNCTION("""COMPUTED_VALUE"""),5353.0)</f>
        <v>5353</v>
      </c>
      <c r="R397" s="232">
        <f>IFERROR(__xludf.DUMMYFUNCTION("""COMPUTED_VALUE"""),46216.52638888889)</f>
        <v>46216.52639</v>
      </c>
      <c r="S397" s="84">
        <f>IFERROR(__xludf.DUMMYFUNCTION("""COMPUTED_VALUE"""),46214.45828017361)</f>
        <v>46214.45828</v>
      </c>
      <c r="T397" s="76">
        <f t="shared" si="4"/>
        <v>2.068108715</v>
      </c>
      <c r="V397" s="76">
        <f>IFERROR(__xludf.DUMMYFUNCTION("""COMPUTED_VALUE"""),5359.0)</f>
        <v>5359</v>
      </c>
      <c r="W397" s="232">
        <f>IFERROR(__xludf.DUMMYFUNCTION("""COMPUTED_VALUE"""),46218.49861111111)</f>
        <v>46218.49861</v>
      </c>
      <c r="X397" s="84">
        <f>IFERROR(__xludf.DUMMYFUNCTION("""COMPUTED_VALUE"""),46218.48215376158)</f>
        <v>46218.48215</v>
      </c>
      <c r="Y397" s="76">
        <f t="shared" si="5"/>
        <v>0.01645734953</v>
      </c>
      <c r="AK397" s="232"/>
      <c r="AL397" s="233"/>
      <c r="AM397" s="173"/>
    </row>
    <row r="398">
      <c r="A398" s="76">
        <f>IFERROR(__xludf.DUMMYFUNCTION("""COMPUTED_VALUE"""),5359.0)</f>
        <v>5359</v>
      </c>
      <c r="B398" s="232">
        <f>IFERROR(__xludf.DUMMYFUNCTION("""COMPUTED_VALUE"""),46216.74235181713)</f>
        <v>46216.74235</v>
      </c>
      <c r="C398" s="84">
        <f>IFERROR(__xludf.DUMMYFUNCTION("""COMPUTED_VALUE"""),46216.64601337963)</f>
        <v>46216.64601</v>
      </c>
      <c r="D398" s="173">
        <f t="shared" si="1"/>
        <v>0.0963384375</v>
      </c>
      <c r="G398" s="76">
        <f>IFERROR(__xludf.DUMMYFUNCTION("""COMPUTED_VALUE"""),5359.0)</f>
        <v>5359</v>
      </c>
      <c r="H398" s="232">
        <f>IFERROR(__xludf.DUMMYFUNCTION("""COMPUTED_VALUE"""),46216.74929626157)</f>
        <v>46216.7493</v>
      </c>
      <c r="I398" s="84">
        <f>IFERROR(__xludf.DUMMYFUNCTION("""COMPUTED_VALUE"""),46216.646054247685)</f>
        <v>46216.64605</v>
      </c>
      <c r="J398" s="76">
        <f t="shared" si="2"/>
        <v>0.1032420139</v>
      </c>
      <c r="L398" s="76">
        <f>IFERROR(__xludf.DUMMYFUNCTION("""COMPUTED_VALUE"""),5359.0)</f>
        <v>5359</v>
      </c>
      <c r="M398" s="232">
        <f>IFERROR(__xludf.DUMMYFUNCTION("""COMPUTED_VALUE"""),46217.45694444444)</f>
        <v>46217.45694</v>
      </c>
      <c r="N398" s="84">
        <f>IFERROR(__xludf.DUMMYFUNCTION("""COMPUTED_VALUE"""),46216.64615439815)</f>
        <v>46216.64615</v>
      </c>
      <c r="O398" s="76">
        <f t="shared" si="3"/>
        <v>0.8107900463</v>
      </c>
      <c r="Q398" s="76">
        <f>IFERROR(__xludf.DUMMYFUNCTION("""COMPUTED_VALUE"""),5354.0)</f>
        <v>5354</v>
      </c>
      <c r="R398" s="232">
        <f>IFERROR(__xludf.DUMMYFUNCTION("""COMPUTED_VALUE"""),46216.770833333336)</f>
        <v>46216.77083</v>
      </c>
      <c r="S398" s="84">
        <f>IFERROR(__xludf.DUMMYFUNCTION("""COMPUTED_VALUE"""),46214.72311355324)</f>
        <v>46214.72311</v>
      </c>
      <c r="T398" s="76">
        <f t="shared" si="4"/>
        <v>2.04771978</v>
      </c>
      <c r="V398" s="76">
        <f>IFERROR(__xludf.DUMMYFUNCTION("""COMPUTED_VALUE"""),5360.0)</f>
        <v>5360</v>
      </c>
      <c r="W398" s="232">
        <f>IFERROR(__xludf.DUMMYFUNCTION("""COMPUTED_VALUE"""),46218.60763888888)</f>
        <v>46218.60764</v>
      </c>
      <c r="X398" s="84">
        <f>IFERROR(__xludf.DUMMYFUNCTION("""COMPUTED_VALUE"""),46218.48218774305)</f>
        <v>46218.48219</v>
      </c>
      <c r="Y398" s="76">
        <f t="shared" si="5"/>
        <v>0.1254511458</v>
      </c>
      <c r="AK398" s="232"/>
      <c r="AL398" s="233"/>
      <c r="AM398" s="173"/>
    </row>
    <row r="399">
      <c r="A399" s="76">
        <f>IFERROR(__xludf.DUMMYFUNCTION("""COMPUTED_VALUE"""),5360.0)</f>
        <v>5360</v>
      </c>
      <c r="B399" s="232">
        <f>IFERROR(__xludf.DUMMYFUNCTION("""COMPUTED_VALUE"""),46217.45486111111)</f>
        <v>46217.45486</v>
      </c>
      <c r="C399" s="84">
        <f>IFERROR(__xludf.DUMMYFUNCTION("""COMPUTED_VALUE"""),46216.75188571759)</f>
        <v>46216.75189</v>
      </c>
      <c r="D399" s="173">
        <f t="shared" si="1"/>
        <v>0.7029753935</v>
      </c>
      <c r="G399" s="76">
        <f>IFERROR(__xludf.DUMMYFUNCTION("""COMPUTED_VALUE"""),5360.0)</f>
        <v>5360</v>
      </c>
      <c r="H399" s="232">
        <f>IFERROR(__xludf.DUMMYFUNCTION("""COMPUTED_VALUE"""),46217.461805555555)</f>
        <v>46217.46181</v>
      </c>
      <c r="I399" s="84">
        <f>IFERROR(__xludf.DUMMYFUNCTION("""COMPUTED_VALUE"""),46216.75197871528)</f>
        <v>46216.75198</v>
      </c>
      <c r="J399" s="76">
        <f t="shared" si="2"/>
        <v>0.7098268403</v>
      </c>
      <c r="L399" s="76">
        <f>IFERROR(__xludf.DUMMYFUNCTION("""COMPUTED_VALUE"""),5360.0)</f>
        <v>5360</v>
      </c>
      <c r="M399" s="232">
        <f>IFERROR(__xludf.DUMMYFUNCTION("""COMPUTED_VALUE"""),46217.56597222222)</f>
        <v>46217.56597</v>
      </c>
      <c r="N399" s="84">
        <f>IFERROR(__xludf.DUMMYFUNCTION("""COMPUTED_VALUE"""),46216.778841238425)</f>
        <v>46216.77884</v>
      </c>
      <c r="O399" s="76">
        <f t="shared" si="3"/>
        <v>0.7871309838</v>
      </c>
      <c r="Q399" s="76">
        <f>IFERROR(__xludf.DUMMYFUNCTION("""COMPUTED_VALUE"""),5355.0)</f>
        <v>5355</v>
      </c>
      <c r="R399" s="232">
        <f>IFERROR(__xludf.DUMMYFUNCTION("""COMPUTED_VALUE"""),46216.78888888889)</f>
        <v>46216.78889</v>
      </c>
      <c r="S399" s="84">
        <f>IFERROR(__xludf.DUMMYFUNCTION("""COMPUTED_VALUE"""),46214.72314135417)</f>
        <v>46214.72314</v>
      </c>
      <c r="T399" s="76">
        <f t="shared" si="4"/>
        <v>2.065747535</v>
      </c>
      <c r="V399" s="76">
        <f>IFERROR(__xludf.DUMMYFUNCTION("""COMPUTED_VALUE"""),5361.0)</f>
        <v>5361</v>
      </c>
      <c r="W399" s="232">
        <f>IFERROR(__xludf.DUMMYFUNCTION("""COMPUTED_VALUE"""),46220.41875)</f>
        <v>46220.41875</v>
      </c>
      <c r="X399" s="84">
        <f>IFERROR(__xludf.DUMMYFUNCTION("""COMPUTED_VALUE"""),46218.47928847223)</f>
        <v>46218.47929</v>
      </c>
      <c r="Y399" s="76">
        <f t="shared" si="5"/>
        <v>1.939461528</v>
      </c>
      <c r="AK399" s="232"/>
      <c r="AL399" s="233"/>
      <c r="AM399" s="173"/>
    </row>
    <row r="400">
      <c r="A400" s="76">
        <f>IFERROR(__xludf.DUMMYFUNCTION("""COMPUTED_VALUE"""),5361.0)</f>
        <v>5361</v>
      </c>
      <c r="B400" s="232">
        <f>IFERROR(__xludf.DUMMYFUNCTION("""COMPUTED_VALUE"""),46217.68263888889)</f>
        <v>46217.68264</v>
      </c>
      <c r="C400" s="84">
        <f>IFERROR(__xludf.DUMMYFUNCTION("""COMPUTED_VALUE"""),46217.45329819444)</f>
        <v>46217.4533</v>
      </c>
      <c r="D400" s="173">
        <f t="shared" si="1"/>
        <v>0.2293406944</v>
      </c>
      <c r="G400" s="76">
        <f>IFERROR(__xludf.DUMMYFUNCTION("""COMPUTED_VALUE"""),5361.0)</f>
        <v>5361</v>
      </c>
      <c r="H400" s="232">
        <f>IFERROR(__xludf.DUMMYFUNCTION("""COMPUTED_VALUE"""),46217.68958333333)</f>
        <v>46217.68958</v>
      </c>
      <c r="I400" s="84">
        <f>IFERROR(__xludf.DUMMYFUNCTION("""COMPUTED_VALUE"""),46217.45387835648)</f>
        <v>46217.45388</v>
      </c>
      <c r="J400" s="76">
        <f t="shared" si="2"/>
        <v>0.2357049769</v>
      </c>
      <c r="L400" s="76">
        <f>IFERROR(__xludf.DUMMYFUNCTION("""COMPUTED_VALUE"""),5361.0)</f>
        <v>5361</v>
      </c>
      <c r="M400" s="232">
        <f>IFERROR(__xludf.DUMMYFUNCTION("""COMPUTED_VALUE"""),46217.79375)</f>
        <v>46217.79375</v>
      </c>
      <c r="N400" s="84">
        <f>IFERROR(__xludf.DUMMYFUNCTION("""COMPUTED_VALUE"""),46217.45400974537)</f>
        <v>46217.45401</v>
      </c>
      <c r="O400" s="76">
        <f t="shared" si="3"/>
        <v>0.3397402546</v>
      </c>
      <c r="Q400" s="76">
        <f>IFERROR(__xludf.DUMMYFUNCTION("""COMPUTED_VALUE"""),5356.0)</f>
        <v>5356</v>
      </c>
      <c r="R400" s="232">
        <f>IFERROR(__xludf.DUMMYFUNCTION("""COMPUTED_VALUE"""),46217.535416666666)</f>
        <v>46217.53542</v>
      </c>
      <c r="S400" s="84">
        <f>IFERROR(__xludf.DUMMYFUNCTION("""COMPUTED_VALUE"""),46214.72330920139)</f>
        <v>46214.72331</v>
      </c>
      <c r="T400" s="76">
        <f t="shared" si="4"/>
        <v>2.812107465</v>
      </c>
      <c r="V400" s="76">
        <f>IFERROR(__xludf.DUMMYFUNCTION("""COMPUTED_VALUE"""),5362.0)</f>
        <v>5362</v>
      </c>
      <c r="W400" s="232">
        <f>IFERROR(__xludf.DUMMYFUNCTION("""COMPUTED_VALUE"""),46220.424305555556)</f>
        <v>46220.42431</v>
      </c>
      <c r="X400" s="84">
        <f>IFERROR(__xludf.DUMMYFUNCTION("""COMPUTED_VALUE"""),46218.47927668982)</f>
        <v>46218.47928</v>
      </c>
      <c r="Y400" s="76">
        <f t="shared" si="5"/>
        <v>1.945028866</v>
      </c>
      <c r="AK400" s="232"/>
      <c r="AL400" s="233"/>
      <c r="AM400" s="173"/>
    </row>
    <row r="401">
      <c r="A401" s="76">
        <f>IFERROR(__xludf.DUMMYFUNCTION("""COMPUTED_VALUE"""),5362.0)</f>
        <v>5362</v>
      </c>
      <c r="B401" s="232">
        <f>IFERROR(__xludf.DUMMYFUNCTION("""COMPUTED_VALUE"""),46217.68819444444)</f>
        <v>46217.68819</v>
      </c>
      <c r="C401" s="84">
        <f>IFERROR(__xludf.DUMMYFUNCTION("""COMPUTED_VALUE"""),46217.45330825231)</f>
        <v>46217.45331</v>
      </c>
      <c r="D401" s="173">
        <f t="shared" si="1"/>
        <v>0.2348861921</v>
      </c>
      <c r="G401" s="76">
        <f>IFERROR(__xludf.DUMMYFUNCTION("""COMPUTED_VALUE"""),5362.0)</f>
        <v>5362</v>
      </c>
      <c r="H401" s="232">
        <f>IFERROR(__xludf.DUMMYFUNCTION("""COMPUTED_VALUE"""),46217.695138888885)</f>
        <v>46217.69514</v>
      </c>
      <c r="I401" s="84">
        <f>IFERROR(__xludf.DUMMYFUNCTION("""COMPUTED_VALUE"""),46217.453878368055)</f>
        <v>46217.45388</v>
      </c>
      <c r="J401" s="76">
        <f t="shared" si="2"/>
        <v>0.2412605208</v>
      </c>
      <c r="L401" s="76">
        <f>IFERROR(__xludf.DUMMYFUNCTION("""COMPUTED_VALUE"""),5362.0)</f>
        <v>5362</v>
      </c>
      <c r="M401" s="232">
        <f>IFERROR(__xludf.DUMMYFUNCTION("""COMPUTED_VALUE"""),46217.79930555555)</f>
        <v>46217.79931</v>
      </c>
      <c r="N401" s="84">
        <f>IFERROR(__xludf.DUMMYFUNCTION("""COMPUTED_VALUE"""),46217.454019247685)</f>
        <v>46217.45402</v>
      </c>
      <c r="O401" s="76">
        <f t="shared" si="3"/>
        <v>0.3452863079</v>
      </c>
      <c r="Q401" s="76">
        <f>IFERROR(__xludf.DUMMYFUNCTION("""COMPUTED_VALUE"""),5357.0)</f>
        <v>5357</v>
      </c>
      <c r="R401" s="232">
        <f>IFERROR(__xludf.DUMMYFUNCTION("""COMPUTED_VALUE"""),46217.76180555556)</f>
        <v>46217.76181</v>
      </c>
      <c r="S401" s="84">
        <f>IFERROR(__xludf.DUMMYFUNCTION("""COMPUTED_VALUE"""),46216.552827141204)</f>
        <v>46216.55283</v>
      </c>
      <c r="T401" s="76">
        <f t="shared" si="4"/>
        <v>1.208978414</v>
      </c>
      <c r="V401" s="76">
        <f>IFERROR(__xludf.DUMMYFUNCTION("""COMPUTED_VALUE"""),5363.0)</f>
        <v>5363</v>
      </c>
      <c r="W401" s="232">
        <f>IFERROR(__xludf.DUMMYFUNCTION("""COMPUTED_VALUE"""),46220.42638888889)</f>
        <v>46220.42639</v>
      </c>
      <c r="X401" s="84">
        <f>IFERROR(__xludf.DUMMYFUNCTION("""COMPUTED_VALUE"""),46218.47931722223)</f>
        <v>46218.47932</v>
      </c>
      <c r="Y401" s="76">
        <f t="shared" si="5"/>
        <v>1.947071667</v>
      </c>
      <c r="AK401" s="232"/>
      <c r="AL401" s="233"/>
      <c r="AM401" s="173"/>
    </row>
    <row r="402">
      <c r="A402" s="76">
        <f>IFERROR(__xludf.DUMMYFUNCTION("""COMPUTED_VALUE"""),5363.0)</f>
        <v>5363</v>
      </c>
      <c r="B402" s="232">
        <f>IFERROR(__xludf.DUMMYFUNCTION("""COMPUTED_VALUE"""),46217.69027777777)</f>
        <v>46217.69028</v>
      </c>
      <c r="C402" s="84">
        <f>IFERROR(__xludf.DUMMYFUNCTION("""COMPUTED_VALUE"""),46217.453263414354)</f>
        <v>46217.45326</v>
      </c>
      <c r="D402" s="173">
        <f t="shared" si="1"/>
        <v>0.2370143634</v>
      </c>
      <c r="G402" s="76">
        <f>IFERROR(__xludf.DUMMYFUNCTION("""COMPUTED_VALUE"""),5363.0)</f>
        <v>5363</v>
      </c>
      <c r="H402" s="232">
        <f>IFERROR(__xludf.DUMMYFUNCTION("""COMPUTED_VALUE"""),46217.69722222222)</f>
        <v>46217.69722</v>
      </c>
      <c r="I402" s="84">
        <f>IFERROR(__xludf.DUMMYFUNCTION("""COMPUTED_VALUE"""),46217.453882939815)</f>
        <v>46217.45388</v>
      </c>
      <c r="J402" s="76">
        <f t="shared" si="2"/>
        <v>0.2433392824</v>
      </c>
      <c r="L402" s="76">
        <f>IFERROR(__xludf.DUMMYFUNCTION("""COMPUTED_VALUE"""),5363.0)</f>
        <v>5363</v>
      </c>
      <c r="M402" s="232">
        <f>IFERROR(__xludf.DUMMYFUNCTION("""COMPUTED_VALUE"""),46217.80138888888)</f>
        <v>46217.80139</v>
      </c>
      <c r="N402" s="84">
        <f>IFERROR(__xludf.DUMMYFUNCTION("""COMPUTED_VALUE"""),46217.45402885417)</f>
        <v>46217.45403</v>
      </c>
      <c r="O402" s="76">
        <f t="shared" si="3"/>
        <v>0.3473600347</v>
      </c>
      <c r="Q402" s="76">
        <f>IFERROR(__xludf.DUMMYFUNCTION("""COMPUTED_VALUE"""),5358.0)</f>
        <v>5358</v>
      </c>
      <c r="R402" s="232">
        <f>IFERROR(__xludf.DUMMYFUNCTION("""COMPUTED_VALUE"""),46217.817361111105)</f>
        <v>46217.81736</v>
      </c>
      <c r="S402" s="84">
        <f>IFERROR(__xludf.DUMMYFUNCTION("""COMPUTED_VALUE"""),46216.67229178241)</f>
        <v>46216.67229</v>
      </c>
      <c r="T402" s="76">
        <f t="shared" si="4"/>
        <v>1.145069329</v>
      </c>
      <c r="V402" s="76">
        <f>IFERROR(__xludf.DUMMYFUNCTION("""COMPUTED_VALUE"""),5364.0)</f>
        <v>5364</v>
      </c>
      <c r="W402" s="232">
        <f>IFERROR(__xludf.DUMMYFUNCTION("""COMPUTED_VALUE"""),46220.42916666666)</f>
        <v>46220.42917</v>
      </c>
      <c r="X402" s="84">
        <f>IFERROR(__xludf.DUMMYFUNCTION("""COMPUTED_VALUE"""),46218.47930310185)</f>
        <v>46218.4793</v>
      </c>
      <c r="Y402" s="76">
        <f t="shared" si="5"/>
        <v>1.949863565</v>
      </c>
      <c r="AK402" s="232"/>
      <c r="AL402" s="233"/>
      <c r="AM402" s="173"/>
    </row>
    <row r="403">
      <c r="A403" s="76">
        <f>IFERROR(__xludf.DUMMYFUNCTION("""COMPUTED_VALUE"""),5364.0)</f>
        <v>5364</v>
      </c>
      <c r="B403" s="232">
        <f>IFERROR(__xludf.DUMMYFUNCTION("""COMPUTED_VALUE"""),46217.69305555555)</f>
        <v>46217.69306</v>
      </c>
      <c r="C403" s="84">
        <f>IFERROR(__xludf.DUMMYFUNCTION("""COMPUTED_VALUE"""),46217.453439907404)</f>
        <v>46217.45344</v>
      </c>
      <c r="D403" s="173">
        <f t="shared" si="1"/>
        <v>0.2396156481</v>
      </c>
      <c r="G403" s="76">
        <f>IFERROR(__xludf.DUMMYFUNCTION("""COMPUTED_VALUE"""),5364.0)</f>
        <v>5364</v>
      </c>
      <c r="H403" s="232">
        <f>IFERROR(__xludf.DUMMYFUNCTION("""COMPUTED_VALUE"""),46217.7)</f>
        <v>46217.7</v>
      </c>
      <c r="I403" s="84">
        <f>IFERROR(__xludf.DUMMYFUNCTION("""COMPUTED_VALUE"""),46217.453891006946)</f>
        <v>46217.45389</v>
      </c>
      <c r="J403" s="76">
        <f t="shared" si="2"/>
        <v>0.2461089931</v>
      </c>
      <c r="L403" s="76">
        <f>IFERROR(__xludf.DUMMYFUNCTION("""COMPUTED_VALUE"""),5364.0)</f>
        <v>5364</v>
      </c>
      <c r="M403" s="232">
        <f>IFERROR(__xludf.DUMMYFUNCTION("""COMPUTED_VALUE"""),46217.80416666666)</f>
        <v>46217.80417</v>
      </c>
      <c r="N403" s="84">
        <f>IFERROR(__xludf.DUMMYFUNCTION("""COMPUTED_VALUE"""),46217.61782530093)</f>
        <v>46217.61783</v>
      </c>
      <c r="O403" s="76">
        <f t="shared" si="3"/>
        <v>0.1863413657</v>
      </c>
      <c r="Q403" s="76">
        <f>IFERROR(__xludf.DUMMYFUNCTION("""COMPUTED_VALUE"""),5359.0)</f>
        <v>5359</v>
      </c>
      <c r="R403" s="232">
        <f>IFERROR(__xludf.DUMMYFUNCTION("""COMPUTED_VALUE"""),46218.45694444444)</f>
        <v>46218.45694</v>
      </c>
      <c r="S403" s="84">
        <f>IFERROR(__xludf.DUMMYFUNCTION("""COMPUTED_VALUE"""),46216.672344502316)</f>
        <v>46216.67234</v>
      </c>
      <c r="T403" s="76">
        <f t="shared" si="4"/>
        <v>1.784599942</v>
      </c>
      <c r="V403" s="76">
        <f>IFERROR(__xludf.DUMMYFUNCTION("""COMPUTED_VALUE"""),5365.0)</f>
        <v>5365</v>
      </c>
      <c r="W403" s="232">
        <f>IFERROR(__xludf.DUMMYFUNCTION("""COMPUTED_VALUE"""),46220.430555555555)</f>
        <v>46220.43056</v>
      </c>
      <c r="X403" s="84">
        <f>IFERROR(__xludf.DUMMYFUNCTION("""COMPUTED_VALUE"""),46218.4793334375)</f>
        <v>46218.47933</v>
      </c>
      <c r="Y403" s="76">
        <f t="shared" si="5"/>
        <v>1.951222118</v>
      </c>
      <c r="AK403" s="232"/>
      <c r="AL403" s="233"/>
      <c r="AM403" s="173"/>
    </row>
    <row r="404">
      <c r="A404" s="76">
        <f>IFERROR(__xludf.DUMMYFUNCTION("""COMPUTED_VALUE"""),5365.0)</f>
        <v>5365</v>
      </c>
      <c r="B404" s="232">
        <f>IFERROR(__xludf.DUMMYFUNCTION("""COMPUTED_VALUE"""),46217.694444444445)</f>
        <v>46217.69444</v>
      </c>
      <c r="C404" s="84">
        <f>IFERROR(__xludf.DUMMYFUNCTION("""COMPUTED_VALUE"""),46217.45345244213)</f>
        <v>46217.45345</v>
      </c>
      <c r="D404" s="173">
        <f t="shared" si="1"/>
        <v>0.2409920023</v>
      </c>
      <c r="G404" s="76">
        <f>IFERROR(__xludf.DUMMYFUNCTION("""COMPUTED_VALUE"""),5365.0)</f>
        <v>5365</v>
      </c>
      <c r="H404" s="232">
        <f>IFERROR(__xludf.DUMMYFUNCTION("""COMPUTED_VALUE"""),46217.70138888889)</f>
        <v>46217.70139</v>
      </c>
      <c r="I404" s="84">
        <f>IFERROR(__xludf.DUMMYFUNCTION("""COMPUTED_VALUE"""),46217.45389917824)</f>
        <v>46217.4539</v>
      </c>
      <c r="J404" s="76">
        <f t="shared" si="2"/>
        <v>0.2474897107</v>
      </c>
      <c r="L404" s="76">
        <f>IFERROR(__xludf.DUMMYFUNCTION("""COMPUTED_VALUE"""),5365.0)</f>
        <v>5365</v>
      </c>
      <c r="M404" s="232">
        <f>IFERROR(__xludf.DUMMYFUNCTION("""COMPUTED_VALUE"""),46217.805555555555)</f>
        <v>46217.80556</v>
      </c>
      <c r="N404" s="84">
        <f>IFERROR(__xludf.DUMMYFUNCTION("""COMPUTED_VALUE"""),46217.45403759259)</f>
        <v>46217.45404</v>
      </c>
      <c r="O404" s="76">
        <f t="shared" si="3"/>
        <v>0.351517963</v>
      </c>
      <c r="Q404" s="76">
        <f>IFERROR(__xludf.DUMMYFUNCTION("""COMPUTED_VALUE"""),5360.0)</f>
        <v>5360</v>
      </c>
      <c r="R404" s="232">
        <f>IFERROR(__xludf.DUMMYFUNCTION("""COMPUTED_VALUE"""),46218.56597222222)</f>
        <v>46218.56597</v>
      </c>
      <c r="S404" s="84">
        <f>IFERROR(__xludf.DUMMYFUNCTION("""COMPUTED_VALUE"""),46217.45427560185)</f>
        <v>46217.45428</v>
      </c>
      <c r="T404" s="76">
        <f t="shared" si="4"/>
        <v>1.11169662</v>
      </c>
      <c r="V404" s="76">
        <f>IFERROR(__xludf.DUMMYFUNCTION("""COMPUTED_VALUE"""),5366.0)</f>
        <v>5366</v>
      </c>
      <c r="W404" s="232">
        <f>IFERROR(__xludf.DUMMYFUNCTION("""COMPUTED_VALUE"""),46220.43194444444)</f>
        <v>46220.43194</v>
      </c>
      <c r="X404" s="84">
        <f>IFERROR(__xludf.DUMMYFUNCTION("""COMPUTED_VALUE"""),46218.47934311343)</f>
        <v>46218.47934</v>
      </c>
      <c r="Y404" s="76">
        <f t="shared" si="5"/>
        <v>1.952601331</v>
      </c>
      <c r="AK404" s="232"/>
      <c r="AL404" s="233"/>
      <c r="AM404" s="173"/>
    </row>
    <row r="405">
      <c r="A405" s="76">
        <f>IFERROR(__xludf.DUMMYFUNCTION("""COMPUTED_VALUE"""),5366.0)</f>
        <v>5366</v>
      </c>
      <c r="B405" s="232">
        <f>IFERROR(__xludf.DUMMYFUNCTION("""COMPUTED_VALUE"""),46217.69583333333)</f>
        <v>46217.69583</v>
      </c>
      <c r="C405" s="84">
        <f>IFERROR(__xludf.DUMMYFUNCTION("""COMPUTED_VALUE"""),46217.45346696759)</f>
        <v>46217.45347</v>
      </c>
      <c r="D405" s="173">
        <f t="shared" si="1"/>
        <v>0.2423663657</v>
      </c>
      <c r="G405" s="76">
        <f>IFERROR(__xludf.DUMMYFUNCTION("""COMPUTED_VALUE"""),5366.0)</f>
        <v>5366</v>
      </c>
      <c r="H405" s="232">
        <f>IFERROR(__xludf.DUMMYFUNCTION("""COMPUTED_VALUE"""),46217.70277777778)</f>
        <v>46217.70278</v>
      </c>
      <c r="I405" s="84">
        <f>IFERROR(__xludf.DUMMYFUNCTION("""COMPUTED_VALUE"""),46217.45389917824)</f>
        <v>46217.4539</v>
      </c>
      <c r="J405" s="76">
        <f t="shared" si="2"/>
        <v>0.2488785995</v>
      </c>
      <c r="L405" s="76">
        <f>IFERROR(__xludf.DUMMYFUNCTION("""COMPUTED_VALUE"""),5366.0)</f>
        <v>5366</v>
      </c>
      <c r="M405" s="232">
        <f>IFERROR(__xludf.DUMMYFUNCTION("""COMPUTED_VALUE"""),46217.80694444444)</f>
        <v>46217.80694</v>
      </c>
      <c r="N405" s="84">
        <f>IFERROR(__xludf.DUMMYFUNCTION("""COMPUTED_VALUE"""),46217.454044108796)</f>
        <v>46217.45404</v>
      </c>
      <c r="O405" s="76">
        <f t="shared" si="3"/>
        <v>0.3529003356</v>
      </c>
      <c r="Q405" s="76">
        <f>IFERROR(__xludf.DUMMYFUNCTION("""COMPUTED_VALUE"""),5361.0)</f>
        <v>5361</v>
      </c>
      <c r="R405" s="232">
        <f>IFERROR(__xludf.DUMMYFUNCTION("""COMPUTED_VALUE"""),46218.79375)</f>
        <v>46218.79375</v>
      </c>
      <c r="S405" s="84">
        <f>IFERROR(__xludf.DUMMYFUNCTION("""COMPUTED_VALUE"""),46217.454295104166)</f>
        <v>46217.4543</v>
      </c>
      <c r="T405" s="76">
        <f t="shared" si="4"/>
        <v>1.339454896</v>
      </c>
      <c r="V405" s="76">
        <f>IFERROR(__xludf.DUMMYFUNCTION("""COMPUTED_VALUE"""),5367.0)</f>
        <v>5367</v>
      </c>
      <c r="W405" s="232">
        <f>IFERROR(__xludf.DUMMYFUNCTION("""COMPUTED_VALUE"""),46220.43472222222)</f>
        <v>46220.43472</v>
      </c>
      <c r="X405" s="84">
        <f>IFERROR(__xludf.DUMMYFUNCTION("""COMPUTED_VALUE"""),46218.479372511574)</f>
        <v>46218.47937</v>
      </c>
      <c r="Y405" s="76">
        <f t="shared" si="5"/>
        <v>1.955349711</v>
      </c>
      <c r="AK405" s="232"/>
      <c r="AL405" s="233"/>
      <c r="AM405" s="173"/>
    </row>
    <row r="406">
      <c r="A406" s="76">
        <f>IFERROR(__xludf.DUMMYFUNCTION("""COMPUTED_VALUE"""),5367.0)</f>
        <v>5367</v>
      </c>
      <c r="B406" s="232">
        <f>IFERROR(__xludf.DUMMYFUNCTION("""COMPUTED_VALUE"""),46217.69861111111)</f>
        <v>46217.69861</v>
      </c>
      <c r="C406" s="84">
        <f>IFERROR(__xludf.DUMMYFUNCTION("""COMPUTED_VALUE"""),46217.45348362268)</f>
        <v>46217.45348</v>
      </c>
      <c r="D406" s="173">
        <f t="shared" si="1"/>
        <v>0.2451274884</v>
      </c>
      <c r="G406" s="76">
        <f>IFERROR(__xludf.DUMMYFUNCTION("""COMPUTED_VALUE"""),5367.0)</f>
        <v>5367</v>
      </c>
      <c r="H406" s="232">
        <f>IFERROR(__xludf.DUMMYFUNCTION("""COMPUTED_VALUE"""),46217.705555555556)</f>
        <v>46217.70556</v>
      </c>
      <c r="I406" s="84">
        <f>IFERROR(__xludf.DUMMYFUNCTION("""COMPUTED_VALUE"""),46217.4539065625)</f>
        <v>46217.45391</v>
      </c>
      <c r="J406" s="76">
        <f t="shared" si="2"/>
        <v>0.2516489931</v>
      </c>
      <c r="L406" s="76">
        <f>IFERROR(__xludf.DUMMYFUNCTION("""COMPUTED_VALUE"""),5367.0)</f>
        <v>5367</v>
      </c>
      <c r="M406" s="232">
        <f>IFERROR(__xludf.DUMMYFUNCTION("""COMPUTED_VALUE"""),46217.80972222222)</f>
        <v>46217.80972</v>
      </c>
      <c r="N406" s="84">
        <f>IFERROR(__xludf.DUMMYFUNCTION("""COMPUTED_VALUE"""),46217.61726097223)</f>
        <v>46217.61726</v>
      </c>
      <c r="O406" s="76">
        <f t="shared" si="3"/>
        <v>0.19246125</v>
      </c>
      <c r="Q406" s="76">
        <f>IFERROR(__xludf.DUMMYFUNCTION("""COMPUTED_VALUE"""),5362.0)</f>
        <v>5362</v>
      </c>
      <c r="R406" s="232">
        <f>IFERROR(__xludf.DUMMYFUNCTION("""COMPUTED_VALUE"""),46218.799305555556)</f>
        <v>46218.79931</v>
      </c>
      <c r="S406" s="84">
        <f>IFERROR(__xludf.DUMMYFUNCTION("""COMPUTED_VALUE"""),46217.45430777778)</f>
        <v>46217.45431</v>
      </c>
      <c r="T406" s="76">
        <f t="shared" si="4"/>
        <v>1.344997778</v>
      </c>
      <c r="V406" s="76">
        <f>IFERROR(__xludf.DUMMYFUNCTION("""COMPUTED_VALUE"""),5368.0)</f>
        <v>5368</v>
      </c>
      <c r="W406" s="232">
        <f>IFERROR(__xludf.DUMMYFUNCTION("""COMPUTED_VALUE"""),46220.43611111111)</f>
        <v>46220.43611</v>
      </c>
      <c r="X406" s="84">
        <f>IFERROR(__xludf.DUMMYFUNCTION("""COMPUTED_VALUE"""),46218.479362199076)</f>
        <v>46218.47936</v>
      </c>
      <c r="Y406" s="76">
        <f t="shared" si="5"/>
        <v>1.956748912</v>
      </c>
      <c r="AK406" s="232"/>
      <c r="AL406" s="233"/>
      <c r="AM406" s="173"/>
    </row>
    <row r="407">
      <c r="A407" s="76">
        <f>IFERROR(__xludf.DUMMYFUNCTION("""COMPUTED_VALUE"""),5368.0)</f>
        <v>5368</v>
      </c>
      <c r="B407" s="232">
        <f>IFERROR(__xludf.DUMMYFUNCTION("""COMPUTED_VALUE"""),46217.7)</f>
        <v>46217.7</v>
      </c>
      <c r="C407" s="84">
        <f>IFERROR(__xludf.DUMMYFUNCTION("""COMPUTED_VALUE"""),46217.45350643518)</f>
        <v>46217.45351</v>
      </c>
      <c r="D407" s="173">
        <f t="shared" si="1"/>
        <v>0.2464935648</v>
      </c>
      <c r="G407" s="76">
        <f>IFERROR(__xludf.DUMMYFUNCTION("""COMPUTED_VALUE"""),5368.0)</f>
        <v>5368</v>
      </c>
      <c r="H407" s="232">
        <f>IFERROR(__xludf.DUMMYFUNCTION("""COMPUTED_VALUE"""),46217.70694444444)</f>
        <v>46217.70694</v>
      </c>
      <c r="I407" s="84">
        <f>IFERROR(__xludf.DUMMYFUNCTION("""COMPUTED_VALUE"""),46217.45391487268)</f>
        <v>46217.45391</v>
      </c>
      <c r="J407" s="76">
        <f t="shared" si="2"/>
        <v>0.2530295718</v>
      </c>
      <c r="L407" s="76">
        <f>IFERROR(__xludf.DUMMYFUNCTION("""COMPUTED_VALUE"""),5368.0)</f>
        <v>5368</v>
      </c>
      <c r="M407" s="232">
        <f>IFERROR(__xludf.DUMMYFUNCTION("""COMPUTED_VALUE"""),46217.81111111111)</f>
        <v>46217.81111</v>
      </c>
      <c r="N407" s="84">
        <f>IFERROR(__xludf.DUMMYFUNCTION("""COMPUTED_VALUE"""),46217.45405167824)</f>
        <v>46217.45405</v>
      </c>
      <c r="O407" s="76">
        <f t="shared" si="3"/>
        <v>0.3570594329</v>
      </c>
      <c r="Q407" s="76">
        <f>IFERROR(__xludf.DUMMYFUNCTION("""COMPUTED_VALUE"""),5363.0)</f>
        <v>5363</v>
      </c>
      <c r="R407" s="232">
        <f>IFERROR(__xludf.DUMMYFUNCTION("""COMPUTED_VALUE"""),46218.80138888889)</f>
        <v>46218.80139</v>
      </c>
      <c r="S407" s="84">
        <f>IFERROR(__xludf.DUMMYFUNCTION("""COMPUTED_VALUE"""),46217.45431349537)</f>
        <v>46217.45431</v>
      </c>
      <c r="T407" s="76">
        <f t="shared" si="4"/>
        <v>1.347075394</v>
      </c>
      <c r="V407" s="76">
        <f>IFERROR(__xludf.DUMMYFUNCTION("""COMPUTED_VALUE"""),5369.0)</f>
        <v>5369</v>
      </c>
      <c r="W407" s="232">
        <f>IFERROR(__xludf.DUMMYFUNCTION("""COMPUTED_VALUE"""),46220.43819444444)</f>
        <v>46220.43819</v>
      </c>
      <c r="X407" s="84">
        <f>IFERROR(__xludf.DUMMYFUNCTION("""COMPUTED_VALUE"""),46218.479370960646)</f>
        <v>46218.47937</v>
      </c>
      <c r="Y407" s="76">
        <f t="shared" si="5"/>
        <v>1.958823484</v>
      </c>
      <c r="AK407" s="232"/>
      <c r="AL407" s="233"/>
      <c r="AM407" s="173"/>
    </row>
    <row r="408">
      <c r="A408" s="76">
        <f>IFERROR(__xludf.DUMMYFUNCTION("""COMPUTED_VALUE"""),5369.0)</f>
        <v>5369</v>
      </c>
      <c r="B408" s="232">
        <f>IFERROR(__xludf.DUMMYFUNCTION("""COMPUTED_VALUE"""),46217.70208333333)</f>
        <v>46217.70208</v>
      </c>
      <c r="C408" s="84">
        <f>IFERROR(__xludf.DUMMYFUNCTION("""COMPUTED_VALUE"""),46217.45352789352)</f>
        <v>46217.45353</v>
      </c>
      <c r="D408" s="173">
        <f t="shared" si="1"/>
        <v>0.2485554398</v>
      </c>
      <c r="G408" s="76">
        <f>IFERROR(__xludf.DUMMYFUNCTION("""COMPUTED_VALUE"""),5369.0)</f>
        <v>5369</v>
      </c>
      <c r="H408" s="232">
        <f>IFERROR(__xludf.DUMMYFUNCTION("""COMPUTED_VALUE"""),46217.709027777775)</f>
        <v>46217.70903</v>
      </c>
      <c r="I408" s="84">
        <f>IFERROR(__xludf.DUMMYFUNCTION("""COMPUTED_VALUE"""),46217.45392572916)</f>
        <v>46217.45393</v>
      </c>
      <c r="J408" s="76">
        <f t="shared" si="2"/>
        <v>0.2551020486</v>
      </c>
      <c r="L408" s="76">
        <f>IFERROR(__xludf.DUMMYFUNCTION("""COMPUTED_VALUE"""),5369.0)</f>
        <v>5369</v>
      </c>
      <c r="M408" s="232">
        <f>IFERROR(__xludf.DUMMYFUNCTION("""COMPUTED_VALUE"""),46217.81319444444)</f>
        <v>46217.81319</v>
      </c>
      <c r="N408" s="84">
        <f>IFERROR(__xludf.DUMMYFUNCTION("""COMPUTED_VALUE"""),46217.4540619676)</f>
        <v>46217.45406</v>
      </c>
      <c r="O408" s="76">
        <f t="shared" si="3"/>
        <v>0.3591324768</v>
      </c>
      <c r="Q408" s="76">
        <f>IFERROR(__xludf.DUMMYFUNCTION("""COMPUTED_VALUE"""),5364.0)</f>
        <v>5364</v>
      </c>
      <c r="R408" s="232">
        <f>IFERROR(__xludf.DUMMYFUNCTION("""COMPUTED_VALUE"""),46218.80416666666)</f>
        <v>46218.80417</v>
      </c>
      <c r="S408" s="84">
        <f>IFERROR(__xludf.DUMMYFUNCTION("""COMPUTED_VALUE"""),46217.454320868055)</f>
        <v>46217.45432</v>
      </c>
      <c r="T408" s="76">
        <f t="shared" si="4"/>
        <v>1.349845799</v>
      </c>
      <c r="V408" s="76">
        <f>IFERROR(__xludf.DUMMYFUNCTION("""COMPUTED_VALUE"""),5370.0)</f>
        <v>5370</v>
      </c>
      <c r="W408" s="232">
        <f>IFERROR(__xludf.DUMMYFUNCTION("""COMPUTED_VALUE"""),46220.43958333333)</f>
        <v>46220.43958</v>
      </c>
      <c r="X408" s="84">
        <f>IFERROR(__xludf.DUMMYFUNCTION("""COMPUTED_VALUE"""),46218.47937798611)</f>
        <v>46218.47938</v>
      </c>
      <c r="Y408" s="76">
        <f t="shared" si="5"/>
        <v>1.960205347</v>
      </c>
      <c r="AK408" s="232"/>
      <c r="AL408" s="233"/>
      <c r="AM408" s="173"/>
    </row>
    <row r="409">
      <c r="A409" s="76">
        <f>IFERROR(__xludf.DUMMYFUNCTION("""COMPUTED_VALUE"""),5370.0)</f>
        <v>5370</v>
      </c>
      <c r="B409" s="232">
        <f>IFERROR(__xludf.DUMMYFUNCTION("""COMPUTED_VALUE"""),46217.70347222222)</f>
        <v>46217.70347</v>
      </c>
      <c r="C409" s="84">
        <f>IFERROR(__xludf.DUMMYFUNCTION("""COMPUTED_VALUE"""),46217.453559270834)</f>
        <v>46217.45356</v>
      </c>
      <c r="D409" s="173">
        <f t="shared" si="1"/>
        <v>0.2499129514</v>
      </c>
      <c r="G409" s="76">
        <f>IFERROR(__xludf.DUMMYFUNCTION("""COMPUTED_VALUE"""),5370.0)</f>
        <v>5370</v>
      </c>
      <c r="H409" s="232">
        <f>IFERROR(__xludf.DUMMYFUNCTION("""COMPUTED_VALUE"""),46217.71041666667)</f>
        <v>46217.71042</v>
      </c>
      <c r="I409" s="84">
        <f>IFERROR(__xludf.DUMMYFUNCTION("""COMPUTED_VALUE"""),46217.61717438657)</f>
        <v>46217.61717</v>
      </c>
      <c r="J409" s="76">
        <f t="shared" si="2"/>
        <v>0.0932422801</v>
      </c>
      <c r="L409" s="76">
        <f>IFERROR(__xludf.DUMMYFUNCTION("""COMPUTED_VALUE"""),5370.0)</f>
        <v>5370</v>
      </c>
      <c r="M409" s="232">
        <f>IFERROR(__xludf.DUMMYFUNCTION("""COMPUTED_VALUE"""),46217.81458333333)</f>
        <v>46217.81458</v>
      </c>
      <c r="N409" s="84">
        <f>IFERROR(__xludf.DUMMYFUNCTION("""COMPUTED_VALUE"""),46217.61731339121)</f>
        <v>46217.61731</v>
      </c>
      <c r="O409" s="76">
        <f t="shared" si="3"/>
        <v>0.1972699421</v>
      </c>
      <c r="Q409" s="76">
        <f>IFERROR(__xludf.DUMMYFUNCTION("""COMPUTED_VALUE"""),5365.0)</f>
        <v>5365</v>
      </c>
      <c r="R409" s="232">
        <f>IFERROR(__xludf.DUMMYFUNCTION("""COMPUTED_VALUE"""),46218.805555555555)</f>
        <v>46218.80556</v>
      </c>
      <c r="S409" s="84">
        <f>IFERROR(__xludf.DUMMYFUNCTION("""COMPUTED_VALUE"""),46217.617650381944)</f>
        <v>46217.61765</v>
      </c>
      <c r="T409" s="76">
        <f t="shared" si="4"/>
        <v>1.187905174</v>
      </c>
      <c r="V409" s="76">
        <f>IFERROR(__xludf.DUMMYFUNCTION("""COMPUTED_VALUE"""),5371.0)</f>
        <v>5371</v>
      </c>
      <c r="W409" s="232">
        <f>IFERROR(__xludf.DUMMYFUNCTION("""COMPUTED_VALUE"""),46220.48263888888)</f>
        <v>46220.48264</v>
      </c>
      <c r="X409" s="84">
        <f>IFERROR(__xludf.DUMMYFUNCTION("""COMPUTED_VALUE"""),46218.47950168981)</f>
        <v>46218.4795</v>
      </c>
      <c r="Y409" s="76">
        <f t="shared" si="5"/>
        <v>2.003137199</v>
      </c>
      <c r="AK409" s="232"/>
      <c r="AL409" s="233"/>
      <c r="AM409" s="173"/>
    </row>
    <row r="410">
      <c r="A410" s="76">
        <f>IFERROR(__xludf.DUMMYFUNCTION("""COMPUTED_VALUE"""),5371.0)</f>
        <v>5371</v>
      </c>
      <c r="B410" s="232">
        <f>IFERROR(__xludf.DUMMYFUNCTION("""COMPUTED_VALUE"""),46217.72612736111)</f>
        <v>46217.72613</v>
      </c>
      <c r="C410" s="84">
        <f>IFERROR(__xludf.DUMMYFUNCTION("""COMPUTED_VALUE"""),46217.61666626157)</f>
        <v>46217.61667</v>
      </c>
      <c r="D410" s="173">
        <f t="shared" si="1"/>
        <v>0.1094610995</v>
      </c>
      <c r="G410" s="76">
        <f>IFERROR(__xludf.DUMMYFUNCTION("""COMPUTED_VALUE"""),5371.0)</f>
        <v>5371</v>
      </c>
      <c r="H410" s="232">
        <f>IFERROR(__xludf.DUMMYFUNCTION("""COMPUTED_VALUE"""),46217.73307180555)</f>
        <v>46217.73307</v>
      </c>
      <c r="I410" s="84">
        <f>IFERROR(__xludf.DUMMYFUNCTION("""COMPUTED_VALUE"""),46217.616996365745)</f>
        <v>46217.617</v>
      </c>
      <c r="J410" s="76">
        <f t="shared" si="2"/>
        <v>0.1160754398</v>
      </c>
      <c r="L410" s="76">
        <f>IFERROR(__xludf.DUMMYFUNCTION("""COMPUTED_VALUE"""),5371.0)</f>
        <v>5371</v>
      </c>
      <c r="M410" s="232">
        <f>IFERROR(__xludf.DUMMYFUNCTION("""COMPUTED_VALUE"""),46218.44097222222)</f>
        <v>46218.44097</v>
      </c>
      <c r="N410" s="84">
        <f>IFERROR(__xludf.DUMMYFUNCTION("""COMPUTED_VALUE"""),46217.61734768518)</f>
        <v>46217.61735</v>
      </c>
      <c r="O410" s="76">
        <f t="shared" si="3"/>
        <v>0.823624537</v>
      </c>
      <c r="Q410" s="76">
        <f>IFERROR(__xludf.DUMMYFUNCTION("""COMPUTED_VALUE"""),5366.0)</f>
        <v>5366</v>
      </c>
      <c r="R410" s="232">
        <f>IFERROR(__xludf.DUMMYFUNCTION("""COMPUTED_VALUE"""),46218.80694444444)</f>
        <v>46218.80694</v>
      </c>
      <c r="S410" s="84">
        <f>IFERROR(__xludf.DUMMYFUNCTION("""COMPUTED_VALUE"""),46217.454336469906)</f>
        <v>46217.45434</v>
      </c>
      <c r="T410" s="76">
        <f t="shared" si="4"/>
        <v>1.352607975</v>
      </c>
      <c r="V410" s="76">
        <f>IFERROR(__xludf.DUMMYFUNCTION("""COMPUTED_VALUE"""),5372.0)</f>
        <v>5372</v>
      </c>
      <c r="W410" s="232">
        <f>IFERROR(__xludf.DUMMYFUNCTION("""COMPUTED_VALUE"""),46220.652083333334)</f>
        <v>46220.65208</v>
      </c>
      <c r="X410" s="84">
        <f>IFERROR(__xludf.DUMMYFUNCTION("""COMPUTED_VALUE"""),46218.80127127314)</f>
        <v>46218.80127</v>
      </c>
      <c r="Y410" s="76">
        <f t="shared" si="5"/>
        <v>1.85081206</v>
      </c>
      <c r="AK410" s="232"/>
      <c r="AL410" s="233"/>
      <c r="AM410" s="173"/>
    </row>
    <row r="411">
      <c r="A411" s="76">
        <f>IFERROR(__xludf.DUMMYFUNCTION("""COMPUTED_VALUE"""),5372.0)</f>
        <v>5372</v>
      </c>
      <c r="B411" s="232">
        <f>IFERROR(__xludf.DUMMYFUNCTION("""COMPUTED_VALUE"""),46218.49930555556)</f>
        <v>46218.49931</v>
      </c>
      <c r="C411" s="84">
        <f>IFERROR(__xludf.DUMMYFUNCTION("""COMPUTED_VALUE"""),46217.817527164356)</f>
        <v>46217.81753</v>
      </c>
      <c r="D411" s="173">
        <f t="shared" si="1"/>
        <v>0.6817783912</v>
      </c>
      <c r="G411" s="76">
        <f>IFERROR(__xludf.DUMMYFUNCTION("""COMPUTED_VALUE"""),5372.0)</f>
        <v>5372</v>
      </c>
      <c r="H411" s="232">
        <f>IFERROR(__xludf.DUMMYFUNCTION("""COMPUTED_VALUE"""),46218.506250000006)</f>
        <v>46218.50625</v>
      </c>
      <c r="I411" s="84">
        <f>IFERROR(__xludf.DUMMYFUNCTION("""COMPUTED_VALUE"""),46217.817612314815)</f>
        <v>46217.81761</v>
      </c>
      <c r="J411" s="76">
        <f t="shared" si="2"/>
        <v>0.6886376852</v>
      </c>
      <c r="L411" s="76">
        <f>IFERROR(__xludf.DUMMYFUNCTION("""COMPUTED_VALUE"""),5372.0)</f>
        <v>5372</v>
      </c>
      <c r="M411" s="232">
        <f>IFERROR(__xludf.DUMMYFUNCTION("""COMPUTED_VALUE"""),46218.61041666667)</f>
        <v>46218.61042</v>
      </c>
      <c r="N411" s="84">
        <f>IFERROR(__xludf.DUMMYFUNCTION("""COMPUTED_VALUE"""),46217.817664270835)</f>
        <v>46217.81766</v>
      </c>
      <c r="O411" s="76">
        <f t="shared" si="3"/>
        <v>0.7927523958</v>
      </c>
      <c r="Q411" s="76">
        <f>IFERROR(__xludf.DUMMYFUNCTION("""COMPUTED_VALUE"""),5367.0)</f>
        <v>5367</v>
      </c>
      <c r="R411" s="232">
        <f>IFERROR(__xludf.DUMMYFUNCTION("""COMPUTED_VALUE"""),46218.80972222222)</f>
        <v>46218.80972</v>
      </c>
      <c r="S411" s="84">
        <f>IFERROR(__xludf.DUMMYFUNCTION("""COMPUTED_VALUE"""),46217.61771332176)</f>
        <v>46217.61771</v>
      </c>
      <c r="T411" s="76">
        <f t="shared" si="4"/>
        <v>1.1920089</v>
      </c>
      <c r="V411" s="76">
        <f>IFERROR(__xludf.DUMMYFUNCTION("""COMPUTED_VALUE"""),5373.0)</f>
        <v>5373</v>
      </c>
      <c r="W411" s="232">
        <f>IFERROR(__xludf.DUMMYFUNCTION("""COMPUTED_VALUE"""),46220.81527777777)</f>
        <v>46220.81528</v>
      </c>
      <c r="X411" s="84">
        <f>IFERROR(__xludf.DUMMYFUNCTION("""COMPUTED_VALUE"""),46218.85145519676)</f>
        <v>46218.85146</v>
      </c>
      <c r="Y411" s="76">
        <f t="shared" si="5"/>
        <v>1.963822581</v>
      </c>
      <c r="AK411" s="232"/>
      <c r="AL411" s="233"/>
      <c r="AM411" s="173"/>
    </row>
    <row r="412">
      <c r="A412" s="76">
        <f>IFERROR(__xludf.DUMMYFUNCTION("""COMPUTED_VALUE"""),5373.0)</f>
        <v>5373</v>
      </c>
      <c r="B412" s="232">
        <f>IFERROR(__xludf.DUMMYFUNCTION("""COMPUTED_VALUE"""),46218.66253012731)</f>
        <v>46218.66253</v>
      </c>
      <c r="C412" s="84">
        <f>IFERROR(__xludf.DUMMYFUNCTION("""COMPUTED_VALUE"""),46218.503333078705)</f>
        <v>46218.50333</v>
      </c>
      <c r="D412" s="173">
        <f t="shared" si="1"/>
        <v>0.1591970486</v>
      </c>
      <c r="G412" s="76">
        <f>IFERROR(__xludf.DUMMYFUNCTION("""COMPUTED_VALUE"""),5373.0)</f>
        <v>5373</v>
      </c>
      <c r="H412" s="232">
        <f>IFERROR(__xludf.DUMMYFUNCTION("""COMPUTED_VALUE"""),46218.669474571754)</f>
        <v>46218.66947</v>
      </c>
      <c r="I412" s="84">
        <f>IFERROR(__xludf.DUMMYFUNCTION("""COMPUTED_VALUE"""),46218.50339539352)</f>
        <v>46218.5034</v>
      </c>
      <c r="J412" s="76">
        <f t="shared" si="2"/>
        <v>0.1660791782</v>
      </c>
      <c r="L412" s="76">
        <f>IFERROR(__xludf.DUMMYFUNCTION("""COMPUTED_VALUE"""),5373.0)</f>
        <v>5373</v>
      </c>
      <c r="M412" s="232">
        <f>IFERROR(__xludf.DUMMYFUNCTION("""COMPUTED_VALUE"""),46218.77364123842)</f>
        <v>46218.77364</v>
      </c>
      <c r="N412" s="84">
        <f>IFERROR(__xludf.DUMMYFUNCTION("""COMPUTED_VALUE"""),46218.503439259264)</f>
        <v>46218.50344</v>
      </c>
      <c r="O412" s="76">
        <f t="shared" si="3"/>
        <v>0.2702019792</v>
      </c>
      <c r="Q412" s="76">
        <f>IFERROR(__xludf.DUMMYFUNCTION("""COMPUTED_VALUE"""),5368.0)</f>
        <v>5368</v>
      </c>
      <c r="R412" s="232">
        <f>IFERROR(__xludf.DUMMYFUNCTION("""COMPUTED_VALUE"""),46218.81111111111)</f>
        <v>46218.81111</v>
      </c>
      <c r="S412" s="84">
        <f>IFERROR(__xludf.DUMMYFUNCTION("""COMPUTED_VALUE"""),46217.45434067129)</f>
        <v>46217.45434</v>
      </c>
      <c r="T412" s="76">
        <f t="shared" si="4"/>
        <v>1.35677044</v>
      </c>
      <c r="V412" s="76">
        <f>IFERROR(__xludf.DUMMYFUNCTION("""COMPUTED_VALUE"""),5374.0)</f>
        <v>5374</v>
      </c>
      <c r="W412" s="232">
        <f>IFERROR(__xludf.DUMMYFUNCTION("""COMPUTED_VALUE"""),46220.83263888889)</f>
        <v>46220.83264</v>
      </c>
      <c r="X412" s="84">
        <f>IFERROR(__xludf.DUMMYFUNCTION("""COMPUTED_VALUE"""),46218.801458738424)</f>
        <v>46218.80146</v>
      </c>
      <c r="Y412" s="76">
        <f t="shared" si="5"/>
        <v>2.03118015</v>
      </c>
      <c r="AK412" s="232"/>
      <c r="AL412" s="233"/>
      <c r="AM412" s="173"/>
    </row>
    <row r="413">
      <c r="A413" s="76">
        <f>IFERROR(__xludf.DUMMYFUNCTION("""COMPUTED_VALUE"""),5374.0)</f>
        <v>5374</v>
      </c>
      <c r="B413" s="232">
        <f>IFERROR(__xludf.DUMMYFUNCTION("""COMPUTED_VALUE"""),46218.68052743055)</f>
        <v>46218.68053</v>
      </c>
      <c r="C413" s="84">
        <f>IFERROR(__xludf.DUMMYFUNCTION("""COMPUTED_VALUE"""),46218.53204796296)</f>
        <v>46218.53205</v>
      </c>
      <c r="D413" s="173">
        <f t="shared" si="1"/>
        <v>0.1484794676</v>
      </c>
      <c r="G413" s="76">
        <f>IFERROR(__xludf.DUMMYFUNCTION("""COMPUTED_VALUE"""),5374.0)</f>
        <v>5374</v>
      </c>
      <c r="H413" s="232">
        <f>IFERROR(__xludf.DUMMYFUNCTION("""COMPUTED_VALUE"""),46218.687471875)</f>
        <v>46218.68747</v>
      </c>
      <c r="I413" s="84">
        <f>IFERROR(__xludf.DUMMYFUNCTION("""COMPUTED_VALUE"""),46218.532123680554)</f>
        <v>46218.53212</v>
      </c>
      <c r="J413" s="76">
        <f t="shared" si="2"/>
        <v>0.1553481944</v>
      </c>
      <c r="L413" s="76">
        <f>IFERROR(__xludf.DUMMYFUNCTION("""COMPUTED_VALUE"""),5374.0)</f>
        <v>5374</v>
      </c>
      <c r="M413" s="232">
        <f>IFERROR(__xludf.DUMMYFUNCTION("""COMPUTED_VALUE"""),46218.79163854166)</f>
        <v>46218.79164</v>
      </c>
      <c r="N413" s="84">
        <f>IFERROR(__xludf.DUMMYFUNCTION("""COMPUTED_VALUE"""),46218.53217356482)</f>
        <v>46218.53217</v>
      </c>
      <c r="O413" s="76">
        <f t="shared" si="3"/>
        <v>0.2594649768</v>
      </c>
      <c r="Q413" s="76">
        <f>IFERROR(__xludf.DUMMYFUNCTION("""COMPUTED_VALUE"""),5369.0)</f>
        <v>5369</v>
      </c>
      <c r="R413" s="232">
        <f>IFERROR(__xludf.DUMMYFUNCTION("""COMPUTED_VALUE"""),46218.81319444444)</f>
        <v>46218.81319</v>
      </c>
      <c r="S413" s="84">
        <f>IFERROR(__xludf.DUMMYFUNCTION("""COMPUTED_VALUE"""),46217.45434819444)</f>
        <v>46217.45435</v>
      </c>
      <c r="T413" s="76">
        <f t="shared" si="4"/>
        <v>1.35884625</v>
      </c>
      <c r="V413" s="76">
        <f>IFERROR(__xludf.DUMMYFUNCTION("""COMPUTED_VALUE"""),5375.0)</f>
        <v>5375</v>
      </c>
      <c r="W413" s="232">
        <f>IFERROR(__xludf.DUMMYFUNCTION("""COMPUTED_VALUE"""),46221.459722222215)</f>
        <v>46221.45972</v>
      </c>
      <c r="X413" s="84">
        <f>IFERROR(__xludf.DUMMYFUNCTION("""COMPUTED_VALUE"""),46218.82596893518)</f>
        <v>46218.82597</v>
      </c>
      <c r="Y413" s="76">
        <f t="shared" si="5"/>
        <v>2.633753287</v>
      </c>
      <c r="AK413" s="232"/>
      <c r="AL413" s="233"/>
      <c r="AM413" s="173"/>
    </row>
    <row r="414">
      <c r="A414" s="76">
        <f>IFERROR(__xludf.DUMMYFUNCTION("""COMPUTED_VALUE"""),5375.0)</f>
        <v>5375</v>
      </c>
      <c r="B414" s="232">
        <f>IFERROR(__xludf.DUMMYFUNCTION("""COMPUTED_VALUE"""),46218.74444362269)</f>
        <v>46218.74444</v>
      </c>
      <c r="C414" s="84">
        <f>IFERROR(__xludf.DUMMYFUNCTION("""COMPUTED_VALUE"""),46218.64049877315)</f>
        <v>46218.6405</v>
      </c>
      <c r="D414" s="173">
        <f t="shared" si="1"/>
        <v>0.1039448495</v>
      </c>
      <c r="G414" s="76">
        <f>IFERROR(__xludf.DUMMYFUNCTION("""COMPUTED_VALUE"""),5375.0)</f>
        <v>5375</v>
      </c>
      <c r="H414" s="232">
        <f>IFERROR(__xludf.DUMMYFUNCTION("""COMPUTED_VALUE"""),46218.75138806713)</f>
        <v>46218.75139</v>
      </c>
      <c r="I414" s="84">
        <f>IFERROR(__xludf.DUMMYFUNCTION("""COMPUTED_VALUE"""),46218.64058409722)</f>
        <v>46218.64058</v>
      </c>
      <c r="J414" s="76">
        <f t="shared" si="2"/>
        <v>0.1108039699</v>
      </c>
      <c r="L414" s="76">
        <f>IFERROR(__xludf.DUMMYFUNCTION("""COMPUTED_VALUE"""),5375.0)</f>
        <v>5375</v>
      </c>
      <c r="M414" s="232">
        <f>IFERROR(__xludf.DUMMYFUNCTION("""COMPUTED_VALUE"""),46220.41805555555)</f>
        <v>46220.41806</v>
      </c>
      <c r="N414" s="84">
        <f>IFERROR(__xludf.DUMMYFUNCTION("""COMPUTED_VALUE"""),46218.64064394676)</f>
        <v>46218.64064</v>
      </c>
      <c r="O414" s="76">
        <f t="shared" si="3"/>
        <v>1.777411609</v>
      </c>
      <c r="Q414" s="76">
        <f>IFERROR(__xludf.DUMMYFUNCTION("""COMPUTED_VALUE"""),5370.0)</f>
        <v>5370</v>
      </c>
      <c r="R414" s="232">
        <f>IFERROR(__xludf.DUMMYFUNCTION("""COMPUTED_VALUE"""),46218.81458333333)</f>
        <v>46218.81458</v>
      </c>
      <c r="S414" s="84">
        <f>IFERROR(__xludf.DUMMYFUNCTION("""COMPUTED_VALUE"""),46217.45435712963)</f>
        <v>46217.45436</v>
      </c>
      <c r="T414" s="76">
        <f t="shared" si="4"/>
        <v>1.360226204</v>
      </c>
      <c r="V414" s="76">
        <f>IFERROR(__xludf.DUMMYFUNCTION("""COMPUTED_VALUE"""),5376.0)</f>
        <v>5376</v>
      </c>
      <c r="W414" s="232">
        <f>IFERROR(__xludf.DUMMYFUNCTION("""COMPUTED_VALUE"""),46221.47708333333)</f>
        <v>46221.47708</v>
      </c>
      <c r="X414" s="84">
        <f>IFERROR(__xludf.DUMMYFUNCTION("""COMPUTED_VALUE"""),46220.66693008102)</f>
        <v>46220.66693</v>
      </c>
      <c r="Y414" s="76">
        <f t="shared" si="5"/>
        <v>0.8101532523</v>
      </c>
      <c r="AK414" s="232"/>
      <c r="AL414" s="233"/>
      <c r="AM414" s="173"/>
    </row>
    <row r="415">
      <c r="A415" s="76">
        <f>IFERROR(__xludf.DUMMYFUNCTION("""COMPUTED_VALUE"""),5376.0)</f>
        <v>5376</v>
      </c>
      <c r="B415" s="232">
        <f>IFERROR(__xludf.DUMMYFUNCTION("""COMPUTED_VALUE"""),46218.761932546295)</f>
        <v>46218.76193</v>
      </c>
      <c r="C415" s="84">
        <f>IFERROR(__xludf.DUMMYFUNCTION("""COMPUTED_VALUE"""),46218.640787094904)</f>
        <v>46218.64079</v>
      </c>
      <c r="D415" s="173">
        <f t="shared" si="1"/>
        <v>0.1211454514</v>
      </c>
      <c r="G415" s="76">
        <f>IFERROR(__xludf.DUMMYFUNCTION("""COMPUTED_VALUE"""),5376.0)</f>
        <v>5376</v>
      </c>
      <c r="H415" s="232">
        <f>IFERROR(__xludf.DUMMYFUNCTION("""COMPUTED_VALUE"""),46218.76887699074)</f>
        <v>46218.76888</v>
      </c>
      <c r="I415" s="84">
        <f>IFERROR(__xludf.DUMMYFUNCTION("""COMPUTED_VALUE"""),46218.64085575231)</f>
        <v>46218.64086</v>
      </c>
      <c r="J415" s="76">
        <f t="shared" si="2"/>
        <v>0.1280212384</v>
      </c>
      <c r="L415" s="76">
        <f>IFERROR(__xludf.DUMMYFUNCTION("""COMPUTED_VALUE"""),5376.0)</f>
        <v>5376</v>
      </c>
      <c r="M415" s="232">
        <f>IFERROR(__xludf.DUMMYFUNCTION("""COMPUTED_VALUE"""),46220.43541666667)</f>
        <v>46220.43542</v>
      </c>
      <c r="N415" s="84">
        <f>IFERROR(__xludf.DUMMYFUNCTION("""COMPUTED_VALUE"""),46218.64088111111)</f>
        <v>46218.64088</v>
      </c>
      <c r="O415" s="76">
        <f t="shared" si="3"/>
        <v>1.794535556</v>
      </c>
      <c r="Q415" s="76">
        <f>IFERROR(__xludf.DUMMYFUNCTION("""COMPUTED_VALUE"""),5371.0)</f>
        <v>5371</v>
      </c>
      <c r="R415" s="232">
        <f>IFERROR(__xludf.DUMMYFUNCTION("""COMPUTED_VALUE"""),46220.44097222222)</f>
        <v>46220.44097</v>
      </c>
      <c r="S415" s="84">
        <f>IFERROR(__xludf.DUMMYFUNCTION("""COMPUTED_VALUE"""),46218.47945274306)</f>
        <v>46218.47945</v>
      </c>
      <c r="T415" s="76">
        <f t="shared" si="4"/>
        <v>1.961519479</v>
      </c>
      <c r="V415" s="76">
        <f>IFERROR(__xludf.DUMMYFUNCTION("""COMPUTED_VALUE"""),5377.0)</f>
        <v>5377</v>
      </c>
      <c r="W415" s="232">
        <f>IFERROR(__xludf.DUMMYFUNCTION("""COMPUTED_VALUE"""),46221.57222222222)</f>
        <v>46221.57222</v>
      </c>
      <c r="X415" s="84">
        <f>IFERROR(__xludf.DUMMYFUNCTION("""COMPUTED_VALUE"""),46220.66694894676)</f>
        <v>46220.66695</v>
      </c>
      <c r="Y415" s="76">
        <f t="shared" si="5"/>
        <v>0.9052732755</v>
      </c>
      <c r="AK415" s="232"/>
      <c r="AL415" s="233"/>
      <c r="AM415" s="173"/>
    </row>
    <row r="416">
      <c r="A416" s="76">
        <f>IFERROR(__xludf.DUMMYFUNCTION("""COMPUTED_VALUE"""),5377.0)</f>
        <v>5377</v>
      </c>
      <c r="B416" s="232">
        <f>IFERROR(__xludf.DUMMYFUNCTION("""COMPUTED_VALUE"""),46218.81539254629)</f>
        <v>46218.81539</v>
      </c>
      <c r="C416" s="84">
        <f>IFERROR(__xludf.DUMMYFUNCTION("""COMPUTED_VALUE"""),46218.68495865741)</f>
        <v>46218.68496</v>
      </c>
      <c r="D416" s="173">
        <f t="shared" si="1"/>
        <v>0.1304338889</v>
      </c>
      <c r="G416" s="76">
        <f>IFERROR(__xludf.DUMMYFUNCTION("""COMPUTED_VALUE"""),5377.0)</f>
        <v>5377</v>
      </c>
      <c r="H416" s="232">
        <f>IFERROR(__xludf.DUMMYFUNCTION("""COMPUTED_VALUE"""),46218.822336990735)</f>
        <v>46218.82234</v>
      </c>
      <c r="I416" s="84">
        <f>IFERROR(__xludf.DUMMYFUNCTION("""COMPUTED_VALUE"""),46218.6850294676)</f>
        <v>46218.68503</v>
      </c>
      <c r="J416" s="76">
        <f t="shared" si="2"/>
        <v>0.1373075231</v>
      </c>
      <c r="L416" s="76">
        <f>IFERROR(__xludf.DUMMYFUNCTION("""COMPUTED_VALUE"""),5377.0)</f>
        <v>5377</v>
      </c>
      <c r="M416" s="232">
        <f>IFERROR(__xludf.DUMMYFUNCTION("""COMPUTED_VALUE"""),46220.53055555555)</f>
        <v>46220.53056</v>
      </c>
      <c r="N416" s="84">
        <f>IFERROR(__xludf.DUMMYFUNCTION("""COMPUTED_VALUE"""),46218.68508445602)</f>
        <v>46218.68508</v>
      </c>
      <c r="O416" s="76">
        <f t="shared" si="3"/>
        <v>1.8454711</v>
      </c>
      <c r="Q416" s="76">
        <f>IFERROR(__xludf.DUMMYFUNCTION("""COMPUTED_VALUE"""),5372.0)</f>
        <v>5372</v>
      </c>
      <c r="R416" s="232">
        <f>IFERROR(__xludf.DUMMYFUNCTION("""COMPUTED_VALUE"""),46220.61041666667)</f>
        <v>46220.61042</v>
      </c>
      <c r="S416" s="84">
        <f>IFERROR(__xludf.DUMMYFUNCTION("""COMPUTED_VALUE"""),46218.801252997684)</f>
        <v>46218.80125</v>
      </c>
      <c r="T416" s="76">
        <f t="shared" si="4"/>
        <v>1.809163669</v>
      </c>
      <c r="V416" s="76">
        <f>IFERROR(__xludf.DUMMYFUNCTION("""COMPUTED_VALUE"""),5378.0)</f>
        <v>5378</v>
      </c>
      <c r="W416" s="232">
        <f>IFERROR(__xludf.DUMMYFUNCTION("""COMPUTED_VALUE"""),46221.575)</f>
        <v>46221.575</v>
      </c>
      <c r="X416" s="84">
        <f>IFERROR(__xludf.DUMMYFUNCTION("""COMPUTED_VALUE"""),46218.82674709491)</f>
        <v>46218.82675</v>
      </c>
      <c r="Y416" s="76">
        <f t="shared" si="5"/>
        <v>2.748252905</v>
      </c>
      <c r="AK416" s="232"/>
      <c r="AL416" s="233"/>
      <c r="AM416" s="173"/>
    </row>
    <row r="417">
      <c r="A417" s="76">
        <f>IFERROR(__xludf.DUMMYFUNCTION("""COMPUTED_VALUE"""),5378.0)</f>
        <v>5378</v>
      </c>
      <c r="B417" s="232">
        <f>IFERROR(__xludf.DUMMYFUNCTION("""COMPUTED_VALUE"""),46220.42222222222)</f>
        <v>46220.42222</v>
      </c>
      <c r="C417" s="84">
        <f>IFERROR(__xludf.DUMMYFUNCTION("""COMPUTED_VALUE"""),46218.68513116898)</f>
        <v>46218.68513</v>
      </c>
      <c r="D417" s="173">
        <f t="shared" si="1"/>
        <v>1.737091053</v>
      </c>
      <c r="G417" s="76">
        <f>IFERROR(__xludf.DUMMYFUNCTION("""COMPUTED_VALUE"""),5378.0)</f>
        <v>5378</v>
      </c>
      <c r="H417" s="232">
        <f>IFERROR(__xludf.DUMMYFUNCTION("""COMPUTED_VALUE"""),46220.42916666667)</f>
        <v>46220.42917</v>
      </c>
      <c r="I417" s="84">
        <f>IFERROR(__xludf.DUMMYFUNCTION("""COMPUTED_VALUE"""),46218.68524947917)</f>
        <v>46218.68525</v>
      </c>
      <c r="J417" s="76">
        <f t="shared" si="2"/>
        <v>1.743917188</v>
      </c>
      <c r="L417" s="76">
        <f>IFERROR(__xludf.DUMMYFUNCTION("""COMPUTED_VALUE"""),5378.0)</f>
        <v>5378</v>
      </c>
      <c r="M417" s="232">
        <f>IFERROR(__xludf.DUMMYFUNCTION("""COMPUTED_VALUE"""),46220.53333333333)</f>
        <v>46220.53333</v>
      </c>
      <c r="N417" s="84">
        <f>IFERROR(__xludf.DUMMYFUNCTION("""COMPUTED_VALUE"""),46218.68538026621)</f>
        <v>46218.68538</v>
      </c>
      <c r="O417" s="76">
        <f t="shared" si="3"/>
        <v>1.847953067</v>
      </c>
      <c r="Q417" s="76">
        <f>IFERROR(__xludf.DUMMYFUNCTION("""COMPUTED_VALUE"""),5373.0)</f>
        <v>5373</v>
      </c>
      <c r="R417" s="232">
        <f>IFERROR(__xludf.DUMMYFUNCTION("""COMPUTED_VALUE"""),46220.77361111111)</f>
        <v>46220.77361</v>
      </c>
      <c r="S417" s="84">
        <f>IFERROR(__xludf.DUMMYFUNCTION("""COMPUTED_VALUE"""),46218.851391331016)</f>
        <v>46218.85139</v>
      </c>
      <c r="T417" s="76">
        <f t="shared" si="4"/>
        <v>1.92221978</v>
      </c>
      <c r="V417" s="76">
        <f>IFERROR(__xludf.DUMMYFUNCTION("""COMPUTED_VALUE"""),5379.0)</f>
        <v>5379</v>
      </c>
      <c r="W417" s="232">
        <f>IFERROR(__xludf.DUMMYFUNCTION("""COMPUTED_VALUE"""),46220.80069444444)</f>
        <v>46220.80069</v>
      </c>
      <c r="X417" s="84">
        <f>IFERROR(__xludf.DUMMYFUNCTION("""COMPUTED_VALUE"""),46219.590793055555)</f>
        <v>46219.59079</v>
      </c>
      <c r="Y417" s="76">
        <f t="shared" si="5"/>
        <v>1.209901389</v>
      </c>
      <c r="AK417" s="232"/>
      <c r="AL417" s="233"/>
      <c r="AM417" s="173"/>
    </row>
    <row r="418">
      <c r="A418" s="76">
        <f>IFERROR(__xludf.DUMMYFUNCTION("""COMPUTED_VALUE"""),5379.0)</f>
        <v>5379</v>
      </c>
      <c r="B418" s="232">
        <f>IFERROR(__xludf.DUMMYFUNCTION("""COMPUTED_VALUE"""),46219.64836383102)</f>
        <v>46219.64836</v>
      </c>
      <c r="C418" s="84">
        <f>IFERROR(__xludf.DUMMYFUNCTION("""COMPUTED_VALUE"""),46219.48182162037)</f>
        <v>46219.48182</v>
      </c>
      <c r="D418" s="173">
        <f t="shared" si="1"/>
        <v>0.1665422106</v>
      </c>
      <c r="G418" s="76">
        <f>IFERROR(__xludf.DUMMYFUNCTION("""COMPUTED_VALUE"""),5379.0)</f>
        <v>5379</v>
      </c>
      <c r="H418" s="232">
        <f>IFERROR(__xludf.DUMMYFUNCTION("""COMPUTED_VALUE"""),46219.65530827546)</f>
        <v>46219.65531</v>
      </c>
      <c r="I418" s="84">
        <f>IFERROR(__xludf.DUMMYFUNCTION("""COMPUTED_VALUE"""),46219.48187643518)</f>
        <v>46219.48188</v>
      </c>
      <c r="J418" s="76">
        <f t="shared" si="2"/>
        <v>0.1734318403</v>
      </c>
      <c r="L418" s="76">
        <f>IFERROR(__xludf.DUMMYFUNCTION("""COMPUTED_VALUE"""),5379.0)</f>
        <v>5379</v>
      </c>
      <c r="M418" s="232">
        <f>IFERROR(__xludf.DUMMYFUNCTION("""COMPUTED_VALUE"""),46219.759474942126)</f>
        <v>46219.75947</v>
      </c>
      <c r="N418" s="84">
        <f>IFERROR(__xludf.DUMMYFUNCTION("""COMPUTED_VALUE"""),46219.55883409722)</f>
        <v>46219.55883</v>
      </c>
      <c r="O418" s="76">
        <f t="shared" si="3"/>
        <v>0.2006408449</v>
      </c>
      <c r="Q418" s="76">
        <f>IFERROR(__xludf.DUMMYFUNCTION("""COMPUTED_VALUE"""),5374.0)</f>
        <v>5374</v>
      </c>
      <c r="R418" s="232">
        <f>IFERROR(__xludf.DUMMYFUNCTION("""COMPUTED_VALUE"""),46220.790972222225)</f>
        <v>46220.79097</v>
      </c>
      <c r="S418" s="84">
        <f>IFERROR(__xludf.DUMMYFUNCTION("""COMPUTED_VALUE"""),46218.80143759259)</f>
        <v>46218.80144</v>
      </c>
      <c r="T418" s="76">
        <f t="shared" si="4"/>
        <v>1.98953463</v>
      </c>
      <c r="V418" s="76">
        <f>IFERROR(__xludf.DUMMYFUNCTION("""COMPUTED_VALUE"""),5380.0)</f>
        <v>5380</v>
      </c>
      <c r="W418" s="232">
        <f>IFERROR(__xludf.DUMMYFUNCTION("""COMPUTED_VALUE"""),46221.45763888889)</f>
        <v>46221.45764</v>
      </c>
      <c r="X418" s="84">
        <f>IFERROR(__xludf.DUMMYFUNCTION("""COMPUTED_VALUE"""),46219.59082226852)</f>
        <v>46219.59082</v>
      </c>
      <c r="Y418" s="76">
        <f t="shared" si="5"/>
        <v>1.86681662</v>
      </c>
      <c r="AK418" s="232"/>
      <c r="AL418" s="233"/>
      <c r="AM418" s="173"/>
    </row>
    <row r="419">
      <c r="A419" s="76">
        <f>IFERROR(__xludf.DUMMYFUNCTION("""COMPUTED_VALUE"""),5380.0)</f>
        <v>5380</v>
      </c>
      <c r="B419" s="232">
        <f>IFERROR(__xludf.DUMMYFUNCTION("""COMPUTED_VALUE"""),46219.7215669213)</f>
        <v>46219.72157</v>
      </c>
      <c r="C419" s="84">
        <f>IFERROR(__xludf.DUMMYFUNCTION("""COMPUTED_VALUE"""),46219.55864700231)</f>
        <v>46219.55865</v>
      </c>
      <c r="D419" s="173">
        <f t="shared" si="1"/>
        <v>0.162919919</v>
      </c>
      <c r="G419" s="76">
        <f>IFERROR(__xludf.DUMMYFUNCTION("""COMPUTED_VALUE"""),5380.0)</f>
        <v>5380</v>
      </c>
      <c r="H419" s="232">
        <f>IFERROR(__xludf.DUMMYFUNCTION("""COMPUTED_VALUE"""),46219.72851136574)</f>
        <v>46219.72851</v>
      </c>
      <c r="I419" s="84">
        <f>IFERROR(__xludf.DUMMYFUNCTION("""COMPUTED_VALUE"""),46219.55874234954)</f>
        <v>46219.55874</v>
      </c>
      <c r="J419" s="76">
        <f t="shared" si="2"/>
        <v>0.1697690162</v>
      </c>
      <c r="L419" s="76">
        <f>IFERROR(__xludf.DUMMYFUNCTION("""COMPUTED_VALUE"""),5380.0)</f>
        <v>5380</v>
      </c>
      <c r="M419" s="232">
        <f>IFERROR(__xludf.DUMMYFUNCTION("""COMPUTED_VALUE"""),46219.832678032406)</f>
        <v>46219.83268</v>
      </c>
      <c r="N419" s="84">
        <f>IFERROR(__xludf.DUMMYFUNCTION("""COMPUTED_VALUE"""),46219.558844479165)</f>
        <v>46219.55884</v>
      </c>
      <c r="O419" s="76">
        <f t="shared" si="3"/>
        <v>0.2738335532</v>
      </c>
      <c r="Q419" s="76">
        <f>IFERROR(__xludf.DUMMYFUNCTION("""COMPUTED_VALUE"""),5375.0)</f>
        <v>5375</v>
      </c>
      <c r="R419" s="232">
        <f>IFERROR(__xludf.DUMMYFUNCTION("""COMPUTED_VALUE"""),46221.41805555555)</f>
        <v>46221.41806</v>
      </c>
      <c r="S419" s="84">
        <f>IFERROR(__xludf.DUMMYFUNCTION("""COMPUTED_VALUE"""),46218.825930520834)</f>
        <v>46218.82593</v>
      </c>
      <c r="T419" s="76">
        <f t="shared" si="4"/>
        <v>2.592125035</v>
      </c>
      <c r="V419" s="76">
        <f>IFERROR(__xludf.DUMMYFUNCTION("""COMPUTED_VALUE"""),5381.0)</f>
        <v>5381</v>
      </c>
      <c r="W419" s="232">
        <f>IFERROR(__xludf.DUMMYFUNCTION("""COMPUTED_VALUE"""),46221.521527777775)</f>
        <v>46221.52153</v>
      </c>
      <c r="X419" s="84">
        <f>IFERROR(__xludf.DUMMYFUNCTION("""COMPUTED_VALUE"""),46220.60781403935)</f>
        <v>46220.60781</v>
      </c>
      <c r="Y419" s="76">
        <f t="shared" si="5"/>
        <v>0.9137137384</v>
      </c>
      <c r="AK419" s="232"/>
      <c r="AL419" s="233"/>
      <c r="AM419" s="173"/>
    </row>
    <row r="420">
      <c r="A420" s="76">
        <f>IFERROR(__xludf.DUMMYFUNCTION("""COMPUTED_VALUE"""),5381.0)</f>
        <v>5381</v>
      </c>
      <c r="B420" s="232">
        <f>IFERROR(__xludf.DUMMYFUNCTION("""COMPUTED_VALUE"""),46219.764761562496)</f>
        <v>46219.76476</v>
      </c>
      <c r="C420" s="84">
        <f>IFERROR(__xludf.DUMMYFUNCTION("""COMPUTED_VALUE"""),46219.71251865741)</f>
        <v>46219.71252</v>
      </c>
      <c r="D420" s="173">
        <f t="shared" si="1"/>
        <v>0.05224290508</v>
      </c>
      <c r="G420" s="76">
        <f>IFERROR(__xludf.DUMMYFUNCTION("""COMPUTED_VALUE"""),5381.0)</f>
        <v>5381</v>
      </c>
      <c r="H420" s="232">
        <f>IFERROR(__xludf.DUMMYFUNCTION("""COMPUTED_VALUE"""),46219.77170600694)</f>
        <v>46219.77171</v>
      </c>
      <c r="I420" s="84">
        <f>IFERROR(__xludf.DUMMYFUNCTION("""COMPUTED_VALUE"""),46219.713258020834)</f>
        <v>46219.71326</v>
      </c>
      <c r="J420" s="76">
        <f t="shared" si="2"/>
        <v>0.05844798611</v>
      </c>
      <c r="L420" s="76">
        <f>IFERROR(__xludf.DUMMYFUNCTION("""COMPUTED_VALUE"""),5381.0)</f>
        <v>5381</v>
      </c>
      <c r="M420" s="232">
        <f>IFERROR(__xludf.DUMMYFUNCTION("""COMPUTED_VALUE"""),46220.47986111111)</f>
        <v>46220.47986</v>
      </c>
      <c r="N420" s="84">
        <f>IFERROR(__xludf.DUMMYFUNCTION("""COMPUTED_VALUE"""),46219.71348872685)</f>
        <v>46219.71349</v>
      </c>
      <c r="O420" s="76">
        <f t="shared" si="3"/>
        <v>0.7663723843</v>
      </c>
      <c r="Q420" s="76">
        <f>IFERROR(__xludf.DUMMYFUNCTION("""COMPUTED_VALUE"""),5376.0)</f>
        <v>5376</v>
      </c>
      <c r="R420" s="232">
        <f>IFERROR(__xludf.DUMMYFUNCTION("""COMPUTED_VALUE"""),46221.43541666667)</f>
        <v>46221.43542</v>
      </c>
      <c r="S420" s="84">
        <f>IFERROR(__xludf.DUMMYFUNCTION("""COMPUTED_VALUE"""),46218.6410397338)</f>
        <v>46218.64104</v>
      </c>
      <c r="T420" s="76">
        <f t="shared" si="4"/>
        <v>2.794376933</v>
      </c>
      <c r="V420" s="76">
        <f>IFERROR(__xludf.DUMMYFUNCTION("""COMPUTED_VALUE"""),5382.0)</f>
        <v>5382</v>
      </c>
      <c r="W420" s="232">
        <f>IFERROR(__xludf.DUMMYFUNCTION("""COMPUTED_VALUE"""),46221.532638888886)</f>
        <v>46221.53264</v>
      </c>
      <c r="X420" s="84">
        <f>IFERROR(__xludf.DUMMYFUNCTION("""COMPUTED_VALUE"""),46220.60786354166)</f>
        <v>46220.60786</v>
      </c>
      <c r="Y420" s="76">
        <f t="shared" si="5"/>
        <v>0.9247753472</v>
      </c>
      <c r="AK420" s="232"/>
      <c r="AL420" s="233"/>
      <c r="AM420" s="173"/>
    </row>
    <row r="421">
      <c r="A421" s="76">
        <f>IFERROR(__xludf.DUMMYFUNCTION("""COMPUTED_VALUE"""),5382.0)</f>
        <v>5382</v>
      </c>
      <c r="B421" s="232">
        <f>IFERROR(__xludf.DUMMYFUNCTION("""COMPUTED_VALUE"""),46219.77591693287)</f>
        <v>46219.77592</v>
      </c>
      <c r="C421" s="84">
        <f>IFERROR(__xludf.DUMMYFUNCTION("""COMPUTED_VALUE"""),46219.71258471065)</f>
        <v>46219.71258</v>
      </c>
      <c r="D421" s="173">
        <f t="shared" si="1"/>
        <v>0.06333222222</v>
      </c>
      <c r="G421" s="76">
        <f>IFERROR(__xludf.DUMMYFUNCTION("""COMPUTED_VALUE"""),5382.0)</f>
        <v>5382</v>
      </c>
      <c r="H421" s="232">
        <f>IFERROR(__xludf.DUMMYFUNCTION("""COMPUTED_VALUE"""),46219.782861377316)</f>
        <v>46219.78286</v>
      </c>
      <c r="I421" s="84">
        <f>IFERROR(__xludf.DUMMYFUNCTION("""COMPUTED_VALUE"""),46219.71329680555)</f>
        <v>46219.7133</v>
      </c>
      <c r="J421" s="76">
        <f t="shared" si="2"/>
        <v>0.06956457176</v>
      </c>
      <c r="L421" s="76">
        <f>IFERROR(__xludf.DUMMYFUNCTION("""COMPUTED_VALUE"""),5382.0)</f>
        <v>5382</v>
      </c>
      <c r="M421" s="232">
        <f>IFERROR(__xludf.DUMMYFUNCTION("""COMPUTED_VALUE"""),46220.49097222222)</f>
        <v>46220.49097</v>
      </c>
      <c r="N421" s="84">
        <f>IFERROR(__xludf.DUMMYFUNCTION("""COMPUTED_VALUE"""),46219.713496909724)</f>
        <v>46219.7135</v>
      </c>
      <c r="O421" s="76">
        <f t="shared" si="3"/>
        <v>0.7774753125</v>
      </c>
      <c r="Q421" s="76">
        <f>IFERROR(__xludf.DUMMYFUNCTION("""COMPUTED_VALUE"""),5377.0)</f>
        <v>5377</v>
      </c>
      <c r="R421" s="232">
        <f>IFERROR(__xludf.DUMMYFUNCTION("""COMPUTED_VALUE"""),46221.53055555555)</f>
        <v>46221.53056</v>
      </c>
      <c r="S421" s="84">
        <f>IFERROR(__xludf.DUMMYFUNCTION("""COMPUTED_VALUE"""),46220.66687966435)</f>
        <v>46220.66688</v>
      </c>
      <c r="T421" s="76">
        <f t="shared" si="4"/>
        <v>0.8636758912</v>
      </c>
      <c r="V421" s="76">
        <f>IFERROR(__xludf.DUMMYFUNCTION("""COMPUTED_VALUE"""),5383.0)</f>
        <v>5383</v>
      </c>
      <c r="W421" s="232">
        <f>IFERROR(__xludf.DUMMYFUNCTION("""COMPUTED_VALUE"""),46221.53333333333)</f>
        <v>46221.53333</v>
      </c>
      <c r="X421" s="84">
        <f>IFERROR(__xludf.DUMMYFUNCTION("""COMPUTED_VALUE"""),46220.60795041667)</f>
        <v>46220.60795</v>
      </c>
      <c r="Y421" s="76">
        <f t="shared" si="5"/>
        <v>0.9253829167</v>
      </c>
      <c r="AK421" s="232"/>
      <c r="AL421" s="233"/>
      <c r="AM421" s="173"/>
    </row>
    <row r="422">
      <c r="A422" s="76">
        <f>IFERROR(__xludf.DUMMYFUNCTION("""COMPUTED_VALUE"""),5383.0)</f>
        <v>5383</v>
      </c>
      <c r="B422" s="232">
        <f>IFERROR(__xludf.DUMMYFUNCTION("""COMPUTED_VALUE"""),46219.77700555555)</f>
        <v>46219.77701</v>
      </c>
      <c r="C422" s="84">
        <f>IFERROR(__xludf.DUMMYFUNCTION("""COMPUTED_VALUE"""),46219.712635613425)</f>
        <v>46219.71264</v>
      </c>
      <c r="D422" s="173">
        <f t="shared" si="1"/>
        <v>0.06436994213</v>
      </c>
      <c r="G422" s="76">
        <f>IFERROR(__xludf.DUMMYFUNCTION("""COMPUTED_VALUE"""),5383.0)</f>
        <v>5383</v>
      </c>
      <c r="H422" s="232">
        <f>IFERROR(__xludf.DUMMYFUNCTION("""COMPUTED_VALUE"""),46219.78395)</f>
        <v>46219.78395</v>
      </c>
      <c r="I422" s="84">
        <f>IFERROR(__xludf.DUMMYFUNCTION("""COMPUTED_VALUE"""),46219.71331840278)</f>
        <v>46219.71332</v>
      </c>
      <c r="J422" s="76">
        <f t="shared" si="2"/>
        <v>0.07063159722</v>
      </c>
      <c r="L422" s="76">
        <f>IFERROR(__xludf.DUMMYFUNCTION("""COMPUTED_VALUE"""),5383.0)</f>
        <v>5383</v>
      </c>
      <c r="M422" s="232">
        <f>IFERROR(__xludf.DUMMYFUNCTION("""COMPUTED_VALUE"""),46220.49166666667)</f>
        <v>46220.49167</v>
      </c>
      <c r="N422" s="84">
        <f>IFERROR(__xludf.DUMMYFUNCTION("""COMPUTED_VALUE"""),46219.71352263889)</f>
        <v>46219.71352</v>
      </c>
      <c r="O422" s="76">
        <f t="shared" si="3"/>
        <v>0.7781440278</v>
      </c>
      <c r="Q422" s="76">
        <f>IFERROR(__xludf.DUMMYFUNCTION("""COMPUTED_VALUE"""),5378.0)</f>
        <v>5378</v>
      </c>
      <c r="R422" s="232">
        <f>IFERROR(__xludf.DUMMYFUNCTION("""COMPUTED_VALUE"""),46221.53333333333)</f>
        <v>46221.53333</v>
      </c>
      <c r="S422" s="84">
        <f>IFERROR(__xludf.DUMMYFUNCTION("""COMPUTED_VALUE"""),46218.82672131945)</f>
        <v>46218.82672</v>
      </c>
      <c r="T422" s="76">
        <f t="shared" si="4"/>
        <v>2.706612014</v>
      </c>
      <c r="V422" s="76">
        <f>IFERROR(__xludf.DUMMYFUNCTION("""COMPUTED_VALUE"""),5384.0)</f>
        <v>5384</v>
      </c>
      <c r="W422" s="232">
        <f>IFERROR(__xludf.DUMMYFUNCTION("""COMPUTED_VALUE"""),46221.57152777778)</f>
        <v>46221.57153</v>
      </c>
      <c r="X422" s="84">
        <f>IFERROR(__xludf.DUMMYFUNCTION("""COMPUTED_VALUE"""),46220.60808655093)</f>
        <v>46220.60809</v>
      </c>
      <c r="Y422" s="76">
        <f t="shared" si="5"/>
        <v>0.9634412268</v>
      </c>
      <c r="AK422" s="232"/>
      <c r="AL422" s="233"/>
      <c r="AM422" s="173"/>
    </row>
    <row r="423">
      <c r="A423" s="76">
        <f>IFERROR(__xludf.DUMMYFUNCTION("""COMPUTED_VALUE"""),5384.0)</f>
        <v>5384</v>
      </c>
      <c r="B423" s="232">
        <f>IFERROR(__xludf.DUMMYFUNCTION("""COMPUTED_VALUE"""),46220.41875)</f>
        <v>46220.41875</v>
      </c>
      <c r="C423" s="84">
        <f>IFERROR(__xludf.DUMMYFUNCTION("""COMPUTED_VALUE"""),46219.71272409722)</f>
        <v>46219.71272</v>
      </c>
      <c r="D423" s="173">
        <f t="shared" si="1"/>
        <v>0.7060259028</v>
      </c>
      <c r="G423" s="76">
        <f>IFERROR(__xludf.DUMMYFUNCTION("""COMPUTED_VALUE"""),5384.0)</f>
        <v>5384</v>
      </c>
      <c r="H423" s="232">
        <f>IFERROR(__xludf.DUMMYFUNCTION("""COMPUTED_VALUE"""),46220.42569444444)</f>
        <v>46220.42569</v>
      </c>
      <c r="I423" s="84">
        <f>IFERROR(__xludf.DUMMYFUNCTION("""COMPUTED_VALUE"""),46219.71333724537)</f>
        <v>46219.71334</v>
      </c>
      <c r="J423" s="76">
        <f t="shared" si="2"/>
        <v>0.7123571991</v>
      </c>
      <c r="L423" s="76">
        <f>IFERROR(__xludf.DUMMYFUNCTION("""COMPUTED_VALUE"""),5384.0)</f>
        <v>5384</v>
      </c>
      <c r="M423" s="232">
        <f>IFERROR(__xludf.DUMMYFUNCTION("""COMPUTED_VALUE"""),46220.52986111111)</f>
        <v>46220.52986</v>
      </c>
      <c r="N423" s="84">
        <f>IFERROR(__xludf.DUMMYFUNCTION("""COMPUTED_VALUE"""),46219.71353915509)</f>
        <v>46219.71354</v>
      </c>
      <c r="O423" s="76">
        <f t="shared" si="3"/>
        <v>0.816321956</v>
      </c>
      <c r="Q423" s="76">
        <f>IFERROR(__xludf.DUMMYFUNCTION("""COMPUTED_VALUE"""),5379.0)</f>
        <v>5379</v>
      </c>
      <c r="R423" s="232">
        <f>IFERROR(__xludf.DUMMYFUNCTION("""COMPUTED_VALUE"""),46220.75902777778)</f>
        <v>46220.75903</v>
      </c>
      <c r="S423" s="84">
        <f>IFERROR(__xludf.DUMMYFUNCTION("""COMPUTED_VALUE"""),46219.55893484954)</f>
        <v>46219.55893</v>
      </c>
      <c r="T423" s="76">
        <f t="shared" si="4"/>
        <v>1.200092928</v>
      </c>
      <c r="V423" s="76">
        <f>IFERROR(__xludf.DUMMYFUNCTION("""COMPUTED_VALUE"""),5385.0)</f>
        <v>5385</v>
      </c>
      <c r="W423" s="232">
        <f>IFERROR(__xludf.DUMMYFUNCTION("""COMPUTED_VALUE"""),46221.58819444444)</f>
        <v>46221.58819</v>
      </c>
      <c r="X423" s="84">
        <f>IFERROR(__xludf.DUMMYFUNCTION("""COMPUTED_VALUE"""),46221.43484315972)</f>
        <v>46221.43484</v>
      </c>
      <c r="Y423" s="76">
        <f t="shared" si="5"/>
        <v>0.1533512847</v>
      </c>
      <c r="AK423" s="232"/>
      <c r="AL423" s="233"/>
      <c r="AM423" s="173"/>
    </row>
    <row r="424">
      <c r="A424" s="76">
        <f>IFERROR(__xludf.DUMMYFUNCTION("""COMPUTED_VALUE"""),5385.0)</f>
        <v>5385</v>
      </c>
      <c r="B424" s="232">
        <f>IFERROR(__xludf.DUMMYFUNCTION("""COMPUTED_VALUE"""),46220.43541666667)</f>
        <v>46220.43542</v>
      </c>
      <c r="C424" s="84">
        <f>IFERROR(__xludf.DUMMYFUNCTION("""COMPUTED_VALUE"""),46219.71306181713)</f>
        <v>46219.71306</v>
      </c>
      <c r="D424" s="173">
        <f t="shared" si="1"/>
        <v>0.7223548495</v>
      </c>
      <c r="G424" s="76">
        <f>IFERROR(__xludf.DUMMYFUNCTION("""COMPUTED_VALUE"""),5385.0)</f>
        <v>5385</v>
      </c>
      <c r="H424" s="232">
        <f>IFERROR(__xludf.DUMMYFUNCTION("""COMPUTED_VALUE"""),46220.44236111111)</f>
        <v>46220.44236</v>
      </c>
      <c r="I424" s="84">
        <f>IFERROR(__xludf.DUMMYFUNCTION("""COMPUTED_VALUE"""),46219.7136559375)</f>
        <v>46219.71366</v>
      </c>
      <c r="J424" s="76">
        <f t="shared" si="2"/>
        <v>0.7287051736</v>
      </c>
      <c r="L424" s="76">
        <f>IFERROR(__xludf.DUMMYFUNCTION("""COMPUTED_VALUE"""),5385.0)</f>
        <v>5385</v>
      </c>
      <c r="M424" s="232">
        <f>IFERROR(__xludf.DUMMYFUNCTION("""COMPUTED_VALUE"""),46220.54652777778)</f>
        <v>46220.54653</v>
      </c>
      <c r="N424" s="84">
        <f>IFERROR(__xludf.DUMMYFUNCTION("""COMPUTED_VALUE"""),46219.7142086574)</f>
        <v>46219.71421</v>
      </c>
      <c r="O424" s="76">
        <f t="shared" si="3"/>
        <v>0.8323191204</v>
      </c>
      <c r="Q424" s="76">
        <f>IFERROR(__xludf.DUMMYFUNCTION("""COMPUTED_VALUE"""),5380.0)</f>
        <v>5380</v>
      </c>
      <c r="R424" s="232">
        <f>IFERROR(__xludf.DUMMYFUNCTION("""COMPUTED_VALUE"""),46220.83263888889)</f>
        <v>46220.83264</v>
      </c>
      <c r="S424" s="84">
        <f>IFERROR(__xludf.DUMMYFUNCTION("""COMPUTED_VALUE"""),46219.590873622685)</f>
        <v>46219.59087</v>
      </c>
      <c r="T424" s="76">
        <f t="shared" si="4"/>
        <v>1.241765266</v>
      </c>
      <c r="V424" s="76">
        <f>IFERROR(__xludf.DUMMYFUNCTION("""COMPUTED_VALUE"""),5386.0)</f>
        <v>5386</v>
      </c>
      <c r="W424" s="232">
        <f>IFERROR(__xludf.DUMMYFUNCTION("""COMPUTED_VALUE"""),46221.59236111111)</f>
        <v>46221.59236</v>
      </c>
      <c r="X424" s="84">
        <f>IFERROR(__xludf.DUMMYFUNCTION("""COMPUTED_VALUE"""),46221.43484954861)</f>
        <v>46221.43485</v>
      </c>
      <c r="Y424" s="76">
        <f t="shared" si="5"/>
        <v>0.1575115625</v>
      </c>
      <c r="AK424" s="232"/>
      <c r="AL424" s="233"/>
      <c r="AM424" s="173"/>
    </row>
    <row r="425">
      <c r="A425" s="76">
        <f>IFERROR(__xludf.DUMMYFUNCTION("""COMPUTED_VALUE"""),5386.0)</f>
        <v>5386</v>
      </c>
      <c r="B425" s="232">
        <f>IFERROR(__xludf.DUMMYFUNCTION("""COMPUTED_VALUE"""),46220.43958333333)</f>
        <v>46220.43958</v>
      </c>
      <c r="C425" s="84">
        <f>IFERROR(__xludf.DUMMYFUNCTION("""COMPUTED_VALUE"""),46219.71314716435)</f>
        <v>46219.71315</v>
      </c>
      <c r="D425" s="173">
        <f t="shared" si="1"/>
        <v>0.726436169</v>
      </c>
      <c r="G425" s="76">
        <f>IFERROR(__xludf.DUMMYFUNCTION("""COMPUTED_VALUE"""),5386.0)</f>
        <v>5386</v>
      </c>
      <c r="H425" s="232">
        <f>IFERROR(__xludf.DUMMYFUNCTION("""COMPUTED_VALUE"""),46220.44652777778)</f>
        <v>46220.44653</v>
      </c>
      <c r="I425" s="84">
        <f>IFERROR(__xludf.DUMMYFUNCTION("""COMPUTED_VALUE"""),46219.71367841435)</f>
        <v>46219.71368</v>
      </c>
      <c r="J425" s="76">
        <f t="shared" si="2"/>
        <v>0.7328493634</v>
      </c>
      <c r="L425" s="76">
        <f>IFERROR(__xludf.DUMMYFUNCTION("""COMPUTED_VALUE"""),5386.0)</f>
        <v>5386</v>
      </c>
      <c r="M425" s="232">
        <f>IFERROR(__xludf.DUMMYFUNCTION("""COMPUTED_VALUE"""),46220.55069444444)</f>
        <v>46220.55069</v>
      </c>
      <c r="N425" s="84">
        <f>IFERROR(__xludf.DUMMYFUNCTION("""COMPUTED_VALUE"""),46219.714197002315)</f>
        <v>46219.7142</v>
      </c>
      <c r="O425" s="76">
        <f t="shared" si="3"/>
        <v>0.8364974421</v>
      </c>
      <c r="Q425" s="76">
        <f>IFERROR(__xludf.DUMMYFUNCTION("""COMPUTED_VALUE"""),5381.0)</f>
        <v>5381</v>
      </c>
      <c r="R425" s="232">
        <f>IFERROR(__xludf.DUMMYFUNCTION("""COMPUTED_VALUE"""),46221.47986111111)</f>
        <v>46221.47986</v>
      </c>
      <c r="S425" s="84">
        <f>IFERROR(__xludf.DUMMYFUNCTION("""COMPUTED_VALUE"""),46220.60779306713)</f>
        <v>46220.60779</v>
      </c>
      <c r="T425" s="76">
        <f t="shared" si="4"/>
        <v>0.872068044</v>
      </c>
      <c r="V425" s="76">
        <f>IFERROR(__xludf.DUMMYFUNCTION("""COMPUTED_VALUE"""),5387.0)</f>
        <v>5387</v>
      </c>
      <c r="W425" s="232">
        <f>IFERROR(__xludf.DUMMYFUNCTION("""COMPUTED_VALUE"""),46221.82083333333)</f>
        <v>46221.82083</v>
      </c>
      <c r="X425" s="84">
        <f>IFERROR(__xludf.DUMMYFUNCTION("""COMPUTED_VALUE"""),46220.60822671297)</f>
        <v>46220.60823</v>
      </c>
      <c r="Y425" s="76">
        <f t="shared" si="5"/>
        <v>1.21260662</v>
      </c>
      <c r="AK425" s="232"/>
      <c r="AL425" s="233"/>
      <c r="AM425" s="173"/>
    </row>
    <row r="426">
      <c r="A426" s="76">
        <f>IFERROR(__xludf.DUMMYFUNCTION("""COMPUTED_VALUE"""),5387.0)</f>
        <v>5387</v>
      </c>
      <c r="B426" s="232">
        <f>IFERROR(__xludf.DUMMYFUNCTION("""COMPUTED_VALUE"""),46220.668230034724)</f>
        <v>46220.66823</v>
      </c>
      <c r="C426" s="84">
        <f>IFERROR(__xludf.DUMMYFUNCTION("""COMPUTED_VALUE"""),46220.607551678244)</f>
        <v>46220.60755</v>
      </c>
      <c r="D426" s="173">
        <f t="shared" si="1"/>
        <v>0.06067835648</v>
      </c>
      <c r="G426" s="76">
        <f>IFERROR(__xludf.DUMMYFUNCTION("""COMPUTED_VALUE"""),5387.0)</f>
        <v>5387</v>
      </c>
      <c r="H426" s="232">
        <f>IFERROR(__xludf.DUMMYFUNCTION("""COMPUTED_VALUE"""),46220.67517447917)</f>
        <v>46220.67517</v>
      </c>
      <c r="I426" s="84">
        <f>IFERROR(__xludf.DUMMYFUNCTION("""COMPUTED_VALUE"""),46220.57760012732)</f>
        <v>46220.5776</v>
      </c>
      <c r="J426" s="76">
        <f t="shared" si="2"/>
        <v>0.09757435185</v>
      </c>
      <c r="L426" s="76">
        <f>IFERROR(__xludf.DUMMYFUNCTION("""COMPUTED_VALUE"""),5387.0)</f>
        <v>5387</v>
      </c>
      <c r="M426" s="232">
        <f>IFERROR(__xludf.DUMMYFUNCTION("""COMPUTED_VALUE"""),46220.77934114583)</f>
        <v>46220.77934</v>
      </c>
      <c r="N426" s="84">
        <f>IFERROR(__xludf.DUMMYFUNCTION("""COMPUTED_VALUE"""),46220.60763421297)</f>
        <v>46220.60763</v>
      </c>
      <c r="O426" s="76">
        <f t="shared" si="3"/>
        <v>0.1717069329</v>
      </c>
      <c r="Q426" s="76">
        <f>IFERROR(__xludf.DUMMYFUNCTION("""COMPUTED_VALUE"""),5382.0)</f>
        <v>5382</v>
      </c>
      <c r="R426" s="232">
        <f>IFERROR(__xludf.DUMMYFUNCTION("""COMPUTED_VALUE"""),46221.49097222222)</f>
        <v>46221.49097</v>
      </c>
      <c r="S426" s="84">
        <f>IFERROR(__xludf.DUMMYFUNCTION("""COMPUTED_VALUE"""),46220.60783657407)</f>
        <v>46220.60784</v>
      </c>
      <c r="T426" s="76">
        <f t="shared" si="4"/>
        <v>0.8831356482</v>
      </c>
      <c r="V426" s="76">
        <f>IFERROR(__xludf.DUMMYFUNCTION("""COMPUTED_VALUE"""),5388.0)</f>
        <v>5388</v>
      </c>
      <c r="W426" s="232">
        <f>IFERROR(__xludf.DUMMYFUNCTION("""COMPUTED_VALUE"""),46223.48611111111)</f>
        <v>46223.48611</v>
      </c>
      <c r="X426" s="84">
        <f>IFERROR(__xludf.DUMMYFUNCTION("""COMPUTED_VALUE"""),46221.527819490744)</f>
        <v>46221.52782</v>
      </c>
      <c r="Y426" s="76">
        <f t="shared" si="5"/>
        <v>1.95829162</v>
      </c>
      <c r="AK426" s="232"/>
      <c r="AL426" s="233"/>
      <c r="AM426" s="173"/>
    </row>
    <row r="427">
      <c r="A427" s="76">
        <f>IFERROR(__xludf.DUMMYFUNCTION("""COMPUTED_VALUE"""),5388.0)</f>
        <v>5388</v>
      </c>
      <c r="B427" s="232">
        <f>IFERROR(__xludf.DUMMYFUNCTION("""COMPUTED_VALUE"""),46220.729191307866)</f>
        <v>46220.72919</v>
      </c>
      <c r="C427" s="84">
        <f>IFERROR(__xludf.DUMMYFUNCTION("""COMPUTED_VALUE"""),46220.57749643519)</f>
        <v>46220.5775</v>
      </c>
      <c r="D427" s="173">
        <f t="shared" si="1"/>
        <v>0.1516948727</v>
      </c>
      <c r="G427" s="76">
        <f>IFERROR(__xludf.DUMMYFUNCTION("""COMPUTED_VALUE"""),5388.0)</f>
        <v>5388</v>
      </c>
      <c r="H427" s="232">
        <f>IFERROR(__xludf.DUMMYFUNCTION("""COMPUTED_VALUE"""),46220.73613575231)</f>
        <v>46220.73614</v>
      </c>
      <c r="I427" s="84">
        <f>IFERROR(__xludf.DUMMYFUNCTION("""COMPUTED_VALUE"""),46220.577620254626)</f>
        <v>46220.57762</v>
      </c>
      <c r="J427" s="76">
        <f t="shared" si="2"/>
        <v>0.1585154977</v>
      </c>
      <c r="L427" s="76">
        <f>IFERROR(__xludf.DUMMYFUNCTION("""COMPUTED_VALUE"""),5388.0)</f>
        <v>5388</v>
      </c>
      <c r="M427" s="232">
        <f>IFERROR(__xludf.DUMMYFUNCTION("""COMPUTED_VALUE"""),46221.444444444445)</f>
        <v>46221.44444</v>
      </c>
      <c r="N427" s="84">
        <f>IFERROR(__xludf.DUMMYFUNCTION("""COMPUTED_VALUE"""),46220.607653009254)</f>
        <v>46220.60765</v>
      </c>
      <c r="O427" s="76">
        <f t="shared" si="3"/>
        <v>0.8367914352</v>
      </c>
      <c r="Q427" s="76">
        <f>IFERROR(__xludf.DUMMYFUNCTION("""COMPUTED_VALUE"""),5383.0)</f>
        <v>5383</v>
      </c>
      <c r="R427" s="232">
        <f>IFERROR(__xludf.DUMMYFUNCTION("""COMPUTED_VALUE"""),46221.49166666667)</f>
        <v>46221.49167</v>
      </c>
      <c r="S427" s="84">
        <f>IFERROR(__xludf.DUMMYFUNCTION("""COMPUTED_VALUE"""),46220.60792927083)</f>
        <v>46220.60793</v>
      </c>
      <c r="T427" s="76">
        <f t="shared" si="4"/>
        <v>0.8837373958</v>
      </c>
      <c r="V427" s="76">
        <f>IFERROR(__xludf.DUMMYFUNCTION("""COMPUTED_VALUE"""),5389.0)</f>
        <v>5389</v>
      </c>
      <c r="W427" s="232">
        <f>IFERROR(__xludf.DUMMYFUNCTION("""COMPUTED_VALUE"""),46223.65902777778)</f>
        <v>46223.65903</v>
      </c>
      <c r="X427" s="84">
        <f>IFERROR(__xludf.DUMMYFUNCTION("""COMPUTED_VALUE"""),46221.43475017361)</f>
        <v>46221.43475</v>
      </c>
      <c r="Y427" s="76">
        <f t="shared" si="5"/>
        <v>2.224277604</v>
      </c>
      <c r="AK427" s="232"/>
      <c r="AL427" s="233"/>
      <c r="AM427" s="173"/>
    </row>
    <row r="428">
      <c r="A428" s="76">
        <f>IFERROR(__xludf.DUMMYFUNCTION("""COMPUTED_VALUE"""),5389.0)</f>
        <v>5389</v>
      </c>
      <c r="B428" s="232">
        <f>IFERROR(__xludf.DUMMYFUNCTION("""COMPUTED_VALUE"""),46221.50625)</f>
        <v>46221.50625</v>
      </c>
      <c r="C428" s="84">
        <f>IFERROR(__xludf.DUMMYFUNCTION("""COMPUTED_VALUE"""),46220.78688810185)</f>
        <v>46220.78689</v>
      </c>
      <c r="D428" s="173">
        <f t="shared" si="1"/>
        <v>0.7193618981</v>
      </c>
      <c r="G428" s="76">
        <f>IFERROR(__xludf.DUMMYFUNCTION("""COMPUTED_VALUE"""),5389.0)</f>
        <v>5389</v>
      </c>
      <c r="H428" s="232">
        <f>IFERROR(__xludf.DUMMYFUNCTION("""COMPUTED_VALUE"""),46221.513194444444)</f>
        <v>46221.51319</v>
      </c>
      <c r="I428" s="84">
        <f>IFERROR(__xludf.DUMMYFUNCTION("""COMPUTED_VALUE"""),46220.787193055556)</f>
        <v>46220.78719</v>
      </c>
      <c r="J428" s="76">
        <f t="shared" si="2"/>
        <v>0.7260013889</v>
      </c>
      <c r="L428" s="76">
        <f>IFERROR(__xludf.DUMMYFUNCTION("""COMPUTED_VALUE"""),5389.0)</f>
        <v>5389</v>
      </c>
      <c r="M428" s="232">
        <f>IFERROR(__xludf.DUMMYFUNCTION("""COMPUTED_VALUE"""),46221.61736111111)</f>
        <v>46221.61736</v>
      </c>
      <c r="N428" s="84">
        <f>IFERROR(__xludf.DUMMYFUNCTION("""COMPUTED_VALUE"""),46220.78729165509)</f>
        <v>46220.78729</v>
      </c>
      <c r="O428" s="76">
        <f t="shared" si="3"/>
        <v>0.830069456</v>
      </c>
      <c r="Q428" s="76">
        <f>IFERROR(__xludf.DUMMYFUNCTION("""COMPUTED_VALUE"""),5384.0)</f>
        <v>5384</v>
      </c>
      <c r="R428" s="232">
        <f>IFERROR(__xludf.DUMMYFUNCTION("""COMPUTED_VALUE"""),46221.529861111114)</f>
        <v>46221.52986</v>
      </c>
      <c r="S428" s="84">
        <f>IFERROR(__xludf.DUMMYFUNCTION("""COMPUTED_VALUE"""),46220.60802722222)</f>
        <v>46220.60803</v>
      </c>
      <c r="T428" s="76">
        <f t="shared" si="4"/>
        <v>0.9218338889</v>
      </c>
      <c r="V428" s="76">
        <f>IFERROR(__xludf.DUMMYFUNCTION("""COMPUTED_VALUE"""),5390.0)</f>
        <v>5390</v>
      </c>
      <c r="W428" s="232">
        <f>IFERROR(__xludf.DUMMYFUNCTION("""COMPUTED_VALUE"""),46223.660416666666)</f>
        <v>46223.66042</v>
      </c>
      <c r="X428" s="84">
        <f>IFERROR(__xludf.DUMMYFUNCTION("""COMPUTED_VALUE"""),46221.43475233796)</f>
        <v>46221.43475</v>
      </c>
      <c r="Y428" s="76">
        <f t="shared" si="5"/>
        <v>2.225664329</v>
      </c>
      <c r="AK428" s="232"/>
      <c r="AL428" s="233"/>
      <c r="AM428" s="173"/>
    </row>
    <row r="429">
      <c r="A429" s="76">
        <f>IFERROR(__xludf.DUMMYFUNCTION("""COMPUTED_VALUE"""),5390.0)</f>
        <v>5390</v>
      </c>
      <c r="B429" s="232">
        <f>IFERROR(__xludf.DUMMYFUNCTION("""COMPUTED_VALUE"""),46221.50763888889)</f>
        <v>46221.50764</v>
      </c>
      <c r="C429" s="84">
        <f>IFERROR(__xludf.DUMMYFUNCTION("""COMPUTED_VALUE"""),46220.786918425925)</f>
        <v>46220.78692</v>
      </c>
      <c r="D429" s="173">
        <f t="shared" si="1"/>
        <v>0.720720463</v>
      </c>
      <c r="G429" s="76">
        <f>IFERROR(__xludf.DUMMYFUNCTION("""COMPUTED_VALUE"""),5390.0)</f>
        <v>5390</v>
      </c>
      <c r="H429" s="232">
        <f>IFERROR(__xludf.DUMMYFUNCTION("""COMPUTED_VALUE"""),46221.51458333334)</f>
        <v>46221.51458</v>
      </c>
      <c r="I429" s="84">
        <f>IFERROR(__xludf.DUMMYFUNCTION("""COMPUTED_VALUE"""),46220.78720925926)</f>
        <v>46220.78721</v>
      </c>
      <c r="J429" s="76">
        <f t="shared" si="2"/>
        <v>0.7273740741</v>
      </c>
      <c r="L429" s="76">
        <f>IFERROR(__xludf.DUMMYFUNCTION("""COMPUTED_VALUE"""),5390.0)</f>
        <v>5390</v>
      </c>
      <c r="M429" s="232">
        <f>IFERROR(__xludf.DUMMYFUNCTION("""COMPUTED_VALUE"""),46221.61875)</f>
        <v>46221.61875</v>
      </c>
      <c r="N429" s="84">
        <f>IFERROR(__xludf.DUMMYFUNCTION("""COMPUTED_VALUE"""),46220.787314814814)</f>
        <v>46220.78731</v>
      </c>
      <c r="O429" s="76">
        <f t="shared" si="3"/>
        <v>0.8314351852</v>
      </c>
      <c r="Q429" s="76">
        <f>IFERROR(__xludf.DUMMYFUNCTION("""COMPUTED_VALUE"""),5385.0)</f>
        <v>5385</v>
      </c>
      <c r="R429" s="232">
        <f>IFERROR(__xludf.DUMMYFUNCTION("""COMPUTED_VALUE"""),46221.54652777778)</f>
        <v>46221.54653</v>
      </c>
      <c r="S429" s="84">
        <f>IFERROR(__xludf.DUMMYFUNCTION("""COMPUTED_VALUE"""),46220.78761010416)</f>
        <v>46220.78761</v>
      </c>
      <c r="T429" s="76">
        <f t="shared" si="4"/>
        <v>0.7589176736</v>
      </c>
      <c r="V429" s="76">
        <f>IFERROR(__xludf.DUMMYFUNCTION("""COMPUTED_VALUE"""),5391.0)</f>
        <v>5391</v>
      </c>
      <c r="W429" s="232">
        <f>IFERROR(__xludf.DUMMYFUNCTION("""COMPUTED_VALUE"""),46223.66458333333)</f>
        <v>46223.66458</v>
      </c>
      <c r="X429" s="84">
        <f>IFERROR(__xludf.DUMMYFUNCTION("""COMPUTED_VALUE"""),46221.4347628588)</f>
        <v>46221.43476</v>
      </c>
      <c r="Y429" s="76">
        <f t="shared" si="5"/>
        <v>2.229820475</v>
      </c>
      <c r="AK429" s="232"/>
      <c r="AL429" s="233"/>
      <c r="AM429" s="173"/>
    </row>
    <row r="430">
      <c r="A430" s="76">
        <f>IFERROR(__xludf.DUMMYFUNCTION("""COMPUTED_VALUE"""),5391.0)</f>
        <v>5391</v>
      </c>
      <c r="B430" s="232">
        <f>IFERROR(__xludf.DUMMYFUNCTION("""COMPUTED_VALUE"""),46221.51180555556)</f>
        <v>46221.51181</v>
      </c>
      <c r="C430" s="84">
        <f>IFERROR(__xludf.DUMMYFUNCTION("""COMPUTED_VALUE"""),46220.7869387963)</f>
        <v>46220.78694</v>
      </c>
      <c r="D430" s="173">
        <f t="shared" si="1"/>
        <v>0.7248667593</v>
      </c>
      <c r="G430" s="76">
        <f>IFERROR(__xludf.DUMMYFUNCTION("""COMPUTED_VALUE"""),5391.0)</f>
        <v>5391</v>
      </c>
      <c r="H430" s="232">
        <f>IFERROR(__xludf.DUMMYFUNCTION("""COMPUTED_VALUE"""),46221.51875)</f>
        <v>46221.51875</v>
      </c>
      <c r="I430" s="84">
        <f>IFERROR(__xludf.DUMMYFUNCTION("""COMPUTED_VALUE"""),46220.787234421296)</f>
        <v>46220.78723</v>
      </c>
      <c r="J430" s="76">
        <f t="shared" si="2"/>
        <v>0.7315155787</v>
      </c>
      <c r="L430" s="76">
        <f>IFERROR(__xludf.DUMMYFUNCTION("""COMPUTED_VALUE"""),5391.0)</f>
        <v>5391</v>
      </c>
      <c r="M430" s="232">
        <f>IFERROR(__xludf.DUMMYFUNCTION("""COMPUTED_VALUE"""),46221.62291666667)</f>
        <v>46221.62292</v>
      </c>
      <c r="N430" s="84">
        <f>IFERROR(__xludf.DUMMYFUNCTION("""COMPUTED_VALUE"""),46220.787338333335)</f>
        <v>46220.78734</v>
      </c>
      <c r="O430" s="76">
        <f t="shared" si="3"/>
        <v>0.8355783333</v>
      </c>
      <c r="Q430" s="76">
        <f>IFERROR(__xludf.DUMMYFUNCTION("""COMPUTED_VALUE"""),5386.0)</f>
        <v>5386</v>
      </c>
      <c r="R430" s="232">
        <f>IFERROR(__xludf.DUMMYFUNCTION("""COMPUTED_VALUE"""),46221.55069444444)</f>
        <v>46221.55069</v>
      </c>
      <c r="S430" s="84">
        <f>IFERROR(__xludf.DUMMYFUNCTION("""COMPUTED_VALUE"""),46220.78764606481)</f>
        <v>46220.78765</v>
      </c>
      <c r="T430" s="76">
        <f t="shared" si="4"/>
        <v>0.7630483796</v>
      </c>
      <c r="V430" s="76">
        <f>IFERROR(__xludf.DUMMYFUNCTION("""COMPUTED_VALUE"""),5392.0)</f>
        <v>5392</v>
      </c>
      <c r="W430" s="232">
        <f>IFERROR(__xludf.DUMMYFUNCTION("""COMPUTED_VALUE"""),46223.66736111111)</f>
        <v>46223.66736</v>
      </c>
      <c r="X430" s="84">
        <f>IFERROR(__xludf.DUMMYFUNCTION("""COMPUTED_VALUE"""),46221.4347628588)</f>
        <v>46221.43476</v>
      </c>
      <c r="Y430" s="76">
        <f t="shared" si="5"/>
        <v>2.232598252</v>
      </c>
      <c r="AK430" s="232"/>
      <c r="AL430" s="233"/>
      <c r="AM430" s="173"/>
    </row>
    <row r="431">
      <c r="A431" s="76">
        <f>IFERROR(__xludf.DUMMYFUNCTION("""COMPUTED_VALUE"""),5392.0)</f>
        <v>5392</v>
      </c>
      <c r="B431" s="232">
        <f>IFERROR(__xludf.DUMMYFUNCTION("""COMPUTED_VALUE"""),46221.51458333333)</f>
        <v>46221.51458</v>
      </c>
      <c r="C431" s="84">
        <f>IFERROR(__xludf.DUMMYFUNCTION("""COMPUTED_VALUE"""),46220.78695045139)</f>
        <v>46220.78695</v>
      </c>
      <c r="D431" s="173">
        <f t="shared" si="1"/>
        <v>0.7276328819</v>
      </c>
      <c r="G431" s="76">
        <f>IFERROR(__xludf.DUMMYFUNCTION("""COMPUTED_VALUE"""),5392.0)</f>
        <v>5392</v>
      </c>
      <c r="H431" s="232">
        <f>IFERROR(__xludf.DUMMYFUNCTION("""COMPUTED_VALUE"""),46221.521527777775)</f>
        <v>46221.52153</v>
      </c>
      <c r="I431" s="84">
        <f>IFERROR(__xludf.DUMMYFUNCTION("""COMPUTED_VALUE"""),46220.787257523145)</f>
        <v>46220.78726</v>
      </c>
      <c r="J431" s="76">
        <f t="shared" si="2"/>
        <v>0.7342702546</v>
      </c>
      <c r="L431" s="76">
        <f>IFERROR(__xludf.DUMMYFUNCTION("""COMPUTED_VALUE"""),5392.0)</f>
        <v>5392</v>
      </c>
      <c r="M431" s="232">
        <f>IFERROR(__xludf.DUMMYFUNCTION("""COMPUTED_VALUE"""),46221.62569444444)</f>
        <v>46221.62569</v>
      </c>
      <c r="N431" s="84">
        <f>IFERROR(__xludf.DUMMYFUNCTION("""COMPUTED_VALUE"""),46220.78736914352)</f>
        <v>46220.78737</v>
      </c>
      <c r="O431" s="76">
        <f t="shared" si="3"/>
        <v>0.8383253009</v>
      </c>
      <c r="Q431" s="76">
        <f>IFERROR(__xludf.DUMMYFUNCTION("""COMPUTED_VALUE"""),5387.0)</f>
        <v>5387</v>
      </c>
      <c r="R431" s="232">
        <f>IFERROR(__xludf.DUMMYFUNCTION("""COMPUTED_VALUE"""),46221.77916666667)</f>
        <v>46221.77917</v>
      </c>
      <c r="S431" s="84">
        <f>IFERROR(__xludf.DUMMYFUNCTION("""COMPUTED_VALUE"""),46220.60774092593)</f>
        <v>46220.60774</v>
      </c>
      <c r="T431" s="76">
        <f t="shared" si="4"/>
        <v>1.171425741</v>
      </c>
      <c r="V431" s="76">
        <f>IFERROR(__xludf.DUMMYFUNCTION("""COMPUTED_VALUE"""),5393.0)</f>
        <v>5393</v>
      </c>
      <c r="W431" s="232">
        <f>IFERROR(__xludf.DUMMYFUNCTION("""COMPUTED_VALUE"""),46223.77222222222)</f>
        <v>46223.77222</v>
      </c>
      <c r="X431" s="84">
        <f>IFERROR(__xludf.DUMMYFUNCTION("""COMPUTED_VALUE"""),46223.49132725694)</f>
        <v>46223.49133</v>
      </c>
      <c r="Y431" s="76">
        <f t="shared" si="5"/>
        <v>0.2808949653</v>
      </c>
      <c r="AK431" s="232"/>
      <c r="AL431" s="233"/>
      <c r="AM431" s="173"/>
    </row>
    <row r="432">
      <c r="A432" s="76">
        <f>IFERROR(__xludf.DUMMYFUNCTION("""COMPUTED_VALUE"""),5393.0)</f>
        <v>5393</v>
      </c>
      <c r="B432" s="232">
        <f>IFERROR(__xludf.DUMMYFUNCTION("""COMPUTED_VALUE"""),46221.61963635416)</f>
        <v>46221.61964</v>
      </c>
      <c r="C432" s="84">
        <f>IFERROR(__xludf.DUMMYFUNCTION("""COMPUTED_VALUE"""),46221.47032224537)</f>
        <v>46221.47032</v>
      </c>
      <c r="D432" s="173">
        <f t="shared" si="1"/>
        <v>0.1493141088</v>
      </c>
      <c r="G432" s="76">
        <f>IFERROR(__xludf.DUMMYFUNCTION("""COMPUTED_VALUE"""),5393.0)</f>
        <v>5393</v>
      </c>
      <c r="H432" s="232">
        <f>IFERROR(__xludf.DUMMYFUNCTION("""COMPUTED_VALUE"""),46221.626580798606)</f>
        <v>46221.62658</v>
      </c>
      <c r="I432" s="84">
        <f>IFERROR(__xludf.DUMMYFUNCTION("""COMPUTED_VALUE"""),46221.47045804399)</f>
        <v>46221.47046</v>
      </c>
      <c r="J432" s="76">
        <f t="shared" si="2"/>
        <v>0.1561227546</v>
      </c>
      <c r="L432" s="76">
        <f>IFERROR(__xludf.DUMMYFUNCTION("""COMPUTED_VALUE"""),5393.0)</f>
        <v>5393</v>
      </c>
      <c r="M432" s="232">
        <f>IFERROR(__xludf.DUMMYFUNCTION("""COMPUTED_VALUE"""),46221.73074746527)</f>
        <v>46221.73075</v>
      </c>
      <c r="N432" s="84">
        <f>IFERROR(__xludf.DUMMYFUNCTION("""COMPUTED_VALUE"""),46221.61908369213)</f>
        <v>46221.61908</v>
      </c>
      <c r="O432" s="76">
        <f t="shared" si="3"/>
        <v>0.1116637731</v>
      </c>
      <c r="Q432" s="76">
        <f>IFERROR(__xludf.DUMMYFUNCTION("""COMPUTED_VALUE"""),5388.0)</f>
        <v>5388</v>
      </c>
      <c r="R432" s="232">
        <f>IFERROR(__xludf.DUMMYFUNCTION("""COMPUTED_VALUE"""),46223.444444444445)</f>
        <v>46223.44444</v>
      </c>
      <c r="S432" s="84">
        <f>IFERROR(__xludf.DUMMYFUNCTION("""COMPUTED_VALUE"""),46221.527775925926)</f>
        <v>46221.52778</v>
      </c>
      <c r="T432" s="76">
        <f t="shared" si="4"/>
        <v>1.916668519</v>
      </c>
      <c r="V432" s="76">
        <f>IFERROR(__xludf.DUMMYFUNCTION("""COMPUTED_VALUE"""),5394.0)</f>
        <v>5394</v>
      </c>
      <c r="W432" s="232">
        <f>IFERROR(__xludf.DUMMYFUNCTION("""COMPUTED_VALUE"""),46224.532638888886)</f>
        <v>46224.53264</v>
      </c>
      <c r="X432" s="84">
        <f>IFERROR(__xludf.DUMMYFUNCTION("""COMPUTED_VALUE"""),46224.454527141206)</f>
        <v>46224.45453</v>
      </c>
      <c r="Y432" s="76">
        <f t="shared" si="5"/>
        <v>0.07811174768</v>
      </c>
      <c r="AK432" s="232"/>
      <c r="AL432" s="233"/>
      <c r="AM432" s="173"/>
    </row>
    <row r="433">
      <c r="A433" s="76">
        <f>IFERROR(__xludf.DUMMYFUNCTION("""COMPUTED_VALUE"""),5394.0)</f>
        <v>5394</v>
      </c>
      <c r="B433" s="232">
        <f>IFERROR(__xludf.DUMMYFUNCTION("""COMPUTED_VALUE"""),46221.77604752314)</f>
        <v>46221.77605</v>
      </c>
      <c r="C433" s="84">
        <f>IFERROR(__xludf.DUMMYFUNCTION("""COMPUTED_VALUE"""),46221.61882982639)</f>
        <v>46221.61883</v>
      </c>
      <c r="D433" s="173">
        <f t="shared" si="1"/>
        <v>0.1572176968</v>
      </c>
      <c r="G433" s="76">
        <f>IFERROR(__xludf.DUMMYFUNCTION("""COMPUTED_VALUE"""),5394.0)</f>
        <v>5394</v>
      </c>
      <c r="H433" s="232">
        <f>IFERROR(__xludf.DUMMYFUNCTION("""COMPUTED_VALUE"""),46221.782991967586)</f>
        <v>46221.78299</v>
      </c>
      <c r="I433" s="84">
        <f>IFERROR(__xludf.DUMMYFUNCTION("""COMPUTED_VALUE"""),46221.61894155093)</f>
        <v>46221.61894</v>
      </c>
      <c r="J433" s="76">
        <f t="shared" si="2"/>
        <v>0.1640504167</v>
      </c>
      <c r="L433" s="76">
        <f>IFERROR(__xludf.DUMMYFUNCTION("""COMPUTED_VALUE"""),5394.0)</f>
        <v>5394</v>
      </c>
      <c r="M433" s="232">
        <f>IFERROR(__xludf.DUMMYFUNCTION("""COMPUTED_VALUE"""),46223.49097222222)</f>
        <v>46223.49097</v>
      </c>
      <c r="N433" s="84">
        <f>IFERROR(__xludf.DUMMYFUNCTION("""COMPUTED_VALUE"""),46221.619033124996)</f>
        <v>46221.61903</v>
      </c>
      <c r="O433" s="76">
        <f t="shared" si="3"/>
        <v>1.871939097</v>
      </c>
      <c r="Q433" s="76">
        <f>IFERROR(__xludf.DUMMYFUNCTION("""COMPUTED_VALUE"""),5389.0)</f>
        <v>5389</v>
      </c>
      <c r="R433" s="232">
        <f>IFERROR(__xludf.DUMMYFUNCTION("""COMPUTED_VALUE"""),46223.617361111115)</f>
        <v>46223.61736</v>
      </c>
      <c r="S433" s="84">
        <f>IFERROR(__xludf.DUMMYFUNCTION("""COMPUTED_VALUE"""),46221.434706678236)</f>
        <v>46221.43471</v>
      </c>
      <c r="T433" s="76">
        <f t="shared" si="4"/>
        <v>2.182654433</v>
      </c>
      <c r="V433" s="76">
        <f>IFERROR(__xludf.DUMMYFUNCTION("""COMPUTED_VALUE"""),5395.0)</f>
        <v>5395</v>
      </c>
      <c r="W433" s="232">
        <f>IFERROR(__xludf.DUMMYFUNCTION("""COMPUTED_VALUE"""),46224.67986111111)</f>
        <v>46224.67986</v>
      </c>
      <c r="X433" s="84">
        <f>IFERROR(__xludf.DUMMYFUNCTION("""COMPUTED_VALUE"""),46224.46914878472)</f>
        <v>46224.46915</v>
      </c>
      <c r="Y433" s="76">
        <f t="shared" si="5"/>
        <v>0.2107123264</v>
      </c>
      <c r="AK433" s="232"/>
      <c r="AL433" s="233"/>
      <c r="AM433" s="173"/>
    </row>
    <row r="434">
      <c r="A434" s="76">
        <f>IFERROR(__xludf.DUMMYFUNCTION("""COMPUTED_VALUE"""),5395.0)</f>
        <v>5395</v>
      </c>
      <c r="B434" s="232">
        <f>IFERROR(__xludf.DUMMYFUNCTION("""COMPUTED_VALUE"""),46223.52710144676)</f>
        <v>46223.5271</v>
      </c>
      <c r="C434" s="84">
        <f>IFERROR(__xludf.DUMMYFUNCTION("""COMPUTED_VALUE"""),46221.636272476855)</f>
        <v>46221.63627</v>
      </c>
      <c r="D434" s="173">
        <f t="shared" si="1"/>
        <v>1.89082897</v>
      </c>
      <c r="G434" s="76">
        <f>IFERROR(__xludf.DUMMYFUNCTION("""COMPUTED_VALUE"""),5395.0)</f>
        <v>5395</v>
      </c>
      <c r="H434" s="232">
        <f>IFERROR(__xludf.DUMMYFUNCTION("""COMPUTED_VALUE"""),46223.5340458912)</f>
        <v>46223.53405</v>
      </c>
      <c r="I434" s="84">
        <f>IFERROR(__xludf.DUMMYFUNCTION("""COMPUTED_VALUE"""),46221.63640240741)</f>
        <v>46221.6364</v>
      </c>
      <c r="J434" s="76">
        <f t="shared" si="2"/>
        <v>1.897643484</v>
      </c>
      <c r="L434" s="76">
        <f>IFERROR(__xludf.DUMMYFUNCTION("""COMPUTED_VALUE"""),5395.0)</f>
        <v>5395</v>
      </c>
      <c r="M434" s="232">
        <f>IFERROR(__xludf.DUMMYFUNCTION("""COMPUTED_VALUE"""),46223.63821255787)</f>
        <v>46223.63821</v>
      </c>
      <c r="N434" s="84">
        <f>IFERROR(__xludf.DUMMYFUNCTION("""COMPUTED_VALUE"""),46221.6364412963)</f>
        <v>46221.63644</v>
      </c>
      <c r="O434" s="76">
        <f t="shared" si="3"/>
        <v>2.001771262</v>
      </c>
      <c r="Q434" s="76">
        <f>IFERROR(__xludf.DUMMYFUNCTION("""COMPUTED_VALUE"""),5390.0)</f>
        <v>5390</v>
      </c>
      <c r="R434" s="232">
        <f>IFERROR(__xludf.DUMMYFUNCTION("""COMPUTED_VALUE"""),46223.61875)</f>
        <v>46223.61875</v>
      </c>
      <c r="S434" s="84">
        <f>IFERROR(__xludf.DUMMYFUNCTION("""COMPUTED_VALUE"""),46221.434726238425)</f>
        <v>46221.43473</v>
      </c>
      <c r="T434" s="76">
        <f t="shared" si="4"/>
        <v>2.184023762</v>
      </c>
      <c r="V434" s="76">
        <f>IFERROR(__xludf.DUMMYFUNCTION("""COMPUTED_VALUE"""),5396.0)</f>
        <v>5396</v>
      </c>
      <c r="W434" s="232">
        <f>IFERROR(__xludf.DUMMYFUNCTION("""COMPUTED_VALUE"""),46224.6625)</f>
        <v>46224.6625</v>
      </c>
      <c r="X434" s="84">
        <f>IFERROR(__xludf.DUMMYFUNCTION("""COMPUTED_VALUE"""),46223.50140984954)</f>
        <v>46223.50141</v>
      </c>
      <c r="Y434" s="76">
        <f t="shared" si="5"/>
        <v>1.16109015</v>
      </c>
      <c r="AK434" s="232"/>
      <c r="AL434" s="233"/>
      <c r="AM434" s="173"/>
    </row>
    <row r="435">
      <c r="A435" s="76">
        <f>IFERROR(__xludf.DUMMYFUNCTION("""COMPUTED_VALUE"""),5396.0)</f>
        <v>5396</v>
      </c>
      <c r="B435" s="232">
        <f>IFERROR(__xludf.DUMMYFUNCTION("""COMPUTED_VALUE"""),46223.509722222225)</f>
        <v>46223.50972</v>
      </c>
      <c r="C435" s="84">
        <f>IFERROR(__xludf.DUMMYFUNCTION("""COMPUTED_VALUE"""),46223.47312108796)</f>
        <v>46223.47312</v>
      </c>
      <c r="D435" s="173">
        <f t="shared" si="1"/>
        <v>0.03660113426</v>
      </c>
      <c r="G435" s="76">
        <f>IFERROR(__xludf.DUMMYFUNCTION("""COMPUTED_VALUE"""),5396.0)</f>
        <v>5396</v>
      </c>
      <c r="H435" s="232">
        <f>IFERROR(__xludf.DUMMYFUNCTION("""COMPUTED_VALUE"""),46223.51666666667)</f>
        <v>46223.51667</v>
      </c>
      <c r="I435" s="84">
        <f>IFERROR(__xludf.DUMMYFUNCTION("""COMPUTED_VALUE"""),46223.47328597222)</f>
        <v>46223.47329</v>
      </c>
      <c r="J435" s="76">
        <f t="shared" si="2"/>
        <v>0.04338069445</v>
      </c>
      <c r="L435" s="76">
        <f>IFERROR(__xludf.DUMMYFUNCTION("""COMPUTED_VALUE"""),5396.0)</f>
        <v>5396</v>
      </c>
      <c r="M435" s="232">
        <f>IFERROR(__xludf.DUMMYFUNCTION("""COMPUTED_VALUE"""),46223.620833333334)</f>
        <v>46223.62083</v>
      </c>
      <c r="N435" s="84">
        <f>IFERROR(__xludf.DUMMYFUNCTION("""COMPUTED_VALUE"""),46223.47608395833)</f>
        <v>46223.47608</v>
      </c>
      <c r="O435" s="76">
        <f t="shared" si="3"/>
        <v>0.144749375</v>
      </c>
      <c r="Q435" s="76">
        <f>IFERROR(__xludf.DUMMYFUNCTION("""COMPUTED_VALUE"""),5391.0)</f>
        <v>5391</v>
      </c>
      <c r="R435" s="232">
        <f>IFERROR(__xludf.DUMMYFUNCTION("""COMPUTED_VALUE"""),46223.62291666667)</f>
        <v>46223.62292</v>
      </c>
      <c r="S435" s="84">
        <f>IFERROR(__xludf.DUMMYFUNCTION("""COMPUTED_VALUE"""),46221.434726238425)</f>
        <v>46221.43473</v>
      </c>
      <c r="T435" s="76">
        <f t="shared" si="4"/>
        <v>2.188190428</v>
      </c>
      <c r="V435" s="76">
        <f>IFERROR(__xludf.DUMMYFUNCTION("""COMPUTED_VALUE"""),5397.0)</f>
        <v>5397</v>
      </c>
      <c r="W435" s="232">
        <f>IFERROR(__xludf.DUMMYFUNCTION("""COMPUTED_VALUE"""),46224.791666666664)</f>
        <v>46224.79167</v>
      </c>
      <c r="X435" s="84">
        <f>IFERROR(__xludf.DUMMYFUNCTION("""COMPUTED_VALUE"""),46223.501155370366)</f>
        <v>46223.50116</v>
      </c>
      <c r="Y435" s="76">
        <f t="shared" si="5"/>
        <v>1.290511296</v>
      </c>
      <c r="AK435" s="232"/>
      <c r="AL435" s="233"/>
      <c r="AM435" s="173"/>
    </row>
    <row r="436">
      <c r="A436" s="76">
        <f>IFERROR(__xludf.DUMMYFUNCTION("""COMPUTED_VALUE"""),5397.0)</f>
        <v>5397</v>
      </c>
      <c r="B436" s="232">
        <f>IFERROR(__xludf.DUMMYFUNCTION("""COMPUTED_VALUE"""),46223.639052893515)</f>
        <v>46223.63905</v>
      </c>
      <c r="C436" s="84">
        <f>IFERROR(__xludf.DUMMYFUNCTION("""COMPUTED_VALUE"""),46223.47320381945)</f>
        <v>46223.4732</v>
      </c>
      <c r="D436" s="173">
        <f t="shared" si="1"/>
        <v>0.1658490741</v>
      </c>
      <c r="G436" s="76">
        <f>IFERROR(__xludf.DUMMYFUNCTION("""COMPUTED_VALUE"""),5397.0)</f>
        <v>5397</v>
      </c>
      <c r="H436" s="232">
        <f>IFERROR(__xludf.DUMMYFUNCTION("""COMPUTED_VALUE"""),46223.64599733796)</f>
        <v>46223.646</v>
      </c>
      <c r="I436" s="84">
        <f>IFERROR(__xludf.DUMMYFUNCTION("""COMPUTED_VALUE"""),46223.47331912037)</f>
        <v>46223.47332</v>
      </c>
      <c r="J436" s="76">
        <f t="shared" si="2"/>
        <v>0.1726782176</v>
      </c>
      <c r="L436" s="76">
        <f>IFERROR(__xludf.DUMMYFUNCTION("""COMPUTED_VALUE"""),5397.0)</f>
        <v>5397</v>
      </c>
      <c r="M436" s="232">
        <f>IFERROR(__xludf.DUMMYFUNCTION("""COMPUTED_VALUE"""),46223.750164004625)</f>
        <v>46223.75016</v>
      </c>
      <c r="N436" s="84">
        <f>IFERROR(__xludf.DUMMYFUNCTION("""COMPUTED_VALUE"""),46223.47610476852)</f>
        <v>46223.4761</v>
      </c>
      <c r="O436" s="76">
        <f t="shared" si="3"/>
        <v>0.2740592361</v>
      </c>
      <c r="Q436" s="76">
        <f>IFERROR(__xludf.DUMMYFUNCTION("""COMPUTED_VALUE"""),5392.0)</f>
        <v>5392</v>
      </c>
      <c r="R436" s="232">
        <f>IFERROR(__xludf.DUMMYFUNCTION("""COMPUTED_VALUE"""),46223.62569444445)</f>
        <v>46223.62569</v>
      </c>
      <c r="S436" s="84">
        <f>IFERROR(__xludf.DUMMYFUNCTION("""COMPUTED_VALUE"""),46221.434726238425)</f>
        <v>46221.43473</v>
      </c>
      <c r="T436" s="76">
        <f t="shared" si="4"/>
        <v>2.190968206</v>
      </c>
      <c r="V436" s="76">
        <f>IFERROR(__xludf.DUMMYFUNCTION("""COMPUTED_VALUE"""),5398.0)</f>
        <v>5398</v>
      </c>
      <c r="W436" s="232">
        <f>IFERROR(__xludf.DUMMYFUNCTION("""COMPUTED_VALUE"""),46225.46180555555)</f>
        <v>46225.46181</v>
      </c>
      <c r="X436" s="84">
        <f>IFERROR(__xludf.DUMMYFUNCTION("""COMPUTED_VALUE"""),46224.74681174768)</f>
        <v>46224.74681</v>
      </c>
      <c r="Y436" s="76">
        <f t="shared" si="5"/>
        <v>0.7149938079</v>
      </c>
      <c r="AK436" s="232"/>
      <c r="AL436" s="233"/>
      <c r="AM436" s="173"/>
    </row>
    <row r="437">
      <c r="A437" s="76">
        <f>IFERROR(__xludf.DUMMYFUNCTION("""COMPUTED_VALUE"""),5398.0)</f>
        <v>5398</v>
      </c>
      <c r="B437" s="232">
        <f>IFERROR(__xludf.DUMMYFUNCTION("""COMPUTED_VALUE"""),46223.74672583333)</f>
        <v>46223.74673</v>
      </c>
      <c r="C437" s="84">
        <f>IFERROR(__xludf.DUMMYFUNCTION("""COMPUTED_VALUE"""),46223.64472359954)</f>
        <v>46223.64472</v>
      </c>
      <c r="D437" s="173">
        <f t="shared" si="1"/>
        <v>0.1020022338</v>
      </c>
      <c r="G437" s="76">
        <f>IFERROR(__xludf.DUMMYFUNCTION("""COMPUTED_VALUE"""),5398.0)</f>
        <v>5398</v>
      </c>
      <c r="H437" s="232">
        <f>IFERROR(__xludf.DUMMYFUNCTION("""COMPUTED_VALUE"""),46223.75367027777)</f>
        <v>46223.75367</v>
      </c>
      <c r="I437" s="84">
        <f>IFERROR(__xludf.DUMMYFUNCTION("""COMPUTED_VALUE"""),46223.64479634259)</f>
        <v>46223.6448</v>
      </c>
      <c r="J437" s="76">
        <f t="shared" si="2"/>
        <v>0.1088739352</v>
      </c>
      <c r="L437" s="76">
        <f>IFERROR(__xludf.DUMMYFUNCTION("""COMPUTED_VALUE"""),5398.0)</f>
        <v>5398</v>
      </c>
      <c r="M437" s="232">
        <f>IFERROR(__xludf.DUMMYFUNCTION("""COMPUTED_VALUE"""),46224.42013888888)</f>
        <v>46224.42014</v>
      </c>
      <c r="N437" s="84">
        <f>IFERROR(__xludf.DUMMYFUNCTION("""COMPUTED_VALUE"""),46223.644881307875)</f>
        <v>46223.64488</v>
      </c>
      <c r="O437" s="76">
        <f t="shared" si="3"/>
        <v>0.775257581</v>
      </c>
      <c r="Q437" s="76">
        <f>IFERROR(__xludf.DUMMYFUNCTION("""COMPUTED_VALUE"""),5393.0)</f>
        <v>5393</v>
      </c>
      <c r="R437" s="232">
        <f>IFERROR(__xludf.DUMMYFUNCTION("""COMPUTED_VALUE"""),46223.73055555556)</f>
        <v>46223.73056</v>
      </c>
      <c r="S437" s="84">
        <f>IFERROR(__xludf.DUMMYFUNCTION("""COMPUTED_VALUE"""),46221.619134953704)</f>
        <v>46221.61913</v>
      </c>
      <c r="T437" s="76">
        <f t="shared" si="4"/>
        <v>2.111420602</v>
      </c>
      <c r="V437" s="76">
        <f>IFERROR(__xludf.DUMMYFUNCTION("""COMPUTED_VALUE"""),5399.0)</f>
        <v>5399</v>
      </c>
      <c r="W437" s="232">
        <f>IFERROR(__xludf.DUMMYFUNCTION("""COMPUTED_VALUE"""),46226.50555555556)</f>
        <v>46226.50556</v>
      </c>
      <c r="X437" s="84">
        <f>IFERROR(__xludf.DUMMYFUNCTION("""COMPUTED_VALUE"""),46224.81697508102)</f>
        <v>46224.81698</v>
      </c>
      <c r="Y437" s="76">
        <f t="shared" si="5"/>
        <v>1.688580475</v>
      </c>
      <c r="AK437" s="232"/>
      <c r="AL437" s="233"/>
      <c r="AM437" s="173"/>
    </row>
    <row r="438">
      <c r="A438" s="76">
        <f>IFERROR(__xludf.DUMMYFUNCTION("""COMPUTED_VALUE"""),5399.0)</f>
        <v>5399</v>
      </c>
      <c r="B438" s="232">
        <f>IFERROR(__xludf.DUMMYFUNCTION("""COMPUTED_VALUE"""),46224.7908087037)</f>
        <v>46224.79081</v>
      </c>
      <c r="C438" s="84">
        <f>IFERROR(__xludf.DUMMYFUNCTION("""COMPUTED_VALUE"""),46224.69713997685)</f>
        <v>46224.69714</v>
      </c>
      <c r="D438" s="173">
        <f t="shared" si="1"/>
        <v>0.09366872685</v>
      </c>
      <c r="G438" s="76">
        <f>IFERROR(__xludf.DUMMYFUNCTION("""COMPUTED_VALUE"""),5399.0)</f>
        <v>5399</v>
      </c>
      <c r="H438" s="232">
        <f>IFERROR(__xludf.DUMMYFUNCTION("""COMPUTED_VALUE"""),46224.797753148145)</f>
        <v>46224.79775</v>
      </c>
      <c r="I438" s="84">
        <f>IFERROR(__xludf.DUMMYFUNCTION("""COMPUTED_VALUE"""),46224.69728141204)</f>
        <v>46224.69728</v>
      </c>
      <c r="J438" s="76">
        <f t="shared" si="2"/>
        <v>0.1004717361</v>
      </c>
      <c r="L438" s="76">
        <f>IFERROR(__xludf.DUMMYFUNCTION("""COMPUTED_VALUE"""),5399.0)</f>
        <v>5399</v>
      </c>
      <c r="M438" s="232">
        <f>IFERROR(__xludf.DUMMYFUNCTION("""COMPUTED_VALUE"""),46225.463888888895)</f>
        <v>46225.46389</v>
      </c>
      <c r="N438" s="84">
        <f>IFERROR(__xludf.DUMMYFUNCTION("""COMPUTED_VALUE"""),46224.81694454861)</f>
        <v>46224.81694</v>
      </c>
      <c r="O438" s="76">
        <f t="shared" si="3"/>
        <v>0.6469443403</v>
      </c>
      <c r="Q438" s="76">
        <f>IFERROR(__xludf.DUMMYFUNCTION("""COMPUTED_VALUE"""),5394.0)</f>
        <v>5394</v>
      </c>
      <c r="R438" s="232">
        <f>IFERROR(__xludf.DUMMYFUNCTION("""COMPUTED_VALUE"""),46224.49097222222)</f>
        <v>46224.49097</v>
      </c>
      <c r="S438" s="84">
        <f>IFERROR(__xludf.DUMMYFUNCTION("""COMPUTED_VALUE"""),46224.45440216435)</f>
        <v>46224.4544</v>
      </c>
      <c r="T438" s="76">
        <f t="shared" si="4"/>
        <v>0.03657005787</v>
      </c>
      <c r="V438" s="76">
        <f>IFERROR(__xludf.DUMMYFUNCTION("""COMPUTED_VALUE"""),5400.0)</f>
        <v>5400</v>
      </c>
      <c r="W438" s="232">
        <f>IFERROR(__xludf.DUMMYFUNCTION("""COMPUTED_VALUE"""),46226.506944444445)</f>
        <v>46226.50694</v>
      </c>
      <c r="X438" s="84">
        <f>IFERROR(__xludf.DUMMYFUNCTION("""COMPUTED_VALUE"""),46224.8169981713)</f>
        <v>46224.817</v>
      </c>
      <c r="Y438" s="76">
        <f t="shared" si="5"/>
        <v>1.689946273</v>
      </c>
      <c r="AK438" s="232"/>
      <c r="AL438" s="233"/>
      <c r="AM438" s="173"/>
    </row>
    <row r="439">
      <c r="A439" s="76">
        <f>IFERROR(__xludf.DUMMYFUNCTION("""COMPUTED_VALUE"""),5400.0)</f>
        <v>5400</v>
      </c>
      <c r="B439" s="232">
        <f>IFERROR(__xludf.DUMMYFUNCTION("""COMPUTED_VALUE"""),46224.791710625)</f>
        <v>46224.79171</v>
      </c>
      <c r="C439" s="84">
        <f>IFERROR(__xludf.DUMMYFUNCTION("""COMPUTED_VALUE"""),46224.69716846065)</f>
        <v>46224.69717</v>
      </c>
      <c r="D439" s="173">
        <f t="shared" si="1"/>
        <v>0.09454216436</v>
      </c>
      <c r="G439" s="76">
        <f>IFERROR(__xludf.DUMMYFUNCTION("""COMPUTED_VALUE"""),5400.0)</f>
        <v>5400</v>
      </c>
      <c r="H439" s="232">
        <f>IFERROR(__xludf.DUMMYFUNCTION("""COMPUTED_VALUE"""),46224.79865506945)</f>
        <v>46224.79866</v>
      </c>
      <c r="I439" s="84">
        <f>IFERROR(__xludf.DUMMYFUNCTION("""COMPUTED_VALUE"""),46224.697322314816)</f>
        <v>46224.69732</v>
      </c>
      <c r="J439" s="76">
        <f t="shared" si="2"/>
        <v>0.1013327546</v>
      </c>
      <c r="L439" s="76">
        <f>IFERROR(__xludf.DUMMYFUNCTION("""COMPUTED_VALUE"""),5400.0)</f>
        <v>5400</v>
      </c>
      <c r="M439" s="232">
        <f>IFERROR(__xludf.DUMMYFUNCTION("""COMPUTED_VALUE"""),46225.46527777778)</f>
        <v>46225.46528</v>
      </c>
      <c r="N439" s="84">
        <f>IFERROR(__xludf.DUMMYFUNCTION("""COMPUTED_VALUE"""),46224.81690431713)</f>
        <v>46224.8169</v>
      </c>
      <c r="O439" s="76">
        <f t="shared" si="3"/>
        <v>0.6483734607</v>
      </c>
      <c r="Q439" s="76">
        <f>IFERROR(__xludf.DUMMYFUNCTION("""COMPUTED_VALUE"""),5395.0)</f>
        <v>5395</v>
      </c>
      <c r="R439" s="232">
        <f>IFERROR(__xludf.DUMMYFUNCTION("""COMPUTED_VALUE"""),46224.638194444444)</f>
        <v>46224.63819</v>
      </c>
      <c r="S439" s="84">
        <f>IFERROR(__xludf.DUMMYFUNCTION("""COMPUTED_VALUE"""),46224.45442565972)</f>
        <v>46224.45443</v>
      </c>
      <c r="T439" s="76">
        <f t="shared" si="4"/>
        <v>0.1837687847</v>
      </c>
      <c r="V439" s="76">
        <f>IFERROR(__xludf.DUMMYFUNCTION("""COMPUTED_VALUE"""),5401.0)</f>
        <v>5401</v>
      </c>
      <c r="W439" s="232">
        <f>IFERROR(__xludf.DUMMYFUNCTION("""COMPUTED_VALUE"""),46226.74583333333)</f>
        <v>46226.74583</v>
      </c>
      <c r="X439" s="84">
        <f>IFERROR(__xludf.DUMMYFUNCTION("""COMPUTED_VALUE"""),46226.446916307876)</f>
        <v>46226.44692</v>
      </c>
      <c r="Y439" s="76">
        <f t="shared" si="5"/>
        <v>0.2989170255</v>
      </c>
      <c r="AK439" s="232"/>
      <c r="AL439" s="233"/>
      <c r="AM439" s="173"/>
    </row>
    <row r="440">
      <c r="A440" s="76">
        <f>IFERROR(__xludf.DUMMYFUNCTION("""COMPUTED_VALUE"""),5401.0)</f>
        <v>5401</v>
      </c>
      <c r="B440" s="232">
        <f>IFERROR(__xludf.DUMMYFUNCTION("""COMPUTED_VALUE"""),46225.59318633102)</f>
        <v>46225.59319</v>
      </c>
      <c r="C440" s="84">
        <f>IFERROR(__xludf.DUMMYFUNCTION("""COMPUTED_VALUE"""),46225.44678261574)</f>
        <v>46225.44678</v>
      </c>
      <c r="D440" s="173">
        <f t="shared" si="1"/>
        <v>0.1464037153</v>
      </c>
      <c r="G440" s="76">
        <f>IFERROR(__xludf.DUMMYFUNCTION("""COMPUTED_VALUE"""),5401.0)</f>
        <v>5401</v>
      </c>
      <c r="H440" s="232">
        <f>IFERROR(__xludf.DUMMYFUNCTION("""COMPUTED_VALUE"""),46225.60013077546)</f>
        <v>46225.60013</v>
      </c>
      <c r="I440" s="84">
        <f>IFERROR(__xludf.DUMMYFUNCTION("""COMPUTED_VALUE"""),46225.44688791667)</f>
        <v>46225.44689</v>
      </c>
      <c r="J440" s="76">
        <f t="shared" si="2"/>
        <v>0.1532428588</v>
      </c>
      <c r="L440" s="76">
        <f>IFERROR(__xludf.DUMMYFUNCTION("""COMPUTED_VALUE"""),5401.0)</f>
        <v>5401</v>
      </c>
      <c r="M440" s="232">
        <f>IFERROR(__xludf.DUMMYFUNCTION("""COMPUTED_VALUE"""),46225.70429744213)</f>
        <v>46225.7043</v>
      </c>
      <c r="N440" s="84">
        <f>IFERROR(__xludf.DUMMYFUNCTION("""COMPUTED_VALUE"""),46225.44693805555)</f>
        <v>46225.44694</v>
      </c>
      <c r="O440" s="76">
        <f t="shared" si="3"/>
        <v>0.2573593866</v>
      </c>
      <c r="Q440" s="76">
        <f>IFERROR(__xludf.DUMMYFUNCTION("""COMPUTED_VALUE"""),5396.0)</f>
        <v>5396</v>
      </c>
      <c r="R440" s="232">
        <f>IFERROR(__xludf.DUMMYFUNCTION("""COMPUTED_VALUE"""),46224.620833333334)</f>
        <v>46224.62083</v>
      </c>
      <c r="S440" s="84">
        <f>IFERROR(__xludf.DUMMYFUNCTION("""COMPUTED_VALUE"""),46223.501375567124)</f>
        <v>46223.50138</v>
      </c>
      <c r="T440" s="76">
        <f t="shared" si="4"/>
        <v>1.119457766</v>
      </c>
      <c r="V440" s="76">
        <f>IFERROR(__xludf.DUMMYFUNCTION("""COMPUTED_VALUE"""),5402.0)</f>
        <v>5402</v>
      </c>
      <c r="W440" s="232">
        <f>IFERROR(__xludf.DUMMYFUNCTION("""COMPUTED_VALUE"""),46226.74861111111)</f>
        <v>46226.74861</v>
      </c>
      <c r="X440" s="84">
        <f>IFERROR(__xludf.DUMMYFUNCTION("""COMPUTED_VALUE"""),46226.72876090278)</f>
        <v>46226.72876</v>
      </c>
      <c r="Y440" s="76">
        <f t="shared" si="5"/>
        <v>0.01985020833</v>
      </c>
      <c r="AK440" s="232"/>
      <c r="AL440" s="233"/>
      <c r="AM440" s="173"/>
    </row>
    <row r="441">
      <c r="A441" s="76">
        <f>IFERROR(__xludf.DUMMYFUNCTION("""COMPUTED_VALUE"""),5402.0)</f>
        <v>5402</v>
      </c>
      <c r="B441" s="232">
        <f>IFERROR(__xludf.DUMMYFUNCTION("""COMPUTED_VALUE"""),46225.596197280094)</f>
        <v>46225.5962</v>
      </c>
      <c r="C441" s="84">
        <f>IFERROR(__xludf.DUMMYFUNCTION("""COMPUTED_VALUE"""),46225.44681006944)</f>
        <v>46225.44681</v>
      </c>
      <c r="D441" s="173">
        <f t="shared" si="1"/>
        <v>0.1493872107</v>
      </c>
      <c r="G441" s="76">
        <f>IFERROR(__xludf.DUMMYFUNCTION("""COMPUTED_VALUE"""),5402.0)</f>
        <v>5402</v>
      </c>
      <c r="H441" s="232">
        <f>IFERROR(__xludf.DUMMYFUNCTION("""COMPUTED_VALUE"""),46225.60314172454)</f>
        <v>46225.60314</v>
      </c>
      <c r="I441" s="84">
        <f>IFERROR(__xludf.DUMMYFUNCTION("""COMPUTED_VALUE"""),46225.44690484954)</f>
        <v>46225.4469</v>
      </c>
      <c r="J441" s="76">
        <f t="shared" si="2"/>
        <v>0.156236875</v>
      </c>
      <c r="L441" s="76">
        <f>IFERROR(__xludf.DUMMYFUNCTION("""COMPUTED_VALUE"""),5402.0)</f>
        <v>5402</v>
      </c>
      <c r="M441" s="232">
        <f>IFERROR(__xludf.DUMMYFUNCTION("""COMPUTED_VALUE"""),46225.707308391204)</f>
        <v>46225.70731</v>
      </c>
      <c r="N441" s="84">
        <f>IFERROR(__xludf.DUMMYFUNCTION("""COMPUTED_VALUE"""),46225.44694849537)</f>
        <v>46225.44695</v>
      </c>
      <c r="O441" s="76">
        <f t="shared" si="3"/>
        <v>0.2603598958</v>
      </c>
      <c r="Q441" s="76">
        <f>IFERROR(__xludf.DUMMYFUNCTION("""COMPUTED_VALUE"""),5397.0)</f>
        <v>5397</v>
      </c>
      <c r="R441" s="232">
        <f>IFERROR(__xludf.DUMMYFUNCTION("""COMPUTED_VALUE"""),46224.75)</f>
        <v>46224.75</v>
      </c>
      <c r="S441" s="84">
        <f>IFERROR(__xludf.DUMMYFUNCTION("""COMPUTED_VALUE"""),46223.50110673611)</f>
        <v>46223.50111</v>
      </c>
      <c r="T441" s="76">
        <f t="shared" si="4"/>
        <v>1.248893264</v>
      </c>
      <c r="V441" s="76">
        <f>IFERROR(__xludf.DUMMYFUNCTION("""COMPUTED_VALUE"""),5403.0)</f>
        <v>5403</v>
      </c>
      <c r="W441" s="232">
        <f>IFERROR(__xludf.DUMMYFUNCTION("""COMPUTED_VALUE"""),46226.78194444445)</f>
        <v>46226.78194</v>
      </c>
      <c r="X441" s="84">
        <f>IFERROR(__xludf.DUMMYFUNCTION("""COMPUTED_VALUE"""),46226.44704546296)</f>
        <v>46226.44705</v>
      </c>
      <c r="Y441" s="76">
        <f t="shared" si="5"/>
        <v>0.3348989815</v>
      </c>
      <c r="AK441" s="232"/>
      <c r="AL441" s="233"/>
      <c r="AM441" s="173"/>
    </row>
    <row r="442">
      <c r="A442" s="76">
        <f>IFERROR(__xludf.DUMMYFUNCTION("""COMPUTED_VALUE"""),5403.0)</f>
        <v>5403</v>
      </c>
      <c r="B442" s="232">
        <f>IFERROR(__xludf.DUMMYFUNCTION("""COMPUTED_VALUE"""),46225.62980528935)</f>
        <v>46225.62981</v>
      </c>
      <c r="C442" s="84">
        <f>IFERROR(__xludf.DUMMYFUNCTION("""COMPUTED_VALUE"""),46225.47228476852)</f>
        <v>46225.47228</v>
      </c>
      <c r="D442" s="173">
        <f t="shared" si="1"/>
        <v>0.1575205208</v>
      </c>
      <c r="G442" s="76">
        <f>IFERROR(__xludf.DUMMYFUNCTION("""COMPUTED_VALUE"""),5403.0)</f>
        <v>5403</v>
      </c>
      <c r="H442" s="232">
        <f>IFERROR(__xludf.DUMMYFUNCTION("""COMPUTED_VALUE"""),46225.63674973379)</f>
        <v>46225.63675</v>
      </c>
      <c r="I442" s="84">
        <f>IFERROR(__xludf.DUMMYFUNCTION("""COMPUTED_VALUE"""),46225.47252077547)</f>
        <v>46225.47252</v>
      </c>
      <c r="J442" s="76">
        <f t="shared" si="2"/>
        <v>0.1642289583</v>
      </c>
      <c r="L442" s="76">
        <f>IFERROR(__xludf.DUMMYFUNCTION("""COMPUTED_VALUE"""),5403.0)</f>
        <v>5403</v>
      </c>
      <c r="M442" s="232">
        <f>IFERROR(__xludf.DUMMYFUNCTION("""COMPUTED_VALUE"""),46225.74091640046)</f>
        <v>46225.74092</v>
      </c>
      <c r="N442" s="84">
        <f>IFERROR(__xludf.DUMMYFUNCTION("""COMPUTED_VALUE"""),46225.54894283565)</f>
        <v>46225.54894</v>
      </c>
      <c r="O442" s="76">
        <f t="shared" si="3"/>
        <v>0.1919735648</v>
      </c>
      <c r="Q442" s="76">
        <f>IFERROR(__xludf.DUMMYFUNCTION("""COMPUTED_VALUE"""),5398.0)</f>
        <v>5398</v>
      </c>
      <c r="R442" s="232">
        <f>IFERROR(__xludf.DUMMYFUNCTION("""COMPUTED_VALUE"""),46225.42013888888)</f>
        <v>46225.42014</v>
      </c>
      <c r="S442" s="84">
        <f>IFERROR(__xludf.DUMMYFUNCTION("""COMPUTED_VALUE"""),46224.746793831015)</f>
        <v>46224.74679</v>
      </c>
      <c r="T442" s="76">
        <f t="shared" si="4"/>
        <v>0.6733450579</v>
      </c>
      <c r="V442" s="76">
        <f>IFERROR(__xludf.DUMMYFUNCTION("""COMPUTED_VALUE"""),5404.0)</f>
        <v>5404</v>
      </c>
      <c r="W442" s="232">
        <f>IFERROR(__xludf.DUMMYFUNCTION("""COMPUTED_VALUE"""),46227.52569444444)</f>
        <v>46227.52569</v>
      </c>
      <c r="X442" s="84">
        <f>IFERROR(__xludf.DUMMYFUNCTION("""COMPUTED_VALUE"""),46226.72894710649)</f>
        <v>46226.72895</v>
      </c>
      <c r="Y442" s="76">
        <f t="shared" si="5"/>
        <v>0.796747338</v>
      </c>
      <c r="AK442" s="232"/>
      <c r="AL442" s="233"/>
      <c r="AM442" s="173"/>
    </row>
    <row r="443">
      <c r="A443" s="76">
        <f>IFERROR(__xludf.DUMMYFUNCTION("""COMPUTED_VALUE"""),5404.0)</f>
        <v>5404</v>
      </c>
      <c r="B443" s="232">
        <f>IFERROR(__xludf.DUMMYFUNCTION("""COMPUTED_VALUE"""),46225.76931043981)</f>
        <v>46225.76931</v>
      </c>
      <c r="C443" s="84">
        <f>IFERROR(__xludf.DUMMYFUNCTION("""COMPUTED_VALUE"""),46225.658853182875)</f>
        <v>46225.65885</v>
      </c>
      <c r="D443" s="173">
        <f t="shared" si="1"/>
        <v>0.1104572569</v>
      </c>
      <c r="G443" s="76">
        <f>IFERROR(__xludf.DUMMYFUNCTION("""COMPUTED_VALUE"""),5404.0)</f>
        <v>5404</v>
      </c>
      <c r="H443" s="232">
        <f>IFERROR(__xludf.DUMMYFUNCTION("""COMPUTED_VALUE"""),46225.77625488426)</f>
        <v>46225.77625</v>
      </c>
      <c r="I443" s="84">
        <f>IFERROR(__xludf.DUMMYFUNCTION("""COMPUTED_VALUE"""),46225.65971219908)</f>
        <v>46225.65971</v>
      </c>
      <c r="J443" s="76">
        <f t="shared" si="2"/>
        <v>0.1165426852</v>
      </c>
      <c r="L443" s="76">
        <f>IFERROR(__xludf.DUMMYFUNCTION("""COMPUTED_VALUE"""),5404.0)</f>
        <v>5404</v>
      </c>
      <c r="M443" s="232">
        <f>IFERROR(__xludf.DUMMYFUNCTION("""COMPUTED_VALUE"""),46226.48402777778)</f>
        <v>46226.48403</v>
      </c>
      <c r="N443" s="84">
        <f>IFERROR(__xludf.DUMMYFUNCTION("""COMPUTED_VALUE"""),46225.660072314815)</f>
        <v>46225.66007</v>
      </c>
      <c r="O443" s="76">
        <f t="shared" si="3"/>
        <v>0.823955463</v>
      </c>
      <c r="Q443" s="76">
        <f>IFERROR(__xludf.DUMMYFUNCTION("""COMPUTED_VALUE"""),5399.0)</f>
        <v>5399</v>
      </c>
      <c r="R443" s="232">
        <f>IFERROR(__xludf.DUMMYFUNCTION("""COMPUTED_VALUE"""),46226.463888888895)</f>
        <v>46226.46389</v>
      </c>
      <c r="S443" s="84">
        <f>IFERROR(__xludf.DUMMYFUNCTION("""COMPUTED_VALUE"""),46224.81692171296)</f>
        <v>46224.81692</v>
      </c>
      <c r="T443" s="76">
        <f t="shared" si="4"/>
        <v>1.646967176</v>
      </c>
      <c r="V443" s="76">
        <f>IFERROR(__xludf.DUMMYFUNCTION("""COMPUTED_VALUE"""),5405.0)</f>
        <v>5405</v>
      </c>
      <c r="W443" s="232">
        <f>IFERROR(__xludf.DUMMYFUNCTION("""COMPUTED_VALUE"""),46227.78888888889)</f>
        <v>46227.78889</v>
      </c>
      <c r="X443" s="84">
        <f>IFERROR(__xludf.DUMMYFUNCTION("""COMPUTED_VALUE"""),46227.486757708335)</f>
        <v>46227.48676</v>
      </c>
      <c r="Y443" s="76">
        <f t="shared" si="5"/>
        <v>0.3021311806</v>
      </c>
      <c r="AK443" s="232"/>
      <c r="AL443" s="233"/>
      <c r="AM443" s="173"/>
    </row>
    <row r="444">
      <c r="A444" s="76">
        <f>IFERROR(__xludf.DUMMYFUNCTION("""COMPUTED_VALUE"""),5405.0)</f>
        <v>5405</v>
      </c>
      <c r="B444" s="232">
        <f>IFERROR(__xludf.DUMMYFUNCTION("""COMPUTED_VALUE"""),46226.63637642361)</f>
        <v>46226.63638</v>
      </c>
      <c r="C444" s="84">
        <f>IFERROR(__xludf.DUMMYFUNCTION("""COMPUTED_VALUE"""),46226.480699594904)</f>
        <v>46226.4807</v>
      </c>
      <c r="D444" s="173">
        <f t="shared" si="1"/>
        <v>0.1556768287</v>
      </c>
      <c r="G444" s="76">
        <f>IFERROR(__xludf.DUMMYFUNCTION("""COMPUTED_VALUE"""),5405.0)</f>
        <v>5405</v>
      </c>
      <c r="H444" s="232">
        <f>IFERROR(__xludf.DUMMYFUNCTION("""COMPUTED_VALUE"""),46226.643320868054)</f>
        <v>46226.64332</v>
      </c>
      <c r="I444" s="84">
        <f>IFERROR(__xludf.DUMMYFUNCTION("""COMPUTED_VALUE"""),46226.48097619213)</f>
        <v>46226.48098</v>
      </c>
      <c r="J444" s="76">
        <f t="shared" si="2"/>
        <v>0.1623446759</v>
      </c>
      <c r="L444" s="76">
        <f>IFERROR(__xludf.DUMMYFUNCTION("""COMPUTED_VALUE"""),5405.0)</f>
        <v>5405</v>
      </c>
      <c r="M444" s="232">
        <f>IFERROR(__xludf.DUMMYFUNCTION("""COMPUTED_VALUE"""),46226.74748753472)</f>
        <v>46226.74749</v>
      </c>
      <c r="N444" s="84">
        <f>IFERROR(__xludf.DUMMYFUNCTION("""COMPUTED_VALUE"""),46226.60764105324)</f>
        <v>46226.60764</v>
      </c>
      <c r="O444" s="76">
        <f t="shared" si="3"/>
        <v>0.1398464815</v>
      </c>
      <c r="Q444" s="76">
        <f>IFERROR(__xludf.DUMMYFUNCTION("""COMPUTED_VALUE"""),5400.0)</f>
        <v>5400</v>
      </c>
      <c r="R444" s="232">
        <f>IFERROR(__xludf.DUMMYFUNCTION("""COMPUTED_VALUE"""),46226.46527777778)</f>
        <v>46226.46528</v>
      </c>
      <c r="S444" s="84">
        <f>IFERROR(__xludf.DUMMYFUNCTION("""COMPUTED_VALUE"""),46224.81694153935)</f>
        <v>46224.81694</v>
      </c>
      <c r="T444" s="76">
        <f t="shared" si="4"/>
        <v>1.648336238</v>
      </c>
      <c r="V444" s="76">
        <f>IFERROR(__xludf.DUMMYFUNCTION("""COMPUTED_VALUE"""),5406.0)</f>
        <v>5406</v>
      </c>
      <c r="W444" s="232">
        <f>IFERROR(__xludf.DUMMYFUNCTION("""COMPUTED_VALUE"""),46227.79722222222)</f>
        <v>46227.79722</v>
      </c>
      <c r="X444" s="84">
        <f>IFERROR(__xludf.DUMMYFUNCTION("""COMPUTED_VALUE"""),46226.72920594907)</f>
        <v>46226.72921</v>
      </c>
      <c r="Y444" s="76">
        <f t="shared" si="5"/>
        <v>1.068016273</v>
      </c>
      <c r="AK444" s="232"/>
      <c r="AL444" s="233"/>
      <c r="AM444" s="173"/>
    </row>
    <row r="445">
      <c r="A445" s="76">
        <f>IFERROR(__xludf.DUMMYFUNCTION("""COMPUTED_VALUE"""),5406.0)</f>
        <v>5406</v>
      </c>
      <c r="B445" s="232">
        <f>IFERROR(__xludf.DUMMYFUNCTION("""COMPUTED_VALUE"""),46226.64493909722)</f>
        <v>46226.64494</v>
      </c>
      <c r="C445" s="84">
        <f>IFERROR(__xludf.DUMMYFUNCTION("""COMPUTED_VALUE"""),46226.48086927083)</f>
        <v>46226.48087</v>
      </c>
      <c r="D445" s="173">
        <f t="shared" si="1"/>
        <v>0.1640698264</v>
      </c>
      <c r="G445" s="76">
        <f>IFERROR(__xludf.DUMMYFUNCTION("""COMPUTED_VALUE"""),5406.0)</f>
        <v>5406</v>
      </c>
      <c r="H445" s="232">
        <f>IFERROR(__xludf.DUMMYFUNCTION("""COMPUTED_VALUE"""),46226.651883541665)</f>
        <v>46226.65188</v>
      </c>
      <c r="I445" s="84">
        <f>IFERROR(__xludf.DUMMYFUNCTION("""COMPUTED_VALUE"""),46226.480997199076)</f>
        <v>46226.481</v>
      </c>
      <c r="J445" s="76">
        <f t="shared" si="2"/>
        <v>0.1708863426</v>
      </c>
      <c r="L445" s="76">
        <f>IFERROR(__xludf.DUMMYFUNCTION("""COMPUTED_VALUE"""),5406.0)</f>
        <v>5406</v>
      </c>
      <c r="M445" s="232">
        <f>IFERROR(__xludf.DUMMYFUNCTION("""COMPUTED_VALUE"""),46226.75605020833)</f>
        <v>46226.75605</v>
      </c>
      <c r="N445" s="84">
        <f>IFERROR(__xludf.DUMMYFUNCTION("""COMPUTED_VALUE"""),46226.60766732639)</f>
        <v>46226.60767</v>
      </c>
      <c r="O445" s="76">
        <f t="shared" si="3"/>
        <v>0.1483828819</v>
      </c>
      <c r="Q445" s="76">
        <f>IFERROR(__xludf.DUMMYFUNCTION("""COMPUTED_VALUE"""),5401.0)</f>
        <v>5401</v>
      </c>
      <c r="R445" s="232">
        <f>IFERROR(__xludf.DUMMYFUNCTION("""COMPUTED_VALUE"""),46226.70416666666)</f>
        <v>46226.70417</v>
      </c>
      <c r="S445" s="84">
        <f>IFERROR(__xludf.DUMMYFUNCTION("""COMPUTED_VALUE"""),46226.446826238425)</f>
        <v>46226.44683</v>
      </c>
      <c r="T445" s="76">
        <f t="shared" si="4"/>
        <v>0.2573404282</v>
      </c>
      <c r="V445" s="76">
        <f>IFERROR(__xludf.DUMMYFUNCTION("""COMPUTED_VALUE"""),5407.0)</f>
        <v>5407</v>
      </c>
      <c r="W445" s="232">
        <f>IFERROR(__xludf.DUMMYFUNCTION("""COMPUTED_VALUE"""),46228.416666666664)</f>
        <v>46228.41667</v>
      </c>
      <c r="X445" s="84">
        <f>IFERROR(__xludf.DUMMYFUNCTION("""COMPUTED_VALUE"""),46227.44436857638)</f>
        <v>46227.44437</v>
      </c>
      <c r="Y445" s="76">
        <f t="shared" si="5"/>
        <v>0.9722980903</v>
      </c>
      <c r="AK445" s="232"/>
      <c r="AL445" s="233"/>
      <c r="AM445" s="173"/>
    </row>
    <row r="446">
      <c r="A446" s="76">
        <f>IFERROR(__xludf.DUMMYFUNCTION("""COMPUTED_VALUE"""),5407.0)</f>
        <v>5407</v>
      </c>
      <c r="B446" s="232">
        <f>IFERROR(__xludf.DUMMYFUNCTION("""COMPUTED_VALUE"""),46226.68107259259)</f>
        <v>46226.68107</v>
      </c>
      <c r="C446" s="84">
        <f>IFERROR(__xludf.DUMMYFUNCTION("""COMPUTED_VALUE"""),46226.60719565972)</f>
        <v>46226.6072</v>
      </c>
      <c r="D446" s="173">
        <f t="shared" si="1"/>
        <v>0.07387693287</v>
      </c>
      <c r="G446" s="76">
        <f>IFERROR(__xludf.DUMMYFUNCTION("""COMPUTED_VALUE"""),5407.0)</f>
        <v>5407</v>
      </c>
      <c r="H446" s="232">
        <f>IFERROR(__xludf.DUMMYFUNCTION("""COMPUTED_VALUE"""),46226.688017037035)</f>
        <v>46226.68802</v>
      </c>
      <c r="I446" s="84">
        <f>IFERROR(__xludf.DUMMYFUNCTION("""COMPUTED_VALUE"""),46226.60752510416)</f>
        <v>46226.60753</v>
      </c>
      <c r="J446" s="76">
        <f t="shared" si="2"/>
        <v>0.08049193287</v>
      </c>
      <c r="L446" s="76">
        <f>IFERROR(__xludf.DUMMYFUNCTION("""COMPUTED_VALUE"""),5407.0)</f>
        <v>5407</v>
      </c>
      <c r="M446" s="232">
        <f>IFERROR(__xludf.DUMMYFUNCTION("""COMPUTED_VALUE"""),46226.7921837037)</f>
        <v>46226.79218</v>
      </c>
      <c r="N446" s="84">
        <f>IFERROR(__xludf.DUMMYFUNCTION("""COMPUTED_VALUE"""),46226.60770494213)</f>
        <v>46226.6077</v>
      </c>
      <c r="O446" s="76">
        <f t="shared" si="3"/>
        <v>0.1844787616</v>
      </c>
      <c r="Q446" s="76">
        <f>IFERROR(__xludf.DUMMYFUNCTION("""COMPUTED_VALUE"""),5402.0)</f>
        <v>5402</v>
      </c>
      <c r="R446" s="232">
        <f>IFERROR(__xludf.DUMMYFUNCTION("""COMPUTED_VALUE"""),46226.70694444444)</f>
        <v>46226.70694</v>
      </c>
      <c r="S446" s="84">
        <f>IFERROR(__xludf.DUMMYFUNCTION("""COMPUTED_VALUE"""),46226.60800876157)</f>
        <v>46226.60801</v>
      </c>
      <c r="T446" s="76">
        <f t="shared" si="4"/>
        <v>0.09893568287</v>
      </c>
      <c r="V446" s="76">
        <f>IFERROR(__xludf.DUMMYFUNCTION("""COMPUTED_VALUE"""),5408.0)</f>
        <v>5408</v>
      </c>
      <c r="W446" s="232">
        <f>IFERROR(__xludf.DUMMYFUNCTION("""COMPUTED_VALUE"""),46228.476388888885)</f>
        <v>46228.47639</v>
      </c>
      <c r="X446" s="84">
        <f>IFERROR(__xludf.DUMMYFUNCTION("""COMPUTED_VALUE"""),46227.662885694444)</f>
        <v>46227.66289</v>
      </c>
      <c r="Y446" s="76">
        <f t="shared" si="5"/>
        <v>0.8135031944</v>
      </c>
      <c r="AK446" s="232"/>
      <c r="AL446" s="233"/>
      <c r="AM446" s="173"/>
    </row>
    <row r="447">
      <c r="A447" s="76">
        <f>IFERROR(__xludf.DUMMYFUNCTION("""COMPUTED_VALUE"""),5408.0)</f>
        <v>5408</v>
      </c>
      <c r="B447" s="232">
        <f>IFERROR(__xludf.DUMMYFUNCTION("""COMPUTED_VALUE"""),46226.76151379629)</f>
        <v>46226.76151</v>
      </c>
      <c r="C447" s="84">
        <f>IFERROR(__xludf.DUMMYFUNCTION("""COMPUTED_VALUE"""),46226.60720341435)</f>
        <v>46226.6072</v>
      </c>
      <c r="D447" s="173">
        <f t="shared" si="1"/>
        <v>0.1543103819</v>
      </c>
      <c r="G447" s="76">
        <f>IFERROR(__xludf.DUMMYFUNCTION("""COMPUTED_VALUE"""),5408.0)</f>
        <v>5408</v>
      </c>
      <c r="H447" s="232">
        <f>IFERROR(__xludf.DUMMYFUNCTION("""COMPUTED_VALUE"""),46226.76845824074)</f>
        <v>46226.76846</v>
      </c>
      <c r="I447" s="84">
        <f>IFERROR(__xludf.DUMMYFUNCTION("""COMPUTED_VALUE"""),46226.60754509259)</f>
        <v>46226.60755</v>
      </c>
      <c r="J447" s="76">
        <f t="shared" si="2"/>
        <v>0.1609131481</v>
      </c>
      <c r="L447" s="76">
        <f>IFERROR(__xludf.DUMMYFUNCTION("""COMPUTED_VALUE"""),5408.0)</f>
        <v>5408</v>
      </c>
      <c r="M447" s="232">
        <f>IFERROR(__xludf.DUMMYFUNCTION("""COMPUTED_VALUE"""),46227.43472222222)</f>
        <v>46227.43472</v>
      </c>
      <c r="N447" s="84">
        <f>IFERROR(__xludf.DUMMYFUNCTION("""COMPUTED_VALUE"""),46226.607718125)</f>
        <v>46226.60772</v>
      </c>
      <c r="O447" s="76">
        <f t="shared" si="3"/>
        <v>0.8270040972</v>
      </c>
      <c r="Q447" s="76">
        <f>IFERROR(__xludf.DUMMYFUNCTION("""COMPUTED_VALUE"""),5403.0)</f>
        <v>5403</v>
      </c>
      <c r="R447" s="232">
        <f>IFERROR(__xludf.DUMMYFUNCTION("""COMPUTED_VALUE"""),46226.74027777778)</f>
        <v>46226.74028</v>
      </c>
      <c r="S447" s="84">
        <f>IFERROR(__xludf.DUMMYFUNCTION("""COMPUTED_VALUE"""),46226.447024699075)</f>
        <v>46226.44702</v>
      </c>
      <c r="T447" s="76">
        <f t="shared" si="4"/>
        <v>0.2932530787</v>
      </c>
      <c r="V447" s="76">
        <f>IFERROR(__xludf.DUMMYFUNCTION("""COMPUTED_VALUE"""),5409.0)</f>
        <v>5409</v>
      </c>
      <c r="W447" s="232">
        <f>IFERROR(__xludf.DUMMYFUNCTION("""COMPUTED_VALUE"""),46228.47777777777)</f>
        <v>46228.47778</v>
      </c>
      <c r="X447" s="84">
        <f>IFERROR(__xludf.DUMMYFUNCTION("""COMPUTED_VALUE"""),46226.72952550926)</f>
        <v>46226.72953</v>
      </c>
      <c r="Y447" s="76">
        <f t="shared" si="5"/>
        <v>1.748252269</v>
      </c>
      <c r="AK447" s="232"/>
      <c r="AL447" s="233"/>
      <c r="AM447" s="173"/>
    </row>
    <row r="448">
      <c r="A448" s="76">
        <f>IFERROR(__xludf.DUMMYFUNCTION("""COMPUTED_VALUE"""),5409.0)</f>
        <v>5409</v>
      </c>
      <c r="B448" s="232">
        <f>IFERROR(__xludf.DUMMYFUNCTION("""COMPUTED_VALUE"""),46226.76290703704)</f>
        <v>46226.76291</v>
      </c>
      <c r="C448" s="84">
        <f>IFERROR(__xludf.DUMMYFUNCTION("""COMPUTED_VALUE"""),46226.60724168981)</f>
        <v>46226.60724</v>
      </c>
      <c r="D448" s="173">
        <f t="shared" si="1"/>
        <v>0.1556653472</v>
      </c>
      <c r="G448" s="76">
        <f>IFERROR(__xludf.DUMMYFUNCTION("""COMPUTED_VALUE"""),5409.0)</f>
        <v>5409</v>
      </c>
      <c r="H448" s="232">
        <f>IFERROR(__xludf.DUMMYFUNCTION("""COMPUTED_VALUE"""),46226.769851481484)</f>
        <v>46226.76985</v>
      </c>
      <c r="I448" s="84">
        <f>IFERROR(__xludf.DUMMYFUNCTION("""COMPUTED_VALUE"""),46226.607568541665)</f>
        <v>46226.60757</v>
      </c>
      <c r="J448" s="76">
        <f t="shared" si="2"/>
        <v>0.1622829398</v>
      </c>
      <c r="L448" s="76">
        <f>IFERROR(__xludf.DUMMYFUNCTION("""COMPUTED_VALUE"""),5409.0)</f>
        <v>5409</v>
      </c>
      <c r="M448" s="232">
        <f>IFERROR(__xludf.DUMMYFUNCTION("""COMPUTED_VALUE"""),46227.43611111111)</f>
        <v>46227.43611</v>
      </c>
      <c r="N448" s="84">
        <f>IFERROR(__xludf.DUMMYFUNCTION("""COMPUTED_VALUE"""),46226.60773859954)</f>
        <v>46226.60774</v>
      </c>
      <c r="O448" s="76">
        <f t="shared" si="3"/>
        <v>0.8283725116</v>
      </c>
      <c r="Q448" s="76">
        <f>IFERROR(__xludf.DUMMYFUNCTION("""COMPUTED_VALUE"""),5404.0)</f>
        <v>5404</v>
      </c>
      <c r="R448" s="232">
        <f>IFERROR(__xludf.DUMMYFUNCTION("""COMPUTED_VALUE"""),46227.48402777778)</f>
        <v>46227.48403</v>
      </c>
      <c r="S448" s="84">
        <f>IFERROR(__xludf.DUMMYFUNCTION("""COMPUTED_VALUE"""),46226.728908125)</f>
        <v>46226.72891</v>
      </c>
      <c r="T448" s="76">
        <f t="shared" si="4"/>
        <v>0.7551196528</v>
      </c>
      <c r="V448" s="76">
        <f>IFERROR(__xludf.DUMMYFUNCTION("""COMPUTED_VALUE"""),5410.0)</f>
        <v>5410</v>
      </c>
      <c r="W448" s="232">
        <f>IFERROR(__xludf.DUMMYFUNCTION("""COMPUTED_VALUE"""),46228.598611111105)</f>
        <v>46228.59861</v>
      </c>
      <c r="X448" s="84">
        <f>IFERROR(__xludf.DUMMYFUNCTION("""COMPUTED_VALUE"""),46228.43348788194)</f>
        <v>46228.43349</v>
      </c>
      <c r="Y448" s="76">
        <f t="shared" si="5"/>
        <v>0.1651232292</v>
      </c>
      <c r="AK448" s="232"/>
      <c r="AL448" s="233"/>
      <c r="AM448" s="173"/>
    </row>
    <row r="449">
      <c r="A449" s="76">
        <f>IFERROR(__xludf.DUMMYFUNCTION("""COMPUTED_VALUE"""),5410.0)</f>
        <v>5410</v>
      </c>
      <c r="B449" s="232">
        <f>IFERROR(__xludf.DUMMYFUNCTION("""COMPUTED_VALUE"""),46226.828176793984)</f>
        <v>46226.82818</v>
      </c>
      <c r="C449" s="84">
        <f>IFERROR(__xludf.DUMMYFUNCTION("""COMPUTED_VALUE"""),46226.72799284723)</f>
        <v>46226.72799</v>
      </c>
      <c r="D449" s="173">
        <f t="shared" si="1"/>
        <v>0.1001839468</v>
      </c>
      <c r="G449" s="76">
        <f>IFERROR(__xludf.DUMMYFUNCTION("""COMPUTED_VALUE"""),5410.0)</f>
        <v>5410</v>
      </c>
      <c r="H449" s="232">
        <f>IFERROR(__xludf.DUMMYFUNCTION("""COMPUTED_VALUE"""),46227.45277777778)</f>
        <v>46227.45278</v>
      </c>
      <c r="I449" s="84">
        <f>IFERROR(__xludf.DUMMYFUNCTION("""COMPUTED_VALUE"""),46226.72809261574)</f>
        <v>46226.72809</v>
      </c>
      <c r="J449" s="76">
        <f t="shared" si="2"/>
        <v>0.724685162</v>
      </c>
      <c r="L449" s="76">
        <f>IFERROR(__xludf.DUMMYFUNCTION("""COMPUTED_VALUE"""),5410.0)</f>
        <v>5410</v>
      </c>
      <c r="M449" s="232">
        <f>IFERROR(__xludf.DUMMYFUNCTION("""COMPUTED_VALUE"""),46227.55694444444)</f>
        <v>46227.55694</v>
      </c>
      <c r="N449" s="84">
        <f>IFERROR(__xludf.DUMMYFUNCTION("""COMPUTED_VALUE"""),46227.44519663195)</f>
        <v>46227.4452</v>
      </c>
      <c r="O449" s="76">
        <f t="shared" si="3"/>
        <v>0.1117478125</v>
      </c>
      <c r="Q449" s="76">
        <f>IFERROR(__xludf.DUMMYFUNCTION("""COMPUTED_VALUE"""),5405.0)</f>
        <v>5405</v>
      </c>
      <c r="R449" s="232">
        <f>IFERROR(__xludf.DUMMYFUNCTION("""COMPUTED_VALUE"""),46227.74722222223)</f>
        <v>46227.74722</v>
      </c>
      <c r="S449" s="84">
        <f>IFERROR(__xludf.DUMMYFUNCTION("""COMPUTED_VALUE"""),46227.48672775463)</f>
        <v>46227.48673</v>
      </c>
      <c r="T449" s="76">
        <f t="shared" si="4"/>
        <v>0.2604944676</v>
      </c>
      <c r="V449" s="76">
        <f>IFERROR(__xludf.DUMMYFUNCTION("""COMPUTED_VALUE"""),5411.0)</f>
        <v>5411</v>
      </c>
      <c r="W449" s="232">
        <f>IFERROR(__xludf.DUMMYFUNCTION("""COMPUTED_VALUE"""),46228.569444444445)</f>
        <v>46228.56944</v>
      </c>
      <c r="X449" s="84">
        <f>IFERROR(__xludf.DUMMYFUNCTION("""COMPUTED_VALUE"""),46227.712069444446)</f>
        <v>46227.71207</v>
      </c>
      <c r="Y449" s="76">
        <f t="shared" si="5"/>
        <v>0.857375</v>
      </c>
      <c r="AK449" s="232"/>
      <c r="AL449" s="233"/>
      <c r="AM449" s="173"/>
    </row>
    <row r="450">
      <c r="A450" s="76">
        <f>IFERROR(__xludf.DUMMYFUNCTION("""COMPUTED_VALUE"""),5411.0)</f>
        <v>5411</v>
      </c>
      <c r="B450" s="232">
        <f>IFERROR(__xludf.DUMMYFUNCTION("""COMPUTED_VALUE"""),46227.416666666664)</f>
        <v>46227.41667</v>
      </c>
      <c r="C450" s="84">
        <f>IFERROR(__xludf.DUMMYFUNCTION("""COMPUTED_VALUE"""),46226.72816478009)</f>
        <v>46226.72816</v>
      </c>
      <c r="D450" s="173">
        <f t="shared" si="1"/>
        <v>0.6885018866</v>
      </c>
      <c r="G450" s="76">
        <f>IFERROR(__xludf.DUMMYFUNCTION("""COMPUTED_VALUE"""),5411.0)</f>
        <v>5411</v>
      </c>
      <c r="H450" s="232">
        <f>IFERROR(__xludf.DUMMYFUNCTION("""COMPUTED_VALUE"""),46227.42361111111)</f>
        <v>46227.42361</v>
      </c>
      <c r="I450" s="84">
        <f>IFERROR(__xludf.DUMMYFUNCTION("""COMPUTED_VALUE"""),46226.72823320601)</f>
        <v>46226.72823</v>
      </c>
      <c r="J450" s="76">
        <f t="shared" si="2"/>
        <v>0.6953779051</v>
      </c>
      <c r="L450" s="76">
        <f>IFERROR(__xludf.DUMMYFUNCTION("""COMPUTED_VALUE"""),5411.0)</f>
        <v>5411</v>
      </c>
      <c r="M450" s="232">
        <f>IFERROR(__xludf.DUMMYFUNCTION("""COMPUTED_VALUE"""),46227.527777777774)</f>
        <v>46227.52778</v>
      </c>
      <c r="N450" s="84">
        <f>IFERROR(__xludf.DUMMYFUNCTION("""COMPUTED_VALUE"""),46227.45907188657)</f>
        <v>46227.45907</v>
      </c>
      <c r="O450" s="76">
        <f t="shared" si="3"/>
        <v>0.0687058912</v>
      </c>
      <c r="Q450" s="76">
        <f>IFERROR(__xludf.DUMMYFUNCTION("""COMPUTED_VALUE"""),5406.0)</f>
        <v>5406</v>
      </c>
      <c r="R450" s="232">
        <f>IFERROR(__xludf.DUMMYFUNCTION("""COMPUTED_VALUE"""),46227.75555555556)</f>
        <v>46227.75556</v>
      </c>
      <c r="S450" s="84">
        <f>IFERROR(__xludf.DUMMYFUNCTION("""COMPUTED_VALUE"""),46226.72919165509)</f>
        <v>46226.72919</v>
      </c>
      <c r="T450" s="76">
        <f t="shared" si="4"/>
        <v>1.0263639</v>
      </c>
      <c r="V450" s="76">
        <f>IFERROR(__xludf.DUMMYFUNCTION("""COMPUTED_VALUE"""),5412.0)</f>
        <v>5412</v>
      </c>
      <c r="W450" s="232">
        <f>IFERROR(__xludf.DUMMYFUNCTION("""COMPUTED_VALUE"""),46228.59097222222)</f>
        <v>46228.59097</v>
      </c>
      <c r="X450" s="84">
        <f>IFERROR(__xludf.DUMMYFUNCTION("""COMPUTED_VALUE"""),46227.493535173606)</f>
        <v>46227.49354</v>
      </c>
      <c r="Y450" s="76">
        <f t="shared" si="5"/>
        <v>1.097437049</v>
      </c>
      <c r="AK450" s="232"/>
      <c r="AL450" s="233"/>
      <c r="AM450" s="173"/>
    </row>
    <row r="451">
      <c r="A451" s="76">
        <f>IFERROR(__xludf.DUMMYFUNCTION("""COMPUTED_VALUE"""),5412.0)</f>
        <v>5412</v>
      </c>
      <c r="B451" s="232">
        <f>IFERROR(__xludf.DUMMYFUNCTION("""COMPUTED_VALUE"""),46227.43819444444)</f>
        <v>46227.43819</v>
      </c>
      <c r="C451" s="84">
        <f>IFERROR(__xludf.DUMMYFUNCTION("""COMPUTED_VALUE"""),46226.72827266203)</f>
        <v>46226.72827</v>
      </c>
      <c r="D451" s="173">
        <f t="shared" si="1"/>
        <v>0.7099217824</v>
      </c>
      <c r="G451" s="76">
        <f>IFERROR(__xludf.DUMMYFUNCTION("""COMPUTED_VALUE"""),5412.0)</f>
        <v>5412</v>
      </c>
      <c r="H451" s="232">
        <f>IFERROR(__xludf.DUMMYFUNCTION("""COMPUTED_VALUE"""),46227.445138888885)</f>
        <v>46227.44514</v>
      </c>
      <c r="I451" s="84">
        <f>IFERROR(__xludf.DUMMYFUNCTION("""COMPUTED_VALUE"""),46226.72853787037)</f>
        <v>46226.72854</v>
      </c>
      <c r="J451" s="76">
        <f t="shared" si="2"/>
        <v>0.7166010185</v>
      </c>
      <c r="L451" s="76">
        <f>IFERROR(__xludf.DUMMYFUNCTION("""COMPUTED_VALUE"""),5412.0)</f>
        <v>5412</v>
      </c>
      <c r="M451" s="232">
        <f>IFERROR(__xludf.DUMMYFUNCTION("""COMPUTED_VALUE"""),46227.54930555555)</f>
        <v>46227.54931</v>
      </c>
      <c r="N451" s="84">
        <f>IFERROR(__xludf.DUMMYFUNCTION("""COMPUTED_VALUE"""),46227.45909737269)</f>
        <v>46227.4591</v>
      </c>
      <c r="O451" s="76">
        <f t="shared" si="3"/>
        <v>0.09020818286</v>
      </c>
      <c r="Q451" s="76">
        <f>IFERROR(__xludf.DUMMYFUNCTION("""COMPUTED_VALUE"""),5407.0)</f>
        <v>5407</v>
      </c>
      <c r="R451" s="232">
        <f>IFERROR(__xludf.DUMMYFUNCTION("""COMPUTED_VALUE"""),46227.791666666664)</f>
        <v>46227.79167</v>
      </c>
      <c r="S451" s="84">
        <f>IFERROR(__xludf.DUMMYFUNCTION("""COMPUTED_VALUE"""),46227.44431877315)</f>
        <v>46227.44432</v>
      </c>
      <c r="T451" s="76">
        <f t="shared" si="4"/>
        <v>0.3473478935</v>
      </c>
      <c r="V451" s="76">
        <f>IFERROR(__xludf.DUMMYFUNCTION("""COMPUTED_VALUE"""),5413.0)</f>
        <v>5413</v>
      </c>
      <c r="W451" s="232">
        <f>IFERROR(__xludf.DUMMYFUNCTION("""COMPUTED_VALUE"""),46228.61388888888)</f>
        <v>46228.61389</v>
      </c>
      <c r="X451" s="84">
        <f>IFERROR(__xludf.DUMMYFUNCTION("""COMPUTED_VALUE"""),46228.432040555555)</f>
        <v>46228.43204</v>
      </c>
      <c r="Y451" s="76">
        <f t="shared" si="5"/>
        <v>0.1818483333</v>
      </c>
      <c r="AK451" s="232"/>
      <c r="AL451" s="233"/>
      <c r="AM451" s="173"/>
    </row>
    <row r="452">
      <c r="A452" s="76">
        <f>IFERROR(__xludf.DUMMYFUNCTION("""COMPUTED_VALUE"""),5413.0)</f>
        <v>5413</v>
      </c>
      <c r="B452" s="232">
        <f>IFERROR(__xludf.DUMMYFUNCTION("""COMPUTED_VALUE"""),46227.461111111115)</f>
        <v>46227.46111</v>
      </c>
      <c r="C452" s="84">
        <f>IFERROR(__xludf.DUMMYFUNCTION("""COMPUTED_VALUE"""),46226.72829855324)</f>
        <v>46226.7283</v>
      </c>
      <c r="D452" s="173">
        <f t="shared" si="1"/>
        <v>0.7328125579</v>
      </c>
      <c r="G452" s="76">
        <f>IFERROR(__xludf.DUMMYFUNCTION("""COMPUTED_VALUE"""),5413.0)</f>
        <v>5413</v>
      </c>
      <c r="H452" s="232">
        <f>IFERROR(__xludf.DUMMYFUNCTION("""COMPUTED_VALUE"""),46227.46805555556)</f>
        <v>46227.46806</v>
      </c>
      <c r="I452" s="84">
        <f>IFERROR(__xludf.DUMMYFUNCTION("""COMPUTED_VALUE"""),46226.72855947917)</f>
        <v>46226.72856</v>
      </c>
      <c r="J452" s="76">
        <f t="shared" si="2"/>
        <v>0.7394960764</v>
      </c>
      <c r="L452" s="76">
        <f>IFERROR(__xludf.DUMMYFUNCTION("""COMPUTED_VALUE"""),5413.0)</f>
        <v>5413</v>
      </c>
      <c r="M452" s="232">
        <f>IFERROR(__xludf.DUMMYFUNCTION("""COMPUTED_VALUE"""),46227.572222222225)</f>
        <v>46227.57222</v>
      </c>
      <c r="N452" s="84">
        <f>IFERROR(__xludf.DUMMYFUNCTION("""COMPUTED_VALUE"""),46227.45913751157)</f>
        <v>46227.45914</v>
      </c>
      <c r="O452" s="76">
        <f t="shared" si="3"/>
        <v>0.1130847107</v>
      </c>
      <c r="Q452" s="76">
        <f>IFERROR(__xludf.DUMMYFUNCTION("""COMPUTED_VALUE"""),5408.0)</f>
        <v>5408</v>
      </c>
      <c r="R452" s="232">
        <f>IFERROR(__xludf.DUMMYFUNCTION("""COMPUTED_VALUE"""),46228.43472222222)</f>
        <v>46228.43472</v>
      </c>
      <c r="S452" s="84">
        <f>IFERROR(__xludf.DUMMYFUNCTION("""COMPUTED_VALUE"""),46227.662855393515)</f>
        <v>46227.66286</v>
      </c>
      <c r="T452" s="76">
        <f t="shared" si="4"/>
        <v>0.7718668287</v>
      </c>
      <c r="V452" s="76">
        <f>IFERROR(__xludf.DUMMYFUNCTION("""COMPUTED_VALUE"""),5414.0)</f>
        <v>5414</v>
      </c>
      <c r="W452" s="232">
        <f>IFERROR(__xludf.DUMMYFUNCTION("""COMPUTED_VALUE"""),46228.82708333333)</f>
        <v>46228.82708</v>
      </c>
      <c r="X452" s="84">
        <f>IFERROR(__xludf.DUMMYFUNCTION("""COMPUTED_VALUE"""),46227.66259854166)</f>
        <v>46227.6626</v>
      </c>
      <c r="Y452" s="76">
        <f t="shared" si="5"/>
        <v>1.164484792</v>
      </c>
      <c r="AK452" s="232"/>
      <c r="AL452" s="233"/>
      <c r="AM452" s="173"/>
    </row>
    <row r="453">
      <c r="A453" s="76">
        <f>IFERROR(__xludf.DUMMYFUNCTION("""COMPUTED_VALUE"""),5414.0)</f>
        <v>5414</v>
      </c>
      <c r="B453" s="232">
        <f>IFERROR(__xludf.DUMMYFUNCTION("""COMPUTED_VALUE"""),46227.6746943287)</f>
        <v>46227.67469</v>
      </c>
      <c r="C453" s="84">
        <f>IFERROR(__xludf.DUMMYFUNCTION("""COMPUTED_VALUE"""),46227.50905234954)</f>
        <v>46227.50905</v>
      </c>
      <c r="D453" s="173">
        <f t="shared" si="1"/>
        <v>0.1656419792</v>
      </c>
      <c r="G453" s="76">
        <f>IFERROR(__xludf.DUMMYFUNCTION("""COMPUTED_VALUE"""),5414.0)</f>
        <v>5414</v>
      </c>
      <c r="H453" s="232">
        <f>IFERROR(__xludf.DUMMYFUNCTION("""COMPUTED_VALUE"""),46227.681638773145)</f>
        <v>46227.68164</v>
      </c>
      <c r="I453" s="84">
        <f>IFERROR(__xludf.DUMMYFUNCTION("""COMPUTED_VALUE"""),46227.509108275466)</f>
        <v>46227.50911</v>
      </c>
      <c r="J453" s="76">
        <f t="shared" si="2"/>
        <v>0.1725304977</v>
      </c>
      <c r="L453" s="76">
        <f>IFERROR(__xludf.DUMMYFUNCTION("""COMPUTED_VALUE"""),5414.0)</f>
        <v>5414</v>
      </c>
      <c r="M453" s="232">
        <f>IFERROR(__xludf.DUMMYFUNCTION("""COMPUTED_VALUE"""),46227.78580543981)</f>
        <v>46227.78581</v>
      </c>
      <c r="N453" s="84">
        <f>IFERROR(__xludf.DUMMYFUNCTION("""COMPUTED_VALUE"""),46227.50914013889)</f>
        <v>46227.50914</v>
      </c>
      <c r="O453" s="76">
        <f t="shared" si="3"/>
        <v>0.2766653009</v>
      </c>
      <c r="Q453" s="76">
        <f>IFERROR(__xludf.DUMMYFUNCTION("""COMPUTED_VALUE"""),5409.0)</f>
        <v>5409</v>
      </c>
      <c r="R453" s="232">
        <f>IFERROR(__xludf.DUMMYFUNCTION("""COMPUTED_VALUE"""),46228.43611111111)</f>
        <v>46228.43611</v>
      </c>
      <c r="S453" s="84">
        <f>IFERROR(__xludf.DUMMYFUNCTION("""COMPUTED_VALUE"""),46226.72950069445)</f>
        <v>46226.7295</v>
      </c>
      <c r="T453" s="76">
        <f t="shared" si="4"/>
        <v>1.706610417</v>
      </c>
      <c r="V453" s="76">
        <f>IFERROR(__xludf.DUMMYFUNCTION("""COMPUTED_VALUE"""),5415.0)</f>
        <v>5415</v>
      </c>
      <c r="W453" s="232">
        <f>IFERROR(__xludf.DUMMYFUNCTION("""COMPUTED_VALUE"""),46230.59930555555)</f>
        <v>46230.59931</v>
      </c>
      <c r="X453" s="84">
        <f>IFERROR(__xludf.DUMMYFUNCTION("""COMPUTED_VALUE"""),46227.71197266204)</f>
        <v>46227.71197</v>
      </c>
      <c r="Y453" s="76">
        <f t="shared" si="5"/>
        <v>2.887332894</v>
      </c>
      <c r="AK453" s="232"/>
      <c r="AL453" s="233"/>
      <c r="AM453" s="173"/>
    </row>
    <row r="454">
      <c r="A454" s="76">
        <f>IFERROR(__xludf.DUMMYFUNCTION("""COMPUTED_VALUE"""),5415.0)</f>
        <v>5415</v>
      </c>
      <c r="B454" s="232">
        <f>IFERROR(__xludf.DUMMYFUNCTION("""COMPUTED_VALUE"""),46227.82869787037)</f>
        <v>46227.8287</v>
      </c>
      <c r="C454" s="84">
        <f>IFERROR(__xludf.DUMMYFUNCTION("""COMPUTED_VALUE"""),46227.66232721065)</f>
        <v>46227.66233</v>
      </c>
      <c r="D454" s="173">
        <f t="shared" si="1"/>
        <v>0.1663706597</v>
      </c>
      <c r="G454" s="76">
        <f>IFERROR(__xludf.DUMMYFUNCTION("""COMPUTED_VALUE"""),5415.0)</f>
        <v>5415</v>
      </c>
      <c r="H454" s="232">
        <f>IFERROR(__xludf.DUMMYFUNCTION("""COMPUTED_VALUE"""),46228.45347222222)</f>
        <v>46228.45347</v>
      </c>
      <c r="I454" s="84">
        <f>IFERROR(__xludf.DUMMYFUNCTION("""COMPUTED_VALUE"""),46227.66237471065)</f>
        <v>46227.66237</v>
      </c>
      <c r="J454" s="76">
        <f t="shared" si="2"/>
        <v>0.7910975116</v>
      </c>
      <c r="L454" s="76">
        <f>IFERROR(__xludf.DUMMYFUNCTION("""COMPUTED_VALUE"""),5415.0)</f>
        <v>5415</v>
      </c>
      <c r="M454" s="232">
        <f>IFERROR(__xludf.DUMMYFUNCTION("""COMPUTED_VALUE"""),46228.55763888889)</f>
        <v>46228.55764</v>
      </c>
      <c r="N454" s="84">
        <f>IFERROR(__xludf.DUMMYFUNCTION("""COMPUTED_VALUE"""),46227.71191618056)</f>
        <v>46227.71192</v>
      </c>
      <c r="O454" s="76">
        <f t="shared" si="3"/>
        <v>0.8457227083</v>
      </c>
      <c r="Q454" s="76">
        <f>IFERROR(__xludf.DUMMYFUNCTION("""COMPUTED_VALUE"""),5410.0)</f>
        <v>5410</v>
      </c>
      <c r="R454" s="232">
        <f>IFERROR(__xludf.DUMMYFUNCTION("""COMPUTED_VALUE"""),46228.55694444444)</f>
        <v>46228.55694</v>
      </c>
      <c r="S454" s="84">
        <f>IFERROR(__xludf.DUMMYFUNCTION("""COMPUTED_VALUE"""),46228.43345167824)</f>
        <v>46228.43345</v>
      </c>
      <c r="T454" s="76">
        <f t="shared" si="4"/>
        <v>0.1234927662</v>
      </c>
      <c r="V454" s="76">
        <f>IFERROR(__xludf.DUMMYFUNCTION("""COMPUTED_VALUE"""),5416.0)</f>
        <v>5416</v>
      </c>
      <c r="W454" s="232">
        <f>IFERROR(__xludf.DUMMYFUNCTION("""COMPUTED_VALUE"""),46230.598611111105)</f>
        <v>46230.59861</v>
      </c>
      <c r="X454" s="84">
        <f>IFERROR(__xludf.DUMMYFUNCTION("""COMPUTED_VALUE"""),46228.36165859953)</f>
        <v>46228.36166</v>
      </c>
      <c r="Y454" s="76">
        <f t="shared" si="5"/>
        <v>2.236952512</v>
      </c>
      <c r="AK454" s="232"/>
      <c r="AL454" s="233"/>
      <c r="AM454" s="173"/>
    </row>
    <row r="455">
      <c r="A455" s="76">
        <f>IFERROR(__xludf.DUMMYFUNCTION("""COMPUTED_VALUE"""),5416.0)</f>
        <v>5416</v>
      </c>
      <c r="B455" s="232">
        <f>IFERROR(__xludf.DUMMYFUNCTION("""COMPUTED_VALUE"""),46228.44583333333)</f>
        <v>46228.44583</v>
      </c>
      <c r="C455" s="84">
        <f>IFERROR(__xludf.DUMMYFUNCTION("""COMPUTED_VALUE"""),46227.71222701389)</f>
        <v>46227.71223</v>
      </c>
      <c r="D455" s="173">
        <f t="shared" si="1"/>
        <v>0.7336063194</v>
      </c>
      <c r="G455" s="76">
        <f>IFERROR(__xludf.DUMMYFUNCTION("""COMPUTED_VALUE"""),5416.0)</f>
        <v>5416</v>
      </c>
      <c r="H455" s="232">
        <f>IFERROR(__xludf.DUMMYFUNCTION("""COMPUTED_VALUE"""),46228.45277777778)</f>
        <v>46228.45278</v>
      </c>
      <c r="I455" s="84">
        <f>IFERROR(__xludf.DUMMYFUNCTION("""COMPUTED_VALUE"""),46227.712485752316)</f>
        <v>46227.71249</v>
      </c>
      <c r="J455" s="76">
        <f t="shared" si="2"/>
        <v>0.7402920255</v>
      </c>
      <c r="L455" s="76">
        <f>IFERROR(__xludf.DUMMYFUNCTION("""COMPUTED_VALUE"""),5416.0)</f>
        <v>5416</v>
      </c>
      <c r="M455" s="232">
        <f>IFERROR(__xludf.DUMMYFUNCTION("""COMPUTED_VALUE"""),46228.55694444444)</f>
        <v>46228.55694</v>
      </c>
      <c r="N455" s="84">
        <f>IFERROR(__xludf.DUMMYFUNCTION("""COMPUTED_VALUE"""),46228.36155908565)</f>
        <v>46228.36156</v>
      </c>
      <c r="O455" s="76">
        <f t="shared" si="3"/>
        <v>0.1953853588</v>
      </c>
      <c r="Q455" s="76">
        <f>IFERROR(__xludf.DUMMYFUNCTION("""COMPUTED_VALUE"""),5411.0)</f>
        <v>5411</v>
      </c>
      <c r="R455" s="232">
        <f>IFERROR(__xludf.DUMMYFUNCTION("""COMPUTED_VALUE"""),46228.52777777778)</f>
        <v>46228.52778</v>
      </c>
      <c r="S455" s="84">
        <f>IFERROR(__xludf.DUMMYFUNCTION("""COMPUTED_VALUE"""),46227.71203381944)</f>
        <v>46227.71203</v>
      </c>
      <c r="T455" s="76">
        <f t="shared" si="4"/>
        <v>0.8157439583</v>
      </c>
      <c r="V455" s="76">
        <f>IFERROR(__xludf.DUMMYFUNCTION("""COMPUTED_VALUE"""),5417.0)</f>
        <v>5417</v>
      </c>
      <c r="W455" s="232">
        <f>IFERROR(__xludf.DUMMYFUNCTION("""COMPUTED_VALUE"""),46230.61111111111)</f>
        <v>46230.61111</v>
      </c>
      <c r="X455" s="84">
        <f>IFERROR(__xludf.DUMMYFUNCTION("""COMPUTED_VALUE"""),46228.36167384259)</f>
        <v>46228.36167</v>
      </c>
      <c r="Y455" s="76">
        <f t="shared" si="5"/>
        <v>2.249437269</v>
      </c>
      <c r="AK455" s="232"/>
      <c r="AL455" s="233"/>
      <c r="AM455" s="173"/>
    </row>
    <row r="456">
      <c r="A456" s="76">
        <f>IFERROR(__xludf.DUMMYFUNCTION("""COMPUTED_VALUE"""),5417.0)</f>
        <v>5417</v>
      </c>
      <c r="B456" s="232">
        <f>IFERROR(__xludf.DUMMYFUNCTION("""COMPUTED_VALUE"""),46228.458333333336)</f>
        <v>46228.45833</v>
      </c>
      <c r="C456" s="84">
        <f>IFERROR(__xludf.DUMMYFUNCTION("""COMPUTED_VALUE"""),46227.712307696755)</f>
        <v>46227.71231</v>
      </c>
      <c r="D456" s="173">
        <f t="shared" si="1"/>
        <v>0.7460256366</v>
      </c>
      <c r="G456" s="76">
        <f>IFERROR(__xludf.DUMMYFUNCTION("""COMPUTED_VALUE"""),5417.0)</f>
        <v>5417</v>
      </c>
      <c r="H456" s="232">
        <f>IFERROR(__xludf.DUMMYFUNCTION("""COMPUTED_VALUE"""),46228.46527777778)</f>
        <v>46228.46528</v>
      </c>
      <c r="I456" s="84">
        <f>IFERROR(__xludf.DUMMYFUNCTION("""COMPUTED_VALUE"""),46227.71249907407)</f>
        <v>46227.7125</v>
      </c>
      <c r="J456" s="76">
        <f t="shared" si="2"/>
        <v>0.7527787037</v>
      </c>
      <c r="L456" s="76">
        <f>IFERROR(__xludf.DUMMYFUNCTION("""COMPUTED_VALUE"""),5417.0)</f>
        <v>5417</v>
      </c>
      <c r="M456" s="232">
        <f>IFERROR(__xludf.DUMMYFUNCTION("""COMPUTED_VALUE"""),46228.569444444445)</f>
        <v>46228.56944</v>
      </c>
      <c r="N456" s="84">
        <f>IFERROR(__xludf.DUMMYFUNCTION("""COMPUTED_VALUE"""),46227.71296266204)</f>
        <v>46227.71296</v>
      </c>
      <c r="O456" s="76">
        <f t="shared" si="3"/>
        <v>0.8564817824</v>
      </c>
      <c r="Q456" s="76">
        <f>IFERROR(__xludf.DUMMYFUNCTION("""COMPUTED_VALUE"""),5412.0)</f>
        <v>5412</v>
      </c>
      <c r="R456" s="232">
        <f>IFERROR(__xludf.DUMMYFUNCTION("""COMPUTED_VALUE"""),46228.549305555556)</f>
        <v>46228.54931</v>
      </c>
      <c r="S456" s="84">
        <f>IFERROR(__xludf.DUMMYFUNCTION("""COMPUTED_VALUE"""),46227.49348671296)</f>
        <v>46227.49349</v>
      </c>
      <c r="T456" s="76">
        <f t="shared" si="4"/>
        <v>1.055818843</v>
      </c>
      <c r="V456" s="76">
        <f>IFERROR(__xludf.DUMMYFUNCTION("""COMPUTED_VALUE"""),5418.0)</f>
        <v>5418</v>
      </c>
      <c r="W456" s="232">
        <f>IFERROR(__xludf.DUMMYFUNCTION("""COMPUTED_VALUE"""),46230.612499999996)</f>
        <v>46230.6125</v>
      </c>
      <c r="X456" s="84">
        <f>IFERROR(__xludf.DUMMYFUNCTION("""COMPUTED_VALUE"""),46228.361695486106)</f>
        <v>46228.3617</v>
      </c>
      <c r="Y456" s="76">
        <f t="shared" si="5"/>
        <v>2.250804514</v>
      </c>
      <c r="AK456" s="232"/>
      <c r="AL456" s="233"/>
      <c r="AM456" s="173"/>
    </row>
    <row r="457">
      <c r="A457" s="76">
        <f>IFERROR(__xludf.DUMMYFUNCTION("""COMPUTED_VALUE"""),5418.0)</f>
        <v>5418</v>
      </c>
      <c r="B457" s="232">
        <f>IFERROR(__xludf.DUMMYFUNCTION("""COMPUTED_VALUE"""),46228.45972222222)</f>
        <v>46228.45972</v>
      </c>
      <c r="C457" s="84">
        <f>IFERROR(__xludf.DUMMYFUNCTION("""COMPUTED_VALUE"""),46227.71236208333)</f>
        <v>46227.71236</v>
      </c>
      <c r="D457" s="173">
        <f t="shared" si="1"/>
        <v>0.7473601389</v>
      </c>
      <c r="G457" s="76">
        <f>IFERROR(__xludf.DUMMYFUNCTION("""COMPUTED_VALUE"""),5418.0)</f>
        <v>5418</v>
      </c>
      <c r="H457" s="232">
        <f>IFERROR(__xludf.DUMMYFUNCTION("""COMPUTED_VALUE"""),46228.46666666667)</f>
        <v>46228.46667</v>
      </c>
      <c r="I457" s="84">
        <f>IFERROR(__xludf.DUMMYFUNCTION("""COMPUTED_VALUE"""),46227.71251648148)</f>
        <v>46227.71252</v>
      </c>
      <c r="J457" s="76">
        <f t="shared" si="2"/>
        <v>0.7541501852</v>
      </c>
      <c r="L457" s="76">
        <f>IFERROR(__xludf.DUMMYFUNCTION("""COMPUTED_VALUE"""),5418.0)</f>
        <v>5418</v>
      </c>
      <c r="M457" s="232">
        <f>IFERROR(__xludf.DUMMYFUNCTION("""COMPUTED_VALUE"""),46228.57083333333)</f>
        <v>46228.57083</v>
      </c>
      <c r="N457" s="84">
        <f>IFERROR(__xludf.DUMMYFUNCTION("""COMPUTED_VALUE"""),46227.71297060185)</f>
        <v>46227.71297</v>
      </c>
      <c r="O457" s="76">
        <f t="shared" si="3"/>
        <v>0.8578627315</v>
      </c>
      <c r="Q457" s="76">
        <f>IFERROR(__xludf.DUMMYFUNCTION("""COMPUTED_VALUE"""),5413.0)</f>
        <v>5413</v>
      </c>
      <c r="R457" s="232">
        <f>IFERROR(__xludf.DUMMYFUNCTION("""COMPUTED_VALUE"""),46228.57222222222)</f>
        <v>46228.57222</v>
      </c>
      <c r="S457" s="84">
        <f>IFERROR(__xludf.DUMMYFUNCTION("""COMPUTED_VALUE"""),46228.43200050926)</f>
        <v>46228.432</v>
      </c>
      <c r="T457" s="76">
        <f t="shared" si="4"/>
        <v>0.140221713</v>
      </c>
      <c r="V457" s="76">
        <f>IFERROR(__xludf.DUMMYFUNCTION("""COMPUTED_VALUE"""),5419.0)</f>
        <v>5419</v>
      </c>
      <c r="W457" s="232">
        <f>IFERROR(__xludf.DUMMYFUNCTION("""COMPUTED_VALUE"""),46230.754166666666)</f>
        <v>46230.75417</v>
      </c>
      <c r="X457" s="84">
        <f>IFERROR(__xludf.DUMMYFUNCTION("""COMPUTED_VALUE"""),46228.61716541667)</f>
        <v>46228.61717</v>
      </c>
      <c r="Y457" s="76">
        <f t="shared" si="5"/>
        <v>2.13700125</v>
      </c>
      <c r="AK457" s="232"/>
      <c r="AL457" s="233"/>
      <c r="AM457" s="173"/>
    </row>
    <row r="458">
      <c r="A458" s="76">
        <f>IFERROR(__xludf.DUMMYFUNCTION("""COMPUTED_VALUE"""),5419.0)</f>
        <v>5419</v>
      </c>
      <c r="B458" s="232">
        <f>IFERROR(__xludf.DUMMYFUNCTION("""COMPUTED_VALUE"""),46228.60199246527)</f>
        <v>46228.60199</v>
      </c>
      <c r="C458" s="84">
        <f>IFERROR(__xludf.DUMMYFUNCTION("""COMPUTED_VALUE"""),46228.47199310185)</f>
        <v>46228.47199</v>
      </c>
      <c r="D458" s="173">
        <f t="shared" si="1"/>
        <v>0.1299993634</v>
      </c>
      <c r="G458" s="76">
        <f>IFERROR(__xludf.DUMMYFUNCTION("""COMPUTED_VALUE"""),5419.0)</f>
        <v>5419</v>
      </c>
      <c r="H458" s="232">
        <f>IFERROR(__xludf.DUMMYFUNCTION("""COMPUTED_VALUE"""),46228.60893690972)</f>
        <v>46228.60894</v>
      </c>
      <c r="I458" s="84">
        <f>IFERROR(__xludf.DUMMYFUNCTION("""COMPUTED_VALUE"""),46228.47207765046)</f>
        <v>46228.47208</v>
      </c>
      <c r="J458" s="76">
        <f t="shared" si="2"/>
        <v>0.1368592593</v>
      </c>
      <c r="L458" s="76">
        <f>IFERROR(__xludf.DUMMYFUNCTION("""COMPUTED_VALUE"""),5419.0)</f>
        <v>5419</v>
      </c>
      <c r="M458" s="232">
        <f>IFERROR(__xludf.DUMMYFUNCTION("""COMPUTED_VALUE"""),46228.71310357638)</f>
        <v>46228.7131</v>
      </c>
      <c r="N458" s="84">
        <f>IFERROR(__xludf.DUMMYFUNCTION("""COMPUTED_VALUE"""),46228.528380891206)</f>
        <v>46228.52838</v>
      </c>
      <c r="O458" s="76">
        <f t="shared" si="3"/>
        <v>0.1847226852</v>
      </c>
      <c r="Q458" s="76">
        <f>IFERROR(__xludf.DUMMYFUNCTION("""COMPUTED_VALUE"""),5414.0)</f>
        <v>5414</v>
      </c>
      <c r="R458" s="232">
        <f>IFERROR(__xludf.DUMMYFUNCTION("""COMPUTED_VALUE"""),46228.785416666666)</f>
        <v>46228.78542</v>
      </c>
      <c r="S458" s="84">
        <f>IFERROR(__xludf.DUMMYFUNCTION("""COMPUTED_VALUE"""),46227.66257533565)</f>
        <v>46227.66258</v>
      </c>
      <c r="T458" s="76">
        <f t="shared" si="4"/>
        <v>1.122841331</v>
      </c>
      <c r="V458" s="76">
        <f>IFERROR(__xludf.DUMMYFUNCTION("""COMPUTED_VALUE"""),5420.0)</f>
        <v>5420</v>
      </c>
      <c r="W458" s="232">
        <f>IFERROR(__xludf.DUMMYFUNCTION("""COMPUTED_VALUE"""),46230.76111111111)</f>
        <v>46230.76111</v>
      </c>
      <c r="X458" s="84">
        <f>IFERROR(__xludf.DUMMYFUNCTION("""COMPUTED_VALUE"""),46228.617181967595)</f>
        <v>46228.61718</v>
      </c>
      <c r="Y458" s="76">
        <f t="shared" si="5"/>
        <v>2.143929144</v>
      </c>
      <c r="AK458" s="232"/>
      <c r="AL458" s="233"/>
      <c r="AM458" s="173"/>
    </row>
    <row r="459">
      <c r="A459" s="76">
        <f>IFERROR(__xludf.DUMMYFUNCTION("""COMPUTED_VALUE"""),5420.0)</f>
        <v>5420</v>
      </c>
      <c r="B459" s="232">
        <f>IFERROR(__xludf.DUMMYFUNCTION("""COMPUTED_VALUE"""),46228.60887697916)</f>
        <v>46228.60888</v>
      </c>
      <c r="C459" s="84">
        <f>IFERROR(__xludf.DUMMYFUNCTION("""COMPUTED_VALUE"""),46228.472176689815)</f>
        <v>46228.47218</v>
      </c>
      <c r="D459" s="173">
        <f t="shared" si="1"/>
        <v>0.1367002893</v>
      </c>
      <c r="G459" s="76">
        <f>IFERROR(__xludf.DUMMYFUNCTION("""COMPUTED_VALUE"""),5420.0)</f>
        <v>5420</v>
      </c>
      <c r="H459" s="232">
        <f>IFERROR(__xludf.DUMMYFUNCTION("""COMPUTED_VALUE"""),46228.615821423606)</f>
        <v>46228.61582</v>
      </c>
      <c r="I459" s="84">
        <f>IFERROR(__xludf.DUMMYFUNCTION("""COMPUTED_VALUE"""),46228.4723046875)</f>
        <v>46228.4723</v>
      </c>
      <c r="J459" s="76">
        <f t="shared" si="2"/>
        <v>0.1435167361</v>
      </c>
      <c r="L459" s="76">
        <f>IFERROR(__xludf.DUMMYFUNCTION("""COMPUTED_VALUE"""),5420.0)</f>
        <v>5420</v>
      </c>
      <c r="M459" s="232">
        <f>IFERROR(__xludf.DUMMYFUNCTION("""COMPUTED_VALUE"""),46228.71998809027)</f>
        <v>46228.71999</v>
      </c>
      <c r="N459" s="84">
        <f>IFERROR(__xludf.DUMMYFUNCTION("""COMPUTED_VALUE"""),46228.52839474537)</f>
        <v>46228.52839</v>
      </c>
      <c r="O459" s="76">
        <f t="shared" si="3"/>
        <v>0.1915933449</v>
      </c>
      <c r="Q459" s="76">
        <f>IFERROR(__xludf.DUMMYFUNCTION("""COMPUTED_VALUE"""),5415.0)</f>
        <v>5415</v>
      </c>
      <c r="R459" s="232">
        <f>IFERROR(__xludf.DUMMYFUNCTION("""COMPUTED_VALUE"""),46230.55763888889)</f>
        <v>46230.55764</v>
      </c>
      <c r="S459" s="84">
        <f>IFERROR(__xludf.DUMMYFUNCTION("""COMPUTED_VALUE"""),46227.71194393518)</f>
        <v>46227.71194</v>
      </c>
      <c r="T459" s="76">
        <f t="shared" si="4"/>
        <v>2.845694954</v>
      </c>
      <c r="V459" s="76">
        <f>IFERROR(__xludf.DUMMYFUNCTION("""COMPUTED_VALUE"""),5421.0)</f>
        <v>5421</v>
      </c>
      <c r="W459" s="232">
        <f>IFERROR(__xludf.DUMMYFUNCTION("""COMPUTED_VALUE"""),46230.7625)</f>
        <v>46230.7625</v>
      </c>
      <c r="X459" s="84">
        <f>IFERROR(__xludf.DUMMYFUNCTION("""COMPUTED_VALUE"""),46228.617201898145)</f>
        <v>46228.6172</v>
      </c>
      <c r="Y459" s="76">
        <f t="shared" si="5"/>
        <v>2.145298102</v>
      </c>
      <c r="AK459" s="232"/>
      <c r="AL459" s="233"/>
      <c r="AM459" s="173"/>
    </row>
    <row r="460">
      <c r="A460" s="76">
        <f>IFERROR(__xludf.DUMMYFUNCTION("""COMPUTED_VALUE"""),5421.0)</f>
        <v>5421</v>
      </c>
      <c r="B460" s="232">
        <f>IFERROR(__xludf.DUMMYFUNCTION("""COMPUTED_VALUE"""),46228.610246516204)</f>
        <v>46228.61025</v>
      </c>
      <c r="C460" s="84">
        <f>IFERROR(__xludf.DUMMYFUNCTION("""COMPUTED_VALUE"""),46228.472368055554)</f>
        <v>46228.47237</v>
      </c>
      <c r="D460" s="173">
        <f t="shared" si="1"/>
        <v>0.1378784606</v>
      </c>
      <c r="G460" s="76">
        <f>IFERROR(__xludf.DUMMYFUNCTION("""COMPUTED_VALUE"""),5421.0)</f>
        <v>5421</v>
      </c>
      <c r="H460" s="232">
        <f>IFERROR(__xludf.DUMMYFUNCTION("""COMPUTED_VALUE"""),46228.61719096065)</f>
        <v>46228.61719</v>
      </c>
      <c r="I460" s="84">
        <f>IFERROR(__xludf.DUMMYFUNCTION("""COMPUTED_VALUE"""),46228.47247482639)</f>
        <v>46228.47247</v>
      </c>
      <c r="J460" s="76">
        <f t="shared" si="2"/>
        <v>0.1447161343</v>
      </c>
      <c r="L460" s="76">
        <f>IFERROR(__xludf.DUMMYFUNCTION("""COMPUTED_VALUE"""),5421.0)</f>
        <v>5421</v>
      </c>
      <c r="M460" s="232">
        <f>IFERROR(__xludf.DUMMYFUNCTION("""COMPUTED_VALUE"""),46228.72135762731)</f>
        <v>46228.72136</v>
      </c>
      <c r="N460" s="84">
        <f>IFERROR(__xludf.DUMMYFUNCTION("""COMPUTED_VALUE"""),46228.528410405095)</f>
        <v>46228.52841</v>
      </c>
      <c r="O460" s="76">
        <f t="shared" si="3"/>
        <v>0.1929472222</v>
      </c>
      <c r="Q460" s="76">
        <f>IFERROR(__xludf.DUMMYFUNCTION("""COMPUTED_VALUE"""),5416.0)</f>
        <v>5416</v>
      </c>
      <c r="R460" s="232">
        <f>IFERROR(__xludf.DUMMYFUNCTION("""COMPUTED_VALUE"""),46230.55694444444)</f>
        <v>46230.55694</v>
      </c>
      <c r="S460" s="84">
        <f>IFERROR(__xludf.DUMMYFUNCTION("""COMPUTED_VALUE"""),46228.36160153935)</f>
        <v>46228.3616</v>
      </c>
      <c r="T460" s="76">
        <f t="shared" si="4"/>
        <v>2.195342905</v>
      </c>
      <c r="V460" s="76">
        <f>IFERROR(__xludf.DUMMYFUNCTION("""COMPUTED_VALUE"""),5422.0)</f>
        <v>5422</v>
      </c>
      <c r="W460" s="232">
        <f>IFERROR(__xludf.DUMMYFUNCTION("""COMPUTED_VALUE"""),46231.513194444444)</f>
        <v>46231.51319</v>
      </c>
      <c r="X460" s="84">
        <f>IFERROR(__xludf.DUMMYFUNCTION("""COMPUTED_VALUE"""),46228.66758155092)</f>
        <v>46228.66758</v>
      </c>
      <c r="Y460" s="76">
        <f t="shared" si="5"/>
        <v>2.845612894</v>
      </c>
      <c r="AK460" s="232"/>
      <c r="AL460" s="233"/>
      <c r="AM460" s="173"/>
    </row>
    <row r="461">
      <c r="A461" s="76">
        <f>IFERROR(__xludf.DUMMYFUNCTION("""COMPUTED_VALUE"""),5422.0)</f>
        <v>5422</v>
      </c>
      <c r="B461" s="232">
        <f>IFERROR(__xludf.DUMMYFUNCTION("""COMPUTED_VALUE"""),46228.79793923611)</f>
        <v>46228.79794</v>
      </c>
      <c r="C461" s="84">
        <f>IFERROR(__xludf.DUMMYFUNCTION("""COMPUTED_VALUE"""),46228.66735394676)</f>
        <v>46228.66735</v>
      </c>
      <c r="D461" s="173">
        <f t="shared" si="1"/>
        <v>0.1305852893</v>
      </c>
      <c r="G461" s="76">
        <f>IFERROR(__xludf.DUMMYFUNCTION("""COMPUTED_VALUE"""),5422.0)</f>
        <v>5422</v>
      </c>
      <c r="H461" s="232">
        <f>IFERROR(__xludf.DUMMYFUNCTION("""COMPUTED_VALUE"""),46228.804883680554)</f>
        <v>46228.80488</v>
      </c>
      <c r="I461" s="84">
        <f>IFERROR(__xludf.DUMMYFUNCTION("""COMPUTED_VALUE"""),46228.66743972222)</f>
        <v>46228.66744</v>
      </c>
      <c r="J461" s="76">
        <f t="shared" si="2"/>
        <v>0.1374439583</v>
      </c>
      <c r="L461" s="76">
        <f>IFERROR(__xludf.DUMMYFUNCTION("""COMPUTED_VALUE"""),5422.0)</f>
        <v>5422</v>
      </c>
      <c r="M461" s="232">
        <f>IFERROR(__xludf.DUMMYFUNCTION("""COMPUTED_VALUE"""),46230.47152777778)</f>
        <v>46230.47153</v>
      </c>
      <c r="N461" s="84">
        <f>IFERROR(__xludf.DUMMYFUNCTION("""COMPUTED_VALUE"""),46228.667477650466)</f>
        <v>46228.66748</v>
      </c>
      <c r="O461" s="76">
        <f t="shared" si="3"/>
        <v>1.804050127</v>
      </c>
      <c r="Q461" s="76">
        <f>IFERROR(__xludf.DUMMYFUNCTION("""COMPUTED_VALUE"""),5417.0)</f>
        <v>5417</v>
      </c>
      <c r="R461" s="232">
        <f>IFERROR(__xludf.DUMMYFUNCTION("""COMPUTED_VALUE"""),46230.569444444445)</f>
        <v>46230.56944</v>
      </c>
      <c r="S461" s="84">
        <f>IFERROR(__xludf.DUMMYFUNCTION("""COMPUTED_VALUE"""),46227.712996319446)</f>
        <v>46227.713</v>
      </c>
      <c r="T461" s="76">
        <f t="shared" si="4"/>
        <v>2.856448125</v>
      </c>
      <c r="V461" s="76">
        <f>IFERROR(__xludf.DUMMYFUNCTION("""COMPUTED_VALUE"""),5423.0)</f>
        <v>5423</v>
      </c>
      <c r="W461" s="232">
        <f>IFERROR(__xludf.DUMMYFUNCTION("""COMPUTED_VALUE"""),46231.74583333333)</f>
        <v>46231.74583</v>
      </c>
      <c r="X461" s="84">
        <f>IFERROR(__xludf.DUMMYFUNCTION("""COMPUTED_VALUE"""),46230.698483796295)</f>
        <v>46230.69848</v>
      </c>
      <c r="Y461" s="76">
        <f t="shared" si="5"/>
        <v>1.047349537</v>
      </c>
      <c r="AK461" s="232"/>
      <c r="AL461" s="233"/>
      <c r="AM461" s="173"/>
    </row>
    <row r="462">
      <c r="A462" s="76">
        <f>IFERROR(__xludf.DUMMYFUNCTION("""COMPUTED_VALUE"""),5423.0)</f>
        <v>5423</v>
      </c>
      <c r="B462" s="232">
        <f>IFERROR(__xludf.DUMMYFUNCTION("""COMPUTED_VALUE"""),46230.593241574075)</f>
        <v>46230.59324</v>
      </c>
      <c r="C462" s="84">
        <f>IFERROR(__xludf.DUMMYFUNCTION("""COMPUTED_VALUE"""),46230.435517164355)</f>
        <v>46230.43552</v>
      </c>
      <c r="D462" s="173">
        <f t="shared" si="1"/>
        <v>0.1577244097</v>
      </c>
      <c r="G462" s="76">
        <f>IFERROR(__xludf.DUMMYFUNCTION("""COMPUTED_VALUE"""),5423.0)</f>
        <v>5423</v>
      </c>
      <c r="H462" s="232">
        <f>IFERROR(__xludf.DUMMYFUNCTION("""COMPUTED_VALUE"""),46230.60018601852)</f>
        <v>46230.60019</v>
      </c>
      <c r="I462" s="84">
        <f>IFERROR(__xludf.DUMMYFUNCTION("""COMPUTED_VALUE"""),46230.43558290509)</f>
        <v>46230.43558</v>
      </c>
      <c r="J462" s="76">
        <f t="shared" si="2"/>
        <v>0.1646031134</v>
      </c>
      <c r="L462" s="76">
        <f>IFERROR(__xludf.DUMMYFUNCTION("""COMPUTED_VALUE"""),5423.0)</f>
        <v>5423</v>
      </c>
      <c r="M462" s="232">
        <f>IFERROR(__xludf.DUMMYFUNCTION("""COMPUTED_VALUE"""),46230.704352685185)</f>
        <v>46230.70435</v>
      </c>
      <c r="N462" s="84">
        <f>IFERROR(__xludf.DUMMYFUNCTION("""COMPUTED_VALUE"""),46230.43561194444)</f>
        <v>46230.43561</v>
      </c>
      <c r="O462" s="76">
        <f t="shared" si="3"/>
        <v>0.2687407407</v>
      </c>
      <c r="Q462" s="76">
        <f>IFERROR(__xludf.DUMMYFUNCTION("""COMPUTED_VALUE"""),5418.0)</f>
        <v>5418</v>
      </c>
      <c r="R462" s="232">
        <f>IFERROR(__xludf.DUMMYFUNCTION("""COMPUTED_VALUE"""),46230.57083333333)</f>
        <v>46230.57083</v>
      </c>
      <c r="S462" s="84">
        <f>IFERROR(__xludf.DUMMYFUNCTION("""COMPUTED_VALUE"""),46227.7130155787)</f>
        <v>46227.71302</v>
      </c>
      <c r="T462" s="76">
        <f t="shared" si="4"/>
        <v>2.857817755</v>
      </c>
      <c r="V462" s="76">
        <f>IFERROR(__xludf.DUMMYFUNCTION("""COMPUTED_VALUE"""),5424.0)</f>
        <v>5424</v>
      </c>
      <c r="W462" s="232">
        <f>IFERROR(__xludf.DUMMYFUNCTION("""COMPUTED_VALUE"""),46231.82708333333)</f>
        <v>46231.82708</v>
      </c>
      <c r="X462" s="84">
        <f>IFERROR(__xludf.DUMMYFUNCTION("""COMPUTED_VALUE"""),46230.69933138889)</f>
        <v>46230.69933</v>
      </c>
      <c r="Y462" s="76">
        <f t="shared" si="5"/>
        <v>1.127751944</v>
      </c>
      <c r="AK462" s="232"/>
      <c r="AL462" s="233"/>
      <c r="AM462" s="173"/>
    </row>
    <row r="463">
      <c r="A463" s="76">
        <f>IFERROR(__xludf.DUMMYFUNCTION("""COMPUTED_VALUE"""),5424.0)</f>
        <v>5424</v>
      </c>
      <c r="B463" s="232">
        <f>IFERROR(__xludf.DUMMYFUNCTION("""COMPUTED_VALUE"""),46230.674870902774)</f>
        <v>46230.67487</v>
      </c>
      <c r="C463" s="84">
        <f>IFERROR(__xludf.DUMMYFUNCTION("""COMPUTED_VALUE"""),46230.64294346065)</f>
        <v>46230.64294</v>
      </c>
      <c r="D463" s="173">
        <f t="shared" si="1"/>
        <v>0.03192744213</v>
      </c>
      <c r="G463" s="76">
        <f>IFERROR(__xludf.DUMMYFUNCTION("""COMPUTED_VALUE"""),5424.0)</f>
        <v>5424</v>
      </c>
      <c r="H463" s="232">
        <f>IFERROR(__xludf.DUMMYFUNCTION("""COMPUTED_VALUE"""),46230.68181534722)</f>
        <v>46230.68182</v>
      </c>
      <c r="I463" s="84">
        <f>IFERROR(__xludf.DUMMYFUNCTION("""COMPUTED_VALUE"""),46230.64302391204)</f>
        <v>46230.64302</v>
      </c>
      <c r="J463" s="76">
        <f t="shared" si="2"/>
        <v>0.03879143518</v>
      </c>
      <c r="L463" s="76">
        <f>IFERROR(__xludf.DUMMYFUNCTION("""COMPUTED_VALUE"""),5424.0)</f>
        <v>5424</v>
      </c>
      <c r="M463" s="232">
        <f>IFERROR(__xludf.DUMMYFUNCTION("""COMPUTED_VALUE"""),46230.785982013884)</f>
        <v>46230.78598</v>
      </c>
      <c r="N463" s="84">
        <f>IFERROR(__xludf.DUMMYFUNCTION("""COMPUTED_VALUE"""),46230.69921957176)</f>
        <v>46230.69922</v>
      </c>
      <c r="O463" s="76">
        <f t="shared" si="3"/>
        <v>0.08676244212</v>
      </c>
      <c r="Q463" s="76">
        <f>IFERROR(__xludf.DUMMYFUNCTION("""COMPUTED_VALUE"""),5419.0)</f>
        <v>5419</v>
      </c>
      <c r="R463" s="232">
        <f>IFERROR(__xludf.DUMMYFUNCTION("""COMPUTED_VALUE"""),46230.7125)</f>
        <v>46230.7125</v>
      </c>
      <c r="S463" s="84">
        <f>IFERROR(__xludf.DUMMYFUNCTION("""COMPUTED_VALUE"""),46228.61702355324)</f>
        <v>46228.61702</v>
      </c>
      <c r="T463" s="76">
        <f t="shared" si="4"/>
        <v>2.095476447</v>
      </c>
      <c r="V463" s="76">
        <f>IFERROR(__xludf.DUMMYFUNCTION("""COMPUTED_VALUE"""),5425.0)</f>
        <v>5425</v>
      </c>
      <c r="W463" s="232">
        <f>IFERROR(__xludf.DUMMYFUNCTION("""COMPUTED_VALUE"""),46232.580555555556)</f>
        <v>46232.58056</v>
      </c>
      <c r="X463" s="84">
        <f>IFERROR(__xludf.DUMMYFUNCTION("""COMPUTED_VALUE"""),46230.76333052083)</f>
        <v>46230.76333</v>
      </c>
      <c r="Y463" s="76">
        <f t="shared" si="5"/>
        <v>1.817225035</v>
      </c>
      <c r="AK463" s="232"/>
      <c r="AL463" s="233"/>
      <c r="AM463" s="173"/>
    </row>
    <row r="464">
      <c r="A464" s="76">
        <f>IFERROR(__xludf.DUMMYFUNCTION("""COMPUTED_VALUE"""),5425.0)</f>
        <v>5425</v>
      </c>
      <c r="B464" s="232">
        <f>IFERROR(__xludf.DUMMYFUNCTION("""COMPUTED_VALUE"""),46231.427777777775)</f>
        <v>46231.42778</v>
      </c>
      <c r="C464" s="84">
        <f>IFERROR(__xludf.DUMMYFUNCTION("""COMPUTED_VALUE"""),46230.68994548611)</f>
        <v>46230.68995</v>
      </c>
      <c r="D464" s="173">
        <f t="shared" si="1"/>
        <v>0.7378322917</v>
      </c>
      <c r="G464" s="76">
        <f>IFERROR(__xludf.DUMMYFUNCTION("""COMPUTED_VALUE"""),5425.0)</f>
        <v>5425</v>
      </c>
      <c r="H464" s="232">
        <f>IFERROR(__xludf.DUMMYFUNCTION("""COMPUTED_VALUE"""),46231.43472222222)</f>
        <v>46231.43472</v>
      </c>
      <c r="I464" s="84">
        <f>IFERROR(__xludf.DUMMYFUNCTION("""COMPUTED_VALUE"""),46230.69003621528)</f>
        <v>46230.69004</v>
      </c>
      <c r="J464" s="76">
        <f t="shared" si="2"/>
        <v>0.7446860069</v>
      </c>
      <c r="L464" s="76">
        <f>IFERROR(__xludf.DUMMYFUNCTION("""COMPUTED_VALUE"""),5425.0)</f>
        <v>5425</v>
      </c>
      <c r="M464" s="232">
        <f>IFERROR(__xludf.DUMMYFUNCTION("""COMPUTED_VALUE"""),46231.538888888885)</f>
        <v>46231.53889</v>
      </c>
      <c r="N464" s="84">
        <f>IFERROR(__xludf.DUMMYFUNCTION("""COMPUTED_VALUE"""),46230.7000562037)</f>
        <v>46230.70006</v>
      </c>
      <c r="O464" s="76">
        <f t="shared" si="3"/>
        <v>0.8388326852</v>
      </c>
      <c r="Q464" s="76">
        <f>IFERROR(__xludf.DUMMYFUNCTION("""COMPUTED_VALUE"""),5420.0)</f>
        <v>5420</v>
      </c>
      <c r="R464" s="232">
        <f>IFERROR(__xludf.DUMMYFUNCTION("""COMPUTED_VALUE"""),46230.71944444445)</f>
        <v>46230.71944</v>
      </c>
      <c r="S464" s="84">
        <f>IFERROR(__xludf.DUMMYFUNCTION("""COMPUTED_VALUE"""),46228.61710041667)</f>
        <v>46228.6171</v>
      </c>
      <c r="T464" s="76">
        <f t="shared" si="4"/>
        <v>2.102344028</v>
      </c>
      <c r="V464" s="76">
        <f>IFERROR(__xludf.DUMMYFUNCTION("""COMPUTED_VALUE"""),5426.0)</f>
        <v>5426</v>
      </c>
      <c r="W464" s="232">
        <f>IFERROR(__xludf.DUMMYFUNCTION("""COMPUTED_VALUE"""),46232.61944444444)</f>
        <v>46232.61944</v>
      </c>
      <c r="X464" s="84">
        <f>IFERROR(__xludf.DUMMYFUNCTION("""COMPUTED_VALUE"""),46231.80681304398)</f>
        <v>46231.80681</v>
      </c>
      <c r="Y464" s="76">
        <f t="shared" si="5"/>
        <v>0.8126314005</v>
      </c>
      <c r="AK464" s="232"/>
      <c r="AL464" s="233"/>
      <c r="AM464" s="173"/>
    </row>
    <row r="465">
      <c r="A465" s="76">
        <f>IFERROR(__xludf.DUMMYFUNCTION("""COMPUTED_VALUE"""),5426.0)</f>
        <v>5426</v>
      </c>
      <c r="B465" s="232">
        <f>IFERROR(__xludf.DUMMYFUNCTION("""COMPUTED_VALUE"""),46231.46666666667)</f>
        <v>46231.46667</v>
      </c>
      <c r="C465" s="84">
        <f>IFERROR(__xludf.DUMMYFUNCTION("""COMPUTED_VALUE"""),46230.76271657407)</f>
        <v>46230.76272</v>
      </c>
      <c r="D465" s="173">
        <f t="shared" si="1"/>
        <v>0.7039500926</v>
      </c>
      <c r="G465" s="76">
        <f>IFERROR(__xludf.DUMMYFUNCTION("""COMPUTED_VALUE"""),5426.0)</f>
        <v>5426</v>
      </c>
      <c r="H465" s="232">
        <f>IFERROR(__xludf.DUMMYFUNCTION("""COMPUTED_VALUE"""),46231.47361111111)</f>
        <v>46231.47361</v>
      </c>
      <c r="I465" s="84">
        <f>IFERROR(__xludf.DUMMYFUNCTION("""COMPUTED_VALUE"""),46230.76298328704)</f>
        <v>46230.76298</v>
      </c>
      <c r="J465" s="76">
        <f t="shared" si="2"/>
        <v>0.7106278241</v>
      </c>
      <c r="L465" s="76">
        <f>IFERROR(__xludf.DUMMYFUNCTION("""COMPUTED_VALUE"""),5426.0)</f>
        <v>5426</v>
      </c>
      <c r="M465" s="232">
        <f>IFERROR(__xludf.DUMMYFUNCTION("""COMPUTED_VALUE"""),46231.57777777778)</f>
        <v>46231.57778</v>
      </c>
      <c r="N465" s="84">
        <f>IFERROR(__xludf.DUMMYFUNCTION("""COMPUTED_VALUE"""),46230.76322202546)</f>
        <v>46230.76322</v>
      </c>
      <c r="O465" s="76">
        <f t="shared" si="3"/>
        <v>0.8145557523</v>
      </c>
      <c r="Q465" s="76">
        <f>IFERROR(__xludf.DUMMYFUNCTION("""COMPUTED_VALUE"""),5421.0)</f>
        <v>5421</v>
      </c>
      <c r="R465" s="232">
        <f>IFERROR(__xludf.DUMMYFUNCTION("""COMPUTED_VALUE"""),46230.72083333333)</f>
        <v>46230.72083</v>
      </c>
      <c r="S465" s="84">
        <f>IFERROR(__xludf.DUMMYFUNCTION("""COMPUTED_VALUE"""),46228.61713126158)</f>
        <v>46228.61713</v>
      </c>
      <c r="T465" s="76">
        <f t="shared" si="4"/>
        <v>2.103702072</v>
      </c>
      <c r="V465" s="76">
        <f>IFERROR(__xludf.DUMMYFUNCTION("""COMPUTED_VALUE"""),5427.0)</f>
        <v>5427</v>
      </c>
      <c r="W465" s="232">
        <f>IFERROR(__xludf.DUMMYFUNCTION("""COMPUTED_VALUE"""),46232.62083333333)</f>
        <v>46232.62083</v>
      </c>
      <c r="X465" s="84">
        <f>IFERROR(__xludf.DUMMYFUNCTION("""COMPUTED_VALUE"""),46231.810984525466)</f>
        <v>46231.81098</v>
      </c>
      <c r="Y465" s="76">
        <f t="shared" si="5"/>
        <v>0.8098488079</v>
      </c>
      <c r="AK465" s="232"/>
      <c r="AL465" s="233"/>
      <c r="AM465" s="173"/>
    </row>
    <row r="466">
      <c r="A466" s="76">
        <f>IFERROR(__xludf.DUMMYFUNCTION("""COMPUTED_VALUE"""),5427.0)</f>
        <v>5427</v>
      </c>
      <c r="B466" s="232">
        <f>IFERROR(__xludf.DUMMYFUNCTION("""COMPUTED_VALUE"""),46231.46805555556)</f>
        <v>46231.46806</v>
      </c>
      <c r="C466" s="84">
        <f>IFERROR(__xludf.DUMMYFUNCTION("""COMPUTED_VALUE"""),46230.7627721875)</f>
        <v>46230.76277</v>
      </c>
      <c r="D466" s="173">
        <f t="shared" si="1"/>
        <v>0.7052833681</v>
      </c>
      <c r="G466" s="76">
        <f>IFERROR(__xludf.DUMMYFUNCTION("""COMPUTED_VALUE"""),5427.0)</f>
        <v>5427</v>
      </c>
      <c r="H466" s="232">
        <f>IFERROR(__xludf.DUMMYFUNCTION("""COMPUTED_VALUE"""),46231.475000000006)</f>
        <v>46231.475</v>
      </c>
      <c r="I466" s="84">
        <f>IFERROR(__xludf.DUMMYFUNCTION("""COMPUTED_VALUE"""),46230.76301056713)</f>
        <v>46230.76301</v>
      </c>
      <c r="J466" s="76">
        <f t="shared" si="2"/>
        <v>0.7119894329</v>
      </c>
      <c r="L466" s="76">
        <f>IFERROR(__xludf.DUMMYFUNCTION("""COMPUTED_VALUE"""),5427.0)</f>
        <v>5427</v>
      </c>
      <c r="M466" s="232">
        <f>IFERROR(__xludf.DUMMYFUNCTION("""COMPUTED_VALUE"""),46231.57916666667)</f>
        <v>46231.57917</v>
      </c>
      <c r="N466" s="84">
        <f>IFERROR(__xludf.DUMMYFUNCTION("""COMPUTED_VALUE"""),46230.76318475694)</f>
        <v>46230.76318</v>
      </c>
      <c r="O466" s="76">
        <f t="shared" si="3"/>
        <v>0.8159819097</v>
      </c>
      <c r="Q466" s="76">
        <f>IFERROR(__xludf.DUMMYFUNCTION("""COMPUTED_VALUE"""),5422.0)</f>
        <v>5422</v>
      </c>
      <c r="R466" s="232">
        <f>IFERROR(__xludf.DUMMYFUNCTION("""COMPUTED_VALUE"""),46231.47152777778)</f>
        <v>46231.47153</v>
      </c>
      <c r="S466" s="84">
        <f>IFERROR(__xludf.DUMMYFUNCTION("""COMPUTED_VALUE"""),46228.66754513889)</f>
        <v>46228.66755</v>
      </c>
      <c r="T466" s="76">
        <f t="shared" si="4"/>
        <v>2.803982639</v>
      </c>
      <c r="V466" s="76">
        <f>IFERROR(__xludf.DUMMYFUNCTION("""COMPUTED_VALUE"""),5428.0)</f>
        <v>5428</v>
      </c>
      <c r="W466" s="232">
        <f>IFERROR(__xludf.DUMMYFUNCTION("""COMPUTED_VALUE"""),46232.621527777774)</f>
        <v>46232.62153</v>
      </c>
      <c r="X466" s="84">
        <f>IFERROR(__xludf.DUMMYFUNCTION("""COMPUTED_VALUE"""),46231.61378270833)</f>
        <v>46231.61378</v>
      </c>
      <c r="Y466" s="76">
        <f t="shared" si="5"/>
        <v>1.007745069</v>
      </c>
      <c r="AK466" s="232"/>
      <c r="AL466" s="233"/>
      <c r="AM466" s="173"/>
    </row>
    <row r="467">
      <c r="A467" s="76">
        <f>IFERROR(__xludf.DUMMYFUNCTION("""COMPUTED_VALUE"""),5428.0)</f>
        <v>5428</v>
      </c>
      <c r="B467" s="232">
        <f>IFERROR(__xludf.DUMMYFUNCTION("""COMPUTED_VALUE"""),46231.46875)</f>
        <v>46231.46875</v>
      </c>
      <c r="C467" s="84">
        <f>IFERROR(__xludf.DUMMYFUNCTION("""COMPUTED_VALUE"""),46230.762894803236)</f>
        <v>46230.76289</v>
      </c>
      <c r="D467" s="173">
        <f t="shared" si="1"/>
        <v>0.7058551968</v>
      </c>
      <c r="G467" s="76">
        <f>IFERROR(__xludf.DUMMYFUNCTION("""COMPUTED_VALUE"""),5428.0)</f>
        <v>5428</v>
      </c>
      <c r="H467" s="232">
        <f>IFERROR(__xludf.DUMMYFUNCTION("""COMPUTED_VALUE"""),46231.475694444445)</f>
        <v>46231.47569</v>
      </c>
      <c r="I467" s="84">
        <f>IFERROR(__xludf.DUMMYFUNCTION("""COMPUTED_VALUE"""),46230.763034814816)</f>
        <v>46230.76303</v>
      </c>
      <c r="J467" s="76">
        <f t="shared" si="2"/>
        <v>0.7126596296</v>
      </c>
      <c r="L467" s="76">
        <f>IFERROR(__xludf.DUMMYFUNCTION("""COMPUTED_VALUE"""),5428.0)</f>
        <v>5428</v>
      </c>
      <c r="M467" s="232">
        <f>IFERROR(__xludf.DUMMYFUNCTION("""COMPUTED_VALUE"""),46231.57986111111)</f>
        <v>46231.57986</v>
      </c>
      <c r="N467" s="84">
        <f>IFERROR(__xludf.DUMMYFUNCTION("""COMPUTED_VALUE"""),46230.763206331016)</f>
        <v>46230.76321</v>
      </c>
      <c r="O467" s="76">
        <f t="shared" si="3"/>
        <v>0.8166547801</v>
      </c>
      <c r="Q467" s="76">
        <f>IFERROR(__xludf.DUMMYFUNCTION("""COMPUTED_VALUE"""),5423.0)</f>
        <v>5423</v>
      </c>
      <c r="R467" s="232">
        <f>IFERROR(__xludf.DUMMYFUNCTION("""COMPUTED_VALUE"""),46231.70416666666)</f>
        <v>46231.70417</v>
      </c>
      <c r="S467" s="84">
        <f>IFERROR(__xludf.DUMMYFUNCTION("""COMPUTED_VALUE"""),46230.69839038195)</f>
        <v>46230.69839</v>
      </c>
      <c r="T467" s="76">
        <f t="shared" si="4"/>
        <v>1.005776285</v>
      </c>
      <c r="V467" s="76">
        <f>IFERROR(__xludf.DUMMYFUNCTION("""COMPUTED_VALUE"""),5429.0)</f>
        <v>5429</v>
      </c>
      <c r="W467" s="232">
        <f>IFERROR(__xludf.DUMMYFUNCTION("""COMPUTED_VALUE"""),46232.71805555555)</f>
        <v>46232.71806</v>
      </c>
      <c r="X467" s="84">
        <f>IFERROR(__xludf.DUMMYFUNCTION("""COMPUTED_VALUE"""),46231.61386662037)</f>
        <v>46231.61387</v>
      </c>
      <c r="Y467" s="76">
        <f t="shared" si="5"/>
        <v>1.104188935</v>
      </c>
      <c r="AK467" s="232"/>
      <c r="AL467" s="233"/>
      <c r="AM467" s="173"/>
    </row>
    <row r="468">
      <c r="A468" s="76">
        <f>IFERROR(__xludf.DUMMYFUNCTION("""COMPUTED_VALUE"""),5429.0)</f>
        <v>5429</v>
      </c>
      <c r="B468" s="232">
        <f>IFERROR(__xludf.DUMMYFUNCTION("""COMPUTED_VALUE"""),46231.565441921295)</f>
        <v>46231.56544</v>
      </c>
      <c r="C468" s="84">
        <f>IFERROR(__xludf.DUMMYFUNCTION("""COMPUTED_VALUE"""),46231.4426725463)</f>
        <v>46231.44267</v>
      </c>
      <c r="D468" s="173">
        <f t="shared" si="1"/>
        <v>0.122769375</v>
      </c>
      <c r="G468" s="76">
        <f>IFERROR(__xludf.DUMMYFUNCTION("""COMPUTED_VALUE"""),5429.0)</f>
        <v>5429</v>
      </c>
      <c r="H468" s="232">
        <f>IFERROR(__xludf.DUMMYFUNCTION("""COMPUTED_VALUE"""),46231.57238636574)</f>
        <v>46231.57239</v>
      </c>
      <c r="I468" s="84">
        <f>IFERROR(__xludf.DUMMYFUNCTION("""COMPUTED_VALUE"""),46231.44277234953)</f>
        <v>46231.44277</v>
      </c>
      <c r="J468" s="76">
        <f t="shared" si="2"/>
        <v>0.1296140162</v>
      </c>
      <c r="L468" s="76">
        <f>IFERROR(__xludf.DUMMYFUNCTION("""COMPUTED_VALUE"""),5429.0)</f>
        <v>5429</v>
      </c>
      <c r="M468" s="232">
        <f>IFERROR(__xludf.DUMMYFUNCTION("""COMPUTED_VALUE"""),46231.676553032405)</f>
        <v>46231.67655</v>
      </c>
      <c r="N468" s="84">
        <f>IFERROR(__xludf.DUMMYFUNCTION("""COMPUTED_VALUE"""),46231.44282894676)</f>
        <v>46231.44283</v>
      </c>
      <c r="O468" s="76">
        <f t="shared" si="3"/>
        <v>0.2337240856</v>
      </c>
      <c r="Q468" s="76">
        <f>IFERROR(__xludf.DUMMYFUNCTION("""COMPUTED_VALUE"""),5424.0)</f>
        <v>5424</v>
      </c>
      <c r="R468" s="232">
        <f>IFERROR(__xludf.DUMMYFUNCTION("""COMPUTED_VALUE"""),46231.785416666666)</f>
        <v>46231.78542</v>
      </c>
      <c r="S468" s="84">
        <f>IFERROR(__xludf.DUMMYFUNCTION("""COMPUTED_VALUE"""),46230.699283124995)</f>
        <v>46230.69928</v>
      </c>
      <c r="T468" s="76">
        <f t="shared" si="4"/>
        <v>1.086133542</v>
      </c>
      <c r="V468" s="76">
        <f>IFERROR(__xludf.DUMMYFUNCTION("""COMPUTED_VALUE"""),5430.0)</f>
        <v>5430</v>
      </c>
      <c r="W468" s="232">
        <f>IFERROR(__xludf.DUMMYFUNCTION("""COMPUTED_VALUE"""),46232.759722222225)</f>
        <v>46232.75972</v>
      </c>
      <c r="X468" s="84">
        <f>IFERROR(__xludf.DUMMYFUNCTION("""COMPUTED_VALUE"""),46232.754899629625)</f>
        <v>46232.7549</v>
      </c>
      <c r="Y468" s="76">
        <f t="shared" si="5"/>
        <v>0.0048225926</v>
      </c>
      <c r="AK468" s="232"/>
      <c r="AL468" s="233"/>
      <c r="AM468" s="173"/>
    </row>
    <row r="469">
      <c r="A469" s="76">
        <f>IFERROR(__xludf.DUMMYFUNCTION("""COMPUTED_VALUE"""),5430.0)</f>
        <v>5430</v>
      </c>
      <c r="B469" s="232">
        <f>IFERROR(__xludf.DUMMYFUNCTION("""COMPUTED_VALUE"""),46231.60730321759)</f>
        <v>46231.6073</v>
      </c>
      <c r="C469" s="84">
        <f>IFERROR(__xludf.DUMMYFUNCTION("""COMPUTED_VALUE"""),46231.44269552083)</f>
        <v>46231.4427</v>
      </c>
      <c r="D469" s="173">
        <f t="shared" si="1"/>
        <v>0.1646076968</v>
      </c>
      <c r="G469" s="76">
        <f>IFERROR(__xludf.DUMMYFUNCTION("""COMPUTED_VALUE"""),5430.0)</f>
        <v>5430</v>
      </c>
      <c r="H469" s="232">
        <f>IFERROR(__xludf.DUMMYFUNCTION("""COMPUTED_VALUE"""),46231.61424766204)</f>
        <v>46231.61425</v>
      </c>
      <c r="I469" s="84">
        <f>IFERROR(__xludf.DUMMYFUNCTION("""COMPUTED_VALUE"""),46231.44278846065)</f>
        <v>46231.44279</v>
      </c>
      <c r="J469" s="76">
        <f t="shared" si="2"/>
        <v>0.1714592014</v>
      </c>
      <c r="L469" s="76">
        <f>IFERROR(__xludf.DUMMYFUNCTION("""COMPUTED_VALUE"""),5430.0)</f>
        <v>5430</v>
      </c>
      <c r="M469" s="232">
        <f>IFERROR(__xludf.DUMMYFUNCTION("""COMPUTED_VALUE"""),46231.7184143287)</f>
        <v>46231.71841</v>
      </c>
      <c r="N469" s="84">
        <f>IFERROR(__xludf.DUMMYFUNCTION("""COMPUTED_VALUE"""),46231.44289630787)</f>
        <v>46231.4429</v>
      </c>
      <c r="O469" s="76">
        <f t="shared" si="3"/>
        <v>0.2755180208</v>
      </c>
      <c r="Q469" s="76">
        <f>IFERROR(__xludf.DUMMYFUNCTION("""COMPUTED_VALUE"""),5425.0)</f>
        <v>5425</v>
      </c>
      <c r="R469" s="232">
        <f>IFERROR(__xludf.DUMMYFUNCTION("""COMPUTED_VALUE"""),46232.53888888889)</f>
        <v>46232.53889</v>
      </c>
      <c r="S469" s="84">
        <f>IFERROR(__xludf.DUMMYFUNCTION("""COMPUTED_VALUE"""),46230.7633152662)</f>
        <v>46230.76332</v>
      </c>
      <c r="T469" s="76">
        <f t="shared" si="4"/>
        <v>1.775573623</v>
      </c>
      <c r="V469" s="76">
        <f>IFERROR(__xludf.DUMMYFUNCTION("""COMPUTED_VALUE"""),5431.0)</f>
        <v>5431</v>
      </c>
      <c r="W469" s="232">
        <f>IFERROR(__xludf.DUMMYFUNCTION("""COMPUTED_VALUE"""),46233.51875)</f>
        <v>46233.51875</v>
      </c>
      <c r="X469" s="84">
        <f>IFERROR(__xludf.DUMMYFUNCTION("""COMPUTED_VALUE"""),46233.49896813657)</f>
        <v>46233.49897</v>
      </c>
      <c r="Y469" s="76">
        <f t="shared" si="5"/>
        <v>0.01978186343</v>
      </c>
      <c r="AK469" s="232"/>
      <c r="AL469" s="233"/>
      <c r="AM469" s="173"/>
    </row>
    <row r="470">
      <c r="A470" s="76">
        <f>IFERROR(__xludf.DUMMYFUNCTION("""COMPUTED_VALUE"""),5431.0)</f>
        <v>5431</v>
      </c>
      <c r="B470" s="232">
        <f>IFERROR(__xludf.DUMMYFUNCTION("""COMPUTED_VALUE"""),46231.61605318287)</f>
        <v>46231.61605</v>
      </c>
      <c r="C470" s="84">
        <f>IFERROR(__xludf.DUMMYFUNCTION("""COMPUTED_VALUE"""),46231.489094097225)</f>
        <v>46231.48909</v>
      </c>
      <c r="D470" s="173">
        <f t="shared" si="1"/>
        <v>0.1269590856</v>
      </c>
      <c r="G470" s="76">
        <f>IFERROR(__xludf.DUMMYFUNCTION("""COMPUTED_VALUE"""),5431.0)</f>
        <v>5431</v>
      </c>
      <c r="H470" s="232">
        <f>IFERROR(__xludf.DUMMYFUNCTION("""COMPUTED_VALUE"""),46231.62299762732)</f>
        <v>46231.623</v>
      </c>
      <c r="I470" s="84">
        <f>IFERROR(__xludf.DUMMYFUNCTION("""COMPUTED_VALUE"""),46231.48935212963)</f>
        <v>46231.48935</v>
      </c>
      <c r="J470" s="76">
        <f t="shared" si="2"/>
        <v>0.1336454977</v>
      </c>
      <c r="L470" s="76">
        <f>IFERROR(__xludf.DUMMYFUNCTION("""COMPUTED_VALUE"""),5431.0)</f>
        <v>5431</v>
      </c>
      <c r="M470" s="232">
        <f>IFERROR(__xludf.DUMMYFUNCTION("""COMPUTED_VALUE"""),46232.47716429398)</f>
        <v>46232.47716</v>
      </c>
      <c r="N470" s="84">
        <f>IFERROR(__xludf.DUMMYFUNCTION("""COMPUTED_VALUE"""),46232.472766203704)</f>
        <v>46232.47277</v>
      </c>
      <c r="O470" s="76">
        <f t="shared" si="3"/>
        <v>0.004398090277</v>
      </c>
      <c r="Q470" s="76">
        <f>IFERROR(__xludf.DUMMYFUNCTION("""COMPUTED_VALUE"""),5426.0)</f>
        <v>5426</v>
      </c>
      <c r="R470" s="232">
        <f>IFERROR(__xludf.DUMMYFUNCTION("""COMPUTED_VALUE"""),46232.57777777778)</f>
        <v>46232.57778</v>
      </c>
      <c r="S470" s="84">
        <f>IFERROR(__xludf.DUMMYFUNCTION("""COMPUTED_VALUE"""),46231.80676221065)</f>
        <v>46231.80676</v>
      </c>
      <c r="T470" s="76">
        <f t="shared" si="4"/>
        <v>0.7710155671</v>
      </c>
      <c r="V470" s="76">
        <f>IFERROR(__xludf.DUMMYFUNCTION("""COMPUTED_VALUE"""),5432.0)</f>
        <v>5432</v>
      </c>
      <c r="W470" s="232">
        <f>IFERROR(__xludf.DUMMYFUNCTION("""COMPUTED_VALUE"""),46232.80694444444)</f>
        <v>46232.80694</v>
      </c>
      <c r="X470" s="84">
        <f>IFERROR(__xludf.DUMMYFUNCTION("""COMPUTED_VALUE"""),46231.61351289352)</f>
        <v>46231.61351</v>
      </c>
      <c r="Y470" s="76">
        <f t="shared" si="5"/>
        <v>1.193431551</v>
      </c>
      <c r="AK470" s="232"/>
      <c r="AL470" s="233"/>
      <c r="AM470" s="173"/>
    </row>
    <row r="471">
      <c r="A471" s="76">
        <f>IFERROR(__xludf.DUMMYFUNCTION("""COMPUTED_VALUE"""),5432.0)</f>
        <v>5432</v>
      </c>
      <c r="B471" s="232">
        <f>IFERROR(__xludf.DUMMYFUNCTION("""COMPUTED_VALUE"""),46231.654760763886)</f>
        <v>46231.65476</v>
      </c>
      <c r="C471" s="84">
        <f>IFERROR(__xludf.DUMMYFUNCTION("""COMPUTED_VALUE"""),46231.489109675924)</f>
        <v>46231.48911</v>
      </c>
      <c r="D471" s="173">
        <f t="shared" si="1"/>
        <v>0.165651088</v>
      </c>
      <c r="G471" s="76">
        <f>IFERROR(__xludf.DUMMYFUNCTION("""COMPUTED_VALUE"""),5432.0)</f>
        <v>5432</v>
      </c>
      <c r="H471" s="232">
        <f>IFERROR(__xludf.DUMMYFUNCTION("""COMPUTED_VALUE"""),46231.66170520833)</f>
        <v>46231.66171</v>
      </c>
      <c r="I471" s="84">
        <f>IFERROR(__xludf.DUMMYFUNCTION("""COMPUTED_VALUE"""),46231.48936893519)</f>
        <v>46231.48937</v>
      </c>
      <c r="J471" s="76">
        <f t="shared" si="2"/>
        <v>0.1723362731</v>
      </c>
      <c r="L471" s="76">
        <f>IFERROR(__xludf.DUMMYFUNCTION("""COMPUTED_VALUE"""),5432.0)</f>
        <v>5432</v>
      </c>
      <c r="M471" s="232">
        <f>IFERROR(__xludf.DUMMYFUNCTION("""COMPUTED_VALUE"""),46231.765871874995)</f>
        <v>46231.76587</v>
      </c>
      <c r="N471" s="84">
        <f>IFERROR(__xludf.DUMMYFUNCTION("""COMPUTED_VALUE"""),46231.613450613426)</f>
        <v>46231.61345</v>
      </c>
      <c r="O471" s="76">
        <f t="shared" si="3"/>
        <v>0.1524212616</v>
      </c>
      <c r="Q471" s="76">
        <f>IFERROR(__xludf.DUMMYFUNCTION("""COMPUTED_VALUE"""),5427.0)</f>
        <v>5427</v>
      </c>
      <c r="R471" s="232">
        <f>IFERROR(__xludf.DUMMYFUNCTION("""COMPUTED_VALUE"""),46232.57916666666)</f>
        <v>46232.57917</v>
      </c>
      <c r="S471" s="84">
        <f>IFERROR(__xludf.DUMMYFUNCTION("""COMPUTED_VALUE"""),46231.810958842594)</f>
        <v>46231.81096</v>
      </c>
      <c r="T471" s="76">
        <f t="shared" si="4"/>
        <v>0.7682078241</v>
      </c>
      <c r="V471" s="76">
        <f>IFERROR(__xludf.DUMMYFUNCTION("""COMPUTED_VALUE"""),5433.0)</f>
        <v>5433</v>
      </c>
      <c r="W471" s="232">
        <f>IFERROR(__xludf.DUMMYFUNCTION("""COMPUTED_VALUE"""),46233.73541666666)</f>
        <v>46233.73542</v>
      </c>
      <c r="X471" s="84">
        <f>IFERROR(__xludf.DUMMYFUNCTION("""COMPUTED_VALUE"""),46233.43470987269)</f>
        <v>46233.43471</v>
      </c>
      <c r="Y471" s="76">
        <f t="shared" si="5"/>
        <v>0.300706794</v>
      </c>
      <c r="AK471" s="232"/>
      <c r="AL471" s="233"/>
      <c r="AM471" s="173"/>
    </row>
    <row r="472">
      <c r="A472" s="76">
        <f>IFERROR(__xludf.DUMMYFUNCTION("""COMPUTED_VALUE"""),5433.0)</f>
        <v>5433</v>
      </c>
      <c r="B472" s="232">
        <f>IFERROR(__xludf.DUMMYFUNCTION("""COMPUTED_VALUE"""),46232.583155625)</f>
        <v>46232.58316</v>
      </c>
      <c r="C472" s="84">
        <f>IFERROR(__xludf.DUMMYFUNCTION("""COMPUTED_VALUE"""),46232.41692267361)</f>
        <v>46232.41692</v>
      </c>
      <c r="D472" s="173">
        <f t="shared" si="1"/>
        <v>0.1662329514</v>
      </c>
      <c r="G472" s="76">
        <f>IFERROR(__xludf.DUMMYFUNCTION("""COMPUTED_VALUE"""),5433.0)</f>
        <v>5433</v>
      </c>
      <c r="H472" s="232">
        <f>IFERROR(__xludf.DUMMYFUNCTION("""COMPUTED_VALUE"""),46232.59010006944)</f>
        <v>46232.5901</v>
      </c>
      <c r="I472" s="84">
        <f>IFERROR(__xludf.DUMMYFUNCTION("""COMPUTED_VALUE"""),46232.4169902662)</f>
        <v>46232.41699</v>
      </c>
      <c r="J472" s="76">
        <f t="shared" si="2"/>
        <v>0.1731098032</v>
      </c>
      <c r="L472" s="76">
        <f>IFERROR(__xludf.DUMMYFUNCTION("""COMPUTED_VALUE"""),5433.0)</f>
        <v>5433</v>
      </c>
      <c r="M472" s="232">
        <f>IFERROR(__xludf.DUMMYFUNCTION("""COMPUTED_VALUE"""),46232.69426673611)</f>
        <v>46232.69427</v>
      </c>
      <c r="N472" s="84">
        <f>IFERROR(__xludf.DUMMYFUNCTION("""COMPUTED_VALUE"""),46232.41701326389)</f>
        <v>46232.41701</v>
      </c>
      <c r="O472" s="76">
        <f t="shared" si="3"/>
        <v>0.2772534722</v>
      </c>
      <c r="Q472" s="76">
        <f>IFERROR(__xludf.DUMMYFUNCTION("""COMPUTED_VALUE"""),5428.0)</f>
        <v>5428</v>
      </c>
      <c r="R472" s="232">
        <f>IFERROR(__xludf.DUMMYFUNCTION("""COMPUTED_VALUE"""),46232.57986111111)</f>
        <v>46232.57986</v>
      </c>
      <c r="S472" s="84">
        <f>IFERROR(__xludf.DUMMYFUNCTION("""COMPUTED_VALUE"""),46231.61375653935)</f>
        <v>46231.61376</v>
      </c>
      <c r="T472" s="76">
        <f t="shared" si="4"/>
        <v>0.9661045718</v>
      </c>
      <c r="V472" s="76">
        <f>IFERROR(__xludf.DUMMYFUNCTION("""COMPUTED_VALUE"""),5434.0)</f>
        <v>5434</v>
      </c>
      <c r="W472" s="232">
        <f>IFERROR(__xludf.DUMMYFUNCTION("""COMPUTED_VALUE"""),46233.740972222215)</f>
        <v>46233.74097</v>
      </c>
      <c r="X472" s="84">
        <f>IFERROR(__xludf.DUMMYFUNCTION("""COMPUTED_VALUE"""),46233.452552511575)</f>
        <v>46233.45255</v>
      </c>
      <c r="Y472" s="76">
        <f t="shared" si="5"/>
        <v>0.2884197106</v>
      </c>
      <c r="AK472" s="232"/>
      <c r="AL472" s="233"/>
      <c r="AM472" s="173"/>
    </row>
    <row r="473">
      <c r="A473" s="76">
        <f>IFERROR(__xludf.DUMMYFUNCTION("""COMPUTED_VALUE"""),5434.0)</f>
        <v>5434</v>
      </c>
      <c r="B473" s="232">
        <f>IFERROR(__xludf.DUMMYFUNCTION("""COMPUTED_VALUE"""),46232.58872375)</f>
        <v>46232.58872</v>
      </c>
      <c r="C473" s="84">
        <f>IFERROR(__xludf.DUMMYFUNCTION("""COMPUTED_VALUE"""),46232.43844791666)</f>
        <v>46232.43845</v>
      </c>
      <c r="D473" s="173">
        <f t="shared" si="1"/>
        <v>0.1502758333</v>
      </c>
      <c r="G473" s="76">
        <f>IFERROR(__xludf.DUMMYFUNCTION("""COMPUTED_VALUE"""),5434.0)</f>
        <v>5434</v>
      </c>
      <c r="H473" s="232">
        <f>IFERROR(__xludf.DUMMYFUNCTION("""COMPUTED_VALUE"""),46232.595668194444)</f>
        <v>46232.59567</v>
      </c>
      <c r="I473" s="84">
        <f>IFERROR(__xludf.DUMMYFUNCTION("""COMPUTED_VALUE"""),46232.43849939815)</f>
        <v>46232.4385</v>
      </c>
      <c r="J473" s="76">
        <f t="shared" si="2"/>
        <v>0.1571687963</v>
      </c>
      <c r="L473" s="76">
        <f>IFERROR(__xludf.DUMMYFUNCTION("""COMPUTED_VALUE"""),5434.0)</f>
        <v>5434</v>
      </c>
      <c r="M473" s="232">
        <f>IFERROR(__xludf.DUMMYFUNCTION("""COMPUTED_VALUE"""),46232.69983486111)</f>
        <v>46232.69983</v>
      </c>
      <c r="N473" s="84">
        <f>IFERROR(__xludf.DUMMYFUNCTION("""COMPUTED_VALUE"""),46232.43855287037)</f>
        <v>46232.43855</v>
      </c>
      <c r="O473" s="76">
        <f t="shared" si="3"/>
        <v>0.2612819907</v>
      </c>
      <c r="Q473" s="76">
        <f>IFERROR(__xludf.DUMMYFUNCTION("""COMPUTED_VALUE"""),5429.0)</f>
        <v>5429</v>
      </c>
      <c r="R473" s="232">
        <f>IFERROR(__xludf.DUMMYFUNCTION("""COMPUTED_VALUE"""),46232.67638888889)</f>
        <v>46232.67639</v>
      </c>
      <c r="S473" s="84">
        <f>IFERROR(__xludf.DUMMYFUNCTION("""COMPUTED_VALUE"""),46231.61383956019)</f>
        <v>46231.61384</v>
      </c>
      <c r="T473" s="76">
        <f t="shared" si="4"/>
        <v>1.062549329</v>
      </c>
      <c r="V473" s="76">
        <f>IFERROR(__xludf.DUMMYFUNCTION("""COMPUTED_VALUE"""),5435.0)</f>
        <v>5435</v>
      </c>
      <c r="W473" s="232">
        <f>IFERROR(__xludf.DUMMYFUNCTION("""COMPUTED_VALUE"""),46233.825)</f>
        <v>46233.825</v>
      </c>
      <c r="X473" s="84">
        <f>IFERROR(__xludf.DUMMYFUNCTION("""COMPUTED_VALUE"""),46233.43482699074)</f>
        <v>46233.43483</v>
      </c>
      <c r="Y473" s="76">
        <f t="shared" si="5"/>
        <v>0.3901730093</v>
      </c>
      <c r="AK473" s="232"/>
      <c r="AL473" s="233"/>
      <c r="AM473" s="173"/>
    </row>
    <row r="474">
      <c r="A474" s="76">
        <f>IFERROR(__xludf.DUMMYFUNCTION("""COMPUTED_VALUE"""),5435.0)</f>
        <v>5435</v>
      </c>
      <c r="B474" s="232">
        <f>IFERROR(__xludf.DUMMYFUNCTION("""COMPUTED_VALUE"""),46232.672439571754)</f>
        <v>46232.67244</v>
      </c>
      <c r="C474" s="84">
        <f>IFERROR(__xludf.DUMMYFUNCTION("""COMPUTED_VALUE"""),46232.50961594908)</f>
        <v>46232.50962</v>
      </c>
      <c r="D474" s="173">
        <f t="shared" si="1"/>
        <v>0.1628236227</v>
      </c>
      <c r="G474" s="76">
        <f>IFERROR(__xludf.DUMMYFUNCTION("""COMPUTED_VALUE"""),5435.0)</f>
        <v>5435</v>
      </c>
      <c r="H474" s="232">
        <f>IFERROR(__xludf.DUMMYFUNCTION("""COMPUTED_VALUE"""),46232.6793840162)</f>
        <v>46232.67938</v>
      </c>
      <c r="I474" s="84">
        <f>IFERROR(__xludf.DUMMYFUNCTION("""COMPUTED_VALUE"""),46232.50969523148)</f>
        <v>46232.5097</v>
      </c>
      <c r="J474" s="76">
        <f t="shared" si="2"/>
        <v>0.1696887847</v>
      </c>
      <c r="L474" s="76">
        <f>IFERROR(__xludf.DUMMYFUNCTION("""COMPUTED_VALUE"""),5435.0)</f>
        <v>5435</v>
      </c>
      <c r="M474" s="232">
        <f>IFERROR(__xludf.DUMMYFUNCTION("""COMPUTED_VALUE"""),46232.78355068286)</f>
        <v>46232.78355</v>
      </c>
      <c r="N474" s="84">
        <f>IFERROR(__xludf.DUMMYFUNCTION("""COMPUTED_VALUE"""),46232.50972695602)</f>
        <v>46232.50973</v>
      </c>
      <c r="O474" s="76">
        <f t="shared" si="3"/>
        <v>0.2738237268</v>
      </c>
      <c r="Q474" s="76">
        <f>IFERROR(__xludf.DUMMYFUNCTION("""COMPUTED_VALUE"""),5430.0)</f>
        <v>5430</v>
      </c>
      <c r="R474" s="232">
        <f>IFERROR(__xludf.DUMMYFUNCTION("""COMPUTED_VALUE"""),46232.71805555556)</f>
        <v>46232.71806</v>
      </c>
      <c r="S474" s="84">
        <f>IFERROR(__xludf.DUMMYFUNCTION("""COMPUTED_VALUE"""),46232.479853576384)</f>
        <v>46232.47985</v>
      </c>
      <c r="T474" s="76">
        <f t="shared" si="4"/>
        <v>0.2382019792</v>
      </c>
      <c r="V474" s="76">
        <f>IFERROR(__xludf.DUMMYFUNCTION("""COMPUTED_VALUE"""),5436.0)</f>
        <v>5436</v>
      </c>
      <c r="W474" s="232">
        <f>IFERROR(__xludf.DUMMYFUNCTION("""COMPUTED_VALUE"""),46233.831249999996)</f>
        <v>46233.83125</v>
      </c>
      <c r="X474" s="84">
        <f>IFERROR(__xludf.DUMMYFUNCTION("""COMPUTED_VALUE"""),46233.45272241898)</f>
        <v>46233.45272</v>
      </c>
      <c r="Y474" s="76">
        <f t="shared" si="5"/>
        <v>0.378527581</v>
      </c>
      <c r="AK474" s="232"/>
      <c r="AL474" s="233"/>
      <c r="AM474" s="173"/>
    </row>
    <row r="475">
      <c r="A475" s="76">
        <f>IFERROR(__xludf.DUMMYFUNCTION("""COMPUTED_VALUE"""),5436.0)</f>
        <v>5436</v>
      </c>
      <c r="B475" s="232">
        <f>IFERROR(__xludf.DUMMYFUNCTION("""COMPUTED_VALUE"""),46232.67890143518)</f>
        <v>46232.6789</v>
      </c>
      <c r="C475" s="84">
        <f>IFERROR(__xludf.DUMMYFUNCTION("""COMPUTED_VALUE"""),46232.625942708335)</f>
        <v>46232.62594</v>
      </c>
      <c r="D475" s="173">
        <f t="shared" si="1"/>
        <v>0.05295872685</v>
      </c>
      <c r="G475" s="76">
        <f>IFERROR(__xludf.DUMMYFUNCTION("""COMPUTED_VALUE"""),5436.0)</f>
        <v>5436</v>
      </c>
      <c r="H475" s="232">
        <f>IFERROR(__xludf.DUMMYFUNCTION("""COMPUTED_VALUE"""),46232.68584587963)</f>
        <v>46232.68585</v>
      </c>
      <c r="I475" s="84">
        <f>IFERROR(__xludf.DUMMYFUNCTION("""COMPUTED_VALUE"""),46232.626028750004)</f>
        <v>46232.62603</v>
      </c>
      <c r="J475" s="76">
        <f t="shared" si="2"/>
        <v>0.05981712962</v>
      </c>
      <c r="L475" s="76">
        <f>IFERROR(__xludf.DUMMYFUNCTION("""COMPUTED_VALUE"""),5436.0)</f>
        <v>5436</v>
      </c>
      <c r="M475" s="232">
        <f>IFERROR(__xludf.DUMMYFUNCTION("""COMPUTED_VALUE"""),46232.79001254629)</f>
        <v>46232.79001</v>
      </c>
      <c r="N475" s="84">
        <f>IFERROR(__xludf.DUMMYFUNCTION("""COMPUTED_VALUE"""),46232.69820182871)</f>
        <v>46232.6982</v>
      </c>
      <c r="O475" s="76">
        <f t="shared" si="3"/>
        <v>0.09181071758</v>
      </c>
      <c r="Q475" s="76">
        <f>IFERROR(__xludf.DUMMYFUNCTION("""COMPUTED_VALUE"""),5431.0)</f>
        <v>5431</v>
      </c>
      <c r="R475" s="232">
        <f>IFERROR(__xludf.DUMMYFUNCTION("""COMPUTED_VALUE"""),46233.47708333334)</f>
        <v>46233.47708</v>
      </c>
      <c r="S475" s="84">
        <f>IFERROR(__xludf.DUMMYFUNCTION("""COMPUTED_VALUE"""),46232.4798809375)</f>
        <v>46232.47988</v>
      </c>
      <c r="T475" s="76">
        <f t="shared" si="4"/>
        <v>0.9972023958</v>
      </c>
      <c r="V475" s="76">
        <f>IFERROR(__xludf.DUMMYFUNCTION("""COMPUTED_VALUE"""),5437.0)</f>
        <v>5437</v>
      </c>
      <c r="W475" s="232">
        <f>IFERROR(__xludf.DUMMYFUNCTION("""COMPUTED_VALUE"""),46233.83263888889)</f>
        <v>46233.83264</v>
      </c>
      <c r="X475" s="84">
        <f>IFERROR(__xludf.DUMMYFUNCTION("""COMPUTED_VALUE"""),46232.89420082176)</f>
        <v>46232.8942</v>
      </c>
      <c r="Y475" s="76">
        <f t="shared" si="5"/>
        <v>0.9384380671</v>
      </c>
      <c r="AK475" s="232"/>
      <c r="AL475" s="233"/>
      <c r="AM475" s="173"/>
    </row>
    <row r="476">
      <c r="A476" s="76">
        <f>IFERROR(__xludf.DUMMYFUNCTION("""COMPUTED_VALUE"""),5437.0)</f>
        <v>5437</v>
      </c>
      <c r="B476" s="232">
        <f>IFERROR(__xludf.DUMMYFUNCTION("""COMPUTED_VALUE"""),46232.68003053241)</f>
        <v>46232.68003</v>
      </c>
      <c r="C476" s="84">
        <f>IFERROR(__xludf.DUMMYFUNCTION("""COMPUTED_VALUE"""),46232.62595696759)</f>
        <v>46232.62596</v>
      </c>
      <c r="D476" s="173">
        <f t="shared" si="1"/>
        <v>0.05407356482</v>
      </c>
      <c r="G476" s="76">
        <f>IFERROR(__xludf.DUMMYFUNCTION("""COMPUTED_VALUE"""),5437.0)</f>
        <v>5437</v>
      </c>
      <c r="H476" s="232">
        <f>IFERROR(__xludf.DUMMYFUNCTION("""COMPUTED_VALUE"""),46232.68697497685)</f>
        <v>46232.68697</v>
      </c>
      <c r="I476" s="84">
        <f>IFERROR(__xludf.DUMMYFUNCTION("""COMPUTED_VALUE"""),46232.626069791666)</f>
        <v>46232.62607</v>
      </c>
      <c r="J476" s="76">
        <f t="shared" si="2"/>
        <v>0.06090518519</v>
      </c>
      <c r="L476" s="76">
        <f>IFERROR(__xludf.DUMMYFUNCTION("""COMPUTED_VALUE"""),5437.0)</f>
        <v>5437</v>
      </c>
      <c r="M476" s="232">
        <f>IFERROR(__xludf.DUMMYFUNCTION("""COMPUTED_VALUE"""),46232.791141643516)</f>
        <v>46232.79114</v>
      </c>
      <c r="N476" s="84">
        <f>IFERROR(__xludf.DUMMYFUNCTION("""COMPUTED_VALUE"""),46232.69820246528)</f>
        <v>46232.6982</v>
      </c>
      <c r="O476" s="76">
        <f t="shared" si="3"/>
        <v>0.09293917823</v>
      </c>
      <c r="Q476" s="76">
        <f>IFERROR(__xludf.DUMMYFUNCTION("""COMPUTED_VALUE"""),5432.0)</f>
        <v>5432</v>
      </c>
      <c r="R476" s="232">
        <f>IFERROR(__xludf.DUMMYFUNCTION("""COMPUTED_VALUE"""),46232.76527777778)</f>
        <v>46232.76528</v>
      </c>
      <c r="S476" s="84">
        <f>IFERROR(__xludf.DUMMYFUNCTION("""COMPUTED_VALUE"""),46231.61348893518)</f>
        <v>46231.61349</v>
      </c>
      <c r="T476" s="76">
        <f t="shared" si="4"/>
        <v>1.151788843</v>
      </c>
      <c r="V476" s="76">
        <f>IFERROR(__xludf.DUMMYFUNCTION("""COMPUTED_VALUE"""),5438.0)</f>
        <v>5438</v>
      </c>
      <c r="W476" s="232">
        <f>IFERROR(__xludf.DUMMYFUNCTION("""COMPUTED_VALUE"""),46234.416666666664)</f>
        <v>46234.41667</v>
      </c>
      <c r="X476" s="84">
        <f>IFERROR(__xludf.DUMMYFUNCTION("""COMPUTED_VALUE"""),46232.8941849074)</f>
        <v>46232.89418</v>
      </c>
      <c r="Y476" s="76">
        <f t="shared" si="5"/>
        <v>1.522481759</v>
      </c>
      <c r="AK476" s="232"/>
      <c r="AL476" s="233"/>
      <c r="AM476" s="173"/>
    </row>
    <row r="477">
      <c r="A477" s="76">
        <f>IFERROR(__xludf.DUMMYFUNCTION("""COMPUTED_VALUE"""),5438.0)</f>
        <v>5438</v>
      </c>
      <c r="B477" s="232">
        <f>IFERROR(__xludf.DUMMYFUNCTION("""COMPUTED_VALUE"""),46232.6809675)</f>
        <v>46232.68097</v>
      </c>
      <c r="C477" s="84">
        <f>IFERROR(__xludf.DUMMYFUNCTION("""COMPUTED_VALUE"""),46232.62595696759)</f>
        <v>46232.62596</v>
      </c>
      <c r="D477" s="173">
        <f t="shared" si="1"/>
        <v>0.05501053241</v>
      </c>
      <c r="G477" s="76">
        <f>IFERROR(__xludf.DUMMYFUNCTION("""COMPUTED_VALUE"""),5438.0)</f>
        <v>5438</v>
      </c>
      <c r="H477" s="232">
        <f>IFERROR(__xludf.DUMMYFUNCTION("""COMPUTED_VALUE"""),46232.68791194444)</f>
        <v>46232.68791</v>
      </c>
      <c r="I477" s="84">
        <f>IFERROR(__xludf.DUMMYFUNCTION("""COMPUTED_VALUE"""),46232.62604553241)</f>
        <v>46232.62605</v>
      </c>
      <c r="J477" s="76">
        <f t="shared" si="2"/>
        <v>0.06186641203</v>
      </c>
      <c r="L477" s="76">
        <f>IFERROR(__xludf.DUMMYFUNCTION("""COMPUTED_VALUE"""),5438.0)</f>
        <v>5438</v>
      </c>
      <c r="M477" s="232">
        <f>IFERROR(__xludf.DUMMYFUNCTION("""COMPUTED_VALUE"""),46232.792078611106)</f>
        <v>46232.79208</v>
      </c>
      <c r="N477" s="84">
        <f>IFERROR(__xludf.DUMMYFUNCTION("""COMPUTED_VALUE"""),46232.69821870371)</f>
        <v>46232.69822</v>
      </c>
      <c r="O477" s="76">
        <f t="shared" si="3"/>
        <v>0.0938599074</v>
      </c>
      <c r="Q477" s="76">
        <f>IFERROR(__xludf.DUMMYFUNCTION("""COMPUTED_VALUE"""),5433.0)</f>
        <v>5433</v>
      </c>
      <c r="R477" s="232">
        <f>IFERROR(__xludf.DUMMYFUNCTION("""COMPUTED_VALUE"""),46233.69375)</f>
        <v>46233.69375</v>
      </c>
      <c r="S477" s="84">
        <f>IFERROR(__xludf.DUMMYFUNCTION("""COMPUTED_VALUE"""),46232.47990746528)</f>
        <v>46232.47991</v>
      </c>
      <c r="T477" s="76">
        <f t="shared" si="4"/>
        <v>1.213842535</v>
      </c>
      <c r="V477" s="76">
        <f>IFERROR(__xludf.DUMMYFUNCTION("""COMPUTED_VALUE"""),5439.0)</f>
        <v>5439</v>
      </c>
      <c r="W477" s="232">
        <f>IFERROR(__xludf.DUMMYFUNCTION("""COMPUTED_VALUE"""),46234.42013888888)</f>
        <v>46234.42014</v>
      </c>
      <c r="X477" s="84">
        <f>IFERROR(__xludf.DUMMYFUNCTION("""COMPUTED_VALUE"""),46232.89417119213)</f>
        <v>46232.89417</v>
      </c>
      <c r="Y477" s="76">
        <f t="shared" si="5"/>
        <v>1.525967697</v>
      </c>
      <c r="AK477" s="232"/>
      <c r="AL477" s="233"/>
      <c r="AM477" s="173"/>
    </row>
    <row r="478">
      <c r="A478" s="76">
        <f>IFERROR(__xludf.DUMMYFUNCTION("""COMPUTED_VALUE"""),5439.0)</f>
        <v>5439</v>
      </c>
      <c r="B478" s="232">
        <f>IFERROR(__xludf.DUMMYFUNCTION("""COMPUTED_VALUE"""),46232.68409802083)</f>
        <v>46232.6841</v>
      </c>
      <c r="C478" s="84">
        <f>IFERROR(__xludf.DUMMYFUNCTION("""COMPUTED_VALUE"""),46232.62595696759)</f>
        <v>46232.62596</v>
      </c>
      <c r="D478" s="173">
        <f t="shared" si="1"/>
        <v>0.05814105324</v>
      </c>
      <c r="G478" s="76">
        <f>IFERROR(__xludf.DUMMYFUNCTION("""COMPUTED_VALUE"""),5439.0)</f>
        <v>5439</v>
      </c>
      <c r="H478" s="232">
        <f>IFERROR(__xludf.DUMMYFUNCTION("""COMPUTED_VALUE"""),46232.691042465274)</f>
        <v>46232.69104</v>
      </c>
      <c r="I478" s="84">
        <f>IFERROR(__xludf.DUMMYFUNCTION("""COMPUTED_VALUE"""),46232.6260775)</f>
        <v>46232.62608</v>
      </c>
      <c r="J478" s="76">
        <f t="shared" si="2"/>
        <v>0.06496496528</v>
      </c>
      <c r="L478" s="76">
        <f>IFERROR(__xludf.DUMMYFUNCTION("""COMPUTED_VALUE"""),5439.0)</f>
        <v>5439</v>
      </c>
      <c r="M478" s="232">
        <f>IFERROR(__xludf.DUMMYFUNCTION("""COMPUTED_VALUE"""),46232.79520913194)</f>
        <v>46232.79521</v>
      </c>
      <c r="N478" s="84">
        <f>IFERROR(__xludf.DUMMYFUNCTION("""COMPUTED_VALUE"""),46232.69824054398)</f>
        <v>46232.69824</v>
      </c>
      <c r="O478" s="76">
        <f t="shared" si="3"/>
        <v>0.09696858796</v>
      </c>
      <c r="Q478" s="76">
        <f>IFERROR(__xludf.DUMMYFUNCTION("""COMPUTED_VALUE"""),5434.0)</f>
        <v>5434</v>
      </c>
      <c r="R478" s="232">
        <f>IFERROR(__xludf.DUMMYFUNCTION("""COMPUTED_VALUE"""),46233.69930555555)</f>
        <v>46233.69931</v>
      </c>
      <c r="S478" s="84">
        <f>IFERROR(__xludf.DUMMYFUNCTION("""COMPUTED_VALUE"""),46232.479928125)</f>
        <v>46232.47993</v>
      </c>
      <c r="T478" s="76">
        <f t="shared" si="4"/>
        <v>1.219377431</v>
      </c>
      <c r="V478" s="76">
        <f>IFERROR(__xludf.DUMMYFUNCTION("""COMPUTED_VALUE"""),5440.0)</f>
        <v>5440</v>
      </c>
      <c r="W478" s="232">
        <f>IFERROR(__xludf.DUMMYFUNCTION("""COMPUTED_VALUE"""),46235.44583333333)</f>
        <v>46235.44583</v>
      </c>
      <c r="X478" s="84">
        <f>IFERROR(__xludf.DUMMYFUNCTION("""COMPUTED_VALUE"""),46234.784398194446)</f>
        <v>46234.7844</v>
      </c>
      <c r="Y478" s="76">
        <f t="shared" si="5"/>
        <v>0.6614351389</v>
      </c>
      <c r="AK478" s="232"/>
      <c r="AL478" s="233"/>
      <c r="AM478" s="173"/>
    </row>
    <row r="479">
      <c r="A479" s="76">
        <f>IFERROR(__xludf.DUMMYFUNCTION("""COMPUTED_VALUE"""),5440.0)</f>
        <v>5440</v>
      </c>
      <c r="B479" s="232">
        <f>IFERROR(__xludf.DUMMYFUNCTION("""COMPUTED_VALUE"""),46233.70999980324)</f>
        <v>46233.71</v>
      </c>
      <c r="C479" s="84">
        <f>IFERROR(__xludf.DUMMYFUNCTION("""COMPUTED_VALUE"""),46233.565383113426)</f>
        <v>46233.56538</v>
      </c>
      <c r="D479" s="173">
        <f t="shared" si="1"/>
        <v>0.1446166898</v>
      </c>
      <c r="G479" s="76">
        <f>IFERROR(__xludf.DUMMYFUNCTION("""COMPUTED_VALUE"""),5440.0)</f>
        <v>5440</v>
      </c>
      <c r="H479" s="232">
        <f>IFERROR(__xludf.DUMMYFUNCTION("""COMPUTED_VALUE"""),46233.71694424769)</f>
        <v>46233.71694</v>
      </c>
      <c r="I479" s="84">
        <f>IFERROR(__xludf.DUMMYFUNCTION("""COMPUTED_VALUE"""),46233.56545480324)</f>
        <v>46233.56545</v>
      </c>
      <c r="J479" s="76">
        <f t="shared" si="2"/>
        <v>0.1514894444</v>
      </c>
      <c r="L479" s="76">
        <f>IFERROR(__xludf.DUMMYFUNCTION("""COMPUTED_VALUE"""),5440.0)</f>
        <v>5440</v>
      </c>
      <c r="M479" s="232">
        <f>IFERROR(__xludf.DUMMYFUNCTION("""COMPUTED_VALUE"""),46233.82111091435)</f>
        <v>46233.82111</v>
      </c>
      <c r="N479" s="84">
        <f>IFERROR(__xludf.DUMMYFUNCTION("""COMPUTED_VALUE"""),46233.56550025463)</f>
        <v>46233.5655</v>
      </c>
      <c r="O479" s="76">
        <f t="shared" si="3"/>
        <v>0.2556106597</v>
      </c>
      <c r="Q479" s="76">
        <f>IFERROR(__xludf.DUMMYFUNCTION("""COMPUTED_VALUE"""),5435.0)</f>
        <v>5435</v>
      </c>
      <c r="R479" s="232">
        <f>IFERROR(__xludf.DUMMYFUNCTION("""COMPUTED_VALUE"""),46233.78333333333)</f>
        <v>46233.78333</v>
      </c>
      <c r="S479" s="84">
        <f>IFERROR(__xludf.DUMMYFUNCTION("""COMPUTED_VALUE"""),46233.434784745376)</f>
        <v>46233.43478</v>
      </c>
      <c r="T479" s="76">
        <f t="shared" si="4"/>
        <v>0.348548588</v>
      </c>
      <c r="V479" s="76">
        <f>IFERROR(__xludf.DUMMYFUNCTION("""COMPUTED_VALUE"""),5441.0)</f>
        <v>5441</v>
      </c>
      <c r="W479" s="232">
        <f>IFERROR(__xludf.DUMMYFUNCTION("""COMPUTED_VALUE"""),46235.50625)</f>
        <v>46235.50625</v>
      </c>
      <c r="X479" s="84">
        <f>IFERROR(__xludf.DUMMYFUNCTION("""COMPUTED_VALUE"""),46234.797402083335)</f>
        <v>46234.7974</v>
      </c>
      <c r="Y479" s="76">
        <f t="shared" si="5"/>
        <v>0.7088479167</v>
      </c>
      <c r="AK479" s="232"/>
      <c r="AL479" s="233"/>
      <c r="AM479" s="173"/>
    </row>
    <row r="480">
      <c r="A480" s="76">
        <f>IFERROR(__xludf.DUMMYFUNCTION("""COMPUTED_VALUE"""),5441.0)</f>
        <v>5441</v>
      </c>
      <c r="B480" s="232">
        <f>IFERROR(__xludf.DUMMYFUNCTION("""COMPUTED_VALUE"""),46233.79118390046)</f>
        <v>46233.79118</v>
      </c>
      <c r="C480" s="84">
        <f>IFERROR(__xludf.DUMMYFUNCTION("""COMPUTED_VALUE"""),46233.71732193287)</f>
        <v>46233.71732</v>
      </c>
      <c r="D480" s="173">
        <f t="shared" si="1"/>
        <v>0.07386196759</v>
      </c>
      <c r="G480" s="76">
        <f>IFERROR(__xludf.DUMMYFUNCTION("""COMPUTED_VALUE"""),5441.0)</f>
        <v>5441</v>
      </c>
      <c r="H480" s="232">
        <f>IFERROR(__xludf.DUMMYFUNCTION("""COMPUTED_VALUE"""),46233.798128344904)</f>
        <v>46233.79813</v>
      </c>
      <c r="I480" s="84">
        <f>IFERROR(__xludf.DUMMYFUNCTION("""COMPUTED_VALUE"""),46233.71742195602)</f>
        <v>46233.71742</v>
      </c>
      <c r="J480" s="76">
        <f t="shared" si="2"/>
        <v>0.08070638889</v>
      </c>
      <c r="L480" s="76">
        <f>IFERROR(__xludf.DUMMYFUNCTION("""COMPUTED_VALUE"""),5441.0)</f>
        <v>5441</v>
      </c>
      <c r="M480" s="232">
        <f>IFERROR(__xludf.DUMMYFUNCTION("""COMPUTED_VALUE"""),46234.464583333334)</f>
        <v>46234.46458</v>
      </c>
      <c r="N480" s="84">
        <f>IFERROR(__xludf.DUMMYFUNCTION("""COMPUTED_VALUE"""),46233.83254408565)</f>
        <v>46233.83254</v>
      </c>
      <c r="O480" s="76">
        <f t="shared" si="3"/>
        <v>0.6320392477</v>
      </c>
      <c r="Q480" s="76">
        <f>IFERROR(__xludf.DUMMYFUNCTION("""COMPUTED_VALUE"""),5436.0)</f>
        <v>5436</v>
      </c>
      <c r="R480" s="232">
        <f>IFERROR(__xludf.DUMMYFUNCTION("""COMPUTED_VALUE"""),46233.78958333333)</f>
        <v>46233.78958</v>
      </c>
      <c r="S480" s="84">
        <f>IFERROR(__xludf.DUMMYFUNCTION("""COMPUTED_VALUE"""),46232.89402605324)</f>
        <v>46232.89403</v>
      </c>
      <c r="T480" s="76">
        <f t="shared" si="4"/>
        <v>0.8955572801</v>
      </c>
      <c r="V480" s="76">
        <f>IFERROR(__xludf.DUMMYFUNCTION("""COMPUTED_VALUE"""),5442.0)</f>
        <v>5442</v>
      </c>
      <c r="W480" s="232">
        <f>IFERROR(__xludf.DUMMYFUNCTION("""COMPUTED_VALUE"""),46235.82222222222)</f>
        <v>46235.82222</v>
      </c>
      <c r="X480" s="84">
        <f>IFERROR(__xludf.DUMMYFUNCTION("""COMPUTED_VALUE"""),46234.79135597222)</f>
        <v>46234.79136</v>
      </c>
      <c r="Y480" s="76">
        <f t="shared" si="5"/>
        <v>1.03086625</v>
      </c>
      <c r="AK480" s="232"/>
      <c r="AL480" s="233"/>
      <c r="AM480" s="173"/>
    </row>
    <row r="481">
      <c r="A481" s="76">
        <f>IFERROR(__xludf.DUMMYFUNCTION("""COMPUTED_VALUE"""),5442.0)</f>
        <v>5442</v>
      </c>
      <c r="B481" s="232">
        <f>IFERROR(__xludf.DUMMYFUNCTION("""COMPUTED_VALUE"""),46234.66944539351)</f>
        <v>46234.66945</v>
      </c>
      <c r="C481" s="84">
        <f>IFERROR(__xludf.DUMMYFUNCTION("""COMPUTED_VALUE"""),46234.656493055554)</f>
        <v>46234.65649</v>
      </c>
      <c r="D481" s="173">
        <f t="shared" si="1"/>
        <v>0.01295233796</v>
      </c>
      <c r="G481" s="76">
        <f>IFERROR(__xludf.DUMMYFUNCTION("""COMPUTED_VALUE"""),5442.0)</f>
        <v>5442</v>
      </c>
      <c r="H481" s="232">
        <f>IFERROR(__xludf.DUMMYFUNCTION("""COMPUTED_VALUE"""),46234.67638983796)</f>
        <v>46234.67639</v>
      </c>
      <c r="I481" s="84">
        <f>IFERROR(__xludf.DUMMYFUNCTION("""COMPUTED_VALUE"""),46234.6565625)</f>
        <v>46234.65656</v>
      </c>
      <c r="J481" s="76">
        <f t="shared" si="2"/>
        <v>0.01982733796</v>
      </c>
      <c r="L481" s="76">
        <f>IFERROR(__xludf.DUMMYFUNCTION("""COMPUTED_VALUE"""),5442.0)</f>
        <v>5442</v>
      </c>
      <c r="M481" s="232">
        <f>IFERROR(__xludf.DUMMYFUNCTION("""COMPUTED_VALUE"""),46234.78055650462)</f>
        <v>46234.78056</v>
      </c>
      <c r="N481" s="84">
        <f>IFERROR(__xludf.DUMMYFUNCTION("""COMPUTED_VALUE"""),46234.6568287037)</f>
        <v>46234.65683</v>
      </c>
      <c r="O481" s="76">
        <f t="shared" si="3"/>
        <v>0.1237278009</v>
      </c>
      <c r="Q481" s="76">
        <f>IFERROR(__xludf.DUMMYFUNCTION("""COMPUTED_VALUE"""),5437.0)</f>
        <v>5437</v>
      </c>
      <c r="R481" s="232">
        <f>IFERROR(__xludf.DUMMYFUNCTION("""COMPUTED_VALUE"""),46233.790972222225)</f>
        <v>46233.79097</v>
      </c>
      <c r="S481" s="84">
        <f>IFERROR(__xludf.DUMMYFUNCTION("""COMPUTED_VALUE"""),46232.894061875)</f>
        <v>46232.89406</v>
      </c>
      <c r="T481" s="76">
        <f t="shared" si="4"/>
        <v>0.8969103472</v>
      </c>
      <c r="V481" s="76">
        <f>IFERROR(__xludf.DUMMYFUNCTION("""COMPUTED_VALUE"""),5443.0)</f>
        <v>5443</v>
      </c>
      <c r="W481" s="232">
        <f>IFERROR(__xludf.DUMMYFUNCTION("""COMPUTED_VALUE"""),46235.822916666664)</f>
        <v>46235.82292</v>
      </c>
      <c r="X481" s="84">
        <f>IFERROR(__xludf.DUMMYFUNCTION("""COMPUTED_VALUE"""),46234.79181766204)</f>
        <v>46234.79182</v>
      </c>
      <c r="Y481" s="76">
        <f t="shared" si="5"/>
        <v>1.031099005</v>
      </c>
      <c r="AK481" s="232"/>
      <c r="AL481" s="233"/>
      <c r="AM481" s="173"/>
    </row>
    <row r="482">
      <c r="A482" s="76">
        <f>IFERROR(__xludf.DUMMYFUNCTION("""COMPUTED_VALUE"""),5443.0)</f>
        <v>5443</v>
      </c>
      <c r="B482" s="232">
        <f>IFERROR(__xludf.DUMMYFUNCTION("""COMPUTED_VALUE"""),46234.67056388889)</f>
        <v>46234.67056</v>
      </c>
      <c r="C482" s="84">
        <f>IFERROR(__xludf.DUMMYFUNCTION("""COMPUTED_VALUE"""),46234.65650462963)</f>
        <v>46234.6565</v>
      </c>
      <c r="D482" s="173">
        <f t="shared" si="1"/>
        <v>0.01405925926</v>
      </c>
      <c r="G482" s="76">
        <f>IFERROR(__xludf.DUMMYFUNCTION("""COMPUTED_VALUE"""),5443.0)</f>
        <v>5443</v>
      </c>
      <c r="H482" s="232">
        <f>IFERROR(__xludf.DUMMYFUNCTION("""COMPUTED_VALUE"""),46234.677508333334)</f>
        <v>46234.67751</v>
      </c>
      <c r="I482" s="84">
        <f>IFERROR(__xludf.DUMMYFUNCTION("""COMPUTED_VALUE"""),46234.65659722222)</f>
        <v>46234.6566</v>
      </c>
      <c r="J482" s="76">
        <f t="shared" si="2"/>
        <v>0.02091111111</v>
      </c>
      <c r="L482" s="76">
        <f>IFERROR(__xludf.DUMMYFUNCTION("""COMPUTED_VALUE"""),5443.0)</f>
        <v>5443</v>
      </c>
      <c r="M482" s="232">
        <f>IFERROR(__xludf.DUMMYFUNCTION("""COMPUTED_VALUE"""),46234.781675)</f>
        <v>46234.78168</v>
      </c>
      <c r="N482" s="84">
        <f>IFERROR(__xludf.DUMMYFUNCTION("""COMPUTED_VALUE"""),46234.657060185185)</f>
        <v>46234.65706</v>
      </c>
      <c r="O482" s="76">
        <f t="shared" si="3"/>
        <v>0.1246148148</v>
      </c>
      <c r="Q482" s="76">
        <f>IFERROR(__xludf.DUMMYFUNCTION("""COMPUTED_VALUE"""),5438.0)</f>
        <v>5438</v>
      </c>
      <c r="R482" s="232">
        <f>IFERROR(__xludf.DUMMYFUNCTION("""COMPUTED_VALUE"""),46233.791666666664)</f>
        <v>46233.79167</v>
      </c>
      <c r="S482" s="84">
        <f>IFERROR(__xludf.DUMMYFUNCTION("""COMPUTED_VALUE"""),46232.89408966435)</f>
        <v>46232.89409</v>
      </c>
      <c r="T482" s="76">
        <f t="shared" si="4"/>
        <v>0.8975770023</v>
      </c>
      <c r="V482" s="76">
        <f>IFERROR(__xludf.DUMMYFUNCTION("""COMPUTED_VALUE"""),5444.0)</f>
        <v>5444</v>
      </c>
      <c r="W482" s="232">
        <f>IFERROR(__xludf.DUMMYFUNCTION("""COMPUTED_VALUE"""),46237.540972222225)</f>
        <v>46237.54097</v>
      </c>
      <c r="X482" s="84">
        <f>IFERROR(__xludf.DUMMYFUNCTION("""COMPUTED_VALUE"""),46237.3983891088)</f>
        <v>46237.39839</v>
      </c>
      <c r="Y482" s="76">
        <f t="shared" si="5"/>
        <v>0.1425831134</v>
      </c>
      <c r="AK482" s="232"/>
      <c r="AL482" s="233"/>
      <c r="AM482" s="173"/>
    </row>
    <row r="483">
      <c r="A483" s="76">
        <f>IFERROR(__xludf.DUMMYFUNCTION("""COMPUTED_VALUE"""),5444.0)</f>
        <v>5444</v>
      </c>
      <c r="B483" s="232">
        <f>IFERROR(__xludf.DUMMYFUNCTION("""COMPUTED_VALUE"""),46234.78419885417)</f>
        <v>46234.7842</v>
      </c>
      <c r="C483" s="84">
        <f>IFERROR(__xludf.DUMMYFUNCTION("""COMPUTED_VALUE"""),46234.78165348379)</f>
        <v>46234.78165</v>
      </c>
      <c r="D483" s="173">
        <f t="shared" si="1"/>
        <v>0.002545370378</v>
      </c>
      <c r="G483" s="76">
        <f>IFERROR(__xludf.DUMMYFUNCTION("""COMPUTED_VALUE"""),5444.0)</f>
        <v>5444</v>
      </c>
      <c r="H483" s="232">
        <f>IFERROR(__xludf.DUMMYFUNCTION("""COMPUTED_VALUE"""),46234.791143298615)</f>
        <v>46234.79114</v>
      </c>
      <c r="I483" s="84">
        <f>IFERROR(__xludf.DUMMYFUNCTION("""COMPUTED_VALUE"""),46234.78218759259)</f>
        <v>46234.78219</v>
      </c>
      <c r="J483" s="76">
        <f t="shared" si="2"/>
        <v>0.008955706027</v>
      </c>
      <c r="L483" s="76">
        <f>IFERROR(__xludf.DUMMYFUNCTION("""COMPUTED_VALUE"""),5444.0)</f>
        <v>5444</v>
      </c>
      <c r="M483" s="232">
        <f>IFERROR(__xludf.DUMMYFUNCTION("""COMPUTED_VALUE"""),46235.49930555556)</f>
        <v>46235.49931</v>
      </c>
      <c r="N483" s="84">
        <f>IFERROR(__xludf.DUMMYFUNCTION("""COMPUTED_VALUE"""),46234.782298819446)</f>
        <v>46234.7823</v>
      </c>
      <c r="O483" s="76">
        <f t="shared" si="3"/>
        <v>0.7170067361</v>
      </c>
      <c r="Q483" s="76">
        <f>IFERROR(__xludf.DUMMYFUNCTION("""COMPUTED_VALUE"""),5439.0)</f>
        <v>5439</v>
      </c>
      <c r="R483" s="232">
        <f>IFERROR(__xludf.DUMMYFUNCTION("""COMPUTED_VALUE"""),46233.79513888888)</f>
        <v>46233.79514</v>
      </c>
      <c r="S483" s="84">
        <f>IFERROR(__xludf.DUMMYFUNCTION("""COMPUTED_VALUE"""),46232.89411320601)</f>
        <v>46232.89411</v>
      </c>
      <c r="T483" s="76">
        <f t="shared" si="4"/>
        <v>0.9010256829</v>
      </c>
      <c r="V483" s="76">
        <f>IFERROR(__xludf.DUMMYFUNCTION("""COMPUTED_VALUE"""),5445.0)</f>
        <v>5445</v>
      </c>
      <c r="W483" s="232">
        <f>IFERROR(__xludf.DUMMYFUNCTION("""COMPUTED_VALUE"""),46237.575694444444)</f>
        <v>46237.57569</v>
      </c>
      <c r="X483" s="84">
        <f>IFERROR(__xludf.DUMMYFUNCTION("""COMPUTED_VALUE"""),46236.391170648145)</f>
        <v>46236.39117</v>
      </c>
      <c r="Y483" s="76">
        <f t="shared" si="5"/>
        <v>1.184523796</v>
      </c>
      <c r="AK483" s="232"/>
      <c r="AL483" s="233"/>
      <c r="AM483" s="173"/>
    </row>
    <row r="484">
      <c r="A484" s="76">
        <f>IFERROR(__xludf.DUMMYFUNCTION("""COMPUTED_VALUE"""),5445.0)</f>
        <v>5445</v>
      </c>
      <c r="B484" s="232">
        <f>IFERROR(__xludf.DUMMYFUNCTION("""COMPUTED_VALUE"""),46234.819049074074)</f>
        <v>46234.81905</v>
      </c>
      <c r="C484" s="84">
        <f>IFERROR(__xludf.DUMMYFUNCTION("""COMPUTED_VALUE"""),46234.781913240746)</f>
        <v>46234.78191</v>
      </c>
      <c r="D484" s="173">
        <f t="shared" si="1"/>
        <v>0.03713583333</v>
      </c>
      <c r="G484" s="76">
        <f>IFERROR(__xludf.DUMMYFUNCTION("""COMPUTED_VALUE"""),5445.0)</f>
        <v>5445</v>
      </c>
      <c r="H484" s="232">
        <f>IFERROR(__xludf.DUMMYFUNCTION("""COMPUTED_VALUE"""),46234.82599351852)</f>
        <v>46234.82599</v>
      </c>
      <c r="I484" s="84">
        <f>IFERROR(__xludf.DUMMYFUNCTION("""COMPUTED_VALUE"""),46235.60121273148)</f>
        <v>46235.60121</v>
      </c>
      <c r="J484" s="76">
        <f t="shared" si="2"/>
        <v>-0.775219213</v>
      </c>
      <c r="L484" s="76">
        <f>IFERROR(__xludf.DUMMYFUNCTION("""COMPUTED_VALUE"""),5445.0)</f>
        <v>5445</v>
      </c>
      <c r="M484" s="232">
        <f>IFERROR(__xludf.DUMMYFUNCTION("""COMPUTED_VALUE"""),46235.53402777778)</f>
        <v>46235.53403</v>
      </c>
      <c r="N484" s="84">
        <f>IFERROR(__xludf.DUMMYFUNCTION("""COMPUTED_VALUE"""),46234.782316296296)</f>
        <v>46234.78232</v>
      </c>
      <c r="O484" s="76">
        <f t="shared" si="3"/>
        <v>0.7517114815</v>
      </c>
      <c r="Q484" s="76">
        <f>IFERROR(__xludf.DUMMYFUNCTION("""COMPUTED_VALUE"""),5440.0)</f>
        <v>5440</v>
      </c>
      <c r="R484" s="232">
        <f>IFERROR(__xludf.DUMMYFUNCTION("""COMPUTED_VALUE"""),46234.82083333333)</f>
        <v>46234.82083</v>
      </c>
      <c r="S484" s="84">
        <f>IFERROR(__xludf.DUMMYFUNCTION("""COMPUTED_VALUE"""),46234.784332916664)</f>
        <v>46234.78433</v>
      </c>
      <c r="T484" s="76">
        <f t="shared" si="4"/>
        <v>0.03650041667</v>
      </c>
      <c r="V484" s="76">
        <f>IFERROR(__xludf.DUMMYFUNCTION("""COMPUTED_VALUE"""),5446.0)</f>
        <v>5446</v>
      </c>
      <c r="W484" s="232">
        <f>IFERROR(__xludf.DUMMYFUNCTION("""COMPUTED_VALUE"""),46238.450694444444)</f>
        <v>46238.45069</v>
      </c>
      <c r="X484" s="84">
        <f>IFERROR(__xludf.DUMMYFUNCTION("""COMPUTED_VALUE"""),46236.39119634259)</f>
        <v>46236.3912</v>
      </c>
      <c r="Y484" s="76">
        <f t="shared" si="5"/>
        <v>2.059498102</v>
      </c>
      <c r="AK484" s="232"/>
      <c r="AL484" s="233"/>
      <c r="AM484" s="173"/>
    </row>
    <row r="485">
      <c r="A485" s="76">
        <f>IFERROR(__xludf.DUMMYFUNCTION("""COMPUTED_VALUE"""),5446.0)</f>
        <v>5446</v>
      </c>
      <c r="B485" s="232">
        <f>IFERROR(__xludf.DUMMYFUNCTION("""COMPUTED_VALUE"""),46235.71510606481)</f>
        <v>46235.71511</v>
      </c>
      <c r="C485" s="84">
        <f>IFERROR(__xludf.DUMMYFUNCTION("""COMPUTED_VALUE"""),46235.60110458333)</f>
        <v>46235.6011</v>
      </c>
      <c r="D485" s="173">
        <f t="shared" si="1"/>
        <v>0.1140014815</v>
      </c>
      <c r="G485" s="76">
        <f>IFERROR(__xludf.DUMMYFUNCTION("""COMPUTED_VALUE"""),5446.0)</f>
        <v>5446</v>
      </c>
      <c r="H485" s="232">
        <f>IFERROR(__xludf.DUMMYFUNCTION("""COMPUTED_VALUE"""),46235.722050509255)</f>
        <v>46235.72205</v>
      </c>
      <c r="I485" s="84">
        <f>IFERROR(__xludf.DUMMYFUNCTION("""COMPUTED_VALUE"""),46235.60117810185)</f>
        <v>46235.60118</v>
      </c>
      <c r="J485" s="76">
        <f t="shared" si="2"/>
        <v>0.1208724074</v>
      </c>
      <c r="L485" s="76">
        <f>IFERROR(__xludf.DUMMYFUNCTION("""COMPUTED_VALUE"""),5446.0)</f>
        <v>5446</v>
      </c>
      <c r="M485" s="232">
        <f>IFERROR(__xludf.DUMMYFUNCTION("""COMPUTED_VALUE"""),46235.82621717592)</f>
        <v>46235.82622</v>
      </c>
      <c r="N485" s="84">
        <f>IFERROR(__xludf.DUMMYFUNCTION("""COMPUTED_VALUE"""),46235.60126967593)</f>
        <v>46235.60127</v>
      </c>
      <c r="O485" s="76">
        <f t="shared" si="3"/>
        <v>0.2249475</v>
      </c>
      <c r="Q485" s="76">
        <f>IFERROR(__xludf.DUMMYFUNCTION("""COMPUTED_VALUE"""),5441.0)</f>
        <v>5441</v>
      </c>
      <c r="R485" s="232">
        <f>IFERROR(__xludf.DUMMYFUNCTION("""COMPUTED_VALUE"""),46235.464583333334)</f>
        <v>46235.46458</v>
      </c>
      <c r="S485" s="84">
        <f>IFERROR(__xludf.DUMMYFUNCTION("""COMPUTED_VALUE"""),46234.79736491898)</f>
        <v>46234.79736</v>
      </c>
      <c r="T485" s="76">
        <f t="shared" si="4"/>
        <v>0.6672184144</v>
      </c>
      <c r="V485" s="76">
        <f>IFERROR(__xludf.DUMMYFUNCTION("""COMPUTED_VALUE"""),5447.0)</f>
        <v>5447</v>
      </c>
      <c r="W485" s="232">
        <f>IFERROR(__xludf.DUMMYFUNCTION("""COMPUTED_VALUE"""),46239.759722222225)</f>
        <v>46239.75972</v>
      </c>
      <c r="X485" s="84">
        <f>IFERROR(__xludf.DUMMYFUNCTION("""COMPUTED_VALUE"""),46238.585462731484)</f>
        <v>46238.58546</v>
      </c>
      <c r="Y485" s="76">
        <f t="shared" si="5"/>
        <v>1.174259491</v>
      </c>
      <c r="AK485" s="232"/>
      <c r="AL485" s="233"/>
      <c r="AM485" s="173"/>
    </row>
    <row r="486">
      <c r="A486" s="76">
        <f>IFERROR(__xludf.DUMMYFUNCTION("""COMPUTED_VALUE"""),5447.0)</f>
        <v>5447</v>
      </c>
      <c r="B486" s="232">
        <f>IFERROR(__xludf.DUMMYFUNCTION("""COMPUTED_VALUE"""),46238.607145243055)</f>
        <v>46238.60715</v>
      </c>
      <c r="C486" s="84">
        <f>IFERROR(__xludf.DUMMYFUNCTION("""COMPUTED_VALUE"""),46238.52272545139)</f>
        <v>46238.52273</v>
      </c>
      <c r="D486" s="173">
        <f t="shared" si="1"/>
        <v>0.08441979167</v>
      </c>
      <c r="G486" s="76">
        <f>IFERROR(__xludf.DUMMYFUNCTION("""COMPUTED_VALUE"""),5447.0)</f>
        <v>5447</v>
      </c>
      <c r="H486" s="232">
        <f>IFERROR(__xludf.DUMMYFUNCTION("""COMPUTED_VALUE"""),46238.6140896875)</f>
        <v>46238.61409</v>
      </c>
      <c r="I486" s="84">
        <f>IFERROR(__xludf.DUMMYFUNCTION("""COMPUTED_VALUE"""),46238.522814861106)</f>
        <v>46238.52281</v>
      </c>
      <c r="J486" s="76">
        <f t="shared" si="2"/>
        <v>0.09127482639</v>
      </c>
      <c r="L486" s="76">
        <f>IFERROR(__xludf.DUMMYFUNCTION("""COMPUTED_VALUE"""),5447.0)</f>
        <v>5447</v>
      </c>
      <c r="M486" s="232">
        <f>IFERROR(__xludf.DUMMYFUNCTION("""COMPUTED_VALUE"""),46238.718256354165)</f>
        <v>46238.71826</v>
      </c>
      <c r="N486" s="84">
        <f>IFERROR(__xludf.DUMMYFUNCTION("""COMPUTED_VALUE"""),46238.52286773148)</f>
        <v>46238.52287</v>
      </c>
      <c r="O486" s="76">
        <f t="shared" si="3"/>
        <v>0.1953886227</v>
      </c>
      <c r="Q486" s="76">
        <f>IFERROR(__xludf.DUMMYFUNCTION("""COMPUTED_VALUE"""),5442.0)</f>
        <v>5442</v>
      </c>
      <c r="R486" s="232">
        <f>IFERROR(__xludf.DUMMYFUNCTION("""COMPUTED_VALUE"""),46235.78055555555)</f>
        <v>46235.78056</v>
      </c>
      <c r="S486" s="84">
        <f>IFERROR(__xludf.DUMMYFUNCTION("""COMPUTED_VALUE"""),46234.791437569445)</f>
        <v>46234.79144</v>
      </c>
      <c r="T486" s="76">
        <f t="shared" si="4"/>
        <v>0.9891179861</v>
      </c>
      <c r="V486" s="76">
        <f>IFERROR(__xludf.DUMMYFUNCTION("""COMPUTED_VALUE"""),5448.0)</f>
        <v>5448</v>
      </c>
      <c r="W486" s="232">
        <f>IFERROR(__xludf.DUMMYFUNCTION("""COMPUTED_VALUE"""),46240.740972222215)</f>
        <v>46240.74097</v>
      </c>
      <c r="X486" s="84">
        <f>IFERROR(__xludf.DUMMYFUNCTION("""COMPUTED_VALUE"""),46239.80287675926)</f>
        <v>46239.80288</v>
      </c>
      <c r="Y486" s="76">
        <f t="shared" si="5"/>
        <v>0.938095463</v>
      </c>
      <c r="AK486" s="232"/>
      <c r="AL486" s="233"/>
      <c r="AM486" s="173"/>
    </row>
    <row r="487">
      <c r="A487" s="76">
        <f>IFERROR(__xludf.DUMMYFUNCTION("""COMPUTED_VALUE"""),5448.0)</f>
        <v>5448</v>
      </c>
      <c r="B487" s="232">
        <f>IFERROR(__xludf.DUMMYFUNCTION("""COMPUTED_VALUE"""),46239.58828806713)</f>
        <v>46239.58829</v>
      </c>
      <c r="C487" s="84">
        <f>IFERROR(__xludf.DUMMYFUNCTION("""COMPUTED_VALUE"""),46239.43764512731)</f>
        <v>46239.43765</v>
      </c>
      <c r="D487" s="173">
        <f t="shared" si="1"/>
        <v>0.1506429398</v>
      </c>
      <c r="G487" s="76">
        <f>IFERROR(__xludf.DUMMYFUNCTION("""COMPUTED_VALUE"""),5448.0)</f>
        <v>5448</v>
      </c>
      <c r="H487" s="232">
        <f>IFERROR(__xludf.DUMMYFUNCTION("""COMPUTED_VALUE"""),46239.59523251157)</f>
        <v>46239.59523</v>
      </c>
      <c r="I487" s="84">
        <f>IFERROR(__xludf.DUMMYFUNCTION("""COMPUTED_VALUE"""),46239.43772908565)</f>
        <v>46239.43773</v>
      </c>
      <c r="J487" s="76">
        <f t="shared" si="2"/>
        <v>0.1575034259</v>
      </c>
      <c r="L487" s="76">
        <f>IFERROR(__xludf.DUMMYFUNCTION("""COMPUTED_VALUE"""),5448.0)</f>
        <v>5448</v>
      </c>
      <c r="M487" s="232">
        <f>IFERROR(__xludf.DUMMYFUNCTION("""COMPUTED_VALUE"""),46239.69939917824)</f>
        <v>46239.6994</v>
      </c>
      <c r="N487" s="84">
        <f>IFERROR(__xludf.DUMMYFUNCTION("""COMPUTED_VALUE"""),46239.437834282406)</f>
        <v>46239.43783</v>
      </c>
      <c r="O487" s="76">
        <f t="shared" si="3"/>
        <v>0.2615648958</v>
      </c>
      <c r="Q487" s="76">
        <f>IFERROR(__xludf.DUMMYFUNCTION("""COMPUTED_VALUE"""),5443.0)</f>
        <v>5443</v>
      </c>
      <c r="R487" s="232">
        <f>IFERROR(__xludf.DUMMYFUNCTION("""COMPUTED_VALUE"""),46235.78125)</f>
        <v>46235.78125</v>
      </c>
      <c r="S487" s="84">
        <f>IFERROR(__xludf.DUMMYFUNCTION("""COMPUTED_VALUE"""),46234.791746863426)</f>
        <v>46234.79175</v>
      </c>
      <c r="T487" s="76">
        <f t="shared" si="4"/>
        <v>0.9895031366</v>
      </c>
      <c r="V487" s="76">
        <f>IFERROR(__xludf.DUMMYFUNCTION("""COMPUTED_VALUE"""),5449.0)</f>
        <v>5449</v>
      </c>
      <c r="W487" s="232">
        <f>IFERROR(__xludf.DUMMYFUNCTION("""COMPUTED_VALUE"""),46240.819444444445)</f>
        <v>46240.81944</v>
      </c>
      <c r="X487" s="84">
        <f>IFERROR(__xludf.DUMMYFUNCTION("""COMPUTED_VALUE"""),46239.80291003472)</f>
        <v>46239.80291</v>
      </c>
      <c r="Y487" s="76">
        <f t="shared" si="5"/>
        <v>1.01653441</v>
      </c>
      <c r="AK487" s="232"/>
      <c r="AL487" s="233"/>
      <c r="AM487" s="173"/>
    </row>
    <row r="488">
      <c r="A488" s="76">
        <f>IFERROR(__xludf.DUMMYFUNCTION("""COMPUTED_VALUE"""),5449.0)</f>
        <v>5449</v>
      </c>
      <c r="B488" s="232">
        <f>IFERROR(__xludf.DUMMYFUNCTION("""COMPUTED_VALUE"""),46239.66691003472)</f>
        <v>46239.66691</v>
      </c>
      <c r="C488" s="84">
        <f>IFERROR(__xludf.DUMMYFUNCTION("""COMPUTED_VALUE"""),46239.525679212966)</f>
        <v>46239.52568</v>
      </c>
      <c r="D488" s="173">
        <f t="shared" si="1"/>
        <v>0.1412308218</v>
      </c>
      <c r="G488" s="76">
        <f>IFERROR(__xludf.DUMMYFUNCTION("""COMPUTED_VALUE"""),5449.0)</f>
        <v>5449</v>
      </c>
      <c r="H488" s="232">
        <f>IFERROR(__xludf.DUMMYFUNCTION("""COMPUTED_VALUE"""),46239.673854479166)</f>
        <v>46239.67385</v>
      </c>
      <c r="I488" s="84">
        <f>IFERROR(__xludf.DUMMYFUNCTION("""COMPUTED_VALUE"""),46239.52597635417)</f>
        <v>46239.52598</v>
      </c>
      <c r="J488" s="76">
        <f t="shared" si="2"/>
        <v>0.147878125</v>
      </c>
      <c r="L488" s="76">
        <f>IFERROR(__xludf.DUMMYFUNCTION("""COMPUTED_VALUE"""),5449.0)</f>
        <v>5449</v>
      </c>
      <c r="M488" s="232">
        <f>IFERROR(__xludf.DUMMYFUNCTION("""COMPUTED_VALUE"""),46239.77802114583)</f>
        <v>46239.77802</v>
      </c>
      <c r="N488" s="84">
        <f>IFERROR(__xludf.DUMMYFUNCTION("""COMPUTED_VALUE"""),46239.76039351852)</f>
        <v>46239.76039</v>
      </c>
      <c r="O488" s="76">
        <f t="shared" si="3"/>
        <v>0.01762762731</v>
      </c>
      <c r="Q488" s="76">
        <f>IFERROR(__xludf.DUMMYFUNCTION("""COMPUTED_VALUE"""),5444.0)</f>
        <v>5444</v>
      </c>
      <c r="R488" s="232">
        <f>IFERROR(__xludf.DUMMYFUNCTION("""COMPUTED_VALUE"""),46237.49930555556)</f>
        <v>46237.49931</v>
      </c>
      <c r="S488" s="84">
        <f>IFERROR(__xludf.DUMMYFUNCTION("""COMPUTED_VALUE"""),46237.3983299074)</f>
        <v>46237.39833</v>
      </c>
      <c r="T488" s="76">
        <f t="shared" si="4"/>
        <v>0.1009756482</v>
      </c>
      <c r="V488" s="76">
        <f>IFERROR(__xludf.DUMMYFUNCTION("""COMPUTED_VALUE"""),5450.0)</f>
        <v>5450</v>
      </c>
      <c r="W488" s="232">
        <f>IFERROR(__xludf.DUMMYFUNCTION("""COMPUTED_VALUE"""),46240.82152777778)</f>
        <v>46240.82153</v>
      </c>
      <c r="X488" s="84">
        <f>IFERROR(__xludf.DUMMYFUNCTION("""COMPUTED_VALUE"""),46239.803152974535)</f>
        <v>46239.80315</v>
      </c>
      <c r="Y488" s="76">
        <f t="shared" si="5"/>
        <v>1.018374803</v>
      </c>
      <c r="AK488" s="232"/>
      <c r="AL488" s="233"/>
      <c r="AM488" s="173"/>
    </row>
    <row r="489">
      <c r="A489" s="76">
        <f>IFERROR(__xludf.DUMMYFUNCTION("""COMPUTED_VALUE"""),5450.0)</f>
        <v>5450</v>
      </c>
      <c r="B489" s="232">
        <f>IFERROR(__xludf.DUMMYFUNCTION("""COMPUTED_VALUE"""),46239.66880979166)</f>
        <v>46239.66881</v>
      </c>
      <c r="C489" s="84">
        <f>IFERROR(__xludf.DUMMYFUNCTION("""COMPUTED_VALUE"""),46239.52570061343)</f>
        <v>46239.5257</v>
      </c>
      <c r="D489" s="173">
        <f t="shared" si="1"/>
        <v>0.1431091782</v>
      </c>
      <c r="G489" s="76">
        <f>IFERROR(__xludf.DUMMYFUNCTION("""COMPUTED_VALUE"""),5450.0)</f>
        <v>5450</v>
      </c>
      <c r="H489" s="232">
        <f>IFERROR(__xludf.DUMMYFUNCTION("""COMPUTED_VALUE"""),46239.67575423611)</f>
        <v>46239.67575</v>
      </c>
      <c r="I489" s="84">
        <f>IFERROR(__xludf.DUMMYFUNCTION("""COMPUTED_VALUE"""),46239.52599826389)</f>
        <v>46239.526</v>
      </c>
      <c r="J489" s="76">
        <f t="shared" si="2"/>
        <v>0.1497559722</v>
      </c>
      <c r="L489" s="76">
        <f>IFERROR(__xludf.DUMMYFUNCTION("""COMPUTED_VALUE"""),5450.0)</f>
        <v>5450</v>
      </c>
      <c r="M489" s="232">
        <f>IFERROR(__xludf.DUMMYFUNCTION("""COMPUTED_VALUE"""),46239.77992090277)</f>
        <v>46239.77992</v>
      </c>
      <c r="N489" s="84">
        <f>IFERROR(__xludf.DUMMYFUNCTION("""COMPUTED_VALUE"""),46239.76042824074)</f>
        <v>46239.76043</v>
      </c>
      <c r="O489" s="76">
        <f t="shared" si="3"/>
        <v>0.01949266203</v>
      </c>
      <c r="Q489" s="76">
        <f>IFERROR(__xludf.DUMMYFUNCTION("""COMPUTED_VALUE"""),5445.0)</f>
        <v>5445</v>
      </c>
      <c r="R489" s="232">
        <f>IFERROR(__xludf.DUMMYFUNCTION("""COMPUTED_VALUE"""),46237.53402777778)</f>
        <v>46237.53403</v>
      </c>
      <c r="S489" s="84">
        <f>IFERROR(__xludf.DUMMYFUNCTION("""COMPUTED_VALUE"""),46235.60135561343)</f>
        <v>46235.60136</v>
      </c>
      <c r="T489" s="76">
        <f t="shared" si="4"/>
        <v>1.932672164</v>
      </c>
      <c r="Y489" s="76">
        <f t="shared" si="5"/>
        <v>0</v>
      </c>
      <c r="AK489" s="232"/>
      <c r="AL489" s="233"/>
      <c r="AM489" s="173"/>
    </row>
    <row r="490">
      <c r="A490" s="76">
        <f>IFERROR(__xludf.DUMMYFUNCTION("""COMPUTED_VALUE"""),5451.0)</f>
        <v>5451</v>
      </c>
      <c r="B490" s="232">
        <f>IFERROR(__xludf.DUMMYFUNCTION("""COMPUTED_VALUE"""),46239.67409211805)</f>
        <v>46239.67409</v>
      </c>
      <c r="C490" s="84">
        <f>IFERROR(__xludf.DUMMYFUNCTION("""COMPUTED_VALUE"""),46239.52572600695)</f>
        <v>46239.52573</v>
      </c>
      <c r="D490" s="173">
        <f t="shared" si="1"/>
        <v>0.1483661111</v>
      </c>
      <c r="G490" s="76">
        <f>IFERROR(__xludf.DUMMYFUNCTION("""COMPUTED_VALUE"""),5451.0)</f>
        <v>5451</v>
      </c>
      <c r="H490" s="232">
        <f>IFERROR(__xludf.DUMMYFUNCTION("""COMPUTED_VALUE"""),46239.6810365625)</f>
        <v>46239.68104</v>
      </c>
      <c r="I490" s="84">
        <f>IFERROR(__xludf.DUMMYFUNCTION("""COMPUTED_VALUE"""),46239.52605019676)</f>
        <v>46239.52605</v>
      </c>
      <c r="J490" s="76">
        <f t="shared" si="2"/>
        <v>0.1549863657</v>
      </c>
      <c r="L490" s="76">
        <f>IFERROR(__xludf.DUMMYFUNCTION("""COMPUTED_VALUE"""),5451.0)</f>
        <v>5451</v>
      </c>
      <c r="M490" s="232">
        <f>IFERROR(__xludf.DUMMYFUNCTION("""COMPUTED_VALUE"""),46239.78520322916)</f>
        <v>46239.7852</v>
      </c>
      <c r="N490" s="84">
        <f>IFERROR(__xludf.DUMMYFUNCTION("""COMPUTED_VALUE"""),46239.76045138889)</f>
        <v>46239.76045</v>
      </c>
      <c r="O490" s="76">
        <f t="shared" si="3"/>
        <v>0.02475184028</v>
      </c>
      <c r="Q490" s="76">
        <f>IFERROR(__xludf.DUMMYFUNCTION("""COMPUTED_VALUE"""),5446.0)</f>
        <v>5446</v>
      </c>
      <c r="R490" s="232">
        <f>IFERROR(__xludf.DUMMYFUNCTION("""COMPUTED_VALUE"""),46237.825694444444)</f>
        <v>46237.82569</v>
      </c>
      <c r="S490" s="84">
        <f>IFERROR(__xludf.DUMMYFUNCTION("""COMPUTED_VALUE"""),46235.60136811342)</f>
        <v>46235.60137</v>
      </c>
      <c r="T490" s="76">
        <f t="shared" si="4"/>
        <v>2.224326331</v>
      </c>
      <c r="Y490" s="76">
        <f t="shared" si="5"/>
        <v>0</v>
      </c>
      <c r="AK490" s="232"/>
      <c r="AL490" s="233"/>
      <c r="AM490" s="173"/>
    </row>
    <row r="491">
      <c r="A491" s="76">
        <f>IFERROR(__xludf.DUMMYFUNCTION("""COMPUTED_VALUE"""),5452.0)</f>
        <v>5452</v>
      </c>
      <c r="B491" s="232">
        <f>IFERROR(__xludf.DUMMYFUNCTION("""COMPUTED_VALUE"""),46239.81896084491)</f>
        <v>46239.81896</v>
      </c>
      <c r="C491" s="84">
        <f>IFERROR(__xludf.DUMMYFUNCTION("""COMPUTED_VALUE"""),46239.681049004634)</f>
        <v>46239.68105</v>
      </c>
      <c r="D491" s="173">
        <f t="shared" si="1"/>
        <v>0.1379118403</v>
      </c>
      <c r="G491" s="76">
        <f>IFERROR(__xludf.DUMMYFUNCTION("""COMPUTED_VALUE"""),5452.0)</f>
        <v>5452</v>
      </c>
      <c r="H491" s="232">
        <f>IFERROR(__xludf.DUMMYFUNCTION("""COMPUTED_VALUE"""),46239.825905289355)</f>
        <v>46239.82591</v>
      </c>
      <c r="I491" s="84">
        <f>IFERROR(__xludf.DUMMYFUNCTION("""COMPUTED_VALUE"""),46239.68110873843)</f>
        <v>46239.68111</v>
      </c>
      <c r="J491" s="76">
        <f t="shared" si="2"/>
        <v>0.1447965509</v>
      </c>
      <c r="L491" s="76">
        <f>IFERROR(__xludf.DUMMYFUNCTION("""COMPUTED_VALUE"""),5452.0)</f>
        <v>5452</v>
      </c>
      <c r="M491" s="232">
        <f>IFERROR(__xludf.DUMMYFUNCTION("""COMPUTED_VALUE"""),46240.53402777778)</f>
        <v>46240.53403</v>
      </c>
      <c r="N491" s="84">
        <f>IFERROR(__xludf.DUMMYFUNCTION("""COMPUTED_VALUE"""),46239.802121307875)</f>
        <v>46239.80212</v>
      </c>
      <c r="O491" s="76">
        <f t="shared" si="3"/>
        <v>0.7319064699</v>
      </c>
      <c r="Q491" s="76">
        <f>IFERROR(__xludf.DUMMYFUNCTION("""COMPUTED_VALUE"""),5447.0)</f>
        <v>5447</v>
      </c>
      <c r="R491" s="232">
        <f>IFERROR(__xludf.DUMMYFUNCTION("""COMPUTED_VALUE"""),46239.71805555556)</f>
        <v>46239.71806</v>
      </c>
      <c r="S491" s="84">
        <f>IFERROR(__xludf.DUMMYFUNCTION("""COMPUTED_VALUE"""),46238.523038796295)</f>
        <v>46238.52304</v>
      </c>
      <c r="T491" s="76">
        <f t="shared" si="4"/>
        <v>1.195016759</v>
      </c>
      <c r="Y491" s="76">
        <f t="shared" si="5"/>
        <v>0</v>
      </c>
      <c r="AK491" s="232"/>
      <c r="AL491" s="233"/>
      <c r="AM491" s="173"/>
    </row>
    <row r="492">
      <c r="A492" s="76">
        <f>IFERROR(__xludf.DUMMYFUNCTION("""COMPUTED_VALUE"""),5453.0)</f>
        <v>5453</v>
      </c>
      <c r="B492" s="232">
        <f>IFERROR(__xludf.DUMMYFUNCTION("""COMPUTED_VALUE"""),46240.59234585648)</f>
        <v>46240.59235</v>
      </c>
      <c r="C492" s="84">
        <f>IFERROR(__xludf.DUMMYFUNCTION("""COMPUTED_VALUE"""),46240.460359398145)</f>
        <v>46240.46036</v>
      </c>
      <c r="D492" s="173">
        <f t="shared" si="1"/>
        <v>0.1319864583</v>
      </c>
      <c r="G492" s="76">
        <f>IFERROR(__xludf.DUMMYFUNCTION("""COMPUTED_VALUE"""),5453.0)</f>
        <v>5453</v>
      </c>
      <c r="H492" s="232">
        <f>IFERROR(__xludf.DUMMYFUNCTION("""COMPUTED_VALUE"""),46240.599290300925)</f>
        <v>46240.59929</v>
      </c>
      <c r="I492" s="84">
        <f>IFERROR(__xludf.DUMMYFUNCTION("""COMPUTED_VALUE"""),46240.460513067126)</f>
        <v>46240.46051</v>
      </c>
      <c r="J492" s="76">
        <f t="shared" si="2"/>
        <v>0.1387772338</v>
      </c>
      <c r="L492" s="76">
        <f>IFERROR(__xludf.DUMMYFUNCTION("""COMPUTED_VALUE"""),5453.0)</f>
        <v>5453</v>
      </c>
      <c r="M492" s="232">
        <f>IFERROR(__xludf.DUMMYFUNCTION("""COMPUTED_VALUE"""),46240.70345696759)</f>
        <v>46240.70346</v>
      </c>
      <c r="N492" s="84">
        <f>IFERROR(__xludf.DUMMYFUNCTION("""COMPUTED_VALUE"""),46240.46054511574)</f>
        <v>46240.46055</v>
      </c>
      <c r="O492" s="76">
        <f t="shared" si="3"/>
        <v>0.2429118518</v>
      </c>
      <c r="Q492" s="76">
        <f>IFERROR(__xludf.DUMMYFUNCTION("""COMPUTED_VALUE"""),5448.0)</f>
        <v>5448</v>
      </c>
      <c r="R492" s="232">
        <f>IFERROR(__xludf.DUMMYFUNCTION("""COMPUTED_VALUE"""),46240.69930555555)</f>
        <v>46240.69931</v>
      </c>
      <c r="S492" s="84">
        <f>IFERROR(__xludf.DUMMYFUNCTION("""COMPUTED_VALUE"""),46239.80278834491)</f>
        <v>46239.80279</v>
      </c>
      <c r="AK492" s="232"/>
      <c r="AL492" s="233"/>
      <c r="AM492" s="173"/>
    </row>
    <row r="493">
      <c r="A493" s="76">
        <f>IFERROR(__xludf.DUMMYFUNCTION("""COMPUTED_VALUE"""),5454.0)</f>
        <v>5454</v>
      </c>
      <c r="B493" s="232">
        <f>IFERROR(__xludf.DUMMYFUNCTION("""COMPUTED_VALUE"""),46240.593853831015)</f>
        <v>46240.59385</v>
      </c>
      <c r="C493" s="84">
        <f>IFERROR(__xludf.DUMMYFUNCTION("""COMPUTED_VALUE"""),46240.46058914352)</f>
        <v>46240.46059</v>
      </c>
      <c r="D493" s="173">
        <f t="shared" si="1"/>
        <v>0.1332646875</v>
      </c>
      <c r="G493" s="76">
        <f>IFERROR(__xludf.DUMMYFUNCTION("""COMPUTED_VALUE"""),5454.0)</f>
        <v>5454</v>
      </c>
      <c r="H493" s="232">
        <f>IFERROR(__xludf.DUMMYFUNCTION("""COMPUTED_VALUE"""),46240.60079827546)</f>
        <v>46240.6008</v>
      </c>
      <c r="I493" s="84">
        <f>IFERROR(__xludf.DUMMYFUNCTION("""COMPUTED_VALUE"""),46240.46063084491)</f>
        <v>46240.46063</v>
      </c>
      <c r="J493" s="76">
        <f t="shared" si="2"/>
        <v>0.1401674306</v>
      </c>
      <c r="L493" s="76">
        <f>IFERROR(__xludf.DUMMYFUNCTION("""COMPUTED_VALUE"""),5454.0)</f>
        <v>5454</v>
      </c>
      <c r="M493" s="232">
        <f>IFERROR(__xludf.DUMMYFUNCTION("""COMPUTED_VALUE"""),46240.704964942124)</f>
        <v>46240.70496</v>
      </c>
      <c r="N493" s="84">
        <f>IFERROR(__xludf.DUMMYFUNCTION("""COMPUTED_VALUE"""),46240.46065987268)</f>
        <v>46240.46066</v>
      </c>
      <c r="Q493" s="76">
        <f>IFERROR(__xludf.DUMMYFUNCTION("""COMPUTED_VALUE"""),5449.0)</f>
        <v>5449</v>
      </c>
      <c r="R493" s="232">
        <f>IFERROR(__xludf.DUMMYFUNCTION("""COMPUTED_VALUE"""),46240.77777777778)</f>
        <v>46240.77778</v>
      </c>
      <c r="S493" s="84">
        <f>IFERROR(__xludf.DUMMYFUNCTION("""COMPUTED_VALUE"""),46239.80280023148)</f>
        <v>46239.8028</v>
      </c>
      <c r="AK493" s="232"/>
      <c r="AL493" s="233"/>
      <c r="AM493" s="173"/>
    </row>
    <row r="494">
      <c r="D494" s="173">
        <f t="shared" si="1"/>
        <v>0</v>
      </c>
      <c r="J494" s="76">
        <f t="shared" si="2"/>
        <v>0</v>
      </c>
      <c r="Q494" s="76">
        <f>IFERROR(__xludf.DUMMYFUNCTION("""COMPUTED_VALUE"""),5450.0)</f>
        <v>5450</v>
      </c>
      <c r="R494" s="232">
        <f>IFERROR(__xludf.DUMMYFUNCTION("""COMPUTED_VALUE"""),46240.779861111114)</f>
        <v>46240.77986</v>
      </c>
      <c r="S494" s="84">
        <f>IFERROR(__xludf.DUMMYFUNCTION("""COMPUTED_VALUE"""),46239.80256840278)</f>
        <v>46239.80257</v>
      </c>
      <c r="AK494" s="232"/>
      <c r="AL494" s="233"/>
      <c r="AM494" s="173"/>
    </row>
    <row r="495">
      <c r="D495" s="173">
        <f t="shared" si="1"/>
        <v>0</v>
      </c>
      <c r="J495" s="76">
        <f t="shared" si="2"/>
        <v>0</v>
      </c>
      <c r="Q495" s="76">
        <f>IFERROR(__xludf.DUMMYFUNCTION("""COMPUTED_VALUE"""),5451.0)</f>
        <v>5451</v>
      </c>
      <c r="R495" s="232">
        <f>IFERROR(__xludf.DUMMYFUNCTION("""COMPUTED_VALUE"""),46240.78472222222)</f>
        <v>46240.78472</v>
      </c>
      <c r="S495" s="84">
        <f>IFERROR(__xludf.DUMMYFUNCTION("""COMPUTED_VALUE"""),46239.80258261574)</f>
        <v>46239.80258</v>
      </c>
      <c r="AK495" s="232"/>
      <c r="AL495" s="233"/>
    </row>
    <row r="496">
      <c r="Q496" s="76">
        <f>IFERROR(__xludf.DUMMYFUNCTION("""COMPUTED_VALUE"""),5452.0)</f>
        <v>5452</v>
      </c>
      <c r="R496" s="232">
        <f>IFERROR(__xludf.DUMMYFUNCTION("""COMPUTED_VALUE"""),46241.53402777778)</f>
        <v>46241.53403</v>
      </c>
      <c r="S496" s="84">
        <f>IFERROR(__xludf.DUMMYFUNCTION("""COMPUTED_VALUE"""),46239.8026039699)</f>
        <v>46239.8026</v>
      </c>
      <c r="AK496" s="232"/>
      <c r="AL496" s="233"/>
    </row>
    <row r="497">
      <c r="AK497" s="232"/>
      <c r="AL497" s="233"/>
    </row>
    <row r="498">
      <c r="AK498" s="232"/>
      <c r="AL498" s="233"/>
    </row>
    <row r="499">
      <c r="AK499" s="232"/>
      <c r="AL499" s="233"/>
    </row>
    <row r="500">
      <c r="AK500" s="232"/>
      <c r="AL500" s="233"/>
    </row>
    <row r="501">
      <c r="AK501" s="232"/>
      <c r="AL501" s="233"/>
    </row>
    <row r="502">
      <c r="AK502" s="232"/>
      <c r="AL502" s="233"/>
    </row>
    <row r="503">
      <c r="AK503" s="232"/>
      <c r="AL503" s="233"/>
    </row>
    <row r="504">
      <c r="AK504" s="232"/>
      <c r="AL504" s="233"/>
    </row>
    <row r="505">
      <c r="AK505" s="232"/>
      <c r="AL505" s="233"/>
    </row>
    <row r="506">
      <c r="AK506" s="232"/>
      <c r="AL506" s="233"/>
    </row>
    <row r="507">
      <c r="AK507" s="232"/>
      <c r="AL507" s="233"/>
    </row>
    <row r="508">
      <c r="AK508" s="232"/>
      <c r="AL508" s="233"/>
    </row>
    <row r="509">
      <c r="AK509" s="232"/>
      <c r="AL509" s="233"/>
    </row>
    <row r="510">
      <c r="AK510" s="232"/>
      <c r="AL510" s="233"/>
    </row>
    <row r="511">
      <c r="AK511" s="232"/>
      <c r="AL511" s="233"/>
    </row>
    <row r="512">
      <c r="AK512" s="232"/>
      <c r="AL512" s="233"/>
    </row>
    <row r="513">
      <c r="AK513" s="232"/>
      <c r="AL513" s="233"/>
    </row>
    <row r="514">
      <c r="AK514" s="232"/>
      <c r="AL514" s="233"/>
    </row>
    <row r="515">
      <c r="AK515" s="232"/>
      <c r="AL515" s="233"/>
    </row>
    <row r="516">
      <c r="AK516" s="232"/>
      <c r="AL516" s="233"/>
    </row>
    <row r="517">
      <c r="AK517" s="232"/>
      <c r="AL517" s="233"/>
    </row>
    <row r="518">
      <c r="AK518" s="232"/>
      <c r="AL518" s="233"/>
    </row>
    <row r="519">
      <c r="AK519" s="232"/>
      <c r="AL519" s="233"/>
    </row>
    <row r="520">
      <c r="AK520" s="232"/>
      <c r="AL520" s="233"/>
    </row>
    <row r="521">
      <c r="AK521" s="232"/>
      <c r="AL521" s="233"/>
    </row>
    <row r="522">
      <c r="AK522" s="232"/>
      <c r="AL522" s="233"/>
    </row>
    <row r="523">
      <c r="AK523" s="232"/>
      <c r="AL523" s="233"/>
    </row>
    <row r="524">
      <c r="AK524" s="232"/>
      <c r="AL524" s="233"/>
    </row>
    <row r="525">
      <c r="AK525" s="232"/>
      <c r="AL525" s="233"/>
    </row>
    <row r="526">
      <c r="AK526" s="232"/>
      <c r="AL526" s="233"/>
    </row>
    <row r="527">
      <c r="AK527" s="232"/>
      <c r="AL527" s="233"/>
    </row>
    <row r="528">
      <c r="AK528" s="232"/>
      <c r="AL528" s="233"/>
    </row>
    <row r="529">
      <c r="AK529" s="232"/>
      <c r="AL529" s="233"/>
    </row>
    <row r="530">
      <c r="AK530" s="232"/>
      <c r="AL530" s="233"/>
    </row>
    <row r="531">
      <c r="AK531" s="232"/>
      <c r="AL531" s="233"/>
    </row>
    <row r="532">
      <c r="AK532" s="232"/>
      <c r="AL532" s="233"/>
    </row>
    <row r="533">
      <c r="AK533" s="232"/>
      <c r="AL533" s="233"/>
    </row>
    <row r="534">
      <c r="AK534" s="232"/>
      <c r="AL534" s="233"/>
    </row>
    <row r="535">
      <c r="AK535" s="232"/>
      <c r="AL535" s="233"/>
    </row>
    <row r="536">
      <c r="AK536" s="232"/>
      <c r="AL536" s="233"/>
    </row>
    <row r="537">
      <c r="AK537" s="232"/>
      <c r="AL537" s="233"/>
    </row>
    <row r="538">
      <c r="AK538" s="232"/>
      <c r="AL538" s="233"/>
    </row>
    <row r="539">
      <c r="AK539" s="232"/>
      <c r="AL539" s="233"/>
    </row>
    <row r="540">
      <c r="AK540" s="232"/>
      <c r="AL540" s="233"/>
    </row>
    <row r="541">
      <c r="AK541" s="232"/>
      <c r="AL541" s="233"/>
    </row>
    <row r="542">
      <c r="AK542" s="232"/>
      <c r="AL542" s="233"/>
    </row>
    <row r="543">
      <c r="AK543" s="232"/>
      <c r="AL543" s="233"/>
    </row>
    <row r="544">
      <c r="AK544" s="232"/>
      <c r="AL544" s="233"/>
    </row>
    <row r="545">
      <c r="AK545" s="232"/>
      <c r="AL545" s="233"/>
    </row>
    <row r="546">
      <c r="AK546" s="232"/>
      <c r="AL546" s="233"/>
    </row>
    <row r="547">
      <c r="AK547" s="232"/>
      <c r="AL547" s="233"/>
    </row>
    <row r="548">
      <c r="AK548" s="232"/>
      <c r="AL548" s="233"/>
    </row>
    <row r="549">
      <c r="AK549" s="232"/>
      <c r="AL549" s="233"/>
    </row>
    <row r="550">
      <c r="AK550" s="232"/>
      <c r="AL550" s="233"/>
    </row>
    <row r="551">
      <c r="AK551" s="232"/>
      <c r="AL551" s="233"/>
    </row>
    <row r="552">
      <c r="AK552" s="232"/>
      <c r="AL552" s="233"/>
    </row>
    <row r="553">
      <c r="AK553" s="232"/>
      <c r="AL553" s="233"/>
    </row>
    <row r="554">
      <c r="AK554" s="232"/>
      <c r="AL554" s="233"/>
    </row>
    <row r="555">
      <c r="AK555" s="232"/>
      <c r="AL555" s="233"/>
    </row>
    <row r="556">
      <c r="AK556" s="232"/>
      <c r="AL556" s="233"/>
    </row>
    <row r="557">
      <c r="AK557" s="232"/>
      <c r="AL557" s="233"/>
    </row>
    <row r="558">
      <c r="AK558" s="232"/>
      <c r="AL558" s="233"/>
    </row>
    <row r="559">
      <c r="AK559" s="232"/>
      <c r="AL559" s="233"/>
    </row>
    <row r="560">
      <c r="AK560" s="232"/>
      <c r="AL560" s="233"/>
    </row>
    <row r="561">
      <c r="AK561" s="232"/>
      <c r="AL561" s="233"/>
    </row>
    <row r="562">
      <c r="AK562" s="232"/>
      <c r="AL562" s="233"/>
    </row>
    <row r="563">
      <c r="AK563" s="232"/>
      <c r="AL563" s="233"/>
    </row>
    <row r="564">
      <c r="AK564" s="232"/>
      <c r="AL564" s="233"/>
    </row>
    <row r="565">
      <c r="AK565" s="232"/>
      <c r="AL565" s="233"/>
    </row>
    <row r="566">
      <c r="AK566" s="232"/>
      <c r="AL566" s="233"/>
    </row>
    <row r="567">
      <c r="AK567" s="232"/>
      <c r="AL567" s="233"/>
    </row>
    <row r="568">
      <c r="AK568" s="232"/>
      <c r="AL568" s="233"/>
    </row>
    <row r="569">
      <c r="AK569" s="232"/>
      <c r="AL569" s="233"/>
    </row>
    <row r="570">
      <c r="AK570" s="232"/>
      <c r="AL570" s="233"/>
    </row>
    <row r="571">
      <c r="AK571" s="232"/>
      <c r="AL571" s="233"/>
    </row>
    <row r="572">
      <c r="AK572" s="232"/>
      <c r="AL572" s="233"/>
    </row>
    <row r="573">
      <c r="AK573" s="232"/>
      <c r="AL573" s="233"/>
    </row>
    <row r="574">
      <c r="AK574" s="232"/>
      <c r="AL574" s="233"/>
    </row>
    <row r="575">
      <c r="AK575" s="232"/>
      <c r="AL575" s="233"/>
    </row>
    <row r="576">
      <c r="AK576" s="232"/>
      <c r="AL576" s="233"/>
    </row>
    <row r="577">
      <c r="AK577" s="232"/>
      <c r="AL577" s="233"/>
    </row>
    <row r="578">
      <c r="AK578" s="232"/>
      <c r="AL578" s="233"/>
    </row>
    <row r="579">
      <c r="AK579" s="232"/>
      <c r="AL579" s="233"/>
    </row>
    <row r="580">
      <c r="AK580" s="232"/>
      <c r="AL580" s="233"/>
    </row>
    <row r="581">
      <c r="AK581" s="232"/>
      <c r="AL581" s="233"/>
    </row>
    <row r="582">
      <c r="AK582" s="232"/>
      <c r="AL582" s="233"/>
    </row>
    <row r="583">
      <c r="AK583" s="232"/>
      <c r="AL583" s="233"/>
    </row>
    <row r="584">
      <c r="AK584" s="232"/>
      <c r="AL584" s="233"/>
    </row>
    <row r="585">
      <c r="AK585" s="232"/>
      <c r="AL585" s="233"/>
    </row>
    <row r="586">
      <c r="AK586" s="232"/>
      <c r="AL586" s="233"/>
    </row>
    <row r="587">
      <c r="AK587" s="232"/>
      <c r="AL587" s="233"/>
    </row>
    <row r="588">
      <c r="AK588" s="232"/>
      <c r="AL588" s="233"/>
    </row>
    <row r="589">
      <c r="AK589" s="232"/>
      <c r="AL589" s="233"/>
    </row>
    <row r="590">
      <c r="AK590" s="232"/>
      <c r="AL590" s="233"/>
    </row>
    <row r="591">
      <c r="AK591" s="232"/>
      <c r="AL591" s="233"/>
    </row>
    <row r="592">
      <c r="AK592" s="232"/>
      <c r="AL592" s="233"/>
    </row>
    <row r="593">
      <c r="AK593" s="232"/>
      <c r="AL593" s="233"/>
    </row>
    <row r="594">
      <c r="AK594" s="232"/>
      <c r="AL594" s="233"/>
    </row>
    <row r="595">
      <c r="AK595" s="232"/>
      <c r="AL595" s="233"/>
    </row>
    <row r="596">
      <c r="AK596" s="232"/>
      <c r="AL596" s="233"/>
    </row>
    <row r="597">
      <c r="AK597" s="232"/>
      <c r="AL597" s="233"/>
    </row>
    <row r="598">
      <c r="AK598" s="232"/>
      <c r="AL598" s="233"/>
    </row>
    <row r="599">
      <c r="AK599" s="232"/>
      <c r="AL599" s="233"/>
    </row>
    <row r="600">
      <c r="AK600" s="232"/>
      <c r="AL600" s="233"/>
    </row>
    <row r="601">
      <c r="AK601" s="232"/>
      <c r="AL601" s="233"/>
    </row>
    <row r="602">
      <c r="AK602" s="232"/>
      <c r="AL602" s="233"/>
    </row>
    <row r="603">
      <c r="AK603" s="232"/>
      <c r="AL603" s="233"/>
    </row>
    <row r="604">
      <c r="AK604" s="232"/>
      <c r="AL604" s="233"/>
    </row>
    <row r="605">
      <c r="AK605" s="232"/>
      <c r="AL605" s="233"/>
    </row>
    <row r="606">
      <c r="AK606" s="232"/>
      <c r="AL606" s="233"/>
    </row>
    <row r="607">
      <c r="AK607" s="232"/>
      <c r="AL607" s="233"/>
    </row>
    <row r="608">
      <c r="AK608" s="232"/>
      <c r="AL608" s="233"/>
    </row>
    <row r="609">
      <c r="AK609" s="232"/>
      <c r="AL609" s="233"/>
    </row>
    <row r="610">
      <c r="AK610" s="232"/>
      <c r="AL610" s="233"/>
    </row>
    <row r="611">
      <c r="AK611" s="232"/>
      <c r="AL611" s="233"/>
    </row>
    <row r="612">
      <c r="AK612" s="232"/>
      <c r="AL612" s="233"/>
    </row>
    <row r="613">
      <c r="AK613" s="232"/>
      <c r="AL613" s="233"/>
    </row>
    <row r="614">
      <c r="AK614" s="232"/>
      <c r="AL614" s="233"/>
    </row>
    <row r="615">
      <c r="AK615" s="232"/>
      <c r="AL615" s="233"/>
    </row>
    <row r="616">
      <c r="AK616" s="232"/>
      <c r="AL616" s="233"/>
    </row>
    <row r="617">
      <c r="AK617" s="232"/>
      <c r="AL617" s="233"/>
    </row>
    <row r="618">
      <c r="AK618" s="232"/>
      <c r="AL618" s="233"/>
    </row>
    <row r="619">
      <c r="AK619" s="232"/>
      <c r="AL619" s="233"/>
    </row>
    <row r="620">
      <c r="AK620" s="232"/>
      <c r="AL620" s="233"/>
    </row>
    <row r="621">
      <c r="AK621" s="232"/>
      <c r="AL621" s="233"/>
    </row>
    <row r="622">
      <c r="AK622" s="232"/>
      <c r="AL622" s="233"/>
    </row>
    <row r="623">
      <c r="AK623" s="232"/>
      <c r="AL623" s="233"/>
    </row>
    <row r="624">
      <c r="AK624" s="232"/>
      <c r="AL624" s="233"/>
    </row>
    <row r="625">
      <c r="AK625" s="232"/>
      <c r="AL625" s="233"/>
    </row>
    <row r="626">
      <c r="AK626" s="232"/>
      <c r="AL626" s="233"/>
    </row>
    <row r="627">
      <c r="AK627" s="232"/>
      <c r="AL627" s="233"/>
    </row>
    <row r="628">
      <c r="AK628" s="232"/>
      <c r="AL628" s="233"/>
    </row>
    <row r="629">
      <c r="AK629" s="232"/>
      <c r="AL629" s="233"/>
    </row>
    <row r="630">
      <c r="AK630" s="232"/>
      <c r="AL630" s="233"/>
    </row>
    <row r="631">
      <c r="AK631" s="232"/>
      <c r="AL631" s="233"/>
    </row>
    <row r="632">
      <c r="AK632" s="232"/>
      <c r="AL632" s="233"/>
    </row>
    <row r="633">
      <c r="AK633" s="232"/>
      <c r="AL633" s="233"/>
    </row>
    <row r="634">
      <c r="AK634" s="232"/>
      <c r="AL634" s="233"/>
    </row>
    <row r="635">
      <c r="AK635" s="232"/>
      <c r="AL635" s="233"/>
    </row>
    <row r="636">
      <c r="AK636" s="232"/>
      <c r="AL636" s="233"/>
    </row>
    <row r="637">
      <c r="AK637" s="232"/>
      <c r="AL637" s="233"/>
    </row>
    <row r="638">
      <c r="AK638" s="232"/>
      <c r="AL638" s="233"/>
    </row>
    <row r="639">
      <c r="AK639" s="232"/>
      <c r="AL639" s="233"/>
    </row>
    <row r="640">
      <c r="AK640" s="232"/>
      <c r="AL640" s="233"/>
    </row>
    <row r="641">
      <c r="AK641" s="232"/>
      <c r="AL641" s="233"/>
    </row>
    <row r="642">
      <c r="AK642" s="232"/>
      <c r="AL642" s="233"/>
    </row>
    <row r="643">
      <c r="AK643" s="232"/>
      <c r="AL643" s="233"/>
    </row>
    <row r="644">
      <c r="AK644" s="232"/>
      <c r="AL644" s="233"/>
    </row>
    <row r="645">
      <c r="AK645" s="232"/>
      <c r="AL645" s="233"/>
    </row>
    <row r="646">
      <c r="AK646" s="232"/>
      <c r="AL646" s="233"/>
    </row>
    <row r="647">
      <c r="AK647" s="232"/>
      <c r="AL647" s="233"/>
    </row>
    <row r="648">
      <c r="AK648" s="232"/>
      <c r="AL648" s="233"/>
    </row>
    <row r="649">
      <c r="AK649" s="232"/>
      <c r="AL649" s="233"/>
    </row>
    <row r="650">
      <c r="AK650" s="232"/>
      <c r="AL650" s="233"/>
    </row>
    <row r="651">
      <c r="AK651" s="232"/>
      <c r="AL651" s="233"/>
    </row>
    <row r="652">
      <c r="AK652" s="232"/>
      <c r="AL652" s="233"/>
    </row>
    <row r="653">
      <c r="AK653" s="232"/>
      <c r="AL653" s="233"/>
    </row>
    <row r="654">
      <c r="AK654" s="232"/>
      <c r="AL654" s="233"/>
    </row>
    <row r="655">
      <c r="AK655" s="232"/>
      <c r="AL655" s="233"/>
    </row>
    <row r="656">
      <c r="AK656" s="232"/>
      <c r="AL656" s="233"/>
    </row>
    <row r="657">
      <c r="AK657" s="232"/>
      <c r="AL657" s="233"/>
    </row>
    <row r="658">
      <c r="AK658" s="232"/>
      <c r="AL658" s="233"/>
    </row>
    <row r="659">
      <c r="AK659" s="232"/>
      <c r="AL659" s="233"/>
    </row>
    <row r="660">
      <c r="AK660" s="232"/>
      <c r="AL660" s="233"/>
    </row>
    <row r="661">
      <c r="AK661" s="232"/>
      <c r="AL661" s="233"/>
    </row>
    <row r="662">
      <c r="AK662" s="232"/>
      <c r="AL662" s="233"/>
    </row>
    <row r="663">
      <c r="AK663" s="232"/>
      <c r="AL663" s="233"/>
    </row>
    <row r="664">
      <c r="AK664" s="232"/>
      <c r="AL664" s="233"/>
    </row>
    <row r="665">
      <c r="AK665" s="232"/>
      <c r="AL665" s="233"/>
    </row>
    <row r="666">
      <c r="AK666" s="232"/>
      <c r="AL666" s="233"/>
    </row>
    <row r="667">
      <c r="AK667" s="232"/>
      <c r="AL667" s="233"/>
    </row>
    <row r="668">
      <c r="AK668" s="232"/>
      <c r="AL668" s="233"/>
    </row>
    <row r="669">
      <c r="AK669" s="232"/>
      <c r="AL669" s="233"/>
    </row>
    <row r="670">
      <c r="AK670" s="232"/>
      <c r="AL670" s="233"/>
    </row>
    <row r="671">
      <c r="AK671" s="232"/>
      <c r="AL671" s="233"/>
    </row>
    <row r="672">
      <c r="AK672" s="232"/>
      <c r="AL672" s="233"/>
    </row>
    <row r="673">
      <c r="AK673" s="232"/>
      <c r="AL673" s="233"/>
    </row>
    <row r="674">
      <c r="AK674" s="232"/>
      <c r="AL674" s="233"/>
    </row>
    <row r="675">
      <c r="AK675" s="232"/>
      <c r="AL675" s="233"/>
    </row>
    <row r="676">
      <c r="AK676" s="232"/>
      <c r="AL676" s="233"/>
    </row>
    <row r="677">
      <c r="AK677" s="232"/>
      <c r="AL677" s="233"/>
    </row>
    <row r="678">
      <c r="AK678" s="232"/>
      <c r="AL678" s="233"/>
    </row>
    <row r="679">
      <c r="AK679" s="232"/>
      <c r="AL679" s="233"/>
    </row>
    <row r="680">
      <c r="AK680" s="232"/>
      <c r="AL680" s="233"/>
    </row>
    <row r="681">
      <c r="AK681" s="232"/>
      <c r="AL681" s="233"/>
    </row>
    <row r="682">
      <c r="AK682" s="232"/>
      <c r="AL682" s="233"/>
    </row>
    <row r="683">
      <c r="AK683" s="232"/>
      <c r="AL683" s="233"/>
    </row>
    <row r="684">
      <c r="AK684" s="232"/>
      <c r="AL684" s="233"/>
    </row>
    <row r="685">
      <c r="AK685" s="232"/>
      <c r="AL685" s="233"/>
    </row>
    <row r="686">
      <c r="AK686" s="232"/>
      <c r="AL686" s="233"/>
    </row>
    <row r="687">
      <c r="AK687" s="232"/>
      <c r="AL687" s="233"/>
    </row>
    <row r="688">
      <c r="AK688" s="232"/>
      <c r="AL688" s="233"/>
    </row>
    <row r="689">
      <c r="AK689" s="232"/>
      <c r="AL689" s="233"/>
    </row>
    <row r="690">
      <c r="AK690" s="232"/>
      <c r="AL690" s="233"/>
    </row>
    <row r="691">
      <c r="AK691" s="232"/>
      <c r="AL691" s="233"/>
    </row>
    <row r="692">
      <c r="AK692" s="232"/>
      <c r="AL692" s="233"/>
    </row>
    <row r="693">
      <c r="AK693" s="232"/>
      <c r="AL693" s="233"/>
    </row>
    <row r="694">
      <c r="AK694" s="232"/>
      <c r="AL694" s="233"/>
    </row>
    <row r="695">
      <c r="AK695" s="232"/>
      <c r="AL695" s="233"/>
    </row>
    <row r="696">
      <c r="AK696" s="232"/>
      <c r="AL696" s="233"/>
    </row>
    <row r="697">
      <c r="AK697" s="232"/>
      <c r="AL697" s="233"/>
    </row>
    <row r="698">
      <c r="AK698" s="232"/>
      <c r="AL698" s="233"/>
    </row>
    <row r="699">
      <c r="AK699" s="232"/>
      <c r="AL699" s="233"/>
    </row>
    <row r="700">
      <c r="AK700" s="232"/>
      <c r="AL700" s="233"/>
    </row>
    <row r="701">
      <c r="AK701" s="232"/>
      <c r="AL701" s="233"/>
    </row>
    <row r="702">
      <c r="AK702" s="232"/>
      <c r="AL702" s="233"/>
    </row>
    <row r="703">
      <c r="AK703" s="232"/>
      <c r="AL703" s="233"/>
    </row>
    <row r="704">
      <c r="AK704" s="232"/>
      <c r="AL704" s="233"/>
    </row>
    <row r="705">
      <c r="AK705" s="232"/>
      <c r="AL705" s="233"/>
    </row>
    <row r="706">
      <c r="AK706" s="232"/>
      <c r="AL706" s="233"/>
    </row>
    <row r="707">
      <c r="AK707" s="232"/>
      <c r="AL707" s="233"/>
    </row>
    <row r="708">
      <c r="AK708" s="232"/>
      <c r="AL708" s="233"/>
    </row>
    <row r="709">
      <c r="AK709" s="232"/>
      <c r="AL709" s="233"/>
    </row>
    <row r="710">
      <c r="AK710" s="232"/>
      <c r="AL710" s="233"/>
    </row>
    <row r="711">
      <c r="AK711" s="232"/>
      <c r="AL711" s="233"/>
    </row>
    <row r="712">
      <c r="AK712" s="232"/>
      <c r="AL712" s="233"/>
    </row>
    <row r="713">
      <c r="AK713" s="232"/>
      <c r="AL713" s="233"/>
    </row>
    <row r="714">
      <c r="AK714" s="232"/>
      <c r="AL714" s="233"/>
    </row>
    <row r="715">
      <c r="AK715" s="232"/>
      <c r="AL715" s="233"/>
    </row>
    <row r="716">
      <c r="AK716" s="232"/>
      <c r="AL716" s="233"/>
    </row>
    <row r="717">
      <c r="AK717" s="232"/>
      <c r="AL717" s="233"/>
    </row>
    <row r="718">
      <c r="AK718" s="232"/>
      <c r="AL718" s="233"/>
    </row>
    <row r="719">
      <c r="AK719" s="232"/>
      <c r="AL719" s="233"/>
    </row>
    <row r="720">
      <c r="AK720" s="232"/>
      <c r="AL720" s="233"/>
    </row>
    <row r="721">
      <c r="AK721" s="232"/>
      <c r="AL721" s="233"/>
    </row>
    <row r="722">
      <c r="AK722" s="232"/>
      <c r="AL722" s="233"/>
    </row>
    <row r="723">
      <c r="AK723" s="232"/>
      <c r="AL723" s="233"/>
    </row>
    <row r="724">
      <c r="AK724" s="232"/>
      <c r="AL724" s="233"/>
    </row>
    <row r="725">
      <c r="AK725" s="232"/>
      <c r="AL725" s="233"/>
    </row>
    <row r="726">
      <c r="AK726" s="232"/>
      <c r="AL726" s="233"/>
    </row>
    <row r="727">
      <c r="AK727" s="232"/>
      <c r="AL727" s="233"/>
    </row>
    <row r="728">
      <c r="AK728" s="232"/>
      <c r="AL728" s="233"/>
    </row>
    <row r="729">
      <c r="AK729" s="232"/>
      <c r="AL729" s="233"/>
    </row>
    <row r="730">
      <c r="AK730" s="232"/>
      <c r="AL730" s="233"/>
    </row>
    <row r="731">
      <c r="AK731" s="232"/>
      <c r="AL731" s="233"/>
    </row>
    <row r="732">
      <c r="AK732" s="232"/>
      <c r="AL732" s="233"/>
    </row>
    <row r="733">
      <c r="AK733" s="232"/>
      <c r="AL733" s="233"/>
    </row>
    <row r="734">
      <c r="AK734" s="232"/>
      <c r="AL734" s="233"/>
    </row>
    <row r="735">
      <c r="AK735" s="232"/>
      <c r="AL735" s="233"/>
    </row>
    <row r="736">
      <c r="AK736" s="232"/>
      <c r="AL736" s="233"/>
    </row>
    <row r="737">
      <c r="AK737" s="232"/>
      <c r="AL737" s="233"/>
    </row>
    <row r="738">
      <c r="AK738" s="232"/>
      <c r="AL738" s="233"/>
    </row>
    <row r="739">
      <c r="AK739" s="232"/>
      <c r="AL739" s="233"/>
    </row>
    <row r="740">
      <c r="AK740" s="232"/>
      <c r="AL740" s="233"/>
    </row>
    <row r="741">
      <c r="AK741" s="232"/>
      <c r="AL741" s="233"/>
    </row>
    <row r="742">
      <c r="AK742" s="232"/>
      <c r="AL742" s="233"/>
    </row>
    <row r="743">
      <c r="AK743" s="232"/>
      <c r="AL743" s="233"/>
    </row>
    <row r="744">
      <c r="AK744" s="232"/>
      <c r="AL744" s="233"/>
    </row>
    <row r="745">
      <c r="AK745" s="232"/>
      <c r="AL745" s="233"/>
    </row>
    <row r="746">
      <c r="AK746" s="232"/>
      <c r="AL746" s="233"/>
    </row>
    <row r="747">
      <c r="AK747" s="232"/>
      <c r="AL747" s="233"/>
    </row>
    <row r="748">
      <c r="AK748" s="232"/>
      <c r="AL748" s="233"/>
    </row>
    <row r="749">
      <c r="AK749" s="232"/>
      <c r="AL749" s="233"/>
    </row>
    <row r="750">
      <c r="AK750" s="232"/>
      <c r="AL750" s="233"/>
    </row>
    <row r="751">
      <c r="AK751" s="232"/>
      <c r="AL751" s="233"/>
    </row>
    <row r="752">
      <c r="AK752" s="232"/>
      <c r="AL752" s="233"/>
    </row>
    <row r="753">
      <c r="AK753" s="232"/>
      <c r="AL753" s="233"/>
    </row>
    <row r="754">
      <c r="AK754" s="232"/>
      <c r="AL754" s="233"/>
    </row>
    <row r="755">
      <c r="AK755" s="232"/>
      <c r="AL755" s="233"/>
    </row>
    <row r="756">
      <c r="AK756" s="232"/>
      <c r="AL756" s="233"/>
    </row>
    <row r="757">
      <c r="AK757" s="232"/>
      <c r="AL757" s="233"/>
    </row>
    <row r="758">
      <c r="AK758" s="232"/>
      <c r="AL758" s="233"/>
    </row>
    <row r="759">
      <c r="AK759" s="232"/>
      <c r="AL759" s="233"/>
    </row>
    <row r="760">
      <c r="AK760" s="232"/>
      <c r="AL760" s="233"/>
    </row>
    <row r="761">
      <c r="AK761" s="232"/>
      <c r="AL761" s="233"/>
    </row>
    <row r="762">
      <c r="AK762" s="232"/>
      <c r="AL762" s="233"/>
    </row>
    <row r="763">
      <c r="AK763" s="232"/>
      <c r="AL763" s="233"/>
    </row>
    <row r="764">
      <c r="AK764" s="232"/>
      <c r="AL764" s="233"/>
    </row>
    <row r="765">
      <c r="AK765" s="232"/>
      <c r="AL765" s="233"/>
    </row>
    <row r="766">
      <c r="AK766" s="232"/>
      <c r="AL766" s="233"/>
    </row>
    <row r="767">
      <c r="AK767" s="232"/>
      <c r="AL767" s="233"/>
    </row>
    <row r="768">
      <c r="AK768" s="232"/>
      <c r="AL768" s="233"/>
    </row>
    <row r="769">
      <c r="AK769" s="232"/>
      <c r="AL769" s="233"/>
    </row>
    <row r="770">
      <c r="AK770" s="232"/>
      <c r="AL770" s="233"/>
    </row>
    <row r="771">
      <c r="AK771" s="232"/>
      <c r="AL771" s="233"/>
    </row>
    <row r="772">
      <c r="AK772" s="232"/>
      <c r="AL772" s="233"/>
    </row>
    <row r="773">
      <c r="AK773" s="232"/>
      <c r="AL773" s="233"/>
    </row>
    <row r="774">
      <c r="AK774" s="232"/>
      <c r="AL774" s="233"/>
    </row>
    <row r="775">
      <c r="AK775" s="232"/>
      <c r="AL775" s="233"/>
    </row>
    <row r="776">
      <c r="AK776" s="232"/>
      <c r="AL776" s="233"/>
    </row>
    <row r="777">
      <c r="AK777" s="232"/>
      <c r="AL777" s="233"/>
    </row>
    <row r="778">
      <c r="AK778" s="232"/>
      <c r="AL778" s="233"/>
    </row>
    <row r="779">
      <c r="AK779" s="232"/>
      <c r="AL779" s="233"/>
    </row>
    <row r="780">
      <c r="AK780" s="232"/>
      <c r="AL780" s="233"/>
    </row>
    <row r="781">
      <c r="AK781" s="232"/>
      <c r="AL781" s="233"/>
    </row>
    <row r="782">
      <c r="AK782" s="232"/>
      <c r="AL782" s="233"/>
    </row>
    <row r="783">
      <c r="AK783" s="232"/>
      <c r="AL783" s="233"/>
    </row>
    <row r="784">
      <c r="AK784" s="232"/>
      <c r="AL784" s="233"/>
    </row>
    <row r="785">
      <c r="AK785" s="232"/>
      <c r="AL785" s="233"/>
    </row>
    <row r="786">
      <c r="AK786" s="232"/>
      <c r="AL786" s="233"/>
    </row>
    <row r="787">
      <c r="AK787" s="232"/>
      <c r="AL787" s="233"/>
    </row>
    <row r="788">
      <c r="AK788" s="232"/>
      <c r="AL788" s="233"/>
    </row>
    <row r="789">
      <c r="AK789" s="232"/>
      <c r="AL789" s="233"/>
    </row>
    <row r="790">
      <c r="AK790" s="232"/>
      <c r="AL790" s="233"/>
    </row>
    <row r="791">
      <c r="AK791" s="232"/>
      <c r="AL791" s="233"/>
    </row>
    <row r="792">
      <c r="AK792" s="232"/>
      <c r="AL792" s="233"/>
    </row>
    <row r="793">
      <c r="AK793" s="232"/>
      <c r="AL793" s="233"/>
    </row>
    <row r="794">
      <c r="AK794" s="232"/>
      <c r="AL794" s="233"/>
    </row>
    <row r="795">
      <c r="AK795" s="232"/>
      <c r="AL795" s="233"/>
    </row>
    <row r="796">
      <c r="AK796" s="232"/>
      <c r="AL796" s="233"/>
    </row>
    <row r="797">
      <c r="AK797" s="232"/>
      <c r="AL797" s="233"/>
    </row>
    <row r="798">
      <c r="AK798" s="232"/>
      <c r="AL798" s="233"/>
    </row>
    <row r="799">
      <c r="AK799" s="232"/>
      <c r="AL799" s="233"/>
    </row>
    <row r="800">
      <c r="AK800" s="232"/>
      <c r="AL800" s="233"/>
    </row>
    <row r="801">
      <c r="AK801" s="232"/>
      <c r="AL801" s="233"/>
    </row>
    <row r="802">
      <c r="AK802" s="232"/>
      <c r="AL802" s="233"/>
    </row>
    <row r="803">
      <c r="AK803" s="232"/>
      <c r="AL803" s="233"/>
    </row>
    <row r="804">
      <c r="AK804" s="232"/>
      <c r="AL804" s="233"/>
    </row>
    <row r="805">
      <c r="AK805" s="232"/>
      <c r="AL805" s="233"/>
    </row>
    <row r="806">
      <c r="AK806" s="232"/>
      <c r="AL806" s="233"/>
    </row>
    <row r="807">
      <c r="AK807" s="232"/>
      <c r="AL807" s="233"/>
    </row>
    <row r="808">
      <c r="AK808" s="232"/>
      <c r="AL808" s="233"/>
    </row>
    <row r="809">
      <c r="AK809" s="232"/>
      <c r="AL809" s="233"/>
    </row>
    <row r="810">
      <c r="AK810" s="232"/>
      <c r="AL810" s="233"/>
    </row>
    <row r="811">
      <c r="AK811" s="232"/>
      <c r="AL811" s="233"/>
    </row>
    <row r="812">
      <c r="AK812" s="232"/>
      <c r="AL812" s="233"/>
    </row>
    <row r="813">
      <c r="AK813" s="232"/>
      <c r="AL813" s="233"/>
    </row>
    <row r="814">
      <c r="AK814" s="232"/>
      <c r="AL814" s="233"/>
    </row>
    <row r="815">
      <c r="AK815" s="232"/>
      <c r="AL815" s="233"/>
    </row>
    <row r="816">
      <c r="AK816" s="232"/>
      <c r="AL816" s="233"/>
    </row>
    <row r="817">
      <c r="AK817" s="232"/>
      <c r="AL817" s="233"/>
    </row>
    <row r="818">
      <c r="AK818" s="232"/>
      <c r="AL818" s="233"/>
    </row>
    <row r="819">
      <c r="AK819" s="232"/>
      <c r="AL819" s="233"/>
    </row>
    <row r="820">
      <c r="AK820" s="232"/>
      <c r="AL820" s="233"/>
    </row>
    <row r="821">
      <c r="AK821" s="232"/>
      <c r="AL821" s="233"/>
    </row>
    <row r="822">
      <c r="AK822" s="232"/>
      <c r="AL822" s="233"/>
    </row>
    <row r="823">
      <c r="AK823" s="232"/>
      <c r="AL823" s="233"/>
    </row>
    <row r="824">
      <c r="AK824" s="232"/>
      <c r="AL824" s="233"/>
    </row>
    <row r="825">
      <c r="AK825" s="232"/>
      <c r="AL825" s="233"/>
    </row>
    <row r="826">
      <c r="AK826" s="232"/>
      <c r="AL826" s="233"/>
    </row>
    <row r="827">
      <c r="AK827" s="232"/>
      <c r="AL827" s="233"/>
    </row>
    <row r="828">
      <c r="AK828" s="232"/>
      <c r="AL828" s="233"/>
    </row>
    <row r="829">
      <c r="AK829" s="232"/>
      <c r="AL829" s="233"/>
    </row>
    <row r="830">
      <c r="AK830" s="232"/>
      <c r="AL830" s="233"/>
    </row>
    <row r="831">
      <c r="AK831" s="232"/>
      <c r="AL831" s="233"/>
    </row>
    <row r="832">
      <c r="AK832" s="232"/>
      <c r="AL832" s="233"/>
    </row>
    <row r="833">
      <c r="AK833" s="232"/>
      <c r="AL833" s="233"/>
    </row>
    <row r="834">
      <c r="AK834" s="232"/>
      <c r="AL834" s="233"/>
    </row>
    <row r="835">
      <c r="AK835" s="232"/>
      <c r="AL835" s="233"/>
    </row>
    <row r="836">
      <c r="AK836" s="232"/>
      <c r="AL836" s="233"/>
    </row>
    <row r="837">
      <c r="AK837" s="232"/>
      <c r="AL837" s="233"/>
    </row>
    <row r="838">
      <c r="AK838" s="232"/>
      <c r="AL838" s="233"/>
    </row>
    <row r="839">
      <c r="AK839" s="232"/>
      <c r="AL839" s="233"/>
    </row>
    <row r="840">
      <c r="AK840" s="232"/>
      <c r="AL840" s="233"/>
    </row>
    <row r="841">
      <c r="AK841" s="232"/>
      <c r="AL841" s="233"/>
    </row>
    <row r="842">
      <c r="AK842" s="232"/>
      <c r="AL842" s="233"/>
    </row>
    <row r="843">
      <c r="AK843" s="232"/>
      <c r="AL843" s="233"/>
    </row>
    <row r="844">
      <c r="AK844" s="232"/>
      <c r="AL844" s="233"/>
    </row>
    <row r="845">
      <c r="AK845" s="232"/>
      <c r="AL845" s="233"/>
    </row>
    <row r="846">
      <c r="AK846" s="232"/>
      <c r="AL846" s="233"/>
    </row>
    <row r="847">
      <c r="AK847" s="232"/>
      <c r="AL847" s="233"/>
    </row>
    <row r="848">
      <c r="AK848" s="232"/>
      <c r="AL848" s="233"/>
    </row>
    <row r="849">
      <c r="AK849" s="232"/>
      <c r="AL849" s="233"/>
    </row>
    <row r="850">
      <c r="AK850" s="232"/>
      <c r="AL850" s="233"/>
    </row>
    <row r="851">
      <c r="AK851" s="232"/>
      <c r="AL851" s="233"/>
    </row>
    <row r="852">
      <c r="AK852" s="232"/>
      <c r="AL852" s="233"/>
    </row>
    <row r="853">
      <c r="AK853" s="232"/>
      <c r="AL853" s="233"/>
    </row>
    <row r="854">
      <c r="AK854" s="232"/>
      <c r="AL854" s="233"/>
    </row>
    <row r="855">
      <c r="AK855" s="232"/>
      <c r="AL855" s="233"/>
    </row>
    <row r="856">
      <c r="AK856" s="232"/>
      <c r="AL856" s="233"/>
    </row>
    <row r="857">
      <c r="AK857" s="232"/>
      <c r="AL857" s="233"/>
    </row>
    <row r="858">
      <c r="AK858" s="232"/>
      <c r="AL858" s="233"/>
    </row>
    <row r="859">
      <c r="AK859" s="232"/>
      <c r="AL859" s="233"/>
    </row>
    <row r="860">
      <c r="AK860" s="232"/>
      <c r="AL860" s="233"/>
    </row>
    <row r="861">
      <c r="AK861" s="232"/>
      <c r="AL861" s="233"/>
    </row>
    <row r="862">
      <c r="AK862" s="232"/>
      <c r="AL862" s="233"/>
    </row>
    <row r="863">
      <c r="AK863" s="232"/>
      <c r="AL863" s="233"/>
    </row>
    <row r="864">
      <c r="AK864" s="232"/>
      <c r="AL864" s="233"/>
    </row>
    <row r="865">
      <c r="AK865" s="232"/>
      <c r="AL865" s="233"/>
    </row>
    <row r="866">
      <c r="AK866" s="232"/>
      <c r="AL866" s="233"/>
    </row>
    <row r="867">
      <c r="AK867" s="232"/>
      <c r="AL867" s="233"/>
    </row>
    <row r="868">
      <c r="AK868" s="232"/>
      <c r="AL868" s="233"/>
    </row>
    <row r="869">
      <c r="AK869" s="232"/>
      <c r="AL869" s="233"/>
    </row>
    <row r="870">
      <c r="AK870" s="232"/>
      <c r="AL870" s="233"/>
    </row>
    <row r="871">
      <c r="AK871" s="232"/>
      <c r="AL871" s="233"/>
    </row>
    <row r="872">
      <c r="AK872" s="232"/>
      <c r="AL872" s="233"/>
    </row>
    <row r="873">
      <c r="AK873" s="232"/>
      <c r="AL873" s="233"/>
    </row>
    <row r="874">
      <c r="AK874" s="232"/>
      <c r="AL874" s="233"/>
    </row>
    <row r="875">
      <c r="AK875" s="232"/>
      <c r="AL875" s="233"/>
    </row>
    <row r="876">
      <c r="AK876" s="232"/>
      <c r="AL876" s="233"/>
    </row>
    <row r="877">
      <c r="AK877" s="232"/>
      <c r="AL877" s="233"/>
    </row>
    <row r="878">
      <c r="AK878" s="232"/>
      <c r="AL878" s="233"/>
    </row>
    <row r="879">
      <c r="AK879" s="232"/>
      <c r="AL879" s="233"/>
    </row>
    <row r="880">
      <c r="AK880" s="232"/>
      <c r="AL880" s="233"/>
    </row>
    <row r="881">
      <c r="AK881" s="232"/>
      <c r="AL881" s="233"/>
    </row>
    <row r="882">
      <c r="AK882" s="232"/>
      <c r="AL882" s="233"/>
    </row>
    <row r="883">
      <c r="AK883" s="232"/>
      <c r="AL883" s="233"/>
    </row>
    <row r="884">
      <c r="AK884" s="232"/>
      <c r="AL884" s="233"/>
    </row>
    <row r="885">
      <c r="AK885" s="232"/>
      <c r="AL885" s="233"/>
    </row>
    <row r="886">
      <c r="AK886" s="232"/>
      <c r="AL886" s="233"/>
    </row>
    <row r="887">
      <c r="AK887" s="232"/>
      <c r="AL887" s="233"/>
    </row>
    <row r="888">
      <c r="AK888" s="232"/>
      <c r="AL888" s="233"/>
    </row>
    <row r="889">
      <c r="AK889" s="232"/>
      <c r="AL889" s="233"/>
    </row>
    <row r="890">
      <c r="AK890" s="232"/>
      <c r="AL890" s="233"/>
    </row>
    <row r="891">
      <c r="AK891" s="232"/>
      <c r="AL891" s="233"/>
    </row>
    <row r="892">
      <c r="AK892" s="232"/>
      <c r="AL892" s="233"/>
    </row>
    <row r="893">
      <c r="AK893" s="232"/>
      <c r="AL893" s="233"/>
    </row>
    <row r="894">
      <c r="AK894" s="232"/>
      <c r="AL894" s="233"/>
    </row>
    <row r="895">
      <c r="AK895" s="232"/>
      <c r="AL895" s="233"/>
    </row>
    <row r="896">
      <c r="AK896" s="232"/>
      <c r="AL896" s="233"/>
    </row>
    <row r="897">
      <c r="AK897" s="232"/>
      <c r="AL897" s="233"/>
    </row>
    <row r="898">
      <c r="AK898" s="232"/>
      <c r="AL898" s="233"/>
    </row>
    <row r="899">
      <c r="AK899" s="232"/>
      <c r="AL899" s="233"/>
    </row>
    <row r="900">
      <c r="AK900" s="232"/>
      <c r="AL900" s="233"/>
    </row>
    <row r="901">
      <c r="AK901" s="232"/>
      <c r="AL901" s="233"/>
    </row>
    <row r="902">
      <c r="AK902" s="232"/>
      <c r="AL902" s="233"/>
    </row>
    <row r="903">
      <c r="AK903" s="232"/>
      <c r="AL903" s="233"/>
    </row>
    <row r="904">
      <c r="AK904" s="232"/>
      <c r="AL904" s="233"/>
    </row>
    <row r="905">
      <c r="AK905" s="232"/>
      <c r="AL905" s="233"/>
    </row>
    <row r="906">
      <c r="AK906" s="232"/>
      <c r="AL906" s="233"/>
    </row>
  </sheetData>
  <mergeCells count="5">
    <mergeCell ref="A1:D1"/>
    <mergeCell ref="G1:J1"/>
    <mergeCell ref="L1:O1"/>
    <mergeCell ref="Q1:T1"/>
    <mergeCell ref="V1:Y1"/>
  </mergeCells>
  <hyperlinks>
    <hyperlink r:id="rId1" ref="A3"/>
    <hyperlink r:id="rId2" ref="G3"/>
    <hyperlink r:id="rId3" ref="L3"/>
    <hyperlink r:id="rId4" ref="Q3"/>
    <hyperlink r:id="rId5" ref="V3"/>
  </hyperlinks>
  <drawing r:id="rId6"/>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outlineLevelCol="1"/>
  <cols>
    <col customWidth="1" min="1" max="1" width="33.75"/>
    <col customWidth="1" min="2" max="4" width="20.13"/>
    <col customWidth="1" min="5" max="5" width="43.5"/>
    <col customWidth="1" min="6" max="12" width="20.13"/>
    <col customWidth="1" min="13" max="13" width="35.25"/>
    <col customWidth="1" min="14" max="16" width="20.13"/>
    <col customWidth="1" min="17" max="17" width="46.5"/>
    <col customWidth="1" min="18" max="20" width="20.13"/>
    <col customWidth="1" min="21" max="21" width="10.13"/>
  </cols>
  <sheetData>
    <row r="1" ht="12.75" customHeight="1">
      <c r="A1" s="239" t="s">
        <v>2541</v>
      </c>
      <c r="B1" s="240"/>
      <c r="C1" s="241"/>
      <c r="D1" s="240"/>
      <c r="E1" s="240"/>
      <c r="F1" s="240"/>
      <c r="G1" s="241"/>
      <c r="H1" s="240"/>
      <c r="I1" s="240"/>
      <c r="J1" s="240"/>
      <c r="K1" s="241"/>
      <c r="L1" s="240"/>
      <c r="M1" s="240"/>
      <c r="N1" s="240"/>
      <c r="O1" s="241"/>
      <c r="P1" s="240"/>
      <c r="Q1" s="240"/>
      <c r="R1" s="241"/>
      <c r="S1" s="241"/>
      <c r="T1" s="240"/>
      <c r="U1" s="214"/>
    </row>
    <row r="2" ht="27.0" customHeight="1">
      <c r="A2" s="242" t="s">
        <v>2514</v>
      </c>
      <c r="E2" s="243" t="s">
        <v>2515</v>
      </c>
      <c r="I2" s="244" t="s">
        <v>2516</v>
      </c>
      <c r="M2" s="245" t="s">
        <v>2517</v>
      </c>
      <c r="Q2" s="245" t="s">
        <v>2518</v>
      </c>
      <c r="U2" s="214"/>
    </row>
    <row r="3" ht="41.25" customHeight="1">
      <c r="A3" s="246" t="s">
        <v>2542</v>
      </c>
      <c r="B3" s="246" t="s">
        <v>2543</v>
      </c>
      <c r="C3" s="247" t="s">
        <v>4</v>
      </c>
      <c r="D3" s="246" t="s">
        <v>6</v>
      </c>
      <c r="E3" s="248" t="s">
        <v>329</v>
      </c>
      <c r="F3" s="248" t="s">
        <v>2543</v>
      </c>
      <c r="G3" s="249" t="s">
        <v>4</v>
      </c>
      <c r="H3" s="248" t="s">
        <v>6</v>
      </c>
      <c r="I3" s="250" t="s">
        <v>21</v>
      </c>
      <c r="J3" s="250" t="s">
        <v>2543</v>
      </c>
      <c r="K3" s="251" t="s">
        <v>4</v>
      </c>
      <c r="L3" s="250" t="s">
        <v>6</v>
      </c>
      <c r="M3" s="252" t="s">
        <v>24</v>
      </c>
      <c r="N3" s="252" t="s">
        <v>2543</v>
      </c>
      <c r="O3" s="253" t="s">
        <v>4</v>
      </c>
      <c r="P3" s="252" t="s">
        <v>6</v>
      </c>
      <c r="Q3" s="252" t="s">
        <v>26</v>
      </c>
      <c r="R3" s="253" t="s">
        <v>2543</v>
      </c>
      <c r="S3" s="253" t="s">
        <v>4</v>
      </c>
      <c r="T3" s="252" t="s">
        <v>6</v>
      </c>
      <c r="U3" s="254"/>
    </row>
    <row r="4" ht="148.5" customHeight="1">
      <c r="A4" s="255" t="str">
        <f>IFERROR(__xludf.DUMMYFUNCTION("ArrayFormula(QUERY({""Link to the sheet:- "" &amp; $A$1 &amp; CHAR(10) &amp; ""Task:- "" &amp; $A$3 &amp; CHAR(10) &amp; ""S.No.:- "" &amp; 'Demo Sheet FMS_148'!$A$9:$A1263 &amp; CHAR(10) &amp; ""Requester Name:- "" &amp; 'Demo Sheet FMS_148'!$J$9:$J1263 &amp; CHAR(10) &amp;""Client Name:- "" &amp; 'Demo S"&amp;"heet FMS_148'!$D$9:$D1263 &amp; CHAR(10)&amp;""Report name:- "" &amp; 'Demo Sheet FMS_148'!$C$9:$C1263 &amp; CHAR(10)&amp;""Product Name:- "" &amp; 'Demo Sheet FMS_148'!$I$9:$I1263 &amp; CHAR(10)&amp;""Type of issues:- "" &amp; 'Demo Sheet FMS_148'!$H$9:$H1263&amp; CHAR(10)&amp; ""Planned Date:- """&amp;" &amp; TEXT('Demo Sheet FMS_148'!$M$9:$M1263, ""yyyy-mm-dd""),'Demo Sheet FMS_148'!$Q$9:$Q1263,'Demo Sheet FMS_148'!$M$9:$M1263,'Demo Sheet FMS_148'!$N$9:$N1263,'Demo Sheet FMS_148'!$O$9:$O1263},""select Col1, Col2, Col3 where Col3 is not null and Col4 is nul"&amp;"l and Col5 &lt;&gt; 'Cancelled' and Col5 &lt;&gt; 'Not required'""
  )
)
"),"Link to the sheet:- https://tinyurl.com/2r2xrakx
Task:- Discussion with Requester                                                                           					
S.No.:- 5455
Requester Name:- HEMANT UNIYAL 
Client Name:- VISHWA KARMA SKILL UNIVERISTY 
Rep"&amp;"ort name:- TR REPORT 
Product Name:- Smart-Exam
Type of issues:- Report not downloading, Change in logic, Other changes
Planned Date:- 2026-08-06")</f>
        <v>Link to the sheet:- https://tinyurl.com/2r2xrakx
Task:- Discussion with Requester                                                                           					
S.No.:- 5455
Requester Name:- HEMANT UNIYAL 
Client Name:- VISHWA KARMA SKILL UNIVERISTY 
Report name:- TR REPORT 
Product Name:- Smart-Exam
Type of issues:- Report not downloading, Change in logic, Other changes
Planned Date:- 2026-08-06</v>
      </c>
      <c r="B4" s="255"/>
      <c r="C4" s="256">
        <f>IFERROR(__xludf.DUMMYFUNCTION("""COMPUTED_VALUE"""),46240.71222995371)</f>
        <v>46240.71223</v>
      </c>
      <c r="D4" s="255"/>
      <c r="E4" s="255" t="str">
        <f>IFERROR(__xludf.DUMMYFUNCTION("ArrayFormula(QUERY({""Link to the sheet:- "" &amp; $A$1 &amp; CHAR(10) &amp; ""Task:- "" &amp; $E$3 &amp; CHAR(10) &amp; ""S.No.:- "" &amp; 'Demo Sheet FMS_148'!$A$9:$A1263 &amp; CHAR(10) &amp;  ""Requester Name:- "" &amp; 'Demo Sheet FMS_148'!$J$9:$J1263 &amp; CHAR(10) &amp;""Client Name:- "" &amp; 'Demo "&amp;"Sheet FMS_148'!$D$9:$D1263 &amp; CHAR(10)&amp;""Report name:- "" &amp; 'Demo Sheet FMS_148'!$C$9:$C1263 &amp; CHAR(10)&amp;""Product Name:- "" &amp; 'Demo Sheet FMS_148'!$I$9:$I1263 &amp; CHAR(10)&amp;""Type of issues:- "" &amp; 'Demo Sheet FMS_148'!$H$9:$H1263 &amp; CHAR(10)&amp; ""Planned Date:- "&amp;""" &amp; TEXT('Demo Sheet FMS_148'!$S$9:$S1263, ""yyyy-mm-dd""),'Demo Sheet FMS_148'!$W$9:$W1263,'Demo Sheet FMS_148'!$S$9:$S1263,'Demo Sheet FMS_148'!$T$9:$T1263,'Demo Sheet FMS_148'!$U$9:$U1263},""select Col1, Col2, Col3 where Col3 is not null and Col4 is n"&amp;"ull and Col5 &lt;&gt; 'Cancelled' and Col5 &lt;&gt; 'Not required'""
  )
)
"),"Link to the sheet:- https://tinyurl.com/2r2xrakx
Task:- Check api id from database and download jrmxl file                                    
S.No.:- 5455
Requester Name:- HEMANT UNIYAL 
Client Name:- VISHWA KARMA SKILL UNIVERISTY 
Report name:- TR REPOR"&amp;"T 
Product Name:- Smart-Exam
Type of issues:- Report not downloading, Change in logic, Other changes
Planned Date:- 2026-08-06")</f>
        <v>Link to the sheet:- https://tinyurl.com/2r2xrakx
Task:- Check api id from database and download jrmxl file                                    
S.No.:- 5455
Requester Name:- HEMANT UNIYAL 
Client Name:- VISHWA KARMA SKILL UNIVERISTY 
Report name:- TR REPORT 
Product Name:- Smart-Exam
Type of issues:- Report not downloading, Change in logic, Other changes
Planned Date:- 2026-08-06</v>
      </c>
      <c r="F4" s="255"/>
      <c r="G4" s="256">
        <f>IFERROR(__xludf.DUMMYFUNCTION("""COMPUTED_VALUE"""),46240.719174398146)</f>
        <v>46240.71917</v>
      </c>
      <c r="H4" s="255"/>
      <c r="I4" s="255" t="str">
        <f>IFERROR(__xludf.DUMMYFUNCTION("ArrayFormula(QUERY({""Link to the sheet:- "" &amp; $A$1 &amp; CHAR(10) &amp; ""Task:- "" &amp; $I$3 &amp; CHAR(10) &amp; ""S.No.:- "" &amp; 'Demo Sheet FMS_148'!$A$9:$A1263 &amp; CHAR(10) &amp; ""Requester Name:- "" &amp; 'Demo Sheet FMS_148'!$J$9:$J1263 &amp; CHAR(10) &amp;""Client Name:- "" &amp; 'Demo S"&amp;"heet FMS_148'!$D$9:$D1263 &amp; CHAR(10)&amp;""Report name:- "" &amp; 'Demo Sheet FMS_148'!$C$9:$C1263 &amp; CHAR(10)&amp;""Product Name:- "" &amp; 'Demo Sheet FMS_148'!$I$9:$I1263 &amp; CHAR(10)&amp;""Type of issues:- "" &amp; 'Demo Sheet FMS_148'!$H$9:$H1263&amp; CHAR(10)&amp; ""Planned Date:- """&amp;" &amp; TEXT('Demo Sheet FMS_148'!$X$9:$X1263, ""yyyy-mm-dd""),'Demo Sheet FMS_148'!$AB$9:$AB1263,'Demo Sheet FMS_148'!$X$9:$X1263,'Demo Sheet FMS_148'!$Y$9:$Y1263,'Demo Sheet FMS_148'!$Z$9:$Z1263},""select Col1, Col2, Col3 where Col3 is not null and Col4 is n"&amp;"ull and Col5 &lt;&gt; 'Cancelled' and Col5 &lt;&gt; 'Not required'""
  )
)
"),"Link to the sheet:- https://tinyurl.com/2r2xrakx
Task:- Debuging the error (Jasper end as well as Query end) and discuss with RM about logic
S.No.:- 5455
Requester Name:- HEMANT UNIYAL 
Client Name:- VISHWA KARMA SKILL UNIVERISTY 
Report name:- TR REPORT "&amp;"
Product Name:- Smart-Exam
Type of issues:- Report not downloading, Change in logic, Other changes
Planned Date:- 2026-08-06")</f>
        <v>Link to the sheet:- https://tinyurl.com/2r2xrakx
Task:- Debuging the error (Jasper end as well as Query end) and discuss with RM about logic
S.No.:- 5455
Requester Name:- HEMANT UNIYAL 
Client Name:- VISHWA KARMA SKILL UNIVERISTY 
Report name:- TR REPORT 
Product Name:- Smart-Exam
Type of issues:- Report not downloading, Change in logic, Other changes
Planned Date:- 2026-08-06</v>
      </c>
      <c r="J4" s="255"/>
      <c r="K4" s="256">
        <f>IFERROR(__xludf.DUMMYFUNCTION("""COMPUTED_VALUE"""),46240.82334106482)</f>
        <v>46240.82334</v>
      </c>
      <c r="L4" s="255"/>
      <c r="M4" s="255" t="str">
        <f>IFERROR(__xludf.DUMMYFUNCTION("ArrayFormula(QUERY({""Link to the sheet:- "" &amp; $A$1 &amp; CHAR(10) &amp; ""Task:- "" &amp; $M$3 &amp; CHAR(10) &amp; ""S.No.:- "" &amp; 'Demo Sheet FMS_148'!$A$9:$A1263 &amp; CHAR(10) &amp;""Requester Name:- "" &amp; 'Demo Sheet FMS_148'!$J$9:$J1263 &amp; CHAR(10) &amp;""Client Name:- "" &amp; 'Demo Sh"&amp;"eet FMS_148'!$D$9:$D1263 &amp; CHAR(10)&amp;""Report name:- "" &amp; 'Demo Sheet FMS_148'!$C$9:$C1263 &amp; CHAR(10)&amp;""Product Name:- "" &amp; 'Demo Sheet FMS_148'!$I$9:$I1263 &amp; CHAR(10)&amp;""Type of issues:- "" &amp; 'Demo Sheet FMS_148'!$H$9:$H1263 &amp; CHAR(10)&amp; ""Planned Date:- """&amp;" &amp; TEXT('Demo Sheet FMS_148'!$AC$9:$AC1263, ""yyyy-mm-dd""),'Demo Sheet FMS_148'!$AG$9:$AG1263,'Demo Sheet FMS_148'!$AC$9:$AC1263,'Demo Sheet FMS_148'!$AD$9:$AD1263,'Demo Sheet FMS_148'!$AE$9:$AE1263},""select Col1, Col2, Col3 where Col3 is not null and C"&amp;"ol4 is null and Col5 &lt;&gt; 'Cancelled' and Col5 &lt;&gt; 'Not required'""
  )
)
"),"Link to the sheet:- https://tinyurl.com/2r2xrakx
Task:- Solution / Check data in database according to new logics
S.No.:- 5453
Requester Name:- CHINTU SINGH
Client Name:- IGU
Report name:- TR 
Product Name:- Smart-Exam
Type of issues:- Change in logic, Ch"&amp;"ange in design
Planned Date:- 2026-08-07")</f>
        <v>Link to the sheet:- https://tinyurl.com/2r2xrakx
Task:- Solution / Check data in database according to new logics
S.No.:- 5453
Requester Name:- CHINTU SINGH
Client Name:- IGU
Report name:- TR 
Product Name:- Smart-Exam
Type of issues:- Change in logic, Change in design
Planned Date:- 2026-08-07</v>
      </c>
      <c r="N4" s="255" t="str">
        <f>IFERROR(__xludf.DUMMYFUNCTION("""COMPUTED_VALUE"""),"EMP0237 Swarnendu Chakraborty")</f>
        <v>EMP0237 Swarnendu Chakraborty</v>
      </c>
      <c r="O4" s="256">
        <f>IFERROR(__xludf.DUMMYFUNCTION("""COMPUTED_VALUE"""),46241.70277777778)</f>
        <v>46241.70278</v>
      </c>
      <c r="P4" s="255"/>
      <c r="Q4" s="257" t="str">
        <f>IFERROR(__xludf.DUMMYFUNCTION("ArrayFormula(QUERY({""Link to the sheet:- "" &amp; $A$1 &amp; CHAR(10) &amp; ""Task:- "" &amp; $Q$3 &amp; CHAR(10) &amp; ""S.No.:- "" &amp; 'Demo Sheet FMS_148'!$A$9:$A1263 &amp; CHAR(10) &amp;""Requester Name:- "" &amp; 'Demo Sheet FMS_148'!$J$9:$J1263 &amp; CHAR(10) &amp;""Client Name:- "" &amp; 'Demo Sh"&amp;"eet FMS_148'!$D$9:$D1263 &amp; CHAR(10)&amp;""Report name:- "" &amp; 'Demo Sheet FMS_148'!$C$9:$C1263 &amp; CHAR(10)&amp;""Product Name:- "" &amp; 'Demo Sheet FMS_148'!$I$9:$I1263 &amp; CHAR(10)&amp;""Type of issues:- "" &amp; 'Demo Sheet FMS_148'!$H$9:$H1263 &amp; CHAR(10)&amp;""Planned Date:- "" "&amp;"&amp; TEXT('Demo Sheet FMS_148'!$AH$9:$AH1263, ""yyyy-mm-dd""),'Demo Sheet FMS_148'!$AL$9:$AL1263,'Demo Sheet FMS_148'!$AH$9:$AH1263,'Demo Sheet FMS_148'!$AI$9:$AI1263,'Demo Sheet FMS_148'!$AJ$9:$AJ1263},""select Col1, Col2, Col3 where Col3 is not null and Co"&amp;"l4 is null and Col5 &lt;&gt; 'Cancelled' and Col5 &lt;&gt; 'Not required'""
  )
)
"),"Link to the sheet:- https://tinyurl.com/2r2xrakx
Task:- Upload file, cross check and inform  to requester
S.No.:- 5342
Requester Name:- DHIRAJ KUMAR
Client Name:- CBLU
Report name:- Merit List
Product Name:- Smart-Exam
Type of issues:- Other changes
Plann"&amp;"ed Date:- 2026-07-10")</f>
        <v>Link to the sheet:- https://tinyurl.com/2r2xrakx
Task:- Upload file, cross check and inform  to requester
S.No.:- 5342
Requester Name:- DHIRAJ KUMAR
Client Name:- CBLU
Report name:- Merit List
Product Name:- Smart-Exam
Type of issues:- Other changes
Planned Date:- 2026-07-10</v>
      </c>
      <c r="R4" s="256" t="str">
        <f>IFERROR(__xludf.DUMMYFUNCTION("""COMPUTED_VALUE"""),"EMP0042 HULESHWAR KUMAR SAHU")</f>
        <v>EMP0042 HULESHWAR KUMAR SAHU</v>
      </c>
      <c r="S4" s="256">
        <f>IFERROR(__xludf.DUMMYFUNCTION("""COMPUTED_VALUE"""),46213.47916666667)</f>
        <v>46213.47917</v>
      </c>
      <c r="T4" s="255"/>
      <c r="U4" s="258" t="s">
        <v>2544</v>
      </c>
    </row>
    <row r="5">
      <c r="A5" s="259" t="str">
        <f>IFERROR(__xludf.DUMMYFUNCTION("""COMPUTED_VALUE"""),"Link to the sheet:- https://tinyurl.com/2r2xrakx
Task:- Discussion with Requester                                                                           					
S.No.:- 5456
Requester Name:- HEMANT UNIYAL
Client Name:- VSU
Report name:- TR 
Product Name:"&amp;"- Smart-Exam
Type of issues:- Report not downloading
Planned Date:- 2026-08-06")</f>
        <v>Link to the sheet:- https://tinyurl.com/2r2xrakx
Task:- Discussion with Requester                                                                           					
S.No.:- 5456
Requester Name:- HEMANT UNIYAL
Client Name:- VSU
Report name:- TR 
Product Name:- Smart-Exam
Type of issues:- Report not downloading
Planned Date:- 2026-08-06</v>
      </c>
      <c r="B5" s="255"/>
      <c r="C5" s="256">
        <f>IFERROR(__xludf.DUMMYFUNCTION("""COMPUTED_VALUE"""),46240.723814976845)</f>
        <v>46240.72381</v>
      </c>
      <c r="D5" s="255"/>
      <c r="E5" s="255" t="str">
        <f>IFERROR(__xludf.DUMMYFUNCTION("""COMPUTED_VALUE"""),"Link to the sheet:- https://tinyurl.com/2r2xrakx
Task:- Check api id from database and download jrmxl file                                    
S.No.:- 5456
Requester Name:- HEMANT UNIYAL
Client Name:- VSU
Report name:- TR 
Product Name:- Smart-Exam
Type o"&amp;"f issues:- Report not downloading
Planned Date:- 2026-08-06")</f>
        <v>Link to the sheet:- https://tinyurl.com/2r2xrakx
Task:- Check api id from database and download jrmxl file                                    
S.No.:- 5456
Requester Name:- HEMANT UNIYAL
Client Name:- VSU
Report name:- TR 
Product Name:- Smart-Exam
Type of issues:- Report not downloading
Planned Date:- 2026-08-06</v>
      </c>
      <c r="F5" s="255"/>
      <c r="G5" s="256">
        <f>IFERROR(__xludf.DUMMYFUNCTION("""COMPUTED_VALUE"""),46240.7307594213)</f>
        <v>46240.73076</v>
      </c>
      <c r="H5" s="255"/>
      <c r="I5" s="255" t="str">
        <f>IFERROR(__xludf.DUMMYFUNCTION("""COMPUTED_VALUE"""),"Link to the sheet:- https://tinyurl.com/2r2xrakx
Task:- Debuging the error (Jasper end as well as Query end) and discuss with RM about logic
S.No.:- 5456
Requester Name:- HEMANT UNIYAL
Client Name:- VSU
Report name:- TR 
Product Name:- Smart-Exam
Type of "&amp;"issues:- Report not downloading
Planned Date:- 2026-08-07")</f>
        <v>Link to the sheet:- https://tinyurl.com/2r2xrakx
Task:- Debuging the error (Jasper end as well as Query end) and discuss with RM about logic
S.No.:- 5456
Requester Name:- HEMANT UNIYAL
Client Name:- VSU
Report name:- TR 
Product Name:- Smart-Exam
Type of issues:- Report not downloading
Planned Date:- 2026-08-07</v>
      </c>
      <c r="J5" s="255"/>
      <c r="K5" s="256">
        <f>IFERROR(__xludf.DUMMYFUNCTION("""COMPUTED_VALUE"""),46241.43888888889)</f>
        <v>46241.43889</v>
      </c>
      <c r="L5" s="255"/>
      <c r="M5" s="255" t="str">
        <f>IFERROR(__xludf.DUMMYFUNCTION("""COMPUTED_VALUE"""),"Link to the sheet:- https://tinyurl.com/2r2xrakx
Task:- Solution / Check data in database according to new logics
S.No.:- 5454
Requester Name:- CHINTU SINGH
Client Name:- IGU
Report name:- TR
Product Name:- Smart-Exam
Type of issues:- Change in logic, Cha"&amp;"nge in design
Planned Date:- 2026-08-07")</f>
        <v>Link to the sheet:- https://tinyurl.com/2r2xrakx
Task:- Solution / Check data in database according to new logics
S.No.:- 5454
Requester Name:- CHINTU SINGH
Client Name:- IGU
Report name:- TR
Product Name:- Smart-Exam
Type of issues:- Change in logic, Change in design
Planned Date:- 2026-08-07</v>
      </c>
      <c r="N5" s="255" t="str">
        <f>IFERROR(__xludf.DUMMYFUNCTION("""COMPUTED_VALUE"""),"EMP0237 Swarnendu Chakraborty")</f>
        <v>EMP0237 Swarnendu Chakraborty</v>
      </c>
      <c r="O5" s="256">
        <f>IFERROR(__xludf.DUMMYFUNCTION("""COMPUTED_VALUE"""),46241.70486111111)</f>
        <v>46241.70486</v>
      </c>
      <c r="P5" s="255"/>
      <c r="Q5" s="255" t="str">
        <f>IFERROR(__xludf.DUMMYFUNCTION("""COMPUTED_VALUE"""),"Link to the sheet:- https://tinyurl.com/2r2xrakx
Task:- Upload file, cross check and inform  to requester
S.No.:- 5451
Requester Name:- HEMANT UNIYAL
Client Name:- VSU
Report name:- MARKSHEET
Product Name:- Smart-Exam
Type of issues:- Other changes
Planne"&amp;"d Date:- 2026-08-06")</f>
        <v>Link to the sheet:- https://tinyurl.com/2r2xrakx
Task:- Upload file, cross check and inform  to requester
S.No.:- 5451
Requester Name:- HEMANT UNIYAL
Client Name:- VSU
Report name:- MARKSHEET
Product Name:- Smart-Exam
Type of issues:- Other changes
Planned Date:- 2026-08-06</v>
      </c>
      <c r="R5" s="256" t="str">
        <f>IFERROR(__xludf.DUMMYFUNCTION("""COMPUTED_VALUE"""),"EMP0042 HULESHWAR KUMAR SAHU")</f>
        <v>EMP0042 HULESHWAR KUMAR SAHU</v>
      </c>
      <c r="S5" s="256">
        <f>IFERROR(__xludf.DUMMYFUNCTION("""COMPUTED_VALUE"""),46240.82638888889)</f>
        <v>46240.82639</v>
      </c>
      <c r="T5" s="255"/>
      <c r="U5" s="259"/>
    </row>
    <row r="6">
      <c r="A6" s="255" t="str">
        <f>IFERROR(__xludf.DUMMYFUNCTION("""COMPUTED_VALUE"""),"Link to the sheet:- https://tinyurl.com/2r2xrakx
Task:- Discussion with Requester                                                                           					
S.No.:- 5457
Requester Name:- HEMANT UNIYAL
Client Name:- VSU
Report name:- PROVIOSNAL CERTIF"&amp;"ICATE
Product Name:- Smart-Exam
Type of issues:- Other changes
Planned Date:- 2026-08-06")</f>
        <v>Link to the sheet:- https://tinyurl.com/2r2xrakx
Task:- Discussion with Requester                                                                           					
S.No.:- 5457
Requester Name:- HEMANT UNIYAL
Client Name:- VSU
Report name:- PROVIOSNAL CERTIFICATE
Product Name:- Smart-Exam
Type of issues:- Other changes
Planned Date:- 2026-08-06</v>
      </c>
      <c r="B6" s="255"/>
      <c r="C6" s="256">
        <f>IFERROR(__xludf.DUMMYFUNCTION("""COMPUTED_VALUE"""),46240.776568692134)</f>
        <v>46240.77657</v>
      </c>
      <c r="D6" s="255"/>
      <c r="E6" s="255" t="str">
        <f>IFERROR(__xludf.DUMMYFUNCTION("""COMPUTED_VALUE"""),"Link to the sheet:- https://tinyurl.com/2r2xrakx
Task:- Check api id from database and download jrmxl file                                    
S.No.:- 5457
Requester Name:- HEMANT UNIYAL
Client Name:- VSU
Report name:- PROVIOSNAL CERTIFICATE
Product Name:"&amp;"- Smart-Exam
Type of issues:- Other changes
Planned Date:- 2026-08-06")</f>
        <v>Link to the sheet:- https://tinyurl.com/2r2xrakx
Task:- Check api id from database and download jrmxl file                                    
S.No.:- 5457
Requester Name:- HEMANT UNIYAL
Client Name:- VSU
Report name:- PROVIOSNAL CERTIFICATE
Product Name:- Smart-Exam
Type of issues:- Other changes
Planned Date:- 2026-08-06</v>
      </c>
      <c r="F6" s="255"/>
      <c r="G6" s="256">
        <f>IFERROR(__xludf.DUMMYFUNCTION("""COMPUTED_VALUE"""),46240.78351313657)</f>
        <v>46240.78351</v>
      </c>
      <c r="H6" s="255"/>
      <c r="I6" s="255" t="str">
        <f>IFERROR(__xludf.DUMMYFUNCTION("""COMPUTED_VALUE"""),"Link to the sheet:- https://tinyurl.com/2r2xrakx
Task:- Debuging the error (Jasper end as well as Query end) and discuss with RM about logic
S.No.:- 5457
Requester Name:- HEMANT UNIYAL
Client Name:- VSU
Report name:- PROVIOSNAL CERTIFICATE
Product Name:- "&amp;"Smart-Exam
Type of issues:- Other changes
Planned Date:- 2026-08-07")</f>
        <v>Link to the sheet:- https://tinyurl.com/2r2xrakx
Task:- Debuging the error (Jasper end as well as Query end) and discuss with RM about logic
S.No.:- 5457
Requester Name:- HEMANT UNIYAL
Client Name:- VSU
Report name:- PROVIOSNAL CERTIFICATE
Product Name:- Smart-Exam
Type of issues:- Other changes
Planned Date:- 2026-08-07</v>
      </c>
      <c r="J6" s="255"/>
      <c r="K6" s="256">
        <f>IFERROR(__xludf.DUMMYFUNCTION("""COMPUTED_VALUE"""),46241.49166666667)</f>
        <v>46241.49167</v>
      </c>
      <c r="L6" s="255"/>
      <c r="M6" s="255" t="str">
        <f>IFERROR(__xludf.DUMMYFUNCTION("""COMPUTED_VALUE"""),"Link to the sheet:- https://tinyurl.com/2r2xrakx
Task:- Solution / Check data in database according to new logics
S.No.:- 5455
Requester Name:- HEMANT UNIYAL 
Client Name:- VISHWA KARMA SKILL UNIVERISTY 
Report name:- TR REPORT 
Product Name:- Smart-Exam
"&amp;"Type of issues:- Report not downloading, Change in logic, Other changes
Planned Date:- 2026-08-07")</f>
        <v>Link to the sheet:- https://tinyurl.com/2r2xrakx
Task:- Solution / Check data in database according to new logics
S.No.:- 5455
Requester Name:- HEMANT UNIYAL 
Client Name:- VISHWA KARMA SKILL UNIVERISTY 
Report name:- TR REPORT 
Product Name:- Smart-Exam
Type of issues:- Report not downloading, Change in logic, Other changes
Planned Date:- 2026-08-07</v>
      </c>
      <c r="N6" s="255"/>
      <c r="O6" s="256">
        <f>IFERROR(__xludf.DUMMYFUNCTION("""COMPUTED_VALUE"""),46241.82291666667)</f>
        <v>46241.82292</v>
      </c>
      <c r="P6" s="255"/>
      <c r="Q6" s="255" t="str">
        <f>IFERROR(__xludf.DUMMYFUNCTION("""COMPUTED_VALUE"""),"Link to the sheet:- https://tinyurl.com/2r2xrakx
Task:- Upload file, cross check and inform  to requester
S.No.:- 5452
Requester Name:- Rohit Singh
Client Name:- SMKV
Report name:- Marks Sheet
Product Name:- Smart-Exam
Type of issues:- Report not download"&amp;"ing
Planned Date:- 2026-08-07")</f>
        <v>Link to the sheet:- https://tinyurl.com/2r2xrakx
Task:- Upload file, cross check and inform  to requester
S.No.:- 5452
Requester Name:- Rohit Singh
Client Name:- SMKV
Report name:- Marks Sheet
Product Name:- Smart-Exam
Type of issues:- Report not downloading
Planned Date:- 2026-08-07</v>
      </c>
      <c r="R6" s="256" t="str">
        <f>IFERROR(__xludf.DUMMYFUNCTION("""COMPUTED_VALUE"""),"EMP0042 HULESHWAR KUMAR SAHU")</f>
        <v>EMP0042 HULESHWAR KUMAR SAHU</v>
      </c>
      <c r="S6" s="256">
        <f>IFERROR(__xludf.DUMMYFUNCTION("""COMPUTED_VALUE"""),46241.575694444444)</f>
        <v>46241.57569</v>
      </c>
      <c r="T6" s="255"/>
      <c r="U6" s="259"/>
    </row>
    <row r="7">
      <c r="A7" s="255"/>
      <c r="B7" s="255"/>
      <c r="C7" s="256"/>
      <c r="D7" s="255"/>
      <c r="E7" s="255"/>
      <c r="F7" s="255"/>
      <c r="G7" s="256"/>
      <c r="H7" s="255"/>
      <c r="I7" s="255"/>
      <c r="J7" s="255"/>
      <c r="K7" s="256"/>
      <c r="L7" s="255"/>
      <c r="M7" s="255" t="str">
        <f>IFERROR(__xludf.DUMMYFUNCTION("""COMPUTED_VALUE"""),"Link to the sheet:- https://tinyurl.com/2r2xrakx
Task:- Solution / Check data in database according to new logics
S.No.:- 5456
Requester Name:- HEMANT UNIYAL
Client Name:- VSU
Report name:- TR 
Product Name:- Smart-Exam
Type of issues:- Report not downloa"&amp;"ding
Planned Date:- 2026-08-08")</f>
        <v>Link to the sheet:- https://tinyurl.com/2r2xrakx
Task:- Solution / Check data in database according to new logics
S.No.:- 5456
Requester Name:- HEMANT UNIYAL
Client Name:- VSU
Report name:- TR 
Product Name:- Smart-Exam
Type of issues:- Report not downloading
Planned Date:- 2026-08-08</v>
      </c>
      <c r="N7" s="255"/>
      <c r="O7" s="256">
        <f>IFERROR(__xludf.DUMMYFUNCTION("""COMPUTED_VALUE"""),46242.43888888889)</f>
        <v>46242.43889</v>
      </c>
      <c r="P7" s="255"/>
      <c r="Q7" s="255" t="str">
        <f>IFERROR(__xludf.DUMMYFUNCTION("""COMPUTED_VALUE"""),"Link to the sheet:- https://tinyurl.com/2r2xrakx
Task:- Upload file, cross check and inform  to requester
S.No.:- 5453
Requester Name:- CHINTU SINGH
Client Name:- IGU
Report name:- TR 
Product Name:- Smart-Exam
Type of issues:- Change in logic, Change in "&amp;"design
Planned Date:- 2026-08-07")</f>
        <v>Link to the sheet:- https://tinyurl.com/2r2xrakx
Task:- Upload file, cross check and inform  to requester
S.No.:- 5453
Requester Name:- CHINTU SINGH
Client Name:- IGU
Report name:- TR 
Product Name:- Smart-Exam
Type of issues:- Change in logic, Change in design
Planned Date:- 2026-08-07</v>
      </c>
      <c r="R7" s="256" t="str">
        <f>IFERROR(__xludf.DUMMYFUNCTION("""COMPUTED_VALUE"""),"EMP0237 Swarnendu Chakraborty")</f>
        <v>EMP0237 Swarnendu Chakraborty</v>
      </c>
      <c r="S7" s="256">
        <f>IFERROR(__xludf.DUMMYFUNCTION("""COMPUTED_VALUE"""),46241.74444444444)</f>
        <v>46241.74444</v>
      </c>
      <c r="T7" s="255"/>
      <c r="U7" s="259"/>
    </row>
    <row r="8">
      <c r="A8" s="255"/>
      <c r="B8" s="255"/>
      <c r="C8" s="256"/>
      <c r="D8" s="255"/>
      <c r="E8" s="255"/>
      <c r="F8" s="255"/>
      <c r="G8" s="256"/>
      <c r="H8" s="255"/>
      <c r="I8" s="255"/>
      <c r="J8" s="255"/>
      <c r="K8" s="256"/>
      <c r="L8" s="255"/>
      <c r="M8" s="255" t="str">
        <f>IFERROR(__xludf.DUMMYFUNCTION("""COMPUTED_VALUE"""),"Link to the sheet:- https://tinyurl.com/2r2xrakx
Task:- Solution / Check data in database according to new logics
S.No.:- 5457
Requester Name:- HEMANT UNIYAL
Client Name:- VSU
Report name:- PROVIOSNAL CERTIFICATE
Product Name:- Smart-Exam
Type of issues:-"&amp;" Other changes
Planned Date:- 2026-08-08")</f>
        <v>Link to the sheet:- https://tinyurl.com/2r2xrakx
Task:- Solution / Check data in database according to new logics
S.No.:- 5457
Requester Name:- HEMANT UNIYAL
Client Name:- VSU
Report name:- PROVIOSNAL CERTIFICATE
Product Name:- Smart-Exam
Type of issues:- Other changes
Planned Date:- 2026-08-08</v>
      </c>
      <c r="N8" s="255"/>
      <c r="O8" s="256">
        <f>IFERROR(__xludf.DUMMYFUNCTION("""COMPUTED_VALUE"""),46242.49166666667)</f>
        <v>46242.49167</v>
      </c>
      <c r="P8" s="255"/>
      <c r="Q8" s="255" t="str">
        <f>IFERROR(__xludf.DUMMYFUNCTION("""COMPUTED_VALUE"""),"Link to the sheet:- https://tinyurl.com/2r2xrakx
Task:- Upload file, cross check and inform  to requester
S.No.:- 5454
Requester Name:- CHINTU SINGH
Client Name:- IGU
Report name:- TR
Product Name:- Smart-Exam
Type of issues:- Change in logic, Change in d"&amp;"esign
Planned Date:- 2026-08-07")</f>
        <v>Link to the sheet:- https://tinyurl.com/2r2xrakx
Task:- Upload file, cross check and inform  to requester
S.No.:- 5454
Requester Name:- CHINTU SINGH
Client Name:- IGU
Report name:- TR
Product Name:- Smart-Exam
Type of issues:- Change in logic, Change in design
Planned Date:- 2026-08-07</v>
      </c>
      <c r="R8" s="256" t="str">
        <f>IFERROR(__xludf.DUMMYFUNCTION("""COMPUTED_VALUE"""),"EMP0237 Swarnendu Chakraborty")</f>
        <v>EMP0237 Swarnendu Chakraborty</v>
      </c>
      <c r="S8" s="256">
        <f>IFERROR(__xludf.DUMMYFUNCTION("""COMPUTED_VALUE"""),46241.74652777778)</f>
        <v>46241.74653</v>
      </c>
      <c r="T8" s="255"/>
      <c r="U8" s="259"/>
    </row>
    <row r="9">
      <c r="A9" s="255"/>
      <c r="B9" s="255"/>
      <c r="C9" s="256"/>
      <c r="D9" s="255"/>
      <c r="E9" s="255"/>
      <c r="F9" s="255"/>
      <c r="G9" s="256"/>
      <c r="H9" s="255"/>
      <c r="I9" s="255"/>
      <c r="J9" s="255"/>
      <c r="K9" s="256"/>
      <c r="L9" s="255"/>
      <c r="M9" s="255"/>
      <c r="N9" s="255"/>
      <c r="O9" s="256"/>
      <c r="P9" s="255"/>
      <c r="Q9" s="255" t="str">
        <f>IFERROR(__xludf.DUMMYFUNCTION("""COMPUTED_VALUE"""),"Link to the sheet:- https://tinyurl.com/2r2xrakx
Task:- Upload file, cross check and inform  to requester
S.No.:- 5455
Requester Name:- HEMANT UNIYAL 
Client Name:- VISHWA KARMA SKILL UNIVERISTY 
Report name:- TR REPORT 
Product Name:- Smart-Exam
Type of "&amp;"issues:- Report not downloading, Change in logic, Other changes
Planned Date:- 2026-08-08")</f>
        <v>Link to the sheet:- https://tinyurl.com/2r2xrakx
Task:- Upload file, cross check and inform  to requester
S.No.:- 5455
Requester Name:- HEMANT UNIYAL 
Client Name:- VISHWA KARMA SKILL UNIVERISTY 
Report name:- TR REPORT 
Product Name:- Smart-Exam
Type of issues:- Report not downloading, Change in logic, Other changes
Planned Date:- 2026-08-08</v>
      </c>
      <c r="R9" s="256"/>
      <c r="S9" s="256">
        <f>IFERROR(__xludf.DUMMYFUNCTION("""COMPUTED_VALUE"""),46242.44791666667)</f>
        <v>46242.44792</v>
      </c>
      <c r="T9" s="255"/>
      <c r="U9" s="259"/>
    </row>
    <row r="10">
      <c r="A10" s="255"/>
      <c r="B10" s="255"/>
      <c r="C10" s="256"/>
      <c r="D10" s="255"/>
      <c r="E10" s="255"/>
      <c r="F10" s="255"/>
      <c r="G10" s="256"/>
      <c r="H10" s="255"/>
      <c r="I10" s="255"/>
      <c r="J10" s="255"/>
      <c r="K10" s="256"/>
      <c r="L10" s="255"/>
      <c r="M10" s="255"/>
      <c r="N10" s="255"/>
      <c r="O10" s="256"/>
      <c r="P10" s="255"/>
      <c r="Q10" s="255" t="str">
        <f>IFERROR(__xludf.DUMMYFUNCTION("""COMPUTED_VALUE"""),"Link to the sheet:- https://tinyurl.com/2r2xrakx
Task:- Upload file, cross check and inform  to requester
S.No.:- 5456
Requester Name:- HEMANT UNIYAL
Client Name:- VSU
Report name:- TR 
Product Name:- Smart-Exam
Type of issues:- Report not downloading
Pla"&amp;"nned Date:- 2026-08-08")</f>
        <v>Link to the sheet:- https://tinyurl.com/2r2xrakx
Task:- Upload file, cross check and inform  to requester
S.No.:- 5456
Requester Name:- HEMANT UNIYAL
Client Name:- VSU
Report name:- TR 
Product Name:- Smart-Exam
Type of issues:- Report not downloading
Planned Date:- 2026-08-08</v>
      </c>
      <c r="R10" s="256"/>
      <c r="S10" s="256">
        <f>IFERROR(__xludf.DUMMYFUNCTION("""COMPUTED_VALUE"""),46242.48055555555)</f>
        <v>46242.48056</v>
      </c>
      <c r="T10" s="255"/>
      <c r="U10" s="259"/>
    </row>
    <row r="11">
      <c r="A11" s="255"/>
      <c r="B11" s="255"/>
      <c r="C11" s="256"/>
      <c r="D11" s="255"/>
      <c r="E11" s="255"/>
      <c r="F11" s="255"/>
      <c r="G11" s="256"/>
      <c r="H11" s="255"/>
      <c r="I11" s="255"/>
      <c r="J11" s="255"/>
      <c r="K11" s="256"/>
      <c r="L11" s="255"/>
      <c r="M11" s="255"/>
      <c r="N11" s="255"/>
      <c r="O11" s="256"/>
      <c r="P11" s="255"/>
      <c r="Q11" s="255" t="str">
        <f>IFERROR(__xludf.DUMMYFUNCTION("""COMPUTED_VALUE"""),"Link to the sheet:- https://tinyurl.com/2r2xrakx
Task:- Upload file, cross check and inform  to requester
S.No.:- 5457
Requester Name:- HEMANT UNIYAL
Client Name:- VSU
Report name:- PROVIOSNAL CERTIFICATE
Product Name:- Smart-Exam
Type of issues:- Other c"&amp;"hanges
Planned Date:- 2026-08-08")</f>
        <v>Link to the sheet:- https://tinyurl.com/2r2xrakx
Task:- Upload file, cross check and inform  to requester
S.No.:- 5457
Requester Name:- HEMANT UNIYAL
Client Name:- VSU
Report name:- PROVIOSNAL CERTIFICATE
Product Name:- Smart-Exam
Type of issues:- Other changes
Planned Date:- 2026-08-08</v>
      </c>
      <c r="R11" s="256"/>
      <c r="S11" s="256">
        <f>IFERROR(__xludf.DUMMYFUNCTION("""COMPUTED_VALUE"""),46242.53333333333)</f>
        <v>46242.53333</v>
      </c>
      <c r="T11" s="255"/>
      <c r="U11" s="259"/>
    </row>
    <row r="12">
      <c r="A12" s="255"/>
      <c r="B12" s="255"/>
      <c r="C12" s="256"/>
      <c r="D12" s="255"/>
      <c r="E12" s="255"/>
      <c r="F12" s="255"/>
      <c r="G12" s="256"/>
      <c r="H12" s="255"/>
      <c r="I12" s="255"/>
      <c r="J12" s="255"/>
      <c r="K12" s="256"/>
      <c r="L12" s="255"/>
      <c r="M12" s="255"/>
      <c r="N12" s="255"/>
      <c r="O12" s="256"/>
      <c r="P12" s="255"/>
      <c r="Q12" s="255"/>
      <c r="R12" s="256"/>
      <c r="S12" s="256"/>
      <c r="T12" s="255"/>
      <c r="U12" s="259"/>
    </row>
    <row r="13">
      <c r="A13" s="255"/>
      <c r="B13" s="255"/>
      <c r="C13" s="256"/>
      <c r="D13" s="255"/>
      <c r="E13" s="255"/>
      <c r="F13" s="255"/>
      <c r="G13" s="256"/>
      <c r="H13" s="255"/>
      <c r="I13" s="255"/>
      <c r="J13" s="255"/>
      <c r="K13" s="256"/>
      <c r="L13" s="255"/>
      <c r="M13" s="255"/>
      <c r="N13" s="255"/>
      <c r="O13" s="256"/>
      <c r="P13" s="255"/>
      <c r="Q13" s="255"/>
      <c r="R13" s="256"/>
      <c r="S13" s="256"/>
      <c r="T13" s="255"/>
      <c r="U13" s="259"/>
    </row>
    <row r="14">
      <c r="A14" s="255"/>
      <c r="B14" s="255"/>
      <c r="C14" s="256"/>
      <c r="D14" s="255"/>
      <c r="E14" s="255"/>
      <c r="F14" s="255"/>
      <c r="G14" s="256"/>
      <c r="H14" s="255"/>
      <c r="I14" s="255"/>
      <c r="J14" s="255"/>
      <c r="K14" s="256"/>
      <c r="L14" s="255"/>
      <c r="M14" s="255"/>
      <c r="N14" s="255"/>
      <c r="O14" s="256"/>
      <c r="P14" s="255"/>
      <c r="Q14" s="255"/>
      <c r="R14" s="256"/>
      <c r="S14" s="256"/>
      <c r="T14" s="255"/>
      <c r="U14" s="259"/>
    </row>
    <row r="15">
      <c r="A15" s="255"/>
      <c r="B15" s="255"/>
      <c r="C15" s="256"/>
      <c r="D15" s="255"/>
      <c r="E15" s="255"/>
      <c r="F15" s="255"/>
      <c r="G15" s="256"/>
      <c r="H15" s="255"/>
      <c r="I15" s="255"/>
      <c r="J15" s="255"/>
      <c r="K15" s="256"/>
      <c r="L15" s="255"/>
      <c r="M15" s="255"/>
      <c r="N15" s="255"/>
      <c r="O15" s="256"/>
      <c r="P15" s="255"/>
      <c r="Q15" s="255"/>
      <c r="R15" s="256"/>
      <c r="S15" s="256"/>
      <c r="T15" s="255"/>
      <c r="U15" s="259"/>
    </row>
    <row r="16">
      <c r="A16" s="255"/>
      <c r="B16" s="255"/>
      <c r="C16" s="256"/>
      <c r="D16" s="255"/>
      <c r="E16" s="255"/>
      <c r="F16" s="255"/>
      <c r="G16" s="256"/>
      <c r="H16" s="255"/>
      <c r="I16" s="255"/>
      <c r="J16" s="255"/>
      <c r="K16" s="256"/>
      <c r="L16" s="255"/>
      <c r="M16" s="255"/>
      <c r="N16" s="255"/>
      <c r="O16" s="256"/>
      <c r="P16" s="255"/>
      <c r="Q16" s="255"/>
      <c r="R16" s="256"/>
      <c r="S16" s="256"/>
      <c r="T16" s="255"/>
      <c r="U16" s="259"/>
    </row>
    <row r="17">
      <c r="A17" s="255"/>
      <c r="B17" s="255"/>
      <c r="C17" s="256"/>
      <c r="D17" s="255"/>
      <c r="E17" s="255"/>
      <c r="F17" s="255"/>
      <c r="G17" s="256"/>
      <c r="H17" s="255"/>
      <c r="I17" s="255"/>
      <c r="J17" s="255"/>
      <c r="K17" s="256"/>
      <c r="L17" s="255"/>
      <c r="M17" s="255"/>
      <c r="N17" s="255"/>
      <c r="O17" s="256"/>
      <c r="P17" s="255"/>
      <c r="Q17" s="255"/>
      <c r="R17" s="256"/>
      <c r="S17" s="256"/>
      <c r="T17" s="255"/>
      <c r="U17" s="259"/>
    </row>
    <row r="18">
      <c r="A18" s="255"/>
      <c r="B18" s="255"/>
      <c r="C18" s="256"/>
      <c r="D18" s="255"/>
      <c r="E18" s="255"/>
      <c r="F18" s="255"/>
      <c r="G18" s="256"/>
      <c r="H18" s="255"/>
      <c r="I18" s="255"/>
      <c r="J18" s="255"/>
      <c r="K18" s="256"/>
      <c r="L18" s="255"/>
      <c r="M18" s="255"/>
      <c r="N18" s="255"/>
      <c r="O18" s="256"/>
      <c r="P18" s="255"/>
      <c r="Q18" s="255"/>
      <c r="R18" s="256"/>
      <c r="S18" s="256"/>
      <c r="T18" s="255"/>
      <c r="U18" s="259"/>
    </row>
    <row r="19">
      <c r="A19" s="255"/>
      <c r="B19" s="255"/>
      <c r="C19" s="256"/>
      <c r="D19" s="255"/>
      <c r="E19" s="255"/>
      <c r="F19" s="255"/>
      <c r="G19" s="256"/>
      <c r="H19" s="255"/>
      <c r="I19" s="255"/>
      <c r="J19" s="255"/>
      <c r="K19" s="256"/>
      <c r="L19" s="255"/>
      <c r="M19" s="255"/>
      <c r="N19" s="255"/>
      <c r="O19" s="256"/>
      <c r="P19" s="255"/>
      <c r="Q19" s="255"/>
      <c r="R19" s="256"/>
      <c r="S19" s="256"/>
      <c r="T19" s="255"/>
      <c r="U19" s="259"/>
    </row>
    <row r="20">
      <c r="A20" s="255"/>
      <c r="B20" s="255"/>
      <c r="C20" s="256"/>
      <c r="D20" s="255"/>
      <c r="E20" s="255"/>
      <c r="F20" s="255"/>
      <c r="G20" s="256"/>
      <c r="H20" s="255"/>
      <c r="I20" s="255"/>
      <c r="J20" s="255"/>
      <c r="K20" s="256"/>
      <c r="L20" s="255"/>
      <c r="M20" s="255"/>
      <c r="N20" s="255"/>
      <c r="O20" s="256"/>
      <c r="P20" s="255"/>
      <c r="Q20" s="255"/>
      <c r="R20" s="256"/>
      <c r="S20" s="256"/>
      <c r="T20" s="255"/>
      <c r="U20" s="259"/>
    </row>
    <row r="21">
      <c r="A21" s="255"/>
      <c r="B21" s="255"/>
      <c r="C21" s="256"/>
      <c r="D21" s="255"/>
      <c r="E21" s="255"/>
      <c r="F21" s="255"/>
      <c r="G21" s="256"/>
      <c r="H21" s="255"/>
      <c r="I21" s="255"/>
      <c r="J21" s="255"/>
      <c r="K21" s="256"/>
      <c r="L21" s="255"/>
      <c r="M21" s="255"/>
      <c r="N21" s="255"/>
      <c r="O21" s="256"/>
      <c r="P21" s="255"/>
      <c r="Q21" s="255"/>
      <c r="R21" s="256"/>
      <c r="S21" s="256"/>
      <c r="T21" s="255"/>
      <c r="U21" s="259"/>
    </row>
    <row r="22">
      <c r="A22" s="255"/>
      <c r="B22" s="255"/>
      <c r="C22" s="256"/>
      <c r="D22" s="255"/>
      <c r="E22" s="255"/>
      <c r="F22" s="255"/>
      <c r="G22" s="256"/>
      <c r="H22" s="255"/>
      <c r="I22" s="255"/>
      <c r="J22" s="255"/>
      <c r="K22" s="256"/>
      <c r="L22" s="255"/>
      <c r="M22" s="255"/>
      <c r="N22" s="255"/>
      <c r="O22" s="256"/>
      <c r="P22" s="255"/>
      <c r="Q22" s="255"/>
      <c r="R22" s="256"/>
      <c r="S22" s="256"/>
      <c r="T22" s="255"/>
      <c r="U22" s="259"/>
    </row>
    <row r="23">
      <c r="A23" s="255"/>
      <c r="B23" s="255"/>
      <c r="C23" s="256"/>
      <c r="D23" s="255"/>
      <c r="E23" s="255"/>
      <c r="F23" s="255"/>
      <c r="G23" s="256"/>
      <c r="H23" s="255"/>
      <c r="I23" s="255"/>
      <c r="J23" s="255"/>
      <c r="K23" s="256"/>
      <c r="L23" s="255"/>
      <c r="M23" s="255"/>
      <c r="N23" s="255"/>
      <c r="O23" s="256"/>
      <c r="P23" s="255"/>
      <c r="Q23" s="255"/>
      <c r="R23" s="256"/>
      <c r="S23" s="256"/>
      <c r="T23" s="255"/>
      <c r="U23" s="259"/>
    </row>
    <row r="24">
      <c r="A24" s="255"/>
      <c r="B24" s="255"/>
      <c r="C24" s="256"/>
      <c r="D24" s="255"/>
      <c r="E24" s="255"/>
      <c r="F24" s="255"/>
      <c r="G24" s="256"/>
      <c r="H24" s="255"/>
      <c r="I24" s="255"/>
      <c r="J24" s="255"/>
      <c r="K24" s="256"/>
      <c r="L24" s="255"/>
      <c r="M24" s="255"/>
      <c r="N24" s="255"/>
      <c r="O24" s="256"/>
      <c r="P24" s="255"/>
      <c r="Q24" s="255"/>
      <c r="R24" s="256"/>
      <c r="S24" s="256"/>
      <c r="T24" s="255"/>
      <c r="U24" s="259"/>
    </row>
    <row r="25">
      <c r="A25" s="255"/>
      <c r="B25" s="255"/>
      <c r="C25" s="256"/>
      <c r="D25" s="255"/>
      <c r="E25" s="255"/>
      <c r="F25" s="255"/>
      <c r="G25" s="256"/>
      <c r="H25" s="255"/>
      <c r="I25" s="255"/>
      <c r="J25" s="255"/>
      <c r="K25" s="256"/>
      <c r="L25" s="255"/>
      <c r="M25" s="255"/>
      <c r="N25" s="255"/>
      <c r="O25" s="256"/>
      <c r="P25" s="255"/>
      <c r="Q25" s="255"/>
      <c r="R25" s="256"/>
      <c r="S25" s="256"/>
      <c r="T25" s="255"/>
      <c r="U25" s="259"/>
    </row>
    <row r="26">
      <c r="A26" s="255"/>
      <c r="B26" s="255"/>
      <c r="C26" s="256"/>
      <c r="D26" s="255"/>
      <c r="E26" s="255"/>
      <c r="F26" s="255"/>
      <c r="G26" s="256"/>
      <c r="H26" s="255"/>
      <c r="I26" s="255"/>
      <c r="J26" s="255"/>
      <c r="K26" s="256"/>
      <c r="L26" s="255"/>
      <c r="M26" s="255"/>
      <c r="N26" s="255"/>
      <c r="O26" s="256"/>
      <c r="P26" s="255"/>
      <c r="Q26" s="255"/>
      <c r="R26" s="256"/>
      <c r="S26" s="256"/>
      <c r="T26" s="255"/>
      <c r="U26" s="259"/>
    </row>
    <row r="27">
      <c r="A27" s="255"/>
      <c r="B27" s="255"/>
      <c r="C27" s="256"/>
      <c r="D27" s="255"/>
      <c r="E27" s="255"/>
      <c r="F27" s="255"/>
      <c r="G27" s="256"/>
      <c r="H27" s="255"/>
      <c r="I27" s="255"/>
      <c r="J27" s="255"/>
      <c r="K27" s="256"/>
      <c r="L27" s="255"/>
      <c r="M27" s="255"/>
      <c r="N27" s="255"/>
      <c r="O27" s="256"/>
      <c r="P27" s="255"/>
      <c r="Q27" s="255"/>
      <c r="R27" s="256"/>
      <c r="S27" s="256"/>
      <c r="T27" s="255"/>
      <c r="U27" s="259"/>
    </row>
    <row r="28">
      <c r="A28" s="255"/>
      <c r="B28" s="255"/>
      <c r="C28" s="256"/>
      <c r="D28" s="255"/>
      <c r="E28" s="255"/>
      <c r="F28" s="255"/>
      <c r="G28" s="256"/>
      <c r="H28" s="255"/>
      <c r="I28" s="255"/>
      <c r="J28" s="255"/>
      <c r="K28" s="256"/>
      <c r="L28" s="255"/>
      <c r="M28" s="255"/>
      <c r="N28" s="255"/>
      <c r="O28" s="256"/>
      <c r="P28" s="255"/>
      <c r="Q28" s="255"/>
      <c r="R28" s="256"/>
      <c r="S28" s="256"/>
      <c r="T28" s="255"/>
      <c r="U28" s="259"/>
    </row>
    <row r="29">
      <c r="A29" s="255"/>
      <c r="B29" s="255"/>
      <c r="C29" s="256"/>
      <c r="D29" s="255"/>
      <c r="E29" s="255"/>
      <c r="F29" s="255"/>
      <c r="G29" s="256"/>
      <c r="H29" s="255"/>
      <c r="I29" s="255"/>
      <c r="J29" s="255"/>
      <c r="K29" s="256"/>
      <c r="L29" s="255"/>
      <c r="M29" s="255"/>
      <c r="N29" s="255"/>
      <c r="O29" s="256"/>
      <c r="P29" s="255"/>
      <c r="Q29" s="255"/>
      <c r="R29" s="256"/>
      <c r="S29" s="256"/>
      <c r="T29" s="255"/>
      <c r="U29" s="259"/>
    </row>
    <row r="30">
      <c r="A30" s="255"/>
      <c r="B30" s="255"/>
      <c r="C30" s="256"/>
      <c r="D30" s="255"/>
      <c r="E30" s="255"/>
      <c r="F30" s="255"/>
      <c r="G30" s="256"/>
      <c r="H30" s="255"/>
      <c r="I30" s="255"/>
      <c r="J30" s="255"/>
      <c r="K30" s="256"/>
      <c r="L30" s="255"/>
      <c r="M30" s="255"/>
      <c r="N30" s="255"/>
      <c r="O30" s="256"/>
      <c r="P30" s="255"/>
      <c r="Q30" s="255"/>
      <c r="R30" s="256"/>
      <c r="S30" s="256"/>
      <c r="T30" s="255"/>
      <c r="U30" s="259"/>
    </row>
    <row r="31">
      <c r="A31" s="255"/>
      <c r="B31" s="255"/>
      <c r="C31" s="256"/>
      <c r="D31" s="255"/>
      <c r="E31" s="255"/>
      <c r="F31" s="255"/>
      <c r="G31" s="256"/>
      <c r="H31" s="255"/>
      <c r="I31" s="255"/>
      <c r="J31" s="255"/>
      <c r="K31" s="256"/>
      <c r="L31" s="255"/>
      <c r="M31" s="255"/>
      <c r="N31" s="255"/>
      <c r="O31" s="256"/>
      <c r="P31" s="255"/>
      <c r="Q31" s="255"/>
      <c r="R31" s="256"/>
      <c r="S31" s="256"/>
      <c r="T31" s="255"/>
      <c r="U31" s="259"/>
    </row>
    <row r="32">
      <c r="A32" s="255"/>
      <c r="B32" s="255"/>
      <c r="C32" s="256"/>
      <c r="D32" s="255"/>
      <c r="E32" s="255"/>
      <c r="F32" s="255"/>
      <c r="G32" s="256"/>
      <c r="H32" s="255"/>
      <c r="I32" s="255"/>
      <c r="J32" s="255"/>
      <c r="K32" s="256"/>
      <c r="L32" s="255"/>
      <c r="M32" s="255"/>
      <c r="N32" s="255"/>
      <c r="O32" s="256"/>
      <c r="P32" s="255"/>
      <c r="Q32" s="255"/>
      <c r="R32" s="256"/>
      <c r="S32" s="256"/>
      <c r="T32" s="255"/>
      <c r="U32" s="259"/>
    </row>
    <row r="33">
      <c r="A33" s="255"/>
      <c r="B33" s="255"/>
      <c r="C33" s="256"/>
      <c r="D33" s="255"/>
      <c r="E33" s="255"/>
      <c r="F33" s="255"/>
      <c r="G33" s="256"/>
      <c r="H33" s="255"/>
      <c r="I33" s="255"/>
      <c r="J33" s="255"/>
      <c r="K33" s="256"/>
      <c r="L33" s="255"/>
      <c r="M33" s="255"/>
      <c r="N33" s="255"/>
      <c r="O33" s="256"/>
      <c r="P33" s="255"/>
      <c r="Q33" s="255"/>
      <c r="R33" s="256"/>
      <c r="S33" s="256"/>
      <c r="T33" s="255"/>
      <c r="U33" s="259"/>
    </row>
    <row r="34">
      <c r="A34" s="255"/>
      <c r="B34" s="255"/>
      <c r="C34" s="256"/>
      <c r="D34" s="255"/>
      <c r="E34" s="255"/>
      <c r="F34" s="255"/>
      <c r="G34" s="256"/>
      <c r="H34" s="255"/>
      <c r="I34" s="255"/>
      <c r="J34" s="255"/>
      <c r="K34" s="256"/>
      <c r="L34" s="255"/>
      <c r="M34" s="255"/>
      <c r="N34" s="255"/>
      <c r="O34" s="256"/>
      <c r="P34" s="255"/>
      <c r="Q34" s="255"/>
      <c r="R34" s="256"/>
      <c r="S34" s="256"/>
      <c r="T34" s="255"/>
      <c r="U34" s="259"/>
    </row>
    <row r="35">
      <c r="A35" s="255"/>
      <c r="B35" s="255"/>
      <c r="C35" s="256"/>
      <c r="D35" s="255"/>
      <c r="E35" s="255"/>
      <c r="F35" s="255"/>
      <c r="G35" s="256"/>
      <c r="H35" s="255"/>
      <c r="I35" s="255"/>
      <c r="J35" s="255"/>
      <c r="K35" s="256"/>
      <c r="L35" s="255"/>
      <c r="M35" s="255"/>
      <c r="N35" s="255"/>
      <c r="O35" s="256"/>
      <c r="P35" s="255"/>
      <c r="Q35" s="255"/>
      <c r="R35" s="256"/>
      <c r="S35" s="256"/>
      <c r="T35" s="255"/>
      <c r="U35" s="259"/>
    </row>
    <row r="36">
      <c r="A36" s="255"/>
      <c r="B36" s="255"/>
      <c r="C36" s="256"/>
      <c r="D36" s="255"/>
      <c r="E36" s="255"/>
      <c r="F36" s="255"/>
      <c r="G36" s="256"/>
      <c r="H36" s="255"/>
      <c r="I36" s="255"/>
      <c r="J36" s="255"/>
      <c r="K36" s="256"/>
      <c r="L36" s="255"/>
      <c r="M36" s="255"/>
      <c r="N36" s="255"/>
      <c r="O36" s="256"/>
      <c r="P36" s="255"/>
      <c r="Q36" s="255"/>
      <c r="R36" s="256"/>
      <c r="S36" s="256"/>
      <c r="T36" s="255"/>
      <c r="U36" s="259"/>
    </row>
    <row r="37">
      <c r="A37" s="255"/>
      <c r="B37" s="255"/>
      <c r="C37" s="256"/>
      <c r="D37" s="255"/>
      <c r="E37" s="255"/>
      <c r="F37" s="255"/>
      <c r="G37" s="256"/>
      <c r="H37" s="255"/>
      <c r="I37" s="255"/>
      <c r="J37" s="255"/>
      <c r="K37" s="256"/>
      <c r="L37" s="255"/>
      <c r="M37" s="255"/>
      <c r="N37" s="255"/>
      <c r="O37" s="256"/>
      <c r="P37" s="255"/>
      <c r="Q37" s="255"/>
      <c r="R37" s="256"/>
      <c r="S37" s="256"/>
      <c r="T37" s="255"/>
      <c r="U37" s="259"/>
    </row>
    <row r="38">
      <c r="A38" s="255"/>
      <c r="B38" s="255"/>
      <c r="C38" s="256"/>
      <c r="D38" s="255"/>
      <c r="E38" s="255"/>
      <c r="F38" s="255"/>
      <c r="G38" s="256"/>
      <c r="H38" s="255"/>
      <c r="I38" s="255"/>
      <c r="J38" s="255"/>
      <c r="K38" s="256"/>
      <c r="L38" s="255"/>
      <c r="M38" s="255"/>
      <c r="N38" s="255"/>
      <c r="O38" s="256"/>
      <c r="P38" s="255"/>
      <c r="Q38" s="255"/>
      <c r="R38" s="256"/>
      <c r="S38" s="256"/>
      <c r="T38" s="255"/>
      <c r="U38" s="259"/>
    </row>
    <row r="39">
      <c r="A39" s="255"/>
      <c r="B39" s="255"/>
      <c r="C39" s="256"/>
      <c r="D39" s="255"/>
      <c r="E39" s="255"/>
      <c r="F39" s="255"/>
      <c r="G39" s="256"/>
      <c r="H39" s="255"/>
      <c r="I39" s="255"/>
      <c r="J39" s="255"/>
      <c r="K39" s="256"/>
      <c r="L39" s="255"/>
      <c r="M39" s="255"/>
      <c r="N39" s="255"/>
      <c r="O39" s="256"/>
      <c r="P39" s="255"/>
      <c r="Q39" s="255"/>
      <c r="R39" s="256"/>
      <c r="S39" s="256"/>
      <c r="T39" s="255"/>
      <c r="U39" s="259"/>
    </row>
    <row r="40">
      <c r="A40" s="255"/>
      <c r="B40" s="255"/>
      <c r="C40" s="256"/>
      <c r="D40" s="255"/>
      <c r="E40" s="255"/>
      <c r="F40" s="255"/>
      <c r="G40" s="256"/>
      <c r="H40" s="255"/>
      <c r="I40" s="255"/>
      <c r="J40" s="255"/>
      <c r="K40" s="256"/>
      <c r="L40" s="255"/>
      <c r="M40" s="255"/>
      <c r="N40" s="255"/>
      <c r="O40" s="256"/>
      <c r="P40" s="255"/>
      <c r="Q40" s="255"/>
      <c r="R40" s="256"/>
      <c r="S40" s="256"/>
      <c r="T40" s="255"/>
      <c r="U40" s="259"/>
    </row>
    <row r="41">
      <c r="A41" s="255"/>
      <c r="B41" s="255"/>
      <c r="C41" s="256"/>
      <c r="D41" s="255"/>
      <c r="E41" s="255"/>
      <c r="F41" s="255"/>
      <c r="G41" s="256"/>
      <c r="H41" s="255"/>
      <c r="I41" s="255"/>
      <c r="J41" s="255"/>
      <c r="K41" s="256"/>
      <c r="L41" s="255"/>
      <c r="M41" s="255"/>
      <c r="N41" s="255"/>
      <c r="O41" s="256"/>
      <c r="P41" s="255"/>
      <c r="Q41" s="255"/>
      <c r="R41" s="256"/>
      <c r="S41" s="256"/>
      <c r="T41" s="255"/>
      <c r="U41" s="259"/>
    </row>
    <row r="42">
      <c r="A42" s="255"/>
      <c r="B42" s="255"/>
      <c r="C42" s="256"/>
      <c r="D42" s="255"/>
      <c r="E42" s="255"/>
      <c r="F42" s="255"/>
      <c r="G42" s="256"/>
      <c r="H42" s="255"/>
      <c r="I42" s="255"/>
      <c r="J42" s="255"/>
      <c r="K42" s="256"/>
      <c r="L42" s="255"/>
      <c r="M42" s="255"/>
      <c r="N42" s="255"/>
      <c r="O42" s="256"/>
      <c r="P42" s="255"/>
      <c r="Q42" s="255"/>
      <c r="R42" s="256"/>
      <c r="S42" s="256"/>
      <c r="T42" s="255"/>
      <c r="U42" s="259"/>
    </row>
    <row r="43">
      <c r="A43" s="255"/>
      <c r="B43" s="255"/>
      <c r="C43" s="256"/>
      <c r="D43" s="255"/>
      <c r="E43" s="255"/>
      <c r="F43" s="255"/>
      <c r="G43" s="256"/>
      <c r="H43" s="255"/>
      <c r="I43" s="255"/>
      <c r="J43" s="255"/>
      <c r="K43" s="256"/>
      <c r="L43" s="255"/>
      <c r="M43" s="255"/>
      <c r="N43" s="255"/>
      <c r="O43" s="256"/>
      <c r="P43" s="255"/>
      <c r="Q43" s="255"/>
      <c r="R43" s="256"/>
      <c r="S43" s="256"/>
      <c r="T43" s="255"/>
      <c r="U43" s="259"/>
    </row>
    <row r="44">
      <c r="A44" s="255"/>
      <c r="B44" s="255"/>
      <c r="C44" s="256"/>
      <c r="D44" s="255"/>
      <c r="E44" s="255"/>
      <c r="F44" s="255"/>
      <c r="G44" s="256"/>
      <c r="H44" s="255"/>
      <c r="I44" s="255"/>
      <c r="J44" s="255"/>
      <c r="K44" s="256"/>
      <c r="L44" s="255"/>
      <c r="M44" s="255"/>
      <c r="N44" s="255"/>
      <c r="O44" s="256"/>
      <c r="P44" s="255"/>
      <c r="Q44" s="255"/>
      <c r="R44" s="256"/>
      <c r="S44" s="256"/>
      <c r="T44" s="255"/>
      <c r="U44" s="259"/>
    </row>
    <row r="45">
      <c r="A45" s="255"/>
      <c r="B45" s="255"/>
      <c r="C45" s="256"/>
      <c r="D45" s="255"/>
      <c r="E45" s="255"/>
      <c r="F45" s="255"/>
      <c r="G45" s="256"/>
      <c r="H45" s="255"/>
      <c r="I45" s="255"/>
      <c r="J45" s="255"/>
      <c r="K45" s="256"/>
      <c r="L45" s="255"/>
      <c r="M45" s="255"/>
      <c r="N45" s="255"/>
      <c r="O45" s="256"/>
      <c r="P45" s="255"/>
      <c r="Q45" s="255"/>
      <c r="R45" s="256"/>
      <c r="S45" s="256"/>
      <c r="T45" s="255"/>
      <c r="U45" s="259"/>
    </row>
    <row r="46">
      <c r="A46" s="255"/>
      <c r="B46" s="255"/>
      <c r="C46" s="256"/>
      <c r="D46" s="255"/>
      <c r="E46" s="255"/>
      <c r="F46" s="255"/>
      <c r="G46" s="256"/>
      <c r="H46" s="255"/>
      <c r="I46" s="255"/>
      <c r="J46" s="255"/>
      <c r="K46" s="256"/>
      <c r="L46" s="255"/>
      <c r="M46" s="255"/>
      <c r="N46" s="255"/>
      <c r="O46" s="256"/>
      <c r="P46" s="255"/>
      <c r="Q46" s="255"/>
      <c r="R46" s="256"/>
      <c r="S46" s="256"/>
      <c r="T46" s="255"/>
      <c r="U46" s="259"/>
    </row>
    <row r="47">
      <c r="A47" s="255"/>
      <c r="B47" s="255"/>
      <c r="C47" s="256"/>
      <c r="D47" s="255"/>
      <c r="E47" s="255"/>
      <c r="F47" s="255"/>
      <c r="G47" s="256"/>
      <c r="H47" s="255"/>
      <c r="I47" s="255"/>
      <c r="J47" s="255"/>
      <c r="K47" s="256"/>
      <c r="L47" s="255"/>
      <c r="M47" s="255"/>
      <c r="N47" s="255"/>
      <c r="O47" s="256"/>
      <c r="P47" s="255"/>
      <c r="Q47" s="255"/>
      <c r="R47" s="256"/>
      <c r="S47" s="256"/>
      <c r="T47" s="255"/>
      <c r="U47" s="259"/>
    </row>
    <row r="48">
      <c r="A48" s="255"/>
      <c r="B48" s="255"/>
      <c r="C48" s="256"/>
      <c r="D48" s="255"/>
      <c r="E48" s="255"/>
      <c r="F48" s="255"/>
      <c r="G48" s="256"/>
      <c r="H48" s="255"/>
      <c r="I48" s="255"/>
      <c r="J48" s="255"/>
      <c r="K48" s="256"/>
      <c r="L48" s="255"/>
      <c r="M48" s="255"/>
      <c r="N48" s="255"/>
      <c r="O48" s="256"/>
      <c r="P48" s="255"/>
      <c r="Q48" s="255"/>
      <c r="R48" s="256"/>
      <c r="S48" s="256"/>
      <c r="T48" s="255"/>
      <c r="U48" s="259"/>
    </row>
    <row r="49">
      <c r="A49" s="255"/>
      <c r="B49" s="255"/>
      <c r="C49" s="256"/>
      <c r="D49" s="255"/>
      <c r="E49" s="255"/>
      <c r="F49" s="255"/>
      <c r="G49" s="256"/>
      <c r="H49" s="255"/>
      <c r="I49" s="255"/>
      <c r="J49" s="255"/>
      <c r="K49" s="256"/>
      <c r="L49" s="255"/>
      <c r="M49" s="255"/>
      <c r="N49" s="255"/>
      <c r="O49" s="256"/>
      <c r="P49" s="255"/>
      <c r="Q49" s="255"/>
      <c r="R49" s="256"/>
      <c r="S49" s="256"/>
      <c r="T49" s="255"/>
      <c r="U49" s="259"/>
    </row>
    <row r="50">
      <c r="A50" s="255"/>
      <c r="B50" s="255"/>
      <c r="C50" s="256"/>
      <c r="D50" s="255"/>
      <c r="E50" s="255"/>
      <c r="F50" s="255"/>
      <c r="G50" s="256"/>
      <c r="H50" s="255"/>
      <c r="I50" s="255"/>
      <c r="J50" s="255"/>
      <c r="K50" s="256"/>
      <c r="L50" s="255"/>
      <c r="M50" s="255"/>
      <c r="N50" s="255"/>
      <c r="O50" s="256"/>
      <c r="P50" s="255"/>
      <c r="Q50" s="255"/>
      <c r="R50" s="256"/>
      <c r="S50" s="256"/>
      <c r="T50" s="255"/>
      <c r="U50" s="259"/>
    </row>
    <row r="51">
      <c r="A51" s="255"/>
      <c r="B51" s="255"/>
      <c r="C51" s="256"/>
      <c r="D51" s="255"/>
      <c r="E51" s="255"/>
      <c r="F51" s="255"/>
      <c r="G51" s="256"/>
      <c r="H51" s="255"/>
      <c r="I51" s="255"/>
      <c r="J51" s="255"/>
      <c r="K51" s="256"/>
      <c r="L51" s="255"/>
      <c r="M51" s="255"/>
      <c r="N51" s="255"/>
      <c r="O51" s="256"/>
      <c r="P51" s="255"/>
      <c r="Q51" s="255"/>
      <c r="R51" s="256"/>
      <c r="S51" s="256"/>
      <c r="T51" s="255"/>
      <c r="U51" s="259"/>
    </row>
    <row r="52">
      <c r="A52" s="255"/>
      <c r="B52" s="255"/>
      <c r="C52" s="256"/>
      <c r="D52" s="255"/>
      <c r="E52" s="255"/>
      <c r="F52" s="255"/>
      <c r="G52" s="256"/>
      <c r="H52" s="255"/>
      <c r="I52" s="255"/>
      <c r="J52" s="255"/>
      <c r="K52" s="256"/>
      <c r="L52" s="255"/>
      <c r="M52" s="255"/>
      <c r="N52" s="255"/>
      <c r="O52" s="256"/>
      <c r="P52" s="255"/>
      <c r="Q52" s="255"/>
      <c r="R52" s="256"/>
      <c r="S52" s="256"/>
      <c r="T52" s="255"/>
      <c r="U52" s="259"/>
    </row>
    <row r="53">
      <c r="A53" s="255"/>
      <c r="B53" s="255"/>
      <c r="C53" s="256"/>
      <c r="D53" s="255"/>
      <c r="E53" s="255"/>
      <c r="F53" s="255"/>
      <c r="G53" s="256"/>
      <c r="H53" s="255"/>
      <c r="I53" s="255"/>
      <c r="J53" s="255"/>
      <c r="K53" s="256"/>
      <c r="L53" s="255"/>
      <c r="M53" s="255"/>
      <c r="N53" s="255"/>
      <c r="O53" s="256"/>
      <c r="P53" s="255"/>
      <c r="Q53" s="255"/>
      <c r="R53" s="256"/>
      <c r="S53" s="256"/>
      <c r="T53" s="255"/>
      <c r="U53" s="259"/>
    </row>
    <row r="54">
      <c r="A54" s="255"/>
      <c r="B54" s="255"/>
      <c r="C54" s="256"/>
      <c r="D54" s="255"/>
      <c r="E54" s="255"/>
      <c r="F54" s="255"/>
      <c r="G54" s="256"/>
      <c r="H54" s="255"/>
      <c r="I54" s="255"/>
      <c r="J54" s="255"/>
      <c r="K54" s="256"/>
      <c r="L54" s="255"/>
      <c r="M54" s="255"/>
      <c r="N54" s="255"/>
      <c r="O54" s="256"/>
      <c r="P54" s="255"/>
      <c r="Q54" s="255"/>
      <c r="R54" s="256"/>
      <c r="S54" s="256"/>
      <c r="T54" s="255"/>
      <c r="U54" s="259"/>
    </row>
    <row r="55">
      <c r="A55" s="255"/>
      <c r="B55" s="255"/>
      <c r="C55" s="256"/>
      <c r="D55" s="255"/>
      <c r="E55" s="255"/>
      <c r="F55" s="255"/>
      <c r="G55" s="256"/>
      <c r="H55" s="255"/>
      <c r="I55" s="255"/>
      <c r="J55" s="255"/>
      <c r="K55" s="256"/>
      <c r="L55" s="255"/>
      <c r="M55" s="255"/>
      <c r="N55" s="255"/>
      <c r="O55" s="256"/>
      <c r="P55" s="255"/>
      <c r="Q55" s="255"/>
      <c r="R55" s="256"/>
      <c r="S55" s="256"/>
      <c r="T55" s="255"/>
      <c r="U55" s="259"/>
    </row>
    <row r="56">
      <c r="A56" s="255"/>
      <c r="B56" s="255"/>
      <c r="C56" s="256"/>
      <c r="D56" s="255"/>
      <c r="E56" s="255"/>
      <c r="F56" s="255"/>
      <c r="G56" s="256"/>
      <c r="H56" s="255"/>
      <c r="I56" s="255"/>
      <c r="J56" s="255"/>
      <c r="K56" s="256"/>
      <c r="L56" s="255"/>
      <c r="M56" s="255"/>
      <c r="N56" s="255"/>
      <c r="O56" s="256"/>
      <c r="P56" s="255"/>
      <c r="Q56" s="255"/>
      <c r="R56" s="256"/>
      <c r="S56" s="256"/>
      <c r="T56" s="255"/>
      <c r="U56" s="259"/>
    </row>
    <row r="57">
      <c r="A57" s="255"/>
      <c r="B57" s="255"/>
      <c r="C57" s="256"/>
      <c r="D57" s="255"/>
      <c r="E57" s="255"/>
      <c r="F57" s="255"/>
      <c r="G57" s="256"/>
      <c r="H57" s="255"/>
      <c r="I57" s="255"/>
      <c r="J57" s="255"/>
      <c r="K57" s="256"/>
      <c r="L57" s="255"/>
      <c r="M57" s="255"/>
      <c r="N57" s="255"/>
      <c r="O57" s="256"/>
      <c r="P57" s="255"/>
      <c r="Q57" s="255"/>
      <c r="R57" s="256"/>
      <c r="S57" s="256"/>
      <c r="T57" s="255"/>
      <c r="U57" s="259"/>
    </row>
    <row r="58">
      <c r="A58" s="255"/>
      <c r="B58" s="255"/>
      <c r="C58" s="256"/>
      <c r="D58" s="255"/>
      <c r="E58" s="255"/>
      <c r="F58" s="255"/>
      <c r="G58" s="256"/>
      <c r="H58" s="255"/>
      <c r="I58" s="255"/>
      <c r="J58" s="255"/>
      <c r="K58" s="256"/>
      <c r="L58" s="255"/>
      <c r="M58" s="255"/>
      <c r="N58" s="255"/>
      <c r="O58" s="256"/>
      <c r="P58" s="255"/>
      <c r="Q58" s="255"/>
      <c r="R58" s="256"/>
      <c r="S58" s="256"/>
      <c r="T58" s="255"/>
      <c r="U58" s="259"/>
    </row>
    <row r="59">
      <c r="A59" s="255"/>
      <c r="B59" s="255"/>
      <c r="C59" s="256"/>
      <c r="D59" s="255"/>
      <c r="E59" s="255"/>
      <c r="F59" s="255"/>
      <c r="G59" s="256"/>
      <c r="H59" s="255"/>
      <c r="I59" s="255"/>
      <c r="J59" s="255"/>
      <c r="K59" s="256"/>
      <c r="L59" s="255"/>
      <c r="M59" s="255"/>
      <c r="N59" s="255"/>
      <c r="O59" s="256"/>
      <c r="P59" s="255"/>
      <c r="Q59" s="255"/>
      <c r="R59" s="256"/>
      <c r="S59" s="256"/>
      <c r="T59" s="255"/>
      <c r="U59" s="259"/>
    </row>
    <row r="60">
      <c r="A60" s="255"/>
      <c r="B60" s="255"/>
      <c r="C60" s="256"/>
      <c r="D60" s="255"/>
      <c r="E60" s="255"/>
      <c r="F60" s="255"/>
      <c r="G60" s="256"/>
      <c r="H60" s="255"/>
      <c r="I60" s="255"/>
      <c r="J60" s="255"/>
      <c r="K60" s="256"/>
      <c r="L60" s="255"/>
      <c r="M60" s="255"/>
      <c r="N60" s="255"/>
      <c r="O60" s="256"/>
      <c r="P60" s="255"/>
      <c r="Q60" s="255"/>
      <c r="R60" s="256"/>
      <c r="S60" s="256"/>
      <c r="T60" s="255"/>
      <c r="U60" s="259"/>
    </row>
    <row r="61">
      <c r="A61" s="255"/>
      <c r="B61" s="255"/>
      <c r="C61" s="256"/>
      <c r="D61" s="255"/>
      <c r="E61" s="255"/>
      <c r="F61" s="255"/>
      <c r="G61" s="256"/>
      <c r="H61" s="255"/>
      <c r="I61" s="255"/>
      <c r="J61" s="255"/>
      <c r="K61" s="256"/>
      <c r="L61" s="255"/>
      <c r="M61" s="255"/>
      <c r="N61" s="255"/>
      <c r="O61" s="256"/>
      <c r="P61" s="255"/>
      <c r="Q61" s="255"/>
      <c r="R61" s="256"/>
      <c r="S61" s="256"/>
      <c r="T61" s="255"/>
      <c r="U61" s="259"/>
    </row>
    <row r="62">
      <c r="A62" s="255"/>
      <c r="B62" s="255"/>
      <c r="C62" s="256"/>
      <c r="D62" s="255"/>
      <c r="E62" s="255"/>
      <c r="F62" s="255"/>
      <c r="G62" s="256"/>
      <c r="H62" s="255"/>
      <c r="I62" s="255"/>
      <c r="J62" s="255"/>
      <c r="K62" s="256"/>
      <c r="L62" s="255"/>
      <c r="M62" s="255"/>
      <c r="N62" s="255"/>
      <c r="O62" s="256"/>
      <c r="P62" s="255"/>
      <c r="Q62" s="255"/>
      <c r="R62" s="256"/>
      <c r="S62" s="256"/>
      <c r="T62" s="255"/>
      <c r="U62" s="259"/>
    </row>
    <row r="63">
      <c r="A63" s="255"/>
      <c r="B63" s="255"/>
      <c r="C63" s="256"/>
      <c r="D63" s="255"/>
      <c r="E63" s="255"/>
      <c r="F63" s="255"/>
      <c r="G63" s="256"/>
      <c r="H63" s="255"/>
      <c r="I63" s="255"/>
      <c r="J63" s="255"/>
      <c r="K63" s="256"/>
      <c r="L63" s="255"/>
      <c r="M63" s="255"/>
      <c r="N63" s="255"/>
      <c r="O63" s="256"/>
      <c r="P63" s="255"/>
      <c r="Q63" s="255"/>
      <c r="R63" s="256"/>
      <c r="S63" s="256"/>
      <c r="T63" s="255"/>
      <c r="U63" s="259"/>
    </row>
    <row r="64">
      <c r="A64" s="255"/>
      <c r="B64" s="255"/>
      <c r="C64" s="256"/>
      <c r="D64" s="255"/>
      <c r="E64" s="255"/>
      <c r="F64" s="255"/>
      <c r="G64" s="256"/>
      <c r="H64" s="255"/>
      <c r="I64" s="255"/>
      <c r="J64" s="255"/>
      <c r="K64" s="256"/>
      <c r="L64" s="255"/>
      <c r="M64" s="255"/>
      <c r="N64" s="255"/>
      <c r="O64" s="256"/>
      <c r="P64" s="255"/>
      <c r="Q64" s="255"/>
      <c r="R64" s="256"/>
      <c r="S64" s="256"/>
      <c r="T64" s="255"/>
      <c r="U64" s="259"/>
    </row>
    <row r="65">
      <c r="A65" s="255"/>
      <c r="B65" s="255"/>
      <c r="C65" s="256"/>
      <c r="D65" s="255"/>
      <c r="E65" s="255"/>
      <c r="F65" s="255"/>
      <c r="G65" s="256"/>
      <c r="H65" s="255"/>
      <c r="I65" s="255"/>
      <c r="J65" s="255"/>
      <c r="K65" s="256"/>
      <c r="L65" s="255"/>
      <c r="M65" s="255"/>
      <c r="N65" s="255"/>
      <c r="O65" s="256"/>
      <c r="P65" s="255"/>
      <c r="Q65" s="255"/>
      <c r="R65" s="256"/>
      <c r="S65" s="256"/>
      <c r="T65" s="255"/>
      <c r="U65" s="259"/>
    </row>
    <row r="66">
      <c r="A66" s="255"/>
      <c r="B66" s="255"/>
      <c r="C66" s="256"/>
      <c r="D66" s="255"/>
      <c r="E66" s="255"/>
      <c r="F66" s="255"/>
      <c r="G66" s="256"/>
      <c r="H66" s="255"/>
      <c r="I66" s="255"/>
      <c r="J66" s="255"/>
      <c r="K66" s="256"/>
      <c r="L66" s="255"/>
      <c r="M66" s="255"/>
      <c r="N66" s="255"/>
      <c r="O66" s="256"/>
      <c r="P66" s="255"/>
      <c r="Q66" s="255"/>
      <c r="R66" s="256"/>
      <c r="S66" s="256"/>
      <c r="T66" s="255"/>
      <c r="U66" s="259"/>
    </row>
    <row r="67">
      <c r="A67" s="255"/>
      <c r="B67" s="255"/>
      <c r="C67" s="256"/>
      <c r="D67" s="255"/>
      <c r="E67" s="255"/>
      <c r="F67" s="255"/>
      <c r="G67" s="256"/>
      <c r="H67" s="255"/>
      <c r="I67" s="255"/>
      <c r="J67" s="255"/>
      <c r="K67" s="256"/>
      <c r="L67" s="255"/>
      <c r="M67" s="255"/>
      <c r="N67" s="255"/>
      <c r="O67" s="256"/>
      <c r="P67" s="255"/>
      <c r="Q67" s="255"/>
      <c r="R67" s="256"/>
      <c r="S67" s="256"/>
      <c r="T67" s="255"/>
      <c r="U67" s="259"/>
    </row>
    <row r="68">
      <c r="A68" s="255"/>
      <c r="B68" s="255"/>
      <c r="C68" s="256"/>
      <c r="D68" s="255"/>
      <c r="E68" s="255"/>
      <c r="F68" s="255"/>
      <c r="G68" s="256"/>
      <c r="H68" s="255"/>
      <c r="I68" s="255"/>
      <c r="J68" s="255"/>
      <c r="K68" s="256"/>
      <c r="L68" s="255"/>
      <c r="M68" s="255"/>
      <c r="N68" s="255"/>
      <c r="O68" s="256"/>
      <c r="P68" s="255"/>
      <c r="Q68" s="255"/>
      <c r="R68" s="256"/>
      <c r="S68" s="256"/>
      <c r="T68" s="255"/>
      <c r="U68" s="259"/>
    </row>
    <row r="69">
      <c r="A69" s="255"/>
      <c r="B69" s="255"/>
      <c r="C69" s="256"/>
      <c r="D69" s="255"/>
      <c r="E69" s="255"/>
      <c r="F69" s="255"/>
      <c r="G69" s="256"/>
      <c r="H69" s="255"/>
      <c r="I69" s="255"/>
      <c r="J69" s="255"/>
      <c r="K69" s="256"/>
      <c r="L69" s="255"/>
      <c r="M69" s="255"/>
      <c r="N69" s="255"/>
      <c r="O69" s="256"/>
      <c r="P69" s="255"/>
      <c r="Q69" s="255"/>
      <c r="R69" s="256"/>
      <c r="S69" s="256"/>
      <c r="T69" s="255"/>
      <c r="U69" s="259"/>
    </row>
    <row r="70">
      <c r="A70" s="255"/>
      <c r="B70" s="255"/>
      <c r="C70" s="256"/>
      <c r="D70" s="255"/>
      <c r="E70" s="255"/>
      <c r="F70" s="255"/>
      <c r="G70" s="256"/>
      <c r="H70" s="255"/>
      <c r="I70" s="255"/>
      <c r="J70" s="255"/>
      <c r="K70" s="256"/>
      <c r="L70" s="255"/>
      <c r="M70" s="255"/>
      <c r="N70" s="255"/>
      <c r="O70" s="256"/>
      <c r="P70" s="255"/>
      <c r="Q70" s="255"/>
      <c r="R70" s="256"/>
      <c r="S70" s="256"/>
      <c r="T70" s="255"/>
      <c r="U70" s="259"/>
    </row>
    <row r="71">
      <c r="A71" s="255"/>
      <c r="B71" s="255"/>
      <c r="C71" s="256"/>
      <c r="D71" s="255"/>
      <c r="E71" s="255"/>
      <c r="F71" s="255"/>
      <c r="G71" s="256"/>
      <c r="H71" s="255"/>
      <c r="I71" s="255"/>
      <c r="J71" s="255"/>
      <c r="K71" s="256"/>
      <c r="L71" s="255"/>
      <c r="M71" s="255"/>
      <c r="N71" s="255"/>
      <c r="O71" s="256"/>
      <c r="P71" s="255"/>
      <c r="Q71" s="255"/>
      <c r="R71" s="256"/>
      <c r="S71" s="256"/>
      <c r="T71" s="255"/>
      <c r="U71" s="259"/>
    </row>
    <row r="72">
      <c r="A72" s="255"/>
      <c r="B72" s="255"/>
      <c r="C72" s="256"/>
      <c r="D72" s="255"/>
      <c r="E72" s="255"/>
      <c r="F72" s="255"/>
      <c r="G72" s="256"/>
      <c r="H72" s="255"/>
      <c r="I72" s="255"/>
      <c r="J72" s="255"/>
      <c r="K72" s="256"/>
      <c r="L72" s="255"/>
      <c r="M72" s="255"/>
      <c r="N72" s="255"/>
      <c r="O72" s="256"/>
      <c r="P72" s="255"/>
      <c r="Q72" s="255"/>
      <c r="R72" s="256"/>
      <c r="S72" s="256"/>
      <c r="T72" s="255"/>
      <c r="U72" s="259"/>
    </row>
    <row r="73">
      <c r="A73" s="255"/>
      <c r="B73" s="255"/>
      <c r="C73" s="256"/>
      <c r="D73" s="255"/>
      <c r="E73" s="255"/>
      <c r="F73" s="255"/>
      <c r="G73" s="256"/>
      <c r="H73" s="255"/>
      <c r="I73" s="255"/>
      <c r="J73" s="255"/>
      <c r="K73" s="256"/>
      <c r="L73" s="255"/>
      <c r="M73" s="255"/>
      <c r="N73" s="255"/>
      <c r="O73" s="256"/>
      <c r="P73" s="255"/>
      <c r="Q73" s="255"/>
      <c r="R73" s="256"/>
      <c r="S73" s="256"/>
      <c r="T73" s="255"/>
      <c r="U73" s="259"/>
    </row>
    <row r="74">
      <c r="A74" s="255"/>
      <c r="B74" s="255"/>
      <c r="C74" s="256"/>
      <c r="D74" s="255"/>
      <c r="E74" s="255"/>
      <c r="F74" s="255"/>
      <c r="G74" s="256"/>
      <c r="H74" s="255"/>
      <c r="I74" s="255"/>
      <c r="J74" s="255"/>
      <c r="K74" s="256"/>
      <c r="L74" s="255"/>
      <c r="M74" s="255"/>
      <c r="N74" s="255"/>
      <c r="O74" s="256"/>
      <c r="P74" s="255"/>
      <c r="Q74" s="255"/>
      <c r="R74" s="256"/>
      <c r="S74" s="256"/>
      <c r="T74" s="255"/>
      <c r="U74" s="259"/>
    </row>
    <row r="75">
      <c r="A75" s="255"/>
      <c r="B75" s="255"/>
      <c r="C75" s="256"/>
      <c r="D75" s="255"/>
      <c r="E75" s="255"/>
      <c r="F75" s="255"/>
      <c r="G75" s="256"/>
      <c r="H75" s="255"/>
      <c r="I75" s="255"/>
      <c r="J75" s="255"/>
      <c r="K75" s="256"/>
      <c r="L75" s="255"/>
      <c r="M75" s="255"/>
      <c r="N75" s="255"/>
      <c r="O75" s="256"/>
      <c r="P75" s="255"/>
      <c r="Q75" s="255"/>
      <c r="R75" s="256"/>
      <c r="S75" s="256"/>
      <c r="T75" s="255"/>
      <c r="U75" s="259"/>
    </row>
    <row r="76">
      <c r="A76" s="255"/>
      <c r="B76" s="255"/>
      <c r="C76" s="256"/>
      <c r="D76" s="255"/>
      <c r="E76" s="255"/>
      <c r="F76" s="255"/>
      <c r="G76" s="256"/>
      <c r="H76" s="255"/>
      <c r="I76" s="255"/>
      <c r="J76" s="255"/>
      <c r="K76" s="256"/>
      <c r="L76" s="255"/>
      <c r="M76" s="255"/>
      <c r="N76" s="255"/>
      <c r="O76" s="256"/>
      <c r="P76" s="255"/>
      <c r="Q76" s="255"/>
      <c r="R76" s="256"/>
      <c r="S76" s="256"/>
      <c r="T76" s="255"/>
      <c r="U76" s="259"/>
    </row>
    <row r="77">
      <c r="A77" s="255"/>
      <c r="B77" s="255"/>
      <c r="C77" s="256"/>
      <c r="D77" s="255"/>
      <c r="E77" s="255"/>
      <c r="F77" s="255"/>
      <c r="G77" s="256"/>
      <c r="H77" s="255"/>
      <c r="I77" s="255"/>
      <c r="J77" s="255"/>
      <c r="K77" s="256"/>
      <c r="L77" s="255"/>
      <c r="M77" s="255"/>
      <c r="N77" s="255"/>
      <c r="O77" s="256"/>
      <c r="P77" s="255"/>
      <c r="Q77" s="255"/>
      <c r="R77" s="256"/>
      <c r="S77" s="256"/>
      <c r="T77" s="255"/>
      <c r="U77" s="259"/>
    </row>
    <row r="78">
      <c r="A78" s="255"/>
      <c r="B78" s="255"/>
      <c r="C78" s="256"/>
      <c r="D78" s="255"/>
      <c r="E78" s="255"/>
      <c r="F78" s="255"/>
      <c r="G78" s="256"/>
      <c r="H78" s="255"/>
      <c r="I78" s="255"/>
      <c r="J78" s="255"/>
      <c r="K78" s="256"/>
      <c r="L78" s="255"/>
      <c r="M78" s="255"/>
      <c r="N78" s="255"/>
      <c r="O78" s="256"/>
      <c r="P78" s="255"/>
      <c r="Q78" s="255"/>
      <c r="R78" s="256"/>
      <c r="S78" s="256"/>
      <c r="T78" s="255"/>
      <c r="U78" s="259"/>
    </row>
    <row r="79">
      <c r="A79" s="255"/>
      <c r="B79" s="255"/>
      <c r="C79" s="256"/>
      <c r="D79" s="255"/>
      <c r="E79" s="255"/>
      <c r="F79" s="255"/>
      <c r="G79" s="256"/>
      <c r="H79" s="255"/>
      <c r="I79" s="255"/>
      <c r="J79" s="255"/>
      <c r="K79" s="256"/>
      <c r="L79" s="255"/>
      <c r="M79" s="255"/>
      <c r="N79" s="255"/>
      <c r="O79" s="256"/>
      <c r="P79" s="255"/>
      <c r="Q79" s="255"/>
      <c r="R79" s="256"/>
      <c r="S79" s="256"/>
      <c r="T79" s="255"/>
      <c r="U79" s="259"/>
    </row>
    <row r="80">
      <c r="A80" s="255"/>
      <c r="B80" s="255"/>
      <c r="C80" s="256"/>
      <c r="D80" s="255"/>
      <c r="E80" s="255"/>
      <c r="F80" s="255"/>
      <c r="G80" s="256"/>
      <c r="H80" s="255"/>
      <c r="I80" s="255"/>
      <c r="J80" s="255"/>
      <c r="K80" s="256"/>
      <c r="L80" s="255"/>
      <c r="M80" s="255"/>
      <c r="N80" s="255"/>
      <c r="O80" s="256"/>
      <c r="P80" s="255"/>
      <c r="Q80" s="255"/>
      <c r="R80" s="256"/>
      <c r="S80" s="256"/>
      <c r="T80" s="255"/>
      <c r="U80" s="259"/>
    </row>
    <row r="81">
      <c r="A81" s="255"/>
      <c r="B81" s="255"/>
      <c r="C81" s="256"/>
      <c r="D81" s="255"/>
      <c r="E81" s="255"/>
      <c r="F81" s="255"/>
      <c r="G81" s="256"/>
      <c r="H81" s="255"/>
      <c r="I81" s="255"/>
      <c r="J81" s="255"/>
      <c r="K81" s="256"/>
      <c r="L81" s="255"/>
      <c r="M81" s="255"/>
      <c r="N81" s="255"/>
      <c r="O81" s="256"/>
      <c r="P81" s="255"/>
      <c r="Q81" s="255"/>
      <c r="R81" s="256"/>
      <c r="S81" s="256"/>
      <c r="T81" s="255"/>
      <c r="U81" s="259"/>
    </row>
    <row r="82">
      <c r="A82" s="255"/>
      <c r="B82" s="255"/>
      <c r="C82" s="256"/>
      <c r="D82" s="255"/>
      <c r="E82" s="255"/>
      <c r="F82" s="255"/>
      <c r="G82" s="256"/>
      <c r="H82" s="255"/>
      <c r="I82" s="255"/>
      <c r="J82" s="255"/>
      <c r="K82" s="256"/>
      <c r="L82" s="255"/>
      <c r="M82" s="255"/>
      <c r="N82" s="255"/>
      <c r="O82" s="256"/>
      <c r="P82" s="255"/>
      <c r="Q82" s="255"/>
      <c r="R82" s="256"/>
      <c r="S82" s="256"/>
      <c r="T82" s="255"/>
      <c r="U82" s="259"/>
    </row>
    <row r="83">
      <c r="A83" s="255"/>
      <c r="B83" s="255"/>
      <c r="C83" s="256"/>
      <c r="D83" s="255"/>
      <c r="E83" s="255"/>
      <c r="F83" s="255"/>
      <c r="G83" s="256"/>
      <c r="H83" s="255"/>
      <c r="I83" s="255"/>
      <c r="J83" s="255"/>
      <c r="K83" s="256"/>
      <c r="L83" s="255"/>
      <c r="M83" s="255"/>
      <c r="N83" s="255"/>
      <c r="O83" s="256"/>
      <c r="P83" s="255"/>
      <c r="Q83" s="255"/>
      <c r="R83" s="256"/>
      <c r="S83" s="256"/>
      <c r="T83" s="255"/>
      <c r="U83" s="259"/>
    </row>
    <row r="84">
      <c r="A84" s="255"/>
      <c r="B84" s="255"/>
      <c r="C84" s="256"/>
      <c r="D84" s="255"/>
      <c r="E84" s="255"/>
      <c r="F84" s="255"/>
      <c r="G84" s="256"/>
      <c r="H84" s="255"/>
      <c r="I84" s="255"/>
      <c r="J84" s="255"/>
      <c r="K84" s="256"/>
      <c r="L84" s="255"/>
      <c r="M84" s="255"/>
      <c r="N84" s="255"/>
      <c r="O84" s="256"/>
      <c r="P84" s="255"/>
      <c r="Q84" s="255"/>
      <c r="R84" s="256"/>
      <c r="S84" s="256"/>
      <c r="T84" s="255"/>
      <c r="U84" s="259"/>
    </row>
    <row r="85">
      <c r="A85" s="255"/>
      <c r="B85" s="255"/>
      <c r="C85" s="256"/>
      <c r="D85" s="255"/>
      <c r="E85" s="255"/>
      <c r="F85" s="255"/>
      <c r="G85" s="256"/>
      <c r="H85" s="255"/>
      <c r="I85" s="255"/>
      <c r="J85" s="255"/>
      <c r="K85" s="256"/>
      <c r="L85" s="255"/>
      <c r="M85" s="255"/>
      <c r="N85" s="255"/>
      <c r="O85" s="256"/>
      <c r="P85" s="255"/>
      <c r="Q85" s="255"/>
      <c r="R85" s="256"/>
      <c r="S85" s="256"/>
      <c r="T85" s="255"/>
      <c r="U85" s="259"/>
    </row>
    <row r="86">
      <c r="A86" s="255"/>
      <c r="B86" s="255"/>
      <c r="C86" s="256"/>
      <c r="D86" s="255"/>
      <c r="E86" s="255"/>
      <c r="F86" s="255"/>
      <c r="G86" s="256"/>
      <c r="H86" s="255"/>
      <c r="I86" s="255"/>
      <c r="J86" s="255"/>
      <c r="K86" s="256"/>
      <c r="L86" s="255"/>
      <c r="M86" s="255"/>
      <c r="N86" s="255"/>
      <c r="O86" s="256"/>
      <c r="P86" s="255"/>
      <c r="Q86" s="255"/>
      <c r="R86" s="256"/>
      <c r="S86" s="256"/>
      <c r="T86" s="255"/>
      <c r="U86" s="259"/>
    </row>
    <row r="87">
      <c r="A87" s="255"/>
      <c r="B87" s="255"/>
      <c r="C87" s="256"/>
      <c r="D87" s="255"/>
      <c r="E87" s="255"/>
      <c r="F87" s="255"/>
      <c r="G87" s="256"/>
      <c r="H87" s="255"/>
      <c r="I87" s="255"/>
      <c r="J87" s="255"/>
      <c r="K87" s="256"/>
      <c r="L87" s="255"/>
      <c r="M87" s="255"/>
      <c r="N87" s="255"/>
      <c r="O87" s="256"/>
      <c r="P87" s="255"/>
      <c r="Q87" s="255"/>
      <c r="R87" s="256"/>
      <c r="S87" s="256"/>
      <c r="T87" s="255"/>
      <c r="U87" s="259"/>
    </row>
    <row r="88">
      <c r="A88" s="255"/>
      <c r="B88" s="255"/>
      <c r="C88" s="256"/>
      <c r="D88" s="255"/>
      <c r="E88" s="255"/>
      <c r="F88" s="255"/>
      <c r="G88" s="256"/>
      <c r="H88" s="255"/>
      <c r="I88" s="255"/>
      <c r="J88" s="255"/>
      <c r="K88" s="256"/>
      <c r="L88" s="255"/>
      <c r="M88" s="255"/>
      <c r="N88" s="255"/>
      <c r="O88" s="256"/>
      <c r="P88" s="255"/>
      <c r="Q88" s="255"/>
      <c r="R88" s="256"/>
      <c r="S88" s="256"/>
      <c r="T88" s="255"/>
      <c r="U88" s="259"/>
    </row>
    <row r="89">
      <c r="A89" s="255"/>
      <c r="B89" s="255"/>
      <c r="C89" s="256"/>
      <c r="D89" s="255"/>
      <c r="E89" s="255"/>
      <c r="F89" s="255"/>
      <c r="G89" s="256"/>
      <c r="H89" s="255"/>
      <c r="I89" s="255"/>
      <c r="J89" s="255"/>
      <c r="K89" s="256"/>
      <c r="L89" s="255"/>
      <c r="M89" s="255"/>
      <c r="N89" s="255"/>
      <c r="O89" s="256"/>
      <c r="P89" s="255"/>
      <c r="Q89" s="255"/>
      <c r="R89" s="256"/>
      <c r="S89" s="256"/>
      <c r="T89" s="255"/>
      <c r="U89" s="259"/>
    </row>
    <row r="90">
      <c r="A90" s="255"/>
      <c r="B90" s="255"/>
      <c r="C90" s="256"/>
      <c r="D90" s="255"/>
      <c r="E90" s="255"/>
      <c r="F90" s="255"/>
      <c r="G90" s="256"/>
      <c r="H90" s="255"/>
      <c r="I90" s="255"/>
      <c r="J90" s="255"/>
      <c r="K90" s="256"/>
      <c r="L90" s="255"/>
      <c r="M90" s="255"/>
      <c r="N90" s="255"/>
      <c r="O90" s="256"/>
      <c r="P90" s="255"/>
      <c r="Q90" s="255"/>
      <c r="R90" s="256"/>
      <c r="S90" s="256"/>
      <c r="T90" s="255"/>
      <c r="U90" s="259"/>
    </row>
    <row r="91">
      <c r="A91" s="255"/>
      <c r="B91" s="255"/>
      <c r="C91" s="256"/>
      <c r="D91" s="255"/>
      <c r="E91" s="255"/>
      <c r="F91" s="255"/>
      <c r="G91" s="256"/>
      <c r="H91" s="255"/>
      <c r="I91" s="255"/>
      <c r="J91" s="255"/>
      <c r="K91" s="256"/>
      <c r="L91" s="255"/>
      <c r="M91" s="255"/>
      <c r="N91" s="255"/>
      <c r="O91" s="256"/>
      <c r="P91" s="255"/>
      <c r="Q91" s="255"/>
      <c r="R91" s="256"/>
      <c r="S91" s="256"/>
      <c r="T91" s="255"/>
      <c r="U91" s="259"/>
    </row>
    <row r="92">
      <c r="A92" s="255"/>
      <c r="B92" s="255"/>
      <c r="C92" s="256"/>
      <c r="D92" s="255"/>
      <c r="E92" s="255"/>
      <c r="F92" s="255"/>
      <c r="G92" s="256"/>
      <c r="H92" s="255"/>
      <c r="I92" s="255"/>
      <c r="J92" s="255"/>
      <c r="K92" s="256"/>
      <c r="L92" s="255"/>
      <c r="M92" s="255"/>
      <c r="N92" s="255"/>
      <c r="O92" s="256"/>
      <c r="P92" s="255"/>
      <c r="Q92" s="255"/>
      <c r="R92" s="256"/>
      <c r="S92" s="256"/>
      <c r="T92" s="255"/>
      <c r="U92" s="259"/>
    </row>
    <row r="93">
      <c r="A93" s="255"/>
      <c r="B93" s="255"/>
      <c r="C93" s="256"/>
      <c r="D93" s="255"/>
      <c r="E93" s="255"/>
      <c r="F93" s="255"/>
      <c r="G93" s="256"/>
      <c r="H93" s="255"/>
      <c r="I93" s="255"/>
      <c r="J93" s="255"/>
      <c r="K93" s="256"/>
      <c r="L93" s="255"/>
      <c r="M93" s="255"/>
      <c r="N93" s="255"/>
      <c r="O93" s="256"/>
      <c r="P93" s="255"/>
      <c r="Q93" s="255"/>
      <c r="R93" s="256"/>
      <c r="S93" s="256"/>
      <c r="T93" s="255"/>
      <c r="U93" s="259"/>
    </row>
    <row r="94">
      <c r="A94" s="255"/>
      <c r="B94" s="255"/>
      <c r="C94" s="256"/>
      <c r="D94" s="255"/>
      <c r="E94" s="255"/>
      <c r="F94" s="255"/>
      <c r="G94" s="256"/>
      <c r="H94" s="255"/>
      <c r="I94" s="255"/>
      <c r="J94" s="255"/>
      <c r="K94" s="256"/>
      <c r="L94" s="255"/>
      <c r="M94" s="255"/>
      <c r="N94" s="255"/>
      <c r="O94" s="256"/>
      <c r="P94" s="255"/>
      <c r="Q94" s="255"/>
      <c r="R94" s="256"/>
      <c r="S94" s="256"/>
      <c r="T94" s="255"/>
      <c r="U94" s="259"/>
    </row>
    <row r="95">
      <c r="A95" s="255"/>
      <c r="B95" s="255"/>
      <c r="C95" s="256"/>
      <c r="D95" s="255"/>
      <c r="E95" s="255"/>
      <c r="F95" s="255"/>
      <c r="G95" s="256"/>
      <c r="H95" s="255"/>
      <c r="I95" s="255"/>
      <c r="J95" s="255"/>
      <c r="K95" s="256"/>
      <c r="L95" s="255"/>
      <c r="M95" s="255"/>
      <c r="N95" s="255"/>
      <c r="O95" s="256"/>
      <c r="P95" s="255"/>
      <c r="Q95" s="255"/>
      <c r="R95" s="256"/>
      <c r="S95" s="256"/>
      <c r="T95" s="255"/>
      <c r="U95" s="259"/>
    </row>
    <row r="96">
      <c r="A96" s="255"/>
      <c r="B96" s="255"/>
      <c r="C96" s="256"/>
      <c r="D96" s="255"/>
      <c r="E96" s="255"/>
      <c r="F96" s="255"/>
      <c r="G96" s="256"/>
      <c r="H96" s="255"/>
      <c r="I96" s="255"/>
      <c r="J96" s="255"/>
      <c r="K96" s="256"/>
      <c r="L96" s="255"/>
      <c r="M96" s="255"/>
      <c r="N96" s="255"/>
      <c r="O96" s="256"/>
      <c r="P96" s="255"/>
      <c r="Q96" s="255"/>
      <c r="R96" s="256"/>
      <c r="S96" s="256"/>
      <c r="T96" s="255"/>
      <c r="U96" s="259"/>
    </row>
    <row r="97">
      <c r="A97" s="255"/>
      <c r="B97" s="255"/>
      <c r="C97" s="256"/>
      <c r="D97" s="255"/>
      <c r="E97" s="255"/>
      <c r="F97" s="255"/>
      <c r="G97" s="256"/>
      <c r="H97" s="255"/>
      <c r="I97" s="255"/>
      <c r="J97" s="255"/>
      <c r="K97" s="256"/>
      <c r="L97" s="255"/>
      <c r="M97" s="255"/>
      <c r="N97" s="255"/>
      <c r="O97" s="256"/>
      <c r="P97" s="255"/>
      <c r="Q97" s="255"/>
      <c r="R97" s="256"/>
      <c r="S97" s="256"/>
      <c r="T97" s="255"/>
      <c r="U97" s="259"/>
    </row>
    <row r="98">
      <c r="A98" s="255"/>
      <c r="B98" s="255"/>
      <c r="C98" s="256"/>
      <c r="D98" s="255"/>
      <c r="E98" s="255"/>
      <c r="F98" s="255"/>
      <c r="G98" s="256"/>
      <c r="H98" s="255"/>
      <c r="I98" s="255"/>
      <c r="J98" s="255"/>
      <c r="K98" s="256"/>
      <c r="L98" s="255"/>
      <c r="M98" s="255"/>
      <c r="N98" s="255"/>
      <c r="O98" s="256"/>
      <c r="P98" s="255"/>
      <c r="Q98" s="255"/>
      <c r="R98" s="256"/>
      <c r="S98" s="256"/>
      <c r="T98" s="255"/>
      <c r="U98" s="259"/>
    </row>
    <row r="99">
      <c r="A99" s="255"/>
      <c r="B99" s="255"/>
      <c r="C99" s="256"/>
      <c r="D99" s="255"/>
      <c r="E99" s="255"/>
      <c r="F99" s="255"/>
      <c r="G99" s="256"/>
      <c r="H99" s="255"/>
      <c r="I99" s="255"/>
      <c r="J99" s="255"/>
      <c r="K99" s="256"/>
      <c r="L99" s="255"/>
      <c r="M99" s="255"/>
      <c r="N99" s="255"/>
      <c r="O99" s="256"/>
      <c r="P99" s="255"/>
      <c r="Q99" s="255"/>
      <c r="R99" s="256"/>
      <c r="S99" s="256"/>
      <c r="T99" s="255"/>
      <c r="U99" s="259"/>
    </row>
    <row r="100">
      <c r="A100" s="255"/>
      <c r="B100" s="255"/>
      <c r="C100" s="256"/>
      <c r="D100" s="255"/>
      <c r="E100" s="255"/>
      <c r="F100" s="255"/>
      <c r="G100" s="256"/>
      <c r="H100" s="255"/>
      <c r="I100" s="255"/>
      <c r="J100" s="255"/>
      <c r="K100" s="256"/>
      <c r="L100" s="255"/>
      <c r="M100" s="255"/>
      <c r="N100" s="255"/>
      <c r="O100" s="256"/>
      <c r="P100" s="255"/>
      <c r="Q100" s="255"/>
      <c r="R100" s="256"/>
      <c r="S100" s="256"/>
      <c r="T100" s="255"/>
      <c r="U100" s="259"/>
    </row>
    <row r="101">
      <c r="A101" s="255"/>
      <c r="B101" s="255"/>
      <c r="C101" s="256"/>
      <c r="D101" s="255"/>
      <c r="E101" s="255"/>
      <c r="F101" s="255"/>
      <c r="G101" s="256"/>
      <c r="H101" s="255"/>
      <c r="I101" s="255"/>
      <c r="J101" s="255"/>
      <c r="K101" s="256"/>
      <c r="L101" s="255"/>
      <c r="M101" s="255"/>
      <c r="N101" s="255"/>
      <c r="O101" s="256"/>
      <c r="P101" s="255"/>
      <c r="Q101" s="255"/>
      <c r="R101" s="256"/>
      <c r="S101" s="256"/>
      <c r="T101" s="255"/>
      <c r="U101" s="259"/>
    </row>
    <row r="102">
      <c r="A102" s="255"/>
      <c r="B102" s="255"/>
      <c r="C102" s="256"/>
      <c r="D102" s="255"/>
      <c r="E102" s="255"/>
      <c r="F102" s="255"/>
      <c r="G102" s="256"/>
      <c r="H102" s="255"/>
      <c r="I102" s="255"/>
      <c r="J102" s="255"/>
      <c r="K102" s="256"/>
      <c r="L102" s="255"/>
      <c r="M102" s="255"/>
      <c r="N102" s="255"/>
      <c r="O102" s="256"/>
      <c r="P102" s="255"/>
      <c r="Q102" s="255"/>
      <c r="R102" s="256"/>
      <c r="S102" s="256"/>
      <c r="T102" s="255"/>
      <c r="U102" s="259"/>
    </row>
    <row r="103">
      <c r="A103" s="255"/>
      <c r="B103" s="255"/>
      <c r="C103" s="256"/>
      <c r="D103" s="255"/>
      <c r="E103" s="255"/>
      <c r="F103" s="255"/>
      <c r="G103" s="256"/>
      <c r="H103" s="255"/>
      <c r="I103" s="255"/>
      <c r="J103" s="255"/>
      <c r="K103" s="256"/>
      <c r="L103" s="255"/>
      <c r="M103" s="255"/>
      <c r="N103" s="255"/>
      <c r="O103" s="256"/>
      <c r="P103" s="255"/>
      <c r="Q103" s="255"/>
      <c r="R103" s="256"/>
      <c r="S103" s="256"/>
      <c r="T103" s="255"/>
      <c r="U103" s="259"/>
    </row>
    <row r="104">
      <c r="A104" s="255"/>
      <c r="B104" s="255"/>
      <c r="C104" s="256"/>
      <c r="D104" s="255"/>
      <c r="E104" s="255"/>
      <c r="F104" s="255"/>
      <c r="G104" s="256"/>
      <c r="H104" s="255"/>
      <c r="I104" s="255"/>
      <c r="J104" s="255"/>
      <c r="K104" s="256"/>
      <c r="L104" s="255"/>
      <c r="M104" s="255"/>
      <c r="N104" s="255"/>
      <c r="O104" s="256"/>
      <c r="P104" s="255"/>
      <c r="Q104" s="255"/>
      <c r="R104" s="256"/>
      <c r="S104" s="256"/>
      <c r="T104" s="255"/>
      <c r="U104" s="259"/>
    </row>
    <row r="105">
      <c r="A105" s="255"/>
      <c r="B105" s="255"/>
      <c r="C105" s="256"/>
      <c r="D105" s="255"/>
      <c r="E105" s="255"/>
      <c r="F105" s="255"/>
      <c r="G105" s="256"/>
      <c r="H105" s="255"/>
      <c r="I105" s="255"/>
      <c r="J105" s="255"/>
      <c r="K105" s="256"/>
      <c r="L105" s="255"/>
      <c r="M105" s="255"/>
      <c r="N105" s="255"/>
      <c r="O105" s="256"/>
      <c r="P105" s="255"/>
      <c r="Q105" s="255"/>
      <c r="R105" s="256"/>
      <c r="S105" s="256"/>
      <c r="T105" s="255"/>
      <c r="U105" s="259"/>
    </row>
    <row r="106">
      <c r="A106" s="255"/>
      <c r="B106" s="255"/>
      <c r="C106" s="256"/>
      <c r="D106" s="255"/>
      <c r="E106" s="255"/>
      <c r="F106" s="255"/>
      <c r="G106" s="256"/>
      <c r="H106" s="255"/>
      <c r="I106" s="255"/>
      <c r="J106" s="255"/>
      <c r="K106" s="256"/>
      <c r="L106" s="255"/>
      <c r="M106" s="255"/>
      <c r="N106" s="255"/>
      <c r="O106" s="256"/>
      <c r="P106" s="255"/>
      <c r="Q106" s="255"/>
      <c r="R106" s="256"/>
      <c r="S106" s="256"/>
      <c r="T106" s="255"/>
      <c r="U106" s="259"/>
    </row>
    <row r="107">
      <c r="A107" s="255"/>
      <c r="B107" s="255"/>
      <c r="C107" s="256"/>
      <c r="D107" s="255"/>
      <c r="E107" s="255"/>
      <c r="F107" s="255"/>
      <c r="G107" s="256"/>
      <c r="H107" s="255"/>
      <c r="I107" s="255"/>
      <c r="J107" s="255"/>
      <c r="K107" s="256"/>
      <c r="L107" s="255"/>
      <c r="M107" s="255"/>
      <c r="N107" s="255"/>
      <c r="O107" s="256"/>
      <c r="P107" s="255"/>
      <c r="Q107" s="255"/>
      <c r="R107" s="256"/>
      <c r="S107" s="256"/>
      <c r="T107" s="255"/>
      <c r="U107" s="259"/>
    </row>
    <row r="108">
      <c r="A108" s="255"/>
      <c r="B108" s="255"/>
      <c r="C108" s="256"/>
      <c r="D108" s="255"/>
      <c r="E108" s="255"/>
      <c r="F108" s="255"/>
      <c r="G108" s="256"/>
      <c r="H108" s="255"/>
      <c r="I108" s="255"/>
      <c r="J108" s="255"/>
      <c r="K108" s="256"/>
      <c r="L108" s="255"/>
      <c r="M108" s="255"/>
      <c r="N108" s="255"/>
      <c r="O108" s="256"/>
      <c r="P108" s="255"/>
      <c r="Q108" s="255"/>
      <c r="R108" s="256"/>
      <c r="S108" s="256"/>
      <c r="T108" s="255"/>
      <c r="U108" s="259"/>
    </row>
    <row r="109">
      <c r="A109" s="255"/>
      <c r="B109" s="255"/>
      <c r="C109" s="256"/>
      <c r="D109" s="255"/>
      <c r="E109" s="255"/>
      <c r="F109" s="255"/>
      <c r="G109" s="256"/>
      <c r="H109" s="255"/>
      <c r="I109" s="255"/>
      <c r="J109" s="255"/>
      <c r="K109" s="256"/>
      <c r="L109" s="255"/>
      <c r="M109" s="255"/>
      <c r="N109" s="255"/>
      <c r="O109" s="256"/>
      <c r="P109" s="255"/>
      <c r="Q109" s="255"/>
      <c r="R109" s="256"/>
      <c r="S109" s="256"/>
      <c r="T109" s="255"/>
      <c r="U109" s="259"/>
    </row>
    <row r="110">
      <c r="A110" s="255"/>
      <c r="B110" s="255"/>
      <c r="C110" s="256"/>
      <c r="D110" s="255"/>
      <c r="E110" s="255"/>
      <c r="F110" s="255"/>
      <c r="G110" s="256"/>
      <c r="H110" s="255"/>
      <c r="I110" s="255"/>
      <c r="J110" s="255"/>
      <c r="K110" s="256"/>
      <c r="L110" s="255"/>
      <c r="M110" s="255"/>
      <c r="N110" s="255"/>
      <c r="O110" s="256"/>
      <c r="P110" s="255"/>
      <c r="Q110" s="255"/>
      <c r="R110" s="256"/>
      <c r="S110" s="256"/>
      <c r="T110" s="255"/>
      <c r="U110" s="259"/>
    </row>
    <row r="111">
      <c r="A111" s="255"/>
      <c r="B111" s="255"/>
      <c r="C111" s="256"/>
      <c r="D111" s="255"/>
      <c r="E111" s="255"/>
      <c r="F111" s="255"/>
      <c r="G111" s="256"/>
      <c r="H111" s="255"/>
      <c r="I111" s="255"/>
      <c r="J111" s="255"/>
      <c r="K111" s="256"/>
      <c r="L111" s="255"/>
      <c r="M111" s="255"/>
      <c r="N111" s="255"/>
      <c r="O111" s="256"/>
      <c r="P111" s="255"/>
      <c r="Q111" s="255"/>
      <c r="R111" s="256"/>
      <c r="S111" s="256"/>
      <c r="T111" s="255"/>
      <c r="U111" s="259"/>
    </row>
    <row r="112">
      <c r="A112" s="255"/>
      <c r="B112" s="255"/>
      <c r="C112" s="256"/>
      <c r="D112" s="255"/>
      <c r="E112" s="255"/>
      <c r="F112" s="255"/>
      <c r="G112" s="256"/>
      <c r="H112" s="255"/>
      <c r="I112" s="255"/>
      <c r="J112" s="255"/>
      <c r="K112" s="256"/>
      <c r="L112" s="255"/>
      <c r="M112" s="255"/>
      <c r="N112" s="255"/>
      <c r="O112" s="256"/>
      <c r="P112" s="255"/>
      <c r="Q112" s="255"/>
      <c r="R112" s="256"/>
      <c r="S112" s="256"/>
      <c r="T112" s="255"/>
      <c r="U112" s="259"/>
    </row>
    <row r="113">
      <c r="A113" s="255"/>
      <c r="B113" s="255"/>
      <c r="C113" s="256"/>
      <c r="D113" s="255"/>
      <c r="E113" s="255"/>
      <c r="F113" s="255"/>
      <c r="G113" s="256"/>
      <c r="H113" s="255"/>
      <c r="I113" s="255"/>
      <c r="J113" s="255"/>
      <c r="K113" s="256"/>
      <c r="L113" s="255"/>
      <c r="M113" s="255"/>
      <c r="N113" s="255"/>
      <c r="O113" s="256"/>
      <c r="P113" s="255"/>
      <c r="Q113" s="255"/>
      <c r="R113" s="256"/>
      <c r="S113" s="256"/>
      <c r="T113" s="255"/>
      <c r="U113" s="259"/>
    </row>
    <row r="114">
      <c r="A114" s="255"/>
      <c r="B114" s="255"/>
      <c r="C114" s="256"/>
      <c r="D114" s="255"/>
      <c r="E114" s="255"/>
      <c r="F114" s="255"/>
      <c r="G114" s="256"/>
      <c r="H114" s="255"/>
      <c r="I114" s="255"/>
      <c r="J114" s="255"/>
      <c r="K114" s="256"/>
      <c r="L114" s="255"/>
      <c r="M114" s="255"/>
      <c r="N114" s="255"/>
      <c r="O114" s="256"/>
      <c r="P114" s="255"/>
      <c r="Q114" s="255"/>
      <c r="R114" s="256"/>
      <c r="S114" s="256"/>
      <c r="T114" s="255"/>
      <c r="U114" s="259"/>
    </row>
    <row r="115">
      <c r="A115" s="255"/>
      <c r="B115" s="255"/>
      <c r="C115" s="256"/>
      <c r="D115" s="255"/>
      <c r="E115" s="255"/>
      <c r="F115" s="255"/>
      <c r="G115" s="256"/>
      <c r="H115" s="255"/>
      <c r="I115" s="255"/>
      <c r="J115" s="255"/>
      <c r="K115" s="256"/>
      <c r="L115" s="255"/>
      <c r="M115" s="255"/>
      <c r="N115" s="255"/>
      <c r="O115" s="256"/>
      <c r="P115" s="255"/>
      <c r="Q115" s="255"/>
      <c r="R115" s="256"/>
      <c r="S115" s="256"/>
      <c r="T115" s="255"/>
      <c r="U115" s="259"/>
    </row>
    <row r="116">
      <c r="A116" s="255"/>
      <c r="B116" s="255"/>
      <c r="C116" s="256"/>
      <c r="D116" s="255"/>
      <c r="E116" s="255"/>
      <c r="F116" s="255"/>
      <c r="G116" s="256"/>
      <c r="H116" s="255"/>
      <c r="I116" s="255"/>
      <c r="J116" s="255"/>
      <c r="K116" s="256"/>
      <c r="L116" s="255"/>
      <c r="M116" s="255"/>
      <c r="N116" s="255"/>
      <c r="O116" s="256"/>
      <c r="P116" s="255"/>
      <c r="Q116" s="255"/>
      <c r="R116" s="256"/>
      <c r="S116" s="256"/>
      <c r="T116" s="255"/>
      <c r="U116" s="259"/>
    </row>
    <row r="117">
      <c r="A117" s="255"/>
      <c r="B117" s="255"/>
      <c r="C117" s="256"/>
      <c r="D117" s="255"/>
      <c r="E117" s="255"/>
      <c r="F117" s="255"/>
      <c r="G117" s="256"/>
      <c r="H117" s="255"/>
      <c r="I117" s="255"/>
      <c r="J117" s="255"/>
      <c r="K117" s="256"/>
      <c r="L117" s="255"/>
      <c r="M117" s="255"/>
      <c r="N117" s="255"/>
      <c r="O117" s="256"/>
      <c r="P117" s="255"/>
      <c r="Q117" s="255"/>
      <c r="R117" s="256"/>
      <c r="S117" s="256"/>
      <c r="T117" s="255"/>
      <c r="U117" s="259"/>
    </row>
    <row r="118">
      <c r="A118" s="255"/>
      <c r="B118" s="255"/>
      <c r="C118" s="256"/>
      <c r="D118" s="255"/>
      <c r="E118" s="255"/>
      <c r="F118" s="255"/>
      <c r="G118" s="256"/>
      <c r="H118" s="255"/>
      <c r="I118" s="255"/>
      <c r="J118" s="255"/>
      <c r="K118" s="256"/>
      <c r="L118" s="255"/>
      <c r="M118" s="255"/>
      <c r="N118" s="255"/>
      <c r="O118" s="256"/>
      <c r="P118" s="255"/>
      <c r="Q118" s="255"/>
      <c r="R118" s="256"/>
      <c r="S118" s="256"/>
      <c r="T118" s="255"/>
      <c r="U118" s="259"/>
    </row>
    <row r="119">
      <c r="A119" s="255"/>
      <c r="B119" s="255"/>
      <c r="C119" s="256"/>
      <c r="D119" s="255"/>
      <c r="E119" s="255"/>
      <c r="F119" s="255"/>
      <c r="G119" s="256"/>
      <c r="H119" s="255"/>
      <c r="I119" s="255"/>
      <c r="J119" s="255"/>
      <c r="K119" s="256"/>
      <c r="L119" s="255"/>
      <c r="M119" s="255"/>
      <c r="N119" s="255"/>
      <c r="O119" s="256"/>
      <c r="P119" s="255"/>
      <c r="Q119" s="255"/>
      <c r="R119" s="256"/>
      <c r="S119" s="256"/>
      <c r="T119" s="255"/>
      <c r="U119" s="259"/>
    </row>
    <row r="120">
      <c r="A120" s="255"/>
      <c r="B120" s="255"/>
      <c r="C120" s="256"/>
      <c r="D120" s="255"/>
      <c r="E120" s="255"/>
      <c r="F120" s="255"/>
      <c r="G120" s="256"/>
      <c r="H120" s="255"/>
      <c r="I120" s="255"/>
      <c r="J120" s="255"/>
      <c r="K120" s="256"/>
      <c r="L120" s="255"/>
      <c r="M120" s="255"/>
      <c r="N120" s="255"/>
      <c r="O120" s="256"/>
      <c r="P120" s="255"/>
      <c r="Q120" s="255"/>
      <c r="R120" s="256"/>
      <c r="S120" s="256"/>
      <c r="T120" s="255"/>
      <c r="U120" s="259"/>
    </row>
    <row r="121">
      <c r="A121" s="255"/>
      <c r="B121" s="255"/>
      <c r="C121" s="256"/>
      <c r="D121" s="255"/>
      <c r="E121" s="255"/>
      <c r="F121" s="255"/>
      <c r="G121" s="256"/>
      <c r="H121" s="255"/>
      <c r="I121" s="255"/>
      <c r="J121" s="255"/>
      <c r="K121" s="256"/>
      <c r="L121" s="255"/>
      <c r="M121" s="255"/>
      <c r="N121" s="255"/>
      <c r="O121" s="256"/>
      <c r="P121" s="255"/>
      <c r="Q121" s="255"/>
      <c r="R121" s="256"/>
      <c r="S121" s="256"/>
      <c r="T121" s="255"/>
      <c r="U121" s="259"/>
    </row>
    <row r="122">
      <c r="A122" s="255"/>
      <c r="B122" s="255"/>
      <c r="C122" s="256"/>
      <c r="D122" s="255"/>
      <c r="E122" s="255"/>
      <c r="F122" s="255"/>
      <c r="G122" s="256"/>
      <c r="H122" s="255"/>
      <c r="I122" s="255"/>
      <c r="J122" s="255"/>
      <c r="K122" s="256"/>
      <c r="L122" s="255"/>
      <c r="M122" s="255"/>
      <c r="N122" s="255"/>
      <c r="O122" s="256"/>
      <c r="P122" s="255"/>
      <c r="Q122" s="255"/>
      <c r="R122" s="256"/>
      <c r="S122" s="256"/>
      <c r="T122" s="255"/>
      <c r="U122" s="259"/>
    </row>
    <row r="123">
      <c r="A123" s="255"/>
      <c r="B123" s="255"/>
      <c r="C123" s="256"/>
      <c r="D123" s="255"/>
      <c r="E123" s="255"/>
      <c r="F123" s="255"/>
      <c r="G123" s="256"/>
      <c r="H123" s="255"/>
      <c r="I123" s="255"/>
      <c r="J123" s="255"/>
      <c r="K123" s="256"/>
      <c r="L123" s="255"/>
      <c r="M123" s="255"/>
      <c r="N123" s="255"/>
      <c r="O123" s="256"/>
      <c r="P123" s="255"/>
      <c r="Q123" s="255"/>
      <c r="R123" s="256"/>
      <c r="S123" s="256"/>
      <c r="T123" s="255"/>
      <c r="U123" s="259"/>
    </row>
    <row r="124">
      <c r="A124" s="255"/>
      <c r="B124" s="255"/>
      <c r="C124" s="256"/>
      <c r="D124" s="255"/>
      <c r="E124" s="255"/>
      <c r="F124" s="255"/>
      <c r="G124" s="256"/>
      <c r="H124" s="255"/>
      <c r="I124" s="255"/>
      <c r="J124" s="255"/>
      <c r="K124" s="256"/>
      <c r="L124" s="255"/>
      <c r="M124" s="255"/>
      <c r="N124" s="255"/>
      <c r="O124" s="256"/>
      <c r="P124" s="255"/>
      <c r="Q124" s="255"/>
      <c r="R124" s="256"/>
      <c r="S124" s="256"/>
      <c r="T124" s="255"/>
      <c r="U124" s="259"/>
    </row>
    <row r="125">
      <c r="A125" s="255"/>
      <c r="B125" s="255"/>
      <c r="C125" s="256"/>
      <c r="D125" s="255"/>
      <c r="E125" s="255"/>
      <c r="F125" s="255"/>
      <c r="G125" s="256"/>
      <c r="H125" s="255"/>
      <c r="I125" s="255"/>
      <c r="J125" s="255"/>
      <c r="K125" s="256"/>
      <c r="L125" s="255"/>
      <c r="M125" s="255"/>
      <c r="N125" s="255"/>
      <c r="O125" s="256"/>
      <c r="P125" s="255"/>
      <c r="Q125" s="255"/>
      <c r="R125" s="256"/>
      <c r="S125" s="256"/>
      <c r="T125" s="255"/>
      <c r="U125" s="259"/>
    </row>
    <row r="126">
      <c r="A126" s="255"/>
      <c r="B126" s="255"/>
      <c r="C126" s="256"/>
      <c r="D126" s="255"/>
      <c r="E126" s="255"/>
      <c r="F126" s="255"/>
      <c r="G126" s="256"/>
      <c r="H126" s="255"/>
      <c r="I126" s="255"/>
      <c r="J126" s="255"/>
      <c r="K126" s="256"/>
      <c r="L126" s="255"/>
      <c r="M126" s="255"/>
      <c r="N126" s="255"/>
      <c r="O126" s="256"/>
      <c r="P126" s="255"/>
      <c r="Q126" s="255"/>
      <c r="R126" s="256"/>
      <c r="S126" s="256"/>
      <c r="T126" s="255"/>
      <c r="U126" s="259"/>
    </row>
    <row r="127">
      <c r="A127" s="255"/>
      <c r="B127" s="255"/>
      <c r="C127" s="256"/>
      <c r="D127" s="255"/>
      <c r="E127" s="255"/>
      <c r="F127" s="255"/>
      <c r="G127" s="256"/>
      <c r="H127" s="255"/>
      <c r="I127" s="255"/>
      <c r="J127" s="255"/>
      <c r="K127" s="256"/>
      <c r="L127" s="255"/>
      <c r="M127" s="255"/>
      <c r="N127" s="255"/>
      <c r="O127" s="256"/>
      <c r="P127" s="255"/>
      <c r="Q127" s="255"/>
      <c r="R127" s="256"/>
      <c r="S127" s="256"/>
      <c r="T127" s="255"/>
      <c r="U127" s="259"/>
    </row>
    <row r="128">
      <c r="A128" s="255"/>
      <c r="B128" s="255"/>
      <c r="C128" s="256"/>
      <c r="D128" s="255"/>
      <c r="E128" s="255"/>
      <c r="F128" s="255"/>
      <c r="G128" s="256"/>
      <c r="H128" s="255"/>
      <c r="I128" s="255"/>
      <c r="J128" s="255"/>
      <c r="K128" s="256"/>
      <c r="L128" s="255"/>
      <c r="M128" s="255"/>
      <c r="N128" s="255"/>
      <c r="O128" s="256"/>
      <c r="P128" s="255"/>
      <c r="Q128" s="255"/>
      <c r="R128" s="256"/>
      <c r="S128" s="256"/>
      <c r="T128" s="255"/>
      <c r="U128" s="259"/>
    </row>
    <row r="129">
      <c r="A129" s="255"/>
      <c r="B129" s="255"/>
      <c r="C129" s="256"/>
      <c r="D129" s="255"/>
      <c r="E129" s="255"/>
      <c r="F129" s="255"/>
      <c r="G129" s="256"/>
      <c r="H129" s="255"/>
      <c r="I129" s="255"/>
      <c r="J129" s="255"/>
      <c r="K129" s="256"/>
      <c r="L129" s="255"/>
      <c r="M129" s="255"/>
      <c r="N129" s="255"/>
      <c r="O129" s="256"/>
      <c r="P129" s="255"/>
      <c r="Q129" s="255"/>
      <c r="R129" s="256"/>
      <c r="S129" s="256"/>
      <c r="T129" s="255"/>
      <c r="U129" s="259"/>
    </row>
    <row r="130">
      <c r="A130" s="255"/>
      <c r="B130" s="255"/>
      <c r="C130" s="256"/>
      <c r="D130" s="255"/>
      <c r="E130" s="255"/>
      <c r="F130" s="255"/>
      <c r="G130" s="256"/>
      <c r="H130" s="255"/>
      <c r="I130" s="255"/>
      <c r="J130" s="255"/>
      <c r="K130" s="256"/>
      <c r="L130" s="255"/>
      <c r="M130" s="255"/>
      <c r="N130" s="255"/>
      <c r="O130" s="256"/>
      <c r="P130" s="255"/>
      <c r="Q130" s="255"/>
      <c r="R130" s="256"/>
      <c r="S130" s="256"/>
      <c r="T130" s="255"/>
      <c r="U130" s="259"/>
    </row>
    <row r="131">
      <c r="A131" s="255"/>
      <c r="B131" s="255"/>
      <c r="C131" s="256"/>
      <c r="D131" s="255"/>
      <c r="E131" s="255"/>
      <c r="F131" s="255"/>
      <c r="G131" s="256"/>
      <c r="H131" s="255"/>
      <c r="I131" s="255"/>
      <c r="J131" s="255"/>
      <c r="K131" s="256"/>
      <c r="L131" s="255"/>
      <c r="M131" s="255"/>
      <c r="N131" s="255"/>
      <c r="O131" s="256"/>
      <c r="P131" s="255"/>
      <c r="Q131" s="255"/>
      <c r="R131" s="256"/>
      <c r="S131" s="256"/>
      <c r="T131" s="255"/>
      <c r="U131" s="259"/>
    </row>
    <row r="132">
      <c r="A132" s="255"/>
      <c r="B132" s="255"/>
      <c r="C132" s="256"/>
      <c r="D132" s="255"/>
      <c r="E132" s="255"/>
      <c r="F132" s="255"/>
      <c r="G132" s="256"/>
      <c r="H132" s="255"/>
      <c r="I132" s="255"/>
      <c r="J132" s="255"/>
      <c r="K132" s="256"/>
      <c r="L132" s="255"/>
      <c r="M132" s="255"/>
      <c r="N132" s="255"/>
      <c r="O132" s="256"/>
      <c r="P132" s="255"/>
      <c r="Q132" s="255"/>
      <c r="R132" s="256"/>
      <c r="S132" s="256"/>
      <c r="T132" s="255"/>
      <c r="U132" s="259"/>
    </row>
    <row r="133">
      <c r="A133" s="255"/>
      <c r="B133" s="255"/>
      <c r="C133" s="256"/>
      <c r="D133" s="255"/>
      <c r="E133" s="255"/>
      <c r="F133" s="255"/>
      <c r="G133" s="256"/>
      <c r="H133" s="255"/>
      <c r="I133" s="255"/>
      <c r="J133" s="255"/>
      <c r="K133" s="256"/>
      <c r="L133" s="255"/>
      <c r="M133" s="255"/>
      <c r="N133" s="255"/>
      <c r="O133" s="256"/>
      <c r="P133" s="255"/>
      <c r="Q133" s="255"/>
      <c r="R133" s="256"/>
      <c r="S133" s="256"/>
      <c r="T133" s="255"/>
      <c r="U133" s="259"/>
    </row>
    <row r="134">
      <c r="A134" s="255"/>
      <c r="B134" s="255"/>
      <c r="C134" s="256"/>
      <c r="D134" s="255"/>
      <c r="E134" s="255"/>
      <c r="F134" s="255"/>
      <c r="G134" s="256"/>
      <c r="H134" s="255"/>
      <c r="I134" s="255"/>
      <c r="J134" s="255"/>
      <c r="K134" s="256"/>
      <c r="L134" s="255"/>
      <c r="M134" s="255"/>
      <c r="N134" s="255"/>
      <c r="O134" s="256"/>
      <c r="P134" s="255"/>
      <c r="Q134" s="255"/>
      <c r="R134" s="256"/>
      <c r="S134" s="256"/>
      <c r="T134" s="255"/>
      <c r="U134" s="259"/>
    </row>
    <row r="135">
      <c r="A135" s="255"/>
      <c r="B135" s="255"/>
      <c r="C135" s="256"/>
      <c r="D135" s="255"/>
      <c r="E135" s="255"/>
      <c r="F135" s="255"/>
      <c r="G135" s="256"/>
      <c r="H135" s="255"/>
      <c r="I135" s="255"/>
      <c r="J135" s="255"/>
      <c r="K135" s="256"/>
      <c r="L135" s="255"/>
      <c r="M135" s="255"/>
      <c r="N135" s="255"/>
      <c r="O135" s="256"/>
      <c r="P135" s="255"/>
      <c r="Q135" s="255"/>
      <c r="R135" s="256"/>
      <c r="S135" s="256"/>
      <c r="T135" s="255"/>
      <c r="U135" s="259"/>
    </row>
    <row r="136">
      <c r="A136" s="255"/>
      <c r="B136" s="255"/>
      <c r="C136" s="256"/>
      <c r="D136" s="255"/>
      <c r="E136" s="255"/>
      <c r="F136" s="255"/>
      <c r="G136" s="256"/>
      <c r="H136" s="255"/>
      <c r="I136" s="255"/>
      <c r="J136" s="255"/>
      <c r="K136" s="256"/>
      <c r="L136" s="255"/>
      <c r="M136" s="255"/>
      <c r="N136" s="255"/>
      <c r="O136" s="256"/>
      <c r="P136" s="255"/>
      <c r="Q136" s="255"/>
      <c r="R136" s="256"/>
      <c r="S136" s="256"/>
      <c r="T136" s="255"/>
      <c r="U136" s="259"/>
    </row>
    <row r="137">
      <c r="A137" s="255"/>
      <c r="B137" s="255"/>
      <c r="C137" s="256"/>
      <c r="D137" s="255"/>
      <c r="E137" s="255"/>
      <c r="F137" s="255"/>
      <c r="G137" s="256"/>
      <c r="H137" s="255"/>
      <c r="I137" s="255"/>
      <c r="J137" s="255"/>
      <c r="K137" s="256"/>
      <c r="L137" s="255"/>
      <c r="M137" s="255"/>
      <c r="N137" s="255"/>
      <c r="O137" s="256"/>
      <c r="P137" s="255"/>
      <c r="Q137" s="255"/>
      <c r="R137" s="256"/>
      <c r="S137" s="256"/>
      <c r="T137" s="255"/>
      <c r="U137" s="259"/>
    </row>
    <row r="138">
      <c r="A138" s="255"/>
      <c r="B138" s="255"/>
      <c r="C138" s="256"/>
      <c r="D138" s="255"/>
      <c r="E138" s="255"/>
      <c r="F138" s="255"/>
      <c r="G138" s="256"/>
      <c r="H138" s="255"/>
      <c r="I138" s="255"/>
      <c r="J138" s="255"/>
      <c r="K138" s="256"/>
      <c r="L138" s="255"/>
      <c r="M138" s="255"/>
      <c r="N138" s="255"/>
      <c r="O138" s="256"/>
      <c r="P138" s="255"/>
      <c r="Q138" s="255"/>
      <c r="R138" s="256"/>
      <c r="S138" s="256"/>
      <c r="T138" s="255"/>
      <c r="U138" s="259"/>
    </row>
    <row r="139">
      <c r="A139" s="255"/>
      <c r="B139" s="255"/>
      <c r="C139" s="256"/>
      <c r="D139" s="255"/>
      <c r="E139" s="255"/>
      <c r="F139" s="255"/>
      <c r="G139" s="256"/>
      <c r="H139" s="255"/>
      <c r="I139" s="255"/>
      <c r="J139" s="255"/>
      <c r="K139" s="256"/>
      <c r="L139" s="255"/>
      <c r="M139" s="255"/>
      <c r="N139" s="255"/>
      <c r="O139" s="256"/>
      <c r="P139" s="255"/>
      <c r="Q139" s="255"/>
      <c r="R139" s="256"/>
      <c r="S139" s="256"/>
      <c r="T139" s="255"/>
      <c r="U139" s="259"/>
    </row>
    <row r="140">
      <c r="A140" s="255"/>
      <c r="B140" s="255"/>
      <c r="C140" s="256"/>
      <c r="D140" s="255"/>
      <c r="E140" s="255"/>
      <c r="F140" s="255"/>
      <c r="G140" s="256"/>
      <c r="H140" s="255"/>
      <c r="I140" s="255"/>
      <c r="J140" s="255"/>
      <c r="K140" s="256"/>
      <c r="L140" s="255"/>
      <c r="M140" s="255"/>
      <c r="N140" s="255"/>
      <c r="O140" s="256"/>
      <c r="P140" s="255"/>
      <c r="Q140" s="255"/>
      <c r="R140" s="256"/>
      <c r="S140" s="256"/>
      <c r="T140" s="255"/>
      <c r="U140" s="259"/>
    </row>
    <row r="141">
      <c r="A141" s="255"/>
      <c r="B141" s="255"/>
      <c r="C141" s="256"/>
      <c r="D141" s="255"/>
      <c r="E141" s="255"/>
      <c r="F141" s="255"/>
      <c r="G141" s="256"/>
      <c r="H141" s="255"/>
      <c r="I141" s="255"/>
      <c r="J141" s="255"/>
      <c r="K141" s="256"/>
      <c r="L141" s="255"/>
      <c r="M141" s="255"/>
      <c r="N141" s="255"/>
      <c r="O141" s="256"/>
      <c r="P141" s="255"/>
      <c r="Q141" s="255"/>
      <c r="R141" s="256"/>
      <c r="S141" s="256"/>
      <c r="T141" s="255"/>
      <c r="U141" s="259"/>
    </row>
    <row r="142">
      <c r="A142" s="255"/>
      <c r="B142" s="255"/>
      <c r="C142" s="256"/>
      <c r="D142" s="255"/>
      <c r="E142" s="255"/>
      <c r="F142" s="255"/>
      <c r="G142" s="256"/>
      <c r="H142" s="255"/>
      <c r="I142" s="255"/>
      <c r="J142" s="255"/>
      <c r="K142" s="256"/>
      <c r="L142" s="255"/>
      <c r="M142" s="255"/>
      <c r="N142" s="255"/>
      <c r="O142" s="256"/>
      <c r="P142" s="255"/>
      <c r="Q142" s="255"/>
      <c r="R142" s="256"/>
      <c r="S142" s="256"/>
      <c r="T142" s="255"/>
      <c r="U142" s="259"/>
    </row>
    <row r="143">
      <c r="A143" s="255"/>
      <c r="B143" s="255"/>
      <c r="C143" s="256"/>
      <c r="D143" s="255"/>
      <c r="E143" s="255"/>
      <c r="F143" s="255"/>
      <c r="G143" s="256"/>
      <c r="H143" s="255"/>
      <c r="I143" s="255"/>
      <c r="J143" s="255"/>
      <c r="K143" s="256"/>
      <c r="L143" s="255"/>
      <c r="M143" s="255"/>
      <c r="N143" s="255"/>
      <c r="O143" s="256"/>
      <c r="P143" s="255"/>
      <c r="Q143" s="255"/>
      <c r="R143" s="256"/>
      <c r="S143" s="256"/>
      <c r="T143" s="255"/>
      <c r="U143" s="259"/>
    </row>
    <row r="144">
      <c r="A144" s="255"/>
      <c r="B144" s="255"/>
      <c r="C144" s="256"/>
      <c r="D144" s="255"/>
      <c r="E144" s="255"/>
      <c r="F144" s="255"/>
      <c r="G144" s="256"/>
      <c r="H144" s="255"/>
      <c r="I144" s="255"/>
      <c r="J144" s="255"/>
      <c r="K144" s="256"/>
      <c r="L144" s="255"/>
      <c r="M144" s="255"/>
      <c r="N144" s="255"/>
      <c r="O144" s="256"/>
      <c r="P144" s="255"/>
      <c r="Q144" s="255"/>
      <c r="R144" s="256"/>
      <c r="S144" s="256"/>
      <c r="T144" s="255"/>
      <c r="U144" s="259"/>
    </row>
    <row r="145">
      <c r="A145" s="255"/>
      <c r="B145" s="255"/>
      <c r="C145" s="256"/>
      <c r="D145" s="255"/>
      <c r="E145" s="255"/>
      <c r="F145" s="255"/>
      <c r="G145" s="256"/>
      <c r="H145" s="255"/>
      <c r="I145" s="255"/>
      <c r="J145" s="255"/>
      <c r="K145" s="256"/>
      <c r="L145" s="255"/>
      <c r="M145" s="255"/>
      <c r="N145" s="255"/>
      <c r="O145" s="256"/>
      <c r="P145" s="255"/>
      <c r="Q145" s="255"/>
      <c r="R145" s="256"/>
      <c r="S145" s="256"/>
      <c r="T145" s="255"/>
      <c r="U145" s="259"/>
    </row>
    <row r="146">
      <c r="A146" s="255"/>
      <c r="B146" s="255"/>
      <c r="C146" s="256"/>
      <c r="D146" s="255"/>
      <c r="E146" s="255"/>
      <c r="F146" s="255"/>
      <c r="G146" s="256"/>
      <c r="H146" s="255"/>
      <c r="I146" s="255"/>
      <c r="J146" s="255"/>
      <c r="K146" s="256"/>
      <c r="L146" s="255"/>
      <c r="M146" s="255"/>
      <c r="N146" s="255"/>
      <c r="O146" s="256"/>
      <c r="P146" s="255"/>
      <c r="Q146" s="255"/>
      <c r="R146" s="256"/>
      <c r="S146" s="256"/>
      <c r="T146" s="255"/>
      <c r="U146" s="259"/>
    </row>
    <row r="147">
      <c r="A147" s="255"/>
      <c r="B147" s="255"/>
      <c r="C147" s="256"/>
      <c r="D147" s="255"/>
      <c r="E147" s="255"/>
      <c r="F147" s="255"/>
      <c r="G147" s="256"/>
      <c r="H147" s="255"/>
      <c r="I147" s="255"/>
      <c r="J147" s="255"/>
      <c r="K147" s="256"/>
      <c r="L147" s="255"/>
      <c r="M147" s="255"/>
      <c r="N147" s="255"/>
      <c r="O147" s="256"/>
      <c r="P147" s="255"/>
      <c r="Q147" s="255"/>
      <c r="R147" s="256"/>
      <c r="S147" s="256"/>
      <c r="T147" s="255"/>
      <c r="U147" s="259"/>
    </row>
    <row r="148">
      <c r="A148" s="255"/>
      <c r="B148" s="255"/>
      <c r="C148" s="256"/>
      <c r="D148" s="255"/>
      <c r="E148" s="255"/>
      <c r="F148" s="255"/>
      <c r="G148" s="256"/>
      <c r="H148" s="255"/>
      <c r="I148" s="255"/>
      <c r="J148" s="255"/>
      <c r="K148" s="256"/>
      <c r="L148" s="255"/>
      <c r="M148" s="255"/>
      <c r="N148" s="255"/>
      <c r="O148" s="256"/>
      <c r="P148" s="255"/>
      <c r="Q148" s="255"/>
      <c r="R148" s="256"/>
      <c r="S148" s="256"/>
      <c r="T148" s="255"/>
      <c r="U148" s="259"/>
    </row>
    <row r="149">
      <c r="A149" s="255"/>
      <c r="B149" s="255"/>
      <c r="C149" s="256"/>
      <c r="D149" s="255"/>
      <c r="E149" s="255"/>
      <c r="F149" s="255"/>
      <c r="G149" s="256"/>
      <c r="H149" s="255"/>
      <c r="I149" s="255"/>
      <c r="J149" s="255"/>
      <c r="K149" s="256"/>
      <c r="L149" s="255"/>
      <c r="M149" s="255"/>
      <c r="N149" s="255"/>
      <c r="O149" s="256"/>
      <c r="P149" s="255"/>
      <c r="Q149" s="255"/>
      <c r="R149" s="256"/>
      <c r="S149" s="256"/>
      <c r="T149" s="255"/>
      <c r="U149" s="259"/>
    </row>
    <row r="150">
      <c r="A150" s="255"/>
      <c r="B150" s="255"/>
      <c r="C150" s="256"/>
      <c r="D150" s="255"/>
      <c r="E150" s="255"/>
      <c r="F150" s="255"/>
      <c r="G150" s="256"/>
      <c r="H150" s="255"/>
      <c r="I150" s="255"/>
      <c r="J150" s="255"/>
      <c r="K150" s="256"/>
      <c r="L150" s="255"/>
      <c r="M150" s="255"/>
      <c r="N150" s="255"/>
      <c r="O150" s="256"/>
      <c r="P150" s="255"/>
      <c r="Q150" s="255"/>
      <c r="R150" s="256"/>
      <c r="S150" s="256"/>
      <c r="T150" s="255"/>
      <c r="U150" s="259"/>
    </row>
    <row r="151">
      <c r="A151" s="255"/>
      <c r="B151" s="255"/>
      <c r="C151" s="256"/>
      <c r="D151" s="255"/>
      <c r="E151" s="255"/>
      <c r="F151" s="255"/>
      <c r="G151" s="256"/>
      <c r="H151" s="255"/>
      <c r="I151" s="255"/>
      <c r="J151" s="255"/>
      <c r="K151" s="256"/>
      <c r="L151" s="255"/>
      <c r="M151" s="255"/>
      <c r="N151" s="255"/>
      <c r="O151" s="256"/>
      <c r="P151" s="255"/>
      <c r="Q151" s="255"/>
      <c r="R151" s="256"/>
      <c r="S151" s="256"/>
      <c r="T151" s="255"/>
      <c r="U151" s="259"/>
    </row>
    <row r="152">
      <c r="A152" s="255"/>
      <c r="B152" s="255"/>
      <c r="C152" s="256"/>
      <c r="D152" s="255"/>
      <c r="E152" s="255"/>
      <c r="F152" s="255"/>
      <c r="G152" s="256"/>
      <c r="H152" s="255"/>
      <c r="I152" s="255"/>
      <c r="J152" s="255"/>
      <c r="K152" s="256"/>
      <c r="L152" s="255"/>
      <c r="M152" s="255"/>
      <c r="N152" s="255"/>
      <c r="O152" s="256"/>
      <c r="P152" s="255"/>
      <c r="Q152" s="255"/>
      <c r="R152" s="256"/>
      <c r="S152" s="256"/>
      <c r="T152" s="255"/>
      <c r="U152" s="259"/>
    </row>
    <row r="153">
      <c r="A153" s="255"/>
      <c r="B153" s="255"/>
      <c r="C153" s="256"/>
      <c r="D153" s="255"/>
      <c r="E153" s="255"/>
      <c r="F153" s="255"/>
      <c r="G153" s="256"/>
      <c r="H153" s="255"/>
      <c r="I153" s="255"/>
      <c r="J153" s="255"/>
      <c r="K153" s="256"/>
      <c r="L153" s="255"/>
      <c r="M153" s="255"/>
      <c r="N153" s="255"/>
      <c r="O153" s="256"/>
      <c r="P153" s="255"/>
      <c r="Q153" s="255"/>
      <c r="R153" s="256"/>
      <c r="S153" s="256"/>
      <c r="T153" s="255"/>
      <c r="U153" s="259"/>
    </row>
    <row r="154">
      <c r="A154" s="255"/>
      <c r="B154" s="255"/>
      <c r="C154" s="256"/>
      <c r="D154" s="255"/>
      <c r="E154" s="255"/>
      <c r="F154" s="255"/>
      <c r="G154" s="256"/>
      <c r="H154" s="255"/>
      <c r="I154" s="255"/>
      <c r="J154" s="255"/>
      <c r="K154" s="256"/>
      <c r="L154" s="255"/>
      <c r="M154" s="255"/>
      <c r="N154" s="255"/>
      <c r="O154" s="256"/>
      <c r="P154" s="255"/>
      <c r="Q154" s="255"/>
      <c r="R154" s="256"/>
      <c r="S154" s="256"/>
      <c r="T154" s="255"/>
      <c r="U154" s="259"/>
    </row>
    <row r="155">
      <c r="A155" s="255"/>
      <c r="B155" s="255"/>
      <c r="C155" s="256"/>
      <c r="D155" s="255"/>
      <c r="E155" s="255"/>
      <c r="F155" s="255"/>
      <c r="G155" s="256"/>
      <c r="H155" s="255"/>
      <c r="I155" s="255"/>
      <c r="J155" s="255"/>
      <c r="K155" s="256"/>
      <c r="L155" s="255"/>
      <c r="M155" s="255"/>
      <c r="N155" s="255"/>
      <c r="O155" s="256"/>
      <c r="P155" s="255"/>
      <c r="Q155" s="255"/>
      <c r="R155" s="256"/>
      <c r="S155" s="256"/>
      <c r="T155" s="255"/>
      <c r="U155" s="259"/>
    </row>
    <row r="156">
      <c r="A156" s="255"/>
      <c r="B156" s="255"/>
      <c r="C156" s="256"/>
      <c r="D156" s="255"/>
      <c r="E156" s="255"/>
      <c r="F156" s="255"/>
      <c r="G156" s="256"/>
      <c r="H156" s="255"/>
      <c r="I156" s="255"/>
      <c r="J156" s="255"/>
      <c r="K156" s="256"/>
      <c r="L156" s="255"/>
      <c r="M156" s="255"/>
      <c r="N156" s="255"/>
      <c r="O156" s="256"/>
      <c r="P156" s="255"/>
      <c r="Q156" s="255"/>
      <c r="R156" s="256"/>
      <c r="S156" s="256"/>
      <c r="T156" s="255"/>
      <c r="U156" s="259"/>
    </row>
    <row r="157">
      <c r="A157" s="255"/>
      <c r="B157" s="255"/>
      <c r="C157" s="256"/>
      <c r="D157" s="255"/>
      <c r="E157" s="255"/>
      <c r="F157" s="255"/>
      <c r="G157" s="256"/>
      <c r="H157" s="255"/>
      <c r="I157" s="255"/>
      <c r="J157" s="255"/>
      <c r="K157" s="256"/>
      <c r="L157" s="255"/>
      <c r="M157" s="255"/>
      <c r="N157" s="255"/>
      <c r="O157" s="256"/>
      <c r="P157" s="255"/>
      <c r="Q157" s="255"/>
      <c r="R157" s="256"/>
      <c r="S157" s="256"/>
      <c r="T157" s="255"/>
      <c r="U157" s="259"/>
    </row>
    <row r="158">
      <c r="A158" s="255"/>
      <c r="B158" s="255"/>
      <c r="C158" s="256"/>
      <c r="D158" s="255"/>
      <c r="E158" s="255"/>
      <c r="F158" s="255"/>
      <c r="G158" s="256"/>
      <c r="H158" s="255"/>
      <c r="I158" s="255"/>
      <c r="J158" s="255"/>
      <c r="K158" s="256"/>
      <c r="L158" s="255"/>
      <c r="M158" s="255"/>
      <c r="N158" s="255"/>
      <c r="O158" s="256"/>
      <c r="P158" s="255"/>
      <c r="Q158" s="255"/>
      <c r="R158" s="256"/>
      <c r="S158" s="256"/>
      <c r="T158" s="255"/>
      <c r="U158" s="259"/>
    </row>
    <row r="159">
      <c r="A159" s="255"/>
      <c r="B159" s="255"/>
      <c r="C159" s="256"/>
      <c r="D159" s="255"/>
      <c r="E159" s="255"/>
      <c r="F159" s="255"/>
      <c r="G159" s="256"/>
      <c r="H159" s="255"/>
      <c r="I159" s="255"/>
      <c r="J159" s="255"/>
      <c r="K159" s="256"/>
      <c r="L159" s="255"/>
      <c r="M159" s="255"/>
      <c r="N159" s="255"/>
      <c r="O159" s="256"/>
      <c r="P159" s="255"/>
      <c r="Q159" s="255"/>
      <c r="R159" s="256"/>
      <c r="S159" s="256"/>
      <c r="T159" s="255"/>
      <c r="U159" s="259"/>
    </row>
    <row r="160">
      <c r="A160" s="255"/>
      <c r="B160" s="255"/>
      <c r="C160" s="256"/>
      <c r="D160" s="255"/>
      <c r="E160" s="255"/>
      <c r="F160" s="255"/>
      <c r="G160" s="256"/>
      <c r="H160" s="255"/>
      <c r="I160" s="255"/>
      <c r="J160" s="255"/>
      <c r="K160" s="256"/>
      <c r="L160" s="255"/>
      <c r="M160" s="255"/>
      <c r="N160" s="255"/>
      <c r="O160" s="256"/>
      <c r="P160" s="255"/>
      <c r="Q160" s="255"/>
      <c r="R160" s="256"/>
      <c r="S160" s="256"/>
      <c r="T160" s="255"/>
      <c r="U160" s="259"/>
    </row>
    <row r="161">
      <c r="A161" s="255"/>
      <c r="B161" s="255"/>
      <c r="C161" s="256"/>
      <c r="D161" s="255"/>
      <c r="E161" s="255"/>
      <c r="F161" s="255"/>
      <c r="G161" s="256"/>
      <c r="H161" s="255"/>
      <c r="I161" s="255"/>
      <c r="J161" s="255"/>
      <c r="K161" s="256"/>
      <c r="L161" s="255"/>
      <c r="M161" s="255"/>
      <c r="N161" s="255"/>
      <c r="O161" s="256"/>
      <c r="P161" s="255"/>
      <c r="Q161" s="255"/>
      <c r="R161" s="256"/>
      <c r="S161" s="256"/>
      <c r="T161" s="255"/>
      <c r="U161" s="259"/>
    </row>
    <row r="162">
      <c r="A162" s="255"/>
      <c r="B162" s="255"/>
      <c r="C162" s="256"/>
      <c r="D162" s="255"/>
      <c r="E162" s="255"/>
      <c r="F162" s="255"/>
      <c r="G162" s="256"/>
      <c r="H162" s="255"/>
      <c r="I162" s="255"/>
      <c r="J162" s="255"/>
      <c r="K162" s="256"/>
      <c r="L162" s="255"/>
      <c r="M162" s="255"/>
      <c r="N162" s="255"/>
      <c r="O162" s="256"/>
      <c r="P162" s="255"/>
      <c r="Q162" s="255"/>
      <c r="R162" s="256"/>
      <c r="S162" s="256"/>
      <c r="T162" s="255"/>
      <c r="U162" s="259"/>
    </row>
    <row r="163">
      <c r="A163" s="255"/>
      <c r="B163" s="255"/>
      <c r="C163" s="256"/>
      <c r="D163" s="255"/>
      <c r="E163" s="255"/>
      <c r="F163" s="255"/>
      <c r="G163" s="256"/>
      <c r="H163" s="255"/>
      <c r="I163" s="255"/>
      <c r="J163" s="255"/>
      <c r="K163" s="256"/>
      <c r="L163" s="255"/>
      <c r="M163" s="255"/>
      <c r="N163" s="255"/>
      <c r="O163" s="256"/>
      <c r="P163" s="255"/>
      <c r="Q163" s="255"/>
      <c r="R163" s="256"/>
      <c r="S163" s="256"/>
      <c r="T163" s="255"/>
      <c r="U163" s="259"/>
    </row>
    <row r="164">
      <c r="A164" s="255"/>
      <c r="B164" s="255"/>
      <c r="C164" s="256"/>
      <c r="D164" s="255"/>
      <c r="E164" s="255"/>
      <c r="F164" s="255"/>
      <c r="G164" s="256"/>
      <c r="H164" s="255"/>
      <c r="I164" s="255"/>
      <c r="J164" s="255"/>
      <c r="K164" s="256"/>
      <c r="L164" s="255"/>
      <c r="M164" s="255"/>
      <c r="N164" s="255"/>
      <c r="O164" s="256"/>
      <c r="P164" s="255"/>
      <c r="Q164" s="255"/>
      <c r="R164" s="256"/>
      <c r="S164" s="256"/>
      <c r="T164" s="255"/>
      <c r="U164" s="259"/>
    </row>
    <row r="165">
      <c r="A165" s="255"/>
      <c r="B165" s="255"/>
      <c r="C165" s="256"/>
      <c r="D165" s="255"/>
      <c r="E165" s="255"/>
      <c r="F165" s="255"/>
      <c r="G165" s="256"/>
      <c r="H165" s="255"/>
      <c r="I165" s="255"/>
      <c r="J165" s="255"/>
      <c r="K165" s="256"/>
      <c r="L165" s="255"/>
      <c r="M165" s="255"/>
      <c r="N165" s="255"/>
      <c r="O165" s="256"/>
      <c r="P165" s="255"/>
      <c r="Q165" s="255"/>
      <c r="R165" s="256"/>
      <c r="S165" s="256"/>
      <c r="T165" s="255"/>
      <c r="U165" s="259"/>
    </row>
    <row r="166">
      <c r="A166" s="255"/>
      <c r="B166" s="255"/>
      <c r="C166" s="256"/>
      <c r="D166" s="255"/>
      <c r="E166" s="255"/>
      <c r="F166" s="255"/>
      <c r="G166" s="256"/>
      <c r="H166" s="255"/>
      <c r="I166" s="255"/>
      <c r="J166" s="255"/>
      <c r="K166" s="256"/>
      <c r="L166" s="255"/>
      <c r="M166" s="255"/>
      <c r="N166" s="255"/>
      <c r="O166" s="256"/>
      <c r="P166" s="255"/>
      <c r="Q166" s="255"/>
      <c r="R166" s="256"/>
      <c r="S166" s="256"/>
      <c r="T166" s="255"/>
      <c r="U166" s="259"/>
    </row>
    <row r="167">
      <c r="A167" s="255"/>
      <c r="B167" s="255"/>
      <c r="C167" s="256"/>
      <c r="D167" s="255"/>
      <c r="E167" s="255"/>
      <c r="F167" s="255"/>
      <c r="G167" s="256"/>
      <c r="H167" s="255"/>
      <c r="I167" s="255"/>
      <c r="J167" s="255"/>
      <c r="K167" s="256"/>
      <c r="L167" s="255"/>
      <c r="M167" s="255"/>
      <c r="N167" s="255"/>
      <c r="O167" s="256"/>
      <c r="P167" s="255"/>
      <c r="Q167" s="255"/>
      <c r="R167" s="256"/>
      <c r="S167" s="256"/>
      <c r="T167" s="255"/>
      <c r="U167" s="259"/>
    </row>
    <row r="168">
      <c r="A168" s="255"/>
      <c r="B168" s="255"/>
      <c r="C168" s="256"/>
      <c r="D168" s="255"/>
      <c r="E168" s="255"/>
      <c r="F168" s="255"/>
      <c r="G168" s="256"/>
      <c r="H168" s="255"/>
      <c r="I168" s="255"/>
      <c r="J168" s="255"/>
      <c r="K168" s="256"/>
      <c r="L168" s="255"/>
      <c r="M168" s="255"/>
      <c r="N168" s="255"/>
      <c r="O168" s="256"/>
      <c r="P168" s="255"/>
      <c r="Q168" s="255"/>
      <c r="R168" s="256"/>
      <c r="S168" s="256"/>
      <c r="T168" s="255"/>
      <c r="U168" s="259"/>
    </row>
    <row r="169">
      <c r="A169" s="255"/>
      <c r="B169" s="255"/>
      <c r="C169" s="256"/>
      <c r="D169" s="255"/>
      <c r="E169" s="255"/>
      <c r="F169" s="255"/>
      <c r="G169" s="256"/>
      <c r="H169" s="255"/>
      <c r="I169" s="255"/>
      <c r="J169" s="255"/>
      <c r="K169" s="256"/>
      <c r="L169" s="255"/>
      <c r="M169" s="255"/>
      <c r="N169" s="255"/>
      <c r="O169" s="256"/>
      <c r="P169" s="255"/>
      <c r="Q169" s="255"/>
      <c r="R169" s="256"/>
      <c r="S169" s="256"/>
      <c r="T169" s="255"/>
      <c r="U169" s="259"/>
    </row>
    <row r="170">
      <c r="A170" s="255"/>
      <c r="B170" s="255"/>
      <c r="C170" s="256"/>
      <c r="D170" s="255"/>
      <c r="E170" s="255"/>
      <c r="F170" s="255"/>
      <c r="G170" s="256"/>
      <c r="H170" s="255"/>
      <c r="I170" s="255"/>
      <c r="J170" s="255"/>
      <c r="K170" s="256"/>
      <c r="L170" s="255"/>
      <c r="M170" s="255"/>
      <c r="N170" s="255"/>
      <c r="O170" s="256"/>
      <c r="P170" s="255"/>
      <c r="Q170" s="255"/>
      <c r="R170" s="256"/>
      <c r="S170" s="256"/>
      <c r="T170" s="255"/>
      <c r="U170" s="259"/>
    </row>
    <row r="171">
      <c r="A171" s="255"/>
      <c r="B171" s="255"/>
      <c r="C171" s="256"/>
      <c r="D171" s="255"/>
      <c r="E171" s="255"/>
      <c r="F171" s="255"/>
      <c r="G171" s="256"/>
      <c r="H171" s="255"/>
      <c r="I171" s="255"/>
      <c r="J171" s="255"/>
      <c r="K171" s="256"/>
      <c r="L171" s="255"/>
      <c r="M171" s="255"/>
      <c r="N171" s="255"/>
      <c r="O171" s="256"/>
      <c r="P171" s="255"/>
      <c r="Q171" s="255"/>
      <c r="R171" s="256"/>
      <c r="S171" s="256"/>
      <c r="T171" s="255"/>
      <c r="U171" s="259"/>
    </row>
    <row r="172">
      <c r="A172" s="255"/>
      <c r="B172" s="255"/>
      <c r="C172" s="256"/>
      <c r="D172" s="255"/>
      <c r="E172" s="255"/>
      <c r="F172" s="255"/>
      <c r="G172" s="256"/>
      <c r="H172" s="255"/>
      <c r="I172" s="255"/>
      <c r="J172" s="255"/>
      <c r="K172" s="256"/>
      <c r="L172" s="255"/>
      <c r="M172" s="255"/>
      <c r="N172" s="255"/>
      <c r="O172" s="256"/>
      <c r="P172" s="255"/>
      <c r="Q172" s="255"/>
      <c r="R172" s="256"/>
      <c r="S172" s="256"/>
      <c r="T172" s="255"/>
      <c r="U172" s="259"/>
    </row>
    <row r="173">
      <c r="A173" s="255"/>
      <c r="B173" s="255"/>
      <c r="C173" s="256"/>
      <c r="D173" s="255"/>
      <c r="E173" s="255"/>
      <c r="F173" s="255"/>
      <c r="G173" s="256"/>
      <c r="H173" s="255"/>
      <c r="I173" s="255"/>
      <c r="J173" s="255"/>
      <c r="K173" s="256"/>
      <c r="L173" s="255"/>
      <c r="M173" s="255"/>
      <c r="N173" s="255"/>
      <c r="O173" s="256"/>
      <c r="P173" s="255"/>
      <c r="Q173" s="255"/>
      <c r="R173" s="256"/>
      <c r="S173" s="256"/>
      <c r="T173" s="255"/>
      <c r="U173" s="259"/>
    </row>
    <row r="174">
      <c r="A174" s="255"/>
      <c r="B174" s="255"/>
      <c r="C174" s="256"/>
      <c r="D174" s="255"/>
      <c r="E174" s="255"/>
      <c r="F174" s="255"/>
      <c r="G174" s="256"/>
      <c r="H174" s="255"/>
      <c r="I174" s="255"/>
      <c r="J174" s="255"/>
      <c r="K174" s="256"/>
      <c r="L174" s="255"/>
      <c r="M174" s="255"/>
      <c r="N174" s="255"/>
      <c r="O174" s="256"/>
      <c r="P174" s="255"/>
      <c r="Q174" s="255"/>
      <c r="R174" s="256"/>
      <c r="S174" s="256"/>
      <c r="T174" s="255"/>
      <c r="U174" s="259"/>
    </row>
    <row r="175">
      <c r="A175" s="255"/>
      <c r="B175" s="255"/>
      <c r="C175" s="256"/>
      <c r="D175" s="255"/>
      <c r="E175" s="255"/>
      <c r="F175" s="255"/>
      <c r="G175" s="256"/>
      <c r="H175" s="255"/>
      <c r="I175" s="255"/>
      <c r="J175" s="255"/>
      <c r="K175" s="256"/>
      <c r="L175" s="255"/>
      <c r="M175" s="255"/>
      <c r="N175" s="255"/>
      <c r="O175" s="256"/>
      <c r="P175" s="255"/>
      <c r="Q175" s="255"/>
      <c r="R175" s="256"/>
      <c r="S175" s="256"/>
      <c r="T175" s="255"/>
      <c r="U175" s="259"/>
    </row>
    <row r="176">
      <c r="A176" s="255"/>
      <c r="B176" s="255"/>
      <c r="C176" s="256"/>
      <c r="D176" s="255"/>
      <c r="E176" s="255"/>
      <c r="F176" s="255"/>
      <c r="G176" s="256"/>
      <c r="H176" s="255"/>
      <c r="I176" s="255"/>
      <c r="J176" s="255"/>
      <c r="K176" s="256"/>
      <c r="L176" s="255"/>
      <c r="M176" s="255"/>
      <c r="N176" s="255"/>
      <c r="O176" s="256"/>
      <c r="P176" s="255"/>
      <c r="Q176" s="255"/>
      <c r="R176" s="256"/>
      <c r="S176" s="256"/>
      <c r="T176" s="255"/>
      <c r="U176" s="259"/>
    </row>
    <row r="177">
      <c r="A177" s="255"/>
      <c r="B177" s="255"/>
      <c r="C177" s="256"/>
      <c r="D177" s="255"/>
      <c r="E177" s="255"/>
      <c r="F177" s="255"/>
      <c r="G177" s="256"/>
      <c r="H177" s="255"/>
      <c r="I177" s="255"/>
      <c r="J177" s="255"/>
      <c r="K177" s="256"/>
      <c r="L177" s="255"/>
      <c r="M177" s="255"/>
      <c r="N177" s="255"/>
      <c r="O177" s="256"/>
      <c r="P177" s="255"/>
      <c r="Q177" s="255"/>
      <c r="R177" s="256"/>
      <c r="S177" s="256"/>
      <c r="T177" s="255"/>
      <c r="U177" s="259"/>
    </row>
    <row r="178">
      <c r="A178" s="255"/>
      <c r="B178" s="255"/>
      <c r="C178" s="256"/>
      <c r="D178" s="255"/>
      <c r="E178" s="255"/>
      <c r="F178" s="255"/>
      <c r="G178" s="256"/>
      <c r="H178" s="255"/>
      <c r="I178" s="255"/>
      <c r="J178" s="255"/>
      <c r="K178" s="256"/>
      <c r="L178" s="255"/>
      <c r="M178" s="255"/>
      <c r="N178" s="255"/>
      <c r="O178" s="256"/>
      <c r="P178" s="255"/>
      <c r="Q178" s="255"/>
      <c r="R178" s="256"/>
      <c r="S178" s="256"/>
      <c r="T178" s="255"/>
      <c r="U178" s="259"/>
    </row>
    <row r="179">
      <c r="A179" s="255"/>
      <c r="B179" s="255"/>
      <c r="C179" s="256"/>
      <c r="D179" s="255"/>
      <c r="E179" s="255"/>
      <c r="F179" s="255"/>
      <c r="G179" s="256"/>
      <c r="H179" s="255"/>
      <c r="I179" s="255"/>
      <c r="J179" s="255"/>
      <c r="K179" s="256"/>
      <c r="L179" s="255"/>
      <c r="M179" s="255"/>
      <c r="N179" s="255"/>
      <c r="O179" s="256"/>
      <c r="P179" s="255"/>
      <c r="Q179" s="255"/>
      <c r="R179" s="256"/>
      <c r="S179" s="256"/>
      <c r="T179" s="255"/>
      <c r="U179" s="259"/>
    </row>
    <row r="180">
      <c r="A180" s="255"/>
      <c r="B180" s="255"/>
      <c r="C180" s="256"/>
      <c r="D180" s="255"/>
      <c r="E180" s="255"/>
      <c r="F180" s="255"/>
      <c r="G180" s="256"/>
      <c r="H180" s="255"/>
      <c r="I180" s="255"/>
      <c r="J180" s="255"/>
      <c r="K180" s="256"/>
      <c r="L180" s="255"/>
      <c r="M180" s="255"/>
      <c r="N180" s="255"/>
      <c r="O180" s="256"/>
      <c r="P180" s="255"/>
      <c r="Q180" s="255"/>
      <c r="R180" s="256"/>
      <c r="S180" s="256"/>
      <c r="T180" s="255"/>
      <c r="U180" s="259"/>
    </row>
    <row r="181">
      <c r="A181" s="255"/>
      <c r="B181" s="255"/>
      <c r="C181" s="256"/>
      <c r="D181" s="255"/>
      <c r="E181" s="255"/>
      <c r="F181" s="255"/>
      <c r="G181" s="256"/>
      <c r="H181" s="255"/>
      <c r="I181" s="255"/>
      <c r="J181" s="255"/>
      <c r="K181" s="256"/>
      <c r="L181" s="255"/>
      <c r="M181" s="255"/>
      <c r="N181" s="255"/>
      <c r="O181" s="256"/>
      <c r="P181" s="255"/>
      <c r="Q181" s="255"/>
      <c r="R181" s="256"/>
      <c r="S181" s="256"/>
      <c r="T181" s="255"/>
      <c r="U181" s="259"/>
    </row>
    <row r="182">
      <c r="A182" s="255"/>
      <c r="B182" s="255"/>
      <c r="C182" s="256"/>
      <c r="D182" s="255"/>
      <c r="E182" s="255"/>
      <c r="F182" s="255"/>
      <c r="G182" s="256"/>
      <c r="H182" s="255"/>
      <c r="I182" s="255"/>
      <c r="J182" s="255"/>
      <c r="K182" s="256"/>
      <c r="L182" s="255"/>
      <c r="M182" s="255"/>
      <c r="N182" s="255"/>
      <c r="O182" s="256"/>
      <c r="P182" s="255"/>
      <c r="Q182" s="255"/>
      <c r="R182" s="256"/>
      <c r="S182" s="256"/>
      <c r="T182" s="255"/>
      <c r="U182" s="259"/>
    </row>
    <row r="183">
      <c r="A183" s="255"/>
      <c r="B183" s="255"/>
      <c r="C183" s="256"/>
      <c r="D183" s="255"/>
      <c r="E183" s="255"/>
      <c r="F183" s="255"/>
      <c r="G183" s="256"/>
      <c r="H183" s="255"/>
      <c r="I183" s="255"/>
      <c r="J183" s="255"/>
      <c r="K183" s="256"/>
      <c r="L183" s="255"/>
      <c r="M183" s="255"/>
      <c r="N183" s="255"/>
      <c r="O183" s="256"/>
      <c r="P183" s="255"/>
      <c r="Q183" s="255"/>
      <c r="R183" s="256"/>
      <c r="S183" s="256"/>
      <c r="T183" s="255"/>
      <c r="U183" s="259"/>
    </row>
    <row r="184">
      <c r="A184" s="255"/>
      <c r="B184" s="255"/>
      <c r="C184" s="256"/>
      <c r="D184" s="255"/>
      <c r="E184" s="255"/>
      <c r="F184" s="255"/>
      <c r="G184" s="256"/>
      <c r="H184" s="255"/>
      <c r="I184" s="255"/>
      <c r="J184" s="255"/>
      <c r="K184" s="256"/>
      <c r="L184" s="255"/>
      <c r="M184" s="255"/>
      <c r="N184" s="255"/>
      <c r="O184" s="256"/>
      <c r="P184" s="255"/>
      <c r="Q184" s="255"/>
      <c r="R184" s="256"/>
      <c r="S184" s="256"/>
      <c r="T184" s="255"/>
      <c r="U184" s="259"/>
    </row>
    <row r="185">
      <c r="A185" s="255"/>
      <c r="B185" s="255"/>
      <c r="C185" s="256"/>
      <c r="D185" s="255"/>
      <c r="E185" s="255"/>
      <c r="F185" s="255"/>
      <c r="G185" s="256"/>
      <c r="H185" s="255"/>
      <c r="I185" s="255"/>
      <c r="J185" s="255"/>
      <c r="K185" s="256"/>
      <c r="L185" s="255"/>
      <c r="M185" s="255"/>
      <c r="N185" s="255"/>
      <c r="O185" s="256"/>
      <c r="P185" s="255"/>
      <c r="Q185" s="255"/>
      <c r="R185" s="256"/>
      <c r="S185" s="256"/>
      <c r="T185" s="255"/>
      <c r="U185" s="259"/>
    </row>
    <row r="186">
      <c r="A186" s="255"/>
      <c r="B186" s="255"/>
      <c r="C186" s="256"/>
      <c r="D186" s="255"/>
      <c r="E186" s="255"/>
      <c r="F186" s="255"/>
      <c r="G186" s="256"/>
      <c r="H186" s="255"/>
      <c r="I186" s="255"/>
      <c r="J186" s="255"/>
      <c r="K186" s="256"/>
      <c r="L186" s="255"/>
      <c r="M186" s="255"/>
      <c r="N186" s="255"/>
      <c r="O186" s="256"/>
      <c r="P186" s="255"/>
      <c r="Q186" s="255"/>
      <c r="R186" s="256"/>
      <c r="S186" s="256"/>
      <c r="T186" s="255"/>
      <c r="U186" s="259"/>
    </row>
    <row r="187">
      <c r="A187" s="255"/>
      <c r="B187" s="255"/>
      <c r="C187" s="256"/>
      <c r="D187" s="255"/>
      <c r="E187" s="255"/>
      <c r="F187" s="255"/>
      <c r="G187" s="256"/>
      <c r="H187" s="255"/>
      <c r="I187" s="255"/>
      <c r="J187" s="255"/>
      <c r="K187" s="256"/>
      <c r="L187" s="255"/>
      <c r="M187" s="255"/>
      <c r="N187" s="255"/>
      <c r="O187" s="256"/>
      <c r="P187" s="255"/>
      <c r="Q187" s="255"/>
      <c r="R187" s="256"/>
      <c r="S187" s="256"/>
      <c r="T187" s="255"/>
      <c r="U187" s="259"/>
    </row>
    <row r="188">
      <c r="A188" s="255"/>
      <c r="B188" s="255"/>
      <c r="C188" s="256"/>
      <c r="D188" s="255"/>
      <c r="E188" s="255"/>
      <c r="F188" s="255"/>
      <c r="G188" s="256"/>
      <c r="H188" s="255"/>
      <c r="I188" s="255"/>
      <c r="J188" s="255"/>
      <c r="K188" s="256"/>
      <c r="L188" s="255"/>
      <c r="M188" s="255"/>
      <c r="N188" s="255"/>
      <c r="O188" s="256"/>
      <c r="P188" s="255"/>
      <c r="Q188" s="255"/>
      <c r="R188" s="256"/>
      <c r="S188" s="256"/>
      <c r="T188" s="255"/>
      <c r="U188" s="259"/>
    </row>
    <row r="189">
      <c r="A189" s="255"/>
      <c r="B189" s="255"/>
      <c r="C189" s="256"/>
      <c r="D189" s="255"/>
      <c r="E189" s="255"/>
      <c r="F189" s="255"/>
      <c r="G189" s="256"/>
      <c r="H189" s="255"/>
      <c r="I189" s="255"/>
      <c r="J189" s="255"/>
      <c r="K189" s="256"/>
      <c r="L189" s="255"/>
      <c r="M189" s="255"/>
      <c r="N189" s="255"/>
      <c r="O189" s="256"/>
      <c r="P189" s="255"/>
      <c r="Q189" s="255"/>
      <c r="R189" s="256"/>
      <c r="S189" s="256"/>
      <c r="T189" s="255"/>
      <c r="U189" s="259"/>
    </row>
    <row r="190">
      <c r="A190" s="255"/>
      <c r="B190" s="255"/>
      <c r="C190" s="256"/>
      <c r="D190" s="255"/>
      <c r="E190" s="255"/>
      <c r="F190" s="255"/>
      <c r="G190" s="256"/>
      <c r="H190" s="255"/>
      <c r="I190" s="255"/>
      <c r="J190" s="255"/>
      <c r="K190" s="256"/>
      <c r="L190" s="255"/>
      <c r="M190" s="255"/>
      <c r="N190" s="255"/>
      <c r="O190" s="256"/>
      <c r="P190" s="255"/>
      <c r="Q190" s="255"/>
      <c r="R190" s="256"/>
      <c r="S190" s="256"/>
      <c r="T190" s="255"/>
      <c r="U190" s="259"/>
    </row>
    <row r="191">
      <c r="A191" s="255"/>
      <c r="B191" s="255"/>
      <c r="C191" s="256"/>
      <c r="D191" s="255"/>
      <c r="E191" s="255"/>
      <c r="F191" s="255"/>
      <c r="G191" s="256"/>
      <c r="H191" s="255"/>
      <c r="I191" s="255"/>
      <c r="J191" s="255"/>
      <c r="K191" s="256"/>
      <c r="L191" s="255"/>
      <c r="M191" s="255"/>
      <c r="N191" s="255"/>
      <c r="O191" s="256"/>
      <c r="P191" s="255"/>
      <c r="Q191" s="255"/>
      <c r="R191" s="256"/>
      <c r="S191" s="256"/>
      <c r="T191" s="255"/>
      <c r="U191" s="259"/>
    </row>
    <row r="192">
      <c r="A192" s="255"/>
      <c r="B192" s="255"/>
      <c r="C192" s="256"/>
      <c r="D192" s="255"/>
      <c r="E192" s="255"/>
      <c r="F192" s="255"/>
      <c r="G192" s="256"/>
      <c r="H192" s="255"/>
      <c r="I192" s="255"/>
      <c r="J192" s="255"/>
      <c r="K192" s="256"/>
      <c r="L192" s="255"/>
      <c r="M192" s="255"/>
      <c r="N192" s="255"/>
      <c r="O192" s="256"/>
      <c r="P192" s="255"/>
      <c r="Q192" s="255"/>
      <c r="R192" s="256"/>
      <c r="S192" s="256"/>
      <c r="T192" s="255"/>
      <c r="U192" s="259"/>
    </row>
    <row r="193">
      <c r="A193" s="255"/>
      <c r="B193" s="255"/>
      <c r="C193" s="256"/>
      <c r="D193" s="255"/>
      <c r="E193" s="255"/>
      <c r="F193" s="255"/>
      <c r="G193" s="256"/>
      <c r="H193" s="255"/>
      <c r="I193" s="255"/>
      <c r="J193" s="255"/>
      <c r="K193" s="256"/>
      <c r="L193" s="255"/>
      <c r="M193" s="255"/>
      <c r="N193" s="255"/>
      <c r="O193" s="256"/>
      <c r="P193" s="255"/>
      <c r="Q193" s="255"/>
      <c r="R193" s="256"/>
      <c r="S193" s="256"/>
      <c r="T193" s="255"/>
      <c r="U193" s="259"/>
    </row>
    <row r="194">
      <c r="A194" s="255"/>
      <c r="B194" s="255"/>
      <c r="C194" s="256"/>
      <c r="D194" s="255"/>
      <c r="E194" s="255"/>
      <c r="F194" s="255"/>
      <c r="G194" s="256"/>
      <c r="H194" s="255"/>
      <c r="I194" s="255"/>
      <c r="J194" s="255"/>
      <c r="K194" s="256"/>
      <c r="L194" s="255"/>
      <c r="M194" s="255"/>
      <c r="N194" s="255"/>
      <c r="O194" s="256"/>
      <c r="P194" s="255"/>
      <c r="Q194" s="255"/>
      <c r="R194" s="256"/>
      <c r="S194" s="256"/>
      <c r="T194" s="255"/>
      <c r="U194" s="259"/>
    </row>
    <row r="195">
      <c r="A195" s="255"/>
      <c r="B195" s="255"/>
      <c r="C195" s="256"/>
      <c r="D195" s="255"/>
      <c r="E195" s="255"/>
      <c r="F195" s="255"/>
      <c r="G195" s="256"/>
      <c r="H195" s="255"/>
      <c r="I195" s="255"/>
      <c r="J195" s="255"/>
      <c r="K195" s="256"/>
      <c r="L195" s="255"/>
      <c r="M195" s="255"/>
      <c r="N195" s="255"/>
      <c r="O195" s="256"/>
      <c r="P195" s="255"/>
      <c r="Q195" s="255"/>
      <c r="R195" s="256"/>
      <c r="S195" s="256"/>
      <c r="T195" s="255"/>
      <c r="U195" s="259"/>
    </row>
    <row r="196">
      <c r="A196" s="255"/>
      <c r="B196" s="255"/>
      <c r="C196" s="256"/>
      <c r="D196" s="255"/>
      <c r="E196" s="255"/>
      <c r="F196" s="255"/>
      <c r="G196" s="256"/>
      <c r="H196" s="255"/>
      <c r="I196" s="255"/>
      <c r="J196" s="255"/>
      <c r="K196" s="256"/>
      <c r="L196" s="255"/>
      <c r="M196" s="255"/>
      <c r="N196" s="255"/>
      <c r="O196" s="256"/>
      <c r="P196" s="255"/>
      <c r="Q196" s="255"/>
      <c r="R196" s="256"/>
      <c r="S196" s="256"/>
      <c r="T196" s="255"/>
      <c r="U196" s="259"/>
    </row>
    <row r="197">
      <c r="A197" s="255"/>
      <c r="B197" s="255"/>
      <c r="C197" s="256"/>
      <c r="D197" s="255"/>
      <c r="E197" s="255"/>
      <c r="F197" s="255"/>
      <c r="G197" s="256"/>
      <c r="H197" s="255"/>
      <c r="I197" s="255"/>
      <c r="J197" s="255"/>
      <c r="K197" s="256"/>
      <c r="L197" s="255"/>
      <c r="M197" s="255"/>
      <c r="N197" s="255"/>
      <c r="O197" s="256"/>
      <c r="P197" s="255"/>
      <c r="Q197" s="255"/>
      <c r="R197" s="256"/>
      <c r="S197" s="256"/>
      <c r="T197" s="255"/>
      <c r="U197" s="259"/>
    </row>
    <row r="198">
      <c r="A198" s="255"/>
      <c r="B198" s="255"/>
      <c r="C198" s="256"/>
      <c r="D198" s="255"/>
      <c r="E198" s="255"/>
      <c r="F198" s="255"/>
      <c r="G198" s="256"/>
      <c r="H198" s="255"/>
      <c r="I198" s="255"/>
      <c r="J198" s="255"/>
      <c r="K198" s="256"/>
      <c r="L198" s="255"/>
      <c r="M198" s="255"/>
      <c r="N198" s="255"/>
      <c r="O198" s="256"/>
      <c r="P198" s="255"/>
      <c r="Q198" s="255"/>
      <c r="R198" s="256"/>
      <c r="S198" s="256"/>
      <c r="T198" s="255"/>
      <c r="U198" s="259"/>
    </row>
    <row r="199">
      <c r="A199" s="255"/>
      <c r="B199" s="255"/>
      <c r="C199" s="256"/>
      <c r="D199" s="255"/>
      <c r="E199" s="255"/>
      <c r="F199" s="255"/>
      <c r="G199" s="256"/>
      <c r="H199" s="255"/>
      <c r="I199" s="255"/>
      <c r="J199" s="255"/>
      <c r="K199" s="256"/>
      <c r="L199" s="255"/>
      <c r="M199" s="255"/>
      <c r="N199" s="255"/>
      <c r="O199" s="256"/>
      <c r="P199" s="255"/>
      <c r="Q199" s="255"/>
      <c r="R199" s="256"/>
      <c r="S199" s="256"/>
      <c r="T199" s="255"/>
      <c r="U199" s="259"/>
    </row>
    <row r="200">
      <c r="A200" s="255"/>
      <c r="B200" s="255"/>
      <c r="C200" s="256"/>
      <c r="D200" s="255"/>
      <c r="E200" s="255"/>
      <c r="F200" s="255"/>
      <c r="G200" s="256"/>
      <c r="H200" s="255"/>
      <c r="I200" s="255"/>
      <c r="J200" s="255"/>
      <c r="K200" s="256"/>
      <c r="L200" s="255"/>
      <c r="M200" s="255"/>
      <c r="N200" s="255"/>
      <c r="O200" s="256"/>
      <c r="P200" s="255"/>
      <c r="Q200" s="255"/>
      <c r="R200" s="256"/>
      <c r="S200" s="256"/>
      <c r="T200" s="255"/>
      <c r="U200" s="259"/>
    </row>
    <row r="201">
      <c r="A201" s="255"/>
      <c r="B201" s="255"/>
      <c r="C201" s="256"/>
      <c r="D201" s="255"/>
      <c r="E201" s="255"/>
      <c r="F201" s="255"/>
      <c r="G201" s="256"/>
      <c r="H201" s="255"/>
      <c r="I201" s="255"/>
      <c r="J201" s="255"/>
      <c r="K201" s="256"/>
      <c r="L201" s="255"/>
      <c r="M201" s="255"/>
      <c r="N201" s="255"/>
      <c r="O201" s="256"/>
      <c r="P201" s="255"/>
      <c r="Q201" s="255"/>
      <c r="R201" s="256"/>
      <c r="S201" s="256"/>
      <c r="T201" s="255"/>
      <c r="U201" s="259"/>
    </row>
    <row r="202">
      <c r="A202" s="255"/>
      <c r="B202" s="255"/>
      <c r="C202" s="256"/>
      <c r="D202" s="255"/>
      <c r="E202" s="255"/>
      <c r="F202" s="255"/>
      <c r="G202" s="256"/>
      <c r="H202" s="255"/>
      <c r="I202" s="255"/>
      <c r="J202" s="255"/>
      <c r="K202" s="256"/>
      <c r="L202" s="255"/>
      <c r="M202" s="255"/>
      <c r="N202" s="255"/>
      <c r="O202" s="256"/>
      <c r="P202" s="255"/>
      <c r="Q202" s="255"/>
      <c r="R202" s="256"/>
      <c r="S202" s="256"/>
      <c r="T202" s="255"/>
      <c r="U202" s="259"/>
    </row>
    <row r="203">
      <c r="A203" s="255"/>
      <c r="B203" s="255"/>
      <c r="C203" s="256"/>
      <c r="D203" s="255"/>
      <c r="E203" s="255"/>
      <c r="F203" s="255"/>
      <c r="G203" s="256"/>
      <c r="H203" s="255"/>
      <c r="I203" s="255"/>
      <c r="J203" s="255"/>
      <c r="K203" s="256"/>
      <c r="L203" s="255"/>
      <c r="M203" s="255"/>
      <c r="N203" s="255"/>
      <c r="O203" s="256"/>
      <c r="P203" s="255"/>
      <c r="Q203" s="255"/>
      <c r="R203" s="256"/>
      <c r="S203" s="256"/>
      <c r="T203" s="255"/>
      <c r="U203" s="259"/>
    </row>
    <row r="204">
      <c r="A204" s="255"/>
      <c r="B204" s="255"/>
      <c r="C204" s="256"/>
      <c r="D204" s="255"/>
      <c r="E204" s="255"/>
      <c r="F204" s="255"/>
      <c r="G204" s="256"/>
      <c r="H204" s="255"/>
      <c r="I204" s="255"/>
      <c r="J204" s="255"/>
      <c r="K204" s="256"/>
      <c r="L204" s="255"/>
      <c r="M204" s="255"/>
      <c r="N204" s="255"/>
      <c r="O204" s="256"/>
      <c r="P204" s="255"/>
      <c r="Q204" s="255"/>
      <c r="R204" s="256"/>
      <c r="S204" s="256"/>
      <c r="T204" s="255"/>
      <c r="U204" s="259"/>
    </row>
    <row r="205">
      <c r="A205" s="255"/>
      <c r="B205" s="255"/>
      <c r="C205" s="256"/>
      <c r="D205" s="255"/>
      <c r="E205" s="255"/>
      <c r="F205" s="255"/>
      <c r="G205" s="256"/>
      <c r="H205" s="255"/>
      <c r="I205" s="255"/>
      <c r="J205" s="255"/>
      <c r="K205" s="256"/>
      <c r="L205" s="255"/>
      <c r="M205" s="255"/>
      <c r="N205" s="255"/>
      <c r="O205" s="256"/>
      <c r="P205" s="255"/>
      <c r="Q205" s="255"/>
      <c r="R205" s="256"/>
      <c r="S205" s="256"/>
      <c r="T205" s="255"/>
      <c r="U205" s="259"/>
    </row>
    <row r="206">
      <c r="A206" s="255"/>
      <c r="B206" s="255"/>
      <c r="C206" s="256"/>
      <c r="D206" s="255"/>
      <c r="E206" s="255"/>
      <c r="F206" s="255"/>
      <c r="G206" s="256"/>
      <c r="H206" s="255"/>
      <c r="I206" s="255"/>
      <c r="J206" s="255"/>
      <c r="K206" s="256"/>
      <c r="L206" s="255"/>
      <c r="M206" s="255"/>
      <c r="N206" s="255"/>
      <c r="O206" s="256"/>
      <c r="P206" s="255"/>
      <c r="Q206" s="255"/>
      <c r="R206" s="256"/>
      <c r="S206" s="256"/>
      <c r="T206" s="255"/>
      <c r="U206" s="259"/>
    </row>
    <row r="207">
      <c r="A207" s="255"/>
      <c r="B207" s="255"/>
      <c r="C207" s="256"/>
      <c r="D207" s="255"/>
      <c r="E207" s="255"/>
      <c r="F207" s="255"/>
      <c r="G207" s="256"/>
      <c r="H207" s="255"/>
      <c r="I207" s="255"/>
      <c r="J207" s="255"/>
      <c r="K207" s="256"/>
      <c r="L207" s="255"/>
      <c r="M207" s="255"/>
      <c r="N207" s="255"/>
      <c r="O207" s="256"/>
      <c r="P207" s="255"/>
      <c r="Q207" s="255"/>
      <c r="R207" s="256"/>
      <c r="S207" s="256"/>
      <c r="T207" s="255"/>
      <c r="U207" s="259"/>
    </row>
    <row r="208">
      <c r="A208" s="255"/>
      <c r="B208" s="255"/>
      <c r="C208" s="256"/>
      <c r="D208" s="255"/>
      <c r="E208" s="255"/>
      <c r="F208" s="255"/>
      <c r="G208" s="256"/>
      <c r="H208" s="255"/>
      <c r="I208" s="255"/>
      <c r="J208" s="255"/>
      <c r="K208" s="256"/>
      <c r="L208" s="255"/>
      <c r="M208" s="255"/>
      <c r="N208" s="255"/>
      <c r="O208" s="256"/>
      <c r="P208" s="255"/>
      <c r="Q208" s="255"/>
      <c r="R208" s="256"/>
      <c r="S208" s="256"/>
      <c r="T208" s="255"/>
      <c r="U208" s="259"/>
    </row>
    <row r="209">
      <c r="A209" s="255"/>
      <c r="B209" s="255"/>
      <c r="C209" s="256"/>
      <c r="D209" s="255"/>
      <c r="E209" s="255"/>
      <c r="F209" s="255"/>
      <c r="G209" s="256"/>
      <c r="H209" s="255"/>
      <c r="I209" s="255"/>
      <c r="J209" s="255"/>
      <c r="K209" s="256"/>
      <c r="L209" s="255"/>
      <c r="M209" s="255"/>
      <c r="N209" s="255"/>
      <c r="O209" s="256"/>
      <c r="P209" s="255"/>
      <c r="Q209" s="255"/>
      <c r="R209" s="256"/>
      <c r="S209" s="256"/>
      <c r="T209" s="255"/>
      <c r="U209" s="259"/>
    </row>
    <row r="210">
      <c r="A210" s="255"/>
      <c r="B210" s="255"/>
      <c r="C210" s="256"/>
      <c r="D210" s="255"/>
      <c r="E210" s="255"/>
      <c r="F210" s="255"/>
      <c r="G210" s="256"/>
      <c r="H210" s="255"/>
      <c r="I210" s="255"/>
      <c r="J210" s="255"/>
      <c r="K210" s="256"/>
      <c r="L210" s="255"/>
      <c r="M210" s="255"/>
      <c r="N210" s="255"/>
      <c r="O210" s="256"/>
      <c r="P210" s="255"/>
      <c r="Q210" s="255"/>
      <c r="R210" s="256"/>
      <c r="S210" s="256"/>
      <c r="T210" s="255"/>
      <c r="U210" s="259"/>
    </row>
    <row r="211">
      <c r="A211" s="255"/>
      <c r="B211" s="255"/>
      <c r="C211" s="256"/>
      <c r="D211" s="255"/>
      <c r="E211" s="255"/>
      <c r="F211" s="255"/>
      <c r="G211" s="256"/>
      <c r="H211" s="255"/>
      <c r="I211" s="255"/>
      <c r="J211" s="255"/>
      <c r="K211" s="256"/>
      <c r="L211" s="255"/>
      <c r="M211" s="255"/>
      <c r="N211" s="255"/>
      <c r="O211" s="256"/>
      <c r="P211" s="255"/>
      <c r="Q211" s="255"/>
      <c r="R211" s="256"/>
      <c r="S211" s="256"/>
      <c r="T211" s="255"/>
      <c r="U211" s="259"/>
    </row>
    <row r="212">
      <c r="A212" s="255"/>
      <c r="B212" s="255"/>
      <c r="C212" s="256"/>
      <c r="D212" s="255"/>
      <c r="E212" s="255"/>
      <c r="F212" s="255"/>
      <c r="G212" s="256"/>
      <c r="H212" s="255"/>
      <c r="I212" s="255"/>
      <c r="J212" s="255"/>
      <c r="K212" s="256"/>
      <c r="L212" s="255"/>
      <c r="M212" s="255"/>
      <c r="N212" s="255"/>
      <c r="O212" s="256"/>
      <c r="P212" s="255"/>
      <c r="Q212" s="255"/>
      <c r="R212" s="256"/>
      <c r="S212" s="256"/>
      <c r="T212" s="255"/>
      <c r="U212" s="259"/>
    </row>
    <row r="213">
      <c r="A213" s="255"/>
      <c r="B213" s="255"/>
      <c r="C213" s="256"/>
      <c r="D213" s="255"/>
      <c r="E213" s="255"/>
      <c r="F213" s="255"/>
      <c r="G213" s="256"/>
      <c r="H213" s="255"/>
      <c r="I213" s="255"/>
      <c r="J213" s="255"/>
      <c r="K213" s="256"/>
      <c r="L213" s="255"/>
      <c r="M213" s="255"/>
      <c r="N213" s="255"/>
      <c r="O213" s="256"/>
      <c r="P213" s="255"/>
      <c r="Q213" s="255"/>
      <c r="R213" s="256"/>
      <c r="S213" s="256"/>
      <c r="T213" s="255"/>
      <c r="U213" s="259"/>
    </row>
    <row r="214">
      <c r="A214" s="255"/>
      <c r="B214" s="255"/>
      <c r="C214" s="256"/>
      <c r="D214" s="255"/>
      <c r="E214" s="255"/>
      <c r="F214" s="255"/>
      <c r="G214" s="256"/>
      <c r="H214" s="255"/>
      <c r="I214" s="255"/>
      <c r="J214" s="255"/>
      <c r="K214" s="256"/>
      <c r="L214" s="255"/>
      <c r="M214" s="255"/>
      <c r="N214" s="255"/>
      <c r="O214" s="256"/>
      <c r="P214" s="255"/>
      <c r="Q214" s="255"/>
      <c r="R214" s="256"/>
      <c r="S214" s="256"/>
      <c r="T214" s="255"/>
      <c r="U214" s="259"/>
    </row>
    <row r="215">
      <c r="A215" s="255"/>
      <c r="B215" s="255"/>
      <c r="C215" s="256"/>
      <c r="D215" s="255"/>
      <c r="E215" s="255"/>
      <c r="F215" s="255"/>
      <c r="G215" s="256"/>
      <c r="H215" s="255"/>
      <c r="I215" s="255"/>
      <c r="J215" s="255"/>
      <c r="K215" s="256"/>
      <c r="L215" s="255"/>
      <c r="M215" s="255"/>
      <c r="N215" s="255"/>
      <c r="O215" s="256"/>
      <c r="P215" s="255"/>
      <c r="Q215" s="255"/>
      <c r="R215" s="256"/>
      <c r="S215" s="256"/>
      <c r="T215" s="255"/>
      <c r="U215" s="259"/>
    </row>
    <row r="216">
      <c r="A216" s="255"/>
      <c r="B216" s="255"/>
      <c r="C216" s="256"/>
      <c r="D216" s="255"/>
      <c r="E216" s="255"/>
      <c r="F216" s="255"/>
      <c r="G216" s="256"/>
      <c r="H216" s="255"/>
      <c r="I216" s="255"/>
      <c r="J216" s="255"/>
      <c r="K216" s="256"/>
      <c r="L216" s="255"/>
      <c r="M216" s="255"/>
      <c r="N216" s="255"/>
      <c r="O216" s="256"/>
      <c r="P216" s="255"/>
      <c r="Q216" s="255"/>
      <c r="R216" s="256"/>
      <c r="S216" s="256"/>
      <c r="T216" s="255"/>
      <c r="U216" s="259"/>
    </row>
    <row r="217">
      <c r="A217" s="255"/>
      <c r="B217" s="255"/>
      <c r="C217" s="256"/>
      <c r="D217" s="255"/>
      <c r="E217" s="255"/>
      <c r="F217" s="255"/>
      <c r="G217" s="256"/>
      <c r="H217" s="255"/>
      <c r="I217" s="255"/>
      <c r="J217" s="255"/>
      <c r="K217" s="256"/>
      <c r="L217" s="255"/>
      <c r="M217" s="255"/>
      <c r="N217" s="255"/>
      <c r="O217" s="256"/>
      <c r="P217" s="255"/>
      <c r="Q217" s="255"/>
      <c r="R217" s="256"/>
      <c r="S217" s="256"/>
      <c r="T217" s="255"/>
      <c r="U217" s="259"/>
    </row>
    <row r="218">
      <c r="A218" s="255"/>
      <c r="B218" s="255"/>
      <c r="C218" s="256"/>
      <c r="D218" s="255"/>
      <c r="E218" s="255"/>
      <c r="F218" s="255"/>
      <c r="G218" s="256"/>
      <c r="H218" s="255"/>
      <c r="I218" s="255"/>
      <c r="J218" s="255"/>
      <c r="K218" s="256"/>
      <c r="L218" s="255"/>
      <c r="M218" s="255"/>
      <c r="N218" s="255"/>
      <c r="O218" s="256"/>
      <c r="P218" s="255"/>
      <c r="Q218" s="255"/>
      <c r="R218" s="256"/>
      <c r="S218" s="256"/>
      <c r="T218" s="255"/>
      <c r="U218" s="259"/>
    </row>
    <row r="219">
      <c r="A219" s="255"/>
      <c r="B219" s="255"/>
      <c r="C219" s="256"/>
      <c r="D219" s="255"/>
      <c r="E219" s="255"/>
      <c r="F219" s="255"/>
      <c r="G219" s="256"/>
      <c r="H219" s="255"/>
      <c r="I219" s="255"/>
      <c r="J219" s="255"/>
      <c r="K219" s="256"/>
      <c r="L219" s="255"/>
      <c r="M219" s="255"/>
      <c r="N219" s="255"/>
      <c r="O219" s="256"/>
      <c r="P219" s="255"/>
      <c r="Q219" s="255"/>
      <c r="R219" s="256"/>
      <c r="S219" s="256"/>
      <c r="T219" s="255"/>
      <c r="U219" s="259"/>
    </row>
    <row r="220">
      <c r="A220" s="255"/>
      <c r="B220" s="255"/>
      <c r="C220" s="256"/>
      <c r="D220" s="255"/>
      <c r="E220" s="255"/>
      <c r="F220" s="255"/>
      <c r="G220" s="256"/>
      <c r="H220" s="255"/>
      <c r="I220" s="255"/>
      <c r="J220" s="255"/>
      <c r="K220" s="256"/>
      <c r="L220" s="255"/>
      <c r="M220" s="255"/>
      <c r="N220" s="255"/>
      <c r="O220" s="256"/>
      <c r="P220" s="255"/>
      <c r="Q220" s="255"/>
      <c r="R220" s="256"/>
      <c r="S220" s="256"/>
      <c r="T220" s="255"/>
      <c r="U220" s="259"/>
    </row>
    <row r="221">
      <c r="A221" s="255"/>
      <c r="B221" s="255"/>
      <c r="C221" s="256"/>
      <c r="D221" s="255"/>
      <c r="E221" s="255"/>
      <c r="F221" s="255"/>
      <c r="G221" s="256"/>
      <c r="H221" s="255"/>
      <c r="I221" s="255"/>
      <c r="J221" s="255"/>
      <c r="K221" s="256"/>
      <c r="L221" s="255"/>
      <c r="M221" s="255"/>
      <c r="N221" s="255"/>
      <c r="O221" s="256"/>
      <c r="P221" s="255"/>
      <c r="Q221" s="255"/>
      <c r="R221" s="256"/>
      <c r="S221" s="256"/>
      <c r="T221" s="255"/>
      <c r="U221" s="259"/>
    </row>
    <row r="222">
      <c r="A222" s="255"/>
      <c r="B222" s="255"/>
      <c r="C222" s="256"/>
      <c r="D222" s="255"/>
      <c r="E222" s="255"/>
      <c r="F222" s="255"/>
      <c r="G222" s="256"/>
      <c r="H222" s="255"/>
      <c r="I222" s="255"/>
      <c r="J222" s="255"/>
      <c r="K222" s="256"/>
      <c r="L222" s="255"/>
      <c r="M222" s="255"/>
      <c r="N222" s="255"/>
      <c r="O222" s="256"/>
      <c r="P222" s="255"/>
      <c r="Q222" s="255"/>
      <c r="R222" s="256"/>
      <c r="S222" s="256"/>
      <c r="T222" s="255"/>
      <c r="U222" s="259"/>
    </row>
    <row r="223">
      <c r="A223" s="255"/>
      <c r="B223" s="255"/>
      <c r="C223" s="256"/>
      <c r="D223" s="255"/>
      <c r="E223" s="255"/>
      <c r="F223" s="255"/>
      <c r="G223" s="256"/>
      <c r="H223" s="255"/>
      <c r="I223" s="255"/>
      <c r="J223" s="255"/>
      <c r="K223" s="256"/>
      <c r="L223" s="255"/>
      <c r="M223" s="255"/>
      <c r="N223" s="255"/>
      <c r="O223" s="256"/>
      <c r="P223" s="255"/>
      <c r="Q223" s="255"/>
      <c r="R223" s="256"/>
      <c r="S223" s="256"/>
      <c r="T223" s="255"/>
      <c r="U223" s="259"/>
    </row>
    <row r="224">
      <c r="A224" s="255"/>
      <c r="B224" s="255"/>
      <c r="C224" s="256"/>
      <c r="D224" s="255"/>
      <c r="E224" s="255"/>
      <c r="F224" s="255"/>
      <c r="G224" s="256"/>
      <c r="H224" s="255"/>
      <c r="I224" s="255"/>
      <c r="J224" s="255"/>
      <c r="K224" s="256"/>
      <c r="L224" s="255"/>
      <c r="M224" s="255"/>
      <c r="N224" s="255"/>
      <c r="O224" s="256"/>
      <c r="P224" s="255"/>
      <c r="Q224" s="255"/>
      <c r="R224" s="256"/>
      <c r="S224" s="256"/>
      <c r="T224" s="255"/>
      <c r="U224" s="259"/>
    </row>
    <row r="225">
      <c r="A225" s="255"/>
      <c r="B225" s="255"/>
      <c r="C225" s="256"/>
      <c r="D225" s="255"/>
      <c r="E225" s="255"/>
      <c r="F225" s="255"/>
      <c r="G225" s="256"/>
      <c r="H225" s="255"/>
      <c r="I225" s="255"/>
      <c r="J225" s="255"/>
      <c r="K225" s="256"/>
      <c r="L225" s="255"/>
      <c r="M225" s="255"/>
      <c r="N225" s="255"/>
      <c r="O225" s="256"/>
      <c r="P225" s="255"/>
      <c r="Q225" s="255"/>
      <c r="R225" s="256"/>
      <c r="S225" s="256"/>
      <c r="T225" s="255"/>
      <c r="U225" s="259"/>
    </row>
    <row r="226">
      <c r="A226" s="255"/>
      <c r="B226" s="255"/>
      <c r="C226" s="256"/>
      <c r="D226" s="255"/>
      <c r="E226" s="255"/>
      <c r="F226" s="255"/>
      <c r="G226" s="256"/>
      <c r="H226" s="255"/>
      <c r="I226" s="255"/>
      <c r="J226" s="255"/>
      <c r="K226" s="256"/>
      <c r="L226" s="255"/>
      <c r="M226" s="255"/>
      <c r="N226" s="255"/>
      <c r="O226" s="256"/>
      <c r="P226" s="255"/>
      <c r="Q226" s="255"/>
      <c r="R226" s="256"/>
      <c r="S226" s="256"/>
      <c r="T226" s="255"/>
      <c r="U226" s="259"/>
    </row>
    <row r="227">
      <c r="A227" s="255"/>
      <c r="B227" s="255"/>
      <c r="C227" s="256"/>
      <c r="D227" s="255"/>
      <c r="E227" s="255"/>
      <c r="F227" s="255"/>
      <c r="G227" s="256"/>
      <c r="H227" s="255"/>
      <c r="I227" s="255"/>
      <c r="J227" s="255"/>
      <c r="K227" s="256"/>
      <c r="L227" s="255"/>
      <c r="M227" s="255"/>
      <c r="N227" s="255"/>
      <c r="O227" s="256"/>
      <c r="P227" s="255"/>
      <c r="Q227" s="255"/>
      <c r="R227" s="256"/>
      <c r="S227" s="256"/>
      <c r="T227" s="255"/>
      <c r="U227" s="259"/>
    </row>
    <row r="228">
      <c r="A228" s="255"/>
      <c r="B228" s="255"/>
      <c r="C228" s="256"/>
      <c r="D228" s="255"/>
      <c r="E228" s="255"/>
      <c r="F228" s="255"/>
      <c r="G228" s="256"/>
      <c r="H228" s="255"/>
      <c r="I228" s="255"/>
      <c r="J228" s="255"/>
      <c r="K228" s="256"/>
      <c r="L228" s="255"/>
      <c r="M228" s="255"/>
      <c r="N228" s="255"/>
      <c r="O228" s="256"/>
      <c r="P228" s="255"/>
      <c r="Q228" s="255"/>
      <c r="R228" s="256"/>
      <c r="S228" s="256"/>
      <c r="T228" s="255"/>
      <c r="U228" s="259"/>
    </row>
    <row r="229">
      <c r="A229" s="255"/>
      <c r="B229" s="255"/>
      <c r="C229" s="256"/>
      <c r="D229" s="255"/>
      <c r="E229" s="255"/>
      <c r="F229" s="255"/>
      <c r="G229" s="256"/>
      <c r="H229" s="255"/>
      <c r="I229" s="255"/>
      <c r="J229" s="255"/>
      <c r="K229" s="256"/>
      <c r="L229" s="255"/>
      <c r="M229" s="255"/>
      <c r="N229" s="255"/>
      <c r="O229" s="256"/>
      <c r="P229" s="255"/>
      <c r="Q229" s="255"/>
      <c r="R229" s="256"/>
      <c r="S229" s="256"/>
      <c r="T229" s="255"/>
      <c r="U229" s="259"/>
    </row>
    <row r="230">
      <c r="A230" s="255"/>
      <c r="B230" s="255"/>
      <c r="C230" s="256"/>
      <c r="D230" s="255"/>
      <c r="E230" s="255"/>
      <c r="F230" s="255"/>
      <c r="G230" s="256"/>
      <c r="H230" s="255"/>
      <c r="I230" s="255"/>
      <c r="J230" s="255"/>
      <c r="K230" s="256"/>
      <c r="L230" s="255"/>
      <c r="M230" s="255"/>
      <c r="N230" s="255"/>
      <c r="O230" s="256"/>
      <c r="P230" s="255"/>
      <c r="Q230" s="255"/>
      <c r="R230" s="256"/>
      <c r="S230" s="256"/>
      <c r="T230" s="255"/>
      <c r="U230" s="259"/>
    </row>
    <row r="231">
      <c r="A231" s="255"/>
      <c r="B231" s="255"/>
      <c r="C231" s="256"/>
      <c r="D231" s="255"/>
      <c r="E231" s="255"/>
      <c r="F231" s="255"/>
      <c r="G231" s="256"/>
      <c r="H231" s="255"/>
      <c r="I231" s="255"/>
      <c r="J231" s="255"/>
      <c r="K231" s="256"/>
      <c r="L231" s="255"/>
      <c r="M231" s="255"/>
      <c r="N231" s="255"/>
      <c r="O231" s="256"/>
      <c r="P231" s="255"/>
      <c r="Q231" s="255"/>
      <c r="R231" s="256"/>
      <c r="S231" s="256"/>
      <c r="T231" s="255"/>
      <c r="U231" s="259"/>
    </row>
    <row r="232">
      <c r="A232" s="255"/>
      <c r="B232" s="255"/>
      <c r="C232" s="256"/>
      <c r="D232" s="255"/>
      <c r="E232" s="255"/>
      <c r="F232" s="255"/>
      <c r="G232" s="256"/>
      <c r="H232" s="255"/>
      <c r="I232" s="255"/>
      <c r="J232" s="255"/>
      <c r="K232" s="256"/>
      <c r="L232" s="255"/>
      <c r="M232" s="255"/>
      <c r="N232" s="255"/>
      <c r="O232" s="256"/>
      <c r="P232" s="255"/>
      <c r="Q232" s="255"/>
      <c r="R232" s="256"/>
      <c r="S232" s="256"/>
      <c r="T232" s="255"/>
      <c r="U232" s="259"/>
    </row>
    <row r="233">
      <c r="A233" s="255"/>
      <c r="B233" s="255"/>
      <c r="C233" s="256"/>
      <c r="D233" s="255"/>
      <c r="E233" s="255"/>
      <c r="F233" s="255"/>
      <c r="G233" s="256"/>
      <c r="H233" s="255"/>
      <c r="I233" s="255"/>
      <c r="J233" s="255"/>
      <c r="K233" s="256"/>
      <c r="L233" s="255"/>
      <c r="M233" s="255"/>
      <c r="N233" s="255"/>
      <c r="O233" s="256"/>
      <c r="P233" s="255"/>
      <c r="Q233" s="255"/>
      <c r="R233" s="256"/>
      <c r="S233" s="256"/>
      <c r="T233" s="255"/>
      <c r="U233" s="259"/>
    </row>
    <row r="234">
      <c r="A234" s="255"/>
      <c r="B234" s="255"/>
      <c r="C234" s="256"/>
      <c r="D234" s="255"/>
      <c r="E234" s="255"/>
      <c r="F234" s="255"/>
      <c r="G234" s="256"/>
      <c r="H234" s="255"/>
      <c r="I234" s="255"/>
      <c r="J234" s="255"/>
      <c r="K234" s="256"/>
      <c r="L234" s="255"/>
      <c r="M234" s="255"/>
      <c r="N234" s="255"/>
      <c r="O234" s="256"/>
      <c r="P234" s="255"/>
      <c r="Q234" s="255"/>
      <c r="R234" s="256"/>
      <c r="S234" s="256"/>
      <c r="T234" s="255"/>
      <c r="U234" s="259"/>
    </row>
    <row r="235">
      <c r="A235" s="255"/>
      <c r="B235" s="255"/>
      <c r="C235" s="256"/>
      <c r="D235" s="255"/>
      <c r="E235" s="255"/>
      <c r="F235" s="255"/>
      <c r="G235" s="256"/>
      <c r="H235" s="255"/>
      <c r="I235" s="255"/>
      <c r="J235" s="255"/>
      <c r="K235" s="256"/>
      <c r="L235" s="255"/>
      <c r="M235" s="255"/>
      <c r="N235" s="255"/>
      <c r="O235" s="256"/>
      <c r="P235" s="255"/>
      <c r="Q235" s="255"/>
      <c r="R235" s="256"/>
      <c r="S235" s="256"/>
      <c r="T235" s="255"/>
      <c r="U235" s="259"/>
    </row>
    <row r="236">
      <c r="A236" s="255"/>
      <c r="B236" s="255"/>
      <c r="C236" s="256"/>
      <c r="D236" s="255"/>
      <c r="E236" s="255"/>
      <c r="F236" s="255"/>
      <c r="G236" s="256"/>
      <c r="H236" s="255"/>
      <c r="I236" s="255"/>
      <c r="J236" s="255"/>
      <c r="K236" s="256"/>
      <c r="L236" s="255"/>
      <c r="M236" s="255"/>
      <c r="N236" s="255"/>
      <c r="O236" s="256"/>
      <c r="P236" s="255"/>
      <c r="Q236" s="255"/>
      <c r="R236" s="256"/>
      <c r="S236" s="256"/>
      <c r="T236" s="255"/>
      <c r="U236" s="259"/>
    </row>
    <row r="237">
      <c r="A237" s="255"/>
      <c r="B237" s="255"/>
      <c r="C237" s="256"/>
      <c r="D237" s="255"/>
      <c r="E237" s="255"/>
      <c r="F237" s="255"/>
      <c r="G237" s="256"/>
      <c r="H237" s="255"/>
      <c r="I237" s="255"/>
      <c r="J237" s="255"/>
      <c r="K237" s="256"/>
      <c r="L237" s="255"/>
      <c r="M237" s="255"/>
      <c r="N237" s="255"/>
      <c r="O237" s="256"/>
      <c r="P237" s="255"/>
      <c r="Q237" s="255"/>
      <c r="R237" s="256"/>
      <c r="S237" s="256"/>
      <c r="T237" s="255"/>
      <c r="U237" s="259"/>
    </row>
    <row r="238">
      <c r="A238" s="255"/>
      <c r="B238" s="255"/>
      <c r="C238" s="256"/>
      <c r="D238" s="255"/>
      <c r="E238" s="255"/>
      <c r="F238" s="255"/>
      <c r="G238" s="256"/>
      <c r="H238" s="255"/>
      <c r="I238" s="255"/>
      <c r="J238" s="255"/>
      <c r="K238" s="256"/>
      <c r="L238" s="255"/>
      <c r="M238" s="255"/>
      <c r="N238" s="255"/>
      <c r="O238" s="256"/>
      <c r="P238" s="255"/>
      <c r="Q238" s="255"/>
      <c r="R238" s="256"/>
      <c r="S238" s="256"/>
      <c r="T238" s="255"/>
      <c r="U238" s="259"/>
    </row>
    <row r="239">
      <c r="A239" s="255"/>
      <c r="B239" s="255"/>
      <c r="C239" s="256"/>
      <c r="D239" s="255"/>
      <c r="E239" s="255"/>
      <c r="F239" s="255"/>
      <c r="G239" s="256"/>
      <c r="H239" s="255"/>
      <c r="I239" s="255"/>
      <c r="J239" s="255"/>
      <c r="K239" s="256"/>
      <c r="L239" s="255"/>
      <c r="M239" s="255"/>
      <c r="N239" s="255"/>
      <c r="O239" s="256"/>
      <c r="P239" s="255"/>
      <c r="Q239" s="255"/>
      <c r="R239" s="256"/>
      <c r="S239" s="256"/>
      <c r="T239" s="255"/>
      <c r="U239" s="259"/>
    </row>
    <row r="240">
      <c r="A240" s="255"/>
      <c r="B240" s="255"/>
      <c r="C240" s="256"/>
      <c r="D240" s="255"/>
      <c r="E240" s="255"/>
      <c r="F240" s="255"/>
      <c r="G240" s="256"/>
      <c r="H240" s="255"/>
      <c r="I240" s="255"/>
      <c r="J240" s="255"/>
      <c r="K240" s="256"/>
      <c r="L240" s="255"/>
      <c r="M240" s="255"/>
      <c r="N240" s="255"/>
      <c r="O240" s="256"/>
      <c r="P240" s="255"/>
      <c r="Q240" s="255"/>
      <c r="R240" s="256"/>
      <c r="S240" s="256"/>
      <c r="T240" s="255"/>
      <c r="U240" s="259"/>
    </row>
    <row r="241">
      <c r="A241" s="255"/>
      <c r="B241" s="255"/>
      <c r="C241" s="256"/>
      <c r="D241" s="255"/>
      <c r="E241" s="255"/>
      <c r="F241" s="255"/>
      <c r="G241" s="256"/>
      <c r="H241" s="255"/>
      <c r="I241" s="255"/>
      <c r="J241" s="255"/>
      <c r="K241" s="256"/>
      <c r="L241" s="255"/>
      <c r="M241" s="255"/>
      <c r="N241" s="255"/>
      <c r="O241" s="256"/>
      <c r="P241" s="255"/>
      <c r="Q241" s="255"/>
      <c r="R241" s="256"/>
      <c r="S241" s="256"/>
      <c r="T241" s="255"/>
      <c r="U241" s="259"/>
    </row>
    <row r="242">
      <c r="A242" s="255"/>
      <c r="B242" s="255"/>
      <c r="C242" s="256"/>
      <c r="D242" s="255"/>
      <c r="E242" s="255"/>
      <c r="F242" s="255"/>
      <c r="G242" s="256"/>
      <c r="H242" s="255"/>
      <c r="I242" s="255"/>
      <c r="J242" s="255"/>
      <c r="K242" s="256"/>
      <c r="L242" s="255"/>
      <c r="M242" s="255"/>
      <c r="N242" s="255"/>
      <c r="O242" s="256"/>
      <c r="P242" s="255"/>
      <c r="Q242" s="255"/>
      <c r="R242" s="256"/>
      <c r="S242" s="256"/>
      <c r="T242" s="255"/>
      <c r="U242" s="259"/>
    </row>
    <row r="243">
      <c r="A243" s="255"/>
      <c r="B243" s="255"/>
      <c r="C243" s="256"/>
      <c r="D243" s="255"/>
      <c r="E243" s="255"/>
      <c r="F243" s="255"/>
      <c r="G243" s="256"/>
      <c r="H243" s="255"/>
      <c r="I243" s="255"/>
      <c r="J243" s="255"/>
      <c r="K243" s="256"/>
      <c r="L243" s="255"/>
      <c r="M243" s="255"/>
      <c r="N243" s="255"/>
      <c r="O243" s="256"/>
      <c r="P243" s="255"/>
      <c r="Q243" s="255"/>
      <c r="R243" s="256"/>
      <c r="S243" s="256"/>
      <c r="T243" s="255"/>
      <c r="U243" s="259"/>
    </row>
    <row r="244">
      <c r="A244" s="255"/>
      <c r="B244" s="255"/>
      <c r="C244" s="256"/>
      <c r="D244" s="255"/>
      <c r="E244" s="255"/>
      <c r="F244" s="255"/>
      <c r="G244" s="256"/>
      <c r="H244" s="255"/>
      <c r="I244" s="255"/>
      <c r="J244" s="255"/>
      <c r="K244" s="256"/>
      <c r="L244" s="255"/>
      <c r="M244" s="255"/>
      <c r="N244" s="255"/>
      <c r="O244" s="256"/>
      <c r="P244" s="255"/>
      <c r="Q244" s="255"/>
      <c r="R244" s="256"/>
      <c r="S244" s="256"/>
      <c r="T244" s="255"/>
      <c r="U244" s="259"/>
    </row>
    <row r="245">
      <c r="A245" s="255"/>
      <c r="B245" s="255"/>
      <c r="C245" s="256"/>
      <c r="D245" s="255"/>
      <c r="E245" s="255"/>
      <c r="F245" s="255"/>
      <c r="G245" s="256"/>
      <c r="H245" s="255"/>
      <c r="I245" s="255"/>
      <c r="J245" s="255"/>
      <c r="K245" s="256"/>
      <c r="L245" s="255"/>
      <c r="M245" s="255"/>
      <c r="N245" s="255"/>
      <c r="O245" s="256"/>
      <c r="P245" s="255"/>
      <c r="Q245" s="255"/>
      <c r="R245" s="256"/>
      <c r="S245" s="256"/>
      <c r="T245" s="255"/>
      <c r="U245" s="259"/>
    </row>
    <row r="246">
      <c r="A246" s="255"/>
      <c r="B246" s="255"/>
      <c r="C246" s="256"/>
      <c r="D246" s="255"/>
      <c r="E246" s="255"/>
      <c r="F246" s="255"/>
      <c r="G246" s="256"/>
      <c r="H246" s="255"/>
      <c r="I246" s="255"/>
      <c r="J246" s="255"/>
      <c r="K246" s="256"/>
      <c r="L246" s="255"/>
      <c r="M246" s="255"/>
      <c r="N246" s="255"/>
      <c r="O246" s="256"/>
      <c r="P246" s="255"/>
      <c r="Q246" s="255"/>
      <c r="R246" s="256"/>
      <c r="S246" s="256"/>
      <c r="T246" s="255"/>
      <c r="U246" s="259"/>
    </row>
    <row r="247">
      <c r="A247" s="255"/>
      <c r="B247" s="255"/>
      <c r="C247" s="256"/>
      <c r="D247" s="255"/>
      <c r="E247" s="255"/>
      <c r="F247" s="255"/>
      <c r="G247" s="256"/>
      <c r="H247" s="255"/>
      <c r="I247" s="255"/>
      <c r="J247" s="255"/>
      <c r="K247" s="256"/>
      <c r="L247" s="255"/>
      <c r="M247" s="255"/>
      <c r="N247" s="255"/>
      <c r="O247" s="256"/>
      <c r="P247" s="255"/>
      <c r="Q247" s="255"/>
      <c r="R247" s="256"/>
      <c r="S247" s="256"/>
      <c r="T247" s="255"/>
      <c r="U247" s="259"/>
    </row>
    <row r="248">
      <c r="A248" s="255"/>
      <c r="B248" s="255"/>
      <c r="C248" s="256"/>
      <c r="D248" s="255"/>
      <c r="E248" s="255"/>
      <c r="F248" s="255"/>
      <c r="G248" s="256"/>
      <c r="H248" s="255"/>
      <c r="I248" s="255"/>
      <c r="J248" s="255"/>
      <c r="K248" s="256"/>
      <c r="L248" s="255"/>
      <c r="M248" s="255"/>
      <c r="N248" s="255"/>
      <c r="O248" s="256"/>
      <c r="P248" s="255"/>
      <c r="Q248" s="255"/>
      <c r="R248" s="256"/>
      <c r="S248" s="256"/>
      <c r="T248" s="255"/>
      <c r="U248" s="259"/>
    </row>
    <row r="249">
      <c r="A249" s="255"/>
      <c r="B249" s="255"/>
      <c r="C249" s="256"/>
      <c r="D249" s="255"/>
      <c r="E249" s="255"/>
      <c r="F249" s="255"/>
      <c r="G249" s="256"/>
      <c r="H249" s="255"/>
      <c r="I249" s="255"/>
      <c r="J249" s="255"/>
      <c r="K249" s="256"/>
      <c r="L249" s="255"/>
      <c r="M249" s="255"/>
      <c r="N249" s="255"/>
      <c r="O249" s="256"/>
      <c r="P249" s="255"/>
      <c r="Q249" s="255"/>
      <c r="R249" s="256"/>
      <c r="S249" s="256"/>
      <c r="T249" s="255"/>
      <c r="U249" s="259"/>
    </row>
    <row r="250">
      <c r="A250" s="255"/>
      <c r="B250" s="255"/>
      <c r="C250" s="256"/>
      <c r="D250" s="255"/>
      <c r="E250" s="255"/>
      <c r="F250" s="255"/>
      <c r="G250" s="256"/>
      <c r="H250" s="255"/>
      <c r="I250" s="255"/>
      <c r="J250" s="255"/>
      <c r="K250" s="256"/>
      <c r="L250" s="255"/>
      <c r="M250" s="255"/>
      <c r="N250" s="255"/>
      <c r="O250" s="256"/>
      <c r="P250" s="255"/>
      <c r="Q250" s="255"/>
      <c r="R250" s="256"/>
      <c r="S250" s="256"/>
      <c r="T250" s="255"/>
      <c r="U250" s="259"/>
    </row>
    <row r="251">
      <c r="A251" s="255"/>
      <c r="B251" s="255"/>
      <c r="C251" s="256"/>
      <c r="D251" s="255"/>
      <c r="E251" s="255"/>
      <c r="F251" s="255"/>
      <c r="G251" s="256"/>
      <c r="H251" s="255"/>
      <c r="I251" s="255"/>
      <c r="J251" s="255"/>
      <c r="K251" s="256"/>
      <c r="L251" s="255"/>
      <c r="M251" s="255"/>
      <c r="N251" s="255"/>
      <c r="O251" s="256"/>
      <c r="P251" s="255"/>
      <c r="Q251" s="255"/>
      <c r="R251" s="256"/>
      <c r="S251" s="256"/>
      <c r="T251" s="255"/>
      <c r="U251" s="259"/>
    </row>
    <row r="252">
      <c r="A252" s="255"/>
      <c r="B252" s="255"/>
      <c r="C252" s="256"/>
      <c r="D252" s="255"/>
      <c r="E252" s="255"/>
      <c r="F252" s="255"/>
      <c r="G252" s="256"/>
      <c r="H252" s="255"/>
      <c r="I252" s="255"/>
      <c r="J252" s="255"/>
      <c r="K252" s="256"/>
      <c r="L252" s="255"/>
      <c r="M252" s="255"/>
      <c r="N252" s="255"/>
      <c r="O252" s="256"/>
      <c r="P252" s="255"/>
      <c r="Q252" s="255"/>
      <c r="R252" s="256"/>
      <c r="S252" s="256"/>
      <c r="T252" s="255"/>
      <c r="U252" s="259"/>
    </row>
    <row r="253">
      <c r="A253" s="255"/>
      <c r="B253" s="255"/>
      <c r="C253" s="256"/>
      <c r="D253" s="255"/>
      <c r="E253" s="255"/>
      <c r="F253" s="255"/>
      <c r="G253" s="256"/>
      <c r="H253" s="255"/>
      <c r="I253" s="255"/>
      <c r="J253" s="255"/>
      <c r="K253" s="256"/>
      <c r="L253" s="255"/>
      <c r="M253" s="255"/>
      <c r="N253" s="255"/>
      <c r="O253" s="256"/>
      <c r="P253" s="255"/>
      <c r="Q253" s="255"/>
      <c r="R253" s="256"/>
      <c r="S253" s="256"/>
      <c r="T253" s="255"/>
      <c r="U253" s="259"/>
    </row>
    <row r="254">
      <c r="A254" s="255"/>
      <c r="B254" s="255"/>
      <c r="C254" s="256"/>
      <c r="D254" s="255"/>
      <c r="E254" s="255"/>
      <c r="F254" s="255"/>
      <c r="G254" s="256"/>
      <c r="H254" s="255"/>
      <c r="I254" s="255"/>
      <c r="J254" s="255"/>
      <c r="K254" s="256"/>
      <c r="L254" s="255"/>
      <c r="M254" s="255"/>
      <c r="N254" s="255"/>
      <c r="O254" s="256"/>
      <c r="P254" s="255"/>
      <c r="Q254" s="255"/>
      <c r="R254" s="256"/>
      <c r="S254" s="256"/>
      <c r="T254" s="255"/>
      <c r="U254" s="259"/>
    </row>
    <row r="255">
      <c r="A255" s="255"/>
      <c r="B255" s="255"/>
      <c r="C255" s="256"/>
      <c r="D255" s="255"/>
      <c r="E255" s="255"/>
      <c r="F255" s="255"/>
      <c r="G255" s="256"/>
      <c r="H255" s="255"/>
      <c r="I255" s="255"/>
      <c r="J255" s="255"/>
      <c r="K255" s="256"/>
      <c r="L255" s="255"/>
      <c r="M255" s="255"/>
      <c r="N255" s="255"/>
      <c r="O255" s="256"/>
      <c r="P255" s="255"/>
      <c r="Q255" s="255"/>
      <c r="R255" s="256"/>
      <c r="S255" s="256"/>
      <c r="T255" s="255"/>
      <c r="U255" s="259"/>
    </row>
    <row r="256">
      <c r="A256" s="255"/>
      <c r="B256" s="255"/>
      <c r="C256" s="256"/>
      <c r="D256" s="255"/>
      <c r="E256" s="255"/>
      <c r="F256" s="255"/>
      <c r="G256" s="256"/>
      <c r="H256" s="255"/>
      <c r="I256" s="255"/>
      <c r="J256" s="255"/>
      <c r="K256" s="256"/>
      <c r="L256" s="255"/>
      <c r="M256" s="255"/>
      <c r="N256" s="255"/>
      <c r="O256" s="256"/>
      <c r="P256" s="255"/>
      <c r="Q256" s="255"/>
      <c r="R256" s="256"/>
      <c r="S256" s="256"/>
      <c r="T256" s="255"/>
      <c r="U256" s="259"/>
    </row>
    <row r="257">
      <c r="A257" s="255"/>
      <c r="B257" s="255"/>
      <c r="C257" s="256"/>
      <c r="D257" s="255"/>
      <c r="E257" s="255"/>
      <c r="F257" s="255"/>
      <c r="G257" s="256"/>
      <c r="H257" s="255"/>
      <c r="I257" s="255"/>
      <c r="J257" s="255"/>
      <c r="K257" s="256"/>
      <c r="L257" s="255"/>
      <c r="M257" s="255"/>
      <c r="N257" s="255"/>
      <c r="O257" s="256"/>
      <c r="P257" s="255"/>
      <c r="Q257" s="255"/>
      <c r="R257" s="256"/>
      <c r="S257" s="256"/>
      <c r="T257" s="255"/>
      <c r="U257" s="259"/>
    </row>
    <row r="258">
      <c r="A258" s="255"/>
      <c r="B258" s="255"/>
      <c r="C258" s="256"/>
      <c r="D258" s="255"/>
      <c r="E258" s="255"/>
      <c r="F258" s="255"/>
      <c r="G258" s="256"/>
      <c r="H258" s="255"/>
      <c r="I258" s="255"/>
      <c r="J258" s="255"/>
      <c r="K258" s="256"/>
      <c r="L258" s="255"/>
      <c r="M258" s="255"/>
      <c r="N258" s="255"/>
      <c r="O258" s="256"/>
      <c r="P258" s="255"/>
      <c r="Q258" s="255"/>
      <c r="R258" s="256"/>
      <c r="S258" s="256"/>
      <c r="T258" s="255"/>
      <c r="U258" s="259"/>
    </row>
    <row r="259">
      <c r="A259" s="255"/>
      <c r="B259" s="255"/>
      <c r="C259" s="256"/>
      <c r="D259" s="255"/>
      <c r="E259" s="255"/>
      <c r="F259" s="255"/>
      <c r="G259" s="256"/>
      <c r="H259" s="255"/>
      <c r="I259" s="255"/>
      <c r="J259" s="255"/>
      <c r="K259" s="256"/>
      <c r="L259" s="255"/>
      <c r="M259" s="255"/>
      <c r="N259" s="255"/>
      <c r="O259" s="256"/>
      <c r="P259" s="255"/>
      <c r="Q259" s="255"/>
      <c r="R259" s="256"/>
      <c r="S259" s="256"/>
      <c r="T259" s="255"/>
      <c r="U259" s="259"/>
    </row>
    <row r="260">
      <c r="A260" s="255"/>
      <c r="B260" s="255"/>
      <c r="C260" s="256"/>
      <c r="D260" s="255"/>
      <c r="E260" s="255"/>
      <c r="F260" s="255"/>
      <c r="G260" s="256"/>
      <c r="H260" s="255"/>
      <c r="I260" s="255"/>
      <c r="J260" s="255"/>
      <c r="K260" s="256"/>
      <c r="L260" s="255"/>
      <c r="M260" s="255"/>
      <c r="N260" s="255"/>
      <c r="O260" s="256"/>
      <c r="P260" s="255"/>
      <c r="Q260" s="255"/>
      <c r="R260" s="256"/>
      <c r="S260" s="256"/>
      <c r="T260" s="255"/>
      <c r="U260" s="259"/>
    </row>
    <row r="261">
      <c r="A261" s="255"/>
      <c r="B261" s="255"/>
      <c r="C261" s="256"/>
      <c r="D261" s="255"/>
      <c r="E261" s="255"/>
      <c r="F261" s="255"/>
      <c r="G261" s="256"/>
      <c r="H261" s="255"/>
      <c r="I261" s="255"/>
      <c r="J261" s="255"/>
      <c r="K261" s="256"/>
      <c r="L261" s="255"/>
      <c r="M261" s="255"/>
      <c r="N261" s="255"/>
      <c r="O261" s="256"/>
      <c r="P261" s="255"/>
      <c r="Q261" s="255"/>
      <c r="R261" s="256"/>
      <c r="S261" s="256"/>
      <c r="T261" s="255"/>
      <c r="U261" s="259"/>
    </row>
    <row r="262">
      <c r="A262" s="255"/>
      <c r="B262" s="255"/>
      <c r="C262" s="256"/>
      <c r="D262" s="255"/>
      <c r="E262" s="255"/>
      <c r="F262" s="255"/>
      <c r="G262" s="256"/>
      <c r="H262" s="255"/>
      <c r="I262" s="255"/>
      <c r="J262" s="255"/>
      <c r="K262" s="256"/>
      <c r="L262" s="255"/>
      <c r="M262" s="255"/>
      <c r="N262" s="255"/>
      <c r="O262" s="256"/>
      <c r="P262" s="255"/>
      <c r="Q262" s="255"/>
      <c r="R262" s="256"/>
      <c r="S262" s="256"/>
      <c r="T262" s="255"/>
      <c r="U262" s="259"/>
    </row>
    <row r="263">
      <c r="A263" s="255"/>
      <c r="B263" s="255"/>
      <c r="C263" s="256"/>
      <c r="D263" s="255"/>
      <c r="E263" s="255"/>
      <c r="F263" s="255"/>
      <c r="G263" s="256"/>
      <c r="H263" s="255"/>
      <c r="I263" s="255"/>
      <c r="J263" s="255"/>
      <c r="K263" s="256"/>
      <c r="L263" s="255"/>
      <c r="M263" s="255"/>
      <c r="N263" s="255"/>
      <c r="O263" s="256"/>
      <c r="P263" s="255"/>
      <c r="Q263" s="255"/>
      <c r="R263" s="256"/>
      <c r="S263" s="256"/>
      <c r="T263" s="255"/>
      <c r="U263" s="259"/>
    </row>
    <row r="264">
      <c r="A264" s="255"/>
      <c r="B264" s="255"/>
      <c r="C264" s="256"/>
      <c r="D264" s="255"/>
      <c r="E264" s="255"/>
      <c r="F264" s="255"/>
      <c r="G264" s="256"/>
      <c r="H264" s="255"/>
      <c r="I264" s="255"/>
      <c r="J264" s="255"/>
      <c r="K264" s="256"/>
      <c r="L264" s="255"/>
      <c r="M264" s="255"/>
      <c r="N264" s="255"/>
      <c r="O264" s="256"/>
      <c r="P264" s="255"/>
      <c r="Q264" s="255"/>
      <c r="R264" s="256"/>
      <c r="S264" s="256"/>
      <c r="T264" s="255"/>
      <c r="U264" s="259"/>
    </row>
    <row r="265">
      <c r="A265" s="255"/>
      <c r="B265" s="255"/>
      <c r="C265" s="256"/>
      <c r="D265" s="255"/>
      <c r="E265" s="255"/>
      <c r="F265" s="255"/>
      <c r="G265" s="256"/>
      <c r="H265" s="255"/>
      <c r="I265" s="255"/>
      <c r="J265" s="255"/>
      <c r="K265" s="256"/>
      <c r="L265" s="255"/>
      <c r="M265" s="255"/>
      <c r="N265" s="255"/>
      <c r="O265" s="256"/>
      <c r="P265" s="255"/>
      <c r="Q265" s="255"/>
      <c r="R265" s="256"/>
      <c r="S265" s="256"/>
      <c r="T265" s="255"/>
      <c r="U265" s="259"/>
    </row>
    <row r="266">
      <c r="A266" s="255"/>
      <c r="B266" s="255"/>
      <c r="C266" s="256"/>
      <c r="D266" s="255"/>
      <c r="E266" s="255"/>
      <c r="F266" s="255"/>
      <c r="G266" s="256"/>
      <c r="H266" s="255"/>
      <c r="I266" s="255"/>
      <c r="J266" s="255"/>
      <c r="K266" s="256"/>
      <c r="L266" s="255"/>
      <c r="M266" s="255"/>
      <c r="N266" s="255"/>
      <c r="O266" s="256"/>
      <c r="P266" s="255"/>
      <c r="Q266" s="255"/>
      <c r="R266" s="256"/>
      <c r="S266" s="256"/>
      <c r="T266" s="255"/>
      <c r="U266" s="259"/>
    </row>
    <row r="267">
      <c r="A267" s="255"/>
      <c r="B267" s="255"/>
      <c r="C267" s="256"/>
      <c r="D267" s="255"/>
      <c r="E267" s="255"/>
      <c r="F267" s="255"/>
      <c r="G267" s="256"/>
      <c r="H267" s="255"/>
      <c r="I267" s="255"/>
      <c r="J267" s="255"/>
      <c r="K267" s="256"/>
      <c r="L267" s="255"/>
      <c r="M267" s="255"/>
      <c r="N267" s="255"/>
      <c r="O267" s="256"/>
      <c r="P267" s="255"/>
      <c r="Q267" s="255"/>
      <c r="R267" s="256"/>
      <c r="S267" s="256"/>
      <c r="T267" s="255"/>
      <c r="U267" s="259"/>
    </row>
    <row r="268">
      <c r="A268" s="255"/>
      <c r="B268" s="255"/>
      <c r="C268" s="256"/>
      <c r="D268" s="255"/>
      <c r="E268" s="255"/>
      <c r="F268" s="255"/>
      <c r="G268" s="256"/>
      <c r="H268" s="255"/>
      <c r="I268" s="255"/>
      <c r="J268" s="255"/>
      <c r="K268" s="256"/>
      <c r="L268" s="255"/>
      <c r="M268" s="255"/>
      <c r="N268" s="255"/>
      <c r="O268" s="256"/>
      <c r="P268" s="255"/>
      <c r="Q268" s="255"/>
      <c r="R268" s="256"/>
      <c r="S268" s="256"/>
      <c r="T268" s="255"/>
      <c r="U268" s="259"/>
    </row>
    <row r="269">
      <c r="A269" s="255"/>
      <c r="B269" s="255"/>
      <c r="C269" s="256"/>
      <c r="D269" s="255"/>
      <c r="E269" s="255"/>
      <c r="F269" s="255"/>
      <c r="G269" s="256"/>
      <c r="H269" s="255"/>
      <c r="I269" s="255"/>
      <c r="J269" s="255"/>
      <c r="K269" s="256"/>
      <c r="L269" s="255"/>
      <c r="M269" s="255"/>
      <c r="N269" s="255"/>
      <c r="O269" s="256"/>
      <c r="P269" s="255"/>
      <c r="Q269" s="255"/>
      <c r="R269" s="256"/>
      <c r="S269" s="256"/>
      <c r="T269" s="255"/>
      <c r="U269" s="259"/>
    </row>
    <row r="270">
      <c r="A270" s="255"/>
      <c r="B270" s="255"/>
      <c r="C270" s="256"/>
      <c r="D270" s="255"/>
      <c r="E270" s="255"/>
      <c r="F270" s="255"/>
      <c r="G270" s="256"/>
      <c r="H270" s="255"/>
      <c r="I270" s="255"/>
      <c r="J270" s="255"/>
      <c r="K270" s="256"/>
      <c r="L270" s="255"/>
      <c r="M270" s="255"/>
      <c r="N270" s="255"/>
      <c r="O270" s="256"/>
      <c r="P270" s="255"/>
      <c r="Q270" s="255"/>
      <c r="R270" s="256"/>
      <c r="S270" s="256"/>
      <c r="T270" s="255"/>
      <c r="U270" s="259"/>
    </row>
    <row r="271">
      <c r="A271" s="255"/>
      <c r="B271" s="255"/>
      <c r="C271" s="256"/>
      <c r="D271" s="255"/>
      <c r="E271" s="255"/>
      <c r="F271" s="255"/>
      <c r="G271" s="256"/>
      <c r="H271" s="255"/>
      <c r="I271" s="255"/>
      <c r="J271" s="255"/>
      <c r="K271" s="256"/>
      <c r="L271" s="255"/>
      <c r="M271" s="255"/>
      <c r="N271" s="255"/>
      <c r="O271" s="256"/>
      <c r="P271" s="255"/>
      <c r="Q271" s="255"/>
      <c r="R271" s="256"/>
      <c r="S271" s="256"/>
      <c r="T271" s="255"/>
      <c r="U271" s="259"/>
    </row>
    <row r="272">
      <c r="A272" s="255"/>
      <c r="B272" s="255"/>
      <c r="C272" s="256"/>
      <c r="D272" s="255"/>
      <c r="E272" s="255"/>
      <c r="F272" s="255"/>
      <c r="G272" s="256"/>
      <c r="H272" s="255"/>
      <c r="I272" s="255"/>
      <c r="J272" s="255"/>
      <c r="K272" s="256"/>
      <c r="L272" s="255"/>
      <c r="M272" s="255"/>
      <c r="N272" s="255"/>
      <c r="O272" s="256"/>
      <c r="P272" s="255"/>
      <c r="Q272" s="255"/>
      <c r="R272" s="256"/>
      <c r="S272" s="256"/>
      <c r="T272" s="255"/>
      <c r="U272" s="259"/>
    </row>
    <row r="273">
      <c r="A273" s="255"/>
      <c r="B273" s="255"/>
      <c r="C273" s="256"/>
      <c r="D273" s="255"/>
      <c r="E273" s="255"/>
      <c r="F273" s="255"/>
      <c r="G273" s="256"/>
      <c r="H273" s="255"/>
      <c r="I273" s="255"/>
      <c r="J273" s="255"/>
      <c r="K273" s="256"/>
      <c r="L273" s="255"/>
      <c r="M273" s="255"/>
      <c r="N273" s="255"/>
      <c r="O273" s="256"/>
      <c r="P273" s="255"/>
      <c r="Q273" s="255"/>
      <c r="R273" s="256"/>
      <c r="S273" s="256"/>
      <c r="T273" s="255"/>
      <c r="U273" s="259"/>
    </row>
    <row r="274">
      <c r="A274" s="255"/>
      <c r="B274" s="255"/>
      <c r="C274" s="256"/>
      <c r="D274" s="255"/>
      <c r="E274" s="255"/>
      <c r="F274" s="255"/>
      <c r="G274" s="256"/>
      <c r="H274" s="255"/>
      <c r="I274" s="255"/>
      <c r="J274" s="255"/>
      <c r="K274" s="256"/>
      <c r="L274" s="255"/>
      <c r="M274" s="255"/>
      <c r="N274" s="255"/>
      <c r="O274" s="256"/>
      <c r="P274" s="255"/>
      <c r="Q274" s="255"/>
      <c r="R274" s="256"/>
      <c r="S274" s="256"/>
      <c r="T274" s="255"/>
      <c r="U274" s="259"/>
    </row>
    <row r="275">
      <c r="A275" s="255"/>
      <c r="B275" s="255"/>
      <c r="C275" s="256"/>
      <c r="D275" s="255"/>
      <c r="E275" s="255"/>
      <c r="F275" s="255"/>
      <c r="G275" s="256"/>
      <c r="H275" s="255"/>
      <c r="I275" s="255"/>
      <c r="J275" s="255"/>
      <c r="K275" s="256"/>
      <c r="L275" s="255"/>
      <c r="M275" s="255"/>
      <c r="N275" s="255"/>
      <c r="O275" s="256"/>
      <c r="P275" s="255"/>
      <c r="Q275" s="255"/>
      <c r="R275" s="256"/>
      <c r="S275" s="256"/>
      <c r="T275" s="255"/>
      <c r="U275" s="259"/>
    </row>
    <row r="276">
      <c r="A276" s="255"/>
      <c r="B276" s="255"/>
      <c r="C276" s="256"/>
      <c r="D276" s="255"/>
      <c r="E276" s="255"/>
      <c r="F276" s="255"/>
      <c r="G276" s="256"/>
      <c r="H276" s="255"/>
      <c r="I276" s="255"/>
      <c r="J276" s="255"/>
      <c r="K276" s="256"/>
      <c r="L276" s="255"/>
      <c r="M276" s="255"/>
      <c r="N276" s="255"/>
      <c r="O276" s="256"/>
      <c r="P276" s="255"/>
      <c r="Q276" s="255"/>
      <c r="R276" s="256"/>
      <c r="S276" s="256"/>
      <c r="T276" s="255"/>
      <c r="U276" s="259"/>
    </row>
    <row r="277">
      <c r="A277" s="255"/>
      <c r="B277" s="255"/>
      <c r="C277" s="256"/>
      <c r="D277" s="255"/>
      <c r="E277" s="255"/>
      <c r="F277" s="255"/>
      <c r="G277" s="256"/>
      <c r="H277" s="255"/>
      <c r="I277" s="255"/>
      <c r="J277" s="255"/>
      <c r="K277" s="256"/>
      <c r="L277" s="255"/>
      <c r="M277" s="255"/>
      <c r="N277" s="255"/>
      <c r="O277" s="256"/>
      <c r="P277" s="255"/>
      <c r="Q277" s="255"/>
      <c r="R277" s="256"/>
      <c r="S277" s="256"/>
      <c r="T277" s="255"/>
      <c r="U277" s="259"/>
    </row>
    <row r="278">
      <c r="A278" s="255"/>
      <c r="B278" s="255"/>
      <c r="C278" s="256"/>
      <c r="D278" s="255"/>
      <c r="E278" s="255"/>
      <c r="F278" s="255"/>
      <c r="G278" s="256"/>
      <c r="H278" s="255"/>
      <c r="I278" s="255"/>
      <c r="J278" s="255"/>
      <c r="K278" s="256"/>
      <c r="L278" s="255"/>
      <c r="M278" s="255"/>
      <c r="N278" s="255"/>
      <c r="O278" s="256"/>
      <c r="P278" s="255"/>
      <c r="Q278" s="255"/>
      <c r="R278" s="256"/>
      <c r="S278" s="256"/>
      <c r="T278" s="255"/>
      <c r="U278" s="259"/>
    </row>
    <row r="279">
      <c r="A279" s="255"/>
      <c r="B279" s="255"/>
      <c r="C279" s="256"/>
      <c r="D279" s="255"/>
      <c r="E279" s="255"/>
      <c r="F279" s="255"/>
      <c r="G279" s="256"/>
      <c r="H279" s="255"/>
      <c r="I279" s="255"/>
      <c r="J279" s="255"/>
      <c r="K279" s="256"/>
      <c r="L279" s="255"/>
      <c r="M279" s="255"/>
      <c r="N279" s="255"/>
      <c r="O279" s="256"/>
      <c r="P279" s="255"/>
      <c r="Q279" s="255"/>
      <c r="R279" s="256"/>
      <c r="S279" s="256"/>
      <c r="T279" s="255"/>
      <c r="U279" s="259"/>
    </row>
    <row r="280">
      <c r="A280" s="255"/>
      <c r="B280" s="255"/>
      <c r="C280" s="256"/>
      <c r="D280" s="255"/>
      <c r="E280" s="255"/>
      <c r="F280" s="255"/>
      <c r="G280" s="256"/>
      <c r="H280" s="255"/>
      <c r="I280" s="255"/>
      <c r="J280" s="255"/>
      <c r="K280" s="256"/>
      <c r="L280" s="255"/>
      <c r="M280" s="255"/>
      <c r="N280" s="255"/>
      <c r="O280" s="256"/>
      <c r="P280" s="255"/>
      <c r="Q280" s="255"/>
      <c r="R280" s="256"/>
      <c r="S280" s="256"/>
      <c r="T280" s="255"/>
      <c r="U280" s="259"/>
    </row>
    <row r="281">
      <c r="A281" s="255"/>
      <c r="B281" s="255"/>
      <c r="C281" s="256"/>
      <c r="D281" s="255"/>
      <c r="E281" s="255"/>
      <c r="F281" s="255"/>
      <c r="G281" s="256"/>
      <c r="H281" s="255"/>
      <c r="I281" s="255"/>
      <c r="J281" s="255"/>
      <c r="K281" s="256"/>
      <c r="L281" s="255"/>
      <c r="M281" s="255"/>
      <c r="N281" s="255"/>
      <c r="O281" s="256"/>
      <c r="P281" s="255"/>
      <c r="Q281" s="255"/>
      <c r="R281" s="256"/>
      <c r="S281" s="256"/>
      <c r="T281" s="255"/>
      <c r="U281" s="259"/>
    </row>
    <row r="282">
      <c r="A282" s="255"/>
      <c r="B282" s="255"/>
      <c r="C282" s="256"/>
      <c r="D282" s="255"/>
      <c r="E282" s="255"/>
      <c r="F282" s="255"/>
      <c r="G282" s="256"/>
      <c r="H282" s="255"/>
      <c r="I282" s="255"/>
      <c r="J282" s="255"/>
      <c r="K282" s="256"/>
      <c r="L282" s="255"/>
      <c r="M282" s="255"/>
      <c r="N282" s="255"/>
      <c r="O282" s="256"/>
      <c r="P282" s="255"/>
      <c r="Q282" s="255"/>
      <c r="R282" s="256"/>
      <c r="S282" s="256"/>
      <c r="T282" s="255"/>
      <c r="U282" s="259"/>
    </row>
    <row r="283">
      <c r="A283" s="255"/>
      <c r="B283" s="255"/>
      <c r="C283" s="256"/>
      <c r="D283" s="255"/>
      <c r="E283" s="255"/>
      <c r="F283" s="255"/>
      <c r="G283" s="256"/>
      <c r="H283" s="255"/>
      <c r="I283" s="255"/>
      <c r="J283" s="255"/>
      <c r="K283" s="256"/>
      <c r="L283" s="255"/>
      <c r="M283" s="255"/>
      <c r="N283" s="255"/>
      <c r="O283" s="256"/>
      <c r="P283" s="255"/>
      <c r="Q283" s="255"/>
      <c r="R283" s="256"/>
      <c r="S283" s="256"/>
      <c r="T283" s="255"/>
      <c r="U283" s="259"/>
    </row>
    <row r="284">
      <c r="A284" s="255"/>
      <c r="B284" s="255"/>
      <c r="C284" s="256"/>
      <c r="D284" s="255"/>
      <c r="E284" s="255"/>
      <c r="F284" s="255"/>
      <c r="G284" s="256"/>
      <c r="H284" s="255"/>
      <c r="I284" s="255"/>
      <c r="J284" s="255"/>
      <c r="K284" s="256"/>
      <c r="L284" s="255"/>
      <c r="M284" s="255"/>
      <c r="N284" s="255"/>
      <c r="O284" s="256"/>
      <c r="P284" s="255"/>
      <c r="Q284" s="255"/>
      <c r="R284" s="256"/>
      <c r="S284" s="256"/>
      <c r="T284" s="255"/>
      <c r="U284" s="259"/>
    </row>
    <row r="285">
      <c r="A285" s="255"/>
      <c r="B285" s="255"/>
      <c r="C285" s="256"/>
      <c r="D285" s="255"/>
      <c r="E285" s="255"/>
      <c r="F285" s="255"/>
      <c r="G285" s="256"/>
      <c r="H285" s="255"/>
      <c r="I285" s="255"/>
      <c r="J285" s="255"/>
      <c r="K285" s="256"/>
      <c r="L285" s="255"/>
      <c r="M285" s="255"/>
      <c r="N285" s="255"/>
      <c r="O285" s="256"/>
      <c r="P285" s="255"/>
      <c r="Q285" s="255"/>
      <c r="R285" s="256"/>
      <c r="S285" s="256"/>
      <c r="T285" s="255"/>
      <c r="U285" s="259"/>
    </row>
    <row r="286">
      <c r="A286" s="255"/>
      <c r="B286" s="255"/>
      <c r="C286" s="256"/>
      <c r="D286" s="255"/>
      <c r="E286" s="255"/>
      <c r="F286" s="255"/>
      <c r="G286" s="256"/>
      <c r="H286" s="255"/>
      <c r="I286" s="255"/>
      <c r="J286" s="255"/>
      <c r="K286" s="256"/>
      <c r="L286" s="255"/>
      <c r="M286" s="255"/>
      <c r="N286" s="255"/>
      <c r="O286" s="256"/>
      <c r="P286" s="255"/>
      <c r="Q286" s="255"/>
      <c r="R286" s="256"/>
      <c r="S286" s="256"/>
      <c r="T286" s="255"/>
      <c r="U286" s="259"/>
    </row>
    <row r="287">
      <c r="A287" s="255"/>
      <c r="B287" s="255"/>
      <c r="C287" s="256"/>
      <c r="D287" s="255"/>
      <c r="E287" s="255"/>
      <c r="F287" s="255"/>
      <c r="G287" s="256"/>
      <c r="H287" s="255"/>
      <c r="I287" s="255"/>
      <c r="J287" s="255"/>
      <c r="K287" s="256"/>
      <c r="L287" s="255"/>
      <c r="M287" s="255"/>
      <c r="N287" s="255"/>
      <c r="O287" s="256"/>
      <c r="P287" s="255"/>
      <c r="Q287" s="255"/>
      <c r="R287" s="256"/>
      <c r="S287" s="256"/>
      <c r="T287" s="255"/>
      <c r="U287" s="259"/>
    </row>
    <row r="288">
      <c r="A288" s="255"/>
      <c r="B288" s="255"/>
      <c r="C288" s="256"/>
      <c r="D288" s="255"/>
      <c r="E288" s="255"/>
      <c r="F288" s="255"/>
      <c r="G288" s="256"/>
      <c r="H288" s="255"/>
      <c r="I288" s="255"/>
      <c r="J288" s="255"/>
      <c r="K288" s="256"/>
      <c r="L288" s="255"/>
      <c r="M288" s="255"/>
      <c r="N288" s="255"/>
      <c r="O288" s="256"/>
      <c r="P288" s="255"/>
      <c r="Q288" s="255"/>
      <c r="R288" s="256"/>
      <c r="S288" s="256"/>
      <c r="T288" s="255"/>
      <c r="U288" s="259"/>
    </row>
    <row r="289">
      <c r="A289" s="255"/>
      <c r="B289" s="255"/>
      <c r="C289" s="256"/>
      <c r="D289" s="255"/>
      <c r="E289" s="255"/>
      <c r="F289" s="255"/>
      <c r="G289" s="256"/>
      <c r="H289" s="255"/>
      <c r="I289" s="255"/>
      <c r="J289" s="255"/>
      <c r="K289" s="256"/>
      <c r="L289" s="255"/>
      <c r="M289" s="255"/>
      <c r="N289" s="255"/>
      <c r="O289" s="256"/>
      <c r="P289" s="255"/>
      <c r="Q289" s="255"/>
      <c r="R289" s="256"/>
      <c r="S289" s="256"/>
      <c r="T289" s="255"/>
      <c r="U289" s="259"/>
    </row>
    <row r="290">
      <c r="A290" s="255"/>
      <c r="B290" s="255"/>
      <c r="C290" s="256"/>
      <c r="D290" s="255"/>
      <c r="E290" s="255"/>
      <c r="F290" s="255"/>
      <c r="G290" s="256"/>
      <c r="H290" s="255"/>
      <c r="I290" s="255"/>
      <c r="J290" s="255"/>
      <c r="K290" s="256"/>
      <c r="L290" s="255"/>
      <c r="M290" s="255"/>
      <c r="N290" s="255"/>
      <c r="O290" s="256"/>
      <c r="P290" s="255"/>
      <c r="Q290" s="255"/>
      <c r="R290" s="256"/>
      <c r="S290" s="256"/>
      <c r="T290" s="255"/>
      <c r="U290" s="259"/>
    </row>
    <row r="291">
      <c r="A291" s="255"/>
      <c r="B291" s="255"/>
      <c r="C291" s="256"/>
      <c r="D291" s="255"/>
      <c r="E291" s="255"/>
      <c r="F291" s="255"/>
      <c r="G291" s="256"/>
      <c r="H291" s="255"/>
      <c r="I291" s="255"/>
      <c r="J291" s="255"/>
      <c r="K291" s="256"/>
      <c r="L291" s="255"/>
      <c r="M291" s="255"/>
      <c r="N291" s="255"/>
      <c r="O291" s="256"/>
      <c r="P291" s="255"/>
      <c r="Q291" s="255"/>
      <c r="R291" s="256"/>
      <c r="S291" s="256"/>
      <c r="T291" s="255"/>
      <c r="U291" s="259"/>
    </row>
    <row r="292">
      <c r="A292" s="255"/>
      <c r="B292" s="255"/>
      <c r="C292" s="256"/>
      <c r="D292" s="255"/>
      <c r="E292" s="255"/>
      <c r="F292" s="255"/>
      <c r="G292" s="256"/>
      <c r="H292" s="255"/>
      <c r="I292" s="255"/>
      <c r="J292" s="255"/>
      <c r="K292" s="256"/>
      <c r="L292" s="255"/>
      <c r="M292" s="255"/>
      <c r="N292" s="255"/>
      <c r="O292" s="256"/>
      <c r="P292" s="255"/>
      <c r="Q292" s="255"/>
      <c r="R292" s="256"/>
      <c r="S292" s="256"/>
      <c r="T292" s="255"/>
      <c r="U292" s="259"/>
    </row>
    <row r="293">
      <c r="A293" s="255"/>
      <c r="B293" s="255"/>
      <c r="C293" s="256"/>
      <c r="D293" s="255"/>
      <c r="E293" s="255"/>
      <c r="F293" s="255"/>
      <c r="G293" s="256"/>
      <c r="H293" s="255"/>
      <c r="I293" s="255"/>
      <c r="J293" s="255"/>
      <c r="K293" s="256"/>
      <c r="L293" s="255"/>
      <c r="M293" s="255"/>
      <c r="N293" s="255"/>
      <c r="O293" s="256"/>
      <c r="P293" s="255"/>
      <c r="Q293" s="255"/>
      <c r="R293" s="256"/>
      <c r="S293" s="256"/>
      <c r="T293" s="255"/>
      <c r="U293" s="259"/>
    </row>
    <row r="294">
      <c r="A294" s="255"/>
      <c r="B294" s="255"/>
      <c r="C294" s="256"/>
      <c r="D294" s="255"/>
      <c r="E294" s="255"/>
      <c r="F294" s="255"/>
      <c r="G294" s="256"/>
      <c r="H294" s="255"/>
      <c r="I294" s="255"/>
      <c r="J294" s="255"/>
      <c r="K294" s="256"/>
      <c r="L294" s="255"/>
      <c r="M294" s="255"/>
      <c r="N294" s="255"/>
      <c r="O294" s="256"/>
      <c r="P294" s="255"/>
      <c r="Q294" s="255"/>
      <c r="R294" s="256"/>
      <c r="S294" s="256"/>
      <c r="T294" s="255"/>
      <c r="U294" s="259"/>
    </row>
    <row r="295">
      <c r="A295" s="255"/>
      <c r="B295" s="255"/>
      <c r="C295" s="256"/>
      <c r="D295" s="255"/>
      <c r="E295" s="255"/>
      <c r="F295" s="255"/>
      <c r="G295" s="256"/>
      <c r="H295" s="255"/>
      <c r="I295" s="255"/>
      <c r="J295" s="255"/>
      <c r="K295" s="256"/>
      <c r="L295" s="255"/>
      <c r="M295" s="255"/>
      <c r="N295" s="255"/>
      <c r="O295" s="256"/>
      <c r="P295" s="255"/>
      <c r="Q295" s="255"/>
      <c r="R295" s="256"/>
      <c r="S295" s="256"/>
      <c r="T295" s="255"/>
      <c r="U295" s="259"/>
    </row>
    <row r="296">
      <c r="A296" s="255"/>
      <c r="B296" s="255"/>
      <c r="C296" s="256"/>
      <c r="D296" s="255"/>
      <c r="E296" s="255"/>
      <c r="F296" s="255"/>
      <c r="G296" s="256"/>
      <c r="H296" s="255"/>
      <c r="I296" s="255"/>
      <c r="J296" s="255"/>
      <c r="K296" s="256"/>
      <c r="L296" s="255"/>
      <c r="M296" s="255"/>
      <c r="N296" s="255"/>
      <c r="O296" s="256"/>
      <c r="P296" s="255"/>
      <c r="Q296" s="255"/>
      <c r="R296" s="256"/>
      <c r="S296" s="256"/>
      <c r="T296" s="255"/>
      <c r="U296" s="259"/>
    </row>
    <row r="297">
      <c r="A297" s="255"/>
      <c r="B297" s="255"/>
      <c r="C297" s="256"/>
      <c r="D297" s="255"/>
      <c r="E297" s="255"/>
      <c r="F297" s="255"/>
      <c r="G297" s="256"/>
      <c r="H297" s="255"/>
      <c r="I297" s="255"/>
      <c r="J297" s="255"/>
      <c r="K297" s="256"/>
      <c r="L297" s="255"/>
      <c r="M297" s="255"/>
      <c r="N297" s="255"/>
      <c r="O297" s="256"/>
      <c r="P297" s="255"/>
      <c r="Q297" s="255"/>
      <c r="R297" s="256"/>
      <c r="S297" s="256"/>
      <c r="T297" s="255"/>
      <c r="U297" s="259"/>
    </row>
    <row r="298">
      <c r="A298" s="255"/>
      <c r="B298" s="255"/>
      <c r="C298" s="256"/>
      <c r="D298" s="255"/>
      <c r="E298" s="255"/>
      <c r="F298" s="255"/>
      <c r="G298" s="256"/>
      <c r="H298" s="255"/>
      <c r="I298" s="255"/>
      <c r="J298" s="255"/>
      <c r="K298" s="256"/>
      <c r="L298" s="255"/>
      <c r="M298" s="255"/>
      <c r="N298" s="255"/>
      <c r="O298" s="256"/>
      <c r="P298" s="255"/>
      <c r="Q298" s="255"/>
      <c r="R298" s="256"/>
      <c r="S298" s="256"/>
      <c r="T298" s="255"/>
      <c r="U298" s="259"/>
    </row>
    <row r="299">
      <c r="A299" s="255"/>
      <c r="B299" s="255"/>
      <c r="C299" s="256"/>
      <c r="D299" s="255"/>
      <c r="E299" s="255"/>
      <c r="F299" s="255"/>
      <c r="G299" s="256"/>
      <c r="H299" s="255"/>
      <c r="I299" s="255"/>
      <c r="J299" s="255"/>
      <c r="K299" s="256"/>
      <c r="L299" s="255"/>
      <c r="M299" s="255"/>
      <c r="N299" s="255"/>
      <c r="O299" s="256"/>
      <c r="P299" s="255"/>
      <c r="Q299" s="255"/>
      <c r="R299" s="256"/>
      <c r="S299" s="256"/>
      <c r="T299" s="255"/>
      <c r="U299" s="259"/>
    </row>
    <row r="300">
      <c r="A300" s="255"/>
      <c r="B300" s="255"/>
      <c r="C300" s="256"/>
      <c r="D300" s="255"/>
      <c r="E300" s="255"/>
      <c r="F300" s="255"/>
      <c r="G300" s="256"/>
      <c r="H300" s="255"/>
      <c r="I300" s="255"/>
      <c r="J300" s="255"/>
      <c r="K300" s="256"/>
      <c r="L300" s="255"/>
      <c r="M300" s="255"/>
      <c r="N300" s="255"/>
      <c r="O300" s="256"/>
      <c r="P300" s="255"/>
      <c r="Q300" s="255"/>
      <c r="R300" s="256"/>
      <c r="S300" s="256"/>
      <c r="T300" s="255"/>
      <c r="U300" s="259"/>
    </row>
    <row r="301">
      <c r="A301" s="255"/>
      <c r="B301" s="255"/>
      <c r="C301" s="256"/>
      <c r="D301" s="255"/>
      <c r="E301" s="255"/>
      <c r="F301" s="255"/>
      <c r="G301" s="256"/>
      <c r="H301" s="255"/>
      <c r="I301" s="255"/>
      <c r="J301" s="255"/>
      <c r="K301" s="256"/>
      <c r="L301" s="255"/>
      <c r="M301" s="255"/>
      <c r="N301" s="255"/>
      <c r="O301" s="256"/>
      <c r="P301" s="255"/>
      <c r="Q301" s="255"/>
      <c r="R301" s="256"/>
      <c r="S301" s="256"/>
      <c r="T301" s="255"/>
      <c r="U301" s="259"/>
    </row>
    <row r="302">
      <c r="A302" s="255"/>
      <c r="B302" s="255"/>
      <c r="C302" s="256"/>
      <c r="D302" s="255"/>
      <c r="E302" s="255"/>
      <c r="F302" s="255"/>
      <c r="G302" s="256"/>
      <c r="H302" s="255"/>
      <c r="I302" s="255"/>
      <c r="J302" s="255"/>
      <c r="K302" s="256"/>
      <c r="L302" s="255"/>
      <c r="M302" s="255"/>
      <c r="N302" s="255"/>
      <c r="O302" s="256"/>
      <c r="P302" s="255"/>
      <c r="Q302" s="255"/>
      <c r="R302" s="256"/>
      <c r="S302" s="256"/>
      <c r="T302" s="255"/>
      <c r="U302" s="259"/>
    </row>
    <row r="303">
      <c r="A303" s="255"/>
      <c r="B303" s="255"/>
      <c r="C303" s="256"/>
      <c r="D303" s="255"/>
      <c r="E303" s="255"/>
      <c r="F303" s="255"/>
      <c r="G303" s="256"/>
      <c r="H303" s="255"/>
      <c r="I303" s="255"/>
      <c r="J303" s="255"/>
      <c r="K303" s="256"/>
      <c r="L303" s="255"/>
      <c r="M303" s="255"/>
      <c r="N303" s="255"/>
      <c r="O303" s="256"/>
      <c r="P303" s="255"/>
      <c r="Q303" s="255"/>
      <c r="R303" s="256"/>
      <c r="S303" s="256"/>
      <c r="T303" s="255"/>
      <c r="U303" s="259"/>
    </row>
    <row r="304">
      <c r="A304" s="255"/>
      <c r="B304" s="255"/>
      <c r="C304" s="256"/>
      <c r="D304" s="255"/>
      <c r="E304" s="255"/>
      <c r="F304" s="255"/>
      <c r="G304" s="256"/>
      <c r="H304" s="255"/>
      <c r="I304" s="255"/>
      <c r="J304" s="255"/>
      <c r="K304" s="256"/>
      <c r="L304" s="255"/>
      <c r="M304" s="255"/>
      <c r="N304" s="255"/>
      <c r="O304" s="256"/>
      <c r="P304" s="255"/>
      <c r="Q304" s="255"/>
      <c r="R304" s="256"/>
      <c r="S304" s="256"/>
      <c r="T304" s="255"/>
      <c r="U304" s="259"/>
    </row>
    <row r="305">
      <c r="A305" s="255"/>
      <c r="B305" s="255"/>
      <c r="C305" s="256"/>
      <c r="D305" s="255"/>
      <c r="E305" s="255"/>
      <c r="F305" s="255"/>
      <c r="G305" s="256"/>
      <c r="H305" s="255"/>
      <c r="I305" s="255"/>
      <c r="J305" s="255"/>
      <c r="K305" s="256"/>
      <c r="L305" s="255"/>
      <c r="M305" s="255"/>
      <c r="N305" s="255"/>
      <c r="O305" s="256"/>
      <c r="P305" s="255"/>
      <c r="Q305" s="255"/>
      <c r="R305" s="256"/>
      <c r="S305" s="256"/>
      <c r="T305" s="255"/>
      <c r="U305" s="259"/>
    </row>
    <row r="306">
      <c r="A306" s="255"/>
      <c r="B306" s="255"/>
      <c r="C306" s="256"/>
      <c r="D306" s="255"/>
      <c r="E306" s="255"/>
      <c r="F306" s="255"/>
      <c r="G306" s="256"/>
      <c r="H306" s="255"/>
      <c r="I306" s="255"/>
      <c r="J306" s="255"/>
      <c r="K306" s="256"/>
      <c r="L306" s="255"/>
      <c r="M306" s="255"/>
      <c r="N306" s="255"/>
      <c r="O306" s="256"/>
      <c r="P306" s="255"/>
      <c r="Q306" s="255"/>
      <c r="R306" s="256"/>
      <c r="S306" s="256"/>
      <c r="T306" s="255"/>
      <c r="U306" s="259"/>
    </row>
    <row r="307">
      <c r="A307" s="255"/>
      <c r="B307" s="255"/>
      <c r="C307" s="256"/>
      <c r="D307" s="255"/>
      <c r="E307" s="255"/>
      <c r="F307" s="255"/>
      <c r="G307" s="256"/>
      <c r="H307" s="255"/>
      <c r="I307" s="255"/>
      <c r="J307" s="255"/>
      <c r="K307" s="256"/>
      <c r="L307" s="255"/>
      <c r="M307" s="255"/>
      <c r="N307" s="255"/>
      <c r="O307" s="256"/>
      <c r="P307" s="255"/>
      <c r="Q307" s="255"/>
      <c r="R307" s="256"/>
      <c r="S307" s="256"/>
      <c r="T307" s="255"/>
      <c r="U307" s="259"/>
    </row>
    <row r="308">
      <c r="A308" s="255"/>
      <c r="B308" s="255"/>
      <c r="C308" s="256"/>
      <c r="D308" s="255"/>
      <c r="E308" s="255"/>
      <c r="F308" s="255"/>
      <c r="G308" s="256"/>
      <c r="H308" s="255"/>
      <c r="I308" s="255"/>
      <c r="J308" s="255"/>
      <c r="K308" s="256"/>
      <c r="L308" s="255"/>
      <c r="M308" s="255"/>
      <c r="N308" s="255"/>
      <c r="O308" s="256"/>
      <c r="P308" s="255"/>
      <c r="Q308" s="255"/>
      <c r="R308" s="256"/>
      <c r="S308" s="256"/>
      <c r="T308" s="255"/>
      <c r="U308" s="259"/>
    </row>
    <row r="309">
      <c r="A309" s="255"/>
      <c r="B309" s="255"/>
      <c r="C309" s="256"/>
      <c r="D309" s="255"/>
      <c r="E309" s="255"/>
      <c r="F309" s="255"/>
      <c r="G309" s="256"/>
      <c r="H309" s="255"/>
      <c r="I309" s="255"/>
      <c r="J309" s="255"/>
      <c r="K309" s="256"/>
      <c r="L309" s="255"/>
      <c r="M309" s="255"/>
      <c r="N309" s="255"/>
      <c r="O309" s="256"/>
      <c r="P309" s="255"/>
      <c r="Q309" s="255"/>
      <c r="R309" s="256"/>
      <c r="S309" s="256"/>
      <c r="T309" s="255"/>
      <c r="U309" s="259"/>
    </row>
    <row r="310">
      <c r="A310" s="255"/>
      <c r="B310" s="255"/>
      <c r="C310" s="256"/>
      <c r="D310" s="255"/>
      <c r="E310" s="255"/>
      <c r="F310" s="255"/>
      <c r="G310" s="256"/>
      <c r="H310" s="255"/>
      <c r="I310" s="255"/>
      <c r="J310" s="255"/>
      <c r="K310" s="256"/>
      <c r="L310" s="255"/>
      <c r="M310" s="255"/>
      <c r="N310" s="255"/>
      <c r="O310" s="256"/>
      <c r="P310" s="255"/>
      <c r="Q310" s="255"/>
      <c r="R310" s="256"/>
      <c r="S310" s="256"/>
      <c r="T310" s="255"/>
      <c r="U310" s="259"/>
    </row>
    <row r="311">
      <c r="A311" s="255"/>
      <c r="B311" s="255"/>
      <c r="C311" s="256"/>
      <c r="D311" s="255"/>
      <c r="E311" s="255"/>
      <c r="F311" s="255"/>
      <c r="G311" s="256"/>
      <c r="H311" s="255"/>
      <c r="I311" s="255"/>
      <c r="J311" s="255"/>
      <c r="K311" s="256"/>
      <c r="L311" s="255"/>
      <c r="M311" s="255"/>
      <c r="N311" s="255"/>
      <c r="O311" s="256"/>
      <c r="P311" s="255"/>
      <c r="Q311" s="255"/>
      <c r="R311" s="256"/>
      <c r="S311" s="256"/>
      <c r="T311" s="255"/>
      <c r="U311" s="259"/>
    </row>
    <row r="312">
      <c r="A312" s="255"/>
      <c r="B312" s="255"/>
      <c r="C312" s="256"/>
      <c r="D312" s="255"/>
      <c r="E312" s="255"/>
      <c r="F312" s="255"/>
      <c r="G312" s="256"/>
      <c r="H312" s="255"/>
      <c r="I312" s="255"/>
      <c r="J312" s="255"/>
      <c r="K312" s="256"/>
      <c r="L312" s="255"/>
      <c r="M312" s="255"/>
      <c r="N312" s="255"/>
      <c r="O312" s="256"/>
      <c r="P312" s="255"/>
      <c r="Q312" s="255"/>
      <c r="R312" s="256"/>
      <c r="S312" s="256"/>
      <c r="T312" s="255"/>
      <c r="U312" s="259"/>
    </row>
    <row r="313">
      <c r="A313" s="255"/>
      <c r="B313" s="255"/>
      <c r="C313" s="256"/>
      <c r="D313" s="255"/>
      <c r="E313" s="255"/>
      <c r="F313" s="255"/>
      <c r="G313" s="256"/>
      <c r="H313" s="255"/>
      <c r="I313" s="255"/>
      <c r="J313" s="255"/>
      <c r="K313" s="256"/>
      <c r="L313" s="255"/>
      <c r="M313" s="255"/>
      <c r="N313" s="255"/>
      <c r="O313" s="256"/>
      <c r="P313" s="255"/>
      <c r="Q313" s="255"/>
      <c r="R313" s="256"/>
      <c r="S313" s="256"/>
      <c r="T313" s="255"/>
      <c r="U313" s="259"/>
    </row>
    <row r="314">
      <c r="A314" s="255"/>
      <c r="B314" s="255"/>
      <c r="C314" s="256"/>
      <c r="D314" s="255"/>
      <c r="E314" s="255"/>
      <c r="F314" s="255"/>
      <c r="G314" s="256"/>
      <c r="H314" s="255"/>
      <c r="I314" s="255"/>
      <c r="J314" s="255"/>
      <c r="K314" s="256"/>
      <c r="L314" s="255"/>
      <c r="M314" s="255"/>
      <c r="N314" s="255"/>
      <c r="O314" s="256"/>
      <c r="P314" s="255"/>
      <c r="Q314" s="255"/>
      <c r="R314" s="256"/>
      <c r="S314" s="256"/>
      <c r="T314" s="255"/>
      <c r="U314" s="259"/>
    </row>
    <row r="315">
      <c r="A315" s="255"/>
      <c r="B315" s="255"/>
      <c r="C315" s="256"/>
      <c r="D315" s="255"/>
      <c r="E315" s="255"/>
      <c r="F315" s="255"/>
      <c r="G315" s="256"/>
      <c r="H315" s="255"/>
      <c r="I315" s="255"/>
      <c r="J315" s="255"/>
      <c r="K315" s="256"/>
      <c r="L315" s="255"/>
      <c r="M315" s="255"/>
      <c r="N315" s="255"/>
      <c r="O315" s="256"/>
      <c r="P315" s="255"/>
      <c r="Q315" s="255"/>
      <c r="R315" s="256"/>
      <c r="S315" s="256"/>
      <c r="T315" s="255"/>
      <c r="U315" s="259"/>
    </row>
    <row r="316">
      <c r="A316" s="255"/>
      <c r="B316" s="255"/>
      <c r="C316" s="256"/>
      <c r="D316" s="255"/>
      <c r="E316" s="255"/>
      <c r="F316" s="255"/>
      <c r="G316" s="256"/>
      <c r="H316" s="255"/>
      <c r="I316" s="255"/>
      <c r="J316" s="255"/>
      <c r="K316" s="256"/>
      <c r="L316" s="255"/>
      <c r="M316" s="255"/>
      <c r="N316" s="255"/>
      <c r="O316" s="256"/>
      <c r="P316" s="255"/>
      <c r="Q316" s="255"/>
      <c r="R316" s="256"/>
      <c r="S316" s="256"/>
      <c r="T316" s="255"/>
      <c r="U316" s="259"/>
    </row>
    <row r="317">
      <c r="A317" s="255"/>
      <c r="B317" s="255"/>
      <c r="C317" s="256"/>
      <c r="D317" s="255"/>
      <c r="E317" s="255"/>
      <c r="F317" s="255"/>
      <c r="G317" s="256"/>
      <c r="H317" s="255"/>
      <c r="I317" s="255"/>
      <c r="J317" s="255"/>
      <c r="K317" s="256"/>
      <c r="L317" s="255"/>
      <c r="M317" s="255"/>
      <c r="N317" s="255"/>
      <c r="O317" s="256"/>
      <c r="P317" s="255"/>
      <c r="Q317" s="255"/>
      <c r="R317" s="256"/>
      <c r="S317" s="256"/>
      <c r="T317" s="255"/>
      <c r="U317" s="259"/>
    </row>
    <row r="318">
      <c r="A318" s="255"/>
      <c r="B318" s="255"/>
      <c r="C318" s="256"/>
      <c r="D318" s="255"/>
      <c r="E318" s="255"/>
      <c r="F318" s="255"/>
      <c r="G318" s="256"/>
      <c r="H318" s="255"/>
      <c r="I318" s="255"/>
      <c r="J318" s="255"/>
      <c r="K318" s="256"/>
      <c r="L318" s="255"/>
      <c r="M318" s="255"/>
      <c r="N318" s="255"/>
      <c r="O318" s="256"/>
      <c r="P318" s="255"/>
      <c r="Q318" s="255"/>
      <c r="R318" s="256"/>
      <c r="S318" s="256"/>
      <c r="T318" s="255"/>
      <c r="U318" s="259"/>
    </row>
    <row r="319">
      <c r="A319" s="255"/>
      <c r="B319" s="255"/>
      <c r="C319" s="256"/>
      <c r="D319" s="255"/>
      <c r="E319" s="255"/>
      <c r="F319" s="255"/>
      <c r="G319" s="256"/>
      <c r="H319" s="255"/>
      <c r="I319" s="255"/>
      <c r="J319" s="255"/>
      <c r="K319" s="256"/>
      <c r="L319" s="255"/>
      <c r="M319" s="255"/>
      <c r="N319" s="255"/>
      <c r="O319" s="256"/>
      <c r="P319" s="255"/>
      <c r="Q319" s="255"/>
      <c r="R319" s="256"/>
      <c r="S319" s="256"/>
      <c r="T319" s="255"/>
      <c r="U319" s="259"/>
    </row>
    <row r="320">
      <c r="A320" s="255"/>
      <c r="B320" s="255"/>
      <c r="C320" s="256"/>
      <c r="D320" s="255"/>
      <c r="E320" s="255"/>
      <c r="F320" s="255"/>
      <c r="G320" s="256"/>
      <c r="H320" s="255"/>
      <c r="I320" s="255"/>
      <c r="J320" s="255"/>
      <c r="K320" s="256"/>
      <c r="L320" s="255"/>
      <c r="M320" s="255"/>
      <c r="N320" s="255"/>
      <c r="O320" s="256"/>
      <c r="P320" s="255"/>
      <c r="Q320" s="255"/>
      <c r="R320" s="256"/>
      <c r="S320" s="256"/>
      <c r="T320" s="255"/>
      <c r="U320" s="259"/>
    </row>
    <row r="321">
      <c r="A321" s="255"/>
      <c r="B321" s="255"/>
      <c r="C321" s="256"/>
      <c r="D321" s="255"/>
      <c r="E321" s="255"/>
      <c r="F321" s="255"/>
      <c r="G321" s="256"/>
      <c r="H321" s="255"/>
      <c r="I321" s="255"/>
      <c r="J321" s="255"/>
      <c r="K321" s="256"/>
      <c r="L321" s="255"/>
      <c r="M321" s="255"/>
      <c r="N321" s="255"/>
      <c r="O321" s="256"/>
      <c r="P321" s="255"/>
      <c r="Q321" s="255"/>
      <c r="R321" s="256"/>
      <c r="S321" s="256"/>
      <c r="T321" s="255"/>
      <c r="U321" s="259"/>
    </row>
    <row r="322">
      <c r="A322" s="255"/>
      <c r="B322" s="255"/>
      <c r="C322" s="256"/>
      <c r="D322" s="255"/>
      <c r="E322" s="255"/>
      <c r="F322" s="255"/>
      <c r="G322" s="256"/>
      <c r="H322" s="255"/>
      <c r="I322" s="255"/>
      <c r="J322" s="255"/>
      <c r="K322" s="256"/>
      <c r="L322" s="255"/>
      <c r="M322" s="255"/>
      <c r="N322" s="255"/>
      <c r="O322" s="256"/>
      <c r="P322" s="255"/>
      <c r="Q322" s="255"/>
      <c r="R322" s="256"/>
      <c r="S322" s="256"/>
      <c r="T322" s="255"/>
      <c r="U322" s="259"/>
    </row>
    <row r="323">
      <c r="A323" s="255"/>
      <c r="B323" s="255"/>
      <c r="C323" s="256"/>
      <c r="D323" s="255"/>
      <c r="E323" s="255"/>
      <c r="F323" s="255"/>
      <c r="G323" s="256"/>
      <c r="H323" s="255"/>
      <c r="I323" s="255"/>
      <c r="J323" s="255"/>
      <c r="K323" s="256"/>
      <c r="L323" s="255"/>
      <c r="M323" s="255"/>
      <c r="N323" s="255"/>
      <c r="O323" s="256"/>
      <c r="P323" s="255"/>
      <c r="Q323" s="255"/>
      <c r="R323" s="256"/>
      <c r="S323" s="256"/>
      <c r="T323" s="255"/>
      <c r="U323" s="259"/>
    </row>
    <row r="324">
      <c r="A324" s="255"/>
      <c r="B324" s="255"/>
      <c r="C324" s="256"/>
      <c r="D324" s="255"/>
      <c r="E324" s="255"/>
      <c r="F324" s="255"/>
      <c r="G324" s="256"/>
      <c r="H324" s="255"/>
      <c r="I324" s="255"/>
      <c r="J324" s="255"/>
      <c r="K324" s="256"/>
      <c r="L324" s="255"/>
      <c r="M324" s="255"/>
      <c r="N324" s="255"/>
      <c r="O324" s="256"/>
      <c r="P324" s="255"/>
      <c r="Q324" s="255"/>
      <c r="R324" s="256"/>
      <c r="S324" s="256"/>
      <c r="T324" s="255"/>
      <c r="U324" s="259"/>
    </row>
    <row r="325">
      <c r="A325" s="255"/>
      <c r="B325" s="255"/>
      <c r="C325" s="256"/>
      <c r="D325" s="255"/>
      <c r="E325" s="255"/>
      <c r="F325" s="255"/>
      <c r="G325" s="256"/>
      <c r="H325" s="255"/>
      <c r="I325" s="255"/>
      <c r="J325" s="255"/>
      <c r="K325" s="256"/>
      <c r="L325" s="255"/>
      <c r="M325" s="255"/>
      <c r="N325" s="255"/>
      <c r="O325" s="256"/>
      <c r="P325" s="255"/>
      <c r="Q325" s="255"/>
      <c r="R325" s="256"/>
      <c r="S325" s="256"/>
      <c r="T325" s="255"/>
      <c r="U325" s="259"/>
    </row>
    <row r="326">
      <c r="A326" s="255"/>
      <c r="B326" s="255"/>
      <c r="C326" s="256"/>
      <c r="D326" s="255"/>
      <c r="E326" s="255"/>
      <c r="F326" s="255"/>
      <c r="G326" s="256"/>
      <c r="H326" s="255"/>
      <c r="I326" s="255"/>
      <c r="J326" s="255"/>
      <c r="K326" s="256"/>
      <c r="L326" s="255"/>
      <c r="M326" s="255"/>
      <c r="N326" s="255"/>
      <c r="O326" s="256"/>
      <c r="P326" s="255"/>
      <c r="Q326" s="255"/>
      <c r="R326" s="256"/>
      <c r="S326" s="256"/>
      <c r="T326" s="255"/>
      <c r="U326" s="259"/>
    </row>
    <row r="327">
      <c r="A327" s="255"/>
      <c r="B327" s="255"/>
      <c r="C327" s="256"/>
      <c r="D327" s="255"/>
      <c r="E327" s="255"/>
      <c r="F327" s="255"/>
      <c r="G327" s="256"/>
      <c r="H327" s="255"/>
      <c r="I327" s="255"/>
      <c r="J327" s="255"/>
      <c r="K327" s="256"/>
      <c r="L327" s="255"/>
      <c r="M327" s="255"/>
      <c r="N327" s="255"/>
      <c r="O327" s="256"/>
      <c r="P327" s="255"/>
      <c r="Q327" s="255"/>
      <c r="R327" s="256"/>
      <c r="S327" s="256"/>
      <c r="T327" s="255"/>
      <c r="U327" s="259"/>
    </row>
    <row r="328">
      <c r="A328" s="255"/>
      <c r="B328" s="255"/>
      <c r="C328" s="256"/>
      <c r="D328" s="255"/>
      <c r="E328" s="255"/>
      <c r="F328" s="255"/>
      <c r="G328" s="256"/>
      <c r="H328" s="255"/>
      <c r="I328" s="255"/>
      <c r="J328" s="255"/>
      <c r="K328" s="256"/>
      <c r="L328" s="255"/>
      <c r="M328" s="255"/>
      <c r="N328" s="255"/>
      <c r="O328" s="256"/>
      <c r="P328" s="255"/>
      <c r="Q328" s="255"/>
      <c r="R328" s="256"/>
      <c r="S328" s="256"/>
      <c r="T328" s="255"/>
      <c r="U328" s="259"/>
    </row>
    <row r="329">
      <c r="A329" s="255"/>
      <c r="B329" s="255"/>
      <c r="C329" s="256"/>
      <c r="D329" s="255"/>
      <c r="E329" s="255"/>
      <c r="F329" s="255"/>
      <c r="G329" s="256"/>
      <c r="H329" s="255"/>
      <c r="I329" s="255"/>
      <c r="J329" s="255"/>
      <c r="K329" s="256"/>
      <c r="L329" s="255"/>
      <c r="M329" s="255"/>
      <c r="N329" s="255"/>
      <c r="O329" s="256"/>
      <c r="P329" s="255"/>
      <c r="Q329" s="255"/>
      <c r="R329" s="256"/>
      <c r="S329" s="256"/>
      <c r="T329" s="255"/>
      <c r="U329" s="259"/>
    </row>
    <row r="330">
      <c r="A330" s="255"/>
      <c r="B330" s="255"/>
      <c r="C330" s="256"/>
      <c r="D330" s="255"/>
      <c r="E330" s="255"/>
      <c r="F330" s="255"/>
      <c r="G330" s="256"/>
      <c r="H330" s="255"/>
      <c r="I330" s="255"/>
      <c r="J330" s="255"/>
      <c r="K330" s="256"/>
      <c r="L330" s="255"/>
      <c r="M330" s="255"/>
      <c r="N330" s="255"/>
      <c r="O330" s="256"/>
      <c r="P330" s="255"/>
      <c r="Q330" s="255"/>
      <c r="R330" s="256"/>
      <c r="S330" s="256"/>
      <c r="T330" s="255"/>
      <c r="U330" s="259"/>
    </row>
    <row r="331">
      <c r="A331" s="255"/>
      <c r="B331" s="255"/>
      <c r="C331" s="256"/>
      <c r="D331" s="255"/>
      <c r="E331" s="255"/>
      <c r="F331" s="255"/>
      <c r="G331" s="256"/>
      <c r="H331" s="255"/>
      <c r="I331" s="255"/>
      <c r="J331" s="255"/>
      <c r="K331" s="256"/>
      <c r="L331" s="255"/>
      <c r="M331" s="255"/>
      <c r="N331" s="255"/>
      <c r="O331" s="256"/>
      <c r="P331" s="255"/>
      <c r="Q331" s="255"/>
      <c r="R331" s="256"/>
      <c r="S331" s="256"/>
      <c r="T331" s="255"/>
      <c r="U331" s="259"/>
    </row>
    <row r="332">
      <c r="A332" s="255"/>
      <c r="B332" s="255"/>
      <c r="C332" s="256"/>
      <c r="D332" s="255"/>
      <c r="E332" s="255"/>
      <c r="F332" s="255"/>
      <c r="G332" s="256"/>
      <c r="H332" s="255"/>
      <c r="I332" s="255"/>
      <c r="J332" s="255"/>
      <c r="K332" s="256"/>
      <c r="L332" s="255"/>
      <c r="M332" s="255"/>
      <c r="N332" s="255"/>
      <c r="O332" s="256"/>
      <c r="P332" s="255"/>
      <c r="Q332" s="255"/>
      <c r="R332" s="256"/>
      <c r="S332" s="256"/>
      <c r="T332" s="255"/>
      <c r="U332" s="259"/>
    </row>
    <row r="333">
      <c r="A333" s="255"/>
      <c r="B333" s="255"/>
      <c r="C333" s="256"/>
      <c r="D333" s="255"/>
      <c r="E333" s="255"/>
      <c r="F333" s="255"/>
      <c r="G333" s="256"/>
      <c r="H333" s="255"/>
      <c r="I333" s="255"/>
      <c r="J333" s="255"/>
      <c r="K333" s="256"/>
      <c r="L333" s="255"/>
      <c r="M333" s="255"/>
      <c r="N333" s="255"/>
      <c r="O333" s="256"/>
      <c r="P333" s="255"/>
      <c r="Q333" s="255"/>
      <c r="R333" s="256"/>
      <c r="S333" s="256"/>
      <c r="T333" s="255"/>
      <c r="U333" s="259"/>
    </row>
    <row r="334">
      <c r="A334" s="255"/>
      <c r="B334" s="255"/>
      <c r="C334" s="256"/>
      <c r="D334" s="255"/>
      <c r="E334" s="255"/>
      <c r="F334" s="255"/>
      <c r="G334" s="256"/>
      <c r="H334" s="255"/>
      <c r="I334" s="255"/>
      <c r="J334" s="255"/>
      <c r="K334" s="256"/>
      <c r="L334" s="255"/>
      <c r="M334" s="255"/>
      <c r="N334" s="255"/>
      <c r="O334" s="256"/>
      <c r="P334" s="255"/>
      <c r="Q334" s="255"/>
      <c r="R334" s="256"/>
      <c r="S334" s="256"/>
      <c r="T334" s="255"/>
      <c r="U334" s="259"/>
    </row>
    <row r="335">
      <c r="A335" s="255"/>
      <c r="B335" s="255"/>
      <c r="C335" s="256"/>
      <c r="D335" s="255"/>
      <c r="E335" s="255"/>
      <c r="F335" s="255"/>
      <c r="G335" s="256"/>
      <c r="H335" s="255"/>
      <c r="I335" s="255"/>
      <c r="J335" s="255"/>
      <c r="K335" s="256"/>
      <c r="L335" s="255"/>
      <c r="M335" s="255"/>
      <c r="N335" s="255"/>
      <c r="O335" s="256"/>
      <c r="P335" s="255"/>
      <c r="Q335" s="255"/>
      <c r="R335" s="256"/>
      <c r="S335" s="256"/>
      <c r="T335" s="255"/>
      <c r="U335" s="259"/>
    </row>
    <row r="336">
      <c r="A336" s="255"/>
      <c r="B336" s="255"/>
      <c r="C336" s="256"/>
      <c r="D336" s="255"/>
      <c r="E336" s="255"/>
      <c r="F336" s="255"/>
      <c r="G336" s="256"/>
      <c r="H336" s="255"/>
      <c r="I336" s="255"/>
      <c r="J336" s="255"/>
      <c r="K336" s="256"/>
      <c r="L336" s="255"/>
      <c r="M336" s="255"/>
      <c r="N336" s="255"/>
      <c r="O336" s="256"/>
      <c r="P336" s="255"/>
      <c r="Q336" s="255"/>
      <c r="R336" s="256"/>
      <c r="S336" s="256"/>
      <c r="T336" s="255"/>
      <c r="U336" s="259"/>
    </row>
    <row r="337">
      <c r="A337" s="255"/>
      <c r="B337" s="255"/>
      <c r="C337" s="256"/>
      <c r="D337" s="255"/>
      <c r="E337" s="255"/>
      <c r="F337" s="255"/>
      <c r="G337" s="256"/>
      <c r="H337" s="255"/>
      <c r="I337" s="255"/>
      <c r="J337" s="255"/>
      <c r="K337" s="256"/>
      <c r="L337" s="255"/>
      <c r="M337" s="255"/>
      <c r="N337" s="255"/>
      <c r="O337" s="256"/>
      <c r="P337" s="255"/>
      <c r="Q337" s="255"/>
      <c r="R337" s="256"/>
      <c r="S337" s="256"/>
      <c r="T337" s="255"/>
      <c r="U337" s="259"/>
    </row>
    <row r="338">
      <c r="A338" s="255"/>
      <c r="B338" s="255"/>
      <c r="C338" s="256"/>
      <c r="D338" s="255"/>
      <c r="E338" s="255"/>
      <c r="F338" s="255"/>
      <c r="G338" s="256"/>
      <c r="H338" s="255"/>
      <c r="I338" s="255"/>
      <c r="J338" s="255"/>
      <c r="K338" s="256"/>
      <c r="L338" s="255"/>
      <c r="M338" s="255"/>
      <c r="N338" s="255"/>
      <c r="O338" s="256"/>
      <c r="P338" s="255"/>
      <c r="Q338" s="255"/>
      <c r="R338" s="256"/>
      <c r="S338" s="256"/>
      <c r="T338" s="255"/>
      <c r="U338" s="259"/>
    </row>
    <row r="339">
      <c r="A339" s="255"/>
      <c r="B339" s="255"/>
      <c r="C339" s="256"/>
      <c r="D339" s="255"/>
      <c r="E339" s="255"/>
      <c r="F339" s="255"/>
      <c r="G339" s="256"/>
      <c r="H339" s="255"/>
      <c r="I339" s="255"/>
      <c r="J339" s="255"/>
      <c r="K339" s="256"/>
      <c r="L339" s="255"/>
      <c r="M339" s="255"/>
      <c r="N339" s="255"/>
      <c r="O339" s="256"/>
      <c r="P339" s="255"/>
      <c r="Q339" s="255"/>
      <c r="R339" s="256"/>
      <c r="S339" s="256"/>
      <c r="T339" s="255"/>
      <c r="U339" s="259"/>
    </row>
    <row r="340">
      <c r="A340" s="255"/>
      <c r="B340" s="255"/>
      <c r="C340" s="256"/>
      <c r="D340" s="255"/>
      <c r="E340" s="255"/>
      <c r="F340" s="255"/>
      <c r="G340" s="256"/>
      <c r="H340" s="255"/>
      <c r="I340" s="255"/>
      <c r="J340" s="255"/>
      <c r="K340" s="256"/>
      <c r="L340" s="255"/>
      <c r="M340" s="255"/>
      <c r="N340" s="255"/>
      <c r="O340" s="256"/>
      <c r="P340" s="255"/>
      <c r="Q340" s="255"/>
      <c r="R340" s="256"/>
      <c r="S340" s="256"/>
      <c r="T340" s="255"/>
      <c r="U340" s="259"/>
    </row>
    <row r="341">
      <c r="A341" s="255"/>
      <c r="B341" s="255"/>
      <c r="C341" s="256"/>
      <c r="D341" s="255"/>
      <c r="E341" s="255"/>
      <c r="F341" s="255"/>
      <c r="G341" s="256"/>
      <c r="H341" s="255"/>
      <c r="I341" s="255"/>
      <c r="J341" s="255"/>
      <c r="K341" s="256"/>
      <c r="L341" s="255"/>
      <c r="M341" s="255"/>
      <c r="N341" s="255"/>
      <c r="O341" s="256"/>
      <c r="P341" s="255"/>
      <c r="Q341" s="255"/>
      <c r="R341" s="256"/>
      <c r="S341" s="256"/>
      <c r="T341" s="255"/>
      <c r="U341" s="259"/>
    </row>
    <row r="342">
      <c r="A342" s="255"/>
      <c r="B342" s="255"/>
      <c r="C342" s="256"/>
      <c r="D342" s="255"/>
      <c r="E342" s="255"/>
      <c r="F342" s="255"/>
      <c r="G342" s="256"/>
      <c r="H342" s="255"/>
      <c r="I342" s="255"/>
      <c r="J342" s="255"/>
      <c r="K342" s="256"/>
      <c r="L342" s="255"/>
      <c r="M342" s="255"/>
      <c r="N342" s="255"/>
      <c r="O342" s="256"/>
      <c r="P342" s="255"/>
      <c r="Q342" s="255"/>
      <c r="R342" s="256"/>
      <c r="S342" s="256"/>
      <c r="T342" s="255"/>
      <c r="U342" s="259"/>
    </row>
    <row r="343">
      <c r="A343" s="255"/>
      <c r="B343" s="255"/>
      <c r="C343" s="256"/>
      <c r="D343" s="255"/>
      <c r="E343" s="255"/>
      <c r="F343" s="255"/>
      <c r="G343" s="256"/>
      <c r="H343" s="255"/>
      <c r="I343" s="255"/>
      <c r="J343" s="255"/>
      <c r="K343" s="256"/>
      <c r="L343" s="255"/>
      <c r="M343" s="255"/>
      <c r="N343" s="255"/>
      <c r="O343" s="256"/>
      <c r="P343" s="255"/>
      <c r="Q343" s="255"/>
      <c r="R343" s="256"/>
      <c r="S343" s="256"/>
      <c r="T343" s="255"/>
      <c r="U343" s="259"/>
    </row>
    <row r="344">
      <c r="A344" s="255"/>
      <c r="B344" s="255"/>
      <c r="C344" s="256"/>
      <c r="D344" s="255"/>
      <c r="E344" s="255"/>
      <c r="F344" s="255"/>
      <c r="G344" s="256"/>
      <c r="H344" s="255"/>
      <c r="I344" s="255"/>
      <c r="J344" s="255"/>
      <c r="K344" s="256"/>
      <c r="L344" s="255"/>
      <c r="M344" s="255"/>
      <c r="N344" s="255"/>
      <c r="O344" s="256"/>
      <c r="P344" s="255"/>
      <c r="Q344" s="255"/>
      <c r="R344" s="256"/>
      <c r="S344" s="256"/>
      <c r="T344" s="255"/>
      <c r="U344" s="259"/>
    </row>
    <row r="345">
      <c r="A345" s="255"/>
      <c r="B345" s="255"/>
      <c r="C345" s="256"/>
      <c r="D345" s="255"/>
      <c r="E345" s="255"/>
      <c r="F345" s="255"/>
      <c r="G345" s="256"/>
      <c r="H345" s="255"/>
      <c r="I345" s="255"/>
      <c r="J345" s="255"/>
      <c r="K345" s="256"/>
      <c r="L345" s="255"/>
      <c r="M345" s="255"/>
      <c r="N345" s="255"/>
      <c r="O345" s="256"/>
      <c r="P345" s="255"/>
      <c r="Q345" s="255"/>
      <c r="R345" s="256"/>
      <c r="S345" s="256"/>
      <c r="T345" s="255"/>
      <c r="U345" s="259"/>
    </row>
    <row r="346">
      <c r="A346" s="255"/>
      <c r="B346" s="255"/>
      <c r="C346" s="256"/>
      <c r="D346" s="255"/>
      <c r="E346" s="255"/>
      <c r="F346" s="255"/>
      <c r="G346" s="256"/>
      <c r="H346" s="255"/>
      <c r="I346" s="255"/>
      <c r="J346" s="255"/>
      <c r="K346" s="256"/>
      <c r="L346" s="255"/>
      <c r="M346" s="255"/>
      <c r="N346" s="255"/>
      <c r="O346" s="256"/>
      <c r="P346" s="255"/>
      <c r="Q346" s="255"/>
      <c r="R346" s="256"/>
      <c r="S346" s="256"/>
      <c r="T346" s="255"/>
      <c r="U346" s="259"/>
    </row>
    <row r="347">
      <c r="A347" s="255"/>
      <c r="B347" s="255"/>
      <c r="C347" s="256"/>
      <c r="D347" s="255"/>
      <c r="E347" s="255"/>
      <c r="F347" s="255"/>
      <c r="G347" s="256"/>
      <c r="H347" s="255"/>
      <c r="I347" s="255"/>
      <c r="J347" s="255"/>
      <c r="K347" s="256"/>
      <c r="L347" s="255"/>
      <c r="M347" s="255"/>
      <c r="N347" s="255"/>
      <c r="O347" s="256"/>
      <c r="P347" s="255"/>
      <c r="Q347" s="255"/>
      <c r="R347" s="256"/>
      <c r="S347" s="256"/>
      <c r="T347" s="255"/>
      <c r="U347" s="259"/>
    </row>
    <row r="348">
      <c r="A348" s="255"/>
      <c r="B348" s="255"/>
      <c r="C348" s="256"/>
      <c r="D348" s="255"/>
      <c r="E348" s="255"/>
      <c r="F348" s="255"/>
      <c r="G348" s="256"/>
      <c r="H348" s="255"/>
      <c r="I348" s="255"/>
      <c r="J348" s="255"/>
      <c r="K348" s="256"/>
      <c r="L348" s="255"/>
      <c r="M348" s="255"/>
      <c r="N348" s="255"/>
      <c r="O348" s="256"/>
      <c r="P348" s="255"/>
      <c r="Q348" s="255"/>
      <c r="R348" s="256"/>
      <c r="S348" s="256"/>
      <c r="T348" s="255"/>
      <c r="U348" s="259"/>
    </row>
    <row r="349">
      <c r="A349" s="255"/>
      <c r="B349" s="255"/>
      <c r="C349" s="256"/>
      <c r="D349" s="255"/>
      <c r="E349" s="255"/>
      <c r="F349" s="255"/>
      <c r="G349" s="256"/>
      <c r="H349" s="255"/>
      <c r="I349" s="255"/>
      <c r="J349" s="255"/>
      <c r="K349" s="256"/>
      <c r="L349" s="255"/>
      <c r="M349" s="255"/>
      <c r="N349" s="255"/>
      <c r="O349" s="256"/>
      <c r="P349" s="255"/>
      <c r="Q349" s="255"/>
      <c r="R349" s="256"/>
      <c r="S349" s="256"/>
      <c r="T349" s="255"/>
      <c r="U349" s="259"/>
    </row>
    <row r="350">
      <c r="A350" s="255"/>
      <c r="B350" s="255"/>
      <c r="C350" s="256"/>
      <c r="D350" s="255"/>
      <c r="E350" s="255"/>
      <c r="F350" s="255"/>
      <c r="G350" s="256"/>
      <c r="H350" s="255"/>
      <c r="I350" s="255"/>
      <c r="J350" s="255"/>
      <c r="K350" s="256"/>
      <c r="L350" s="255"/>
      <c r="M350" s="255"/>
      <c r="N350" s="255"/>
      <c r="O350" s="256"/>
      <c r="P350" s="255"/>
      <c r="Q350" s="255"/>
      <c r="R350" s="256"/>
      <c r="S350" s="256"/>
      <c r="T350" s="255"/>
      <c r="U350" s="259"/>
    </row>
    <row r="351">
      <c r="A351" s="255"/>
      <c r="B351" s="255"/>
      <c r="C351" s="256"/>
      <c r="D351" s="255"/>
      <c r="E351" s="255"/>
      <c r="F351" s="255"/>
      <c r="G351" s="256"/>
      <c r="H351" s="255"/>
      <c r="I351" s="255"/>
      <c r="J351" s="255"/>
      <c r="K351" s="256"/>
      <c r="L351" s="255"/>
      <c r="M351" s="255"/>
      <c r="N351" s="255"/>
      <c r="O351" s="256"/>
      <c r="P351" s="255"/>
      <c r="Q351" s="255"/>
      <c r="R351" s="256"/>
      <c r="S351" s="256"/>
      <c r="T351" s="255"/>
      <c r="U351" s="259"/>
    </row>
    <row r="352">
      <c r="A352" s="255"/>
      <c r="B352" s="255"/>
      <c r="C352" s="256"/>
      <c r="D352" s="255"/>
      <c r="E352" s="255"/>
      <c r="F352" s="255"/>
      <c r="G352" s="256"/>
      <c r="H352" s="255"/>
      <c r="I352" s="255"/>
      <c r="J352" s="255"/>
      <c r="K352" s="256"/>
      <c r="L352" s="255"/>
      <c r="M352" s="255"/>
      <c r="N352" s="255"/>
      <c r="O352" s="256"/>
      <c r="P352" s="255"/>
      <c r="Q352" s="255"/>
      <c r="R352" s="256"/>
      <c r="S352" s="256"/>
      <c r="T352" s="255"/>
      <c r="U352" s="259"/>
    </row>
    <row r="353">
      <c r="A353" s="255"/>
      <c r="B353" s="255"/>
      <c r="C353" s="256"/>
      <c r="D353" s="255"/>
      <c r="E353" s="255"/>
      <c r="F353" s="255"/>
      <c r="G353" s="256"/>
      <c r="H353" s="255"/>
      <c r="I353" s="255"/>
      <c r="J353" s="255"/>
      <c r="K353" s="256"/>
      <c r="L353" s="255"/>
      <c r="M353" s="255"/>
      <c r="N353" s="255"/>
      <c r="O353" s="256"/>
      <c r="P353" s="255"/>
      <c r="Q353" s="255"/>
      <c r="R353" s="256"/>
      <c r="S353" s="256"/>
      <c r="T353" s="255"/>
      <c r="U353" s="259"/>
    </row>
    <row r="354">
      <c r="A354" s="255"/>
      <c r="B354" s="255"/>
      <c r="C354" s="256"/>
      <c r="D354" s="255"/>
      <c r="E354" s="255"/>
      <c r="F354" s="255"/>
      <c r="G354" s="256"/>
      <c r="H354" s="255"/>
      <c r="I354" s="255"/>
      <c r="J354" s="255"/>
      <c r="K354" s="256"/>
      <c r="L354" s="255"/>
      <c r="M354" s="255"/>
      <c r="N354" s="255"/>
      <c r="O354" s="256"/>
      <c r="P354" s="255"/>
      <c r="Q354" s="255"/>
      <c r="R354" s="256"/>
      <c r="S354" s="256"/>
      <c r="T354" s="255"/>
      <c r="U354" s="259"/>
    </row>
    <row r="355">
      <c r="A355" s="255"/>
      <c r="B355" s="255"/>
      <c r="C355" s="256"/>
      <c r="D355" s="255"/>
      <c r="E355" s="255"/>
      <c r="F355" s="255"/>
      <c r="G355" s="256"/>
      <c r="H355" s="255"/>
      <c r="I355" s="255"/>
      <c r="J355" s="255"/>
      <c r="K355" s="256"/>
      <c r="L355" s="255"/>
      <c r="M355" s="255"/>
      <c r="N355" s="255"/>
      <c r="O355" s="256"/>
      <c r="P355" s="255"/>
      <c r="Q355" s="255"/>
      <c r="R355" s="256"/>
      <c r="S355" s="256"/>
      <c r="T355" s="255"/>
      <c r="U355" s="259"/>
    </row>
    <row r="356">
      <c r="A356" s="255"/>
      <c r="B356" s="255"/>
      <c r="C356" s="256"/>
      <c r="D356" s="255"/>
      <c r="E356" s="255"/>
      <c r="F356" s="255"/>
      <c r="G356" s="256"/>
      <c r="H356" s="255"/>
      <c r="I356" s="255"/>
      <c r="J356" s="255"/>
      <c r="K356" s="256"/>
      <c r="L356" s="255"/>
      <c r="M356" s="255"/>
      <c r="N356" s="255"/>
      <c r="O356" s="256"/>
      <c r="P356" s="255"/>
      <c r="Q356" s="255"/>
      <c r="R356" s="256"/>
      <c r="S356" s="256"/>
      <c r="T356" s="255"/>
      <c r="U356" s="259"/>
    </row>
    <row r="357">
      <c r="A357" s="255"/>
      <c r="B357" s="255"/>
      <c r="C357" s="256"/>
      <c r="D357" s="255"/>
      <c r="E357" s="255"/>
      <c r="F357" s="255"/>
      <c r="G357" s="256"/>
      <c r="H357" s="255"/>
      <c r="I357" s="255"/>
      <c r="J357" s="255"/>
      <c r="K357" s="256"/>
      <c r="L357" s="255"/>
      <c r="M357" s="255"/>
      <c r="N357" s="255"/>
      <c r="O357" s="256"/>
      <c r="P357" s="255"/>
      <c r="Q357" s="255"/>
      <c r="R357" s="256"/>
      <c r="S357" s="256"/>
      <c r="T357" s="255"/>
      <c r="U357" s="259"/>
    </row>
    <row r="358">
      <c r="A358" s="255"/>
      <c r="B358" s="255"/>
      <c r="C358" s="256"/>
      <c r="D358" s="255"/>
      <c r="E358" s="255"/>
      <c r="F358" s="255"/>
      <c r="G358" s="256"/>
      <c r="H358" s="255"/>
      <c r="I358" s="255"/>
      <c r="J358" s="255"/>
      <c r="K358" s="256"/>
      <c r="L358" s="255"/>
      <c r="M358" s="255"/>
      <c r="N358" s="255"/>
      <c r="O358" s="256"/>
      <c r="P358" s="255"/>
      <c r="Q358" s="255"/>
      <c r="R358" s="256"/>
      <c r="S358" s="256"/>
      <c r="T358" s="255"/>
      <c r="U358" s="259"/>
    </row>
    <row r="359">
      <c r="A359" s="255"/>
      <c r="B359" s="255"/>
      <c r="C359" s="256"/>
      <c r="D359" s="255"/>
      <c r="E359" s="255"/>
      <c r="F359" s="255"/>
      <c r="G359" s="256"/>
      <c r="H359" s="255"/>
      <c r="I359" s="255"/>
      <c r="J359" s="255"/>
      <c r="K359" s="256"/>
      <c r="L359" s="255"/>
      <c r="M359" s="255"/>
      <c r="N359" s="255"/>
      <c r="O359" s="256"/>
      <c r="P359" s="255"/>
      <c r="Q359" s="255"/>
      <c r="R359" s="256"/>
      <c r="S359" s="256"/>
      <c r="T359" s="255"/>
      <c r="U359" s="259"/>
    </row>
    <row r="360">
      <c r="A360" s="255"/>
      <c r="B360" s="255"/>
      <c r="C360" s="256"/>
      <c r="D360" s="255"/>
      <c r="E360" s="255"/>
      <c r="F360" s="255"/>
      <c r="G360" s="256"/>
      <c r="H360" s="255"/>
      <c r="I360" s="255"/>
      <c r="J360" s="255"/>
      <c r="K360" s="256"/>
      <c r="L360" s="255"/>
      <c r="M360" s="255"/>
      <c r="N360" s="255"/>
      <c r="O360" s="256"/>
      <c r="P360" s="255"/>
      <c r="Q360" s="255"/>
      <c r="R360" s="256"/>
      <c r="S360" s="256"/>
      <c r="T360" s="255"/>
      <c r="U360" s="259"/>
    </row>
    <row r="361">
      <c r="A361" s="255"/>
      <c r="B361" s="255"/>
      <c r="C361" s="256"/>
      <c r="D361" s="255"/>
      <c r="E361" s="255"/>
      <c r="F361" s="255"/>
      <c r="G361" s="256"/>
      <c r="H361" s="255"/>
      <c r="I361" s="255"/>
      <c r="J361" s="255"/>
      <c r="K361" s="256"/>
      <c r="L361" s="255"/>
      <c r="M361" s="255"/>
      <c r="N361" s="255"/>
      <c r="O361" s="256"/>
      <c r="P361" s="255"/>
      <c r="Q361" s="255"/>
      <c r="R361" s="256"/>
      <c r="S361" s="256"/>
      <c r="T361" s="255"/>
      <c r="U361" s="259"/>
    </row>
    <row r="362">
      <c r="A362" s="255"/>
      <c r="B362" s="255"/>
      <c r="C362" s="256"/>
      <c r="D362" s="255"/>
      <c r="E362" s="255"/>
      <c r="F362" s="255"/>
      <c r="G362" s="256"/>
      <c r="H362" s="255"/>
      <c r="I362" s="255"/>
      <c r="J362" s="255"/>
      <c r="K362" s="256"/>
      <c r="L362" s="255"/>
      <c r="M362" s="255"/>
      <c r="N362" s="255"/>
      <c r="O362" s="256"/>
      <c r="P362" s="255"/>
      <c r="Q362" s="255"/>
      <c r="R362" s="256"/>
      <c r="S362" s="256"/>
      <c r="T362" s="255"/>
      <c r="U362" s="259"/>
    </row>
    <row r="363">
      <c r="A363" s="255"/>
      <c r="B363" s="255"/>
      <c r="C363" s="256"/>
      <c r="D363" s="255"/>
      <c r="E363" s="255"/>
      <c r="F363" s="255"/>
      <c r="G363" s="256"/>
      <c r="H363" s="255"/>
      <c r="I363" s="255"/>
      <c r="J363" s="255"/>
      <c r="K363" s="256"/>
      <c r="L363" s="255"/>
      <c r="M363" s="255"/>
      <c r="N363" s="255"/>
      <c r="O363" s="256"/>
      <c r="P363" s="255"/>
      <c r="Q363" s="255"/>
      <c r="R363" s="256"/>
      <c r="S363" s="256"/>
      <c r="T363" s="255"/>
      <c r="U363" s="259"/>
    </row>
    <row r="364">
      <c r="A364" s="255"/>
      <c r="B364" s="255"/>
      <c r="C364" s="256"/>
      <c r="D364" s="255"/>
      <c r="E364" s="255"/>
      <c r="F364" s="255"/>
      <c r="G364" s="256"/>
      <c r="H364" s="255"/>
      <c r="I364" s="255"/>
      <c r="J364" s="255"/>
      <c r="K364" s="256"/>
      <c r="L364" s="255"/>
      <c r="M364" s="255"/>
      <c r="N364" s="255"/>
      <c r="O364" s="256"/>
      <c r="P364" s="255"/>
      <c r="Q364" s="255"/>
      <c r="R364" s="256"/>
      <c r="S364" s="256"/>
      <c r="T364" s="255"/>
      <c r="U364" s="259"/>
    </row>
    <row r="365">
      <c r="A365" s="255"/>
      <c r="B365" s="255"/>
      <c r="C365" s="256"/>
      <c r="D365" s="255"/>
      <c r="E365" s="255"/>
      <c r="F365" s="255"/>
      <c r="G365" s="256"/>
      <c r="H365" s="255"/>
      <c r="I365" s="255"/>
      <c r="J365" s="255"/>
      <c r="K365" s="256"/>
      <c r="L365" s="255"/>
      <c r="M365" s="255"/>
      <c r="N365" s="255"/>
      <c r="O365" s="256"/>
      <c r="P365" s="255"/>
      <c r="Q365" s="255"/>
      <c r="R365" s="256"/>
      <c r="S365" s="256"/>
      <c r="T365" s="255"/>
      <c r="U365" s="259"/>
    </row>
    <row r="366">
      <c r="A366" s="255"/>
      <c r="B366" s="255"/>
      <c r="C366" s="256"/>
      <c r="D366" s="255"/>
      <c r="E366" s="255"/>
      <c r="F366" s="255"/>
      <c r="G366" s="256"/>
      <c r="H366" s="255"/>
      <c r="I366" s="255"/>
      <c r="J366" s="255"/>
      <c r="K366" s="256"/>
      <c r="L366" s="255"/>
      <c r="M366" s="255"/>
      <c r="N366" s="255"/>
      <c r="O366" s="256"/>
      <c r="P366" s="255"/>
      <c r="Q366" s="255"/>
      <c r="R366" s="256"/>
      <c r="S366" s="256"/>
      <c r="T366" s="255"/>
      <c r="U366" s="259"/>
    </row>
    <row r="367">
      <c r="A367" s="255"/>
      <c r="B367" s="255"/>
      <c r="C367" s="256"/>
      <c r="D367" s="255"/>
      <c r="E367" s="255"/>
      <c r="F367" s="255"/>
      <c r="G367" s="256"/>
      <c r="H367" s="255"/>
      <c r="I367" s="255"/>
      <c r="J367" s="255"/>
      <c r="K367" s="256"/>
      <c r="L367" s="255"/>
      <c r="M367" s="255"/>
      <c r="N367" s="255"/>
      <c r="O367" s="256"/>
      <c r="P367" s="255"/>
      <c r="Q367" s="255"/>
      <c r="R367" s="256"/>
      <c r="S367" s="256"/>
      <c r="T367" s="255"/>
      <c r="U367" s="259"/>
    </row>
    <row r="368">
      <c r="A368" s="255"/>
      <c r="B368" s="255"/>
      <c r="C368" s="256"/>
      <c r="D368" s="255"/>
      <c r="E368" s="255"/>
      <c r="F368" s="255"/>
      <c r="G368" s="256"/>
      <c r="H368" s="255"/>
      <c r="I368" s="255"/>
      <c r="J368" s="255"/>
      <c r="K368" s="256"/>
      <c r="L368" s="255"/>
      <c r="M368" s="255"/>
      <c r="N368" s="255"/>
      <c r="O368" s="256"/>
      <c r="P368" s="255"/>
      <c r="Q368" s="255"/>
      <c r="R368" s="256"/>
      <c r="S368" s="256"/>
      <c r="T368" s="255"/>
      <c r="U368" s="259"/>
    </row>
    <row r="369">
      <c r="A369" s="255"/>
      <c r="B369" s="255"/>
      <c r="C369" s="256"/>
      <c r="D369" s="255"/>
      <c r="E369" s="255"/>
      <c r="F369" s="255"/>
      <c r="G369" s="256"/>
      <c r="H369" s="255"/>
      <c r="I369" s="255"/>
      <c r="J369" s="255"/>
      <c r="K369" s="256"/>
      <c r="L369" s="255"/>
      <c r="M369" s="255"/>
      <c r="N369" s="255"/>
      <c r="O369" s="256"/>
      <c r="P369" s="255"/>
      <c r="Q369" s="255"/>
      <c r="R369" s="256"/>
      <c r="S369" s="256"/>
      <c r="T369" s="255"/>
      <c r="U369" s="259"/>
    </row>
    <row r="370">
      <c r="A370" s="255"/>
      <c r="B370" s="255"/>
      <c r="C370" s="256"/>
      <c r="D370" s="255"/>
      <c r="E370" s="255"/>
      <c r="F370" s="255"/>
      <c r="G370" s="256"/>
      <c r="H370" s="255"/>
      <c r="I370" s="255"/>
      <c r="J370" s="255"/>
      <c r="K370" s="256"/>
      <c r="L370" s="255"/>
      <c r="M370" s="255"/>
      <c r="N370" s="255"/>
      <c r="O370" s="256"/>
      <c r="P370" s="255"/>
      <c r="Q370" s="255"/>
      <c r="R370" s="256"/>
      <c r="S370" s="256"/>
      <c r="T370" s="255"/>
      <c r="U370" s="259"/>
    </row>
    <row r="371">
      <c r="A371" s="255"/>
      <c r="B371" s="255"/>
      <c r="C371" s="256"/>
      <c r="D371" s="255"/>
      <c r="E371" s="255"/>
      <c r="F371" s="255"/>
      <c r="G371" s="256"/>
      <c r="H371" s="255"/>
      <c r="I371" s="255"/>
      <c r="J371" s="255"/>
      <c r="K371" s="256"/>
      <c r="L371" s="255"/>
      <c r="M371" s="255"/>
      <c r="N371" s="255"/>
      <c r="O371" s="256"/>
      <c r="P371" s="255"/>
      <c r="Q371" s="255"/>
      <c r="R371" s="256"/>
      <c r="S371" s="256"/>
      <c r="T371" s="255"/>
      <c r="U371" s="259"/>
    </row>
    <row r="372">
      <c r="A372" s="255"/>
      <c r="B372" s="255"/>
      <c r="C372" s="256"/>
      <c r="D372" s="255"/>
      <c r="E372" s="255"/>
      <c r="F372" s="255"/>
      <c r="G372" s="256"/>
      <c r="H372" s="255"/>
      <c r="I372" s="255"/>
      <c r="J372" s="255"/>
      <c r="K372" s="256"/>
      <c r="L372" s="255"/>
      <c r="M372" s="255"/>
      <c r="N372" s="255"/>
      <c r="O372" s="256"/>
      <c r="P372" s="255"/>
      <c r="Q372" s="255"/>
      <c r="R372" s="256"/>
      <c r="S372" s="256"/>
      <c r="T372" s="255"/>
      <c r="U372" s="259"/>
    </row>
    <row r="373">
      <c r="A373" s="255"/>
      <c r="B373" s="255"/>
      <c r="C373" s="256"/>
      <c r="D373" s="255"/>
      <c r="E373" s="255"/>
      <c r="F373" s="255"/>
      <c r="G373" s="256"/>
      <c r="H373" s="255"/>
      <c r="I373" s="255"/>
      <c r="J373" s="255"/>
      <c r="K373" s="256"/>
      <c r="L373" s="255"/>
      <c r="M373" s="255"/>
      <c r="N373" s="255"/>
      <c r="O373" s="256"/>
      <c r="P373" s="255"/>
      <c r="Q373" s="255"/>
      <c r="R373" s="256"/>
      <c r="S373" s="256"/>
      <c r="T373" s="255"/>
      <c r="U373" s="259"/>
    </row>
    <row r="374">
      <c r="A374" s="255"/>
      <c r="B374" s="255"/>
      <c r="C374" s="256"/>
      <c r="D374" s="255"/>
      <c r="E374" s="255"/>
      <c r="F374" s="255"/>
      <c r="G374" s="256"/>
      <c r="H374" s="255"/>
      <c r="I374" s="255"/>
      <c r="J374" s="255"/>
      <c r="K374" s="256"/>
      <c r="L374" s="255"/>
      <c r="M374" s="255"/>
      <c r="N374" s="255"/>
      <c r="O374" s="256"/>
      <c r="P374" s="255"/>
      <c r="Q374" s="255"/>
      <c r="R374" s="256"/>
      <c r="S374" s="256"/>
      <c r="T374" s="255"/>
      <c r="U374" s="259"/>
    </row>
    <row r="375">
      <c r="A375" s="255"/>
      <c r="B375" s="255"/>
      <c r="C375" s="256"/>
      <c r="D375" s="255"/>
      <c r="E375" s="255"/>
      <c r="F375" s="255"/>
      <c r="G375" s="256"/>
      <c r="H375" s="255"/>
      <c r="I375" s="255"/>
      <c r="J375" s="255"/>
      <c r="K375" s="256"/>
      <c r="L375" s="255"/>
      <c r="M375" s="255"/>
      <c r="N375" s="255"/>
      <c r="O375" s="256"/>
      <c r="P375" s="255"/>
      <c r="Q375" s="255"/>
      <c r="R375" s="256"/>
      <c r="S375" s="256"/>
      <c r="T375" s="255"/>
      <c r="U375" s="259"/>
    </row>
    <row r="376">
      <c r="A376" s="255"/>
      <c r="B376" s="255"/>
      <c r="C376" s="256"/>
      <c r="D376" s="255"/>
      <c r="E376" s="255"/>
      <c r="F376" s="255"/>
      <c r="G376" s="256"/>
      <c r="H376" s="255"/>
      <c r="I376" s="255"/>
      <c r="J376" s="255"/>
      <c r="K376" s="256"/>
      <c r="L376" s="255"/>
      <c r="M376" s="255"/>
      <c r="N376" s="255"/>
      <c r="O376" s="256"/>
      <c r="P376" s="255"/>
      <c r="Q376" s="255"/>
      <c r="R376" s="256"/>
      <c r="S376" s="256"/>
      <c r="T376" s="255"/>
      <c r="U376" s="259"/>
    </row>
    <row r="377">
      <c r="A377" s="255"/>
      <c r="B377" s="255"/>
      <c r="C377" s="256"/>
      <c r="D377" s="255"/>
      <c r="E377" s="255"/>
      <c r="F377" s="255"/>
      <c r="G377" s="256"/>
      <c r="H377" s="255"/>
      <c r="I377" s="255"/>
      <c r="J377" s="255"/>
      <c r="K377" s="256"/>
      <c r="L377" s="255"/>
      <c r="M377" s="255"/>
      <c r="N377" s="255"/>
      <c r="O377" s="256"/>
      <c r="P377" s="255"/>
      <c r="Q377" s="255"/>
      <c r="R377" s="256"/>
      <c r="S377" s="256"/>
      <c r="T377" s="255"/>
      <c r="U377" s="259"/>
    </row>
    <row r="378">
      <c r="A378" s="255"/>
      <c r="B378" s="255"/>
      <c r="C378" s="256"/>
      <c r="D378" s="255"/>
      <c r="E378" s="255"/>
      <c r="F378" s="255"/>
      <c r="G378" s="256"/>
      <c r="H378" s="255"/>
      <c r="I378" s="255"/>
      <c r="J378" s="255"/>
      <c r="K378" s="256"/>
      <c r="L378" s="255"/>
      <c r="M378" s="255"/>
      <c r="N378" s="255"/>
      <c r="O378" s="256"/>
      <c r="P378" s="255"/>
      <c r="Q378" s="255"/>
      <c r="R378" s="256"/>
      <c r="S378" s="256"/>
      <c r="T378" s="255"/>
      <c r="U378" s="259"/>
    </row>
    <row r="379">
      <c r="A379" s="255"/>
      <c r="B379" s="255"/>
      <c r="C379" s="256"/>
      <c r="D379" s="255"/>
      <c r="E379" s="255"/>
      <c r="F379" s="255"/>
      <c r="G379" s="256"/>
      <c r="H379" s="255"/>
      <c r="I379" s="255"/>
      <c r="J379" s="255"/>
      <c r="K379" s="256"/>
      <c r="L379" s="255"/>
      <c r="M379" s="255"/>
      <c r="N379" s="255"/>
      <c r="O379" s="256"/>
      <c r="P379" s="255"/>
      <c r="Q379" s="255"/>
      <c r="R379" s="256"/>
      <c r="S379" s="256"/>
      <c r="T379" s="255"/>
      <c r="U379" s="259"/>
    </row>
    <row r="380">
      <c r="A380" s="255"/>
      <c r="B380" s="255"/>
      <c r="C380" s="256"/>
      <c r="D380" s="255"/>
      <c r="E380" s="255"/>
      <c r="F380" s="255"/>
      <c r="G380" s="256"/>
      <c r="H380" s="255"/>
      <c r="I380" s="255"/>
      <c r="J380" s="255"/>
      <c r="K380" s="256"/>
      <c r="L380" s="255"/>
      <c r="M380" s="255"/>
      <c r="N380" s="255"/>
      <c r="O380" s="256"/>
      <c r="P380" s="255"/>
      <c r="Q380" s="255"/>
      <c r="R380" s="256"/>
      <c r="S380" s="256"/>
      <c r="T380" s="255"/>
      <c r="U380" s="259"/>
    </row>
    <row r="381">
      <c r="A381" s="255"/>
      <c r="B381" s="255"/>
      <c r="C381" s="256"/>
      <c r="D381" s="255"/>
      <c r="E381" s="255"/>
      <c r="F381" s="255"/>
      <c r="G381" s="256"/>
      <c r="H381" s="255"/>
      <c r="I381" s="255"/>
      <c r="J381" s="255"/>
      <c r="K381" s="256"/>
      <c r="L381" s="255"/>
      <c r="M381" s="255"/>
      <c r="N381" s="255"/>
      <c r="O381" s="256"/>
      <c r="P381" s="255"/>
      <c r="Q381" s="255"/>
      <c r="R381" s="256"/>
      <c r="S381" s="256"/>
      <c r="T381" s="255"/>
      <c r="U381" s="259"/>
    </row>
    <row r="382">
      <c r="A382" s="255"/>
      <c r="B382" s="255"/>
      <c r="C382" s="256"/>
      <c r="D382" s="255"/>
      <c r="E382" s="255"/>
      <c r="F382" s="255"/>
      <c r="G382" s="256"/>
      <c r="H382" s="255"/>
      <c r="I382" s="255"/>
      <c r="J382" s="255"/>
      <c r="K382" s="256"/>
      <c r="L382" s="255"/>
      <c r="M382" s="255"/>
      <c r="N382" s="255"/>
      <c r="O382" s="256"/>
      <c r="P382" s="255"/>
      <c r="Q382" s="255"/>
      <c r="R382" s="256"/>
      <c r="S382" s="256"/>
      <c r="T382" s="255"/>
      <c r="U382" s="259"/>
    </row>
    <row r="383">
      <c r="A383" s="255"/>
      <c r="B383" s="255"/>
      <c r="C383" s="256"/>
      <c r="D383" s="255"/>
      <c r="E383" s="255"/>
      <c r="F383" s="255"/>
      <c r="G383" s="256"/>
      <c r="H383" s="255"/>
      <c r="I383" s="255"/>
      <c r="J383" s="255"/>
      <c r="K383" s="256"/>
      <c r="L383" s="255"/>
      <c r="M383" s="255"/>
      <c r="N383" s="255"/>
      <c r="O383" s="256"/>
      <c r="P383" s="255"/>
      <c r="Q383" s="255"/>
      <c r="R383" s="256"/>
      <c r="S383" s="256"/>
      <c r="T383" s="255"/>
      <c r="U383" s="259"/>
    </row>
    <row r="384">
      <c r="A384" s="255"/>
      <c r="B384" s="255"/>
      <c r="C384" s="256"/>
      <c r="D384" s="255"/>
      <c r="E384" s="255"/>
      <c r="F384" s="255"/>
      <c r="G384" s="256"/>
      <c r="H384" s="255"/>
      <c r="I384" s="255"/>
      <c r="J384" s="255"/>
      <c r="K384" s="256"/>
      <c r="L384" s="255"/>
      <c r="M384" s="255"/>
      <c r="N384" s="255"/>
      <c r="O384" s="256"/>
      <c r="P384" s="255"/>
      <c r="Q384" s="255"/>
      <c r="R384" s="256"/>
      <c r="S384" s="256"/>
      <c r="T384" s="255"/>
      <c r="U384" s="259"/>
    </row>
    <row r="385">
      <c r="A385" s="255"/>
      <c r="B385" s="255"/>
      <c r="C385" s="256"/>
      <c r="D385" s="255"/>
      <c r="E385" s="255"/>
      <c r="F385" s="255"/>
      <c r="G385" s="256"/>
      <c r="H385" s="255"/>
      <c r="I385" s="255"/>
      <c r="J385" s="255"/>
      <c r="K385" s="256"/>
      <c r="L385" s="255"/>
      <c r="M385" s="255"/>
      <c r="N385" s="255"/>
      <c r="O385" s="256"/>
      <c r="P385" s="255"/>
      <c r="Q385" s="255"/>
      <c r="R385" s="256"/>
      <c r="S385" s="256"/>
      <c r="T385" s="255"/>
      <c r="U385" s="259"/>
    </row>
    <row r="386">
      <c r="A386" s="255"/>
      <c r="B386" s="255"/>
      <c r="C386" s="256"/>
      <c r="D386" s="255"/>
      <c r="E386" s="255"/>
      <c r="F386" s="255"/>
      <c r="G386" s="256"/>
      <c r="H386" s="255"/>
      <c r="I386" s="255"/>
      <c r="J386" s="255"/>
      <c r="K386" s="256"/>
      <c r="L386" s="255"/>
      <c r="M386" s="255"/>
      <c r="N386" s="255"/>
      <c r="O386" s="256"/>
      <c r="P386" s="255"/>
      <c r="Q386" s="255"/>
      <c r="R386" s="256"/>
      <c r="S386" s="256"/>
      <c r="T386" s="255"/>
      <c r="U386" s="259"/>
    </row>
    <row r="387">
      <c r="A387" s="255"/>
      <c r="B387" s="255"/>
      <c r="C387" s="256"/>
      <c r="D387" s="255"/>
      <c r="E387" s="255"/>
      <c r="F387" s="255"/>
      <c r="G387" s="256"/>
      <c r="H387" s="255"/>
      <c r="I387" s="255"/>
      <c r="J387" s="255"/>
      <c r="K387" s="256"/>
      <c r="L387" s="255"/>
      <c r="M387" s="255"/>
      <c r="N387" s="255"/>
      <c r="O387" s="256"/>
      <c r="P387" s="255"/>
      <c r="Q387" s="255"/>
      <c r="R387" s="256"/>
      <c r="S387" s="256"/>
      <c r="T387" s="255"/>
      <c r="U387" s="259"/>
    </row>
    <row r="388">
      <c r="A388" s="255"/>
      <c r="B388" s="255"/>
      <c r="C388" s="256"/>
      <c r="D388" s="255"/>
      <c r="E388" s="255"/>
      <c r="F388" s="255"/>
      <c r="G388" s="256"/>
      <c r="H388" s="255"/>
      <c r="I388" s="255"/>
      <c r="J388" s="255"/>
      <c r="K388" s="256"/>
      <c r="L388" s="255"/>
      <c r="M388" s="255"/>
      <c r="N388" s="255"/>
      <c r="O388" s="256"/>
      <c r="P388" s="255"/>
      <c r="Q388" s="255"/>
      <c r="R388" s="256"/>
      <c r="S388" s="256"/>
      <c r="T388" s="255"/>
      <c r="U388" s="259"/>
    </row>
    <row r="389">
      <c r="A389" s="255"/>
      <c r="B389" s="255"/>
      <c r="C389" s="256"/>
      <c r="D389" s="255"/>
      <c r="E389" s="255"/>
      <c r="F389" s="255"/>
      <c r="G389" s="256"/>
      <c r="H389" s="255"/>
      <c r="I389" s="255"/>
      <c r="J389" s="255"/>
      <c r="K389" s="256"/>
      <c r="L389" s="255"/>
      <c r="M389" s="255"/>
      <c r="N389" s="255"/>
      <c r="O389" s="256"/>
      <c r="P389" s="255"/>
      <c r="Q389" s="255"/>
      <c r="R389" s="256"/>
      <c r="S389" s="256"/>
      <c r="T389" s="255"/>
      <c r="U389" s="259"/>
    </row>
    <row r="390">
      <c r="A390" s="255"/>
      <c r="B390" s="255"/>
      <c r="C390" s="256"/>
      <c r="D390" s="255"/>
      <c r="E390" s="255"/>
      <c r="F390" s="255"/>
      <c r="G390" s="256"/>
      <c r="H390" s="255"/>
      <c r="I390" s="255"/>
      <c r="J390" s="255"/>
      <c r="K390" s="256"/>
      <c r="L390" s="255"/>
      <c r="M390" s="255"/>
      <c r="N390" s="255"/>
      <c r="O390" s="256"/>
      <c r="P390" s="255"/>
      <c r="Q390" s="255"/>
      <c r="R390" s="256"/>
      <c r="S390" s="256"/>
      <c r="T390" s="255"/>
      <c r="U390" s="259"/>
    </row>
    <row r="391">
      <c r="A391" s="255"/>
      <c r="B391" s="255"/>
      <c r="C391" s="256"/>
      <c r="D391" s="255"/>
      <c r="E391" s="255"/>
      <c r="F391" s="255"/>
      <c r="G391" s="256"/>
      <c r="H391" s="255"/>
      <c r="I391" s="255"/>
      <c r="J391" s="255"/>
      <c r="K391" s="256"/>
      <c r="L391" s="255"/>
      <c r="M391" s="255"/>
      <c r="N391" s="255"/>
      <c r="O391" s="256"/>
      <c r="P391" s="255"/>
      <c r="Q391" s="255"/>
      <c r="R391" s="256"/>
      <c r="S391" s="256"/>
      <c r="T391" s="255"/>
      <c r="U391" s="259"/>
    </row>
    <row r="392">
      <c r="A392" s="255"/>
      <c r="B392" s="255"/>
      <c r="C392" s="256"/>
      <c r="D392" s="255"/>
      <c r="E392" s="255"/>
      <c r="F392" s="255"/>
      <c r="G392" s="256"/>
      <c r="H392" s="255"/>
      <c r="I392" s="255"/>
      <c r="J392" s="255"/>
      <c r="K392" s="256"/>
      <c r="L392" s="255"/>
      <c r="M392" s="255"/>
      <c r="N392" s="255"/>
      <c r="O392" s="256"/>
      <c r="P392" s="255"/>
      <c r="Q392" s="255"/>
      <c r="R392" s="256"/>
      <c r="S392" s="256"/>
      <c r="T392" s="255"/>
      <c r="U392" s="259"/>
    </row>
    <row r="393">
      <c r="A393" s="255"/>
      <c r="B393" s="255"/>
      <c r="C393" s="256"/>
      <c r="D393" s="255"/>
      <c r="E393" s="255"/>
      <c r="F393" s="255"/>
      <c r="G393" s="256"/>
      <c r="H393" s="255"/>
      <c r="I393" s="255"/>
      <c r="J393" s="255"/>
      <c r="K393" s="256"/>
      <c r="L393" s="255"/>
      <c r="M393" s="255"/>
      <c r="N393" s="255"/>
      <c r="O393" s="256"/>
      <c r="P393" s="255"/>
      <c r="Q393" s="255"/>
      <c r="R393" s="256"/>
      <c r="S393" s="256"/>
      <c r="T393" s="255"/>
      <c r="U393" s="259"/>
    </row>
    <row r="394">
      <c r="A394" s="255"/>
      <c r="B394" s="255"/>
      <c r="C394" s="256"/>
      <c r="D394" s="255"/>
      <c r="E394" s="255"/>
      <c r="F394" s="255"/>
      <c r="G394" s="256"/>
      <c r="H394" s="255"/>
      <c r="I394" s="255"/>
      <c r="J394" s="255"/>
      <c r="K394" s="256"/>
      <c r="L394" s="255"/>
      <c r="M394" s="255"/>
      <c r="N394" s="255"/>
      <c r="O394" s="256"/>
      <c r="P394" s="255"/>
      <c r="Q394" s="255"/>
      <c r="R394" s="256"/>
      <c r="S394" s="256"/>
      <c r="T394" s="255"/>
      <c r="U394" s="259"/>
    </row>
    <row r="395">
      <c r="A395" s="255"/>
      <c r="B395" s="255"/>
      <c r="C395" s="256"/>
      <c r="D395" s="255"/>
      <c r="E395" s="255"/>
      <c r="F395" s="255"/>
      <c r="G395" s="256"/>
      <c r="H395" s="255"/>
      <c r="I395" s="255"/>
      <c r="J395" s="255"/>
      <c r="K395" s="256"/>
      <c r="L395" s="255"/>
      <c r="M395" s="255"/>
      <c r="N395" s="255"/>
      <c r="O395" s="256"/>
      <c r="P395" s="255"/>
      <c r="Q395" s="255"/>
      <c r="R395" s="256"/>
      <c r="S395" s="256"/>
      <c r="T395" s="255"/>
      <c r="U395" s="259"/>
    </row>
    <row r="396">
      <c r="A396" s="255"/>
      <c r="B396" s="255"/>
      <c r="C396" s="256"/>
      <c r="D396" s="255"/>
      <c r="E396" s="255"/>
      <c r="F396" s="255"/>
      <c r="G396" s="256"/>
      <c r="H396" s="255"/>
      <c r="I396" s="255"/>
      <c r="J396" s="255"/>
      <c r="K396" s="256"/>
      <c r="L396" s="255"/>
      <c r="M396" s="255"/>
      <c r="N396" s="255"/>
      <c r="O396" s="256"/>
      <c r="P396" s="255"/>
      <c r="Q396" s="255"/>
      <c r="R396" s="256"/>
      <c r="S396" s="256"/>
      <c r="T396" s="255"/>
      <c r="U396" s="259"/>
    </row>
    <row r="397">
      <c r="A397" s="255"/>
      <c r="B397" s="255"/>
      <c r="C397" s="256"/>
      <c r="D397" s="255"/>
      <c r="E397" s="255"/>
      <c r="F397" s="255"/>
      <c r="G397" s="256"/>
      <c r="H397" s="255"/>
      <c r="I397" s="255"/>
      <c r="J397" s="255"/>
      <c r="K397" s="256"/>
      <c r="L397" s="255"/>
      <c r="M397" s="255"/>
      <c r="N397" s="255"/>
      <c r="O397" s="256"/>
      <c r="P397" s="255"/>
      <c r="Q397" s="255"/>
      <c r="R397" s="256"/>
      <c r="S397" s="256"/>
      <c r="T397" s="255"/>
      <c r="U397" s="259"/>
    </row>
    <row r="398">
      <c r="A398" s="255"/>
      <c r="B398" s="255"/>
      <c r="C398" s="256"/>
      <c r="D398" s="255"/>
      <c r="E398" s="255"/>
      <c r="F398" s="255"/>
      <c r="G398" s="256"/>
      <c r="H398" s="255"/>
      <c r="I398" s="255"/>
      <c r="J398" s="255"/>
      <c r="K398" s="256"/>
      <c r="L398" s="255"/>
      <c r="M398" s="255"/>
      <c r="N398" s="255"/>
      <c r="O398" s="256"/>
      <c r="P398" s="255"/>
      <c r="Q398" s="255"/>
      <c r="R398" s="256"/>
      <c r="S398" s="256"/>
      <c r="T398" s="255"/>
      <c r="U398" s="259"/>
    </row>
    <row r="399">
      <c r="A399" s="255"/>
      <c r="B399" s="255"/>
      <c r="C399" s="256"/>
      <c r="D399" s="255"/>
      <c r="E399" s="255"/>
      <c r="F399" s="255"/>
      <c r="G399" s="256"/>
      <c r="H399" s="255"/>
      <c r="I399" s="255"/>
      <c r="J399" s="255"/>
      <c r="K399" s="256"/>
      <c r="L399" s="255"/>
      <c r="M399" s="255"/>
      <c r="N399" s="255"/>
      <c r="O399" s="256"/>
      <c r="P399" s="255"/>
      <c r="Q399" s="255"/>
      <c r="R399" s="256"/>
      <c r="S399" s="256"/>
      <c r="T399" s="255"/>
      <c r="U399" s="259"/>
    </row>
    <row r="400">
      <c r="A400" s="255"/>
      <c r="B400" s="255"/>
      <c r="C400" s="256"/>
      <c r="D400" s="255"/>
      <c r="E400" s="255"/>
      <c r="F400" s="255"/>
      <c r="G400" s="256"/>
      <c r="H400" s="255"/>
      <c r="I400" s="255"/>
      <c r="J400" s="255"/>
      <c r="K400" s="256"/>
      <c r="L400" s="255"/>
      <c r="M400" s="255"/>
      <c r="N400" s="255"/>
      <c r="O400" s="256"/>
      <c r="P400" s="255"/>
      <c r="Q400" s="255"/>
      <c r="R400" s="256"/>
      <c r="S400" s="256"/>
      <c r="T400" s="255"/>
      <c r="U400" s="259"/>
    </row>
    <row r="401">
      <c r="A401" s="255"/>
      <c r="B401" s="255"/>
      <c r="C401" s="256"/>
      <c r="D401" s="255"/>
      <c r="E401" s="255"/>
      <c r="F401" s="255"/>
      <c r="G401" s="256"/>
      <c r="H401" s="255"/>
      <c r="I401" s="255"/>
      <c r="J401" s="255"/>
      <c r="K401" s="256"/>
      <c r="L401" s="255"/>
      <c r="M401" s="255"/>
      <c r="N401" s="255"/>
      <c r="O401" s="256"/>
      <c r="P401" s="255"/>
      <c r="Q401" s="255"/>
      <c r="R401" s="256"/>
      <c r="S401" s="256"/>
      <c r="T401" s="255"/>
      <c r="U401" s="259"/>
    </row>
    <row r="402">
      <c r="A402" s="255"/>
      <c r="B402" s="255"/>
      <c r="C402" s="256"/>
      <c r="D402" s="255"/>
      <c r="E402" s="255"/>
      <c r="F402" s="255"/>
      <c r="G402" s="256"/>
      <c r="H402" s="255"/>
      <c r="I402" s="255"/>
      <c r="J402" s="255"/>
      <c r="K402" s="256"/>
      <c r="L402" s="255"/>
      <c r="M402" s="255"/>
      <c r="N402" s="255"/>
      <c r="O402" s="256"/>
      <c r="P402" s="255"/>
      <c r="Q402" s="255"/>
      <c r="R402" s="256"/>
      <c r="S402" s="256"/>
      <c r="T402" s="255"/>
      <c r="U402" s="259"/>
    </row>
    <row r="403">
      <c r="A403" s="255"/>
      <c r="B403" s="255"/>
      <c r="C403" s="256"/>
      <c r="D403" s="255"/>
      <c r="E403" s="255"/>
      <c r="F403" s="255"/>
      <c r="G403" s="256"/>
      <c r="H403" s="255"/>
      <c r="I403" s="255"/>
      <c r="J403" s="255"/>
      <c r="K403" s="256"/>
      <c r="L403" s="255"/>
      <c r="M403" s="255"/>
      <c r="N403" s="255"/>
      <c r="O403" s="256"/>
      <c r="P403" s="255"/>
      <c r="Q403" s="255"/>
      <c r="R403" s="256"/>
      <c r="S403" s="256"/>
      <c r="T403" s="255"/>
      <c r="U403" s="259"/>
    </row>
    <row r="404">
      <c r="A404" s="255"/>
      <c r="B404" s="255"/>
      <c r="C404" s="256"/>
      <c r="D404" s="255"/>
      <c r="E404" s="255"/>
      <c r="F404" s="255"/>
      <c r="G404" s="256"/>
      <c r="H404" s="255"/>
      <c r="I404" s="255"/>
      <c r="J404" s="255"/>
      <c r="K404" s="256"/>
      <c r="L404" s="255"/>
      <c r="M404" s="255"/>
      <c r="N404" s="255"/>
      <c r="O404" s="256"/>
      <c r="P404" s="255"/>
      <c r="Q404" s="255"/>
      <c r="R404" s="256"/>
      <c r="S404" s="256"/>
      <c r="T404" s="255"/>
      <c r="U404" s="259"/>
    </row>
    <row r="405">
      <c r="A405" s="255"/>
      <c r="B405" s="255"/>
      <c r="C405" s="256"/>
      <c r="D405" s="255"/>
      <c r="E405" s="255"/>
      <c r="F405" s="255"/>
      <c r="G405" s="256"/>
      <c r="H405" s="255"/>
      <c r="I405" s="255"/>
      <c r="J405" s="255"/>
      <c r="K405" s="256"/>
      <c r="L405" s="255"/>
      <c r="M405" s="255"/>
      <c r="N405" s="255"/>
      <c r="O405" s="256"/>
      <c r="P405" s="255"/>
      <c r="Q405" s="255"/>
      <c r="R405" s="256"/>
      <c r="S405" s="256"/>
      <c r="T405" s="255"/>
      <c r="U405" s="259"/>
    </row>
    <row r="406">
      <c r="A406" s="255"/>
      <c r="B406" s="255"/>
      <c r="C406" s="256"/>
      <c r="D406" s="255"/>
      <c r="E406" s="255"/>
      <c r="F406" s="255"/>
      <c r="G406" s="256"/>
      <c r="H406" s="255"/>
      <c r="I406" s="255"/>
      <c r="J406" s="255"/>
      <c r="K406" s="256"/>
      <c r="L406" s="255"/>
      <c r="M406" s="255"/>
      <c r="N406" s="255"/>
      <c r="O406" s="256"/>
      <c r="P406" s="255"/>
      <c r="Q406" s="255"/>
      <c r="R406" s="256"/>
      <c r="S406" s="256"/>
      <c r="T406" s="255"/>
      <c r="U406" s="259"/>
    </row>
    <row r="407">
      <c r="A407" s="255"/>
      <c r="B407" s="255"/>
      <c r="C407" s="256"/>
      <c r="D407" s="255"/>
      <c r="E407" s="255"/>
      <c r="F407" s="255"/>
      <c r="G407" s="256"/>
      <c r="H407" s="255"/>
      <c r="I407" s="255"/>
      <c r="J407" s="255"/>
      <c r="K407" s="256"/>
      <c r="L407" s="255"/>
      <c r="M407" s="255"/>
      <c r="N407" s="255"/>
      <c r="O407" s="256"/>
      <c r="P407" s="255"/>
      <c r="Q407" s="255"/>
      <c r="R407" s="256"/>
      <c r="S407" s="256"/>
      <c r="T407" s="255"/>
      <c r="U407" s="259"/>
    </row>
    <row r="408">
      <c r="A408" s="255"/>
      <c r="B408" s="255"/>
      <c r="C408" s="256"/>
      <c r="D408" s="255"/>
      <c r="E408" s="255"/>
      <c r="F408" s="255"/>
      <c r="G408" s="256"/>
      <c r="H408" s="255"/>
      <c r="I408" s="255"/>
      <c r="J408" s="255"/>
      <c r="K408" s="256"/>
      <c r="L408" s="255"/>
      <c r="M408" s="255"/>
      <c r="N408" s="255"/>
      <c r="O408" s="256"/>
      <c r="P408" s="255"/>
      <c r="Q408" s="255"/>
      <c r="R408" s="256"/>
      <c r="S408" s="256"/>
      <c r="T408" s="255"/>
      <c r="U408" s="259"/>
    </row>
    <row r="409">
      <c r="A409" s="255"/>
      <c r="B409" s="255"/>
      <c r="C409" s="256"/>
      <c r="D409" s="255"/>
      <c r="E409" s="255"/>
      <c r="F409" s="255"/>
      <c r="G409" s="256"/>
      <c r="H409" s="255"/>
      <c r="I409" s="255"/>
      <c r="J409" s="255"/>
      <c r="K409" s="256"/>
      <c r="L409" s="255"/>
      <c r="M409" s="255"/>
      <c r="N409" s="255"/>
      <c r="O409" s="256"/>
      <c r="P409" s="255"/>
      <c r="Q409" s="255"/>
      <c r="R409" s="256"/>
      <c r="S409" s="256"/>
      <c r="T409" s="255"/>
      <c r="U409" s="259"/>
    </row>
    <row r="410">
      <c r="A410" s="255"/>
      <c r="B410" s="255"/>
      <c r="C410" s="256"/>
      <c r="D410" s="255"/>
      <c r="E410" s="255"/>
      <c r="F410" s="255"/>
      <c r="G410" s="256"/>
      <c r="H410" s="255"/>
      <c r="I410" s="255"/>
      <c r="J410" s="255"/>
      <c r="K410" s="256"/>
      <c r="L410" s="255"/>
      <c r="M410" s="255"/>
      <c r="N410" s="255"/>
      <c r="O410" s="256"/>
      <c r="P410" s="255"/>
      <c r="Q410" s="255"/>
      <c r="R410" s="256"/>
      <c r="S410" s="256"/>
      <c r="T410" s="255"/>
      <c r="U410" s="259"/>
    </row>
    <row r="411">
      <c r="A411" s="255"/>
      <c r="B411" s="255"/>
      <c r="C411" s="256"/>
      <c r="D411" s="255"/>
      <c r="E411" s="255"/>
      <c r="F411" s="255"/>
      <c r="G411" s="256"/>
      <c r="H411" s="255"/>
      <c r="I411" s="255"/>
      <c r="J411" s="255"/>
      <c r="K411" s="256"/>
      <c r="L411" s="255"/>
      <c r="M411" s="255"/>
      <c r="N411" s="255"/>
      <c r="O411" s="256"/>
      <c r="P411" s="255"/>
      <c r="Q411" s="255"/>
      <c r="R411" s="256"/>
      <c r="S411" s="256"/>
      <c r="T411" s="255"/>
      <c r="U411" s="259"/>
    </row>
    <row r="412">
      <c r="A412" s="255"/>
      <c r="B412" s="255"/>
      <c r="C412" s="256"/>
      <c r="D412" s="255"/>
      <c r="E412" s="255"/>
      <c r="F412" s="255"/>
      <c r="G412" s="256"/>
      <c r="H412" s="255"/>
      <c r="I412" s="255"/>
      <c r="J412" s="255"/>
      <c r="K412" s="256"/>
      <c r="L412" s="255"/>
      <c r="M412" s="255"/>
      <c r="N412" s="255"/>
      <c r="O412" s="256"/>
      <c r="P412" s="255"/>
      <c r="Q412" s="255"/>
      <c r="R412" s="256"/>
      <c r="S412" s="256"/>
      <c r="T412" s="255"/>
      <c r="U412" s="259"/>
    </row>
    <row r="413">
      <c r="A413" s="255"/>
      <c r="B413" s="255"/>
      <c r="C413" s="256"/>
      <c r="D413" s="255"/>
      <c r="E413" s="255"/>
      <c r="F413" s="255"/>
      <c r="G413" s="256"/>
      <c r="H413" s="255"/>
      <c r="I413" s="255"/>
      <c r="J413" s="255"/>
      <c r="K413" s="256"/>
      <c r="L413" s="255"/>
      <c r="M413" s="255"/>
      <c r="N413" s="255"/>
      <c r="O413" s="256"/>
      <c r="P413" s="255"/>
      <c r="Q413" s="255"/>
      <c r="R413" s="256"/>
      <c r="S413" s="256"/>
      <c r="T413" s="255"/>
      <c r="U413" s="259"/>
    </row>
    <row r="414">
      <c r="A414" s="255"/>
      <c r="B414" s="255"/>
      <c r="C414" s="256"/>
      <c r="D414" s="255"/>
      <c r="E414" s="255"/>
      <c r="F414" s="255"/>
      <c r="G414" s="256"/>
      <c r="H414" s="255"/>
      <c r="I414" s="255"/>
      <c r="J414" s="255"/>
      <c r="K414" s="256"/>
      <c r="L414" s="255"/>
      <c r="M414" s="255"/>
      <c r="N414" s="255"/>
      <c r="O414" s="256"/>
      <c r="P414" s="255"/>
      <c r="Q414" s="255"/>
      <c r="R414" s="256"/>
      <c r="S414" s="256"/>
      <c r="T414" s="255"/>
      <c r="U414" s="259"/>
    </row>
    <row r="415">
      <c r="A415" s="255"/>
      <c r="B415" s="255"/>
      <c r="C415" s="256"/>
      <c r="D415" s="255"/>
      <c r="E415" s="255"/>
      <c r="F415" s="255"/>
      <c r="G415" s="256"/>
      <c r="H415" s="255"/>
      <c r="I415" s="255"/>
      <c r="J415" s="255"/>
      <c r="K415" s="256"/>
      <c r="L415" s="255"/>
      <c r="M415" s="255"/>
      <c r="N415" s="255"/>
      <c r="O415" s="256"/>
      <c r="P415" s="255"/>
      <c r="Q415" s="255"/>
      <c r="R415" s="256"/>
      <c r="S415" s="256"/>
      <c r="T415" s="255"/>
      <c r="U415" s="259"/>
    </row>
    <row r="416">
      <c r="A416" s="255"/>
      <c r="B416" s="255"/>
      <c r="C416" s="256"/>
      <c r="D416" s="255"/>
      <c r="E416" s="255"/>
      <c r="F416" s="255"/>
      <c r="G416" s="256"/>
      <c r="H416" s="255"/>
      <c r="I416" s="255"/>
      <c r="J416" s="255"/>
      <c r="K416" s="256"/>
      <c r="L416" s="255"/>
      <c r="M416" s="255"/>
      <c r="N416" s="255"/>
      <c r="O416" s="256"/>
      <c r="P416" s="255"/>
      <c r="Q416" s="255"/>
      <c r="R416" s="256"/>
      <c r="S416" s="256"/>
      <c r="T416" s="255"/>
      <c r="U416" s="259"/>
    </row>
    <row r="417">
      <c r="A417" s="255"/>
      <c r="B417" s="255"/>
      <c r="C417" s="256"/>
      <c r="D417" s="255"/>
      <c r="E417" s="255"/>
      <c r="F417" s="255"/>
      <c r="G417" s="256"/>
      <c r="H417" s="255"/>
      <c r="I417" s="255"/>
      <c r="J417" s="255"/>
      <c r="K417" s="256"/>
      <c r="L417" s="255"/>
      <c r="M417" s="255"/>
      <c r="N417" s="255"/>
      <c r="O417" s="256"/>
      <c r="P417" s="255"/>
      <c r="Q417" s="255"/>
      <c r="R417" s="256"/>
      <c r="S417" s="256"/>
      <c r="T417" s="255"/>
      <c r="U417" s="259"/>
    </row>
    <row r="418">
      <c r="A418" s="255"/>
      <c r="B418" s="255"/>
      <c r="C418" s="256"/>
      <c r="D418" s="255"/>
      <c r="E418" s="255"/>
      <c r="F418" s="255"/>
      <c r="G418" s="256"/>
      <c r="H418" s="255"/>
      <c r="I418" s="255"/>
      <c r="J418" s="255"/>
      <c r="K418" s="256"/>
      <c r="L418" s="255"/>
      <c r="M418" s="255"/>
      <c r="N418" s="255"/>
      <c r="O418" s="256"/>
      <c r="P418" s="255"/>
      <c r="Q418" s="255"/>
      <c r="R418" s="256"/>
      <c r="S418" s="256"/>
      <c r="T418" s="255"/>
      <c r="U418" s="259"/>
    </row>
    <row r="419">
      <c r="A419" s="255"/>
      <c r="B419" s="255"/>
      <c r="C419" s="256"/>
      <c r="D419" s="255"/>
      <c r="E419" s="255"/>
      <c r="F419" s="255"/>
      <c r="G419" s="256"/>
      <c r="H419" s="255"/>
      <c r="I419" s="255"/>
      <c r="J419" s="255"/>
      <c r="K419" s="256"/>
      <c r="L419" s="255"/>
      <c r="M419" s="255"/>
      <c r="N419" s="255"/>
      <c r="O419" s="256"/>
      <c r="P419" s="255"/>
      <c r="Q419" s="255"/>
      <c r="R419" s="256"/>
      <c r="S419" s="256"/>
      <c r="T419" s="255"/>
      <c r="U419" s="259"/>
    </row>
    <row r="420">
      <c r="A420" s="255"/>
      <c r="B420" s="255"/>
      <c r="C420" s="256"/>
      <c r="D420" s="255"/>
      <c r="E420" s="255"/>
      <c r="F420" s="255"/>
      <c r="G420" s="256"/>
      <c r="H420" s="255"/>
      <c r="I420" s="255"/>
      <c r="J420" s="255"/>
      <c r="K420" s="256"/>
      <c r="L420" s="255"/>
      <c r="M420" s="255"/>
      <c r="N420" s="255"/>
      <c r="O420" s="256"/>
      <c r="P420" s="255"/>
      <c r="Q420" s="255"/>
      <c r="R420" s="256"/>
      <c r="S420" s="256"/>
      <c r="T420" s="255"/>
      <c r="U420" s="259"/>
    </row>
    <row r="421">
      <c r="A421" s="255"/>
      <c r="B421" s="255"/>
      <c r="C421" s="256"/>
      <c r="D421" s="255"/>
      <c r="E421" s="255"/>
      <c r="F421" s="255"/>
      <c r="G421" s="256"/>
      <c r="H421" s="255"/>
      <c r="I421" s="255"/>
      <c r="J421" s="255"/>
      <c r="K421" s="256"/>
      <c r="L421" s="255"/>
      <c r="M421" s="255"/>
      <c r="N421" s="255"/>
      <c r="O421" s="256"/>
      <c r="P421" s="255"/>
      <c r="Q421" s="255"/>
      <c r="R421" s="256"/>
      <c r="S421" s="256"/>
      <c r="T421" s="255"/>
      <c r="U421" s="259"/>
    </row>
    <row r="422">
      <c r="A422" s="255"/>
      <c r="B422" s="255"/>
      <c r="C422" s="256"/>
      <c r="D422" s="255"/>
      <c r="E422" s="255"/>
      <c r="F422" s="255"/>
      <c r="G422" s="256"/>
      <c r="H422" s="255"/>
      <c r="I422" s="255"/>
      <c r="J422" s="255"/>
      <c r="K422" s="256"/>
      <c r="L422" s="255"/>
      <c r="M422" s="255"/>
      <c r="N422" s="255"/>
      <c r="O422" s="256"/>
      <c r="P422" s="255"/>
      <c r="Q422" s="255"/>
      <c r="R422" s="256"/>
      <c r="S422" s="256"/>
      <c r="T422" s="255"/>
      <c r="U422" s="259"/>
    </row>
    <row r="423">
      <c r="A423" s="255"/>
      <c r="B423" s="255"/>
      <c r="C423" s="256"/>
      <c r="D423" s="255"/>
      <c r="E423" s="255"/>
      <c r="F423" s="255"/>
      <c r="G423" s="256"/>
      <c r="H423" s="255"/>
      <c r="I423" s="255"/>
      <c r="J423" s="255"/>
      <c r="K423" s="256"/>
      <c r="L423" s="255"/>
      <c r="M423" s="255"/>
      <c r="N423" s="255"/>
      <c r="O423" s="256"/>
      <c r="P423" s="255"/>
      <c r="Q423" s="255"/>
      <c r="R423" s="256"/>
      <c r="S423" s="256"/>
      <c r="T423" s="255"/>
      <c r="U423" s="259"/>
    </row>
    <row r="424">
      <c r="A424" s="255"/>
      <c r="B424" s="255"/>
      <c r="C424" s="256"/>
      <c r="D424" s="255"/>
      <c r="E424" s="255"/>
      <c r="F424" s="255"/>
      <c r="G424" s="256"/>
      <c r="H424" s="255"/>
      <c r="I424" s="255"/>
      <c r="J424" s="255"/>
      <c r="K424" s="256"/>
      <c r="L424" s="255"/>
      <c r="M424" s="255"/>
      <c r="N424" s="255"/>
      <c r="O424" s="256"/>
      <c r="P424" s="255"/>
      <c r="Q424" s="255"/>
      <c r="R424" s="256"/>
      <c r="S424" s="256"/>
      <c r="T424" s="255"/>
      <c r="U424" s="259"/>
    </row>
    <row r="425">
      <c r="A425" s="255"/>
      <c r="B425" s="255"/>
      <c r="C425" s="256"/>
      <c r="D425" s="255"/>
      <c r="E425" s="255"/>
      <c r="F425" s="255"/>
      <c r="G425" s="256"/>
      <c r="H425" s="255"/>
      <c r="I425" s="255"/>
      <c r="J425" s="255"/>
      <c r="K425" s="256"/>
      <c r="L425" s="255"/>
      <c r="M425" s="255"/>
      <c r="N425" s="255"/>
      <c r="O425" s="256"/>
      <c r="P425" s="255"/>
      <c r="Q425" s="255"/>
      <c r="R425" s="256"/>
      <c r="S425" s="256"/>
      <c r="T425" s="255"/>
      <c r="U425" s="259"/>
    </row>
    <row r="426">
      <c r="A426" s="255"/>
      <c r="B426" s="255"/>
      <c r="C426" s="256"/>
      <c r="D426" s="255"/>
      <c r="E426" s="255"/>
      <c r="F426" s="255"/>
      <c r="G426" s="256"/>
      <c r="H426" s="255"/>
      <c r="I426" s="255"/>
      <c r="J426" s="255"/>
      <c r="K426" s="256"/>
      <c r="L426" s="255"/>
      <c r="M426" s="255"/>
      <c r="N426" s="255"/>
      <c r="O426" s="256"/>
      <c r="P426" s="255"/>
      <c r="Q426" s="255"/>
      <c r="R426" s="256"/>
      <c r="S426" s="256"/>
      <c r="T426" s="255"/>
      <c r="U426" s="259"/>
    </row>
    <row r="427">
      <c r="A427" s="255"/>
      <c r="B427" s="255"/>
      <c r="C427" s="256"/>
      <c r="D427" s="255"/>
      <c r="E427" s="255"/>
      <c r="F427" s="255"/>
      <c r="G427" s="256"/>
      <c r="H427" s="255"/>
      <c r="I427" s="255"/>
      <c r="J427" s="255"/>
      <c r="K427" s="256"/>
      <c r="L427" s="255"/>
      <c r="M427" s="255"/>
      <c r="N427" s="255"/>
      <c r="O427" s="256"/>
      <c r="P427" s="255"/>
      <c r="Q427" s="255"/>
      <c r="R427" s="256"/>
      <c r="S427" s="256"/>
      <c r="T427" s="255"/>
      <c r="U427" s="259"/>
    </row>
    <row r="428">
      <c r="A428" s="255"/>
      <c r="B428" s="255"/>
      <c r="C428" s="256"/>
      <c r="D428" s="255"/>
      <c r="E428" s="255"/>
      <c r="F428" s="255"/>
      <c r="G428" s="256"/>
      <c r="H428" s="255"/>
      <c r="I428" s="255"/>
      <c r="J428" s="255"/>
      <c r="K428" s="256"/>
      <c r="L428" s="255"/>
      <c r="M428" s="255"/>
      <c r="N428" s="255"/>
      <c r="O428" s="256"/>
      <c r="P428" s="255"/>
      <c r="Q428" s="255"/>
      <c r="R428" s="256"/>
      <c r="S428" s="256"/>
      <c r="T428" s="255"/>
      <c r="U428" s="259"/>
    </row>
    <row r="429">
      <c r="A429" s="255"/>
      <c r="B429" s="255"/>
      <c r="C429" s="256"/>
      <c r="D429" s="255"/>
      <c r="E429" s="255"/>
      <c r="F429" s="255"/>
      <c r="G429" s="256"/>
      <c r="H429" s="255"/>
      <c r="I429" s="255"/>
      <c r="J429" s="255"/>
      <c r="K429" s="256"/>
      <c r="L429" s="255"/>
      <c r="M429" s="255"/>
      <c r="N429" s="255"/>
      <c r="O429" s="256"/>
      <c r="P429" s="255"/>
      <c r="Q429" s="255"/>
      <c r="R429" s="256"/>
      <c r="S429" s="256"/>
      <c r="T429" s="255"/>
      <c r="U429" s="259"/>
    </row>
    <row r="430">
      <c r="A430" s="255"/>
      <c r="B430" s="255"/>
      <c r="C430" s="256"/>
      <c r="D430" s="255"/>
      <c r="E430" s="255"/>
      <c r="F430" s="255"/>
      <c r="G430" s="256"/>
      <c r="H430" s="255"/>
      <c r="I430" s="255"/>
      <c r="J430" s="255"/>
      <c r="K430" s="256"/>
      <c r="L430" s="255"/>
      <c r="M430" s="255"/>
      <c r="N430" s="255"/>
      <c r="O430" s="256"/>
      <c r="P430" s="255"/>
      <c r="Q430" s="255"/>
      <c r="R430" s="256"/>
      <c r="S430" s="256"/>
      <c r="T430" s="255"/>
      <c r="U430" s="259"/>
    </row>
    <row r="431">
      <c r="A431" s="255"/>
      <c r="B431" s="255"/>
      <c r="C431" s="256"/>
      <c r="D431" s="255"/>
      <c r="E431" s="255"/>
      <c r="F431" s="255"/>
      <c r="G431" s="256"/>
      <c r="H431" s="255"/>
      <c r="I431" s="255"/>
      <c r="J431" s="255"/>
      <c r="K431" s="256"/>
      <c r="L431" s="255"/>
      <c r="M431" s="255"/>
      <c r="N431" s="255"/>
      <c r="O431" s="256"/>
      <c r="P431" s="255"/>
      <c r="Q431" s="255"/>
      <c r="R431" s="256"/>
      <c r="S431" s="256"/>
      <c r="T431" s="255"/>
      <c r="U431" s="259"/>
    </row>
    <row r="432">
      <c r="A432" s="255"/>
      <c r="B432" s="255"/>
      <c r="C432" s="256"/>
      <c r="D432" s="255"/>
      <c r="E432" s="255"/>
      <c r="F432" s="255"/>
      <c r="G432" s="256"/>
      <c r="H432" s="255"/>
      <c r="I432" s="255"/>
      <c r="J432" s="255"/>
      <c r="K432" s="256"/>
      <c r="L432" s="255"/>
      <c r="M432" s="255"/>
      <c r="N432" s="255"/>
      <c r="O432" s="256"/>
      <c r="P432" s="255"/>
      <c r="Q432" s="255"/>
      <c r="R432" s="256"/>
      <c r="S432" s="256"/>
      <c r="T432" s="255"/>
      <c r="U432" s="259"/>
    </row>
    <row r="433">
      <c r="A433" s="255"/>
      <c r="B433" s="255"/>
      <c r="C433" s="256"/>
      <c r="D433" s="255"/>
      <c r="E433" s="255"/>
      <c r="F433" s="255"/>
      <c r="G433" s="256"/>
      <c r="H433" s="255"/>
      <c r="I433" s="255"/>
      <c r="J433" s="255"/>
      <c r="K433" s="256"/>
      <c r="L433" s="255"/>
      <c r="M433" s="255"/>
      <c r="N433" s="255"/>
      <c r="O433" s="256"/>
      <c r="P433" s="255"/>
      <c r="Q433" s="255"/>
      <c r="R433" s="256"/>
      <c r="S433" s="256"/>
      <c r="T433" s="255"/>
      <c r="U433" s="259"/>
    </row>
    <row r="434">
      <c r="A434" s="255"/>
      <c r="B434" s="255"/>
      <c r="C434" s="256"/>
      <c r="D434" s="255"/>
      <c r="E434" s="255"/>
      <c r="F434" s="255"/>
      <c r="G434" s="256"/>
      <c r="H434" s="255"/>
      <c r="I434" s="255"/>
      <c r="J434" s="255"/>
      <c r="K434" s="256"/>
      <c r="L434" s="255"/>
      <c r="M434" s="255"/>
      <c r="N434" s="255"/>
      <c r="O434" s="256"/>
      <c r="P434" s="255"/>
      <c r="Q434" s="255"/>
      <c r="R434" s="256"/>
      <c r="S434" s="256"/>
      <c r="T434" s="255"/>
      <c r="U434" s="259"/>
    </row>
    <row r="435">
      <c r="A435" s="255"/>
      <c r="B435" s="255"/>
      <c r="C435" s="256"/>
      <c r="D435" s="255"/>
      <c r="E435" s="255"/>
      <c r="F435" s="255"/>
      <c r="G435" s="256"/>
      <c r="H435" s="255"/>
      <c r="I435" s="255"/>
      <c r="J435" s="255"/>
      <c r="K435" s="256"/>
      <c r="L435" s="255"/>
      <c r="M435" s="255"/>
      <c r="N435" s="255"/>
      <c r="O435" s="256"/>
      <c r="P435" s="255"/>
      <c r="Q435" s="255"/>
      <c r="R435" s="256"/>
      <c r="S435" s="256"/>
      <c r="T435" s="255"/>
      <c r="U435" s="259"/>
    </row>
    <row r="436">
      <c r="A436" s="255"/>
      <c r="B436" s="255"/>
      <c r="C436" s="256"/>
      <c r="D436" s="255"/>
      <c r="E436" s="255"/>
      <c r="F436" s="255"/>
      <c r="G436" s="256"/>
      <c r="H436" s="255"/>
      <c r="I436" s="255"/>
      <c r="J436" s="255"/>
      <c r="K436" s="256"/>
      <c r="L436" s="255"/>
      <c r="M436" s="255"/>
      <c r="N436" s="255"/>
      <c r="O436" s="256"/>
      <c r="P436" s="255"/>
      <c r="Q436" s="255"/>
      <c r="R436" s="256"/>
      <c r="S436" s="256"/>
      <c r="T436" s="255"/>
      <c r="U436" s="259"/>
    </row>
    <row r="437">
      <c r="A437" s="255"/>
      <c r="B437" s="255"/>
      <c r="C437" s="256"/>
      <c r="D437" s="255"/>
      <c r="E437" s="255"/>
      <c r="F437" s="255"/>
      <c r="G437" s="256"/>
      <c r="H437" s="255"/>
      <c r="I437" s="255"/>
      <c r="J437" s="255"/>
      <c r="K437" s="256"/>
      <c r="L437" s="255"/>
      <c r="M437" s="255"/>
      <c r="N437" s="255"/>
      <c r="O437" s="256"/>
      <c r="P437" s="255"/>
      <c r="Q437" s="255"/>
      <c r="R437" s="256"/>
      <c r="S437" s="256"/>
      <c r="T437" s="255"/>
      <c r="U437" s="259"/>
    </row>
    <row r="438">
      <c r="A438" s="255"/>
      <c r="B438" s="255"/>
      <c r="C438" s="256"/>
      <c r="D438" s="255"/>
      <c r="E438" s="255"/>
      <c r="F438" s="255"/>
      <c r="G438" s="256"/>
      <c r="H438" s="255"/>
      <c r="I438" s="255"/>
      <c r="J438" s="255"/>
      <c r="K438" s="256"/>
      <c r="L438" s="255"/>
      <c r="M438" s="255"/>
      <c r="N438" s="255"/>
      <c r="O438" s="256"/>
      <c r="P438" s="255"/>
      <c r="Q438" s="255"/>
      <c r="R438" s="256"/>
      <c r="S438" s="256"/>
      <c r="T438" s="255"/>
      <c r="U438" s="259"/>
    </row>
    <row r="439">
      <c r="A439" s="255"/>
      <c r="B439" s="255"/>
      <c r="C439" s="256"/>
      <c r="D439" s="255"/>
      <c r="E439" s="255"/>
      <c r="F439" s="255"/>
      <c r="G439" s="256"/>
      <c r="H439" s="255"/>
      <c r="I439" s="255"/>
      <c r="J439" s="255"/>
      <c r="K439" s="256"/>
      <c r="L439" s="255"/>
      <c r="M439" s="255"/>
      <c r="N439" s="255"/>
      <c r="O439" s="256"/>
      <c r="P439" s="255"/>
      <c r="Q439" s="255"/>
      <c r="R439" s="256"/>
      <c r="S439" s="256"/>
      <c r="T439" s="255"/>
      <c r="U439" s="259"/>
    </row>
    <row r="440">
      <c r="A440" s="255"/>
      <c r="B440" s="255"/>
      <c r="C440" s="256"/>
      <c r="D440" s="255"/>
      <c r="E440" s="255"/>
      <c r="F440" s="255"/>
      <c r="G440" s="256"/>
      <c r="H440" s="255"/>
      <c r="I440" s="255"/>
      <c r="J440" s="255"/>
      <c r="K440" s="256"/>
      <c r="L440" s="255"/>
      <c r="M440" s="255"/>
      <c r="N440" s="255"/>
      <c r="O440" s="256"/>
      <c r="P440" s="255"/>
      <c r="Q440" s="255"/>
      <c r="R440" s="256"/>
      <c r="S440" s="256"/>
      <c r="T440" s="255"/>
      <c r="U440" s="259"/>
    </row>
    <row r="441">
      <c r="A441" s="255"/>
      <c r="B441" s="255"/>
      <c r="C441" s="256"/>
      <c r="D441" s="255"/>
      <c r="E441" s="255"/>
      <c r="F441" s="255"/>
      <c r="G441" s="256"/>
      <c r="H441" s="255"/>
      <c r="I441" s="255"/>
      <c r="J441" s="255"/>
      <c r="K441" s="256"/>
      <c r="L441" s="255"/>
      <c r="M441" s="255"/>
      <c r="N441" s="255"/>
      <c r="O441" s="256"/>
      <c r="P441" s="255"/>
      <c r="Q441" s="255"/>
      <c r="R441" s="256"/>
      <c r="S441" s="256"/>
      <c r="T441" s="255"/>
      <c r="U441" s="259"/>
    </row>
    <row r="442">
      <c r="A442" s="255"/>
      <c r="B442" s="255"/>
      <c r="C442" s="256"/>
      <c r="D442" s="255"/>
      <c r="E442" s="255"/>
      <c r="F442" s="255"/>
      <c r="G442" s="256"/>
      <c r="H442" s="255"/>
      <c r="I442" s="255"/>
      <c r="J442" s="255"/>
      <c r="K442" s="256"/>
      <c r="L442" s="255"/>
      <c r="M442" s="255"/>
      <c r="N442" s="255"/>
      <c r="O442" s="256"/>
      <c r="P442" s="255"/>
      <c r="Q442" s="255"/>
      <c r="R442" s="256"/>
      <c r="S442" s="256"/>
      <c r="T442" s="255"/>
      <c r="U442" s="259"/>
    </row>
    <row r="443">
      <c r="A443" s="255"/>
      <c r="B443" s="255"/>
      <c r="C443" s="256"/>
      <c r="D443" s="255"/>
      <c r="E443" s="255"/>
      <c r="F443" s="255"/>
      <c r="G443" s="256"/>
      <c r="H443" s="255"/>
      <c r="I443" s="255"/>
      <c r="J443" s="255"/>
      <c r="K443" s="256"/>
      <c r="L443" s="255"/>
      <c r="M443" s="255"/>
      <c r="N443" s="255"/>
      <c r="O443" s="256"/>
      <c r="P443" s="255"/>
      <c r="Q443" s="255"/>
      <c r="R443" s="256"/>
      <c r="S443" s="256"/>
      <c r="T443" s="255"/>
      <c r="U443" s="259"/>
    </row>
    <row r="444">
      <c r="A444" s="255"/>
      <c r="B444" s="255"/>
      <c r="C444" s="256"/>
      <c r="D444" s="255"/>
      <c r="E444" s="255"/>
      <c r="F444" s="255"/>
      <c r="G444" s="256"/>
      <c r="H444" s="255"/>
      <c r="I444" s="255"/>
      <c r="J444" s="255"/>
      <c r="K444" s="256"/>
      <c r="L444" s="255"/>
      <c r="M444" s="255"/>
      <c r="N444" s="255"/>
      <c r="O444" s="256"/>
      <c r="P444" s="255"/>
      <c r="Q444" s="255"/>
      <c r="R444" s="256"/>
      <c r="S444" s="256"/>
      <c r="T444" s="255"/>
      <c r="U444" s="259"/>
    </row>
    <row r="445">
      <c r="A445" s="255"/>
      <c r="B445" s="255"/>
      <c r="C445" s="256"/>
      <c r="D445" s="255"/>
      <c r="E445" s="255"/>
      <c r="F445" s="255"/>
      <c r="G445" s="256"/>
      <c r="H445" s="255"/>
      <c r="I445" s="255"/>
      <c r="J445" s="255"/>
      <c r="K445" s="256"/>
      <c r="L445" s="255"/>
      <c r="M445" s="255"/>
      <c r="N445" s="255"/>
      <c r="O445" s="256"/>
      <c r="P445" s="255"/>
      <c r="Q445" s="255"/>
      <c r="R445" s="256"/>
      <c r="S445" s="256"/>
      <c r="T445" s="255"/>
      <c r="U445" s="259"/>
    </row>
    <row r="446">
      <c r="A446" s="255"/>
      <c r="B446" s="255"/>
      <c r="C446" s="256"/>
      <c r="D446" s="255"/>
      <c r="E446" s="255"/>
      <c r="F446" s="255"/>
      <c r="G446" s="256"/>
      <c r="H446" s="255"/>
      <c r="I446" s="255"/>
      <c r="J446" s="255"/>
      <c r="K446" s="256"/>
      <c r="L446" s="255"/>
      <c r="M446" s="255"/>
      <c r="N446" s="255"/>
      <c r="O446" s="256"/>
      <c r="P446" s="255"/>
      <c r="Q446" s="255"/>
      <c r="R446" s="256"/>
      <c r="S446" s="256"/>
      <c r="T446" s="255"/>
      <c r="U446" s="259"/>
    </row>
    <row r="447">
      <c r="A447" s="255"/>
      <c r="B447" s="255"/>
      <c r="C447" s="256"/>
      <c r="D447" s="255"/>
      <c r="E447" s="255"/>
      <c r="F447" s="255"/>
      <c r="G447" s="256"/>
      <c r="H447" s="255"/>
      <c r="I447" s="255"/>
      <c r="J447" s="255"/>
      <c r="K447" s="256"/>
      <c r="L447" s="255"/>
      <c r="M447" s="255"/>
      <c r="N447" s="255"/>
      <c r="O447" s="256"/>
      <c r="P447" s="255"/>
      <c r="Q447" s="255"/>
      <c r="R447" s="256"/>
      <c r="S447" s="256"/>
      <c r="T447" s="255"/>
      <c r="U447" s="259"/>
    </row>
    <row r="448">
      <c r="A448" s="255"/>
      <c r="B448" s="255"/>
      <c r="C448" s="256"/>
      <c r="D448" s="255"/>
      <c r="E448" s="255"/>
      <c r="F448" s="255"/>
      <c r="G448" s="256"/>
      <c r="H448" s="255"/>
      <c r="I448" s="255"/>
      <c r="J448" s="255"/>
      <c r="K448" s="256"/>
      <c r="L448" s="255"/>
      <c r="M448" s="255"/>
      <c r="N448" s="255"/>
      <c r="O448" s="256"/>
      <c r="P448" s="255"/>
      <c r="Q448" s="255"/>
      <c r="R448" s="256"/>
      <c r="S448" s="256"/>
      <c r="T448" s="255"/>
      <c r="U448" s="259"/>
    </row>
    <row r="449">
      <c r="A449" s="255"/>
      <c r="B449" s="255"/>
      <c r="C449" s="256"/>
      <c r="D449" s="255"/>
      <c r="E449" s="255"/>
      <c r="F449" s="255"/>
      <c r="G449" s="256"/>
      <c r="H449" s="255"/>
      <c r="I449" s="255"/>
      <c r="J449" s="255"/>
      <c r="K449" s="256"/>
      <c r="L449" s="255"/>
      <c r="M449" s="255"/>
      <c r="N449" s="255"/>
      <c r="O449" s="256"/>
      <c r="P449" s="255"/>
      <c r="Q449" s="255"/>
      <c r="R449" s="256"/>
      <c r="S449" s="256"/>
      <c r="T449" s="255"/>
      <c r="U449" s="259"/>
    </row>
    <row r="450">
      <c r="A450" s="255"/>
      <c r="B450" s="255"/>
      <c r="C450" s="256"/>
      <c r="D450" s="255"/>
      <c r="E450" s="255"/>
      <c r="F450" s="255"/>
      <c r="G450" s="256"/>
      <c r="H450" s="255"/>
      <c r="I450" s="255"/>
      <c r="J450" s="255"/>
      <c r="K450" s="256"/>
      <c r="L450" s="255"/>
      <c r="M450" s="255"/>
      <c r="N450" s="255"/>
      <c r="O450" s="256"/>
      <c r="P450" s="255"/>
      <c r="Q450" s="255"/>
      <c r="R450" s="256"/>
      <c r="S450" s="256"/>
      <c r="T450" s="255"/>
      <c r="U450" s="259"/>
    </row>
    <row r="451">
      <c r="A451" s="255"/>
      <c r="B451" s="255"/>
      <c r="C451" s="256"/>
      <c r="D451" s="255"/>
      <c r="E451" s="255"/>
      <c r="F451" s="255"/>
      <c r="G451" s="256"/>
      <c r="H451" s="255"/>
      <c r="I451" s="255"/>
      <c r="J451" s="255"/>
      <c r="K451" s="256"/>
      <c r="L451" s="255"/>
      <c r="M451" s="255"/>
      <c r="N451" s="255"/>
      <c r="O451" s="256"/>
      <c r="P451" s="255"/>
      <c r="Q451" s="255"/>
      <c r="R451" s="256"/>
      <c r="S451" s="256"/>
      <c r="T451" s="255"/>
      <c r="U451" s="259"/>
    </row>
    <row r="452">
      <c r="A452" s="255"/>
      <c r="B452" s="255"/>
      <c r="C452" s="256"/>
      <c r="D452" s="255"/>
      <c r="E452" s="255"/>
      <c r="F452" s="255"/>
      <c r="G452" s="256"/>
      <c r="H452" s="255"/>
      <c r="I452" s="255"/>
      <c r="J452" s="255"/>
      <c r="K452" s="256"/>
      <c r="L452" s="255"/>
      <c r="M452" s="255"/>
      <c r="N452" s="255"/>
      <c r="O452" s="256"/>
      <c r="P452" s="255"/>
      <c r="Q452" s="255"/>
      <c r="R452" s="256"/>
      <c r="S452" s="256"/>
      <c r="T452" s="255"/>
      <c r="U452" s="259"/>
    </row>
    <row r="453">
      <c r="A453" s="255"/>
      <c r="B453" s="255"/>
      <c r="C453" s="256"/>
      <c r="D453" s="255"/>
      <c r="E453" s="255"/>
      <c r="F453" s="255"/>
      <c r="G453" s="256"/>
      <c r="H453" s="255"/>
      <c r="I453" s="255"/>
      <c r="J453" s="255"/>
      <c r="K453" s="256"/>
      <c r="L453" s="255"/>
      <c r="M453" s="255"/>
      <c r="N453" s="255"/>
      <c r="O453" s="256"/>
      <c r="P453" s="255"/>
      <c r="Q453" s="255"/>
      <c r="R453" s="256"/>
      <c r="S453" s="256"/>
      <c r="T453" s="255"/>
      <c r="U453" s="259"/>
    </row>
    <row r="454">
      <c r="A454" s="255"/>
      <c r="B454" s="255"/>
      <c r="C454" s="256"/>
      <c r="D454" s="255"/>
      <c r="E454" s="255"/>
      <c r="F454" s="255"/>
      <c r="G454" s="256"/>
      <c r="H454" s="255"/>
      <c r="I454" s="255"/>
      <c r="J454" s="255"/>
      <c r="K454" s="256"/>
      <c r="L454" s="255"/>
      <c r="M454" s="255"/>
      <c r="N454" s="255"/>
      <c r="O454" s="256"/>
      <c r="P454" s="255"/>
      <c r="Q454" s="255"/>
      <c r="R454" s="256"/>
      <c r="S454" s="256"/>
      <c r="T454" s="255"/>
      <c r="U454" s="259"/>
    </row>
    <row r="455">
      <c r="A455" s="255"/>
      <c r="B455" s="255"/>
      <c r="C455" s="256"/>
      <c r="D455" s="255"/>
      <c r="E455" s="255"/>
      <c r="F455" s="255"/>
      <c r="G455" s="256"/>
      <c r="H455" s="255"/>
      <c r="I455" s="255"/>
      <c r="J455" s="255"/>
      <c r="K455" s="256"/>
      <c r="L455" s="255"/>
      <c r="M455" s="255"/>
      <c r="N455" s="255"/>
      <c r="O455" s="256"/>
      <c r="P455" s="255"/>
      <c r="Q455" s="255"/>
      <c r="R455" s="256"/>
      <c r="S455" s="256"/>
      <c r="T455" s="255"/>
      <c r="U455" s="259"/>
    </row>
    <row r="456">
      <c r="A456" s="255"/>
      <c r="B456" s="255"/>
      <c r="C456" s="256"/>
      <c r="D456" s="255"/>
      <c r="E456" s="255"/>
      <c r="F456" s="255"/>
      <c r="G456" s="256"/>
      <c r="H456" s="255"/>
      <c r="I456" s="255"/>
      <c r="J456" s="255"/>
      <c r="K456" s="256"/>
      <c r="L456" s="255"/>
      <c r="M456" s="255"/>
      <c r="N456" s="255"/>
      <c r="O456" s="256"/>
      <c r="P456" s="255"/>
      <c r="Q456" s="255"/>
      <c r="R456" s="256"/>
      <c r="S456" s="256"/>
      <c r="T456" s="255"/>
      <c r="U456" s="259"/>
    </row>
    <row r="457">
      <c r="A457" s="255"/>
      <c r="B457" s="255"/>
      <c r="C457" s="256"/>
      <c r="D457" s="255"/>
      <c r="E457" s="255"/>
      <c r="F457" s="255"/>
      <c r="G457" s="256"/>
      <c r="H457" s="255"/>
      <c r="I457" s="255"/>
      <c r="J457" s="255"/>
      <c r="K457" s="256"/>
      <c r="L457" s="255"/>
      <c r="M457" s="255"/>
      <c r="N457" s="255"/>
      <c r="O457" s="256"/>
      <c r="P457" s="255"/>
      <c r="Q457" s="255"/>
      <c r="R457" s="256"/>
      <c r="S457" s="256"/>
      <c r="T457" s="255"/>
      <c r="U457" s="259"/>
    </row>
    <row r="458">
      <c r="A458" s="255"/>
      <c r="B458" s="255"/>
      <c r="C458" s="256"/>
      <c r="D458" s="255"/>
      <c r="E458" s="255"/>
      <c r="F458" s="255"/>
      <c r="G458" s="256"/>
      <c r="H458" s="255"/>
      <c r="I458" s="255"/>
      <c r="J458" s="255"/>
      <c r="K458" s="256"/>
      <c r="L458" s="255"/>
      <c r="M458" s="255"/>
      <c r="N458" s="255"/>
      <c r="O458" s="256"/>
      <c r="P458" s="255"/>
      <c r="Q458" s="255"/>
      <c r="R458" s="256"/>
      <c r="S458" s="256"/>
      <c r="T458" s="255"/>
      <c r="U458" s="259"/>
    </row>
    <row r="459">
      <c r="A459" s="255"/>
      <c r="B459" s="255"/>
      <c r="C459" s="256"/>
      <c r="D459" s="255"/>
      <c r="E459" s="255"/>
      <c r="F459" s="255"/>
      <c r="G459" s="256"/>
      <c r="H459" s="255"/>
      <c r="I459" s="255"/>
      <c r="J459" s="255"/>
      <c r="K459" s="256"/>
      <c r="L459" s="255"/>
      <c r="M459" s="255"/>
      <c r="N459" s="255"/>
      <c r="O459" s="256"/>
      <c r="P459" s="255"/>
      <c r="Q459" s="255"/>
      <c r="R459" s="256"/>
      <c r="S459" s="256"/>
      <c r="T459" s="255"/>
      <c r="U459" s="259"/>
    </row>
    <row r="460">
      <c r="A460" s="255"/>
      <c r="B460" s="255"/>
      <c r="C460" s="256"/>
      <c r="D460" s="255"/>
      <c r="E460" s="255"/>
      <c r="F460" s="255"/>
      <c r="G460" s="256"/>
      <c r="H460" s="255"/>
      <c r="I460" s="255"/>
      <c r="J460" s="255"/>
      <c r="K460" s="256"/>
      <c r="L460" s="255"/>
      <c r="M460" s="255"/>
      <c r="N460" s="255"/>
      <c r="O460" s="256"/>
      <c r="P460" s="255"/>
      <c r="Q460" s="255"/>
      <c r="R460" s="256"/>
      <c r="S460" s="256"/>
      <c r="T460" s="255"/>
      <c r="U460" s="259"/>
    </row>
    <row r="461">
      <c r="A461" s="255"/>
      <c r="B461" s="255"/>
      <c r="C461" s="256"/>
      <c r="D461" s="255"/>
      <c r="E461" s="255"/>
      <c r="F461" s="255"/>
      <c r="G461" s="256"/>
      <c r="H461" s="255"/>
      <c r="I461" s="255"/>
      <c r="J461" s="255"/>
      <c r="K461" s="256"/>
      <c r="L461" s="255"/>
      <c r="M461" s="255"/>
      <c r="N461" s="255"/>
      <c r="O461" s="256"/>
      <c r="P461" s="255"/>
      <c r="Q461" s="255"/>
      <c r="R461" s="256"/>
      <c r="S461" s="256"/>
      <c r="T461" s="255"/>
      <c r="U461" s="259"/>
    </row>
    <row r="462">
      <c r="A462" s="255"/>
      <c r="B462" s="255"/>
      <c r="C462" s="256"/>
      <c r="D462" s="255"/>
      <c r="E462" s="255"/>
      <c r="F462" s="255"/>
      <c r="G462" s="256"/>
      <c r="H462" s="255"/>
      <c r="I462" s="255"/>
      <c r="J462" s="255"/>
      <c r="K462" s="256"/>
      <c r="L462" s="255"/>
      <c r="M462" s="255"/>
      <c r="N462" s="255"/>
      <c r="O462" s="256"/>
      <c r="P462" s="255"/>
      <c r="Q462" s="255"/>
      <c r="R462" s="256"/>
      <c r="S462" s="256"/>
      <c r="T462" s="255"/>
      <c r="U462" s="259"/>
    </row>
    <row r="463">
      <c r="A463" s="255"/>
      <c r="B463" s="255"/>
      <c r="C463" s="256"/>
      <c r="D463" s="255"/>
      <c r="E463" s="255"/>
      <c r="F463" s="255"/>
      <c r="G463" s="256"/>
      <c r="H463" s="255"/>
      <c r="I463" s="255"/>
      <c r="J463" s="255"/>
      <c r="K463" s="256"/>
      <c r="L463" s="255"/>
      <c r="M463" s="255"/>
      <c r="N463" s="255"/>
      <c r="O463" s="256"/>
      <c r="P463" s="255"/>
      <c r="Q463" s="255"/>
      <c r="R463" s="256"/>
      <c r="S463" s="256"/>
      <c r="T463" s="255"/>
      <c r="U463" s="259"/>
    </row>
    <row r="464">
      <c r="A464" s="255"/>
      <c r="B464" s="255"/>
      <c r="C464" s="256"/>
      <c r="D464" s="255"/>
      <c r="E464" s="255"/>
      <c r="F464" s="255"/>
      <c r="G464" s="256"/>
      <c r="H464" s="255"/>
      <c r="I464" s="255"/>
      <c r="J464" s="255"/>
      <c r="K464" s="256"/>
      <c r="L464" s="255"/>
      <c r="M464" s="255"/>
      <c r="N464" s="255"/>
      <c r="O464" s="256"/>
      <c r="P464" s="255"/>
      <c r="Q464" s="255"/>
      <c r="R464" s="256"/>
      <c r="S464" s="256"/>
      <c r="T464" s="255"/>
      <c r="U464" s="259"/>
    </row>
    <row r="465">
      <c r="A465" s="255"/>
      <c r="B465" s="255"/>
      <c r="C465" s="256"/>
      <c r="D465" s="255"/>
      <c r="E465" s="255"/>
      <c r="F465" s="255"/>
      <c r="G465" s="256"/>
      <c r="H465" s="255"/>
      <c r="I465" s="255"/>
      <c r="J465" s="255"/>
      <c r="K465" s="256"/>
      <c r="L465" s="255"/>
      <c r="M465" s="255"/>
      <c r="N465" s="255"/>
      <c r="O465" s="256"/>
      <c r="P465" s="255"/>
      <c r="Q465" s="255"/>
      <c r="R465" s="256"/>
      <c r="S465" s="256"/>
      <c r="T465" s="255"/>
      <c r="U465" s="259"/>
    </row>
    <row r="466">
      <c r="A466" s="255"/>
      <c r="B466" s="255"/>
      <c r="C466" s="256"/>
      <c r="D466" s="255"/>
      <c r="E466" s="255"/>
      <c r="F466" s="255"/>
      <c r="G466" s="256"/>
      <c r="H466" s="255"/>
      <c r="I466" s="255"/>
      <c r="J466" s="255"/>
      <c r="K466" s="256"/>
      <c r="L466" s="255"/>
      <c r="M466" s="255"/>
      <c r="N466" s="255"/>
      <c r="O466" s="256"/>
      <c r="P466" s="255"/>
      <c r="Q466" s="255"/>
      <c r="R466" s="256"/>
      <c r="S466" s="256"/>
      <c r="T466" s="255"/>
      <c r="U466" s="259"/>
    </row>
    <row r="467">
      <c r="A467" s="255"/>
      <c r="B467" s="255"/>
      <c r="C467" s="256"/>
      <c r="D467" s="255"/>
      <c r="E467" s="255"/>
      <c r="F467" s="255"/>
      <c r="G467" s="256"/>
      <c r="H467" s="255"/>
      <c r="I467" s="255"/>
      <c r="J467" s="255"/>
      <c r="K467" s="256"/>
      <c r="L467" s="255"/>
      <c r="M467" s="255"/>
      <c r="N467" s="255"/>
      <c r="O467" s="256"/>
      <c r="P467" s="255"/>
      <c r="Q467" s="255"/>
      <c r="R467" s="256"/>
      <c r="S467" s="256"/>
      <c r="T467" s="255"/>
      <c r="U467" s="259"/>
    </row>
    <row r="468">
      <c r="A468" s="255"/>
      <c r="B468" s="255"/>
      <c r="C468" s="256"/>
      <c r="D468" s="255"/>
      <c r="E468" s="255"/>
      <c r="F468" s="255"/>
      <c r="G468" s="256"/>
      <c r="H468" s="255"/>
      <c r="I468" s="255"/>
      <c r="J468" s="255"/>
      <c r="K468" s="256"/>
      <c r="L468" s="255"/>
      <c r="M468" s="255"/>
      <c r="N468" s="255"/>
      <c r="O468" s="256"/>
      <c r="P468" s="255"/>
      <c r="Q468" s="255"/>
      <c r="R468" s="256"/>
      <c r="S468" s="256"/>
      <c r="T468" s="255"/>
      <c r="U468" s="259"/>
    </row>
    <row r="469">
      <c r="A469" s="255"/>
      <c r="B469" s="255"/>
      <c r="C469" s="256"/>
      <c r="D469" s="255"/>
      <c r="E469" s="255"/>
      <c r="F469" s="255"/>
      <c r="G469" s="256"/>
      <c r="H469" s="255"/>
      <c r="I469" s="255"/>
      <c r="J469" s="255"/>
      <c r="K469" s="256"/>
      <c r="L469" s="255"/>
      <c r="M469" s="255"/>
      <c r="N469" s="255"/>
      <c r="O469" s="256"/>
      <c r="P469" s="255"/>
      <c r="Q469" s="255"/>
      <c r="R469" s="256"/>
      <c r="S469" s="256"/>
      <c r="T469" s="255"/>
      <c r="U469" s="259"/>
    </row>
    <row r="470">
      <c r="A470" s="255"/>
      <c r="B470" s="255"/>
      <c r="C470" s="256"/>
      <c r="D470" s="255"/>
      <c r="E470" s="255"/>
      <c r="F470" s="255"/>
      <c r="G470" s="256"/>
      <c r="H470" s="255"/>
      <c r="I470" s="255"/>
      <c r="J470" s="255"/>
      <c r="K470" s="256"/>
      <c r="L470" s="255"/>
      <c r="M470" s="255"/>
      <c r="N470" s="255"/>
      <c r="O470" s="256"/>
      <c r="P470" s="255"/>
      <c r="Q470" s="255"/>
      <c r="R470" s="256"/>
      <c r="S470" s="256"/>
      <c r="T470" s="255"/>
      <c r="U470" s="259"/>
    </row>
    <row r="471">
      <c r="A471" s="255"/>
      <c r="B471" s="255"/>
      <c r="C471" s="256"/>
      <c r="D471" s="255"/>
      <c r="E471" s="255"/>
      <c r="F471" s="255"/>
      <c r="G471" s="256"/>
      <c r="H471" s="255"/>
      <c r="I471" s="255"/>
      <c r="J471" s="255"/>
      <c r="K471" s="256"/>
      <c r="L471" s="255"/>
      <c r="M471" s="255"/>
      <c r="N471" s="255"/>
      <c r="O471" s="256"/>
      <c r="P471" s="255"/>
      <c r="Q471" s="255"/>
      <c r="R471" s="256"/>
      <c r="S471" s="256"/>
      <c r="T471" s="255"/>
      <c r="U471" s="259"/>
    </row>
    <row r="472">
      <c r="A472" s="255"/>
      <c r="B472" s="255"/>
      <c r="C472" s="256"/>
      <c r="D472" s="255"/>
      <c r="E472" s="255"/>
      <c r="F472" s="255"/>
      <c r="G472" s="256"/>
      <c r="H472" s="255"/>
      <c r="I472" s="255"/>
      <c r="J472" s="255"/>
      <c r="K472" s="256"/>
      <c r="L472" s="255"/>
      <c r="M472" s="255"/>
      <c r="N472" s="255"/>
      <c r="O472" s="256"/>
      <c r="P472" s="255"/>
      <c r="Q472" s="255"/>
      <c r="R472" s="256"/>
      <c r="S472" s="256"/>
      <c r="T472" s="255"/>
      <c r="U472" s="259"/>
    </row>
    <row r="473">
      <c r="A473" s="255"/>
      <c r="B473" s="255"/>
      <c r="C473" s="256"/>
      <c r="D473" s="255"/>
      <c r="E473" s="255"/>
      <c r="F473" s="255"/>
      <c r="G473" s="256"/>
      <c r="H473" s="255"/>
      <c r="I473" s="255"/>
      <c r="J473" s="255"/>
      <c r="K473" s="256"/>
      <c r="L473" s="255"/>
      <c r="M473" s="255"/>
      <c r="N473" s="255"/>
      <c r="O473" s="256"/>
      <c r="P473" s="255"/>
      <c r="Q473" s="255"/>
      <c r="R473" s="256"/>
      <c r="S473" s="256"/>
      <c r="T473" s="255"/>
      <c r="U473" s="259"/>
    </row>
    <row r="474">
      <c r="A474" s="255"/>
      <c r="B474" s="255"/>
      <c r="C474" s="256"/>
      <c r="D474" s="255"/>
      <c r="E474" s="255"/>
      <c r="F474" s="255"/>
      <c r="G474" s="256"/>
      <c r="H474" s="255"/>
      <c r="I474" s="255"/>
      <c r="J474" s="255"/>
      <c r="K474" s="256"/>
      <c r="L474" s="255"/>
      <c r="M474" s="255"/>
      <c r="N474" s="255"/>
      <c r="O474" s="256"/>
      <c r="P474" s="255"/>
      <c r="Q474" s="255"/>
      <c r="R474" s="256"/>
      <c r="S474" s="256"/>
      <c r="T474" s="255"/>
      <c r="U474" s="259"/>
    </row>
    <row r="475">
      <c r="A475" s="255"/>
      <c r="B475" s="255"/>
      <c r="C475" s="256"/>
      <c r="D475" s="255"/>
      <c r="E475" s="255"/>
      <c r="F475" s="255"/>
      <c r="G475" s="256"/>
      <c r="H475" s="255"/>
      <c r="I475" s="255"/>
      <c r="J475" s="255"/>
      <c r="K475" s="256"/>
      <c r="L475" s="255"/>
      <c r="M475" s="255"/>
      <c r="N475" s="255"/>
      <c r="O475" s="256"/>
      <c r="P475" s="255"/>
      <c r="Q475" s="255"/>
      <c r="R475" s="256"/>
      <c r="S475" s="256"/>
      <c r="T475" s="255"/>
      <c r="U475" s="259"/>
    </row>
    <row r="476">
      <c r="A476" s="255"/>
      <c r="B476" s="255"/>
      <c r="C476" s="256"/>
      <c r="D476" s="255"/>
      <c r="E476" s="255"/>
      <c r="F476" s="255"/>
      <c r="G476" s="256"/>
      <c r="H476" s="255"/>
      <c r="I476" s="255"/>
      <c r="J476" s="255"/>
      <c r="K476" s="256"/>
      <c r="L476" s="255"/>
      <c r="M476" s="255"/>
      <c r="N476" s="255"/>
      <c r="O476" s="256"/>
      <c r="P476" s="255"/>
      <c r="Q476" s="255"/>
      <c r="R476" s="256"/>
      <c r="S476" s="256"/>
      <c r="T476" s="255"/>
      <c r="U476" s="259"/>
    </row>
    <row r="477">
      <c r="A477" s="255"/>
      <c r="B477" s="255"/>
      <c r="C477" s="256"/>
      <c r="D477" s="255"/>
      <c r="E477" s="255"/>
      <c r="F477" s="255"/>
      <c r="G477" s="256"/>
      <c r="H477" s="255"/>
      <c r="I477" s="255"/>
      <c r="J477" s="255"/>
      <c r="K477" s="256"/>
      <c r="L477" s="255"/>
      <c r="M477" s="255"/>
      <c r="N477" s="255"/>
      <c r="O477" s="256"/>
      <c r="P477" s="255"/>
      <c r="Q477" s="255"/>
      <c r="R477" s="256"/>
      <c r="S477" s="256"/>
      <c r="T477" s="255"/>
      <c r="U477" s="259"/>
    </row>
    <row r="478">
      <c r="A478" s="255"/>
      <c r="B478" s="255"/>
      <c r="C478" s="256"/>
      <c r="D478" s="255"/>
      <c r="E478" s="255"/>
      <c r="F478" s="255"/>
      <c r="G478" s="256"/>
      <c r="H478" s="255"/>
      <c r="I478" s="255"/>
      <c r="J478" s="255"/>
      <c r="K478" s="256"/>
      <c r="L478" s="255"/>
      <c r="M478" s="255"/>
      <c r="N478" s="255"/>
      <c r="O478" s="256"/>
      <c r="P478" s="255"/>
      <c r="Q478" s="255"/>
      <c r="R478" s="256"/>
      <c r="S478" s="256"/>
      <c r="T478" s="255"/>
      <c r="U478" s="259"/>
    </row>
    <row r="479">
      <c r="A479" s="255"/>
      <c r="B479" s="255"/>
      <c r="C479" s="256"/>
      <c r="D479" s="255"/>
      <c r="E479" s="255"/>
      <c r="F479" s="255"/>
      <c r="G479" s="256"/>
      <c r="H479" s="255"/>
      <c r="I479" s="255"/>
      <c r="J479" s="255"/>
      <c r="K479" s="256"/>
      <c r="L479" s="255"/>
      <c r="M479" s="255"/>
      <c r="N479" s="255"/>
      <c r="O479" s="256"/>
      <c r="P479" s="255"/>
      <c r="Q479" s="255"/>
      <c r="R479" s="256"/>
      <c r="S479" s="256"/>
      <c r="T479" s="255"/>
      <c r="U479" s="259"/>
    </row>
    <row r="480">
      <c r="A480" s="255"/>
      <c r="B480" s="255"/>
      <c r="C480" s="256"/>
      <c r="D480" s="255"/>
      <c r="E480" s="255"/>
      <c r="F480" s="255"/>
      <c r="G480" s="256"/>
      <c r="H480" s="255"/>
      <c r="I480" s="255"/>
      <c r="J480" s="255"/>
      <c r="K480" s="256"/>
      <c r="L480" s="255"/>
      <c r="M480" s="255"/>
      <c r="N480" s="255"/>
      <c r="O480" s="256"/>
      <c r="P480" s="255"/>
      <c r="Q480" s="255"/>
      <c r="R480" s="256"/>
      <c r="S480" s="256"/>
      <c r="T480" s="255"/>
      <c r="U480" s="259"/>
    </row>
    <row r="481">
      <c r="A481" s="255"/>
      <c r="B481" s="255"/>
      <c r="C481" s="256"/>
      <c r="D481" s="255"/>
      <c r="E481" s="255"/>
      <c r="F481" s="255"/>
      <c r="G481" s="256"/>
      <c r="H481" s="255"/>
      <c r="I481" s="255"/>
      <c r="J481" s="255"/>
      <c r="K481" s="256"/>
      <c r="L481" s="255"/>
      <c r="M481" s="255"/>
      <c r="N481" s="255"/>
      <c r="O481" s="256"/>
      <c r="P481" s="255"/>
      <c r="Q481" s="255"/>
      <c r="R481" s="256"/>
      <c r="S481" s="256"/>
      <c r="T481" s="255"/>
      <c r="U481" s="259"/>
    </row>
    <row r="482">
      <c r="A482" s="255"/>
      <c r="B482" s="255"/>
      <c r="C482" s="256"/>
      <c r="D482" s="255"/>
      <c r="E482" s="255"/>
      <c r="F482" s="255"/>
      <c r="G482" s="256"/>
      <c r="H482" s="255"/>
      <c r="I482" s="255"/>
      <c r="J482" s="255"/>
      <c r="K482" s="256"/>
      <c r="L482" s="255"/>
      <c r="M482" s="255"/>
      <c r="N482" s="255"/>
      <c r="O482" s="256"/>
      <c r="P482" s="255"/>
      <c r="Q482" s="255"/>
      <c r="R482" s="256"/>
      <c r="S482" s="256"/>
      <c r="T482" s="255"/>
      <c r="U482" s="259"/>
    </row>
    <row r="483">
      <c r="A483" s="255"/>
      <c r="B483" s="255"/>
      <c r="C483" s="256"/>
      <c r="D483" s="255"/>
      <c r="E483" s="255"/>
      <c r="F483" s="255"/>
      <c r="G483" s="256"/>
      <c r="H483" s="255"/>
      <c r="I483" s="255"/>
      <c r="J483" s="255"/>
      <c r="K483" s="256"/>
      <c r="L483" s="255"/>
      <c r="M483" s="255"/>
      <c r="N483" s="255"/>
      <c r="O483" s="256"/>
      <c r="P483" s="255"/>
      <c r="Q483" s="255"/>
      <c r="R483" s="256"/>
      <c r="S483" s="256"/>
      <c r="T483" s="255"/>
      <c r="U483" s="259"/>
    </row>
    <row r="484">
      <c r="A484" s="255"/>
      <c r="B484" s="255"/>
      <c r="C484" s="256"/>
      <c r="D484" s="255"/>
      <c r="E484" s="255"/>
      <c r="F484" s="255"/>
      <c r="G484" s="256"/>
      <c r="H484" s="255"/>
      <c r="I484" s="255"/>
      <c r="J484" s="255"/>
      <c r="K484" s="256"/>
      <c r="L484" s="255"/>
      <c r="M484" s="255"/>
      <c r="N484" s="255"/>
      <c r="O484" s="256"/>
      <c r="P484" s="255"/>
      <c r="Q484" s="255"/>
      <c r="R484" s="256"/>
      <c r="S484" s="256"/>
      <c r="T484" s="255"/>
      <c r="U484" s="259"/>
    </row>
    <row r="485">
      <c r="A485" s="255"/>
      <c r="B485" s="255"/>
      <c r="C485" s="256"/>
      <c r="D485" s="255"/>
      <c r="E485" s="255"/>
      <c r="F485" s="255"/>
      <c r="G485" s="256"/>
      <c r="H485" s="255"/>
      <c r="I485" s="255"/>
      <c r="J485" s="255"/>
      <c r="K485" s="256"/>
      <c r="L485" s="255"/>
      <c r="M485" s="255"/>
      <c r="N485" s="255"/>
      <c r="O485" s="256"/>
      <c r="P485" s="255"/>
      <c r="Q485" s="255"/>
      <c r="R485" s="256"/>
      <c r="S485" s="256"/>
      <c r="T485" s="255"/>
      <c r="U485" s="259"/>
    </row>
    <row r="486">
      <c r="A486" s="255"/>
      <c r="B486" s="255"/>
      <c r="C486" s="256"/>
      <c r="D486" s="255"/>
      <c r="E486" s="255"/>
      <c r="F486" s="255"/>
      <c r="G486" s="256"/>
      <c r="H486" s="255"/>
      <c r="I486" s="255"/>
      <c r="J486" s="255"/>
      <c r="K486" s="256"/>
      <c r="L486" s="255"/>
      <c r="M486" s="255"/>
      <c r="N486" s="255"/>
      <c r="O486" s="256"/>
      <c r="P486" s="255"/>
      <c r="Q486" s="255"/>
      <c r="R486" s="256"/>
      <c r="S486" s="256"/>
      <c r="T486" s="255"/>
      <c r="U486" s="259"/>
    </row>
    <row r="487">
      <c r="A487" s="255"/>
      <c r="B487" s="255"/>
      <c r="C487" s="256"/>
      <c r="D487" s="255"/>
      <c r="E487" s="255"/>
      <c r="F487" s="255"/>
      <c r="G487" s="256"/>
      <c r="H487" s="255"/>
      <c r="I487" s="255"/>
      <c r="J487" s="255"/>
      <c r="K487" s="256"/>
      <c r="L487" s="255"/>
      <c r="M487" s="255"/>
      <c r="N487" s="255"/>
      <c r="O487" s="256"/>
      <c r="P487" s="255"/>
      <c r="Q487" s="255"/>
      <c r="R487" s="256"/>
      <c r="S487" s="256"/>
      <c r="T487" s="255"/>
      <c r="U487" s="259"/>
    </row>
    <row r="488">
      <c r="A488" s="255"/>
      <c r="B488" s="255"/>
      <c r="C488" s="256"/>
      <c r="D488" s="255"/>
      <c r="E488" s="255"/>
      <c r="F488" s="255"/>
      <c r="G488" s="256"/>
      <c r="H488" s="255"/>
      <c r="I488" s="255"/>
      <c r="J488" s="255"/>
      <c r="K488" s="256"/>
      <c r="L488" s="255"/>
      <c r="M488" s="255"/>
      <c r="N488" s="255"/>
      <c r="O488" s="256"/>
      <c r="P488" s="255"/>
      <c r="Q488" s="255"/>
      <c r="R488" s="256"/>
      <c r="S488" s="256"/>
      <c r="T488" s="255"/>
      <c r="U488" s="259"/>
    </row>
    <row r="489">
      <c r="A489" s="255"/>
      <c r="B489" s="255"/>
      <c r="C489" s="256"/>
      <c r="D489" s="255"/>
      <c r="E489" s="255"/>
      <c r="F489" s="255"/>
      <c r="G489" s="256"/>
      <c r="H489" s="255"/>
      <c r="I489" s="255"/>
      <c r="J489" s="255"/>
      <c r="K489" s="256"/>
      <c r="L489" s="255"/>
      <c r="M489" s="255"/>
      <c r="N489" s="255"/>
      <c r="O489" s="256"/>
      <c r="P489" s="255"/>
      <c r="Q489" s="255"/>
      <c r="R489" s="256"/>
      <c r="S489" s="256"/>
      <c r="T489" s="255"/>
      <c r="U489" s="259"/>
    </row>
    <row r="490">
      <c r="A490" s="255"/>
      <c r="B490" s="255"/>
      <c r="C490" s="256"/>
      <c r="D490" s="255"/>
      <c r="E490" s="255"/>
      <c r="F490" s="255"/>
      <c r="G490" s="256"/>
      <c r="H490" s="255"/>
      <c r="I490" s="255"/>
      <c r="J490" s="255"/>
      <c r="K490" s="256"/>
      <c r="L490" s="255"/>
      <c r="M490" s="255"/>
      <c r="N490" s="255"/>
      <c r="O490" s="256"/>
      <c r="P490" s="255"/>
      <c r="Q490" s="255"/>
      <c r="R490" s="256"/>
      <c r="S490" s="256"/>
      <c r="T490" s="255"/>
      <c r="U490" s="259"/>
    </row>
    <row r="491">
      <c r="A491" s="255"/>
      <c r="B491" s="255"/>
      <c r="C491" s="256"/>
      <c r="D491" s="255"/>
      <c r="E491" s="255"/>
      <c r="F491" s="255"/>
      <c r="G491" s="256"/>
      <c r="H491" s="255"/>
      <c r="I491" s="255"/>
      <c r="J491" s="255"/>
      <c r="K491" s="256"/>
      <c r="L491" s="255"/>
      <c r="M491" s="255"/>
      <c r="N491" s="255"/>
      <c r="O491" s="256"/>
      <c r="P491" s="255"/>
      <c r="Q491" s="255"/>
      <c r="R491" s="256"/>
      <c r="S491" s="256"/>
      <c r="T491" s="255"/>
      <c r="U491" s="259"/>
    </row>
    <row r="492">
      <c r="A492" s="255"/>
      <c r="B492" s="255"/>
      <c r="C492" s="256"/>
      <c r="D492" s="255"/>
      <c r="E492" s="255"/>
      <c r="F492" s="255"/>
      <c r="G492" s="256"/>
      <c r="H492" s="255"/>
      <c r="I492" s="255"/>
      <c r="J492" s="255"/>
      <c r="K492" s="256"/>
      <c r="L492" s="255"/>
      <c r="M492" s="255"/>
      <c r="N492" s="255"/>
      <c r="O492" s="256"/>
      <c r="P492" s="255"/>
      <c r="Q492" s="255"/>
      <c r="R492" s="256"/>
      <c r="S492" s="256"/>
      <c r="T492" s="255"/>
      <c r="U492" s="259"/>
    </row>
    <row r="493">
      <c r="A493" s="255"/>
      <c r="B493" s="255"/>
      <c r="C493" s="256"/>
      <c r="D493" s="255"/>
      <c r="E493" s="255"/>
      <c r="F493" s="255"/>
      <c r="G493" s="256"/>
      <c r="H493" s="255"/>
      <c r="I493" s="255"/>
      <c r="J493" s="255"/>
      <c r="K493" s="256"/>
      <c r="L493" s="255"/>
      <c r="M493" s="255"/>
      <c r="N493" s="255"/>
      <c r="O493" s="256"/>
      <c r="P493" s="255"/>
      <c r="Q493" s="255"/>
      <c r="R493" s="256"/>
      <c r="S493" s="256"/>
      <c r="T493" s="255"/>
      <c r="U493" s="259"/>
    </row>
    <row r="494">
      <c r="A494" s="255"/>
      <c r="B494" s="255"/>
      <c r="C494" s="256"/>
      <c r="D494" s="255"/>
      <c r="E494" s="255"/>
      <c r="F494" s="255"/>
      <c r="G494" s="256"/>
      <c r="H494" s="255"/>
      <c r="I494" s="255"/>
      <c r="J494" s="255"/>
      <c r="K494" s="256"/>
      <c r="L494" s="255"/>
      <c r="M494" s="255"/>
      <c r="N494" s="255"/>
      <c r="O494" s="256"/>
      <c r="P494" s="255"/>
      <c r="Q494" s="255"/>
      <c r="R494" s="256"/>
      <c r="S494" s="256"/>
      <c r="T494" s="255"/>
      <c r="U494" s="259"/>
    </row>
    <row r="495">
      <c r="A495" s="255"/>
      <c r="B495" s="255"/>
      <c r="C495" s="256"/>
      <c r="D495" s="255"/>
      <c r="E495" s="255"/>
      <c r="F495" s="255"/>
      <c r="G495" s="256"/>
      <c r="H495" s="255"/>
      <c r="I495" s="255"/>
      <c r="J495" s="255"/>
      <c r="K495" s="256"/>
      <c r="L495" s="255"/>
      <c r="M495" s="255"/>
      <c r="N495" s="255"/>
      <c r="O495" s="256"/>
      <c r="P495" s="255"/>
      <c r="Q495" s="255"/>
      <c r="R495" s="256"/>
      <c r="S495" s="256"/>
      <c r="T495" s="255"/>
      <c r="U495" s="259"/>
    </row>
    <row r="496">
      <c r="A496" s="255"/>
      <c r="B496" s="255"/>
      <c r="C496" s="256"/>
      <c r="D496" s="255"/>
      <c r="E496" s="255"/>
      <c r="F496" s="255"/>
      <c r="G496" s="256"/>
      <c r="H496" s="255"/>
      <c r="I496" s="255"/>
      <c r="J496" s="255"/>
      <c r="K496" s="256"/>
      <c r="L496" s="255"/>
      <c r="M496" s="255"/>
      <c r="N496" s="255"/>
      <c r="O496" s="256"/>
      <c r="P496" s="255"/>
      <c r="Q496" s="255"/>
      <c r="R496" s="256"/>
      <c r="S496" s="256"/>
      <c r="T496" s="255"/>
      <c r="U496" s="259"/>
    </row>
    <row r="497">
      <c r="A497" s="255"/>
      <c r="B497" s="255"/>
      <c r="C497" s="256"/>
      <c r="D497" s="255"/>
      <c r="E497" s="255"/>
      <c r="F497" s="255"/>
      <c r="G497" s="256"/>
      <c r="H497" s="255"/>
      <c r="I497" s="255"/>
      <c r="J497" s="255"/>
      <c r="K497" s="256"/>
      <c r="L497" s="255"/>
      <c r="M497" s="255"/>
      <c r="N497" s="255"/>
      <c r="O497" s="256"/>
      <c r="P497" s="255"/>
      <c r="Q497" s="255"/>
      <c r="R497" s="256"/>
      <c r="S497" s="256"/>
      <c r="T497" s="255"/>
      <c r="U497" s="259"/>
    </row>
    <row r="498">
      <c r="A498" s="255"/>
      <c r="B498" s="255"/>
      <c r="C498" s="256"/>
      <c r="D498" s="255"/>
      <c r="E498" s="255"/>
      <c r="F498" s="255"/>
      <c r="G498" s="256"/>
      <c r="H498" s="255"/>
      <c r="I498" s="255"/>
      <c r="J498" s="255"/>
      <c r="K498" s="256"/>
      <c r="L498" s="255"/>
      <c r="M498" s="255"/>
      <c r="N498" s="255"/>
      <c r="O498" s="256"/>
      <c r="P498" s="255"/>
      <c r="Q498" s="255"/>
      <c r="R498" s="256"/>
      <c r="S498" s="256"/>
      <c r="T498" s="255"/>
      <c r="U498" s="259"/>
    </row>
    <row r="499">
      <c r="A499" s="255"/>
      <c r="B499" s="255"/>
      <c r="C499" s="256"/>
      <c r="D499" s="255"/>
      <c r="E499" s="255"/>
      <c r="F499" s="255"/>
      <c r="G499" s="256"/>
      <c r="H499" s="255"/>
      <c r="I499" s="255"/>
      <c r="J499" s="255"/>
      <c r="K499" s="256"/>
      <c r="L499" s="255"/>
      <c r="M499" s="255"/>
      <c r="N499" s="255"/>
      <c r="O499" s="256"/>
      <c r="P499" s="255"/>
      <c r="Q499" s="255"/>
      <c r="R499" s="256"/>
      <c r="S499" s="256"/>
      <c r="T499" s="255"/>
      <c r="U499" s="259"/>
    </row>
    <row r="500">
      <c r="A500" s="255"/>
      <c r="B500" s="255"/>
      <c r="C500" s="256"/>
      <c r="D500" s="255"/>
      <c r="E500" s="255"/>
      <c r="F500" s="255"/>
      <c r="G500" s="256"/>
      <c r="H500" s="255"/>
      <c r="I500" s="255"/>
      <c r="J500" s="255"/>
      <c r="K500" s="256"/>
      <c r="L500" s="255"/>
      <c r="M500" s="255"/>
      <c r="N500" s="255"/>
      <c r="O500" s="256"/>
      <c r="P500" s="255"/>
      <c r="Q500" s="255"/>
      <c r="R500" s="256"/>
      <c r="S500" s="256"/>
      <c r="T500" s="255"/>
      <c r="U500" s="259"/>
    </row>
    <row r="501">
      <c r="A501" s="255"/>
      <c r="B501" s="255"/>
      <c r="C501" s="256"/>
      <c r="D501" s="255"/>
      <c r="E501" s="255"/>
      <c r="F501" s="255"/>
      <c r="G501" s="256"/>
      <c r="H501" s="255"/>
      <c r="I501" s="255"/>
      <c r="J501" s="255"/>
      <c r="K501" s="256"/>
      <c r="L501" s="255"/>
      <c r="M501" s="255"/>
      <c r="N501" s="255"/>
      <c r="O501" s="256"/>
      <c r="P501" s="255"/>
      <c r="Q501" s="255"/>
      <c r="R501" s="256"/>
      <c r="S501" s="256"/>
      <c r="T501" s="255"/>
      <c r="U501" s="259"/>
    </row>
    <row r="502">
      <c r="A502" s="255"/>
      <c r="B502" s="255"/>
      <c r="C502" s="256"/>
      <c r="D502" s="255"/>
      <c r="E502" s="255"/>
      <c r="F502" s="255"/>
      <c r="G502" s="256"/>
      <c r="H502" s="255"/>
      <c r="I502" s="255"/>
      <c r="J502" s="255"/>
      <c r="K502" s="256"/>
      <c r="L502" s="255"/>
      <c r="M502" s="255"/>
      <c r="N502" s="255"/>
      <c r="O502" s="256"/>
      <c r="P502" s="255"/>
      <c r="Q502" s="255"/>
      <c r="R502" s="256"/>
      <c r="S502" s="256"/>
      <c r="T502" s="255"/>
      <c r="U502" s="259"/>
    </row>
    <row r="503">
      <c r="A503" s="255"/>
      <c r="B503" s="255"/>
      <c r="C503" s="256"/>
      <c r="D503" s="255"/>
      <c r="E503" s="255"/>
      <c r="F503" s="255"/>
      <c r="G503" s="256"/>
      <c r="H503" s="255"/>
      <c r="I503" s="255"/>
      <c r="J503" s="255"/>
      <c r="K503" s="256"/>
      <c r="L503" s="255"/>
      <c r="M503" s="255"/>
      <c r="N503" s="255"/>
      <c r="O503" s="256"/>
      <c r="P503" s="255"/>
      <c r="Q503" s="255"/>
      <c r="R503" s="256"/>
      <c r="S503" s="256"/>
      <c r="T503" s="255"/>
      <c r="U503" s="259"/>
    </row>
    <row r="504">
      <c r="A504" s="255"/>
      <c r="B504" s="255"/>
      <c r="C504" s="256"/>
      <c r="D504" s="255"/>
      <c r="E504" s="255"/>
      <c r="F504" s="255"/>
      <c r="G504" s="256"/>
      <c r="H504" s="255"/>
      <c r="I504" s="255"/>
      <c r="J504" s="255"/>
      <c r="K504" s="256"/>
      <c r="L504" s="255"/>
      <c r="M504" s="255"/>
      <c r="N504" s="255"/>
      <c r="O504" s="256"/>
      <c r="P504" s="255"/>
      <c r="Q504" s="255"/>
      <c r="R504" s="256"/>
      <c r="S504" s="256"/>
      <c r="T504" s="255"/>
      <c r="U504" s="259"/>
    </row>
    <row r="505">
      <c r="A505" s="255"/>
      <c r="B505" s="255"/>
      <c r="C505" s="256"/>
      <c r="D505" s="255"/>
      <c r="E505" s="255"/>
      <c r="F505" s="255"/>
      <c r="G505" s="256"/>
      <c r="H505" s="255"/>
      <c r="I505" s="255"/>
      <c r="J505" s="255"/>
      <c r="K505" s="256"/>
      <c r="L505" s="255"/>
      <c r="M505" s="255"/>
      <c r="N505" s="255"/>
      <c r="O505" s="256"/>
      <c r="P505" s="255"/>
      <c r="Q505" s="255"/>
      <c r="R505" s="256"/>
      <c r="S505" s="256"/>
      <c r="T505" s="255"/>
      <c r="U505" s="259"/>
    </row>
    <row r="506">
      <c r="A506" s="255"/>
      <c r="B506" s="255"/>
      <c r="C506" s="256"/>
      <c r="D506" s="255"/>
      <c r="E506" s="255"/>
      <c r="F506" s="255"/>
      <c r="G506" s="256"/>
      <c r="H506" s="255"/>
      <c r="I506" s="255"/>
      <c r="J506" s="255"/>
      <c r="K506" s="256"/>
      <c r="L506" s="255"/>
      <c r="M506" s="255"/>
      <c r="N506" s="255"/>
      <c r="O506" s="256"/>
      <c r="P506" s="255"/>
      <c r="Q506" s="255"/>
      <c r="R506" s="256"/>
      <c r="S506" s="256"/>
      <c r="T506" s="255"/>
      <c r="U506" s="259"/>
    </row>
    <row r="507">
      <c r="A507" s="255"/>
      <c r="B507" s="255"/>
      <c r="C507" s="256"/>
      <c r="D507" s="255"/>
      <c r="E507" s="255"/>
      <c r="F507" s="255"/>
      <c r="G507" s="256"/>
      <c r="H507" s="255"/>
      <c r="I507" s="255"/>
      <c r="J507" s="255"/>
      <c r="K507" s="256"/>
      <c r="L507" s="255"/>
      <c r="M507" s="255"/>
      <c r="N507" s="255"/>
      <c r="O507" s="256"/>
      <c r="P507" s="255"/>
      <c r="Q507" s="255"/>
      <c r="R507" s="256"/>
      <c r="S507" s="256"/>
      <c r="T507" s="255"/>
      <c r="U507" s="259"/>
    </row>
    <row r="508">
      <c r="A508" s="255"/>
      <c r="B508" s="255"/>
      <c r="C508" s="256"/>
      <c r="D508" s="255"/>
      <c r="E508" s="255"/>
      <c r="F508" s="255"/>
      <c r="G508" s="256"/>
      <c r="H508" s="255"/>
      <c r="I508" s="255"/>
      <c r="J508" s="255"/>
      <c r="K508" s="256"/>
      <c r="L508" s="255"/>
      <c r="M508" s="255"/>
      <c r="N508" s="255"/>
      <c r="O508" s="256"/>
      <c r="P508" s="255"/>
      <c r="Q508" s="255"/>
      <c r="R508" s="256"/>
      <c r="S508" s="256"/>
      <c r="T508" s="255"/>
      <c r="U508" s="259"/>
    </row>
    <row r="509">
      <c r="A509" s="255"/>
      <c r="B509" s="255"/>
      <c r="C509" s="256"/>
      <c r="D509" s="255"/>
      <c r="E509" s="255"/>
      <c r="F509" s="255"/>
      <c r="G509" s="256"/>
      <c r="H509" s="255"/>
      <c r="I509" s="255"/>
      <c r="J509" s="255"/>
      <c r="K509" s="256"/>
      <c r="L509" s="255"/>
      <c r="M509" s="255"/>
      <c r="N509" s="255"/>
      <c r="O509" s="256"/>
      <c r="P509" s="255"/>
      <c r="Q509" s="255"/>
      <c r="R509" s="256"/>
      <c r="S509" s="256"/>
      <c r="T509" s="255"/>
      <c r="U509" s="259"/>
    </row>
    <row r="510">
      <c r="A510" s="255"/>
      <c r="B510" s="255"/>
      <c r="C510" s="256"/>
      <c r="D510" s="255"/>
      <c r="E510" s="255"/>
      <c r="F510" s="255"/>
      <c r="G510" s="256"/>
      <c r="H510" s="255"/>
      <c r="I510" s="255"/>
      <c r="J510" s="255"/>
      <c r="K510" s="256"/>
      <c r="L510" s="255"/>
      <c r="M510" s="255"/>
      <c r="N510" s="255"/>
      <c r="O510" s="256"/>
      <c r="P510" s="255"/>
      <c r="Q510" s="255"/>
      <c r="R510" s="256"/>
      <c r="S510" s="256"/>
      <c r="T510" s="255"/>
      <c r="U510" s="259"/>
    </row>
    <row r="511">
      <c r="A511" s="255"/>
      <c r="B511" s="255"/>
      <c r="C511" s="256"/>
      <c r="D511" s="255"/>
      <c r="E511" s="255"/>
      <c r="F511" s="255"/>
      <c r="G511" s="256"/>
      <c r="H511" s="255"/>
      <c r="I511" s="255"/>
      <c r="J511" s="255"/>
      <c r="K511" s="256"/>
      <c r="L511" s="255"/>
      <c r="M511" s="255"/>
      <c r="N511" s="255"/>
      <c r="O511" s="256"/>
      <c r="P511" s="255"/>
      <c r="Q511" s="255"/>
      <c r="R511" s="256"/>
      <c r="S511" s="256"/>
      <c r="T511" s="255"/>
      <c r="U511" s="259"/>
    </row>
    <row r="512">
      <c r="A512" s="255"/>
      <c r="B512" s="255"/>
      <c r="C512" s="256"/>
      <c r="D512" s="255"/>
      <c r="E512" s="255"/>
      <c r="F512" s="255"/>
      <c r="G512" s="256"/>
      <c r="H512" s="255"/>
      <c r="I512" s="255"/>
      <c r="J512" s="255"/>
      <c r="K512" s="256"/>
      <c r="L512" s="255"/>
      <c r="M512" s="255"/>
      <c r="N512" s="255"/>
      <c r="O512" s="256"/>
      <c r="P512" s="255"/>
      <c r="Q512" s="255"/>
      <c r="R512" s="256"/>
      <c r="S512" s="256"/>
      <c r="T512" s="255"/>
      <c r="U512" s="259"/>
    </row>
    <row r="513">
      <c r="A513" s="255"/>
      <c r="B513" s="255"/>
      <c r="C513" s="256"/>
      <c r="D513" s="255"/>
      <c r="E513" s="255"/>
      <c r="F513" s="255"/>
      <c r="G513" s="256"/>
      <c r="H513" s="255"/>
      <c r="I513" s="255"/>
      <c r="J513" s="255"/>
      <c r="K513" s="256"/>
      <c r="L513" s="255"/>
      <c r="M513" s="255"/>
      <c r="N513" s="255"/>
      <c r="O513" s="256"/>
      <c r="P513" s="255"/>
      <c r="Q513" s="255"/>
      <c r="R513" s="256"/>
      <c r="S513" s="256"/>
      <c r="T513" s="255"/>
      <c r="U513" s="259"/>
    </row>
    <row r="514">
      <c r="A514" s="255"/>
      <c r="B514" s="255"/>
      <c r="C514" s="256"/>
      <c r="D514" s="255"/>
      <c r="E514" s="255"/>
      <c r="F514" s="255"/>
      <c r="G514" s="256"/>
      <c r="H514" s="255"/>
      <c r="I514" s="255"/>
      <c r="J514" s="255"/>
      <c r="K514" s="256"/>
      <c r="L514" s="255"/>
      <c r="M514" s="255"/>
      <c r="N514" s="255"/>
      <c r="O514" s="256"/>
      <c r="P514" s="255"/>
      <c r="Q514" s="255"/>
      <c r="R514" s="256"/>
      <c r="S514" s="256"/>
      <c r="T514" s="255"/>
      <c r="U514" s="259"/>
    </row>
    <row r="515">
      <c r="A515" s="255"/>
      <c r="B515" s="255"/>
      <c r="C515" s="256"/>
      <c r="D515" s="255"/>
      <c r="E515" s="255"/>
      <c r="F515" s="255"/>
      <c r="G515" s="256"/>
      <c r="H515" s="255"/>
      <c r="I515" s="255"/>
      <c r="J515" s="255"/>
      <c r="K515" s="256"/>
      <c r="L515" s="255"/>
      <c r="M515" s="255"/>
      <c r="N515" s="255"/>
      <c r="O515" s="256"/>
      <c r="P515" s="255"/>
      <c r="Q515" s="255"/>
      <c r="R515" s="256"/>
      <c r="S515" s="256"/>
      <c r="T515" s="255"/>
      <c r="U515" s="259"/>
    </row>
    <row r="516">
      <c r="A516" s="255"/>
      <c r="B516" s="255"/>
      <c r="C516" s="256"/>
      <c r="D516" s="255"/>
      <c r="E516" s="255"/>
      <c r="F516" s="255"/>
      <c r="G516" s="256"/>
      <c r="H516" s="255"/>
      <c r="I516" s="255"/>
      <c r="J516" s="255"/>
      <c r="K516" s="256"/>
      <c r="L516" s="255"/>
      <c r="M516" s="255"/>
      <c r="N516" s="255"/>
      <c r="O516" s="256"/>
      <c r="P516" s="255"/>
      <c r="Q516" s="255"/>
      <c r="R516" s="256"/>
      <c r="S516" s="256"/>
      <c r="T516" s="255"/>
      <c r="U516" s="259"/>
    </row>
    <row r="517">
      <c r="A517" s="255"/>
      <c r="B517" s="255"/>
      <c r="C517" s="256"/>
      <c r="D517" s="255"/>
      <c r="E517" s="255"/>
      <c r="F517" s="255"/>
      <c r="G517" s="256"/>
      <c r="H517" s="255"/>
      <c r="I517" s="255"/>
      <c r="J517" s="255"/>
      <c r="K517" s="256"/>
      <c r="L517" s="255"/>
      <c r="M517" s="255"/>
      <c r="N517" s="255"/>
      <c r="O517" s="256"/>
      <c r="P517" s="255"/>
      <c r="Q517" s="255"/>
      <c r="R517" s="256"/>
      <c r="S517" s="256"/>
      <c r="T517" s="255"/>
      <c r="U517" s="259"/>
    </row>
    <row r="518">
      <c r="A518" s="255"/>
      <c r="B518" s="255"/>
      <c r="C518" s="256"/>
      <c r="D518" s="255"/>
      <c r="E518" s="255"/>
      <c r="F518" s="255"/>
      <c r="G518" s="256"/>
      <c r="H518" s="255"/>
      <c r="I518" s="255"/>
      <c r="J518" s="255"/>
      <c r="K518" s="256"/>
      <c r="L518" s="255"/>
      <c r="M518" s="255"/>
      <c r="N518" s="255"/>
      <c r="O518" s="256"/>
      <c r="P518" s="255"/>
      <c r="Q518" s="255"/>
      <c r="R518" s="256"/>
      <c r="S518" s="256"/>
      <c r="T518" s="255"/>
      <c r="U518" s="259"/>
    </row>
    <row r="519">
      <c r="A519" s="255"/>
      <c r="B519" s="255"/>
      <c r="C519" s="256"/>
      <c r="D519" s="255"/>
      <c r="E519" s="255"/>
      <c r="F519" s="255"/>
      <c r="G519" s="256"/>
      <c r="H519" s="255"/>
      <c r="I519" s="255"/>
      <c r="J519" s="255"/>
      <c r="K519" s="256"/>
      <c r="L519" s="255"/>
      <c r="M519" s="255"/>
      <c r="N519" s="255"/>
      <c r="O519" s="256"/>
      <c r="P519" s="255"/>
      <c r="Q519" s="255"/>
      <c r="R519" s="256"/>
      <c r="S519" s="256"/>
      <c r="T519" s="255"/>
      <c r="U519" s="259"/>
    </row>
    <row r="520">
      <c r="A520" s="255"/>
      <c r="B520" s="255"/>
      <c r="C520" s="256"/>
      <c r="D520" s="255"/>
      <c r="E520" s="255"/>
      <c r="F520" s="255"/>
      <c r="G520" s="256"/>
      <c r="H520" s="255"/>
      <c r="I520" s="255"/>
      <c r="J520" s="255"/>
      <c r="K520" s="256"/>
      <c r="L520" s="255"/>
      <c r="M520" s="255"/>
      <c r="N520" s="255"/>
      <c r="O520" s="256"/>
      <c r="P520" s="255"/>
      <c r="Q520" s="255"/>
      <c r="R520" s="256"/>
      <c r="S520" s="256"/>
      <c r="T520" s="255"/>
      <c r="U520" s="259"/>
    </row>
    <row r="521">
      <c r="A521" s="255"/>
      <c r="B521" s="255"/>
      <c r="C521" s="256"/>
      <c r="D521" s="255"/>
      <c r="E521" s="255"/>
      <c r="F521" s="255"/>
      <c r="G521" s="256"/>
      <c r="H521" s="255"/>
      <c r="I521" s="255"/>
      <c r="J521" s="255"/>
      <c r="K521" s="256"/>
      <c r="L521" s="255"/>
      <c r="M521" s="255"/>
      <c r="N521" s="255"/>
      <c r="O521" s="256"/>
      <c r="P521" s="255"/>
      <c r="Q521" s="255"/>
      <c r="R521" s="256"/>
      <c r="S521" s="256"/>
      <c r="T521" s="255"/>
      <c r="U521" s="259"/>
    </row>
    <row r="522">
      <c r="A522" s="255"/>
      <c r="B522" s="255"/>
      <c r="C522" s="256"/>
      <c r="D522" s="255"/>
      <c r="E522" s="255"/>
      <c r="F522" s="255"/>
      <c r="G522" s="256"/>
      <c r="H522" s="255"/>
      <c r="I522" s="255"/>
      <c r="J522" s="255"/>
      <c r="K522" s="256"/>
      <c r="L522" s="255"/>
      <c r="M522" s="255"/>
      <c r="N522" s="255"/>
      <c r="O522" s="256"/>
      <c r="P522" s="255"/>
      <c r="Q522" s="255"/>
      <c r="R522" s="256"/>
      <c r="S522" s="256"/>
      <c r="T522" s="255"/>
      <c r="U522" s="259"/>
    </row>
    <row r="523">
      <c r="A523" s="255"/>
      <c r="B523" s="255"/>
      <c r="C523" s="256"/>
      <c r="D523" s="255"/>
      <c r="E523" s="255"/>
      <c r="F523" s="255"/>
      <c r="G523" s="256"/>
      <c r="H523" s="255"/>
      <c r="I523" s="255"/>
      <c r="J523" s="255"/>
      <c r="K523" s="256"/>
      <c r="L523" s="255"/>
      <c r="M523" s="255"/>
      <c r="N523" s="255"/>
      <c r="O523" s="256"/>
      <c r="P523" s="255"/>
      <c r="Q523" s="255"/>
      <c r="R523" s="256"/>
      <c r="S523" s="256"/>
      <c r="T523" s="255"/>
      <c r="U523" s="259"/>
    </row>
    <row r="524">
      <c r="A524" s="255"/>
      <c r="B524" s="255"/>
      <c r="C524" s="256"/>
      <c r="D524" s="255"/>
      <c r="E524" s="255"/>
      <c r="F524" s="255"/>
      <c r="G524" s="256"/>
      <c r="H524" s="255"/>
      <c r="I524" s="255"/>
      <c r="J524" s="255"/>
      <c r="K524" s="256"/>
      <c r="L524" s="255"/>
      <c r="M524" s="255"/>
      <c r="N524" s="255"/>
      <c r="O524" s="256"/>
      <c r="P524" s="255"/>
      <c r="Q524" s="255"/>
      <c r="R524" s="256"/>
      <c r="S524" s="256"/>
      <c r="T524" s="255"/>
      <c r="U524" s="259"/>
    </row>
    <row r="525">
      <c r="A525" s="255"/>
      <c r="B525" s="255"/>
      <c r="C525" s="256"/>
      <c r="D525" s="255"/>
      <c r="E525" s="255"/>
      <c r="F525" s="255"/>
      <c r="G525" s="256"/>
      <c r="H525" s="255"/>
      <c r="I525" s="255"/>
      <c r="J525" s="255"/>
      <c r="K525" s="256"/>
      <c r="L525" s="255"/>
      <c r="M525" s="255"/>
      <c r="N525" s="255"/>
      <c r="O525" s="256"/>
      <c r="P525" s="255"/>
      <c r="Q525" s="255"/>
      <c r="R525" s="256"/>
      <c r="S525" s="256"/>
      <c r="T525" s="255"/>
      <c r="U525" s="259"/>
    </row>
    <row r="526">
      <c r="A526" s="255"/>
      <c r="B526" s="255"/>
      <c r="C526" s="256"/>
      <c r="D526" s="255"/>
      <c r="E526" s="255"/>
      <c r="F526" s="255"/>
      <c r="G526" s="256"/>
      <c r="H526" s="255"/>
      <c r="I526" s="255"/>
      <c r="J526" s="255"/>
      <c r="K526" s="256"/>
      <c r="L526" s="255"/>
      <c r="M526" s="255"/>
      <c r="N526" s="255"/>
      <c r="O526" s="256"/>
      <c r="P526" s="255"/>
      <c r="Q526" s="255"/>
      <c r="R526" s="256"/>
      <c r="S526" s="256"/>
      <c r="T526" s="255"/>
      <c r="U526" s="259"/>
    </row>
    <row r="527">
      <c r="A527" s="255"/>
      <c r="B527" s="255"/>
      <c r="C527" s="256"/>
      <c r="D527" s="255"/>
      <c r="E527" s="255"/>
      <c r="F527" s="255"/>
      <c r="G527" s="256"/>
      <c r="H527" s="255"/>
      <c r="I527" s="255"/>
      <c r="J527" s="255"/>
      <c r="K527" s="256"/>
      <c r="L527" s="255"/>
      <c r="M527" s="255"/>
      <c r="N527" s="255"/>
      <c r="O527" s="256"/>
      <c r="P527" s="255"/>
      <c r="Q527" s="255"/>
      <c r="R527" s="256"/>
      <c r="S527" s="256"/>
      <c r="T527" s="255"/>
      <c r="U527" s="259"/>
    </row>
    <row r="528">
      <c r="A528" s="255"/>
      <c r="B528" s="255"/>
      <c r="C528" s="256"/>
      <c r="D528" s="255"/>
      <c r="E528" s="255"/>
      <c r="F528" s="255"/>
      <c r="G528" s="256"/>
      <c r="H528" s="255"/>
      <c r="I528" s="255"/>
      <c r="J528" s="255"/>
      <c r="K528" s="256"/>
      <c r="L528" s="255"/>
      <c r="M528" s="255"/>
      <c r="N528" s="255"/>
      <c r="O528" s="256"/>
      <c r="P528" s="255"/>
      <c r="Q528" s="255"/>
      <c r="R528" s="256"/>
      <c r="S528" s="256"/>
      <c r="T528" s="255"/>
      <c r="U528" s="259"/>
    </row>
    <row r="529">
      <c r="A529" s="255"/>
      <c r="B529" s="255"/>
      <c r="C529" s="256"/>
      <c r="D529" s="255"/>
      <c r="E529" s="255"/>
      <c r="F529" s="255"/>
      <c r="G529" s="256"/>
      <c r="H529" s="255"/>
      <c r="I529" s="255"/>
      <c r="J529" s="255"/>
      <c r="K529" s="256"/>
      <c r="L529" s="255"/>
      <c r="M529" s="255"/>
      <c r="N529" s="255"/>
      <c r="O529" s="256"/>
      <c r="P529" s="255"/>
      <c r="Q529" s="255"/>
      <c r="R529" s="256"/>
      <c r="S529" s="256"/>
      <c r="T529" s="255"/>
      <c r="U529" s="259"/>
    </row>
    <row r="530">
      <c r="A530" s="255"/>
      <c r="B530" s="255"/>
      <c r="C530" s="256"/>
      <c r="D530" s="255"/>
      <c r="E530" s="255"/>
      <c r="F530" s="255"/>
      <c r="G530" s="256"/>
      <c r="H530" s="255"/>
      <c r="I530" s="255"/>
      <c r="J530" s="255"/>
      <c r="K530" s="256"/>
      <c r="L530" s="255"/>
      <c r="M530" s="255"/>
      <c r="N530" s="255"/>
      <c r="O530" s="256"/>
      <c r="P530" s="255"/>
      <c r="Q530" s="255"/>
      <c r="R530" s="256"/>
      <c r="S530" s="256"/>
      <c r="T530" s="255"/>
      <c r="U530" s="259"/>
    </row>
    <row r="531">
      <c r="A531" s="255"/>
      <c r="B531" s="255"/>
      <c r="C531" s="256"/>
      <c r="D531" s="255"/>
      <c r="E531" s="255"/>
      <c r="F531" s="255"/>
      <c r="G531" s="256"/>
      <c r="H531" s="255"/>
      <c r="I531" s="255"/>
      <c r="J531" s="255"/>
      <c r="K531" s="256"/>
      <c r="L531" s="255"/>
      <c r="M531" s="255"/>
      <c r="N531" s="255"/>
      <c r="O531" s="256"/>
      <c r="P531" s="255"/>
      <c r="Q531" s="255"/>
      <c r="R531" s="256"/>
      <c r="S531" s="256"/>
      <c r="T531" s="255"/>
      <c r="U531" s="259"/>
    </row>
    <row r="532">
      <c r="A532" s="255"/>
      <c r="B532" s="255"/>
      <c r="C532" s="256"/>
      <c r="D532" s="255"/>
      <c r="E532" s="255"/>
      <c r="F532" s="255"/>
      <c r="G532" s="256"/>
      <c r="H532" s="255"/>
      <c r="I532" s="255"/>
      <c r="J532" s="255"/>
      <c r="K532" s="256"/>
      <c r="L532" s="255"/>
      <c r="M532" s="255"/>
      <c r="N532" s="255"/>
      <c r="O532" s="256"/>
      <c r="P532" s="255"/>
      <c r="Q532" s="255"/>
      <c r="R532" s="256"/>
      <c r="S532" s="256"/>
      <c r="T532" s="255"/>
      <c r="U532" s="259"/>
    </row>
    <row r="533">
      <c r="A533" s="255"/>
      <c r="B533" s="255"/>
      <c r="C533" s="256"/>
      <c r="D533" s="255"/>
      <c r="E533" s="255"/>
      <c r="F533" s="255"/>
      <c r="G533" s="256"/>
      <c r="H533" s="255"/>
      <c r="I533" s="255"/>
      <c r="J533" s="255"/>
      <c r="K533" s="256"/>
      <c r="L533" s="255"/>
      <c r="M533" s="255"/>
      <c r="N533" s="255"/>
      <c r="O533" s="256"/>
      <c r="P533" s="255"/>
      <c r="Q533" s="255"/>
      <c r="R533" s="256"/>
      <c r="S533" s="256"/>
      <c r="T533" s="255"/>
      <c r="U533" s="259"/>
    </row>
    <row r="534">
      <c r="A534" s="255"/>
      <c r="B534" s="255"/>
      <c r="C534" s="256"/>
      <c r="D534" s="255"/>
      <c r="E534" s="255"/>
      <c r="F534" s="255"/>
      <c r="G534" s="256"/>
      <c r="H534" s="255"/>
      <c r="I534" s="255"/>
      <c r="J534" s="255"/>
      <c r="K534" s="256"/>
      <c r="L534" s="255"/>
      <c r="M534" s="255"/>
      <c r="N534" s="255"/>
      <c r="O534" s="256"/>
      <c r="P534" s="255"/>
      <c r="Q534" s="255"/>
      <c r="R534" s="256"/>
      <c r="S534" s="256"/>
      <c r="T534" s="255"/>
      <c r="U534" s="259"/>
    </row>
    <row r="535">
      <c r="A535" s="255"/>
      <c r="B535" s="255"/>
      <c r="C535" s="256"/>
      <c r="D535" s="255"/>
      <c r="E535" s="255"/>
      <c r="F535" s="255"/>
      <c r="G535" s="256"/>
      <c r="H535" s="255"/>
      <c r="I535" s="255"/>
      <c r="J535" s="255"/>
      <c r="K535" s="256"/>
      <c r="L535" s="255"/>
      <c r="M535" s="255"/>
      <c r="N535" s="255"/>
      <c r="O535" s="256"/>
      <c r="P535" s="255"/>
      <c r="Q535" s="255"/>
      <c r="R535" s="256"/>
      <c r="S535" s="256"/>
      <c r="T535" s="255"/>
      <c r="U535" s="259"/>
    </row>
    <row r="536">
      <c r="A536" s="255"/>
      <c r="B536" s="255"/>
      <c r="C536" s="256"/>
      <c r="D536" s="255"/>
      <c r="E536" s="255"/>
      <c r="F536" s="255"/>
      <c r="G536" s="256"/>
      <c r="H536" s="255"/>
      <c r="I536" s="255"/>
      <c r="J536" s="255"/>
      <c r="K536" s="256"/>
      <c r="L536" s="255"/>
      <c r="M536" s="255"/>
      <c r="N536" s="255"/>
      <c r="O536" s="256"/>
      <c r="P536" s="255"/>
      <c r="Q536" s="255"/>
      <c r="R536" s="256"/>
      <c r="S536" s="256"/>
      <c r="T536" s="255"/>
      <c r="U536" s="259"/>
    </row>
    <row r="537">
      <c r="A537" s="255"/>
      <c r="B537" s="255"/>
      <c r="C537" s="256"/>
      <c r="D537" s="255"/>
      <c r="E537" s="255"/>
      <c r="F537" s="255"/>
      <c r="G537" s="256"/>
      <c r="H537" s="255"/>
      <c r="I537" s="255"/>
      <c r="J537" s="255"/>
      <c r="K537" s="256"/>
      <c r="L537" s="255"/>
      <c r="M537" s="255"/>
      <c r="N537" s="255"/>
      <c r="O537" s="256"/>
      <c r="P537" s="255"/>
      <c r="Q537" s="255"/>
      <c r="R537" s="256"/>
      <c r="S537" s="256"/>
      <c r="T537" s="255"/>
      <c r="U537" s="259"/>
    </row>
    <row r="538">
      <c r="A538" s="255"/>
      <c r="B538" s="255"/>
      <c r="C538" s="256"/>
      <c r="D538" s="255"/>
      <c r="E538" s="255"/>
      <c r="F538" s="255"/>
      <c r="G538" s="256"/>
      <c r="H538" s="255"/>
      <c r="I538" s="255"/>
      <c r="J538" s="255"/>
      <c r="K538" s="256"/>
      <c r="L538" s="255"/>
      <c r="M538" s="255"/>
      <c r="N538" s="255"/>
      <c r="O538" s="256"/>
      <c r="P538" s="255"/>
      <c r="Q538" s="255"/>
      <c r="R538" s="256"/>
      <c r="S538" s="256"/>
      <c r="T538" s="255"/>
      <c r="U538" s="259"/>
    </row>
    <row r="539">
      <c r="A539" s="255"/>
      <c r="B539" s="255"/>
      <c r="C539" s="256"/>
      <c r="D539" s="255"/>
      <c r="E539" s="255"/>
      <c r="F539" s="255"/>
      <c r="G539" s="256"/>
      <c r="H539" s="255"/>
      <c r="I539" s="255"/>
      <c r="J539" s="255"/>
      <c r="K539" s="256"/>
      <c r="L539" s="255"/>
      <c r="M539" s="255"/>
      <c r="N539" s="255"/>
      <c r="O539" s="256"/>
      <c r="P539" s="255"/>
      <c r="Q539" s="255"/>
      <c r="R539" s="256"/>
      <c r="S539" s="256"/>
      <c r="T539" s="255"/>
      <c r="U539" s="259"/>
    </row>
    <row r="540">
      <c r="A540" s="255"/>
      <c r="B540" s="255"/>
      <c r="C540" s="256"/>
      <c r="D540" s="255"/>
      <c r="E540" s="255"/>
      <c r="F540" s="255"/>
      <c r="G540" s="256"/>
      <c r="H540" s="255"/>
      <c r="I540" s="255"/>
      <c r="J540" s="255"/>
      <c r="K540" s="256"/>
      <c r="L540" s="255"/>
      <c r="M540" s="255"/>
      <c r="N540" s="255"/>
      <c r="O540" s="256"/>
      <c r="P540" s="255"/>
      <c r="Q540" s="255"/>
      <c r="R540" s="256"/>
      <c r="S540" s="256"/>
      <c r="T540" s="255"/>
      <c r="U540" s="259"/>
    </row>
    <row r="541">
      <c r="A541" s="255"/>
      <c r="B541" s="255"/>
      <c r="C541" s="256"/>
      <c r="D541" s="255"/>
      <c r="E541" s="255"/>
      <c r="F541" s="255"/>
      <c r="G541" s="256"/>
      <c r="H541" s="255"/>
      <c r="I541" s="255"/>
      <c r="J541" s="255"/>
      <c r="K541" s="256"/>
      <c r="L541" s="255"/>
      <c r="M541" s="255"/>
      <c r="N541" s="255"/>
      <c r="O541" s="256"/>
      <c r="P541" s="255"/>
      <c r="Q541" s="255"/>
      <c r="R541" s="256"/>
      <c r="S541" s="256"/>
      <c r="T541" s="255"/>
      <c r="U541" s="259"/>
    </row>
    <row r="542">
      <c r="A542" s="255"/>
      <c r="B542" s="255"/>
      <c r="C542" s="256"/>
      <c r="D542" s="255"/>
      <c r="E542" s="255"/>
      <c r="F542" s="255"/>
      <c r="G542" s="256"/>
      <c r="H542" s="255"/>
      <c r="I542" s="255"/>
      <c r="J542" s="255"/>
      <c r="K542" s="256"/>
      <c r="L542" s="255"/>
      <c r="M542" s="255"/>
      <c r="N542" s="255"/>
      <c r="O542" s="256"/>
      <c r="P542" s="255"/>
      <c r="Q542" s="255"/>
      <c r="R542" s="256"/>
      <c r="S542" s="256"/>
      <c r="T542" s="255"/>
      <c r="U542" s="259"/>
    </row>
    <row r="543">
      <c r="A543" s="255"/>
      <c r="B543" s="255"/>
      <c r="C543" s="256"/>
      <c r="D543" s="255"/>
      <c r="E543" s="255"/>
      <c r="F543" s="255"/>
      <c r="G543" s="256"/>
      <c r="H543" s="255"/>
      <c r="I543" s="255"/>
      <c r="J543" s="255"/>
      <c r="K543" s="256"/>
      <c r="L543" s="255"/>
      <c r="M543" s="255"/>
      <c r="N543" s="255"/>
      <c r="O543" s="256"/>
      <c r="P543" s="255"/>
      <c r="Q543" s="255"/>
      <c r="R543" s="256"/>
      <c r="S543" s="256"/>
      <c r="T543" s="255"/>
      <c r="U543" s="259"/>
    </row>
    <row r="544">
      <c r="A544" s="255"/>
      <c r="B544" s="255"/>
      <c r="C544" s="256"/>
      <c r="D544" s="255"/>
      <c r="E544" s="255"/>
      <c r="F544" s="255"/>
      <c r="G544" s="256"/>
      <c r="H544" s="255"/>
      <c r="I544" s="255"/>
      <c r="J544" s="255"/>
      <c r="K544" s="256"/>
      <c r="L544" s="255"/>
      <c r="M544" s="255"/>
      <c r="N544" s="255"/>
      <c r="O544" s="256"/>
      <c r="P544" s="255"/>
      <c r="Q544" s="255"/>
      <c r="R544" s="256"/>
      <c r="S544" s="256"/>
      <c r="T544" s="255"/>
      <c r="U544" s="259"/>
    </row>
    <row r="545">
      <c r="A545" s="255"/>
      <c r="B545" s="255"/>
      <c r="C545" s="256"/>
      <c r="D545" s="255"/>
      <c r="E545" s="255"/>
      <c r="F545" s="255"/>
      <c r="G545" s="256"/>
      <c r="H545" s="255"/>
      <c r="I545" s="255"/>
      <c r="J545" s="255"/>
      <c r="K545" s="256"/>
      <c r="L545" s="255"/>
      <c r="M545" s="255"/>
      <c r="N545" s="255"/>
      <c r="O545" s="256"/>
      <c r="P545" s="255"/>
      <c r="Q545" s="255"/>
      <c r="R545" s="256"/>
      <c r="S545" s="256"/>
      <c r="T545" s="255"/>
      <c r="U545" s="259"/>
    </row>
    <row r="546">
      <c r="A546" s="255"/>
      <c r="B546" s="255"/>
      <c r="C546" s="256"/>
      <c r="D546" s="255"/>
      <c r="E546" s="255"/>
      <c r="F546" s="255"/>
      <c r="G546" s="256"/>
      <c r="H546" s="255"/>
      <c r="I546" s="255"/>
      <c r="J546" s="255"/>
      <c r="K546" s="256"/>
      <c r="L546" s="255"/>
      <c r="M546" s="255"/>
      <c r="N546" s="255"/>
      <c r="O546" s="256"/>
      <c r="P546" s="255"/>
      <c r="Q546" s="255"/>
      <c r="R546" s="256"/>
      <c r="S546" s="256"/>
      <c r="T546" s="255"/>
      <c r="U546" s="259"/>
    </row>
    <row r="547">
      <c r="A547" s="255"/>
      <c r="B547" s="255"/>
      <c r="C547" s="256"/>
      <c r="D547" s="255"/>
      <c r="E547" s="255"/>
      <c r="F547" s="255"/>
      <c r="G547" s="256"/>
      <c r="H547" s="255"/>
      <c r="I547" s="255"/>
      <c r="J547" s="255"/>
      <c r="K547" s="256"/>
      <c r="L547" s="255"/>
      <c r="M547" s="255"/>
      <c r="N547" s="255"/>
      <c r="O547" s="256"/>
      <c r="P547" s="255"/>
      <c r="Q547" s="255"/>
      <c r="R547" s="256"/>
      <c r="S547" s="256"/>
      <c r="T547" s="255"/>
      <c r="U547" s="259"/>
    </row>
    <row r="548">
      <c r="A548" s="255"/>
      <c r="B548" s="255"/>
      <c r="C548" s="256"/>
      <c r="D548" s="255"/>
      <c r="E548" s="255"/>
      <c r="F548" s="255"/>
      <c r="G548" s="256"/>
      <c r="H548" s="255"/>
      <c r="I548" s="255"/>
      <c r="J548" s="255"/>
      <c r="K548" s="256"/>
      <c r="L548" s="255"/>
      <c r="M548" s="255"/>
      <c r="N548" s="255"/>
      <c r="O548" s="256"/>
      <c r="P548" s="255"/>
      <c r="Q548" s="255"/>
      <c r="R548" s="256"/>
      <c r="S548" s="256"/>
      <c r="T548" s="255"/>
      <c r="U548" s="259"/>
    </row>
    <row r="549">
      <c r="A549" s="255"/>
      <c r="B549" s="255"/>
      <c r="C549" s="256"/>
      <c r="D549" s="255"/>
      <c r="E549" s="255"/>
      <c r="F549" s="255"/>
      <c r="G549" s="256"/>
      <c r="H549" s="255"/>
      <c r="I549" s="255"/>
      <c r="J549" s="255"/>
      <c r="K549" s="256"/>
      <c r="L549" s="255"/>
      <c r="M549" s="255"/>
      <c r="N549" s="255"/>
      <c r="O549" s="256"/>
      <c r="P549" s="255"/>
      <c r="Q549" s="255"/>
      <c r="R549" s="256"/>
      <c r="S549" s="256"/>
      <c r="T549" s="255"/>
      <c r="U549" s="259"/>
    </row>
    <row r="550">
      <c r="A550" s="255"/>
      <c r="B550" s="255"/>
      <c r="C550" s="256"/>
      <c r="D550" s="255"/>
      <c r="E550" s="255"/>
      <c r="F550" s="255"/>
      <c r="G550" s="256"/>
      <c r="H550" s="255"/>
      <c r="I550" s="255"/>
      <c r="J550" s="255"/>
      <c r="K550" s="256"/>
      <c r="L550" s="255"/>
      <c r="M550" s="255"/>
      <c r="N550" s="255"/>
      <c r="O550" s="256"/>
      <c r="P550" s="255"/>
      <c r="Q550" s="255"/>
      <c r="R550" s="256"/>
      <c r="S550" s="256"/>
      <c r="T550" s="255"/>
      <c r="U550" s="259"/>
    </row>
    <row r="551">
      <c r="A551" s="255"/>
      <c r="B551" s="255"/>
      <c r="C551" s="256"/>
      <c r="D551" s="255"/>
      <c r="E551" s="255"/>
      <c r="F551" s="255"/>
      <c r="G551" s="256"/>
      <c r="H551" s="255"/>
      <c r="I551" s="255"/>
      <c r="J551" s="255"/>
      <c r="K551" s="256"/>
      <c r="L551" s="255"/>
      <c r="M551" s="255"/>
      <c r="N551" s="255"/>
      <c r="O551" s="256"/>
      <c r="P551" s="255"/>
      <c r="Q551" s="255"/>
      <c r="R551" s="256"/>
      <c r="S551" s="256"/>
      <c r="T551" s="255"/>
      <c r="U551" s="259"/>
    </row>
    <row r="552">
      <c r="A552" s="255"/>
      <c r="B552" s="255"/>
      <c r="C552" s="256"/>
      <c r="D552" s="255"/>
      <c r="E552" s="255"/>
      <c r="F552" s="255"/>
      <c r="G552" s="256"/>
      <c r="H552" s="255"/>
      <c r="I552" s="255"/>
      <c r="J552" s="255"/>
      <c r="K552" s="256"/>
      <c r="L552" s="255"/>
      <c r="M552" s="255"/>
      <c r="N552" s="255"/>
      <c r="O552" s="256"/>
      <c r="P552" s="255"/>
      <c r="Q552" s="255"/>
      <c r="R552" s="256"/>
      <c r="S552" s="256"/>
      <c r="T552" s="255"/>
      <c r="U552" s="259"/>
    </row>
    <row r="553">
      <c r="A553" s="255"/>
      <c r="B553" s="255"/>
      <c r="C553" s="256"/>
      <c r="D553" s="255"/>
      <c r="E553" s="255"/>
      <c r="F553" s="255"/>
      <c r="G553" s="256"/>
      <c r="H553" s="255"/>
      <c r="I553" s="255"/>
      <c r="J553" s="255"/>
      <c r="K553" s="256"/>
      <c r="L553" s="255"/>
      <c r="M553" s="255"/>
      <c r="N553" s="255"/>
      <c r="O553" s="256"/>
      <c r="P553" s="255"/>
      <c r="Q553" s="255"/>
      <c r="R553" s="256"/>
      <c r="S553" s="256"/>
      <c r="T553" s="255"/>
      <c r="U553" s="259"/>
    </row>
    <row r="554">
      <c r="A554" s="255"/>
      <c r="B554" s="255"/>
      <c r="C554" s="256"/>
      <c r="D554" s="255"/>
      <c r="E554" s="255"/>
      <c r="F554" s="255"/>
      <c r="G554" s="256"/>
      <c r="H554" s="255"/>
      <c r="I554" s="255"/>
      <c r="J554" s="255"/>
      <c r="K554" s="256"/>
      <c r="L554" s="255"/>
      <c r="M554" s="255"/>
      <c r="N554" s="255"/>
      <c r="O554" s="256"/>
      <c r="P554" s="255"/>
      <c r="Q554" s="255"/>
      <c r="R554" s="256"/>
      <c r="S554" s="256"/>
      <c r="T554" s="255"/>
      <c r="U554" s="259"/>
    </row>
    <row r="555">
      <c r="A555" s="255"/>
      <c r="B555" s="255"/>
      <c r="C555" s="256"/>
      <c r="D555" s="255"/>
      <c r="E555" s="255"/>
      <c r="F555" s="255"/>
      <c r="G555" s="256"/>
      <c r="H555" s="255"/>
      <c r="I555" s="255"/>
      <c r="J555" s="255"/>
      <c r="K555" s="256"/>
      <c r="L555" s="255"/>
      <c r="M555" s="255"/>
      <c r="N555" s="255"/>
      <c r="O555" s="256"/>
      <c r="P555" s="255"/>
      <c r="Q555" s="255"/>
      <c r="R555" s="256"/>
      <c r="S555" s="256"/>
      <c r="T555" s="255"/>
      <c r="U555" s="259"/>
    </row>
    <row r="556">
      <c r="A556" s="255"/>
      <c r="B556" s="255"/>
      <c r="C556" s="256"/>
      <c r="D556" s="255"/>
      <c r="E556" s="255"/>
      <c r="F556" s="255"/>
      <c r="G556" s="256"/>
      <c r="H556" s="255"/>
      <c r="I556" s="255"/>
      <c r="J556" s="255"/>
      <c r="K556" s="256"/>
      <c r="L556" s="255"/>
      <c r="M556" s="255"/>
      <c r="N556" s="255"/>
      <c r="O556" s="256"/>
      <c r="P556" s="255"/>
      <c r="Q556" s="255"/>
      <c r="R556" s="256"/>
      <c r="S556" s="256"/>
      <c r="T556" s="255"/>
      <c r="U556" s="259"/>
    </row>
    <row r="557">
      <c r="A557" s="255"/>
      <c r="B557" s="255"/>
      <c r="C557" s="256"/>
      <c r="D557" s="255"/>
      <c r="E557" s="255"/>
      <c r="F557" s="255"/>
      <c r="G557" s="256"/>
      <c r="H557" s="255"/>
      <c r="I557" s="255"/>
      <c r="J557" s="255"/>
      <c r="K557" s="256"/>
      <c r="L557" s="255"/>
      <c r="M557" s="255"/>
      <c r="N557" s="255"/>
      <c r="O557" s="256"/>
      <c r="P557" s="255"/>
      <c r="Q557" s="255"/>
      <c r="R557" s="256"/>
      <c r="S557" s="256"/>
      <c r="T557" s="255"/>
      <c r="U557" s="259"/>
    </row>
    <row r="558">
      <c r="A558" s="255"/>
      <c r="B558" s="255"/>
      <c r="C558" s="256"/>
      <c r="D558" s="255"/>
      <c r="E558" s="255"/>
      <c r="F558" s="255"/>
      <c r="G558" s="256"/>
      <c r="H558" s="255"/>
      <c r="I558" s="255"/>
      <c r="J558" s="255"/>
      <c r="K558" s="256"/>
      <c r="L558" s="255"/>
      <c r="M558" s="255"/>
      <c r="N558" s="255"/>
      <c r="O558" s="256"/>
      <c r="P558" s="255"/>
      <c r="Q558" s="255"/>
      <c r="R558" s="256"/>
      <c r="S558" s="256"/>
      <c r="T558" s="255"/>
      <c r="U558" s="259"/>
    </row>
    <row r="559">
      <c r="A559" s="255"/>
      <c r="B559" s="255"/>
      <c r="C559" s="256"/>
      <c r="D559" s="255"/>
      <c r="E559" s="255"/>
      <c r="F559" s="255"/>
      <c r="G559" s="256"/>
      <c r="H559" s="255"/>
      <c r="I559" s="255"/>
      <c r="J559" s="255"/>
      <c r="K559" s="256"/>
      <c r="L559" s="255"/>
      <c r="M559" s="255"/>
      <c r="N559" s="255"/>
      <c r="O559" s="256"/>
      <c r="P559" s="255"/>
      <c r="Q559" s="255"/>
      <c r="R559" s="256"/>
      <c r="S559" s="256"/>
      <c r="T559" s="255"/>
      <c r="U559" s="259"/>
    </row>
    <row r="560">
      <c r="A560" s="255"/>
      <c r="B560" s="255"/>
      <c r="C560" s="256"/>
      <c r="D560" s="255"/>
      <c r="E560" s="255"/>
      <c r="F560" s="255"/>
      <c r="G560" s="256"/>
      <c r="H560" s="255"/>
      <c r="I560" s="255"/>
      <c r="J560" s="255"/>
      <c r="K560" s="256"/>
      <c r="L560" s="255"/>
      <c r="M560" s="255"/>
      <c r="N560" s="255"/>
      <c r="O560" s="256"/>
      <c r="P560" s="255"/>
      <c r="Q560" s="255"/>
      <c r="R560" s="256"/>
      <c r="S560" s="256"/>
      <c r="T560" s="255"/>
      <c r="U560" s="259"/>
    </row>
    <row r="561">
      <c r="A561" s="255"/>
      <c r="B561" s="255"/>
      <c r="C561" s="256"/>
      <c r="D561" s="255"/>
      <c r="E561" s="255"/>
      <c r="F561" s="255"/>
      <c r="G561" s="256"/>
      <c r="H561" s="255"/>
      <c r="I561" s="255"/>
      <c r="J561" s="255"/>
      <c r="K561" s="256"/>
      <c r="L561" s="255"/>
      <c r="M561" s="255"/>
      <c r="N561" s="255"/>
      <c r="O561" s="256"/>
      <c r="P561" s="255"/>
      <c r="Q561" s="255"/>
      <c r="R561" s="256"/>
      <c r="S561" s="256"/>
      <c r="T561" s="255"/>
      <c r="U561" s="259"/>
    </row>
    <row r="562">
      <c r="A562" s="255"/>
      <c r="B562" s="255"/>
      <c r="C562" s="256"/>
      <c r="D562" s="255"/>
      <c r="E562" s="255"/>
      <c r="F562" s="255"/>
      <c r="G562" s="256"/>
      <c r="H562" s="255"/>
      <c r="I562" s="255"/>
      <c r="J562" s="255"/>
      <c r="K562" s="256"/>
      <c r="L562" s="255"/>
      <c r="M562" s="255"/>
      <c r="N562" s="255"/>
      <c r="O562" s="256"/>
      <c r="P562" s="255"/>
      <c r="Q562" s="255"/>
      <c r="R562" s="256"/>
      <c r="S562" s="256"/>
      <c r="T562" s="255"/>
      <c r="U562" s="259"/>
    </row>
    <row r="563">
      <c r="A563" s="255"/>
      <c r="B563" s="255"/>
      <c r="C563" s="256"/>
      <c r="D563" s="255"/>
      <c r="E563" s="255"/>
      <c r="F563" s="255"/>
      <c r="G563" s="256"/>
      <c r="H563" s="255"/>
      <c r="I563" s="255"/>
      <c r="J563" s="255"/>
      <c r="K563" s="256"/>
      <c r="L563" s="255"/>
      <c r="M563" s="255"/>
      <c r="N563" s="255"/>
      <c r="O563" s="256"/>
      <c r="P563" s="255"/>
      <c r="Q563" s="255"/>
      <c r="R563" s="256"/>
      <c r="S563" s="256"/>
      <c r="T563" s="255"/>
      <c r="U563" s="259"/>
    </row>
    <row r="564">
      <c r="A564" s="255"/>
      <c r="B564" s="255"/>
      <c r="C564" s="256"/>
      <c r="D564" s="255"/>
      <c r="E564" s="255"/>
      <c r="F564" s="255"/>
      <c r="G564" s="256"/>
      <c r="H564" s="255"/>
      <c r="I564" s="255"/>
      <c r="J564" s="255"/>
      <c r="K564" s="256"/>
      <c r="L564" s="255"/>
      <c r="M564" s="255"/>
      <c r="N564" s="255"/>
      <c r="O564" s="256"/>
      <c r="P564" s="255"/>
      <c r="Q564" s="255"/>
      <c r="R564" s="256"/>
      <c r="S564" s="256"/>
      <c r="T564" s="255"/>
      <c r="U564" s="259"/>
    </row>
    <row r="565">
      <c r="A565" s="255"/>
      <c r="B565" s="255"/>
      <c r="C565" s="256"/>
      <c r="D565" s="255"/>
      <c r="E565" s="255"/>
      <c r="F565" s="255"/>
      <c r="G565" s="256"/>
      <c r="H565" s="255"/>
      <c r="I565" s="255"/>
      <c r="J565" s="255"/>
      <c r="K565" s="256"/>
      <c r="L565" s="255"/>
      <c r="M565" s="255"/>
      <c r="N565" s="255"/>
      <c r="O565" s="256"/>
      <c r="P565" s="255"/>
      <c r="Q565" s="255"/>
      <c r="R565" s="256"/>
      <c r="S565" s="256"/>
      <c r="T565" s="255"/>
      <c r="U565" s="259"/>
    </row>
    <row r="566">
      <c r="A566" s="255"/>
      <c r="B566" s="255"/>
      <c r="C566" s="256"/>
      <c r="D566" s="255"/>
      <c r="E566" s="255"/>
      <c r="F566" s="255"/>
      <c r="G566" s="256"/>
      <c r="H566" s="255"/>
      <c r="I566" s="255"/>
      <c r="J566" s="255"/>
      <c r="K566" s="256"/>
      <c r="L566" s="255"/>
      <c r="M566" s="255"/>
      <c r="N566" s="255"/>
      <c r="O566" s="256"/>
      <c r="P566" s="255"/>
      <c r="Q566" s="255"/>
      <c r="R566" s="256"/>
      <c r="S566" s="256"/>
      <c r="T566" s="255"/>
      <c r="U566" s="259"/>
    </row>
    <row r="567">
      <c r="A567" s="255"/>
      <c r="B567" s="255"/>
      <c r="C567" s="256"/>
      <c r="D567" s="255"/>
      <c r="E567" s="255"/>
      <c r="F567" s="255"/>
      <c r="G567" s="256"/>
      <c r="H567" s="255"/>
      <c r="I567" s="255"/>
      <c r="J567" s="255"/>
      <c r="K567" s="256"/>
      <c r="L567" s="255"/>
      <c r="M567" s="255"/>
      <c r="N567" s="255"/>
      <c r="O567" s="256"/>
      <c r="P567" s="255"/>
      <c r="Q567" s="255"/>
      <c r="R567" s="256"/>
      <c r="S567" s="256"/>
      <c r="T567" s="255"/>
      <c r="U567" s="259"/>
    </row>
    <row r="568">
      <c r="A568" s="255"/>
      <c r="B568" s="255"/>
      <c r="C568" s="256"/>
      <c r="D568" s="255"/>
      <c r="E568" s="255"/>
      <c r="F568" s="255"/>
      <c r="G568" s="256"/>
      <c r="H568" s="255"/>
      <c r="I568" s="255"/>
      <c r="J568" s="255"/>
      <c r="K568" s="256"/>
      <c r="L568" s="255"/>
      <c r="M568" s="255"/>
      <c r="N568" s="255"/>
      <c r="O568" s="256"/>
      <c r="P568" s="255"/>
      <c r="Q568" s="255"/>
      <c r="R568" s="256"/>
      <c r="S568" s="256"/>
      <c r="T568" s="255"/>
      <c r="U568" s="259"/>
    </row>
    <row r="569">
      <c r="A569" s="255"/>
      <c r="B569" s="255"/>
      <c r="C569" s="256"/>
      <c r="D569" s="255"/>
      <c r="E569" s="255"/>
      <c r="F569" s="255"/>
      <c r="G569" s="256"/>
      <c r="H569" s="255"/>
      <c r="I569" s="255"/>
      <c r="J569" s="255"/>
      <c r="K569" s="256"/>
      <c r="L569" s="255"/>
      <c r="M569" s="255"/>
      <c r="N569" s="255"/>
      <c r="O569" s="256"/>
      <c r="P569" s="255"/>
      <c r="Q569" s="255"/>
      <c r="R569" s="256"/>
      <c r="S569" s="256"/>
      <c r="T569" s="255"/>
      <c r="U569" s="259"/>
    </row>
    <row r="570">
      <c r="A570" s="255"/>
      <c r="B570" s="255"/>
      <c r="C570" s="256"/>
      <c r="D570" s="255"/>
      <c r="E570" s="255"/>
      <c r="F570" s="255"/>
      <c r="G570" s="256"/>
      <c r="H570" s="255"/>
      <c r="I570" s="255"/>
      <c r="J570" s="255"/>
      <c r="K570" s="256"/>
      <c r="L570" s="255"/>
      <c r="M570" s="255"/>
      <c r="N570" s="255"/>
      <c r="O570" s="256"/>
      <c r="P570" s="255"/>
      <c r="Q570" s="255"/>
      <c r="R570" s="256"/>
      <c r="S570" s="256"/>
      <c r="T570" s="255"/>
      <c r="U570" s="259"/>
    </row>
    <row r="571">
      <c r="A571" s="255"/>
      <c r="B571" s="255"/>
      <c r="C571" s="256"/>
      <c r="D571" s="255"/>
      <c r="E571" s="255"/>
      <c r="F571" s="255"/>
      <c r="G571" s="256"/>
      <c r="H571" s="255"/>
      <c r="I571" s="255"/>
      <c r="J571" s="255"/>
      <c r="K571" s="256"/>
      <c r="L571" s="255"/>
      <c r="M571" s="255"/>
      <c r="N571" s="255"/>
      <c r="O571" s="256"/>
      <c r="P571" s="255"/>
      <c r="Q571" s="255"/>
      <c r="R571" s="256"/>
      <c r="S571" s="256"/>
      <c r="T571" s="255"/>
      <c r="U571" s="259"/>
    </row>
    <row r="572">
      <c r="A572" s="255"/>
      <c r="B572" s="255"/>
      <c r="C572" s="256"/>
      <c r="D572" s="255"/>
      <c r="E572" s="255"/>
      <c r="F572" s="255"/>
      <c r="G572" s="256"/>
      <c r="H572" s="255"/>
      <c r="I572" s="255"/>
      <c r="J572" s="255"/>
      <c r="K572" s="256"/>
      <c r="L572" s="255"/>
      <c r="M572" s="255"/>
      <c r="N572" s="255"/>
      <c r="O572" s="256"/>
      <c r="P572" s="255"/>
      <c r="Q572" s="255"/>
      <c r="R572" s="256"/>
      <c r="S572" s="256"/>
      <c r="T572" s="255"/>
      <c r="U572" s="259"/>
    </row>
    <row r="573">
      <c r="A573" s="255"/>
      <c r="B573" s="255"/>
      <c r="C573" s="256"/>
      <c r="D573" s="255"/>
      <c r="E573" s="255"/>
      <c r="F573" s="255"/>
      <c r="G573" s="256"/>
      <c r="H573" s="255"/>
      <c r="I573" s="255"/>
      <c r="J573" s="255"/>
      <c r="K573" s="256"/>
      <c r="L573" s="255"/>
      <c r="M573" s="255"/>
      <c r="N573" s="255"/>
      <c r="O573" s="256"/>
      <c r="P573" s="255"/>
      <c r="Q573" s="255"/>
      <c r="R573" s="256"/>
      <c r="S573" s="256"/>
      <c r="T573" s="255"/>
      <c r="U573" s="259"/>
    </row>
    <row r="574">
      <c r="A574" s="255"/>
      <c r="B574" s="255"/>
      <c r="C574" s="256"/>
      <c r="D574" s="255"/>
      <c r="E574" s="255"/>
      <c r="F574" s="255"/>
      <c r="G574" s="256"/>
      <c r="H574" s="255"/>
      <c r="I574" s="255"/>
      <c r="J574" s="255"/>
      <c r="K574" s="256"/>
      <c r="L574" s="255"/>
      <c r="M574" s="255"/>
      <c r="N574" s="255"/>
      <c r="O574" s="256"/>
      <c r="P574" s="255"/>
      <c r="Q574" s="255"/>
      <c r="R574" s="256"/>
      <c r="S574" s="256"/>
      <c r="T574" s="255"/>
      <c r="U574" s="259"/>
    </row>
    <row r="575">
      <c r="A575" s="255"/>
      <c r="B575" s="255"/>
      <c r="C575" s="256"/>
      <c r="D575" s="255"/>
      <c r="E575" s="255"/>
      <c r="F575" s="255"/>
      <c r="G575" s="256"/>
      <c r="H575" s="255"/>
      <c r="I575" s="255"/>
      <c r="J575" s="255"/>
      <c r="K575" s="256"/>
      <c r="L575" s="255"/>
      <c r="M575" s="255"/>
      <c r="N575" s="255"/>
      <c r="O575" s="256"/>
      <c r="P575" s="255"/>
      <c r="Q575" s="255"/>
      <c r="R575" s="256"/>
      <c r="S575" s="256"/>
      <c r="T575" s="255"/>
      <c r="U575" s="259"/>
    </row>
    <row r="576">
      <c r="A576" s="255"/>
      <c r="B576" s="255"/>
      <c r="C576" s="256"/>
      <c r="D576" s="255"/>
      <c r="E576" s="255"/>
      <c r="F576" s="255"/>
      <c r="G576" s="256"/>
      <c r="H576" s="255"/>
      <c r="I576" s="255"/>
      <c r="J576" s="255"/>
      <c r="K576" s="256"/>
      <c r="L576" s="255"/>
      <c r="M576" s="255"/>
      <c r="N576" s="255"/>
      <c r="O576" s="256"/>
      <c r="P576" s="255"/>
      <c r="Q576" s="255"/>
      <c r="R576" s="256"/>
      <c r="S576" s="256"/>
      <c r="T576" s="255"/>
      <c r="U576" s="259"/>
    </row>
    <row r="577">
      <c r="A577" s="255"/>
      <c r="B577" s="255"/>
      <c r="C577" s="256"/>
      <c r="D577" s="255"/>
      <c r="E577" s="255"/>
      <c r="F577" s="255"/>
      <c r="G577" s="256"/>
      <c r="H577" s="255"/>
      <c r="I577" s="255"/>
      <c r="J577" s="255"/>
      <c r="K577" s="256"/>
      <c r="L577" s="255"/>
      <c r="M577" s="255"/>
      <c r="N577" s="255"/>
      <c r="O577" s="256"/>
      <c r="P577" s="255"/>
      <c r="Q577" s="255"/>
      <c r="R577" s="256"/>
      <c r="S577" s="256"/>
      <c r="T577" s="255"/>
      <c r="U577" s="259"/>
    </row>
    <row r="578">
      <c r="A578" s="255"/>
      <c r="B578" s="255"/>
      <c r="C578" s="256"/>
      <c r="D578" s="255"/>
      <c r="E578" s="255"/>
      <c r="F578" s="255"/>
      <c r="G578" s="256"/>
      <c r="H578" s="255"/>
      <c r="I578" s="255"/>
      <c r="J578" s="255"/>
      <c r="K578" s="256"/>
      <c r="L578" s="255"/>
      <c r="M578" s="255"/>
      <c r="N578" s="255"/>
      <c r="O578" s="256"/>
      <c r="P578" s="255"/>
      <c r="Q578" s="255"/>
      <c r="R578" s="256"/>
      <c r="S578" s="256"/>
      <c r="T578" s="255"/>
      <c r="U578" s="259"/>
    </row>
    <row r="579">
      <c r="A579" s="255"/>
      <c r="B579" s="255"/>
      <c r="C579" s="256"/>
      <c r="D579" s="255"/>
      <c r="E579" s="255"/>
      <c r="F579" s="255"/>
      <c r="G579" s="256"/>
      <c r="H579" s="255"/>
      <c r="I579" s="255"/>
      <c r="J579" s="255"/>
      <c r="K579" s="256"/>
      <c r="L579" s="255"/>
      <c r="M579" s="255"/>
      <c r="N579" s="255"/>
      <c r="O579" s="256"/>
      <c r="P579" s="255"/>
      <c r="Q579" s="255"/>
      <c r="R579" s="256"/>
      <c r="S579" s="256"/>
      <c r="T579" s="255"/>
      <c r="U579" s="259"/>
    </row>
    <row r="580">
      <c r="A580" s="255"/>
      <c r="B580" s="255"/>
      <c r="C580" s="256"/>
      <c r="D580" s="255"/>
      <c r="E580" s="255"/>
      <c r="F580" s="255"/>
      <c r="G580" s="256"/>
      <c r="H580" s="255"/>
      <c r="I580" s="255"/>
      <c r="J580" s="255"/>
      <c r="K580" s="256"/>
      <c r="L580" s="255"/>
      <c r="M580" s="255"/>
      <c r="N580" s="255"/>
      <c r="O580" s="256"/>
      <c r="P580" s="255"/>
      <c r="Q580" s="255"/>
      <c r="R580" s="256"/>
      <c r="S580" s="256"/>
      <c r="T580" s="255"/>
      <c r="U580" s="259"/>
    </row>
    <row r="581">
      <c r="A581" s="255"/>
      <c r="B581" s="255"/>
      <c r="C581" s="256"/>
      <c r="D581" s="255"/>
      <c r="E581" s="255"/>
      <c r="F581" s="255"/>
      <c r="G581" s="256"/>
      <c r="H581" s="255"/>
      <c r="I581" s="255"/>
      <c r="J581" s="255"/>
      <c r="K581" s="256"/>
      <c r="L581" s="255"/>
      <c r="M581" s="255"/>
      <c r="N581" s="255"/>
      <c r="O581" s="256"/>
      <c r="P581" s="255"/>
      <c r="Q581" s="255"/>
      <c r="R581" s="256"/>
      <c r="S581" s="256"/>
      <c r="T581" s="255"/>
      <c r="U581" s="259"/>
    </row>
    <row r="582">
      <c r="A582" s="255"/>
      <c r="B582" s="255"/>
      <c r="C582" s="256"/>
      <c r="D582" s="255"/>
      <c r="E582" s="255"/>
      <c r="F582" s="255"/>
      <c r="G582" s="256"/>
      <c r="H582" s="255"/>
      <c r="I582" s="255"/>
      <c r="J582" s="255"/>
      <c r="K582" s="256"/>
      <c r="L582" s="255"/>
      <c r="M582" s="255"/>
      <c r="N582" s="255"/>
      <c r="O582" s="256"/>
      <c r="P582" s="255"/>
      <c r="Q582" s="255"/>
      <c r="R582" s="256"/>
      <c r="S582" s="256"/>
      <c r="T582" s="255"/>
      <c r="U582" s="259"/>
    </row>
    <row r="583">
      <c r="A583" s="255"/>
      <c r="B583" s="255"/>
      <c r="C583" s="256"/>
      <c r="D583" s="255"/>
      <c r="E583" s="255"/>
      <c r="F583" s="255"/>
      <c r="G583" s="256"/>
      <c r="H583" s="255"/>
      <c r="I583" s="255"/>
      <c r="J583" s="255"/>
      <c r="K583" s="256"/>
      <c r="L583" s="255"/>
      <c r="M583" s="255"/>
      <c r="N583" s="255"/>
      <c r="O583" s="256"/>
      <c r="P583" s="255"/>
      <c r="Q583" s="255"/>
      <c r="R583" s="256"/>
      <c r="S583" s="256"/>
      <c r="T583" s="255"/>
      <c r="U583" s="259"/>
    </row>
    <row r="584">
      <c r="A584" s="255"/>
      <c r="B584" s="255"/>
      <c r="C584" s="256"/>
      <c r="D584" s="255"/>
      <c r="E584" s="255"/>
      <c r="F584" s="255"/>
      <c r="G584" s="256"/>
      <c r="H584" s="255"/>
      <c r="I584" s="255"/>
      <c r="J584" s="255"/>
      <c r="K584" s="256"/>
      <c r="L584" s="255"/>
      <c r="M584" s="255"/>
      <c r="N584" s="255"/>
      <c r="O584" s="256"/>
      <c r="P584" s="255"/>
      <c r="Q584" s="255"/>
      <c r="R584" s="256"/>
      <c r="S584" s="256"/>
      <c r="T584" s="255"/>
      <c r="U584" s="259"/>
    </row>
    <row r="585">
      <c r="A585" s="255"/>
      <c r="B585" s="255"/>
      <c r="C585" s="256"/>
      <c r="D585" s="255"/>
      <c r="E585" s="255"/>
      <c r="F585" s="255"/>
      <c r="G585" s="256"/>
      <c r="H585" s="255"/>
      <c r="I585" s="255"/>
      <c r="J585" s="255"/>
      <c r="K585" s="256"/>
      <c r="L585" s="255"/>
      <c r="M585" s="255"/>
      <c r="N585" s="255"/>
      <c r="O585" s="256"/>
      <c r="P585" s="255"/>
      <c r="Q585" s="255"/>
      <c r="R585" s="256"/>
      <c r="S585" s="256"/>
      <c r="T585" s="255"/>
      <c r="U585" s="259"/>
    </row>
    <row r="586">
      <c r="A586" s="255"/>
      <c r="B586" s="255"/>
      <c r="C586" s="256"/>
      <c r="D586" s="255"/>
      <c r="E586" s="255"/>
      <c r="F586" s="255"/>
      <c r="G586" s="256"/>
      <c r="H586" s="255"/>
      <c r="I586" s="255"/>
      <c r="J586" s="255"/>
      <c r="K586" s="256"/>
      <c r="L586" s="255"/>
      <c r="M586" s="255"/>
      <c r="N586" s="255"/>
      <c r="O586" s="256"/>
      <c r="P586" s="255"/>
      <c r="Q586" s="255"/>
      <c r="R586" s="256"/>
      <c r="S586" s="256"/>
      <c r="T586" s="255"/>
      <c r="U586" s="259"/>
    </row>
    <row r="587">
      <c r="A587" s="255"/>
      <c r="B587" s="255"/>
      <c r="C587" s="256"/>
      <c r="D587" s="255"/>
      <c r="E587" s="255"/>
      <c r="F587" s="255"/>
      <c r="G587" s="256"/>
      <c r="H587" s="255"/>
      <c r="I587" s="255"/>
      <c r="J587" s="255"/>
      <c r="K587" s="256"/>
      <c r="L587" s="255"/>
      <c r="M587" s="255"/>
      <c r="N587" s="255"/>
      <c r="O587" s="256"/>
      <c r="P587" s="255"/>
      <c r="Q587" s="255"/>
      <c r="R587" s="256"/>
      <c r="S587" s="256"/>
      <c r="T587" s="255"/>
      <c r="U587" s="259"/>
    </row>
    <row r="588">
      <c r="A588" s="255"/>
      <c r="B588" s="255"/>
      <c r="C588" s="256"/>
      <c r="D588" s="255"/>
      <c r="E588" s="255"/>
      <c r="F588" s="255"/>
      <c r="G588" s="256"/>
      <c r="H588" s="255"/>
      <c r="I588" s="255"/>
      <c r="J588" s="255"/>
      <c r="K588" s="256"/>
      <c r="L588" s="255"/>
      <c r="M588" s="255"/>
      <c r="N588" s="255"/>
      <c r="O588" s="256"/>
      <c r="P588" s="255"/>
      <c r="Q588" s="255"/>
      <c r="R588" s="256"/>
      <c r="S588" s="256"/>
      <c r="T588" s="255"/>
      <c r="U588" s="259"/>
    </row>
    <row r="589">
      <c r="A589" s="255"/>
      <c r="B589" s="255"/>
      <c r="C589" s="256"/>
      <c r="D589" s="255"/>
      <c r="E589" s="255"/>
      <c r="F589" s="255"/>
      <c r="G589" s="256"/>
      <c r="H589" s="255"/>
      <c r="I589" s="255"/>
      <c r="J589" s="255"/>
      <c r="K589" s="256"/>
      <c r="L589" s="255"/>
      <c r="M589" s="255"/>
      <c r="N589" s="255"/>
      <c r="O589" s="256"/>
      <c r="P589" s="255"/>
      <c r="Q589" s="255"/>
      <c r="R589" s="256"/>
      <c r="S589" s="256"/>
      <c r="T589" s="255"/>
      <c r="U589" s="259"/>
    </row>
    <row r="590">
      <c r="A590" s="255"/>
      <c r="B590" s="255"/>
      <c r="C590" s="256"/>
      <c r="D590" s="255"/>
      <c r="E590" s="255"/>
      <c r="F590" s="255"/>
      <c r="G590" s="256"/>
      <c r="H590" s="255"/>
      <c r="I590" s="255"/>
      <c r="J590" s="255"/>
      <c r="K590" s="256"/>
      <c r="L590" s="255"/>
      <c r="M590" s="255"/>
      <c r="N590" s="255"/>
      <c r="O590" s="256"/>
      <c r="P590" s="255"/>
      <c r="Q590" s="255"/>
      <c r="R590" s="256"/>
      <c r="S590" s="256"/>
      <c r="T590" s="255"/>
      <c r="U590" s="259"/>
    </row>
    <row r="591">
      <c r="A591" s="255"/>
      <c r="B591" s="255"/>
      <c r="C591" s="256"/>
      <c r="D591" s="255"/>
      <c r="E591" s="255"/>
      <c r="F591" s="255"/>
      <c r="G591" s="256"/>
      <c r="H591" s="255"/>
      <c r="I591" s="255"/>
      <c r="J591" s="255"/>
      <c r="K591" s="256"/>
      <c r="L591" s="255"/>
      <c r="M591" s="255"/>
      <c r="N591" s="255"/>
      <c r="O591" s="256"/>
      <c r="P591" s="255"/>
      <c r="Q591" s="255"/>
      <c r="R591" s="256"/>
      <c r="S591" s="256"/>
      <c r="T591" s="255"/>
      <c r="U591" s="259"/>
    </row>
    <row r="592">
      <c r="A592" s="255"/>
      <c r="B592" s="255"/>
      <c r="C592" s="256"/>
      <c r="D592" s="255"/>
      <c r="E592" s="255"/>
      <c r="F592" s="255"/>
      <c r="G592" s="256"/>
      <c r="H592" s="255"/>
      <c r="I592" s="255"/>
      <c r="J592" s="255"/>
      <c r="K592" s="256"/>
      <c r="L592" s="255"/>
      <c r="M592" s="255"/>
      <c r="N592" s="255"/>
      <c r="O592" s="256"/>
      <c r="P592" s="255"/>
      <c r="Q592" s="255"/>
      <c r="R592" s="256"/>
      <c r="S592" s="256"/>
      <c r="T592" s="255"/>
      <c r="U592" s="259"/>
    </row>
    <row r="593">
      <c r="A593" s="255"/>
      <c r="B593" s="255"/>
      <c r="C593" s="256"/>
      <c r="D593" s="255"/>
      <c r="E593" s="255"/>
      <c r="F593" s="255"/>
      <c r="G593" s="256"/>
      <c r="H593" s="255"/>
      <c r="I593" s="255"/>
      <c r="J593" s="255"/>
      <c r="K593" s="256"/>
      <c r="L593" s="255"/>
      <c r="M593" s="255"/>
      <c r="N593" s="255"/>
      <c r="O593" s="256"/>
      <c r="P593" s="255"/>
      <c r="Q593" s="255"/>
      <c r="R593" s="256"/>
      <c r="S593" s="256"/>
      <c r="T593" s="255"/>
      <c r="U593" s="259"/>
    </row>
    <row r="594">
      <c r="A594" s="255"/>
      <c r="B594" s="255"/>
      <c r="C594" s="256"/>
      <c r="D594" s="255"/>
      <c r="E594" s="255"/>
      <c r="F594" s="255"/>
      <c r="G594" s="256"/>
      <c r="H594" s="255"/>
      <c r="I594" s="255"/>
      <c r="J594" s="255"/>
      <c r="K594" s="256"/>
      <c r="L594" s="255"/>
      <c r="M594" s="255"/>
      <c r="N594" s="255"/>
      <c r="O594" s="256"/>
      <c r="P594" s="255"/>
      <c r="Q594" s="255"/>
      <c r="R594" s="256"/>
      <c r="S594" s="256"/>
      <c r="T594" s="255"/>
      <c r="U594" s="259"/>
    </row>
    <row r="595">
      <c r="A595" s="255"/>
      <c r="B595" s="255"/>
      <c r="C595" s="256"/>
      <c r="D595" s="255"/>
      <c r="E595" s="255"/>
      <c r="F595" s="255"/>
      <c r="G595" s="256"/>
      <c r="H595" s="255"/>
      <c r="I595" s="255"/>
      <c r="J595" s="255"/>
      <c r="K595" s="256"/>
      <c r="L595" s="255"/>
      <c r="M595" s="255"/>
      <c r="N595" s="255"/>
      <c r="O595" s="256"/>
      <c r="P595" s="255"/>
      <c r="Q595" s="255"/>
      <c r="R595" s="256"/>
      <c r="S595" s="256"/>
      <c r="T595" s="255"/>
      <c r="U595" s="259"/>
    </row>
    <row r="596">
      <c r="A596" s="255"/>
      <c r="B596" s="255"/>
      <c r="C596" s="256"/>
      <c r="D596" s="255"/>
      <c r="E596" s="255"/>
      <c r="F596" s="255"/>
      <c r="G596" s="256"/>
      <c r="H596" s="255"/>
      <c r="I596" s="255"/>
      <c r="J596" s="255"/>
      <c r="K596" s="256"/>
      <c r="L596" s="255"/>
      <c r="M596" s="255"/>
      <c r="N596" s="255"/>
      <c r="O596" s="256"/>
      <c r="P596" s="255"/>
      <c r="Q596" s="255"/>
      <c r="R596" s="256"/>
      <c r="S596" s="256"/>
      <c r="T596" s="255"/>
      <c r="U596" s="259"/>
    </row>
    <row r="597">
      <c r="A597" s="255"/>
      <c r="B597" s="255"/>
      <c r="C597" s="256"/>
      <c r="D597" s="255"/>
      <c r="E597" s="255"/>
      <c r="F597" s="255"/>
      <c r="G597" s="256"/>
      <c r="H597" s="255"/>
      <c r="I597" s="255"/>
      <c r="J597" s="255"/>
      <c r="K597" s="256"/>
      <c r="L597" s="255"/>
      <c r="M597" s="255"/>
      <c r="N597" s="255"/>
      <c r="O597" s="256"/>
      <c r="P597" s="255"/>
      <c r="Q597" s="255"/>
      <c r="R597" s="256"/>
      <c r="S597" s="256"/>
      <c r="T597" s="255"/>
      <c r="U597" s="259"/>
    </row>
    <row r="598">
      <c r="A598" s="255"/>
      <c r="B598" s="255"/>
      <c r="C598" s="256"/>
      <c r="D598" s="255"/>
      <c r="E598" s="255"/>
      <c r="F598" s="255"/>
      <c r="G598" s="256"/>
      <c r="H598" s="255"/>
      <c r="I598" s="255"/>
      <c r="J598" s="255"/>
      <c r="K598" s="256"/>
      <c r="L598" s="255"/>
      <c r="M598" s="255"/>
      <c r="N598" s="255"/>
      <c r="O598" s="256"/>
      <c r="P598" s="255"/>
      <c r="Q598" s="255"/>
      <c r="R598" s="256"/>
      <c r="S598" s="256"/>
      <c r="T598" s="255"/>
      <c r="U598" s="259"/>
    </row>
    <row r="599">
      <c r="A599" s="255"/>
      <c r="B599" s="255"/>
      <c r="C599" s="256"/>
      <c r="D599" s="255"/>
      <c r="E599" s="255"/>
      <c r="F599" s="255"/>
      <c r="G599" s="256"/>
      <c r="H599" s="255"/>
      <c r="I599" s="255"/>
      <c r="J599" s="255"/>
      <c r="K599" s="256"/>
      <c r="L599" s="255"/>
      <c r="M599" s="255"/>
      <c r="N599" s="255"/>
      <c r="O599" s="256"/>
      <c r="P599" s="255"/>
      <c r="Q599" s="255"/>
      <c r="R599" s="256"/>
      <c r="S599" s="256"/>
      <c r="T599" s="255"/>
      <c r="U599" s="259"/>
    </row>
    <row r="600">
      <c r="A600" s="255"/>
      <c r="B600" s="255"/>
      <c r="C600" s="256"/>
      <c r="D600" s="255"/>
      <c r="E600" s="255"/>
      <c r="F600" s="255"/>
      <c r="G600" s="256"/>
      <c r="H600" s="255"/>
      <c r="I600" s="255"/>
      <c r="J600" s="255"/>
      <c r="K600" s="256"/>
      <c r="L600" s="255"/>
      <c r="M600" s="255"/>
      <c r="N600" s="255"/>
      <c r="O600" s="256"/>
      <c r="P600" s="255"/>
      <c r="Q600" s="255"/>
      <c r="R600" s="256"/>
      <c r="S600" s="256"/>
      <c r="T600" s="255"/>
      <c r="U600" s="259"/>
    </row>
    <row r="601">
      <c r="A601" s="255"/>
      <c r="B601" s="255"/>
      <c r="C601" s="256"/>
      <c r="D601" s="255"/>
      <c r="E601" s="255"/>
      <c r="F601" s="255"/>
      <c r="G601" s="256"/>
      <c r="H601" s="255"/>
      <c r="I601" s="255"/>
      <c r="J601" s="255"/>
      <c r="K601" s="256"/>
      <c r="L601" s="255"/>
      <c r="M601" s="255"/>
      <c r="N601" s="255"/>
      <c r="O601" s="256"/>
      <c r="P601" s="255"/>
      <c r="Q601" s="255"/>
      <c r="R601" s="256"/>
      <c r="S601" s="256"/>
      <c r="T601" s="255"/>
      <c r="U601" s="259"/>
    </row>
    <row r="602">
      <c r="A602" s="255"/>
      <c r="B602" s="255"/>
      <c r="C602" s="256"/>
      <c r="D602" s="255"/>
      <c r="E602" s="255"/>
      <c r="F602" s="255"/>
      <c r="G602" s="256"/>
      <c r="H602" s="255"/>
      <c r="I602" s="255"/>
      <c r="J602" s="255"/>
      <c r="K602" s="256"/>
      <c r="L602" s="255"/>
      <c r="M602" s="255"/>
      <c r="N602" s="255"/>
      <c r="O602" s="256"/>
      <c r="P602" s="255"/>
      <c r="Q602" s="255"/>
      <c r="R602" s="256"/>
      <c r="S602" s="256"/>
      <c r="T602" s="255"/>
      <c r="U602" s="259"/>
    </row>
    <row r="603">
      <c r="A603" s="255"/>
      <c r="B603" s="255"/>
      <c r="C603" s="256"/>
      <c r="D603" s="255"/>
      <c r="E603" s="255"/>
      <c r="F603" s="255"/>
      <c r="G603" s="256"/>
      <c r="H603" s="255"/>
      <c r="I603" s="255"/>
      <c r="J603" s="255"/>
      <c r="K603" s="256"/>
      <c r="L603" s="255"/>
      <c r="M603" s="255"/>
      <c r="N603" s="255"/>
      <c r="O603" s="256"/>
      <c r="P603" s="255"/>
      <c r="Q603" s="255"/>
      <c r="R603" s="256"/>
      <c r="S603" s="256"/>
      <c r="T603" s="255"/>
      <c r="U603" s="259"/>
    </row>
    <row r="604">
      <c r="A604" s="255"/>
      <c r="B604" s="255"/>
      <c r="C604" s="256"/>
      <c r="D604" s="255"/>
      <c r="E604" s="255"/>
      <c r="F604" s="255"/>
      <c r="G604" s="256"/>
      <c r="H604" s="255"/>
      <c r="I604" s="255"/>
      <c r="J604" s="255"/>
      <c r="K604" s="256"/>
      <c r="L604" s="255"/>
      <c r="M604" s="255"/>
      <c r="N604" s="255"/>
      <c r="O604" s="256"/>
      <c r="P604" s="255"/>
      <c r="Q604" s="255"/>
      <c r="R604" s="256"/>
      <c r="S604" s="256"/>
      <c r="T604" s="255"/>
      <c r="U604" s="259"/>
    </row>
    <row r="605">
      <c r="A605" s="255"/>
      <c r="B605" s="255"/>
      <c r="C605" s="256"/>
      <c r="D605" s="255"/>
      <c r="E605" s="255"/>
      <c r="F605" s="255"/>
      <c r="G605" s="256"/>
      <c r="H605" s="255"/>
      <c r="I605" s="255"/>
      <c r="J605" s="255"/>
      <c r="K605" s="256"/>
      <c r="L605" s="255"/>
      <c r="M605" s="255"/>
      <c r="N605" s="255"/>
      <c r="O605" s="256"/>
      <c r="P605" s="255"/>
      <c r="Q605" s="255"/>
      <c r="R605" s="256"/>
      <c r="S605" s="256"/>
      <c r="T605" s="255"/>
      <c r="U605" s="259"/>
    </row>
    <row r="606">
      <c r="A606" s="255"/>
      <c r="B606" s="255"/>
      <c r="C606" s="256"/>
      <c r="D606" s="255"/>
      <c r="E606" s="255"/>
      <c r="F606" s="255"/>
      <c r="G606" s="256"/>
      <c r="H606" s="255"/>
      <c r="I606" s="255"/>
      <c r="J606" s="255"/>
      <c r="K606" s="256"/>
      <c r="L606" s="255"/>
      <c r="M606" s="255"/>
      <c r="N606" s="255"/>
      <c r="O606" s="256"/>
      <c r="P606" s="255"/>
      <c r="Q606" s="255"/>
      <c r="R606" s="256"/>
      <c r="S606" s="256"/>
      <c r="T606" s="255"/>
      <c r="U606" s="259"/>
    </row>
    <row r="607">
      <c r="A607" s="255"/>
      <c r="B607" s="255"/>
      <c r="C607" s="256"/>
      <c r="D607" s="255"/>
      <c r="E607" s="255"/>
      <c r="F607" s="255"/>
      <c r="G607" s="256"/>
      <c r="H607" s="255"/>
      <c r="I607" s="255"/>
      <c r="J607" s="255"/>
      <c r="K607" s="256"/>
      <c r="L607" s="255"/>
      <c r="M607" s="255"/>
      <c r="N607" s="255"/>
      <c r="O607" s="256"/>
      <c r="P607" s="255"/>
      <c r="Q607" s="255"/>
      <c r="R607" s="256"/>
      <c r="S607" s="256"/>
      <c r="T607" s="255"/>
      <c r="U607" s="259"/>
    </row>
    <row r="608">
      <c r="A608" s="255"/>
      <c r="B608" s="255"/>
      <c r="C608" s="256"/>
      <c r="D608" s="255"/>
      <c r="E608" s="255"/>
      <c r="F608" s="255"/>
      <c r="G608" s="256"/>
      <c r="H608" s="255"/>
      <c r="I608" s="255"/>
      <c r="J608" s="255"/>
      <c r="K608" s="256"/>
      <c r="L608" s="255"/>
      <c r="M608" s="255"/>
      <c r="N608" s="255"/>
      <c r="O608" s="256"/>
      <c r="P608" s="255"/>
      <c r="Q608" s="255"/>
      <c r="R608" s="256"/>
      <c r="S608" s="256"/>
      <c r="T608" s="255"/>
      <c r="U608" s="259"/>
    </row>
    <row r="609">
      <c r="A609" s="255"/>
      <c r="B609" s="255"/>
      <c r="C609" s="256"/>
      <c r="D609" s="255"/>
      <c r="E609" s="255"/>
      <c r="F609" s="255"/>
      <c r="G609" s="256"/>
      <c r="H609" s="255"/>
      <c r="I609" s="255"/>
      <c r="J609" s="255"/>
      <c r="K609" s="256"/>
      <c r="L609" s="255"/>
      <c r="M609" s="255"/>
      <c r="N609" s="255"/>
      <c r="O609" s="256"/>
      <c r="P609" s="255"/>
      <c r="Q609" s="255"/>
      <c r="R609" s="256"/>
      <c r="S609" s="256"/>
      <c r="T609" s="255"/>
      <c r="U609" s="259"/>
    </row>
    <row r="610">
      <c r="A610" s="255"/>
      <c r="B610" s="255"/>
      <c r="C610" s="256"/>
      <c r="D610" s="255"/>
      <c r="E610" s="255"/>
      <c r="F610" s="255"/>
      <c r="G610" s="256"/>
      <c r="H610" s="255"/>
      <c r="I610" s="255"/>
      <c r="J610" s="255"/>
      <c r="K610" s="256"/>
      <c r="L610" s="255"/>
      <c r="M610" s="255"/>
      <c r="N610" s="255"/>
      <c r="O610" s="256"/>
      <c r="P610" s="255"/>
      <c r="Q610" s="255"/>
      <c r="R610" s="256"/>
      <c r="S610" s="256"/>
      <c r="T610" s="255"/>
      <c r="U610" s="259"/>
    </row>
    <row r="611">
      <c r="A611" s="255"/>
      <c r="B611" s="255"/>
      <c r="C611" s="256"/>
      <c r="D611" s="255"/>
      <c r="E611" s="255"/>
      <c r="F611" s="255"/>
      <c r="G611" s="256"/>
      <c r="H611" s="255"/>
      <c r="I611" s="255"/>
      <c r="J611" s="255"/>
      <c r="K611" s="256"/>
      <c r="L611" s="255"/>
      <c r="M611" s="255"/>
      <c r="N611" s="255"/>
      <c r="O611" s="256"/>
      <c r="P611" s="255"/>
      <c r="Q611" s="255"/>
      <c r="R611" s="256"/>
      <c r="S611" s="256"/>
      <c r="T611" s="255"/>
      <c r="U611" s="259"/>
    </row>
    <row r="612">
      <c r="A612" s="255"/>
      <c r="B612" s="255"/>
      <c r="C612" s="256"/>
      <c r="D612" s="255"/>
      <c r="E612" s="255"/>
      <c r="F612" s="255"/>
      <c r="G612" s="256"/>
      <c r="H612" s="255"/>
      <c r="I612" s="255"/>
      <c r="J612" s="255"/>
      <c r="K612" s="256"/>
      <c r="L612" s="255"/>
      <c r="M612" s="255"/>
      <c r="N612" s="255"/>
      <c r="O612" s="256"/>
      <c r="P612" s="255"/>
      <c r="Q612" s="255"/>
      <c r="R612" s="256"/>
      <c r="S612" s="256"/>
      <c r="T612" s="255"/>
      <c r="U612" s="259"/>
    </row>
    <row r="613">
      <c r="A613" s="255"/>
      <c r="B613" s="255"/>
      <c r="C613" s="256"/>
      <c r="D613" s="255"/>
      <c r="E613" s="255"/>
      <c r="F613" s="255"/>
      <c r="G613" s="256"/>
      <c r="H613" s="255"/>
      <c r="I613" s="255"/>
      <c r="J613" s="255"/>
      <c r="K613" s="256"/>
      <c r="L613" s="255"/>
      <c r="M613" s="255"/>
      <c r="N613" s="255"/>
      <c r="O613" s="256"/>
      <c r="P613" s="255"/>
      <c r="Q613" s="255"/>
      <c r="R613" s="256"/>
      <c r="S613" s="256"/>
      <c r="T613" s="255"/>
      <c r="U613" s="259"/>
    </row>
    <row r="614">
      <c r="A614" s="255"/>
      <c r="B614" s="255"/>
      <c r="C614" s="256"/>
      <c r="D614" s="255"/>
      <c r="E614" s="255"/>
      <c r="F614" s="255"/>
      <c r="G614" s="256"/>
      <c r="H614" s="255"/>
      <c r="I614" s="255"/>
      <c r="J614" s="255"/>
      <c r="K614" s="256"/>
      <c r="L614" s="255"/>
      <c r="M614" s="255"/>
      <c r="N614" s="255"/>
      <c r="O614" s="256"/>
      <c r="P614" s="255"/>
      <c r="Q614" s="255"/>
      <c r="R614" s="256"/>
      <c r="S614" s="256"/>
      <c r="T614" s="255"/>
      <c r="U614" s="259"/>
    </row>
    <row r="615">
      <c r="A615" s="255"/>
      <c r="B615" s="255"/>
      <c r="C615" s="256"/>
      <c r="D615" s="255"/>
      <c r="E615" s="255"/>
      <c r="F615" s="255"/>
      <c r="G615" s="256"/>
      <c r="H615" s="255"/>
      <c r="I615" s="255"/>
      <c r="J615" s="255"/>
      <c r="K615" s="256"/>
      <c r="L615" s="255"/>
      <c r="M615" s="255"/>
      <c r="N615" s="255"/>
      <c r="O615" s="256"/>
      <c r="P615" s="255"/>
      <c r="Q615" s="255"/>
      <c r="R615" s="256"/>
      <c r="S615" s="256"/>
      <c r="T615" s="255"/>
      <c r="U615" s="259"/>
    </row>
    <row r="616">
      <c r="A616" s="255"/>
      <c r="B616" s="255"/>
      <c r="C616" s="256"/>
      <c r="D616" s="255"/>
      <c r="E616" s="255"/>
      <c r="F616" s="255"/>
      <c r="G616" s="256"/>
      <c r="H616" s="255"/>
      <c r="I616" s="255"/>
      <c r="J616" s="255"/>
      <c r="K616" s="256"/>
      <c r="L616" s="255"/>
      <c r="M616" s="255"/>
      <c r="N616" s="255"/>
      <c r="O616" s="256"/>
      <c r="P616" s="255"/>
      <c r="Q616" s="255"/>
      <c r="R616" s="256"/>
      <c r="S616" s="256"/>
      <c r="T616" s="255"/>
      <c r="U616" s="259"/>
    </row>
    <row r="617">
      <c r="A617" s="255"/>
      <c r="B617" s="255"/>
      <c r="C617" s="256"/>
      <c r="D617" s="255"/>
      <c r="E617" s="255"/>
      <c r="F617" s="255"/>
      <c r="G617" s="256"/>
      <c r="H617" s="255"/>
      <c r="I617" s="255"/>
      <c r="J617" s="255"/>
      <c r="K617" s="256"/>
      <c r="L617" s="255"/>
      <c r="M617" s="255"/>
      <c r="N617" s="255"/>
      <c r="O617" s="256"/>
      <c r="P617" s="255"/>
      <c r="Q617" s="255"/>
      <c r="R617" s="256"/>
      <c r="S617" s="256"/>
      <c r="T617" s="255"/>
      <c r="U617" s="259"/>
    </row>
    <row r="618">
      <c r="A618" s="255"/>
      <c r="B618" s="255"/>
      <c r="C618" s="256"/>
      <c r="D618" s="255"/>
      <c r="E618" s="255"/>
      <c r="F618" s="255"/>
      <c r="G618" s="256"/>
      <c r="H618" s="255"/>
      <c r="I618" s="255"/>
      <c r="J618" s="255"/>
      <c r="K618" s="256"/>
      <c r="L618" s="255"/>
      <c r="M618" s="255"/>
      <c r="N618" s="255"/>
      <c r="O618" s="256"/>
      <c r="P618" s="255"/>
      <c r="Q618" s="255"/>
      <c r="R618" s="256"/>
      <c r="S618" s="256"/>
      <c r="T618" s="255"/>
      <c r="U618" s="259"/>
    </row>
    <row r="619">
      <c r="A619" s="255"/>
      <c r="B619" s="255"/>
      <c r="C619" s="256"/>
      <c r="D619" s="255"/>
      <c r="E619" s="255"/>
      <c r="F619" s="255"/>
      <c r="G619" s="256"/>
      <c r="H619" s="255"/>
      <c r="I619" s="255"/>
      <c r="J619" s="255"/>
      <c r="K619" s="256"/>
      <c r="L619" s="255"/>
      <c r="M619" s="255"/>
      <c r="N619" s="255"/>
      <c r="O619" s="256"/>
      <c r="P619" s="255"/>
      <c r="Q619" s="255"/>
      <c r="R619" s="256"/>
      <c r="S619" s="256"/>
      <c r="T619" s="255"/>
      <c r="U619" s="259"/>
    </row>
    <row r="620">
      <c r="A620" s="255"/>
      <c r="B620" s="255"/>
      <c r="C620" s="256"/>
      <c r="D620" s="255"/>
      <c r="E620" s="255"/>
      <c r="F620" s="255"/>
      <c r="G620" s="256"/>
      <c r="H620" s="255"/>
      <c r="I620" s="255"/>
      <c r="J620" s="255"/>
      <c r="K620" s="256"/>
      <c r="L620" s="255"/>
      <c r="M620" s="255"/>
      <c r="N620" s="255"/>
      <c r="O620" s="256"/>
      <c r="P620" s="255"/>
      <c r="Q620" s="255"/>
      <c r="R620" s="256"/>
      <c r="S620" s="256"/>
      <c r="T620" s="255"/>
      <c r="U620" s="259"/>
    </row>
    <row r="621">
      <c r="A621" s="255"/>
      <c r="B621" s="255"/>
      <c r="C621" s="256"/>
      <c r="D621" s="255"/>
      <c r="E621" s="255"/>
      <c r="F621" s="255"/>
      <c r="G621" s="256"/>
      <c r="H621" s="255"/>
      <c r="I621" s="255"/>
      <c r="J621" s="255"/>
      <c r="K621" s="256"/>
      <c r="L621" s="255"/>
      <c r="M621" s="255"/>
      <c r="N621" s="255"/>
      <c r="O621" s="256"/>
      <c r="P621" s="255"/>
      <c r="Q621" s="255"/>
      <c r="R621" s="256"/>
      <c r="S621" s="256"/>
      <c r="T621" s="255"/>
      <c r="U621" s="259"/>
    </row>
    <row r="622">
      <c r="A622" s="255"/>
      <c r="B622" s="255"/>
      <c r="C622" s="256"/>
      <c r="D622" s="255"/>
      <c r="E622" s="255"/>
      <c r="F622" s="255"/>
      <c r="G622" s="256"/>
      <c r="H622" s="255"/>
      <c r="I622" s="255"/>
      <c r="J622" s="255"/>
      <c r="K622" s="256"/>
      <c r="L622" s="255"/>
      <c r="M622" s="255"/>
      <c r="N622" s="255"/>
      <c r="O622" s="256"/>
      <c r="P622" s="255"/>
      <c r="Q622" s="255"/>
      <c r="R622" s="256"/>
      <c r="S622" s="256"/>
      <c r="T622" s="255"/>
      <c r="U622" s="259"/>
    </row>
    <row r="623">
      <c r="A623" s="255"/>
      <c r="B623" s="255"/>
      <c r="C623" s="256"/>
      <c r="D623" s="255"/>
      <c r="E623" s="255"/>
      <c r="F623" s="255"/>
      <c r="G623" s="256"/>
      <c r="H623" s="255"/>
      <c r="I623" s="255"/>
      <c r="J623" s="255"/>
      <c r="K623" s="256"/>
      <c r="L623" s="255"/>
      <c r="M623" s="255"/>
      <c r="N623" s="255"/>
      <c r="O623" s="256"/>
      <c r="P623" s="255"/>
      <c r="Q623" s="255"/>
      <c r="R623" s="256"/>
      <c r="S623" s="256"/>
      <c r="T623" s="255"/>
      <c r="U623" s="259"/>
    </row>
    <row r="624">
      <c r="A624" s="255"/>
      <c r="B624" s="255"/>
      <c r="C624" s="256"/>
      <c r="D624" s="255"/>
      <c r="E624" s="255"/>
      <c r="F624" s="255"/>
      <c r="G624" s="256"/>
      <c r="H624" s="255"/>
      <c r="I624" s="255"/>
      <c r="J624" s="255"/>
      <c r="K624" s="256"/>
      <c r="L624" s="255"/>
      <c r="M624" s="255"/>
      <c r="N624" s="255"/>
      <c r="O624" s="256"/>
      <c r="P624" s="255"/>
      <c r="Q624" s="255"/>
      <c r="R624" s="256"/>
      <c r="S624" s="256"/>
      <c r="T624" s="255"/>
      <c r="U624" s="259"/>
    </row>
    <row r="625">
      <c r="A625" s="255"/>
      <c r="B625" s="255"/>
      <c r="C625" s="256"/>
      <c r="D625" s="255"/>
      <c r="E625" s="255"/>
      <c r="F625" s="255"/>
      <c r="G625" s="256"/>
      <c r="H625" s="255"/>
      <c r="I625" s="255"/>
      <c r="J625" s="255"/>
      <c r="K625" s="256"/>
      <c r="L625" s="255"/>
      <c r="M625" s="255"/>
      <c r="N625" s="255"/>
      <c r="O625" s="256"/>
      <c r="P625" s="255"/>
      <c r="Q625" s="255"/>
      <c r="R625" s="256"/>
      <c r="S625" s="256"/>
      <c r="T625" s="255"/>
      <c r="U625" s="259"/>
    </row>
    <row r="626">
      <c r="A626" s="255"/>
      <c r="B626" s="255"/>
      <c r="C626" s="256"/>
      <c r="D626" s="255"/>
      <c r="E626" s="255"/>
      <c r="F626" s="255"/>
      <c r="G626" s="256"/>
      <c r="H626" s="255"/>
      <c r="I626" s="255"/>
      <c r="J626" s="255"/>
      <c r="K626" s="256"/>
      <c r="L626" s="255"/>
      <c r="M626" s="255"/>
      <c r="N626" s="255"/>
      <c r="O626" s="256"/>
      <c r="P626" s="255"/>
      <c r="Q626" s="255"/>
      <c r="R626" s="256"/>
      <c r="S626" s="256"/>
      <c r="T626" s="255"/>
      <c r="U626" s="259"/>
    </row>
    <row r="627">
      <c r="A627" s="255"/>
      <c r="B627" s="255"/>
      <c r="C627" s="256"/>
      <c r="D627" s="255"/>
      <c r="E627" s="255"/>
      <c r="F627" s="255"/>
      <c r="G627" s="256"/>
      <c r="H627" s="255"/>
      <c r="I627" s="255"/>
      <c r="J627" s="255"/>
      <c r="K627" s="256"/>
      <c r="L627" s="255"/>
      <c r="M627" s="255"/>
      <c r="N627" s="255"/>
      <c r="O627" s="256"/>
      <c r="P627" s="255"/>
      <c r="Q627" s="255"/>
      <c r="R627" s="256"/>
      <c r="S627" s="256"/>
      <c r="T627" s="255"/>
      <c r="U627" s="259"/>
    </row>
    <row r="628">
      <c r="A628" s="255"/>
      <c r="B628" s="255"/>
      <c r="C628" s="256"/>
      <c r="D628" s="255"/>
      <c r="E628" s="255"/>
      <c r="F628" s="255"/>
      <c r="G628" s="256"/>
      <c r="H628" s="255"/>
      <c r="I628" s="255"/>
      <c r="J628" s="255"/>
      <c r="K628" s="256"/>
      <c r="L628" s="255"/>
      <c r="M628" s="255"/>
      <c r="N628" s="255"/>
      <c r="O628" s="256"/>
      <c r="P628" s="255"/>
      <c r="Q628" s="255"/>
      <c r="R628" s="256"/>
      <c r="S628" s="256"/>
      <c r="T628" s="255"/>
      <c r="U628" s="259"/>
    </row>
    <row r="629">
      <c r="A629" s="255"/>
      <c r="B629" s="255"/>
      <c r="C629" s="256"/>
      <c r="D629" s="255"/>
      <c r="E629" s="255"/>
      <c r="F629" s="255"/>
      <c r="G629" s="256"/>
      <c r="H629" s="255"/>
      <c r="I629" s="255"/>
      <c r="J629" s="255"/>
      <c r="K629" s="256"/>
      <c r="L629" s="255"/>
      <c r="M629" s="255"/>
      <c r="N629" s="255"/>
      <c r="O629" s="256"/>
      <c r="P629" s="255"/>
      <c r="Q629" s="255"/>
      <c r="R629" s="256"/>
      <c r="S629" s="256"/>
      <c r="T629" s="255"/>
      <c r="U629" s="259"/>
    </row>
    <row r="630">
      <c r="A630" s="255"/>
      <c r="B630" s="255"/>
      <c r="C630" s="256"/>
      <c r="D630" s="255"/>
      <c r="E630" s="255"/>
      <c r="F630" s="255"/>
      <c r="G630" s="256"/>
      <c r="H630" s="255"/>
      <c r="I630" s="255"/>
      <c r="J630" s="255"/>
      <c r="K630" s="256"/>
      <c r="L630" s="255"/>
      <c r="M630" s="255"/>
      <c r="N630" s="255"/>
      <c r="O630" s="256"/>
      <c r="P630" s="255"/>
      <c r="Q630" s="255"/>
      <c r="R630" s="256"/>
      <c r="S630" s="256"/>
      <c r="T630" s="255"/>
      <c r="U630" s="259"/>
    </row>
    <row r="631">
      <c r="A631" s="255"/>
      <c r="B631" s="255"/>
      <c r="C631" s="256"/>
      <c r="D631" s="255"/>
      <c r="E631" s="255"/>
      <c r="F631" s="255"/>
      <c r="G631" s="256"/>
      <c r="H631" s="255"/>
      <c r="I631" s="255"/>
      <c r="J631" s="255"/>
      <c r="K631" s="256"/>
      <c r="L631" s="255"/>
      <c r="M631" s="255"/>
      <c r="N631" s="255"/>
      <c r="O631" s="256"/>
      <c r="P631" s="255"/>
      <c r="Q631" s="255"/>
      <c r="R631" s="256"/>
      <c r="S631" s="256"/>
      <c r="T631" s="255"/>
      <c r="U631" s="259"/>
    </row>
    <row r="632">
      <c r="A632" s="255"/>
      <c r="B632" s="255"/>
      <c r="C632" s="256"/>
      <c r="D632" s="255"/>
      <c r="E632" s="255"/>
      <c r="F632" s="255"/>
      <c r="G632" s="256"/>
      <c r="H632" s="255"/>
      <c r="I632" s="255"/>
      <c r="J632" s="255"/>
      <c r="K632" s="256"/>
      <c r="L632" s="255"/>
      <c r="M632" s="255"/>
      <c r="N632" s="255"/>
      <c r="O632" s="256"/>
      <c r="P632" s="255"/>
      <c r="Q632" s="255"/>
      <c r="R632" s="256"/>
      <c r="S632" s="256"/>
      <c r="T632" s="255"/>
      <c r="U632" s="259"/>
    </row>
    <row r="633">
      <c r="A633" s="255"/>
      <c r="B633" s="255"/>
      <c r="C633" s="256"/>
      <c r="D633" s="255"/>
      <c r="E633" s="255"/>
      <c r="F633" s="255"/>
      <c r="G633" s="256"/>
      <c r="H633" s="255"/>
      <c r="I633" s="255"/>
      <c r="J633" s="255"/>
      <c r="K633" s="256"/>
      <c r="L633" s="255"/>
      <c r="M633" s="255"/>
      <c r="N633" s="255"/>
      <c r="O633" s="256"/>
      <c r="P633" s="255"/>
      <c r="Q633" s="255"/>
      <c r="R633" s="256"/>
      <c r="S633" s="256"/>
      <c r="T633" s="255"/>
      <c r="U633" s="259"/>
    </row>
    <row r="634">
      <c r="A634" s="255"/>
      <c r="B634" s="255"/>
      <c r="C634" s="256"/>
      <c r="D634" s="255"/>
      <c r="E634" s="255"/>
      <c r="F634" s="255"/>
      <c r="G634" s="256"/>
      <c r="H634" s="255"/>
      <c r="I634" s="255"/>
      <c r="J634" s="255"/>
      <c r="K634" s="256"/>
      <c r="L634" s="255"/>
      <c r="M634" s="255"/>
      <c r="N634" s="255"/>
      <c r="O634" s="256"/>
      <c r="P634" s="255"/>
      <c r="Q634" s="255"/>
      <c r="R634" s="256"/>
      <c r="S634" s="256"/>
      <c r="T634" s="255"/>
      <c r="U634" s="259"/>
    </row>
    <row r="635">
      <c r="A635" s="255"/>
      <c r="B635" s="255"/>
      <c r="C635" s="256"/>
      <c r="D635" s="255"/>
      <c r="E635" s="255"/>
      <c r="F635" s="255"/>
      <c r="G635" s="256"/>
      <c r="H635" s="255"/>
      <c r="I635" s="255"/>
      <c r="J635" s="255"/>
      <c r="K635" s="256"/>
      <c r="L635" s="255"/>
      <c r="M635" s="255"/>
      <c r="N635" s="255"/>
      <c r="O635" s="256"/>
      <c r="P635" s="255"/>
      <c r="Q635" s="255"/>
      <c r="R635" s="256"/>
      <c r="S635" s="256"/>
      <c r="T635" s="255"/>
      <c r="U635" s="259"/>
    </row>
    <row r="636">
      <c r="A636" s="255"/>
      <c r="B636" s="255"/>
      <c r="C636" s="256"/>
      <c r="D636" s="255"/>
      <c r="E636" s="255"/>
      <c r="F636" s="255"/>
      <c r="G636" s="256"/>
      <c r="H636" s="255"/>
      <c r="I636" s="255"/>
      <c r="J636" s="255"/>
      <c r="K636" s="256"/>
      <c r="L636" s="255"/>
      <c r="M636" s="255"/>
      <c r="N636" s="255"/>
      <c r="O636" s="256"/>
      <c r="P636" s="255"/>
      <c r="Q636" s="255"/>
      <c r="R636" s="256"/>
      <c r="S636" s="256"/>
      <c r="T636" s="255"/>
      <c r="U636" s="259"/>
    </row>
    <row r="637">
      <c r="A637" s="255"/>
      <c r="B637" s="255"/>
      <c r="C637" s="256"/>
      <c r="D637" s="255"/>
      <c r="E637" s="255"/>
      <c r="F637" s="255"/>
      <c r="G637" s="256"/>
      <c r="H637" s="255"/>
      <c r="I637" s="255"/>
      <c r="J637" s="255"/>
      <c r="K637" s="256"/>
      <c r="L637" s="255"/>
      <c r="M637" s="255"/>
      <c r="N637" s="255"/>
      <c r="O637" s="256"/>
      <c r="P637" s="255"/>
      <c r="Q637" s="255"/>
      <c r="R637" s="256"/>
      <c r="S637" s="256"/>
      <c r="T637" s="255"/>
      <c r="U637" s="259"/>
    </row>
    <row r="638">
      <c r="A638" s="255"/>
      <c r="B638" s="255"/>
      <c r="C638" s="256"/>
      <c r="D638" s="255"/>
      <c r="E638" s="255"/>
      <c r="F638" s="255"/>
      <c r="G638" s="256"/>
      <c r="H638" s="255"/>
      <c r="I638" s="255"/>
      <c r="J638" s="255"/>
      <c r="K638" s="256"/>
      <c r="L638" s="255"/>
      <c r="M638" s="255"/>
      <c r="N638" s="255"/>
      <c r="O638" s="256"/>
      <c r="P638" s="255"/>
      <c r="Q638" s="255"/>
      <c r="R638" s="256"/>
      <c r="S638" s="256"/>
      <c r="T638" s="255"/>
      <c r="U638" s="259"/>
    </row>
    <row r="639">
      <c r="A639" s="255"/>
      <c r="B639" s="255"/>
      <c r="C639" s="256"/>
      <c r="D639" s="255"/>
      <c r="E639" s="255"/>
      <c r="F639" s="255"/>
      <c r="G639" s="256"/>
      <c r="H639" s="255"/>
      <c r="I639" s="255"/>
      <c r="J639" s="255"/>
      <c r="K639" s="256"/>
      <c r="L639" s="255"/>
      <c r="M639" s="255"/>
      <c r="N639" s="255"/>
      <c r="O639" s="256"/>
      <c r="P639" s="255"/>
      <c r="Q639" s="255"/>
      <c r="R639" s="256"/>
      <c r="S639" s="256"/>
      <c r="T639" s="255"/>
      <c r="U639" s="259"/>
    </row>
    <row r="640">
      <c r="A640" s="255"/>
      <c r="B640" s="255"/>
      <c r="C640" s="256"/>
      <c r="D640" s="255"/>
      <c r="E640" s="255"/>
      <c r="F640" s="255"/>
      <c r="G640" s="256"/>
      <c r="H640" s="255"/>
      <c r="I640" s="255"/>
      <c r="J640" s="255"/>
      <c r="K640" s="256"/>
      <c r="L640" s="255"/>
      <c r="M640" s="255"/>
      <c r="N640" s="255"/>
      <c r="O640" s="256"/>
      <c r="P640" s="255"/>
      <c r="Q640" s="255"/>
      <c r="R640" s="256"/>
      <c r="S640" s="256"/>
      <c r="T640" s="255"/>
      <c r="U640" s="259"/>
    </row>
    <row r="641">
      <c r="A641" s="255"/>
      <c r="B641" s="255"/>
      <c r="C641" s="256"/>
      <c r="D641" s="255"/>
      <c r="E641" s="255"/>
      <c r="F641" s="255"/>
      <c r="G641" s="256"/>
      <c r="H641" s="255"/>
      <c r="I641" s="255"/>
      <c r="J641" s="255"/>
      <c r="K641" s="256"/>
      <c r="L641" s="255"/>
      <c r="M641" s="255"/>
      <c r="N641" s="255"/>
      <c r="O641" s="256"/>
      <c r="P641" s="255"/>
      <c r="Q641" s="255"/>
      <c r="R641" s="256"/>
      <c r="S641" s="256"/>
      <c r="T641" s="255"/>
      <c r="U641" s="259"/>
    </row>
    <row r="642">
      <c r="A642" s="255"/>
      <c r="B642" s="255"/>
      <c r="C642" s="256"/>
      <c r="D642" s="255"/>
      <c r="E642" s="255"/>
      <c r="F642" s="255"/>
      <c r="G642" s="256"/>
      <c r="H642" s="255"/>
      <c r="I642" s="255"/>
      <c r="J642" s="255"/>
      <c r="K642" s="256"/>
      <c r="L642" s="255"/>
      <c r="M642" s="255"/>
      <c r="N642" s="255"/>
      <c r="O642" s="256"/>
      <c r="P642" s="255"/>
      <c r="Q642" s="255"/>
      <c r="R642" s="256"/>
      <c r="S642" s="256"/>
      <c r="T642" s="255"/>
      <c r="U642" s="259"/>
    </row>
    <row r="643">
      <c r="A643" s="255"/>
      <c r="B643" s="255"/>
      <c r="C643" s="256"/>
      <c r="D643" s="255"/>
      <c r="E643" s="255"/>
      <c r="F643" s="255"/>
      <c r="G643" s="256"/>
      <c r="H643" s="255"/>
      <c r="I643" s="255"/>
      <c r="J643" s="255"/>
      <c r="K643" s="256"/>
      <c r="L643" s="255"/>
      <c r="M643" s="255"/>
      <c r="N643" s="255"/>
      <c r="O643" s="256"/>
      <c r="P643" s="255"/>
      <c r="Q643" s="255"/>
      <c r="R643" s="256"/>
      <c r="S643" s="256"/>
      <c r="T643" s="255"/>
      <c r="U643" s="259"/>
    </row>
    <row r="644">
      <c r="A644" s="255"/>
      <c r="B644" s="255"/>
      <c r="C644" s="256"/>
      <c r="D644" s="255"/>
      <c r="E644" s="255"/>
      <c r="F644" s="255"/>
      <c r="G644" s="256"/>
      <c r="H644" s="255"/>
      <c r="I644" s="255"/>
      <c r="J644" s="255"/>
      <c r="K644" s="256"/>
      <c r="L644" s="255"/>
      <c r="M644" s="255"/>
      <c r="N644" s="255"/>
      <c r="O644" s="256"/>
      <c r="P644" s="255"/>
      <c r="Q644" s="255"/>
      <c r="R644" s="256"/>
      <c r="S644" s="256"/>
      <c r="T644" s="255"/>
      <c r="U644" s="259"/>
    </row>
    <row r="645">
      <c r="A645" s="255"/>
      <c r="B645" s="255"/>
      <c r="C645" s="256"/>
      <c r="D645" s="255"/>
      <c r="E645" s="255"/>
      <c r="F645" s="255"/>
      <c r="G645" s="256"/>
      <c r="H645" s="255"/>
      <c r="I645" s="255"/>
      <c r="J645" s="255"/>
      <c r="K645" s="256"/>
      <c r="L645" s="255"/>
      <c r="M645" s="255"/>
      <c r="N645" s="255"/>
      <c r="O645" s="256"/>
      <c r="P645" s="255"/>
      <c r="Q645" s="255"/>
      <c r="R645" s="256"/>
      <c r="S645" s="256"/>
      <c r="T645" s="255"/>
      <c r="U645" s="259"/>
    </row>
    <row r="646">
      <c r="A646" s="255"/>
      <c r="B646" s="255"/>
      <c r="C646" s="256"/>
      <c r="D646" s="255"/>
      <c r="E646" s="255"/>
      <c r="F646" s="255"/>
      <c r="G646" s="256"/>
      <c r="H646" s="255"/>
      <c r="I646" s="255"/>
      <c r="J646" s="255"/>
      <c r="K646" s="256"/>
      <c r="L646" s="255"/>
      <c r="M646" s="255"/>
      <c r="N646" s="255"/>
      <c r="O646" s="256"/>
      <c r="P646" s="255"/>
      <c r="Q646" s="255"/>
      <c r="R646" s="256"/>
      <c r="S646" s="256"/>
      <c r="T646" s="255"/>
      <c r="U646" s="259"/>
    </row>
    <row r="647">
      <c r="A647" s="255"/>
      <c r="B647" s="255"/>
      <c r="C647" s="256"/>
      <c r="D647" s="255"/>
      <c r="E647" s="255"/>
      <c r="F647" s="255"/>
      <c r="G647" s="256"/>
      <c r="H647" s="255"/>
      <c r="I647" s="255"/>
      <c r="J647" s="255"/>
      <c r="K647" s="256"/>
      <c r="L647" s="255"/>
      <c r="M647" s="255"/>
      <c r="N647" s="255"/>
      <c r="O647" s="256"/>
      <c r="P647" s="255"/>
      <c r="Q647" s="255"/>
      <c r="R647" s="256"/>
      <c r="S647" s="256"/>
      <c r="T647" s="255"/>
      <c r="U647" s="259"/>
    </row>
    <row r="648">
      <c r="A648" s="255"/>
      <c r="B648" s="255"/>
      <c r="C648" s="256"/>
      <c r="D648" s="255"/>
      <c r="E648" s="255"/>
      <c r="F648" s="255"/>
      <c r="G648" s="256"/>
      <c r="H648" s="255"/>
      <c r="I648" s="255"/>
      <c r="J648" s="255"/>
      <c r="K648" s="256"/>
      <c r="L648" s="255"/>
      <c r="M648" s="255"/>
      <c r="N648" s="255"/>
      <c r="O648" s="256"/>
      <c r="P648" s="255"/>
      <c r="Q648" s="255"/>
      <c r="R648" s="256"/>
      <c r="S648" s="256"/>
      <c r="T648" s="255"/>
      <c r="U648" s="259"/>
    </row>
    <row r="649">
      <c r="A649" s="255"/>
      <c r="B649" s="255"/>
      <c r="C649" s="256"/>
      <c r="D649" s="255"/>
      <c r="E649" s="255"/>
      <c r="F649" s="255"/>
      <c r="G649" s="256"/>
      <c r="H649" s="255"/>
      <c r="I649" s="255"/>
      <c r="J649" s="255"/>
      <c r="K649" s="256"/>
      <c r="L649" s="255"/>
      <c r="M649" s="255"/>
      <c r="N649" s="255"/>
      <c r="O649" s="256"/>
      <c r="P649" s="255"/>
      <c r="Q649" s="255"/>
      <c r="R649" s="256"/>
      <c r="S649" s="256"/>
      <c r="T649" s="255"/>
      <c r="U649" s="259"/>
    </row>
    <row r="650">
      <c r="A650" s="255"/>
      <c r="B650" s="255"/>
      <c r="C650" s="256"/>
      <c r="D650" s="255"/>
      <c r="E650" s="255"/>
      <c r="F650" s="255"/>
      <c r="G650" s="256"/>
      <c r="H650" s="255"/>
      <c r="I650" s="255"/>
      <c r="J650" s="255"/>
      <c r="K650" s="256"/>
      <c r="L650" s="255"/>
      <c r="M650" s="255"/>
      <c r="N650" s="255"/>
      <c r="O650" s="256"/>
      <c r="P650" s="255"/>
      <c r="Q650" s="255"/>
      <c r="R650" s="256"/>
      <c r="S650" s="256"/>
      <c r="T650" s="255"/>
      <c r="U650" s="259"/>
    </row>
    <row r="651">
      <c r="A651" s="255"/>
      <c r="B651" s="255"/>
      <c r="C651" s="256"/>
      <c r="D651" s="255"/>
      <c r="E651" s="255"/>
      <c r="F651" s="255"/>
      <c r="G651" s="256"/>
      <c r="H651" s="255"/>
      <c r="I651" s="255"/>
      <c r="J651" s="255"/>
      <c r="K651" s="256"/>
      <c r="L651" s="255"/>
      <c r="M651" s="255"/>
      <c r="N651" s="255"/>
      <c r="O651" s="256"/>
      <c r="P651" s="255"/>
      <c r="Q651" s="255"/>
      <c r="R651" s="256"/>
      <c r="S651" s="256"/>
      <c r="T651" s="255"/>
      <c r="U651" s="259"/>
    </row>
    <row r="652">
      <c r="A652" s="255"/>
      <c r="B652" s="255"/>
      <c r="C652" s="256"/>
      <c r="D652" s="255"/>
      <c r="E652" s="255"/>
      <c r="F652" s="255"/>
      <c r="G652" s="256"/>
      <c r="H652" s="255"/>
      <c r="I652" s="255"/>
      <c r="J652" s="255"/>
      <c r="K652" s="256"/>
      <c r="L652" s="255"/>
      <c r="M652" s="255"/>
      <c r="N652" s="255"/>
      <c r="O652" s="256"/>
      <c r="P652" s="255"/>
      <c r="Q652" s="255"/>
      <c r="R652" s="256"/>
      <c r="S652" s="256"/>
      <c r="T652" s="255"/>
      <c r="U652" s="259"/>
    </row>
    <row r="653">
      <c r="A653" s="255"/>
      <c r="B653" s="255"/>
      <c r="C653" s="256"/>
      <c r="D653" s="255"/>
      <c r="E653" s="255"/>
      <c r="F653" s="255"/>
      <c r="G653" s="256"/>
      <c r="H653" s="255"/>
      <c r="I653" s="255"/>
      <c r="J653" s="255"/>
      <c r="K653" s="256"/>
      <c r="L653" s="255"/>
      <c r="M653" s="255"/>
      <c r="N653" s="255"/>
      <c r="O653" s="256"/>
      <c r="P653" s="255"/>
      <c r="Q653" s="255"/>
      <c r="R653" s="256"/>
      <c r="S653" s="256"/>
      <c r="T653" s="255"/>
      <c r="U653" s="259"/>
    </row>
    <row r="654">
      <c r="A654" s="255"/>
      <c r="B654" s="255"/>
      <c r="C654" s="256"/>
      <c r="D654" s="255"/>
      <c r="E654" s="255"/>
      <c r="F654" s="255"/>
      <c r="G654" s="256"/>
      <c r="H654" s="255"/>
      <c r="I654" s="255"/>
      <c r="J654" s="255"/>
      <c r="K654" s="256"/>
      <c r="L654" s="255"/>
      <c r="M654" s="255"/>
      <c r="N654" s="255"/>
      <c r="O654" s="256"/>
      <c r="P654" s="255"/>
      <c r="Q654" s="255"/>
      <c r="R654" s="256"/>
      <c r="S654" s="256"/>
      <c r="T654" s="255"/>
      <c r="U654" s="259"/>
    </row>
    <row r="655">
      <c r="A655" s="255"/>
      <c r="B655" s="255"/>
      <c r="C655" s="256"/>
      <c r="D655" s="255"/>
      <c r="E655" s="255"/>
      <c r="F655" s="255"/>
      <c r="G655" s="256"/>
      <c r="H655" s="255"/>
      <c r="I655" s="255"/>
      <c r="J655" s="255"/>
      <c r="K655" s="256"/>
      <c r="L655" s="255"/>
      <c r="M655" s="255"/>
      <c r="N655" s="255"/>
      <c r="O655" s="256"/>
      <c r="P655" s="255"/>
      <c r="Q655" s="255"/>
      <c r="R655" s="256"/>
      <c r="S655" s="256"/>
      <c r="T655" s="255"/>
      <c r="U655" s="259"/>
    </row>
    <row r="656">
      <c r="A656" s="255"/>
      <c r="B656" s="255"/>
      <c r="C656" s="256"/>
      <c r="D656" s="255"/>
      <c r="E656" s="255"/>
      <c r="F656" s="255"/>
      <c r="G656" s="256"/>
      <c r="H656" s="255"/>
      <c r="I656" s="255"/>
      <c r="J656" s="255"/>
      <c r="K656" s="256"/>
      <c r="L656" s="255"/>
      <c r="M656" s="255"/>
      <c r="N656" s="255"/>
      <c r="O656" s="256"/>
      <c r="P656" s="255"/>
      <c r="Q656" s="255"/>
      <c r="R656" s="256"/>
      <c r="S656" s="256"/>
      <c r="T656" s="255"/>
      <c r="U656" s="259"/>
    </row>
    <row r="657">
      <c r="A657" s="255"/>
      <c r="B657" s="255"/>
      <c r="C657" s="256"/>
      <c r="D657" s="255"/>
      <c r="E657" s="255"/>
      <c r="F657" s="255"/>
      <c r="G657" s="256"/>
      <c r="H657" s="255"/>
      <c r="I657" s="255"/>
      <c r="J657" s="255"/>
      <c r="K657" s="256"/>
      <c r="L657" s="255"/>
      <c r="M657" s="255"/>
      <c r="N657" s="255"/>
      <c r="O657" s="256"/>
      <c r="P657" s="255"/>
      <c r="Q657" s="255"/>
      <c r="R657" s="256"/>
      <c r="S657" s="256"/>
      <c r="T657" s="255"/>
      <c r="U657" s="259"/>
    </row>
    <row r="658">
      <c r="A658" s="255"/>
      <c r="B658" s="255"/>
      <c r="C658" s="256"/>
      <c r="D658" s="255"/>
      <c r="E658" s="255"/>
      <c r="F658" s="255"/>
      <c r="G658" s="256"/>
      <c r="H658" s="255"/>
      <c r="I658" s="255"/>
      <c r="J658" s="255"/>
      <c r="K658" s="256"/>
      <c r="L658" s="255"/>
      <c r="M658" s="255"/>
      <c r="N658" s="255"/>
      <c r="O658" s="256"/>
      <c r="P658" s="255"/>
      <c r="Q658" s="255"/>
      <c r="R658" s="256"/>
      <c r="S658" s="256"/>
      <c r="T658" s="255"/>
      <c r="U658" s="259"/>
    </row>
    <row r="659">
      <c r="A659" s="255"/>
      <c r="B659" s="255"/>
      <c r="C659" s="256"/>
      <c r="D659" s="255"/>
      <c r="E659" s="255"/>
      <c r="F659" s="255"/>
      <c r="G659" s="256"/>
      <c r="H659" s="255"/>
      <c r="I659" s="255"/>
      <c r="J659" s="255"/>
      <c r="K659" s="256"/>
      <c r="L659" s="255"/>
      <c r="M659" s="255"/>
      <c r="N659" s="255"/>
      <c r="O659" s="256"/>
      <c r="P659" s="255"/>
      <c r="Q659" s="255"/>
      <c r="R659" s="256"/>
      <c r="S659" s="256"/>
      <c r="T659" s="255"/>
      <c r="U659" s="259"/>
    </row>
    <row r="660">
      <c r="A660" s="255"/>
      <c r="B660" s="255"/>
      <c r="C660" s="256"/>
      <c r="D660" s="255"/>
      <c r="E660" s="255"/>
      <c r="F660" s="255"/>
      <c r="G660" s="256"/>
      <c r="H660" s="255"/>
      <c r="I660" s="255"/>
      <c r="J660" s="255"/>
      <c r="K660" s="256"/>
      <c r="L660" s="255"/>
      <c r="M660" s="255"/>
      <c r="N660" s="255"/>
      <c r="O660" s="256"/>
      <c r="P660" s="255"/>
      <c r="Q660" s="255"/>
      <c r="R660" s="256"/>
      <c r="S660" s="256"/>
      <c r="T660" s="255"/>
      <c r="U660" s="259"/>
    </row>
    <row r="661">
      <c r="A661" s="255"/>
      <c r="B661" s="255"/>
      <c r="C661" s="256"/>
      <c r="D661" s="255"/>
      <c r="E661" s="255"/>
      <c r="F661" s="255"/>
      <c r="G661" s="256"/>
      <c r="H661" s="255"/>
      <c r="I661" s="255"/>
      <c r="J661" s="255"/>
      <c r="K661" s="256"/>
      <c r="L661" s="255"/>
      <c r="M661" s="255"/>
      <c r="N661" s="255"/>
      <c r="O661" s="256"/>
      <c r="P661" s="255"/>
      <c r="Q661" s="255"/>
      <c r="R661" s="256"/>
      <c r="S661" s="256"/>
      <c r="T661" s="255"/>
      <c r="U661" s="259"/>
    </row>
    <row r="662">
      <c r="A662" s="255"/>
      <c r="B662" s="255"/>
      <c r="C662" s="256"/>
      <c r="D662" s="255"/>
      <c r="E662" s="255"/>
      <c r="F662" s="255"/>
      <c r="G662" s="256"/>
      <c r="H662" s="255"/>
      <c r="I662" s="255"/>
      <c r="J662" s="255"/>
      <c r="K662" s="256"/>
      <c r="L662" s="255"/>
      <c r="M662" s="255"/>
      <c r="N662" s="255"/>
      <c r="O662" s="256"/>
      <c r="P662" s="255"/>
      <c r="Q662" s="255"/>
      <c r="R662" s="256"/>
      <c r="S662" s="256"/>
      <c r="T662" s="255"/>
      <c r="U662" s="259"/>
    </row>
    <row r="663">
      <c r="A663" s="255"/>
      <c r="B663" s="255"/>
      <c r="C663" s="256"/>
      <c r="D663" s="255"/>
      <c r="E663" s="255"/>
      <c r="F663" s="255"/>
      <c r="G663" s="256"/>
      <c r="H663" s="255"/>
      <c r="I663" s="255"/>
      <c r="J663" s="255"/>
      <c r="K663" s="256"/>
      <c r="L663" s="255"/>
      <c r="M663" s="255"/>
      <c r="N663" s="255"/>
      <c r="O663" s="256"/>
      <c r="P663" s="255"/>
      <c r="Q663" s="255"/>
      <c r="R663" s="256"/>
      <c r="S663" s="256"/>
      <c r="T663" s="255"/>
      <c r="U663" s="259"/>
    </row>
    <row r="664">
      <c r="A664" s="255"/>
      <c r="B664" s="255"/>
      <c r="C664" s="256"/>
      <c r="D664" s="255"/>
      <c r="E664" s="255"/>
      <c r="F664" s="255"/>
      <c r="G664" s="256"/>
      <c r="H664" s="255"/>
      <c r="I664" s="255"/>
      <c r="J664" s="255"/>
      <c r="K664" s="256"/>
      <c r="L664" s="255"/>
      <c r="M664" s="255"/>
      <c r="N664" s="255"/>
      <c r="O664" s="256"/>
      <c r="P664" s="255"/>
      <c r="Q664" s="255"/>
      <c r="R664" s="256"/>
      <c r="S664" s="256"/>
      <c r="T664" s="255"/>
      <c r="U664" s="259"/>
    </row>
    <row r="665">
      <c r="A665" s="255"/>
      <c r="B665" s="255"/>
      <c r="C665" s="256"/>
      <c r="D665" s="255"/>
      <c r="E665" s="255"/>
      <c r="F665" s="255"/>
      <c r="G665" s="256"/>
      <c r="H665" s="255"/>
      <c r="I665" s="255"/>
      <c r="J665" s="255"/>
      <c r="K665" s="256"/>
      <c r="L665" s="255"/>
      <c r="M665" s="255"/>
      <c r="N665" s="255"/>
      <c r="O665" s="256"/>
      <c r="P665" s="255"/>
      <c r="Q665" s="255"/>
      <c r="R665" s="256"/>
      <c r="S665" s="256"/>
      <c r="T665" s="255"/>
      <c r="U665" s="259"/>
    </row>
    <row r="666">
      <c r="A666" s="255"/>
      <c r="B666" s="255"/>
      <c r="C666" s="256"/>
      <c r="D666" s="255"/>
      <c r="E666" s="255"/>
      <c r="F666" s="255"/>
      <c r="G666" s="256"/>
      <c r="H666" s="255"/>
      <c r="I666" s="255"/>
      <c r="J666" s="255"/>
      <c r="K666" s="256"/>
      <c r="L666" s="255"/>
      <c r="M666" s="255"/>
      <c r="N666" s="255"/>
      <c r="O666" s="256"/>
      <c r="P666" s="255"/>
      <c r="Q666" s="255"/>
      <c r="R666" s="256"/>
      <c r="S666" s="256"/>
      <c r="T666" s="255"/>
      <c r="U666" s="259"/>
    </row>
    <row r="667">
      <c r="A667" s="255"/>
      <c r="B667" s="255"/>
      <c r="C667" s="256"/>
      <c r="D667" s="255"/>
      <c r="E667" s="255"/>
      <c r="F667" s="255"/>
      <c r="G667" s="256"/>
      <c r="H667" s="255"/>
      <c r="I667" s="255"/>
      <c r="J667" s="255"/>
      <c r="K667" s="256"/>
      <c r="L667" s="255"/>
      <c r="M667" s="255"/>
      <c r="N667" s="255"/>
      <c r="O667" s="256"/>
      <c r="P667" s="255"/>
      <c r="Q667" s="255"/>
      <c r="R667" s="256"/>
      <c r="S667" s="256"/>
      <c r="T667" s="255"/>
      <c r="U667" s="259"/>
    </row>
    <row r="668">
      <c r="A668" s="255"/>
      <c r="B668" s="255"/>
      <c r="C668" s="256"/>
      <c r="D668" s="255"/>
      <c r="E668" s="255"/>
      <c r="F668" s="255"/>
      <c r="G668" s="256"/>
      <c r="H668" s="255"/>
      <c r="I668" s="255"/>
      <c r="J668" s="255"/>
      <c r="K668" s="256"/>
      <c r="L668" s="255"/>
      <c r="M668" s="255"/>
      <c r="N668" s="255"/>
      <c r="O668" s="256"/>
      <c r="P668" s="255"/>
      <c r="Q668" s="255"/>
      <c r="R668" s="256"/>
      <c r="S668" s="256"/>
      <c r="T668" s="255"/>
      <c r="U668" s="259"/>
    </row>
    <row r="669">
      <c r="A669" s="255"/>
      <c r="B669" s="255"/>
      <c r="C669" s="256"/>
      <c r="D669" s="255"/>
      <c r="E669" s="255"/>
      <c r="F669" s="255"/>
      <c r="G669" s="256"/>
      <c r="H669" s="255"/>
      <c r="I669" s="255"/>
      <c r="J669" s="255"/>
      <c r="K669" s="256"/>
      <c r="L669" s="255"/>
      <c r="M669" s="255"/>
      <c r="N669" s="255"/>
      <c r="O669" s="256"/>
      <c r="P669" s="255"/>
      <c r="Q669" s="255"/>
      <c r="R669" s="256"/>
      <c r="S669" s="256"/>
      <c r="T669" s="255"/>
      <c r="U669" s="259"/>
    </row>
    <row r="670">
      <c r="A670" s="255"/>
      <c r="B670" s="255"/>
      <c r="C670" s="256"/>
      <c r="D670" s="255"/>
      <c r="E670" s="255"/>
      <c r="F670" s="255"/>
      <c r="G670" s="256"/>
      <c r="H670" s="255"/>
      <c r="I670" s="255"/>
      <c r="J670" s="255"/>
      <c r="K670" s="256"/>
      <c r="L670" s="255"/>
      <c r="M670" s="255"/>
      <c r="N670" s="255"/>
      <c r="O670" s="256"/>
      <c r="P670" s="255"/>
      <c r="Q670" s="255"/>
      <c r="R670" s="256"/>
      <c r="S670" s="256"/>
      <c r="T670" s="255"/>
      <c r="U670" s="259"/>
    </row>
    <row r="671">
      <c r="A671" s="255"/>
      <c r="B671" s="255"/>
      <c r="C671" s="256"/>
      <c r="D671" s="255"/>
      <c r="E671" s="255"/>
      <c r="F671" s="255"/>
      <c r="G671" s="256"/>
      <c r="H671" s="255"/>
      <c r="I671" s="255"/>
      <c r="J671" s="255"/>
      <c r="K671" s="256"/>
      <c r="L671" s="255"/>
      <c r="M671" s="255"/>
      <c r="N671" s="255"/>
      <c r="O671" s="256"/>
      <c r="P671" s="255"/>
      <c r="Q671" s="255"/>
      <c r="R671" s="256"/>
      <c r="S671" s="256"/>
      <c r="T671" s="255"/>
      <c r="U671" s="259"/>
    </row>
    <row r="672">
      <c r="A672" s="255"/>
      <c r="B672" s="255"/>
      <c r="C672" s="256"/>
      <c r="D672" s="255"/>
      <c r="E672" s="255"/>
      <c r="F672" s="255"/>
      <c r="G672" s="256"/>
      <c r="H672" s="255"/>
      <c r="I672" s="255"/>
      <c r="J672" s="255"/>
      <c r="K672" s="256"/>
      <c r="L672" s="255"/>
      <c r="M672" s="255"/>
      <c r="N672" s="255"/>
      <c r="O672" s="256"/>
      <c r="P672" s="255"/>
      <c r="Q672" s="255"/>
      <c r="R672" s="256"/>
      <c r="S672" s="256"/>
      <c r="T672" s="255"/>
      <c r="U672" s="259"/>
    </row>
    <row r="673">
      <c r="A673" s="255"/>
      <c r="B673" s="255"/>
      <c r="C673" s="256"/>
      <c r="D673" s="255"/>
      <c r="E673" s="255"/>
      <c r="F673" s="255"/>
      <c r="G673" s="256"/>
      <c r="H673" s="255"/>
      <c r="I673" s="255"/>
      <c r="J673" s="255"/>
      <c r="K673" s="256"/>
      <c r="L673" s="255"/>
      <c r="M673" s="255"/>
      <c r="N673" s="255"/>
      <c r="O673" s="256"/>
      <c r="P673" s="255"/>
      <c r="Q673" s="255"/>
      <c r="R673" s="256"/>
      <c r="S673" s="256"/>
      <c r="T673" s="255"/>
      <c r="U673" s="259"/>
    </row>
    <row r="674">
      <c r="A674" s="255"/>
      <c r="B674" s="255"/>
      <c r="C674" s="256"/>
      <c r="D674" s="255"/>
      <c r="E674" s="255"/>
      <c r="F674" s="255"/>
      <c r="G674" s="256"/>
      <c r="H674" s="255"/>
      <c r="I674" s="255"/>
      <c r="J674" s="255"/>
      <c r="K674" s="256"/>
      <c r="L674" s="255"/>
      <c r="M674" s="255"/>
      <c r="N674" s="255"/>
      <c r="O674" s="256"/>
      <c r="P674" s="255"/>
      <c r="Q674" s="255"/>
      <c r="R674" s="256"/>
      <c r="S674" s="256"/>
      <c r="T674" s="255"/>
      <c r="U674" s="259"/>
    </row>
    <row r="675">
      <c r="A675" s="255"/>
      <c r="B675" s="255"/>
      <c r="C675" s="256"/>
      <c r="D675" s="255"/>
      <c r="E675" s="255"/>
      <c r="F675" s="255"/>
      <c r="G675" s="256"/>
      <c r="H675" s="255"/>
      <c r="I675" s="255"/>
      <c r="J675" s="255"/>
      <c r="K675" s="256"/>
      <c r="L675" s="255"/>
      <c r="M675" s="255"/>
      <c r="N675" s="255"/>
      <c r="O675" s="256"/>
      <c r="P675" s="255"/>
      <c r="Q675" s="255"/>
      <c r="R675" s="256"/>
      <c r="S675" s="256"/>
      <c r="T675" s="255"/>
      <c r="U675" s="259"/>
    </row>
    <row r="676">
      <c r="A676" s="255"/>
      <c r="B676" s="255"/>
      <c r="C676" s="256"/>
      <c r="D676" s="255"/>
      <c r="E676" s="255"/>
      <c r="F676" s="255"/>
      <c r="G676" s="256"/>
      <c r="H676" s="255"/>
      <c r="I676" s="255"/>
      <c r="J676" s="255"/>
      <c r="K676" s="256"/>
      <c r="L676" s="255"/>
      <c r="M676" s="255"/>
      <c r="N676" s="255"/>
      <c r="O676" s="256"/>
      <c r="P676" s="255"/>
      <c r="Q676" s="255"/>
      <c r="R676" s="256"/>
      <c r="S676" s="256"/>
      <c r="T676" s="255"/>
      <c r="U676" s="259"/>
    </row>
    <row r="677">
      <c r="A677" s="255"/>
      <c r="B677" s="255"/>
      <c r="C677" s="256"/>
      <c r="D677" s="255"/>
      <c r="E677" s="255"/>
      <c r="F677" s="255"/>
      <c r="G677" s="256"/>
      <c r="H677" s="255"/>
      <c r="I677" s="255"/>
      <c r="J677" s="255"/>
      <c r="K677" s="256"/>
      <c r="L677" s="255"/>
      <c r="M677" s="255"/>
      <c r="N677" s="255"/>
      <c r="O677" s="256"/>
      <c r="P677" s="255"/>
      <c r="Q677" s="255"/>
      <c r="R677" s="256"/>
      <c r="S677" s="256"/>
      <c r="T677" s="255"/>
      <c r="U677" s="259"/>
    </row>
    <row r="678">
      <c r="A678" s="255"/>
      <c r="B678" s="255"/>
      <c r="C678" s="256"/>
      <c r="D678" s="255"/>
      <c r="E678" s="255"/>
      <c r="F678" s="255"/>
      <c r="G678" s="256"/>
      <c r="H678" s="255"/>
      <c r="I678" s="255"/>
      <c r="J678" s="255"/>
      <c r="K678" s="256"/>
      <c r="L678" s="255"/>
      <c r="M678" s="255"/>
      <c r="N678" s="255"/>
      <c r="O678" s="256"/>
      <c r="P678" s="255"/>
      <c r="Q678" s="255"/>
      <c r="R678" s="256"/>
      <c r="S678" s="256"/>
      <c r="T678" s="255"/>
      <c r="U678" s="259"/>
    </row>
    <row r="679">
      <c r="A679" s="255"/>
      <c r="B679" s="255"/>
      <c r="C679" s="256"/>
      <c r="D679" s="255"/>
      <c r="E679" s="255"/>
      <c r="F679" s="255"/>
      <c r="G679" s="256"/>
      <c r="H679" s="255"/>
      <c r="I679" s="255"/>
      <c r="J679" s="255"/>
      <c r="K679" s="256"/>
      <c r="L679" s="255"/>
      <c r="M679" s="255"/>
      <c r="N679" s="255"/>
      <c r="O679" s="256"/>
      <c r="P679" s="255"/>
      <c r="Q679" s="255"/>
      <c r="R679" s="256"/>
      <c r="S679" s="256"/>
      <c r="T679" s="255"/>
      <c r="U679" s="259"/>
    </row>
    <row r="680">
      <c r="A680" s="255"/>
      <c r="B680" s="255"/>
      <c r="C680" s="256"/>
      <c r="D680" s="255"/>
      <c r="E680" s="255"/>
      <c r="F680" s="255"/>
      <c r="G680" s="256"/>
      <c r="H680" s="255"/>
      <c r="I680" s="255"/>
      <c r="J680" s="255"/>
      <c r="K680" s="256"/>
      <c r="L680" s="255"/>
      <c r="M680" s="255"/>
      <c r="N680" s="255"/>
      <c r="O680" s="256"/>
      <c r="P680" s="255"/>
      <c r="Q680" s="255"/>
      <c r="R680" s="256"/>
      <c r="S680" s="256"/>
      <c r="T680" s="255"/>
      <c r="U680" s="259"/>
    </row>
    <row r="681">
      <c r="A681" s="255"/>
      <c r="B681" s="255"/>
      <c r="C681" s="256"/>
      <c r="D681" s="255"/>
      <c r="E681" s="255"/>
      <c r="F681" s="255"/>
      <c r="G681" s="256"/>
      <c r="H681" s="255"/>
      <c r="I681" s="255"/>
      <c r="J681" s="255"/>
      <c r="K681" s="256"/>
      <c r="L681" s="255"/>
      <c r="M681" s="255"/>
      <c r="N681" s="255"/>
      <c r="O681" s="256"/>
      <c r="P681" s="255"/>
      <c r="Q681" s="255"/>
      <c r="R681" s="256"/>
      <c r="S681" s="256"/>
      <c r="T681" s="255"/>
      <c r="U681" s="259"/>
    </row>
    <row r="682">
      <c r="A682" s="255"/>
      <c r="B682" s="255"/>
      <c r="C682" s="256"/>
      <c r="D682" s="255"/>
      <c r="E682" s="255"/>
      <c r="F682" s="255"/>
      <c r="G682" s="256"/>
      <c r="H682" s="255"/>
      <c r="I682" s="255"/>
      <c r="J682" s="255"/>
      <c r="K682" s="256"/>
      <c r="L682" s="255"/>
      <c r="M682" s="255"/>
      <c r="N682" s="255"/>
      <c r="O682" s="256"/>
      <c r="P682" s="255"/>
      <c r="Q682" s="255"/>
      <c r="R682" s="256"/>
      <c r="S682" s="256"/>
      <c r="T682" s="255"/>
      <c r="U682" s="259"/>
    </row>
    <row r="683">
      <c r="A683" s="255"/>
      <c r="B683" s="255"/>
      <c r="C683" s="256"/>
      <c r="D683" s="255"/>
      <c r="E683" s="255"/>
      <c r="F683" s="255"/>
      <c r="G683" s="256"/>
      <c r="H683" s="255"/>
      <c r="I683" s="255"/>
      <c r="J683" s="255"/>
      <c r="K683" s="256"/>
      <c r="L683" s="255"/>
      <c r="M683" s="255"/>
      <c r="N683" s="255"/>
      <c r="O683" s="256"/>
      <c r="P683" s="255"/>
      <c r="Q683" s="255"/>
      <c r="R683" s="256"/>
      <c r="S683" s="256"/>
      <c r="T683" s="255"/>
      <c r="U683" s="259"/>
    </row>
    <row r="684">
      <c r="A684" s="255"/>
      <c r="B684" s="255"/>
      <c r="C684" s="256"/>
      <c r="D684" s="255"/>
      <c r="E684" s="255"/>
      <c r="F684" s="255"/>
      <c r="G684" s="256"/>
      <c r="H684" s="255"/>
      <c r="I684" s="255"/>
      <c r="J684" s="255"/>
      <c r="K684" s="256"/>
      <c r="L684" s="255"/>
      <c r="M684" s="255"/>
      <c r="N684" s="255"/>
      <c r="O684" s="256"/>
      <c r="P684" s="255"/>
      <c r="Q684" s="255"/>
      <c r="R684" s="256"/>
      <c r="S684" s="256"/>
      <c r="T684" s="255"/>
      <c r="U684" s="259"/>
    </row>
    <row r="685">
      <c r="A685" s="255"/>
      <c r="B685" s="255"/>
      <c r="C685" s="256"/>
      <c r="D685" s="255"/>
      <c r="E685" s="255"/>
      <c r="F685" s="255"/>
      <c r="G685" s="256"/>
      <c r="H685" s="255"/>
      <c r="I685" s="255"/>
      <c r="J685" s="255"/>
      <c r="K685" s="256"/>
      <c r="L685" s="255"/>
      <c r="M685" s="255"/>
      <c r="N685" s="255"/>
      <c r="O685" s="256"/>
      <c r="P685" s="255"/>
      <c r="Q685" s="255"/>
      <c r="R685" s="256"/>
      <c r="S685" s="256"/>
      <c r="T685" s="255"/>
      <c r="U685" s="259"/>
    </row>
    <row r="686">
      <c r="A686" s="255"/>
      <c r="B686" s="255"/>
      <c r="C686" s="256"/>
      <c r="D686" s="255"/>
      <c r="E686" s="255"/>
      <c r="F686" s="255"/>
      <c r="G686" s="256"/>
      <c r="H686" s="255"/>
      <c r="I686" s="255"/>
      <c r="J686" s="255"/>
      <c r="K686" s="256"/>
      <c r="L686" s="255"/>
      <c r="M686" s="255"/>
      <c r="N686" s="255"/>
      <c r="O686" s="256"/>
      <c r="P686" s="255"/>
      <c r="Q686" s="255"/>
      <c r="R686" s="256"/>
      <c r="S686" s="256"/>
      <c r="T686" s="255"/>
      <c r="U686" s="259"/>
    </row>
    <row r="687">
      <c r="A687" s="255"/>
      <c r="B687" s="255"/>
      <c r="C687" s="256"/>
      <c r="D687" s="255"/>
      <c r="E687" s="255"/>
      <c r="F687" s="255"/>
      <c r="G687" s="256"/>
      <c r="H687" s="255"/>
      <c r="I687" s="255"/>
      <c r="J687" s="255"/>
      <c r="K687" s="256"/>
      <c r="L687" s="255"/>
      <c r="M687" s="255"/>
      <c r="N687" s="255"/>
      <c r="O687" s="256"/>
      <c r="P687" s="255"/>
      <c r="Q687" s="255"/>
      <c r="R687" s="256"/>
      <c r="S687" s="256"/>
      <c r="T687" s="255"/>
      <c r="U687" s="259"/>
    </row>
    <row r="688">
      <c r="A688" s="255"/>
      <c r="B688" s="255"/>
      <c r="C688" s="256"/>
      <c r="D688" s="255"/>
      <c r="E688" s="255"/>
      <c r="F688" s="255"/>
      <c r="G688" s="256"/>
      <c r="H688" s="255"/>
      <c r="I688" s="255"/>
      <c r="J688" s="255"/>
      <c r="K688" s="256"/>
      <c r="L688" s="255"/>
      <c r="M688" s="255"/>
      <c r="N688" s="255"/>
      <c r="O688" s="256"/>
      <c r="P688" s="255"/>
      <c r="Q688" s="255"/>
      <c r="R688" s="256"/>
      <c r="S688" s="256"/>
      <c r="T688" s="255"/>
      <c r="U688" s="259"/>
    </row>
    <row r="689">
      <c r="A689" s="255"/>
      <c r="B689" s="255"/>
      <c r="C689" s="256"/>
      <c r="D689" s="255"/>
      <c r="E689" s="255"/>
      <c r="F689" s="255"/>
      <c r="G689" s="256"/>
      <c r="H689" s="255"/>
      <c r="I689" s="255"/>
      <c r="J689" s="255"/>
      <c r="K689" s="256"/>
      <c r="L689" s="255"/>
      <c r="M689" s="255"/>
      <c r="N689" s="255"/>
      <c r="O689" s="256"/>
      <c r="P689" s="255"/>
      <c r="Q689" s="255"/>
      <c r="R689" s="256"/>
      <c r="S689" s="256"/>
      <c r="T689" s="255"/>
      <c r="U689" s="259"/>
    </row>
    <row r="690">
      <c r="A690" s="255"/>
      <c r="B690" s="255"/>
      <c r="C690" s="256"/>
      <c r="D690" s="255"/>
      <c r="E690" s="255"/>
      <c r="F690" s="255"/>
      <c r="G690" s="256"/>
      <c r="H690" s="255"/>
      <c r="I690" s="255"/>
      <c r="J690" s="255"/>
      <c r="K690" s="256"/>
      <c r="L690" s="255"/>
      <c r="M690" s="255"/>
      <c r="N690" s="255"/>
      <c r="O690" s="256"/>
      <c r="P690" s="255"/>
      <c r="Q690" s="255"/>
      <c r="R690" s="256"/>
      <c r="S690" s="256"/>
      <c r="T690" s="255"/>
      <c r="U690" s="259"/>
    </row>
    <row r="691">
      <c r="A691" s="255"/>
      <c r="B691" s="255"/>
      <c r="C691" s="256"/>
      <c r="D691" s="255"/>
      <c r="E691" s="255"/>
      <c r="F691" s="255"/>
      <c r="G691" s="256"/>
      <c r="H691" s="255"/>
      <c r="I691" s="255"/>
      <c r="J691" s="255"/>
      <c r="K691" s="256"/>
      <c r="L691" s="255"/>
      <c r="M691" s="255"/>
      <c r="N691" s="255"/>
      <c r="O691" s="256"/>
      <c r="P691" s="255"/>
      <c r="Q691" s="255"/>
      <c r="R691" s="256"/>
      <c r="S691" s="256"/>
      <c r="T691" s="255"/>
      <c r="U691" s="259"/>
    </row>
    <row r="692">
      <c r="A692" s="255"/>
      <c r="B692" s="255"/>
      <c r="C692" s="256"/>
      <c r="D692" s="255"/>
      <c r="E692" s="255"/>
      <c r="F692" s="255"/>
      <c r="G692" s="256"/>
      <c r="H692" s="255"/>
      <c r="I692" s="255"/>
      <c r="J692" s="255"/>
      <c r="K692" s="256"/>
      <c r="L692" s="255"/>
      <c r="M692" s="255"/>
      <c r="N692" s="255"/>
      <c r="O692" s="256"/>
      <c r="P692" s="255"/>
      <c r="Q692" s="255"/>
      <c r="R692" s="256"/>
      <c r="S692" s="256"/>
      <c r="T692" s="255"/>
      <c r="U692" s="259"/>
    </row>
    <row r="693">
      <c r="A693" s="255"/>
      <c r="B693" s="255"/>
      <c r="C693" s="256"/>
      <c r="D693" s="255"/>
      <c r="E693" s="255"/>
      <c r="F693" s="255"/>
      <c r="G693" s="256"/>
      <c r="H693" s="255"/>
      <c r="I693" s="255"/>
      <c r="J693" s="255"/>
      <c r="K693" s="256"/>
      <c r="L693" s="255"/>
      <c r="M693" s="255"/>
      <c r="N693" s="255"/>
      <c r="O693" s="256"/>
      <c r="P693" s="255"/>
      <c r="Q693" s="255"/>
      <c r="R693" s="256"/>
      <c r="S693" s="256"/>
      <c r="T693" s="255"/>
      <c r="U693" s="259"/>
    </row>
    <row r="694">
      <c r="A694" s="255"/>
      <c r="B694" s="255"/>
      <c r="C694" s="256"/>
      <c r="D694" s="255"/>
      <c r="E694" s="255"/>
      <c r="F694" s="255"/>
      <c r="G694" s="256"/>
      <c r="H694" s="255"/>
      <c r="I694" s="255"/>
      <c r="J694" s="255"/>
      <c r="K694" s="256"/>
      <c r="L694" s="255"/>
      <c r="M694" s="255"/>
      <c r="N694" s="255"/>
      <c r="O694" s="256"/>
      <c r="P694" s="255"/>
      <c r="Q694" s="255"/>
      <c r="R694" s="256"/>
      <c r="S694" s="256"/>
      <c r="T694" s="255"/>
      <c r="U694" s="259"/>
    </row>
    <row r="695">
      <c r="A695" s="255"/>
      <c r="B695" s="255"/>
      <c r="C695" s="256"/>
      <c r="D695" s="255"/>
      <c r="E695" s="255"/>
      <c r="F695" s="255"/>
      <c r="G695" s="256"/>
      <c r="H695" s="255"/>
      <c r="I695" s="255"/>
      <c r="J695" s="255"/>
      <c r="K695" s="256"/>
      <c r="L695" s="255"/>
      <c r="M695" s="255"/>
      <c r="N695" s="255"/>
      <c r="O695" s="256"/>
      <c r="P695" s="255"/>
      <c r="Q695" s="255"/>
      <c r="R695" s="256"/>
      <c r="S695" s="256"/>
      <c r="T695" s="255"/>
      <c r="U695" s="259"/>
    </row>
    <row r="696">
      <c r="A696" s="255"/>
      <c r="B696" s="255"/>
      <c r="C696" s="256"/>
      <c r="D696" s="255"/>
      <c r="E696" s="255"/>
      <c r="F696" s="255"/>
      <c r="G696" s="256"/>
      <c r="H696" s="255"/>
      <c r="I696" s="255"/>
      <c r="J696" s="255"/>
      <c r="K696" s="256"/>
      <c r="L696" s="255"/>
      <c r="M696" s="255"/>
      <c r="N696" s="255"/>
      <c r="O696" s="256"/>
      <c r="P696" s="255"/>
      <c r="Q696" s="255"/>
      <c r="R696" s="256"/>
      <c r="S696" s="256"/>
      <c r="T696" s="255"/>
      <c r="U696" s="259"/>
    </row>
    <row r="697">
      <c r="A697" s="255"/>
      <c r="B697" s="255"/>
      <c r="C697" s="256"/>
      <c r="D697" s="255"/>
      <c r="E697" s="255"/>
      <c r="F697" s="255"/>
      <c r="G697" s="256"/>
      <c r="H697" s="255"/>
      <c r="I697" s="255"/>
      <c r="J697" s="255"/>
      <c r="K697" s="256"/>
      <c r="L697" s="255"/>
      <c r="M697" s="255"/>
      <c r="N697" s="255"/>
      <c r="O697" s="256"/>
      <c r="P697" s="255"/>
      <c r="Q697" s="255"/>
      <c r="R697" s="256"/>
      <c r="S697" s="256"/>
      <c r="T697" s="255"/>
      <c r="U697" s="259"/>
    </row>
    <row r="698">
      <c r="A698" s="255"/>
      <c r="B698" s="255"/>
      <c r="C698" s="256"/>
      <c r="D698" s="255"/>
      <c r="E698" s="255"/>
      <c r="F698" s="255"/>
      <c r="G698" s="256"/>
      <c r="H698" s="255"/>
      <c r="I698" s="255"/>
      <c r="J698" s="255"/>
      <c r="K698" s="256"/>
      <c r="L698" s="255"/>
      <c r="M698" s="255"/>
      <c r="N698" s="255"/>
      <c r="O698" s="256"/>
      <c r="P698" s="255"/>
      <c r="Q698" s="255"/>
      <c r="R698" s="256"/>
      <c r="S698" s="256"/>
      <c r="T698" s="255"/>
      <c r="U698" s="259"/>
    </row>
    <row r="699">
      <c r="A699" s="255"/>
      <c r="B699" s="255"/>
      <c r="C699" s="256"/>
      <c r="D699" s="255"/>
      <c r="E699" s="255"/>
      <c r="F699" s="255"/>
      <c r="G699" s="256"/>
      <c r="H699" s="255"/>
      <c r="I699" s="255"/>
      <c r="J699" s="255"/>
      <c r="K699" s="256"/>
      <c r="L699" s="255"/>
      <c r="M699" s="255"/>
      <c r="N699" s="255"/>
      <c r="O699" s="256"/>
      <c r="P699" s="255"/>
      <c r="Q699" s="255"/>
      <c r="R699" s="256"/>
      <c r="S699" s="256"/>
      <c r="T699" s="255"/>
      <c r="U699" s="259"/>
    </row>
    <row r="700">
      <c r="A700" s="255"/>
      <c r="B700" s="255"/>
      <c r="C700" s="256"/>
      <c r="D700" s="255"/>
      <c r="E700" s="255"/>
      <c r="F700" s="255"/>
      <c r="G700" s="256"/>
      <c r="H700" s="255"/>
      <c r="I700" s="255"/>
      <c r="J700" s="255"/>
      <c r="K700" s="256"/>
      <c r="L700" s="255"/>
      <c r="M700" s="255"/>
      <c r="N700" s="255"/>
      <c r="O700" s="256"/>
      <c r="P700" s="255"/>
      <c r="Q700" s="255"/>
      <c r="R700" s="256"/>
      <c r="S700" s="256"/>
      <c r="T700" s="255"/>
      <c r="U700" s="259"/>
    </row>
    <row r="701">
      <c r="A701" s="255"/>
      <c r="B701" s="255"/>
      <c r="C701" s="256"/>
      <c r="D701" s="255"/>
      <c r="E701" s="255"/>
      <c r="F701" s="255"/>
      <c r="G701" s="256"/>
      <c r="H701" s="255"/>
      <c r="I701" s="255"/>
      <c r="J701" s="255"/>
      <c r="K701" s="256"/>
      <c r="L701" s="255"/>
      <c r="M701" s="255"/>
      <c r="N701" s="255"/>
      <c r="O701" s="256"/>
      <c r="P701" s="255"/>
      <c r="Q701" s="255"/>
      <c r="R701" s="256"/>
      <c r="S701" s="256"/>
      <c r="T701" s="255"/>
      <c r="U701" s="259"/>
    </row>
    <row r="702">
      <c r="A702" s="255"/>
      <c r="B702" s="255"/>
      <c r="C702" s="256"/>
      <c r="D702" s="255"/>
      <c r="E702" s="255"/>
      <c r="F702" s="255"/>
      <c r="G702" s="256"/>
      <c r="H702" s="255"/>
      <c r="I702" s="255"/>
      <c r="J702" s="255"/>
      <c r="K702" s="256"/>
      <c r="L702" s="255"/>
      <c r="M702" s="255"/>
      <c r="N702" s="255"/>
      <c r="O702" s="256"/>
      <c r="P702" s="255"/>
      <c r="Q702" s="255"/>
      <c r="R702" s="256"/>
      <c r="S702" s="256"/>
      <c r="T702" s="255"/>
      <c r="U702" s="259"/>
    </row>
    <row r="703">
      <c r="A703" s="255"/>
      <c r="B703" s="255"/>
      <c r="C703" s="256"/>
      <c r="D703" s="255"/>
      <c r="E703" s="255"/>
      <c r="F703" s="255"/>
      <c r="G703" s="256"/>
      <c r="H703" s="255"/>
      <c r="I703" s="255"/>
      <c r="J703" s="255"/>
      <c r="K703" s="256"/>
      <c r="L703" s="255"/>
      <c r="M703" s="255"/>
      <c r="N703" s="255"/>
      <c r="O703" s="256"/>
      <c r="P703" s="255"/>
      <c r="Q703" s="255"/>
      <c r="R703" s="256"/>
      <c r="S703" s="256"/>
      <c r="T703" s="255"/>
      <c r="U703" s="259"/>
    </row>
    <row r="704">
      <c r="A704" s="255"/>
      <c r="B704" s="255"/>
      <c r="C704" s="256"/>
      <c r="D704" s="255"/>
      <c r="E704" s="255"/>
      <c r="F704" s="255"/>
      <c r="G704" s="256"/>
      <c r="H704" s="255"/>
      <c r="I704" s="255"/>
      <c r="J704" s="255"/>
      <c r="K704" s="256"/>
      <c r="L704" s="255"/>
      <c r="M704" s="255"/>
      <c r="N704" s="255"/>
      <c r="O704" s="256"/>
      <c r="P704" s="255"/>
      <c r="Q704" s="255"/>
      <c r="R704" s="256"/>
      <c r="S704" s="256"/>
      <c r="T704" s="255"/>
      <c r="U704" s="259"/>
    </row>
    <row r="705">
      <c r="A705" s="255"/>
      <c r="B705" s="255"/>
      <c r="C705" s="256"/>
      <c r="D705" s="255"/>
      <c r="E705" s="255"/>
      <c r="F705" s="255"/>
      <c r="G705" s="256"/>
      <c r="H705" s="255"/>
      <c r="I705" s="255"/>
      <c r="J705" s="255"/>
      <c r="K705" s="256"/>
      <c r="L705" s="255"/>
      <c r="M705" s="255"/>
      <c r="N705" s="255"/>
      <c r="O705" s="256"/>
      <c r="P705" s="255"/>
      <c r="Q705" s="255"/>
      <c r="R705" s="256"/>
      <c r="S705" s="256"/>
      <c r="T705" s="255"/>
      <c r="U705" s="259"/>
    </row>
    <row r="706">
      <c r="A706" s="255"/>
      <c r="B706" s="255"/>
      <c r="C706" s="256"/>
      <c r="D706" s="255"/>
      <c r="E706" s="255"/>
      <c r="F706" s="255"/>
      <c r="G706" s="256"/>
      <c r="H706" s="255"/>
      <c r="I706" s="255"/>
      <c r="J706" s="255"/>
      <c r="K706" s="256"/>
      <c r="L706" s="255"/>
      <c r="M706" s="255"/>
      <c r="N706" s="255"/>
      <c r="O706" s="256"/>
      <c r="P706" s="255"/>
      <c r="Q706" s="255"/>
      <c r="R706" s="256"/>
      <c r="S706" s="256"/>
      <c r="T706" s="255"/>
      <c r="U706" s="259"/>
    </row>
    <row r="707">
      <c r="A707" s="255"/>
      <c r="B707" s="255"/>
      <c r="C707" s="256"/>
      <c r="D707" s="255"/>
      <c r="E707" s="255"/>
      <c r="F707" s="255"/>
      <c r="G707" s="256"/>
      <c r="H707" s="255"/>
      <c r="I707" s="255"/>
      <c r="J707" s="255"/>
      <c r="K707" s="256"/>
      <c r="L707" s="255"/>
      <c r="M707" s="255"/>
      <c r="N707" s="255"/>
      <c r="O707" s="256"/>
      <c r="P707" s="255"/>
      <c r="Q707" s="255"/>
      <c r="R707" s="256"/>
      <c r="S707" s="256"/>
      <c r="T707" s="255"/>
      <c r="U707" s="259"/>
    </row>
    <row r="708">
      <c r="A708" s="255"/>
      <c r="B708" s="255"/>
      <c r="C708" s="256"/>
      <c r="D708" s="255"/>
      <c r="E708" s="255"/>
      <c r="F708" s="255"/>
      <c r="G708" s="256"/>
      <c r="H708" s="255"/>
      <c r="I708" s="255"/>
      <c r="J708" s="255"/>
      <c r="K708" s="256"/>
      <c r="L708" s="255"/>
      <c r="M708" s="255"/>
      <c r="N708" s="255"/>
      <c r="O708" s="256"/>
      <c r="P708" s="255"/>
      <c r="Q708" s="255"/>
      <c r="R708" s="256"/>
      <c r="S708" s="256"/>
      <c r="T708" s="255"/>
      <c r="U708" s="259"/>
    </row>
    <row r="709">
      <c r="A709" s="255"/>
      <c r="B709" s="255"/>
      <c r="C709" s="256"/>
      <c r="D709" s="255"/>
      <c r="E709" s="255"/>
      <c r="F709" s="255"/>
      <c r="G709" s="256"/>
      <c r="H709" s="255"/>
      <c r="I709" s="255"/>
      <c r="J709" s="255"/>
      <c r="K709" s="256"/>
      <c r="L709" s="255"/>
      <c r="M709" s="255"/>
      <c r="N709" s="255"/>
      <c r="O709" s="256"/>
      <c r="P709" s="255"/>
      <c r="Q709" s="255"/>
      <c r="R709" s="256"/>
      <c r="S709" s="256"/>
      <c r="T709" s="255"/>
      <c r="U709" s="259"/>
    </row>
    <row r="710">
      <c r="A710" s="255"/>
      <c r="B710" s="255"/>
      <c r="C710" s="256"/>
      <c r="D710" s="255"/>
      <c r="E710" s="255"/>
      <c r="F710" s="255"/>
      <c r="G710" s="256"/>
      <c r="H710" s="255"/>
      <c r="I710" s="255"/>
      <c r="J710" s="255"/>
      <c r="K710" s="256"/>
      <c r="L710" s="255"/>
      <c r="M710" s="255"/>
      <c r="N710" s="255"/>
      <c r="O710" s="256"/>
      <c r="P710" s="255"/>
      <c r="Q710" s="255"/>
      <c r="R710" s="256"/>
      <c r="S710" s="256"/>
      <c r="T710" s="255"/>
      <c r="U710" s="259"/>
    </row>
    <row r="711">
      <c r="A711" s="255"/>
      <c r="B711" s="255"/>
      <c r="C711" s="256"/>
      <c r="D711" s="255"/>
      <c r="E711" s="255"/>
      <c r="F711" s="255"/>
      <c r="G711" s="256"/>
      <c r="H711" s="255"/>
      <c r="I711" s="255"/>
      <c r="J711" s="255"/>
      <c r="K711" s="256"/>
      <c r="L711" s="255"/>
      <c r="M711" s="255"/>
      <c r="N711" s="255"/>
      <c r="O711" s="256"/>
      <c r="P711" s="255"/>
      <c r="Q711" s="255"/>
      <c r="R711" s="256"/>
      <c r="S711" s="256"/>
      <c r="T711" s="255"/>
      <c r="U711" s="259"/>
    </row>
    <row r="712">
      <c r="A712" s="255"/>
      <c r="B712" s="255"/>
      <c r="C712" s="256"/>
      <c r="D712" s="255"/>
      <c r="E712" s="255"/>
      <c r="F712" s="255"/>
      <c r="G712" s="256"/>
      <c r="H712" s="255"/>
      <c r="I712" s="255"/>
      <c r="J712" s="255"/>
      <c r="K712" s="256"/>
      <c r="L712" s="255"/>
      <c r="M712" s="255"/>
      <c r="N712" s="255"/>
      <c r="O712" s="256"/>
      <c r="P712" s="255"/>
      <c r="Q712" s="255"/>
      <c r="R712" s="256"/>
      <c r="S712" s="256"/>
      <c r="T712" s="255"/>
      <c r="U712" s="259"/>
    </row>
    <row r="713">
      <c r="A713" s="255"/>
      <c r="B713" s="255"/>
      <c r="C713" s="256"/>
      <c r="D713" s="255"/>
      <c r="E713" s="255"/>
      <c r="F713" s="255"/>
      <c r="G713" s="256"/>
      <c r="H713" s="255"/>
      <c r="I713" s="255"/>
      <c r="J713" s="255"/>
      <c r="K713" s="256"/>
      <c r="L713" s="255"/>
      <c r="M713" s="255"/>
      <c r="N713" s="255"/>
      <c r="O713" s="256"/>
      <c r="P713" s="255"/>
      <c r="Q713" s="255"/>
      <c r="R713" s="256"/>
      <c r="S713" s="256"/>
      <c r="T713" s="255"/>
      <c r="U713" s="259"/>
    </row>
    <row r="714">
      <c r="A714" s="255"/>
      <c r="B714" s="255"/>
      <c r="C714" s="256"/>
      <c r="D714" s="255"/>
      <c r="E714" s="255"/>
      <c r="F714" s="255"/>
      <c r="G714" s="256"/>
      <c r="H714" s="255"/>
      <c r="I714" s="255"/>
      <c r="J714" s="255"/>
      <c r="K714" s="256"/>
      <c r="L714" s="255"/>
      <c r="M714" s="255"/>
      <c r="N714" s="255"/>
      <c r="O714" s="256"/>
      <c r="P714" s="255"/>
      <c r="Q714" s="255"/>
      <c r="R714" s="256"/>
      <c r="S714" s="256"/>
      <c r="T714" s="255"/>
      <c r="U714" s="259"/>
    </row>
    <row r="715">
      <c r="A715" s="255"/>
      <c r="B715" s="255"/>
      <c r="C715" s="256"/>
      <c r="D715" s="255"/>
      <c r="E715" s="255"/>
      <c r="F715" s="255"/>
      <c r="G715" s="256"/>
      <c r="H715" s="255"/>
      <c r="I715" s="255"/>
      <c r="J715" s="255"/>
      <c r="K715" s="256"/>
      <c r="L715" s="255"/>
      <c r="M715" s="255"/>
      <c r="N715" s="255"/>
      <c r="O715" s="256"/>
      <c r="P715" s="255"/>
      <c r="Q715" s="255"/>
      <c r="R715" s="256"/>
      <c r="S715" s="256"/>
      <c r="T715" s="255"/>
      <c r="U715" s="259"/>
    </row>
    <row r="716">
      <c r="A716" s="255"/>
      <c r="B716" s="255"/>
      <c r="C716" s="256"/>
      <c r="D716" s="255"/>
      <c r="E716" s="255"/>
      <c r="F716" s="255"/>
      <c r="G716" s="256"/>
      <c r="H716" s="255"/>
      <c r="I716" s="255"/>
      <c r="J716" s="255"/>
      <c r="K716" s="256"/>
      <c r="L716" s="255"/>
      <c r="M716" s="255"/>
      <c r="N716" s="255"/>
      <c r="O716" s="256"/>
      <c r="P716" s="255"/>
      <c r="Q716" s="255"/>
      <c r="R716" s="256"/>
      <c r="S716" s="256"/>
      <c r="T716" s="255"/>
      <c r="U716" s="259"/>
    </row>
    <row r="717">
      <c r="A717" s="255"/>
      <c r="B717" s="255"/>
      <c r="C717" s="256"/>
      <c r="D717" s="255"/>
      <c r="E717" s="255"/>
      <c r="F717" s="255"/>
      <c r="G717" s="256"/>
      <c r="H717" s="255"/>
      <c r="I717" s="255"/>
      <c r="J717" s="255"/>
      <c r="K717" s="256"/>
      <c r="L717" s="255"/>
      <c r="M717" s="255"/>
      <c r="N717" s="255"/>
      <c r="O717" s="256"/>
      <c r="P717" s="255"/>
      <c r="Q717" s="255"/>
      <c r="R717" s="256"/>
      <c r="S717" s="256"/>
      <c r="T717" s="255"/>
      <c r="U717" s="259"/>
    </row>
    <row r="718">
      <c r="A718" s="255"/>
      <c r="B718" s="255"/>
      <c r="C718" s="256"/>
      <c r="D718" s="255"/>
      <c r="E718" s="255"/>
      <c r="F718" s="255"/>
      <c r="G718" s="256"/>
      <c r="H718" s="255"/>
      <c r="I718" s="255"/>
      <c r="J718" s="255"/>
      <c r="K718" s="256"/>
      <c r="L718" s="255"/>
      <c r="M718" s="255"/>
      <c r="N718" s="255"/>
      <c r="O718" s="256"/>
      <c r="P718" s="255"/>
      <c r="Q718" s="255"/>
      <c r="R718" s="256"/>
      <c r="S718" s="256"/>
      <c r="T718" s="255"/>
      <c r="U718" s="259"/>
    </row>
    <row r="719">
      <c r="A719" s="255"/>
      <c r="B719" s="255"/>
      <c r="C719" s="256"/>
      <c r="D719" s="255"/>
      <c r="E719" s="255"/>
      <c r="F719" s="255"/>
      <c r="G719" s="256"/>
      <c r="H719" s="255"/>
      <c r="I719" s="255"/>
      <c r="J719" s="255"/>
      <c r="K719" s="256"/>
      <c r="L719" s="255"/>
      <c r="M719" s="255"/>
      <c r="N719" s="255"/>
      <c r="O719" s="256"/>
      <c r="P719" s="255"/>
      <c r="Q719" s="255"/>
      <c r="R719" s="256"/>
      <c r="S719" s="256"/>
      <c r="T719" s="255"/>
      <c r="U719" s="259"/>
    </row>
    <row r="720">
      <c r="A720" s="255"/>
      <c r="B720" s="255"/>
      <c r="C720" s="256"/>
      <c r="D720" s="255"/>
      <c r="E720" s="255"/>
      <c r="F720" s="255"/>
      <c r="G720" s="256"/>
      <c r="H720" s="255"/>
      <c r="I720" s="255"/>
      <c r="J720" s="255"/>
      <c r="K720" s="256"/>
      <c r="L720" s="255"/>
      <c r="M720" s="255"/>
      <c r="N720" s="255"/>
      <c r="O720" s="256"/>
      <c r="P720" s="255"/>
      <c r="Q720" s="255"/>
      <c r="R720" s="256"/>
      <c r="S720" s="256"/>
      <c r="T720" s="255"/>
      <c r="U720" s="259"/>
    </row>
    <row r="721">
      <c r="A721" s="255"/>
      <c r="B721" s="255"/>
      <c r="C721" s="256"/>
      <c r="D721" s="255"/>
      <c r="E721" s="255"/>
      <c r="F721" s="255"/>
      <c r="G721" s="256"/>
      <c r="H721" s="255"/>
      <c r="I721" s="255"/>
      <c r="J721" s="255"/>
      <c r="K721" s="256"/>
      <c r="L721" s="255"/>
      <c r="M721" s="255"/>
      <c r="N721" s="255"/>
      <c r="O721" s="256"/>
      <c r="P721" s="255"/>
      <c r="Q721" s="255"/>
      <c r="R721" s="256"/>
      <c r="S721" s="256"/>
      <c r="T721" s="255"/>
      <c r="U721" s="259"/>
    </row>
    <row r="722">
      <c r="A722" s="255"/>
      <c r="B722" s="255"/>
      <c r="C722" s="256"/>
      <c r="D722" s="255"/>
      <c r="E722" s="255"/>
      <c r="F722" s="255"/>
      <c r="G722" s="256"/>
      <c r="H722" s="255"/>
      <c r="I722" s="255"/>
      <c r="J722" s="255"/>
      <c r="K722" s="256"/>
      <c r="L722" s="255"/>
      <c r="M722" s="255"/>
      <c r="N722" s="255"/>
      <c r="O722" s="256"/>
      <c r="P722" s="255"/>
      <c r="Q722" s="255"/>
      <c r="R722" s="256"/>
      <c r="S722" s="256"/>
      <c r="T722" s="255"/>
      <c r="U722" s="259"/>
    </row>
    <row r="723">
      <c r="A723" s="255"/>
      <c r="B723" s="255"/>
      <c r="C723" s="256"/>
      <c r="D723" s="255"/>
      <c r="E723" s="255"/>
      <c r="F723" s="255"/>
      <c r="G723" s="256"/>
      <c r="H723" s="255"/>
      <c r="I723" s="255"/>
      <c r="J723" s="255"/>
      <c r="K723" s="256"/>
      <c r="L723" s="255"/>
      <c r="M723" s="255"/>
      <c r="N723" s="255"/>
      <c r="O723" s="256"/>
      <c r="P723" s="255"/>
      <c r="Q723" s="255"/>
      <c r="R723" s="256"/>
      <c r="S723" s="256"/>
      <c r="T723" s="255"/>
      <c r="U723" s="259"/>
    </row>
    <row r="724">
      <c r="A724" s="255"/>
      <c r="B724" s="255"/>
      <c r="C724" s="256"/>
      <c r="D724" s="255"/>
      <c r="E724" s="255"/>
      <c r="F724" s="255"/>
      <c r="G724" s="256"/>
      <c r="H724" s="255"/>
      <c r="I724" s="255"/>
      <c r="J724" s="255"/>
      <c r="K724" s="256"/>
      <c r="L724" s="255"/>
      <c r="M724" s="255"/>
      <c r="N724" s="255"/>
      <c r="O724" s="256"/>
      <c r="P724" s="255"/>
      <c r="Q724" s="255"/>
      <c r="R724" s="256"/>
      <c r="S724" s="256"/>
      <c r="T724" s="255"/>
      <c r="U724" s="259"/>
    </row>
    <row r="725">
      <c r="A725" s="255"/>
      <c r="B725" s="255"/>
      <c r="C725" s="256"/>
      <c r="D725" s="255"/>
      <c r="E725" s="255"/>
      <c r="F725" s="255"/>
      <c r="G725" s="256"/>
      <c r="H725" s="255"/>
      <c r="I725" s="255"/>
      <c r="J725" s="255"/>
      <c r="K725" s="256"/>
      <c r="L725" s="255"/>
      <c r="M725" s="255"/>
      <c r="N725" s="255"/>
      <c r="O725" s="256"/>
      <c r="P725" s="255"/>
      <c r="Q725" s="255"/>
      <c r="R725" s="256"/>
      <c r="S725" s="256"/>
      <c r="T725" s="255"/>
      <c r="U725" s="259"/>
    </row>
    <row r="726">
      <c r="A726" s="255"/>
      <c r="B726" s="255"/>
      <c r="C726" s="256"/>
      <c r="D726" s="255"/>
      <c r="E726" s="255"/>
      <c r="F726" s="255"/>
      <c r="G726" s="256"/>
      <c r="H726" s="255"/>
      <c r="I726" s="255"/>
      <c r="J726" s="255"/>
      <c r="K726" s="256"/>
      <c r="L726" s="255"/>
      <c r="M726" s="255"/>
      <c r="N726" s="255"/>
      <c r="O726" s="256"/>
      <c r="P726" s="255"/>
      <c r="Q726" s="255"/>
      <c r="R726" s="256"/>
      <c r="S726" s="256"/>
      <c r="T726" s="255"/>
      <c r="U726" s="259"/>
    </row>
    <row r="727">
      <c r="A727" s="255"/>
      <c r="B727" s="255"/>
      <c r="C727" s="256"/>
      <c r="D727" s="255"/>
      <c r="E727" s="255"/>
      <c r="F727" s="255"/>
      <c r="G727" s="256"/>
      <c r="H727" s="255"/>
      <c r="I727" s="255"/>
      <c r="J727" s="255"/>
      <c r="K727" s="256"/>
      <c r="L727" s="255"/>
      <c r="M727" s="255"/>
      <c r="N727" s="255"/>
      <c r="O727" s="256"/>
      <c r="P727" s="255"/>
      <c r="Q727" s="255"/>
      <c r="R727" s="256"/>
      <c r="S727" s="256"/>
      <c r="T727" s="255"/>
      <c r="U727" s="259"/>
    </row>
    <row r="728">
      <c r="A728" s="255"/>
      <c r="B728" s="255"/>
      <c r="C728" s="256"/>
      <c r="D728" s="255"/>
      <c r="E728" s="255"/>
      <c r="F728" s="255"/>
      <c r="G728" s="256"/>
      <c r="H728" s="255"/>
      <c r="I728" s="255"/>
      <c r="J728" s="255"/>
      <c r="K728" s="256"/>
      <c r="L728" s="255"/>
      <c r="M728" s="255"/>
      <c r="N728" s="255"/>
      <c r="O728" s="256"/>
      <c r="P728" s="255"/>
      <c r="Q728" s="255"/>
      <c r="R728" s="256"/>
      <c r="S728" s="256"/>
      <c r="T728" s="255"/>
      <c r="U728" s="259"/>
    </row>
    <row r="729">
      <c r="A729" s="255"/>
      <c r="B729" s="255"/>
      <c r="C729" s="256"/>
      <c r="D729" s="255"/>
      <c r="E729" s="255"/>
      <c r="F729" s="255"/>
      <c r="G729" s="256"/>
      <c r="H729" s="255"/>
      <c r="I729" s="255"/>
      <c r="J729" s="255"/>
      <c r="K729" s="256"/>
      <c r="L729" s="255"/>
      <c r="M729" s="255"/>
      <c r="N729" s="255"/>
      <c r="O729" s="256"/>
      <c r="P729" s="255"/>
      <c r="Q729" s="255"/>
      <c r="R729" s="256"/>
      <c r="S729" s="256"/>
      <c r="T729" s="255"/>
      <c r="U729" s="259"/>
    </row>
    <row r="730">
      <c r="A730" s="255"/>
      <c r="B730" s="255"/>
      <c r="C730" s="256"/>
      <c r="D730" s="255"/>
      <c r="E730" s="255"/>
      <c r="F730" s="255"/>
      <c r="G730" s="256"/>
      <c r="H730" s="255"/>
      <c r="I730" s="255"/>
      <c r="J730" s="255"/>
      <c r="K730" s="256"/>
      <c r="L730" s="255"/>
      <c r="M730" s="255"/>
      <c r="N730" s="255"/>
      <c r="O730" s="256"/>
      <c r="P730" s="255"/>
      <c r="Q730" s="255"/>
      <c r="R730" s="256"/>
      <c r="S730" s="256"/>
      <c r="T730" s="255"/>
      <c r="U730" s="259"/>
    </row>
    <row r="731">
      <c r="A731" s="255"/>
      <c r="B731" s="255"/>
      <c r="C731" s="256"/>
      <c r="D731" s="255"/>
      <c r="E731" s="255"/>
      <c r="F731" s="255"/>
      <c r="G731" s="256"/>
      <c r="H731" s="255"/>
      <c r="I731" s="255"/>
      <c r="J731" s="255"/>
      <c r="K731" s="256"/>
      <c r="L731" s="255"/>
      <c r="M731" s="255"/>
      <c r="N731" s="255"/>
      <c r="O731" s="256"/>
      <c r="P731" s="255"/>
      <c r="Q731" s="255"/>
      <c r="R731" s="256"/>
      <c r="S731" s="256"/>
      <c r="T731" s="255"/>
      <c r="U731" s="259"/>
    </row>
    <row r="732">
      <c r="A732" s="255"/>
      <c r="B732" s="255"/>
      <c r="C732" s="256"/>
      <c r="D732" s="255"/>
      <c r="E732" s="255"/>
      <c r="F732" s="255"/>
      <c r="G732" s="256"/>
      <c r="H732" s="255"/>
      <c r="I732" s="255"/>
      <c r="J732" s="255"/>
      <c r="K732" s="256"/>
      <c r="L732" s="255"/>
      <c r="M732" s="255"/>
      <c r="N732" s="255"/>
      <c r="O732" s="256"/>
      <c r="P732" s="255"/>
      <c r="Q732" s="255"/>
      <c r="R732" s="256"/>
      <c r="S732" s="256"/>
      <c r="T732" s="255"/>
      <c r="U732" s="259"/>
    </row>
    <row r="733">
      <c r="A733" s="255"/>
      <c r="B733" s="255"/>
      <c r="C733" s="256"/>
      <c r="D733" s="255"/>
      <c r="E733" s="255"/>
      <c r="F733" s="255"/>
      <c r="G733" s="256"/>
      <c r="H733" s="255"/>
      <c r="I733" s="255"/>
      <c r="J733" s="255"/>
      <c r="K733" s="256"/>
      <c r="L733" s="255"/>
      <c r="M733" s="255"/>
      <c r="N733" s="255"/>
      <c r="O733" s="256"/>
      <c r="P733" s="255"/>
      <c r="Q733" s="255"/>
      <c r="R733" s="256"/>
      <c r="S733" s="256"/>
      <c r="T733" s="255"/>
      <c r="U733" s="259"/>
    </row>
    <row r="734">
      <c r="A734" s="255"/>
      <c r="B734" s="255"/>
      <c r="C734" s="256"/>
      <c r="D734" s="255"/>
      <c r="E734" s="255"/>
      <c r="F734" s="255"/>
      <c r="G734" s="256"/>
      <c r="H734" s="255"/>
      <c r="I734" s="255"/>
      <c r="J734" s="255"/>
      <c r="K734" s="256"/>
      <c r="L734" s="255"/>
      <c r="M734" s="255"/>
      <c r="N734" s="255"/>
      <c r="O734" s="256"/>
      <c r="P734" s="255"/>
      <c r="Q734" s="255"/>
      <c r="R734" s="256"/>
      <c r="S734" s="256"/>
      <c r="T734" s="255"/>
      <c r="U734" s="259"/>
    </row>
    <row r="735">
      <c r="A735" s="255"/>
      <c r="B735" s="255"/>
      <c r="C735" s="256"/>
      <c r="D735" s="255"/>
      <c r="E735" s="255"/>
      <c r="F735" s="255"/>
      <c r="G735" s="256"/>
      <c r="H735" s="255"/>
      <c r="I735" s="255"/>
      <c r="J735" s="255"/>
      <c r="K735" s="256"/>
      <c r="L735" s="255"/>
      <c r="M735" s="255"/>
      <c r="N735" s="255"/>
      <c r="O735" s="256"/>
      <c r="P735" s="255"/>
      <c r="Q735" s="255"/>
      <c r="R735" s="256"/>
      <c r="S735" s="256"/>
      <c r="T735" s="255"/>
      <c r="U735" s="259"/>
    </row>
    <row r="736">
      <c r="A736" s="255"/>
      <c r="B736" s="255"/>
      <c r="C736" s="256"/>
      <c r="D736" s="255"/>
      <c r="E736" s="255"/>
      <c r="F736" s="255"/>
      <c r="G736" s="256"/>
      <c r="H736" s="255"/>
      <c r="I736" s="255"/>
      <c r="J736" s="255"/>
      <c r="K736" s="256"/>
      <c r="L736" s="255"/>
      <c r="M736" s="255"/>
      <c r="N736" s="255"/>
      <c r="O736" s="256"/>
      <c r="P736" s="255"/>
      <c r="Q736" s="255"/>
      <c r="R736" s="256"/>
      <c r="S736" s="256"/>
      <c r="T736" s="255"/>
      <c r="U736" s="259"/>
    </row>
    <row r="737">
      <c r="A737" s="255"/>
      <c r="B737" s="255"/>
      <c r="C737" s="256"/>
      <c r="D737" s="255"/>
      <c r="E737" s="255"/>
      <c r="F737" s="255"/>
      <c r="G737" s="256"/>
      <c r="H737" s="255"/>
      <c r="I737" s="255"/>
      <c r="J737" s="255"/>
      <c r="K737" s="256"/>
      <c r="L737" s="255"/>
      <c r="M737" s="255"/>
      <c r="N737" s="255"/>
      <c r="O737" s="256"/>
      <c r="P737" s="255"/>
      <c r="Q737" s="255"/>
      <c r="R737" s="256"/>
      <c r="S737" s="256"/>
      <c r="T737" s="255"/>
      <c r="U737" s="259"/>
    </row>
    <row r="738">
      <c r="A738" s="255"/>
      <c r="B738" s="255"/>
      <c r="C738" s="256"/>
      <c r="D738" s="255"/>
      <c r="E738" s="255"/>
      <c r="F738" s="255"/>
      <c r="G738" s="256"/>
      <c r="H738" s="255"/>
      <c r="I738" s="255"/>
      <c r="J738" s="255"/>
      <c r="K738" s="256"/>
      <c r="L738" s="255"/>
      <c r="M738" s="255"/>
      <c r="N738" s="255"/>
      <c r="O738" s="256"/>
      <c r="P738" s="255"/>
      <c r="Q738" s="255"/>
      <c r="R738" s="256"/>
      <c r="S738" s="256"/>
      <c r="T738" s="255"/>
      <c r="U738" s="259"/>
    </row>
    <row r="739">
      <c r="A739" s="255"/>
      <c r="B739" s="255"/>
      <c r="C739" s="256"/>
      <c r="D739" s="255"/>
      <c r="E739" s="255"/>
      <c r="F739" s="255"/>
      <c r="G739" s="256"/>
      <c r="H739" s="255"/>
      <c r="I739" s="255"/>
      <c r="J739" s="255"/>
      <c r="K739" s="256"/>
      <c r="L739" s="255"/>
      <c r="M739" s="255"/>
      <c r="N739" s="255"/>
      <c r="O739" s="256"/>
      <c r="P739" s="255"/>
      <c r="Q739" s="255"/>
      <c r="R739" s="256"/>
      <c r="S739" s="256"/>
      <c r="T739" s="255"/>
      <c r="U739" s="259"/>
    </row>
    <row r="740">
      <c r="A740" s="255"/>
      <c r="B740" s="255"/>
      <c r="C740" s="256"/>
      <c r="D740" s="255"/>
      <c r="E740" s="255"/>
      <c r="F740" s="255"/>
      <c r="G740" s="256"/>
      <c r="H740" s="255"/>
      <c r="I740" s="255"/>
      <c r="J740" s="255"/>
      <c r="K740" s="256"/>
      <c r="L740" s="255"/>
      <c r="M740" s="255"/>
      <c r="N740" s="255"/>
      <c r="O740" s="256"/>
      <c r="P740" s="255"/>
      <c r="Q740" s="255"/>
      <c r="R740" s="256"/>
      <c r="S740" s="256"/>
      <c r="T740" s="255"/>
      <c r="U740" s="259"/>
    </row>
    <row r="741">
      <c r="A741" s="255"/>
      <c r="B741" s="255"/>
      <c r="C741" s="256"/>
      <c r="D741" s="255"/>
      <c r="E741" s="255"/>
      <c r="F741" s="255"/>
      <c r="G741" s="256"/>
      <c r="H741" s="255"/>
      <c r="I741" s="255"/>
      <c r="J741" s="255"/>
      <c r="K741" s="256"/>
      <c r="L741" s="255"/>
      <c r="M741" s="255"/>
      <c r="N741" s="255"/>
      <c r="O741" s="256"/>
      <c r="P741" s="255"/>
      <c r="Q741" s="255"/>
      <c r="R741" s="256"/>
      <c r="S741" s="256"/>
      <c r="T741" s="255"/>
      <c r="U741" s="259"/>
    </row>
    <row r="742">
      <c r="A742" s="255"/>
      <c r="B742" s="255"/>
      <c r="C742" s="256"/>
      <c r="D742" s="255"/>
      <c r="E742" s="255"/>
      <c r="F742" s="255"/>
      <c r="G742" s="256"/>
      <c r="H742" s="255"/>
      <c r="I742" s="255"/>
      <c r="J742" s="255"/>
      <c r="K742" s="256"/>
      <c r="L742" s="255"/>
      <c r="M742" s="255"/>
      <c r="N742" s="255"/>
      <c r="O742" s="256"/>
      <c r="P742" s="255"/>
      <c r="Q742" s="255"/>
      <c r="R742" s="256"/>
      <c r="S742" s="256"/>
      <c r="T742" s="255"/>
      <c r="U742" s="259"/>
    </row>
    <row r="743">
      <c r="A743" s="255"/>
      <c r="B743" s="255"/>
      <c r="C743" s="256"/>
      <c r="D743" s="255"/>
      <c r="E743" s="255"/>
      <c r="F743" s="255"/>
      <c r="G743" s="256"/>
      <c r="H743" s="255"/>
      <c r="I743" s="255"/>
      <c r="J743" s="255"/>
      <c r="K743" s="256"/>
      <c r="L743" s="255"/>
      <c r="M743" s="255"/>
      <c r="N743" s="255"/>
      <c r="O743" s="256"/>
      <c r="P743" s="255"/>
      <c r="Q743" s="255"/>
      <c r="R743" s="256"/>
      <c r="S743" s="256"/>
      <c r="T743" s="255"/>
      <c r="U743" s="259"/>
    </row>
    <row r="744">
      <c r="A744" s="255"/>
      <c r="B744" s="255"/>
      <c r="C744" s="256"/>
      <c r="D744" s="255"/>
      <c r="E744" s="255"/>
      <c r="F744" s="255"/>
      <c r="G744" s="256"/>
      <c r="H744" s="255"/>
      <c r="I744" s="255"/>
      <c r="J744" s="255"/>
      <c r="K744" s="256"/>
      <c r="L744" s="255"/>
      <c r="M744" s="255"/>
      <c r="N744" s="255"/>
      <c r="O744" s="256"/>
      <c r="P744" s="255"/>
      <c r="Q744" s="255"/>
      <c r="R744" s="256"/>
      <c r="S744" s="256"/>
      <c r="T744" s="255"/>
      <c r="U744" s="259"/>
    </row>
    <row r="745">
      <c r="A745" s="255"/>
      <c r="B745" s="255"/>
      <c r="C745" s="256"/>
      <c r="D745" s="255"/>
      <c r="E745" s="255"/>
      <c r="F745" s="255"/>
      <c r="G745" s="256"/>
      <c r="H745" s="255"/>
      <c r="I745" s="255"/>
      <c r="J745" s="255"/>
      <c r="K745" s="256"/>
      <c r="L745" s="255"/>
      <c r="M745" s="255"/>
      <c r="N745" s="255"/>
      <c r="O745" s="256"/>
      <c r="P745" s="255"/>
      <c r="Q745" s="255"/>
      <c r="R745" s="256"/>
      <c r="S745" s="256"/>
      <c r="T745" s="255"/>
      <c r="U745" s="259"/>
    </row>
    <row r="746">
      <c r="A746" s="255"/>
      <c r="B746" s="255"/>
      <c r="C746" s="256"/>
      <c r="D746" s="255"/>
      <c r="E746" s="255"/>
      <c r="F746" s="255"/>
      <c r="G746" s="256"/>
      <c r="H746" s="255"/>
      <c r="I746" s="255"/>
      <c r="J746" s="255"/>
      <c r="K746" s="256"/>
      <c r="L746" s="255"/>
      <c r="M746" s="255"/>
      <c r="N746" s="255"/>
      <c r="O746" s="256"/>
      <c r="P746" s="255"/>
      <c r="Q746" s="255"/>
      <c r="R746" s="256"/>
      <c r="S746" s="256"/>
      <c r="T746" s="255"/>
      <c r="U746" s="259"/>
    </row>
    <row r="747">
      <c r="A747" s="255"/>
      <c r="B747" s="255"/>
      <c r="C747" s="256"/>
      <c r="D747" s="255"/>
      <c r="E747" s="255"/>
      <c r="F747" s="255"/>
      <c r="G747" s="256"/>
      <c r="H747" s="255"/>
      <c r="I747" s="255"/>
      <c r="J747" s="255"/>
      <c r="K747" s="256"/>
      <c r="L747" s="255"/>
      <c r="M747" s="255"/>
      <c r="N747" s="255"/>
      <c r="O747" s="256"/>
      <c r="P747" s="255"/>
      <c r="Q747" s="255"/>
      <c r="R747" s="256"/>
      <c r="S747" s="256"/>
      <c r="T747" s="255"/>
      <c r="U747" s="259"/>
    </row>
    <row r="748">
      <c r="A748" s="255"/>
      <c r="B748" s="255"/>
      <c r="C748" s="256"/>
      <c r="D748" s="255"/>
      <c r="E748" s="255"/>
      <c r="F748" s="255"/>
      <c r="G748" s="256"/>
      <c r="H748" s="255"/>
      <c r="I748" s="255"/>
      <c r="J748" s="255"/>
      <c r="K748" s="256"/>
      <c r="L748" s="255"/>
      <c r="M748" s="255"/>
      <c r="N748" s="255"/>
      <c r="O748" s="256"/>
      <c r="P748" s="255"/>
      <c r="Q748" s="255"/>
      <c r="R748" s="256"/>
      <c r="S748" s="256"/>
      <c r="T748" s="255"/>
      <c r="U748" s="259"/>
    </row>
    <row r="749">
      <c r="A749" s="255"/>
      <c r="B749" s="255"/>
      <c r="C749" s="256"/>
      <c r="D749" s="255"/>
      <c r="E749" s="255"/>
      <c r="F749" s="255"/>
      <c r="G749" s="256"/>
      <c r="H749" s="255"/>
      <c r="I749" s="255"/>
      <c r="J749" s="255"/>
      <c r="K749" s="256"/>
      <c r="L749" s="255"/>
      <c r="M749" s="255"/>
      <c r="N749" s="255"/>
      <c r="O749" s="256"/>
      <c r="P749" s="255"/>
      <c r="Q749" s="255"/>
      <c r="R749" s="256"/>
      <c r="S749" s="256"/>
      <c r="T749" s="255"/>
      <c r="U749" s="259"/>
    </row>
    <row r="750">
      <c r="A750" s="255"/>
      <c r="B750" s="255"/>
      <c r="C750" s="256"/>
      <c r="D750" s="255"/>
      <c r="E750" s="255"/>
      <c r="F750" s="255"/>
      <c r="G750" s="256"/>
      <c r="H750" s="255"/>
      <c r="I750" s="255"/>
      <c r="J750" s="255"/>
      <c r="K750" s="256"/>
      <c r="L750" s="255"/>
      <c r="M750" s="255"/>
      <c r="N750" s="255"/>
      <c r="O750" s="256"/>
      <c r="P750" s="255"/>
      <c r="Q750" s="255"/>
      <c r="R750" s="256"/>
      <c r="S750" s="256"/>
      <c r="T750" s="255"/>
      <c r="U750" s="259"/>
    </row>
    <row r="751">
      <c r="A751" s="255"/>
      <c r="B751" s="255"/>
      <c r="C751" s="256"/>
      <c r="D751" s="255"/>
      <c r="E751" s="255"/>
      <c r="F751" s="255"/>
      <c r="G751" s="256"/>
      <c r="H751" s="255"/>
      <c r="I751" s="255"/>
      <c r="J751" s="255"/>
      <c r="K751" s="256"/>
      <c r="L751" s="255"/>
      <c r="M751" s="255"/>
      <c r="N751" s="255"/>
      <c r="O751" s="256"/>
      <c r="P751" s="255"/>
      <c r="Q751" s="255"/>
      <c r="R751" s="256"/>
      <c r="S751" s="256"/>
      <c r="T751" s="255"/>
      <c r="U751" s="259"/>
    </row>
    <row r="752">
      <c r="A752" s="255"/>
      <c r="B752" s="255"/>
      <c r="C752" s="256"/>
      <c r="D752" s="255"/>
      <c r="E752" s="255"/>
      <c r="F752" s="255"/>
      <c r="G752" s="256"/>
      <c r="H752" s="255"/>
      <c r="I752" s="255"/>
      <c r="J752" s="255"/>
      <c r="K752" s="256"/>
      <c r="L752" s="255"/>
      <c r="M752" s="255"/>
      <c r="N752" s="255"/>
      <c r="O752" s="256"/>
      <c r="P752" s="255"/>
      <c r="Q752" s="255"/>
      <c r="R752" s="256"/>
      <c r="S752" s="256"/>
      <c r="T752" s="255"/>
      <c r="U752" s="259"/>
    </row>
    <row r="753">
      <c r="A753" s="255"/>
      <c r="B753" s="255"/>
      <c r="C753" s="256"/>
      <c r="D753" s="255"/>
      <c r="E753" s="255"/>
      <c r="F753" s="255"/>
      <c r="G753" s="256"/>
      <c r="H753" s="255"/>
      <c r="I753" s="255"/>
      <c r="J753" s="255"/>
      <c r="K753" s="256"/>
      <c r="L753" s="255"/>
      <c r="M753" s="255"/>
      <c r="N753" s="255"/>
      <c r="O753" s="256"/>
      <c r="P753" s="255"/>
      <c r="Q753" s="255"/>
      <c r="R753" s="256"/>
      <c r="S753" s="256"/>
      <c r="T753" s="255"/>
      <c r="U753" s="259"/>
    </row>
    <row r="754">
      <c r="A754" s="255"/>
      <c r="B754" s="255"/>
      <c r="C754" s="256"/>
      <c r="D754" s="255"/>
      <c r="E754" s="255"/>
      <c r="F754" s="255"/>
      <c r="G754" s="256"/>
      <c r="H754" s="255"/>
      <c r="I754" s="255"/>
      <c r="J754" s="255"/>
      <c r="K754" s="256"/>
      <c r="L754" s="255"/>
      <c r="M754" s="255"/>
      <c r="N754" s="255"/>
      <c r="O754" s="256"/>
      <c r="P754" s="255"/>
      <c r="Q754" s="255"/>
      <c r="R754" s="256"/>
      <c r="S754" s="256"/>
      <c r="T754" s="255"/>
      <c r="U754" s="259"/>
    </row>
    <row r="755">
      <c r="A755" s="255"/>
      <c r="B755" s="255"/>
      <c r="C755" s="256"/>
      <c r="D755" s="255"/>
      <c r="E755" s="255"/>
      <c r="F755" s="255"/>
      <c r="G755" s="256"/>
      <c r="H755" s="255"/>
      <c r="I755" s="255"/>
      <c r="J755" s="255"/>
      <c r="K755" s="256"/>
      <c r="L755" s="255"/>
      <c r="M755" s="255"/>
      <c r="N755" s="255"/>
      <c r="O755" s="256"/>
      <c r="P755" s="255"/>
      <c r="Q755" s="255"/>
      <c r="R755" s="256"/>
      <c r="S755" s="256"/>
      <c r="T755" s="255"/>
      <c r="U755" s="259"/>
    </row>
    <row r="756">
      <c r="A756" s="255"/>
      <c r="B756" s="255"/>
      <c r="C756" s="256"/>
      <c r="D756" s="255"/>
      <c r="E756" s="255"/>
      <c r="F756" s="255"/>
      <c r="G756" s="256"/>
      <c r="H756" s="255"/>
      <c r="I756" s="255"/>
      <c r="J756" s="255"/>
      <c r="K756" s="256"/>
      <c r="L756" s="255"/>
      <c r="M756" s="255"/>
      <c r="N756" s="255"/>
      <c r="O756" s="256"/>
      <c r="P756" s="255"/>
      <c r="Q756" s="255"/>
      <c r="R756" s="256"/>
      <c r="S756" s="256"/>
      <c r="T756" s="255"/>
      <c r="U756" s="259"/>
    </row>
    <row r="757">
      <c r="A757" s="255"/>
      <c r="B757" s="255"/>
      <c r="C757" s="256"/>
      <c r="D757" s="255"/>
      <c r="E757" s="255"/>
      <c r="F757" s="255"/>
      <c r="G757" s="256"/>
      <c r="H757" s="255"/>
      <c r="I757" s="255"/>
      <c r="J757" s="255"/>
      <c r="K757" s="256"/>
      <c r="L757" s="255"/>
      <c r="M757" s="255"/>
      <c r="N757" s="255"/>
      <c r="O757" s="256"/>
      <c r="P757" s="255"/>
      <c r="Q757" s="255"/>
      <c r="R757" s="256"/>
      <c r="S757" s="256"/>
      <c r="T757" s="255"/>
      <c r="U757" s="259"/>
    </row>
    <row r="758">
      <c r="A758" s="255"/>
      <c r="B758" s="255"/>
      <c r="C758" s="256"/>
      <c r="D758" s="255"/>
      <c r="E758" s="255"/>
      <c r="F758" s="255"/>
      <c r="G758" s="256"/>
      <c r="H758" s="255"/>
      <c r="I758" s="255"/>
      <c r="J758" s="255"/>
      <c r="K758" s="256"/>
      <c r="L758" s="255"/>
      <c r="M758" s="255"/>
      <c r="N758" s="255"/>
      <c r="O758" s="256"/>
      <c r="P758" s="255"/>
      <c r="Q758" s="255"/>
      <c r="R758" s="256"/>
      <c r="S758" s="256"/>
      <c r="T758" s="255"/>
      <c r="U758" s="259"/>
    </row>
    <row r="759">
      <c r="A759" s="255"/>
      <c r="B759" s="255"/>
      <c r="C759" s="256"/>
      <c r="D759" s="255"/>
      <c r="E759" s="255"/>
      <c r="F759" s="255"/>
      <c r="G759" s="256"/>
      <c r="H759" s="255"/>
      <c r="I759" s="255"/>
      <c r="J759" s="255"/>
      <c r="K759" s="256"/>
      <c r="L759" s="255"/>
      <c r="M759" s="255"/>
      <c r="N759" s="255"/>
      <c r="O759" s="256"/>
      <c r="P759" s="255"/>
      <c r="Q759" s="255"/>
      <c r="R759" s="256"/>
      <c r="S759" s="256"/>
      <c r="T759" s="255"/>
      <c r="U759" s="259"/>
    </row>
    <row r="760">
      <c r="A760" s="255"/>
      <c r="B760" s="255"/>
      <c r="C760" s="256"/>
      <c r="D760" s="255"/>
      <c r="E760" s="255"/>
      <c r="F760" s="255"/>
      <c r="G760" s="256"/>
      <c r="H760" s="255"/>
      <c r="I760" s="255"/>
      <c r="J760" s="255"/>
      <c r="K760" s="256"/>
      <c r="L760" s="255"/>
      <c r="M760" s="255"/>
      <c r="N760" s="255"/>
      <c r="O760" s="256"/>
      <c r="P760" s="255"/>
      <c r="Q760" s="255"/>
      <c r="R760" s="256"/>
      <c r="S760" s="256"/>
      <c r="T760" s="255"/>
      <c r="U760" s="259"/>
    </row>
    <row r="761">
      <c r="A761" s="255"/>
      <c r="B761" s="255"/>
      <c r="C761" s="256"/>
      <c r="D761" s="255"/>
      <c r="E761" s="255"/>
      <c r="F761" s="255"/>
      <c r="G761" s="256"/>
      <c r="H761" s="255"/>
      <c r="I761" s="255"/>
      <c r="J761" s="255"/>
      <c r="K761" s="256"/>
      <c r="L761" s="255"/>
      <c r="M761" s="255"/>
      <c r="N761" s="255"/>
      <c r="O761" s="256"/>
      <c r="P761" s="255"/>
      <c r="Q761" s="255"/>
      <c r="R761" s="256"/>
      <c r="S761" s="256"/>
      <c r="T761" s="255"/>
      <c r="U761" s="259"/>
    </row>
    <row r="762">
      <c r="A762" s="255"/>
      <c r="B762" s="255"/>
      <c r="C762" s="256"/>
      <c r="D762" s="255"/>
      <c r="E762" s="255"/>
      <c r="F762" s="255"/>
      <c r="G762" s="256"/>
      <c r="H762" s="255"/>
      <c r="I762" s="255"/>
      <c r="J762" s="255"/>
      <c r="K762" s="256"/>
      <c r="L762" s="255"/>
      <c r="M762" s="255"/>
      <c r="N762" s="255"/>
      <c r="O762" s="256"/>
      <c r="P762" s="255"/>
      <c r="Q762" s="255"/>
      <c r="R762" s="256"/>
      <c r="S762" s="256"/>
      <c r="T762" s="255"/>
      <c r="U762" s="259"/>
    </row>
    <row r="763">
      <c r="A763" s="255"/>
      <c r="B763" s="255"/>
      <c r="C763" s="256"/>
      <c r="D763" s="255"/>
      <c r="E763" s="255"/>
      <c r="F763" s="255"/>
      <c r="G763" s="256"/>
      <c r="H763" s="255"/>
      <c r="I763" s="255"/>
      <c r="J763" s="255"/>
      <c r="K763" s="256"/>
      <c r="L763" s="255"/>
      <c r="M763" s="255"/>
      <c r="N763" s="255"/>
      <c r="O763" s="256"/>
      <c r="P763" s="255"/>
      <c r="Q763" s="255"/>
      <c r="R763" s="256"/>
      <c r="S763" s="256"/>
      <c r="T763" s="255"/>
      <c r="U763" s="259"/>
    </row>
    <row r="764">
      <c r="A764" s="255"/>
      <c r="B764" s="255"/>
      <c r="C764" s="256"/>
      <c r="D764" s="255"/>
      <c r="E764" s="255"/>
      <c r="F764" s="255"/>
      <c r="G764" s="256"/>
      <c r="H764" s="255"/>
      <c r="I764" s="255"/>
      <c r="J764" s="255"/>
      <c r="K764" s="256"/>
      <c r="L764" s="255"/>
      <c r="M764" s="255"/>
      <c r="N764" s="255"/>
      <c r="O764" s="256"/>
      <c r="P764" s="255"/>
      <c r="Q764" s="255"/>
      <c r="R764" s="256"/>
      <c r="S764" s="256"/>
      <c r="T764" s="255"/>
      <c r="U764" s="259"/>
    </row>
    <row r="765">
      <c r="A765" s="255"/>
      <c r="B765" s="255"/>
      <c r="C765" s="256"/>
      <c r="D765" s="255"/>
      <c r="E765" s="255"/>
      <c r="F765" s="255"/>
      <c r="G765" s="256"/>
      <c r="H765" s="255"/>
      <c r="I765" s="255"/>
      <c r="J765" s="255"/>
      <c r="K765" s="256"/>
      <c r="L765" s="255"/>
      <c r="M765" s="255"/>
      <c r="N765" s="255"/>
      <c r="O765" s="256"/>
      <c r="P765" s="255"/>
      <c r="Q765" s="255"/>
      <c r="R765" s="256"/>
      <c r="S765" s="256"/>
      <c r="T765" s="255"/>
      <c r="U765" s="259"/>
    </row>
    <row r="766">
      <c r="A766" s="255"/>
      <c r="B766" s="255"/>
      <c r="C766" s="256"/>
      <c r="D766" s="255"/>
      <c r="E766" s="255"/>
      <c r="F766" s="255"/>
      <c r="G766" s="256"/>
      <c r="H766" s="255"/>
      <c r="I766" s="255"/>
      <c r="J766" s="255"/>
      <c r="K766" s="256"/>
      <c r="L766" s="255"/>
      <c r="M766" s="255"/>
      <c r="N766" s="255"/>
      <c r="O766" s="256"/>
      <c r="P766" s="255"/>
      <c r="Q766" s="255"/>
      <c r="R766" s="256"/>
      <c r="S766" s="256"/>
      <c r="T766" s="255"/>
      <c r="U766" s="259"/>
    </row>
    <row r="767">
      <c r="A767" s="255"/>
      <c r="B767" s="255"/>
      <c r="C767" s="256"/>
      <c r="D767" s="255"/>
      <c r="E767" s="255"/>
      <c r="F767" s="255"/>
      <c r="G767" s="256"/>
      <c r="H767" s="255"/>
      <c r="I767" s="255"/>
      <c r="J767" s="255"/>
      <c r="K767" s="256"/>
      <c r="L767" s="255"/>
      <c r="M767" s="255"/>
      <c r="N767" s="255"/>
      <c r="O767" s="256"/>
      <c r="P767" s="255"/>
      <c r="Q767" s="255"/>
      <c r="R767" s="256"/>
      <c r="S767" s="256"/>
      <c r="T767" s="255"/>
      <c r="U767" s="259"/>
    </row>
    <row r="768">
      <c r="A768" s="255"/>
      <c r="B768" s="255"/>
      <c r="C768" s="256"/>
      <c r="D768" s="255"/>
      <c r="E768" s="255"/>
      <c r="F768" s="255"/>
      <c r="G768" s="256"/>
      <c r="H768" s="255"/>
      <c r="I768" s="255"/>
      <c r="J768" s="255"/>
      <c r="K768" s="256"/>
      <c r="L768" s="255"/>
      <c r="M768" s="255"/>
      <c r="N768" s="255"/>
      <c r="O768" s="256"/>
      <c r="P768" s="255"/>
      <c r="Q768" s="255"/>
      <c r="R768" s="256"/>
      <c r="S768" s="256"/>
      <c r="T768" s="255"/>
      <c r="U768" s="259"/>
    </row>
    <row r="769">
      <c r="A769" s="255"/>
      <c r="B769" s="255"/>
      <c r="C769" s="256"/>
      <c r="D769" s="255"/>
      <c r="E769" s="255"/>
      <c r="F769" s="255"/>
      <c r="G769" s="256"/>
      <c r="H769" s="255"/>
      <c r="I769" s="255"/>
      <c r="J769" s="255"/>
      <c r="K769" s="256"/>
      <c r="L769" s="255"/>
      <c r="M769" s="255"/>
      <c r="N769" s="255"/>
      <c r="O769" s="256"/>
      <c r="P769" s="255"/>
      <c r="Q769" s="255"/>
      <c r="R769" s="256"/>
      <c r="S769" s="256"/>
      <c r="T769" s="255"/>
      <c r="U769" s="259"/>
    </row>
    <row r="770">
      <c r="A770" s="255"/>
      <c r="B770" s="255"/>
      <c r="C770" s="256"/>
      <c r="D770" s="255"/>
      <c r="E770" s="255"/>
      <c r="F770" s="255"/>
      <c r="G770" s="256"/>
      <c r="H770" s="255"/>
      <c r="I770" s="255"/>
      <c r="J770" s="255"/>
      <c r="K770" s="256"/>
      <c r="L770" s="255"/>
      <c r="M770" s="255"/>
      <c r="N770" s="255"/>
      <c r="O770" s="256"/>
      <c r="P770" s="255"/>
      <c r="Q770" s="255"/>
      <c r="R770" s="256"/>
      <c r="S770" s="256"/>
      <c r="T770" s="255"/>
      <c r="U770" s="259"/>
    </row>
    <row r="771">
      <c r="A771" s="255"/>
      <c r="B771" s="255"/>
      <c r="C771" s="256"/>
      <c r="D771" s="255"/>
      <c r="E771" s="255"/>
      <c r="F771" s="255"/>
      <c r="G771" s="256"/>
      <c r="H771" s="255"/>
      <c r="I771" s="255"/>
      <c r="J771" s="255"/>
      <c r="K771" s="256"/>
      <c r="L771" s="255"/>
      <c r="M771" s="255"/>
      <c r="N771" s="255"/>
      <c r="O771" s="256"/>
      <c r="P771" s="255"/>
      <c r="Q771" s="255"/>
      <c r="R771" s="256"/>
      <c r="S771" s="256"/>
      <c r="T771" s="255"/>
      <c r="U771" s="259"/>
    </row>
    <row r="772">
      <c r="A772" s="255"/>
      <c r="B772" s="255"/>
      <c r="C772" s="256"/>
      <c r="D772" s="255"/>
      <c r="E772" s="255"/>
      <c r="F772" s="255"/>
      <c r="G772" s="256"/>
      <c r="H772" s="255"/>
      <c r="I772" s="255"/>
      <c r="J772" s="255"/>
      <c r="K772" s="256"/>
      <c r="L772" s="255"/>
      <c r="M772" s="255"/>
      <c r="N772" s="255"/>
      <c r="O772" s="256"/>
      <c r="P772" s="255"/>
      <c r="Q772" s="255"/>
      <c r="R772" s="256"/>
      <c r="S772" s="256"/>
      <c r="T772" s="255"/>
      <c r="U772" s="259"/>
    </row>
    <row r="773">
      <c r="A773" s="255"/>
      <c r="B773" s="255"/>
      <c r="C773" s="256"/>
      <c r="D773" s="255"/>
      <c r="E773" s="255"/>
      <c r="F773" s="255"/>
      <c r="G773" s="256"/>
      <c r="H773" s="255"/>
      <c r="I773" s="255"/>
      <c r="J773" s="255"/>
      <c r="K773" s="256"/>
      <c r="L773" s="255"/>
      <c r="M773" s="255"/>
      <c r="N773" s="255"/>
      <c r="O773" s="256"/>
      <c r="P773" s="255"/>
      <c r="Q773" s="255"/>
      <c r="R773" s="256"/>
      <c r="S773" s="256"/>
      <c r="T773" s="255"/>
      <c r="U773" s="259"/>
    </row>
    <row r="774">
      <c r="A774" s="255"/>
      <c r="B774" s="255"/>
      <c r="C774" s="256"/>
      <c r="D774" s="255"/>
      <c r="E774" s="255"/>
      <c r="F774" s="255"/>
      <c r="G774" s="256"/>
      <c r="H774" s="255"/>
      <c r="I774" s="255"/>
      <c r="J774" s="255"/>
      <c r="K774" s="256"/>
      <c r="L774" s="255"/>
      <c r="M774" s="255"/>
      <c r="N774" s="255"/>
      <c r="O774" s="256"/>
      <c r="P774" s="255"/>
      <c r="Q774" s="255"/>
      <c r="R774" s="256"/>
      <c r="S774" s="256"/>
      <c r="T774" s="255"/>
      <c r="U774" s="259"/>
    </row>
    <row r="775">
      <c r="A775" s="255"/>
      <c r="B775" s="255"/>
      <c r="C775" s="256"/>
      <c r="D775" s="255"/>
      <c r="E775" s="255"/>
      <c r="F775" s="255"/>
      <c r="G775" s="256"/>
      <c r="H775" s="255"/>
      <c r="I775" s="255"/>
      <c r="J775" s="255"/>
      <c r="K775" s="256"/>
      <c r="L775" s="255"/>
      <c r="M775" s="255"/>
      <c r="N775" s="255"/>
      <c r="O775" s="256"/>
      <c r="P775" s="255"/>
      <c r="Q775" s="255"/>
      <c r="R775" s="256"/>
      <c r="S775" s="256"/>
      <c r="T775" s="255"/>
      <c r="U775" s="259"/>
    </row>
    <row r="776">
      <c r="A776" s="255"/>
      <c r="B776" s="255"/>
      <c r="C776" s="256"/>
      <c r="D776" s="255"/>
      <c r="E776" s="255"/>
      <c r="F776" s="255"/>
      <c r="G776" s="256"/>
      <c r="H776" s="255"/>
      <c r="I776" s="255"/>
      <c r="J776" s="255"/>
      <c r="K776" s="256"/>
      <c r="L776" s="255"/>
      <c r="M776" s="255"/>
      <c r="N776" s="255"/>
      <c r="O776" s="256"/>
      <c r="P776" s="255"/>
      <c r="Q776" s="255"/>
      <c r="R776" s="256"/>
      <c r="S776" s="256"/>
      <c r="T776" s="255"/>
      <c r="U776" s="259"/>
    </row>
    <row r="777">
      <c r="A777" s="255"/>
      <c r="B777" s="255"/>
      <c r="C777" s="256"/>
      <c r="D777" s="255"/>
      <c r="E777" s="255"/>
      <c r="F777" s="255"/>
      <c r="G777" s="256"/>
      <c r="H777" s="255"/>
      <c r="I777" s="255"/>
      <c r="J777" s="255"/>
      <c r="K777" s="256"/>
      <c r="L777" s="255"/>
      <c r="M777" s="255"/>
      <c r="N777" s="255"/>
      <c r="O777" s="256"/>
      <c r="P777" s="255"/>
      <c r="Q777" s="255"/>
      <c r="R777" s="256"/>
      <c r="S777" s="256"/>
      <c r="T777" s="255"/>
      <c r="U777" s="259"/>
    </row>
    <row r="778">
      <c r="A778" s="255"/>
      <c r="B778" s="255"/>
      <c r="C778" s="256"/>
      <c r="D778" s="255"/>
      <c r="E778" s="255"/>
      <c r="F778" s="255"/>
      <c r="G778" s="256"/>
      <c r="H778" s="255"/>
      <c r="I778" s="255"/>
      <c r="J778" s="255"/>
      <c r="K778" s="256"/>
      <c r="L778" s="255"/>
      <c r="M778" s="255"/>
      <c r="N778" s="255"/>
      <c r="O778" s="256"/>
      <c r="P778" s="255"/>
      <c r="Q778" s="255"/>
      <c r="R778" s="256"/>
      <c r="S778" s="256"/>
      <c r="T778" s="255"/>
      <c r="U778" s="259"/>
    </row>
    <row r="779">
      <c r="A779" s="255"/>
      <c r="B779" s="255"/>
      <c r="C779" s="256"/>
      <c r="D779" s="255"/>
      <c r="E779" s="255"/>
      <c r="F779" s="255"/>
      <c r="G779" s="256"/>
      <c r="H779" s="255"/>
      <c r="I779" s="255"/>
      <c r="J779" s="255"/>
      <c r="K779" s="256"/>
      <c r="L779" s="255"/>
      <c r="M779" s="255"/>
      <c r="N779" s="255"/>
      <c r="O779" s="256"/>
      <c r="P779" s="255"/>
      <c r="Q779" s="255"/>
      <c r="R779" s="256"/>
      <c r="S779" s="256"/>
      <c r="T779" s="255"/>
      <c r="U779" s="259"/>
    </row>
    <row r="780">
      <c r="A780" s="255"/>
      <c r="B780" s="255"/>
      <c r="C780" s="256"/>
      <c r="D780" s="255"/>
      <c r="E780" s="255"/>
      <c r="F780" s="255"/>
      <c r="G780" s="256"/>
      <c r="H780" s="255"/>
      <c r="I780" s="255"/>
      <c r="J780" s="255"/>
      <c r="K780" s="256"/>
      <c r="L780" s="255"/>
      <c r="M780" s="255"/>
      <c r="N780" s="255"/>
      <c r="O780" s="256"/>
      <c r="P780" s="255"/>
      <c r="Q780" s="255"/>
      <c r="R780" s="256"/>
      <c r="S780" s="256"/>
      <c r="T780" s="255"/>
      <c r="U780" s="259"/>
    </row>
    <row r="781">
      <c r="A781" s="255"/>
      <c r="B781" s="255"/>
      <c r="C781" s="256"/>
      <c r="D781" s="255"/>
      <c r="E781" s="255"/>
      <c r="F781" s="255"/>
      <c r="G781" s="256"/>
      <c r="H781" s="255"/>
      <c r="I781" s="255"/>
      <c r="J781" s="255"/>
      <c r="K781" s="256"/>
      <c r="L781" s="255"/>
      <c r="M781" s="255"/>
      <c r="N781" s="255"/>
      <c r="O781" s="256"/>
      <c r="P781" s="255"/>
      <c r="Q781" s="255"/>
      <c r="R781" s="256"/>
      <c r="S781" s="256"/>
      <c r="T781" s="255"/>
      <c r="U781" s="259"/>
    </row>
    <row r="782">
      <c r="A782" s="255"/>
      <c r="B782" s="255"/>
      <c r="C782" s="256"/>
      <c r="D782" s="255"/>
      <c r="E782" s="255"/>
      <c r="F782" s="255"/>
      <c r="G782" s="256"/>
      <c r="H782" s="255"/>
      <c r="I782" s="255"/>
      <c r="J782" s="255"/>
      <c r="K782" s="256"/>
      <c r="L782" s="255"/>
      <c r="M782" s="255"/>
      <c r="N782" s="255"/>
      <c r="O782" s="256"/>
      <c r="P782" s="255"/>
      <c r="Q782" s="255"/>
      <c r="R782" s="256"/>
      <c r="S782" s="256"/>
      <c r="T782" s="255"/>
      <c r="U782" s="259"/>
    </row>
    <row r="783">
      <c r="A783" s="255"/>
      <c r="B783" s="255"/>
      <c r="C783" s="256"/>
      <c r="D783" s="255"/>
      <c r="E783" s="255"/>
      <c r="F783" s="255"/>
      <c r="G783" s="256"/>
      <c r="H783" s="255"/>
      <c r="I783" s="255"/>
      <c r="J783" s="255"/>
      <c r="K783" s="256"/>
      <c r="L783" s="255"/>
      <c r="M783" s="255"/>
      <c r="N783" s="255"/>
      <c r="O783" s="256"/>
      <c r="P783" s="255"/>
      <c r="Q783" s="255"/>
      <c r="R783" s="256"/>
      <c r="S783" s="256"/>
      <c r="T783" s="255"/>
      <c r="U783" s="259"/>
    </row>
    <row r="784">
      <c r="A784" s="255"/>
      <c r="B784" s="255"/>
      <c r="C784" s="256"/>
      <c r="D784" s="255"/>
      <c r="E784" s="255"/>
      <c r="F784" s="255"/>
      <c r="G784" s="256"/>
      <c r="H784" s="255"/>
      <c r="I784" s="255"/>
      <c r="J784" s="255"/>
      <c r="K784" s="256"/>
      <c r="L784" s="255"/>
      <c r="M784" s="255"/>
      <c r="N784" s="255"/>
      <c r="O784" s="256"/>
      <c r="P784" s="255"/>
      <c r="Q784" s="255"/>
      <c r="R784" s="256"/>
      <c r="S784" s="256"/>
      <c r="T784" s="255"/>
      <c r="U784" s="259"/>
    </row>
    <row r="785">
      <c r="A785" s="255"/>
      <c r="B785" s="255"/>
      <c r="C785" s="256"/>
      <c r="D785" s="255"/>
      <c r="E785" s="255"/>
      <c r="F785" s="255"/>
      <c r="G785" s="256"/>
      <c r="H785" s="255"/>
      <c r="I785" s="255"/>
      <c r="J785" s="255"/>
      <c r="K785" s="256"/>
      <c r="L785" s="255"/>
      <c r="M785" s="255"/>
      <c r="N785" s="255"/>
      <c r="O785" s="256"/>
      <c r="P785" s="255"/>
      <c r="Q785" s="255"/>
      <c r="R785" s="256"/>
      <c r="S785" s="256"/>
      <c r="T785" s="255"/>
      <c r="U785" s="259"/>
    </row>
    <row r="786">
      <c r="A786" s="255"/>
      <c r="B786" s="255"/>
      <c r="C786" s="256"/>
      <c r="D786" s="255"/>
      <c r="E786" s="255"/>
      <c r="F786" s="255"/>
      <c r="G786" s="256"/>
      <c r="H786" s="255"/>
      <c r="I786" s="255"/>
      <c r="J786" s="255"/>
      <c r="K786" s="256"/>
      <c r="L786" s="255"/>
      <c r="M786" s="255"/>
      <c r="N786" s="255"/>
      <c r="O786" s="256"/>
      <c r="P786" s="255"/>
      <c r="Q786" s="255"/>
      <c r="R786" s="256"/>
      <c r="S786" s="256"/>
      <c r="T786" s="255"/>
      <c r="U786" s="259"/>
    </row>
    <row r="787">
      <c r="A787" s="255"/>
      <c r="B787" s="255"/>
      <c r="C787" s="256"/>
      <c r="D787" s="255"/>
      <c r="E787" s="255"/>
      <c r="F787" s="255"/>
      <c r="G787" s="256"/>
      <c r="H787" s="255"/>
      <c r="I787" s="255"/>
      <c r="J787" s="255"/>
      <c r="K787" s="256"/>
      <c r="L787" s="255"/>
      <c r="M787" s="255"/>
      <c r="N787" s="255"/>
      <c r="O787" s="256"/>
      <c r="P787" s="255"/>
      <c r="Q787" s="255"/>
      <c r="R787" s="256"/>
      <c r="S787" s="256"/>
      <c r="T787" s="255"/>
      <c r="U787" s="259"/>
    </row>
    <row r="788">
      <c r="A788" s="255"/>
      <c r="B788" s="255"/>
      <c r="C788" s="256"/>
      <c r="D788" s="255"/>
      <c r="E788" s="255"/>
      <c r="F788" s="255"/>
      <c r="G788" s="256"/>
      <c r="H788" s="255"/>
      <c r="I788" s="255"/>
      <c r="J788" s="255"/>
      <c r="K788" s="256"/>
      <c r="L788" s="255"/>
      <c r="M788" s="255"/>
      <c r="N788" s="255"/>
      <c r="O788" s="256"/>
      <c r="P788" s="255"/>
      <c r="Q788" s="255"/>
      <c r="R788" s="256"/>
      <c r="S788" s="256"/>
      <c r="T788" s="255"/>
      <c r="U788" s="259"/>
    </row>
    <row r="789">
      <c r="A789" s="255"/>
      <c r="B789" s="255"/>
      <c r="C789" s="256"/>
      <c r="D789" s="255"/>
      <c r="E789" s="255"/>
      <c r="F789" s="255"/>
      <c r="G789" s="256"/>
      <c r="H789" s="255"/>
      <c r="I789" s="255"/>
      <c r="J789" s="255"/>
      <c r="K789" s="256"/>
      <c r="L789" s="255"/>
      <c r="M789" s="255"/>
      <c r="N789" s="255"/>
      <c r="O789" s="256"/>
      <c r="P789" s="255"/>
      <c r="Q789" s="255"/>
      <c r="R789" s="256"/>
      <c r="S789" s="256"/>
      <c r="T789" s="255"/>
      <c r="U789" s="259"/>
    </row>
    <row r="790">
      <c r="A790" s="255"/>
      <c r="B790" s="255"/>
      <c r="C790" s="256"/>
      <c r="D790" s="255"/>
      <c r="E790" s="255"/>
      <c r="F790" s="255"/>
      <c r="G790" s="256"/>
      <c r="H790" s="255"/>
      <c r="I790" s="255"/>
      <c r="J790" s="255"/>
      <c r="K790" s="256"/>
      <c r="L790" s="255"/>
      <c r="M790" s="255"/>
      <c r="N790" s="255"/>
      <c r="O790" s="256"/>
      <c r="P790" s="255"/>
      <c r="Q790" s="255"/>
      <c r="R790" s="256"/>
      <c r="S790" s="256"/>
      <c r="T790" s="255"/>
      <c r="U790" s="259"/>
    </row>
    <row r="791">
      <c r="A791" s="255"/>
      <c r="B791" s="255"/>
      <c r="C791" s="256"/>
      <c r="D791" s="255"/>
      <c r="E791" s="255"/>
      <c r="F791" s="255"/>
      <c r="G791" s="256"/>
      <c r="H791" s="255"/>
      <c r="I791" s="255"/>
      <c r="J791" s="255"/>
      <c r="K791" s="256"/>
      <c r="L791" s="255"/>
      <c r="M791" s="255"/>
      <c r="N791" s="255"/>
      <c r="O791" s="256"/>
      <c r="P791" s="255"/>
      <c r="Q791" s="255"/>
      <c r="R791" s="256"/>
      <c r="S791" s="256"/>
      <c r="T791" s="255"/>
      <c r="U791" s="259"/>
    </row>
    <row r="792">
      <c r="A792" s="255"/>
      <c r="B792" s="255"/>
      <c r="C792" s="256"/>
      <c r="D792" s="255"/>
      <c r="E792" s="255"/>
      <c r="F792" s="255"/>
      <c r="G792" s="256"/>
      <c r="H792" s="255"/>
      <c r="I792" s="255"/>
      <c r="J792" s="255"/>
      <c r="K792" s="256"/>
      <c r="L792" s="255"/>
      <c r="M792" s="255"/>
      <c r="N792" s="255"/>
      <c r="O792" s="256"/>
      <c r="P792" s="255"/>
      <c r="Q792" s="255"/>
      <c r="R792" s="256"/>
      <c r="S792" s="256"/>
      <c r="T792" s="255"/>
      <c r="U792" s="259"/>
    </row>
    <row r="793">
      <c r="A793" s="255"/>
      <c r="B793" s="255"/>
      <c r="C793" s="256"/>
      <c r="D793" s="255"/>
      <c r="E793" s="255"/>
      <c r="F793" s="255"/>
      <c r="G793" s="256"/>
      <c r="H793" s="255"/>
      <c r="I793" s="255"/>
      <c r="J793" s="255"/>
      <c r="K793" s="256"/>
      <c r="L793" s="255"/>
      <c r="M793" s="255"/>
      <c r="N793" s="255"/>
      <c r="O793" s="256"/>
      <c r="P793" s="255"/>
      <c r="Q793" s="255"/>
      <c r="R793" s="256"/>
      <c r="S793" s="256"/>
      <c r="T793" s="255"/>
      <c r="U793" s="259"/>
    </row>
    <row r="794">
      <c r="A794" s="255"/>
      <c r="B794" s="255"/>
      <c r="C794" s="256"/>
      <c r="D794" s="255"/>
      <c r="E794" s="255"/>
      <c r="F794" s="255"/>
      <c r="G794" s="256"/>
      <c r="H794" s="255"/>
      <c r="I794" s="255"/>
      <c r="J794" s="255"/>
      <c r="K794" s="256"/>
      <c r="L794" s="255"/>
      <c r="M794" s="255"/>
      <c r="N794" s="255"/>
      <c r="O794" s="256"/>
      <c r="P794" s="255"/>
      <c r="Q794" s="255"/>
      <c r="R794" s="256"/>
      <c r="S794" s="256"/>
      <c r="T794" s="255"/>
      <c r="U794" s="259"/>
    </row>
    <row r="795">
      <c r="A795" s="255"/>
      <c r="B795" s="255"/>
      <c r="C795" s="256"/>
      <c r="D795" s="255"/>
      <c r="E795" s="255"/>
      <c r="F795" s="255"/>
      <c r="G795" s="256"/>
      <c r="H795" s="255"/>
      <c r="I795" s="255"/>
      <c r="J795" s="255"/>
      <c r="K795" s="256"/>
      <c r="L795" s="255"/>
      <c r="M795" s="255"/>
      <c r="N795" s="255"/>
      <c r="O795" s="256"/>
      <c r="P795" s="255"/>
      <c r="Q795" s="255"/>
      <c r="R795" s="256"/>
      <c r="S795" s="256"/>
      <c r="T795" s="255"/>
      <c r="U795" s="259"/>
    </row>
    <row r="796">
      <c r="A796" s="255"/>
      <c r="B796" s="255"/>
      <c r="C796" s="256"/>
      <c r="D796" s="255"/>
      <c r="E796" s="255"/>
      <c r="F796" s="255"/>
      <c r="G796" s="256"/>
      <c r="H796" s="255"/>
      <c r="I796" s="255"/>
      <c r="J796" s="255"/>
      <c r="K796" s="256"/>
      <c r="L796" s="255"/>
      <c r="M796" s="255"/>
      <c r="N796" s="255"/>
      <c r="O796" s="256"/>
      <c r="P796" s="255"/>
      <c r="Q796" s="255"/>
      <c r="R796" s="256"/>
      <c r="S796" s="256"/>
      <c r="T796" s="255"/>
      <c r="U796" s="259"/>
    </row>
    <row r="797">
      <c r="A797" s="255"/>
      <c r="B797" s="255"/>
      <c r="C797" s="256"/>
      <c r="D797" s="255"/>
      <c r="E797" s="255"/>
      <c r="F797" s="255"/>
      <c r="G797" s="256"/>
      <c r="H797" s="255"/>
      <c r="I797" s="255"/>
      <c r="J797" s="255"/>
      <c r="K797" s="256"/>
      <c r="L797" s="255"/>
      <c r="M797" s="255"/>
      <c r="N797" s="255"/>
      <c r="O797" s="256"/>
      <c r="P797" s="255"/>
      <c r="Q797" s="255"/>
      <c r="R797" s="256"/>
      <c r="S797" s="256"/>
      <c r="T797" s="255"/>
      <c r="U797" s="259"/>
    </row>
    <row r="798">
      <c r="A798" s="255"/>
      <c r="B798" s="255"/>
      <c r="C798" s="256"/>
      <c r="D798" s="255"/>
      <c r="E798" s="255"/>
      <c r="F798" s="255"/>
      <c r="G798" s="256"/>
      <c r="H798" s="255"/>
      <c r="I798" s="255"/>
      <c r="J798" s="255"/>
      <c r="K798" s="256"/>
      <c r="L798" s="255"/>
      <c r="M798" s="255"/>
      <c r="N798" s="255"/>
      <c r="O798" s="256"/>
      <c r="P798" s="255"/>
      <c r="Q798" s="255"/>
      <c r="R798" s="256"/>
      <c r="S798" s="256"/>
      <c r="T798" s="255"/>
      <c r="U798" s="259"/>
    </row>
    <row r="799">
      <c r="A799" s="255"/>
      <c r="B799" s="255"/>
      <c r="C799" s="256"/>
      <c r="D799" s="255"/>
      <c r="E799" s="255"/>
      <c r="F799" s="255"/>
      <c r="G799" s="256"/>
      <c r="H799" s="255"/>
      <c r="I799" s="255"/>
      <c r="J799" s="255"/>
      <c r="K799" s="256"/>
      <c r="L799" s="255"/>
      <c r="M799" s="255"/>
      <c r="N799" s="255"/>
      <c r="O799" s="256"/>
      <c r="P799" s="255"/>
      <c r="Q799" s="255"/>
      <c r="R799" s="256"/>
      <c r="S799" s="256"/>
      <c r="T799" s="255"/>
      <c r="U799" s="259"/>
    </row>
    <row r="800">
      <c r="A800" s="255"/>
      <c r="B800" s="255"/>
      <c r="C800" s="256"/>
      <c r="D800" s="255"/>
      <c r="E800" s="255"/>
      <c r="F800" s="255"/>
      <c r="G800" s="256"/>
      <c r="H800" s="255"/>
      <c r="I800" s="255"/>
      <c r="J800" s="255"/>
      <c r="K800" s="256"/>
      <c r="L800" s="255"/>
      <c r="M800" s="255"/>
      <c r="N800" s="255"/>
      <c r="O800" s="256"/>
      <c r="P800" s="255"/>
      <c r="Q800" s="255"/>
      <c r="R800" s="256"/>
      <c r="S800" s="256"/>
      <c r="T800" s="255"/>
      <c r="U800" s="259"/>
    </row>
    <row r="801">
      <c r="A801" s="255"/>
      <c r="B801" s="255"/>
      <c r="C801" s="256"/>
      <c r="D801" s="255"/>
      <c r="E801" s="255"/>
      <c r="F801" s="255"/>
      <c r="G801" s="256"/>
      <c r="H801" s="255"/>
      <c r="I801" s="255"/>
      <c r="J801" s="255"/>
      <c r="K801" s="256"/>
      <c r="L801" s="255"/>
      <c r="M801" s="255"/>
      <c r="N801" s="255"/>
      <c r="O801" s="256"/>
      <c r="P801" s="255"/>
      <c r="Q801" s="255"/>
      <c r="R801" s="256"/>
      <c r="S801" s="256"/>
      <c r="T801" s="255"/>
      <c r="U801" s="259"/>
    </row>
    <row r="802">
      <c r="A802" s="255"/>
      <c r="B802" s="255"/>
      <c r="C802" s="256"/>
      <c r="D802" s="255"/>
      <c r="E802" s="255"/>
      <c r="F802" s="255"/>
      <c r="G802" s="256"/>
      <c r="H802" s="255"/>
      <c r="I802" s="255"/>
      <c r="J802" s="255"/>
      <c r="K802" s="256"/>
      <c r="L802" s="255"/>
      <c r="M802" s="255"/>
      <c r="N802" s="255"/>
      <c r="O802" s="256"/>
      <c r="P802" s="255"/>
      <c r="Q802" s="255"/>
      <c r="R802" s="256"/>
      <c r="S802" s="256"/>
      <c r="T802" s="255"/>
      <c r="U802" s="259"/>
    </row>
    <row r="803">
      <c r="A803" s="255"/>
      <c r="B803" s="255"/>
      <c r="C803" s="256"/>
      <c r="D803" s="255"/>
      <c r="E803" s="255"/>
      <c r="F803" s="255"/>
      <c r="G803" s="256"/>
      <c r="H803" s="255"/>
      <c r="I803" s="255"/>
      <c r="J803" s="255"/>
      <c r="K803" s="256"/>
      <c r="L803" s="255"/>
      <c r="M803" s="255"/>
      <c r="N803" s="255"/>
      <c r="O803" s="256"/>
      <c r="P803" s="255"/>
      <c r="Q803" s="255"/>
      <c r="R803" s="256"/>
      <c r="S803" s="256"/>
      <c r="T803" s="255"/>
      <c r="U803" s="259"/>
    </row>
    <row r="804">
      <c r="A804" s="255"/>
      <c r="B804" s="255"/>
      <c r="C804" s="256"/>
      <c r="D804" s="255"/>
      <c r="E804" s="255"/>
      <c r="F804" s="255"/>
      <c r="G804" s="256"/>
      <c r="H804" s="255"/>
      <c r="I804" s="255"/>
      <c r="J804" s="255"/>
      <c r="K804" s="256"/>
      <c r="L804" s="255"/>
      <c r="M804" s="255"/>
      <c r="N804" s="255"/>
      <c r="O804" s="256"/>
      <c r="P804" s="255"/>
      <c r="Q804" s="255"/>
      <c r="R804" s="256"/>
      <c r="S804" s="256"/>
      <c r="T804" s="255"/>
      <c r="U804" s="259"/>
    </row>
    <row r="805">
      <c r="A805" s="255"/>
      <c r="B805" s="255"/>
      <c r="C805" s="256"/>
      <c r="D805" s="255"/>
      <c r="E805" s="255"/>
      <c r="F805" s="255"/>
      <c r="G805" s="256"/>
      <c r="H805" s="255"/>
      <c r="I805" s="255"/>
      <c r="J805" s="255"/>
      <c r="K805" s="256"/>
      <c r="L805" s="255"/>
      <c r="M805" s="255"/>
      <c r="N805" s="255"/>
      <c r="O805" s="256"/>
      <c r="P805" s="255"/>
      <c r="Q805" s="255"/>
      <c r="R805" s="256"/>
      <c r="S805" s="256"/>
      <c r="T805" s="255"/>
      <c r="U805" s="259"/>
    </row>
    <row r="806">
      <c r="A806" s="255"/>
      <c r="B806" s="255"/>
      <c r="C806" s="256"/>
      <c r="D806" s="255"/>
      <c r="E806" s="255"/>
      <c r="F806" s="255"/>
      <c r="G806" s="256"/>
      <c r="H806" s="255"/>
      <c r="I806" s="255"/>
      <c r="J806" s="255"/>
      <c r="K806" s="256"/>
      <c r="L806" s="255"/>
      <c r="M806" s="255"/>
      <c r="N806" s="255"/>
      <c r="O806" s="256"/>
      <c r="P806" s="255"/>
      <c r="Q806" s="255"/>
      <c r="R806" s="256"/>
      <c r="S806" s="256"/>
      <c r="T806" s="255"/>
      <c r="U806" s="259"/>
    </row>
    <row r="807">
      <c r="A807" s="255"/>
      <c r="B807" s="255"/>
      <c r="C807" s="256"/>
      <c r="D807" s="255"/>
      <c r="E807" s="255"/>
      <c r="F807" s="255"/>
      <c r="G807" s="256"/>
      <c r="H807" s="255"/>
      <c r="I807" s="255"/>
      <c r="J807" s="255"/>
      <c r="K807" s="256"/>
      <c r="L807" s="255"/>
      <c r="M807" s="255"/>
      <c r="N807" s="255"/>
      <c r="O807" s="256"/>
      <c r="P807" s="255"/>
      <c r="Q807" s="255"/>
      <c r="R807" s="256"/>
      <c r="S807" s="256"/>
      <c r="T807" s="255"/>
      <c r="U807" s="259"/>
    </row>
    <row r="808">
      <c r="A808" s="255"/>
      <c r="B808" s="255"/>
      <c r="C808" s="256"/>
      <c r="D808" s="255"/>
      <c r="E808" s="255"/>
      <c r="F808" s="255"/>
      <c r="G808" s="256"/>
      <c r="H808" s="255"/>
      <c r="I808" s="255"/>
      <c r="J808" s="255"/>
      <c r="K808" s="256"/>
      <c r="L808" s="255"/>
      <c r="M808" s="255"/>
      <c r="N808" s="255"/>
      <c r="O808" s="256"/>
      <c r="P808" s="255"/>
      <c r="Q808" s="255"/>
      <c r="R808" s="256"/>
      <c r="S808" s="256"/>
      <c r="T808" s="255"/>
      <c r="U808" s="259"/>
    </row>
    <row r="809">
      <c r="A809" s="255"/>
      <c r="B809" s="255"/>
      <c r="C809" s="256"/>
      <c r="D809" s="255"/>
      <c r="E809" s="255"/>
      <c r="F809" s="255"/>
      <c r="G809" s="256"/>
      <c r="H809" s="255"/>
      <c r="I809" s="255"/>
      <c r="J809" s="255"/>
      <c r="K809" s="256"/>
      <c r="L809" s="255"/>
      <c r="M809" s="255"/>
      <c r="N809" s="255"/>
      <c r="O809" s="256"/>
      <c r="P809" s="255"/>
      <c r="Q809" s="255"/>
      <c r="R809" s="256"/>
      <c r="S809" s="256"/>
      <c r="T809" s="255"/>
      <c r="U809" s="259"/>
    </row>
    <row r="810">
      <c r="A810" s="255"/>
      <c r="B810" s="255"/>
      <c r="C810" s="256"/>
      <c r="D810" s="255"/>
      <c r="E810" s="255"/>
      <c r="F810" s="255"/>
      <c r="G810" s="256"/>
      <c r="H810" s="255"/>
      <c r="I810" s="255"/>
      <c r="J810" s="255"/>
      <c r="K810" s="256"/>
      <c r="L810" s="255"/>
      <c r="M810" s="255"/>
      <c r="N810" s="255"/>
      <c r="O810" s="256"/>
      <c r="P810" s="255"/>
      <c r="Q810" s="255"/>
      <c r="R810" s="256"/>
      <c r="S810" s="256"/>
      <c r="T810" s="255"/>
      <c r="U810" s="259"/>
    </row>
    <row r="811">
      <c r="A811" s="255"/>
      <c r="B811" s="255"/>
      <c r="C811" s="256"/>
      <c r="D811" s="255"/>
      <c r="E811" s="255"/>
      <c r="F811" s="255"/>
      <c r="G811" s="256"/>
      <c r="H811" s="255"/>
      <c r="I811" s="255"/>
      <c r="J811" s="255"/>
      <c r="K811" s="256"/>
      <c r="L811" s="255"/>
      <c r="M811" s="255"/>
      <c r="N811" s="255"/>
      <c r="O811" s="256"/>
      <c r="P811" s="255"/>
      <c r="Q811" s="255"/>
      <c r="R811" s="256"/>
      <c r="S811" s="256"/>
      <c r="T811" s="255"/>
      <c r="U811" s="259"/>
    </row>
    <row r="812">
      <c r="A812" s="255"/>
      <c r="B812" s="255"/>
      <c r="C812" s="256"/>
      <c r="D812" s="255"/>
      <c r="E812" s="255"/>
      <c r="F812" s="255"/>
      <c r="G812" s="256"/>
      <c r="H812" s="255"/>
      <c r="I812" s="255"/>
      <c r="J812" s="255"/>
      <c r="K812" s="256"/>
      <c r="L812" s="255"/>
      <c r="M812" s="255"/>
      <c r="N812" s="255"/>
      <c r="O812" s="256"/>
      <c r="P812" s="255"/>
      <c r="Q812" s="255"/>
      <c r="R812" s="256"/>
      <c r="S812" s="256"/>
      <c r="T812" s="255"/>
      <c r="U812" s="259"/>
    </row>
    <row r="813">
      <c r="A813" s="255"/>
      <c r="B813" s="255"/>
      <c r="C813" s="256"/>
      <c r="D813" s="255"/>
      <c r="E813" s="255"/>
      <c r="F813" s="255"/>
      <c r="G813" s="256"/>
      <c r="H813" s="255"/>
      <c r="I813" s="255"/>
      <c r="J813" s="255"/>
      <c r="K813" s="256"/>
      <c r="L813" s="255"/>
      <c r="M813" s="255"/>
      <c r="N813" s="255"/>
      <c r="O813" s="256"/>
      <c r="P813" s="255"/>
      <c r="Q813" s="255"/>
      <c r="R813" s="256"/>
      <c r="S813" s="256"/>
      <c r="T813" s="255"/>
      <c r="U813" s="259"/>
    </row>
    <row r="814">
      <c r="A814" s="255"/>
      <c r="B814" s="255"/>
      <c r="C814" s="256"/>
      <c r="D814" s="255"/>
      <c r="E814" s="255"/>
      <c r="F814" s="255"/>
      <c r="G814" s="256"/>
      <c r="H814" s="255"/>
      <c r="I814" s="255"/>
      <c r="J814" s="255"/>
      <c r="K814" s="256"/>
      <c r="L814" s="255"/>
      <c r="M814" s="255"/>
      <c r="N814" s="255"/>
      <c r="O814" s="256"/>
      <c r="P814" s="255"/>
      <c r="Q814" s="255"/>
      <c r="R814" s="256"/>
      <c r="S814" s="256"/>
      <c r="T814" s="255"/>
      <c r="U814" s="259"/>
    </row>
    <row r="815">
      <c r="A815" s="255"/>
      <c r="B815" s="255"/>
      <c r="C815" s="256"/>
      <c r="D815" s="255"/>
      <c r="E815" s="255"/>
      <c r="F815" s="255"/>
      <c r="G815" s="256"/>
      <c r="H815" s="255"/>
      <c r="I815" s="255"/>
      <c r="J815" s="255"/>
      <c r="K815" s="256"/>
      <c r="L815" s="255"/>
      <c r="M815" s="255"/>
      <c r="N815" s="255"/>
      <c r="O815" s="256"/>
      <c r="P815" s="255"/>
      <c r="Q815" s="255"/>
      <c r="R815" s="256"/>
      <c r="S815" s="256"/>
      <c r="T815" s="255"/>
      <c r="U815" s="259"/>
    </row>
    <row r="816">
      <c r="A816" s="255"/>
      <c r="B816" s="255"/>
      <c r="C816" s="256"/>
      <c r="D816" s="255"/>
      <c r="E816" s="255"/>
      <c r="F816" s="255"/>
      <c r="G816" s="256"/>
      <c r="H816" s="255"/>
      <c r="I816" s="255"/>
      <c r="J816" s="255"/>
      <c r="K816" s="256"/>
      <c r="L816" s="255"/>
      <c r="M816" s="255"/>
      <c r="N816" s="255"/>
      <c r="O816" s="256"/>
      <c r="P816" s="255"/>
      <c r="Q816" s="255"/>
      <c r="R816" s="256"/>
      <c r="S816" s="256"/>
      <c r="T816" s="255"/>
      <c r="U816" s="259"/>
    </row>
    <row r="817">
      <c r="A817" s="255"/>
      <c r="B817" s="255"/>
      <c r="C817" s="256"/>
      <c r="D817" s="255"/>
      <c r="E817" s="255"/>
      <c r="F817" s="255"/>
      <c r="G817" s="256"/>
      <c r="H817" s="255"/>
      <c r="I817" s="255"/>
      <c r="J817" s="255"/>
      <c r="K817" s="256"/>
      <c r="L817" s="255"/>
      <c r="M817" s="255"/>
      <c r="N817" s="255"/>
      <c r="O817" s="256"/>
      <c r="P817" s="255"/>
      <c r="Q817" s="255"/>
      <c r="R817" s="256"/>
      <c r="S817" s="256"/>
      <c r="T817" s="255"/>
      <c r="U817" s="259"/>
    </row>
    <row r="818">
      <c r="A818" s="255"/>
      <c r="B818" s="255"/>
      <c r="C818" s="256"/>
      <c r="D818" s="255"/>
      <c r="E818" s="255"/>
      <c r="F818" s="255"/>
      <c r="G818" s="256"/>
      <c r="H818" s="255"/>
      <c r="I818" s="255"/>
      <c r="J818" s="255"/>
      <c r="K818" s="256"/>
      <c r="L818" s="255"/>
      <c r="M818" s="255"/>
      <c r="N818" s="255"/>
      <c r="O818" s="256"/>
      <c r="P818" s="255"/>
      <c r="Q818" s="255"/>
      <c r="R818" s="256"/>
      <c r="S818" s="256"/>
      <c r="T818" s="255"/>
      <c r="U818" s="259"/>
    </row>
    <row r="819">
      <c r="A819" s="255"/>
      <c r="B819" s="255"/>
      <c r="C819" s="256"/>
      <c r="D819" s="255"/>
      <c r="E819" s="255"/>
      <c r="F819" s="255"/>
      <c r="G819" s="256"/>
      <c r="H819" s="255"/>
      <c r="I819" s="255"/>
      <c r="J819" s="255"/>
      <c r="K819" s="256"/>
      <c r="L819" s="255"/>
      <c r="M819" s="255"/>
      <c r="N819" s="255"/>
      <c r="O819" s="256"/>
      <c r="P819" s="255"/>
      <c r="Q819" s="255"/>
      <c r="R819" s="256"/>
      <c r="S819" s="256"/>
      <c r="T819" s="255"/>
      <c r="U819" s="259"/>
    </row>
    <row r="820">
      <c r="A820" s="255"/>
      <c r="B820" s="255"/>
      <c r="C820" s="256"/>
      <c r="D820" s="255"/>
      <c r="E820" s="255"/>
      <c r="F820" s="255"/>
      <c r="G820" s="256"/>
      <c r="H820" s="255"/>
      <c r="I820" s="255"/>
      <c r="J820" s="255"/>
      <c r="K820" s="256"/>
      <c r="L820" s="255"/>
      <c r="M820" s="255"/>
      <c r="N820" s="255"/>
      <c r="O820" s="256"/>
      <c r="P820" s="255"/>
      <c r="Q820" s="255"/>
      <c r="R820" s="256"/>
      <c r="S820" s="256"/>
      <c r="T820" s="255"/>
      <c r="U820" s="259"/>
    </row>
    <row r="821">
      <c r="A821" s="255"/>
      <c r="B821" s="255"/>
      <c r="C821" s="256"/>
      <c r="D821" s="255"/>
      <c r="E821" s="255"/>
      <c r="F821" s="255"/>
      <c r="G821" s="256"/>
      <c r="H821" s="255"/>
      <c r="I821" s="255"/>
      <c r="J821" s="255"/>
      <c r="K821" s="256"/>
      <c r="L821" s="255"/>
      <c r="M821" s="255"/>
      <c r="N821" s="255"/>
      <c r="O821" s="256"/>
      <c r="P821" s="255"/>
      <c r="Q821" s="255"/>
      <c r="R821" s="256"/>
      <c r="S821" s="256"/>
      <c r="T821" s="255"/>
      <c r="U821" s="259"/>
    </row>
    <row r="822">
      <c r="A822" s="255"/>
      <c r="B822" s="255"/>
      <c r="C822" s="256"/>
      <c r="D822" s="255"/>
      <c r="E822" s="255"/>
      <c r="F822" s="255"/>
      <c r="G822" s="256"/>
      <c r="H822" s="255"/>
      <c r="I822" s="255"/>
      <c r="J822" s="255"/>
      <c r="K822" s="256"/>
      <c r="L822" s="255"/>
      <c r="M822" s="255"/>
      <c r="N822" s="255"/>
      <c r="O822" s="256"/>
      <c r="P822" s="255"/>
      <c r="Q822" s="255"/>
      <c r="R822" s="256"/>
      <c r="S822" s="256"/>
      <c r="T822" s="255"/>
      <c r="U822" s="259"/>
    </row>
    <row r="823">
      <c r="A823" s="255"/>
      <c r="B823" s="255"/>
      <c r="C823" s="256"/>
      <c r="D823" s="255"/>
      <c r="E823" s="255"/>
      <c r="F823" s="255"/>
      <c r="G823" s="256"/>
      <c r="H823" s="255"/>
      <c r="I823" s="255"/>
      <c r="J823" s="255"/>
      <c r="K823" s="256"/>
      <c r="L823" s="255"/>
      <c r="M823" s="255"/>
      <c r="N823" s="255"/>
      <c r="O823" s="256"/>
      <c r="P823" s="255"/>
      <c r="Q823" s="255"/>
      <c r="R823" s="256"/>
      <c r="S823" s="256"/>
      <c r="T823" s="255"/>
      <c r="U823" s="259"/>
    </row>
    <row r="824">
      <c r="A824" s="255"/>
      <c r="B824" s="255"/>
      <c r="C824" s="256"/>
      <c r="D824" s="255"/>
      <c r="E824" s="255"/>
      <c r="F824" s="255"/>
      <c r="G824" s="256"/>
      <c r="H824" s="255"/>
      <c r="I824" s="255"/>
      <c r="J824" s="255"/>
      <c r="K824" s="256"/>
      <c r="L824" s="255"/>
      <c r="M824" s="255"/>
      <c r="N824" s="255"/>
      <c r="O824" s="256"/>
      <c r="P824" s="255"/>
      <c r="Q824" s="255"/>
      <c r="R824" s="256"/>
      <c r="S824" s="256"/>
      <c r="T824" s="255"/>
      <c r="U824" s="259"/>
    </row>
    <row r="825">
      <c r="A825" s="255"/>
      <c r="B825" s="255"/>
      <c r="C825" s="256"/>
      <c r="D825" s="255"/>
      <c r="E825" s="255"/>
      <c r="F825" s="255"/>
      <c r="G825" s="256"/>
      <c r="H825" s="255"/>
      <c r="I825" s="255"/>
      <c r="J825" s="255"/>
      <c r="K825" s="256"/>
      <c r="L825" s="255"/>
      <c r="M825" s="255"/>
      <c r="N825" s="255"/>
      <c r="O825" s="256"/>
      <c r="P825" s="255"/>
      <c r="Q825" s="255"/>
      <c r="R825" s="256"/>
      <c r="S825" s="256"/>
      <c r="T825" s="255"/>
      <c r="U825" s="259"/>
    </row>
    <row r="826">
      <c r="A826" s="255"/>
      <c r="B826" s="255"/>
      <c r="C826" s="256"/>
      <c r="D826" s="255"/>
      <c r="E826" s="255"/>
      <c r="F826" s="255"/>
      <c r="G826" s="256"/>
      <c r="H826" s="255"/>
      <c r="I826" s="255"/>
      <c r="J826" s="255"/>
      <c r="K826" s="256"/>
      <c r="L826" s="255"/>
      <c r="M826" s="255"/>
      <c r="N826" s="255"/>
      <c r="O826" s="256"/>
      <c r="P826" s="255"/>
      <c r="Q826" s="255"/>
      <c r="R826" s="256"/>
      <c r="S826" s="256"/>
      <c r="T826" s="255"/>
      <c r="U826" s="259"/>
    </row>
    <row r="827">
      <c r="A827" s="255"/>
      <c r="B827" s="255"/>
      <c r="C827" s="256"/>
      <c r="D827" s="255"/>
      <c r="E827" s="255"/>
      <c r="F827" s="255"/>
      <c r="G827" s="256"/>
      <c r="H827" s="255"/>
      <c r="I827" s="255"/>
      <c r="J827" s="255"/>
      <c r="K827" s="256"/>
      <c r="L827" s="255"/>
      <c r="M827" s="255"/>
      <c r="N827" s="255"/>
      <c r="O827" s="256"/>
      <c r="P827" s="255"/>
      <c r="Q827" s="255"/>
      <c r="R827" s="256"/>
      <c r="S827" s="256"/>
      <c r="T827" s="255"/>
      <c r="U827" s="259"/>
    </row>
    <row r="828">
      <c r="A828" s="255"/>
      <c r="B828" s="255"/>
      <c r="C828" s="256"/>
      <c r="D828" s="255"/>
      <c r="E828" s="255"/>
      <c r="F828" s="255"/>
      <c r="G828" s="256"/>
      <c r="H828" s="255"/>
      <c r="I828" s="255"/>
      <c r="J828" s="255"/>
      <c r="K828" s="256"/>
      <c r="L828" s="255"/>
      <c r="M828" s="255"/>
      <c r="N828" s="255"/>
      <c r="O828" s="256"/>
      <c r="P828" s="255"/>
      <c r="Q828" s="255"/>
      <c r="R828" s="256"/>
      <c r="S828" s="256"/>
      <c r="T828" s="255"/>
      <c r="U828" s="259"/>
    </row>
    <row r="829">
      <c r="A829" s="255"/>
      <c r="B829" s="255"/>
      <c r="C829" s="256"/>
      <c r="D829" s="255"/>
      <c r="E829" s="255"/>
      <c r="F829" s="255"/>
      <c r="G829" s="256"/>
      <c r="H829" s="255"/>
      <c r="I829" s="255"/>
      <c r="J829" s="255"/>
      <c r="K829" s="256"/>
      <c r="L829" s="255"/>
      <c r="M829" s="255"/>
      <c r="N829" s="255"/>
      <c r="O829" s="256"/>
      <c r="P829" s="255"/>
      <c r="Q829" s="255"/>
      <c r="R829" s="256"/>
      <c r="S829" s="256"/>
      <c r="T829" s="255"/>
      <c r="U829" s="259"/>
    </row>
    <row r="830">
      <c r="A830" s="255"/>
      <c r="B830" s="255"/>
      <c r="C830" s="256"/>
      <c r="D830" s="255"/>
      <c r="E830" s="255"/>
      <c r="F830" s="255"/>
      <c r="G830" s="256"/>
      <c r="H830" s="255"/>
      <c r="I830" s="255"/>
      <c r="J830" s="255"/>
      <c r="K830" s="256"/>
      <c r="L830" s="255"/>
      <c r="M830" s="255"/>
      <c r="N830" s="255"/>
      <c r="O830" s="256"/>
      <c r="P830" s="255"/>
      <c r="Q830" s="255"/>
      <c r="R830" s="256"/>
      <c r="S830" s="256"/>
      <c r="T830" s="255"/>
      <c r="U830" s="259"/>
    </row>
    <row r="831">
      <c r="A831" s="255"/>
      <c r="B831" s="255"/>
      <c r="C831" s="256"/>
      <c r="D831" s="255"/>
      <c r="E831" s="255"/>
      <c r="F831" s="255"/>
      <c r="G831" s="256"/>
      <c r="H831" s="255"/>
      <c r="I831" s="255"/>
      <c r="J831" s="255"/>
      <c r="K831" s="256"/>
      <c r="L831" s="255"/>
      <c r="M831" s="255"/>
      <c r="N831" s="255"/>
      <c r="O831" s="256"/>
      <c r="P831" s="255"/>
      <c r="Q831" s="255"/>
      <c r="R831" s="256"/>
      <c r="S831" s="256"/>
      <c r="T831" s="255"/>
      <c r="U831" s="259"/>
    </row>
    <row r="832">
      <c r="A832" s="255"/>
      <c r="B832" s="255"/>
      <c r="C832" s="256"/>
      <c r="D832" s="255"/>
      <c r="E832" s="255"/>
      <c r="F832" s="255"/>
      <c r="G832" s="256"/>
      <c r="H832" s="255"/>
      <c r="I832" s="255"/>
      <c r="J832" s="255"/>
      <c r="K832" s="256"/>
      <c r="L832" s="255"/>
      <c r="M832" s="255"/>
      <c r="N832" s="255"/>
      <c r="O832" s="256"/>
      <c r="P832" s="255"/>
      <c r="Q832" s="255"/>
      <c r="R832" s="256"/>
      <c r="S832" s="256"/>
      <c r="T832" s="255"/>
      <c r="U832" s="259"/>
    </row>
    <row r="833">
      <c r="A833" s="255"/>
      <c r="B833" s="255"/>
      <c r="C833" s="256"/>
      <c r="D833" s="255"/>
      <c r="E833" s="255"/>
      <c r="F833" s="255"/>
      <c r="G833" s="256"/>
      <c r="H833" s="255"/>
      <c r="I833" s="255"/>
      <c r="J833" s="255"/>
      <c r="K833" s="256"/>
      <c r="L833" s="255"/>
      <c r="M833" s="255"/>
      <c r="N833" s="255"/>
      <c r="O833" s="256"/>
      <c r="P833" s="255"/>
      <c r="Q833" s="255"/>
      <c r="R833" s="256"/>
      <c r="S833" s="256"/>
      <c r="T833" s="255"/>
      <c r="U833" s="259"/>
    </row>
    <row r="834">
      <c r="A834" s="255"/>
      <c r="B834" s="255"/>
      <c r="C834" s="256"/>
      <c r="D834" s="255"/>
      <c r="E834" s="255"/>
      <c r="F834" s="255"/>
      <c r="G834" s="256"/>
      <c r="H834" s="255"/>
      <c r="I834" s="255"/>
      <c r="J834" s="255"/>
      <c r="K834" s="256"/>
      <c r="L834" s="255"/>
      <c r="M834" s="255"/>
      <c r="N834" s="255"/>
      <c r="O834" s="256"/>
      <c r="P834" s="255"/>
      <c r="Q834" s="255"/>
      <c r="R834" s="256"/>
      <c r="S834" s="256"/>
      <c r="T834" s="255"/>
      <c r="U834" s="259"/>
    </row>
    <row r="835">
      <c r="A835" s="255"/>
      <c r="B835" s="255"/>
      <c r="C835" s="256"/>
      <c r="D835" s="255"/>
      <c r="E835" s="255"/>
      <c r="F835" s="255"/>
      <c r="G835" s="256"/>
      <c r="H835" s="255"/>
      <c r="I835" s="255"/>
      <c r="J835" s="255"/>
      <c r="K835" s="256"/>
      <c r="L835" s="255"/>
      <c r="M835" s="255"/>
      <c r="N835" s="255"/>
      <c r="O835" s="256"/>
      <c r="P835" s="255"/>
      <c r="Q835" s="255"/>
      <c r="R835" s="256"/>
      <c r="S835" s="256"/>
      <c r="T835" s="255"/>
      <c r="U835" s="259"/>
    </row>
    <row r="836">
      <c r="A836" s="255"/>
      <c r="B836" s="255"/>
      <c r="C836" s="256"/>
      <c r="D836" s="255"/>
      <c r="E836" s="255"/>
      <c r="F836" s="255"/>
      <c r="G836" s="256"/>
      <c r="H836" s="255"/>
      <c r="I836" s="255"/>
      <c r="J836" s="255"/>
      <c r="K836" s="256"/>
      <c r="L836" s="255"/>
      <c r="M836" s="255"/>
      <c r="N836" s="255"/>
      <c r="O836" s="256"/>
      <c r="P836" s="255"/>
      <c r="Q836" s="255"/>
      <c r="R836" s="256"/>
      <c r="S836" s="256"/>
      <c r="T836" s="255"/>
      <c r="U836" s="259"/>
    </row>
    <row r="837">
      <c r="A837" s="255"/>
      <c r="B837" s="255"/>
      <c r="C837" s="256"/>
      <c r="D837" s="255"/>
      <c r="E837" s="255"/>
      <c r="F837" s="255"/>
      <c r="G837" s="256"/>
      <c r="H837" s="255"/>
      <c r="I837" s="255"/>
      <c r="J837" s="255"/>
      <c r="K837" s="256"/>
      <c r="L837" s="255"/>
      <c r="M837" s="255"/>
      <c r="N837" s="255"/>
      <c r="O837" s="256"/>
      <c r="P837" s="255"/>
      <c r="Q837" s="255"/>
      <c r="R837" s="256"/>
      <c r="S837" s="256"/>
      <c r="T837" s="255"/>
      <c r="U837" s="259"/>
    </row>
    <row r="838">
      <c r="A838" s="255"/>
      <c r="B838" s="255"/>
      <c r="C838" s="256"/>
      <c r="D838" s="255"/>
      <c r="E838" s="255"/>
      <c r="F838" s="255"/>
      <c r="G838" s="256"/>
      <c r="H838" s="255"/>
      <c r="I838" s="255"/>
      <c r="J838" s="255"/>
      <c r="K838" s="256"/>
      <c r="L838" s="255"/>
      <c r="M838" s="255"/>
      <c r="N838" s="255"/>
      <c r="O838" s="256"/>
      <c r="P838" s="255"/>
      <c r="Q838" s="255"/>
      <c r="R838" s="256"/>
      <c r="S838" s="256"/>
      <c r="T838" s="255"/>
      <c r="U838" s="259"/>
    </row>
    <row r="839">
      <c r="A839" s="255"/>
      <c r="B839" s="255"/>
      <c r="C839" s="256"/>
      <c r="D839" s="255"/>
      <c r="E839" s="255"/>
      <c r="F839" s="255"/>
      <c r="G839" s="256"/>
      <c r="H839" s="255"/>
      <c r="I839" s="255"/>
      <c r="J839" s="255"/>
      <c r="K839" s="256"/>
      <c r="L839" s="255"/>
      <c r="M839" s="255"/>
      <c r="N839" s="255"/>
      <c r="O839" s="256"/>
      <c r="P839" s="255"/>
      <c r="Q839" s="255"/>
      <c r="R839" s="256"/>
      <c r="S839" s="256"/>
      <c r="T839" s="255"/>
      <c r="U839" s="259"/>
    </row>
    <row r="840">
      <c r="A840" s="255"/>
      <c r="B840" s="255"/>
      <c r="C840" s="256"/>
      <c r="D840" s="255"/>
      <c r="E840" s="255"/>
      <c r="F840" s="255"/>
      <c r="G840" s="256"/>
      <c r="H840" s="255"/>
      <c r="I840" s="255"/>
      <c r="J840" s="255"/>
      <c r="K840" s="256"/>
      <c r="L840" s="255"/>
      <c r="M840" s="255"/>
      <c r="N840" s="255"/>
      <c r="O840" s="256"/>
      <c r="P840" s="255"/>
      <c r="Q840" s="255"/>
      <c r="R840" s="256"/>
      <c r="S840" s="256"/>
      <c r="T840" s="255"/>
      <c r="U840" s="259"/>
    </row>
    <row r="841">
      <c r="A841" s="255"/>
      <c r="B841" s="255"/>
      <c r="C841" s="256"/>
      <c r="D841" s="255"/>
      <c r="E841" s="255"/>
      <c r="F841" s="255"/>
      <c r="G841" s="256"/>
      <c r="H841" s="255"/>
      <c r="I841" s="255"/>
      <c r="J841" s="255"/>
      <c r="K841" s="256"/>
      <c r="L841" s="255"/>
      <c r="M841" s="255"/>
      <c r="N841" s="255"/>
      <c r="O841" s="256"/>
      <c r="P841" s="255"/>
      <c r="Q841" s="255"/>
      <c r="R841" s="256"/>
      <c r="S841" s="256"/>
      <c r="T841" s="255"/>
      <c r="U841" s="259"/>
    </row>
    <row r="842">
      <c r="A842" s="255"/>
      <c r="B842" s="255"/>
      <c r="C842" s="256"/>
      <c r="D842" s="255"/>
      <c r="E842" s="255"/>
      <c r="F842" s="255"/>
      <c r="G842" s="256"/>
      <c r="H842" s="255"/>
      <c r="I842" s="255"/>
      <c r="J842" s="255"/>
      <c r="K842" s="256"/>
      <c r="L842" s="255"/>
      <c r="M842" s="255"/>
      <c r="N842" s="255"/>
      <c r="O842" s="256"/>
      <c r="P842" s="255"/>
      <c r="Q842" s="255"/>
      <c r="R842" s="256"/>
      <c r="S842" s="256"/>
      <c r="T842" s="255"/>
      <c r="U842" s="259"/>
    </row>
    <row r="843">
      <c r="A843" s="255"/>
      <c r="B843" s="255"/>
      <c r="C843" s="256"/>
      <c r="D843" s="255"/>
      <c r="E843" s="255"/>
      <c r="F843" s="255"/>
      <c r="G843" s="256"/>
      <c r="H843" s="255"/>
      <c r="I843" s="255"/>
      <c r="J843" s="255"/>
      <c r="K843" s="256"/>
      <c r="L843" s="255"/>
      <c r="M843" s="255"/>
      <c r="N843" s="255"/>
      <c r="O843" s="256"/>
      <c r="P843" s="255"/>
      <c r="Q843" s="255"/>
      <c r="R843" s="256"/>
      <c r="S843" s="256"/>
      <c r="T843" s="255"/>
      <c r="U843" s="259"/>
    </row>
    <row r="844">
      <c r="A844" s="255"/>
      <c r="B844" s="255"/>
      <c r="C844" s="256"/>
      <c r="D844" s="255"/>
      <c r="E844" s="255"/>
      <c r="F844" s="255"/>
      <c r="G844" s="256"/>
      <c r="H844" s="255"/>
      <c r="I844" s="255"/>
      <c r="J844" s="255"/>
      <c r="K844" s="256"/>
      <c r="L844" s="255"/>
      <c r="M844" s="255"/>
      <c r="N844" s="255"/>
      <c r="O844" s="256"/>
      <c r="P844" s="255"/>
      <c r="Q844" s="255"/>
      <c r="R844" s="256"/>
      <c r="S844" s="256"/>
      <c r="T844" s="255"/>
      <c r="U844" s="259"/>
    </row>
    <row r="845">
      <c r="A845" s="255"/>
      <c r="B845" s="255"/>
      <c r="C845" s="256"/>
      <c r="D845" s="255"/>
      <c r="E845" s="255"/>
      <c r="F845" s="255"/>
      <c r="G845" s="256"/>
      <c r="H845" s="255"/>
      <c r="I845" s="255"/>
      <c r="J845" s="255"/>
      <c r="K845" s="256"/>
      <c r="L845" s="255"/>
      <c r="M845" s="255"/>
      <c r="N845" s="255"/>
      <c r="O845" s="256"/>
      <c r="P845" s="255"/>
      <c r="Q845" s="255"/>
      <c r="R845" s="256"/>
      <c r="S845" s="256"/>
      <c r="T845" s="255"/>
      <c r="U845" s="259"/>
    </row>
    <row r="846">
      <c r="A846" s="255"/>
      <c r="B846" s="255"/>
      <c r="C846" s="256"/>
      <c r="D846" s="255"/>
      <c r="E846" s="255"/>
      <c r="F846" s="255"/>
      <c r="G846" s="256"/>
      <c r="H846" s="255"/>
      <c r="I846" s="255"/>
      <c r="J846" s="255"/>
      <c r="K846" s="256"/>
      <c r="L846" s="255"/>
      <c r="M846" s="255"/>
      <c r="N846" s="255"/>
      <c r="O846" s="256"/>
      <c r="P846" s="255"/>
      <c r="Q846" s="255"/>
      <c r="R846" s="256"/>
      <c r="S846" s="256"/>
      <c r="T846" s="255"/>
      <c r="U846" s="259"/>
    </row>
    <row r="847">
      <c r="A847" s="255"/>
      <c r="B847" s="255"/>
      <c r="C847" s="256"/>
      <c r="D847" s="255"/>
      <c r="E847" s="255"/>
      <c r="F847" s="255"/>
      <c r="G847" s="256"/>
      <c r="H847" s="255"/>
      <c r="I847" s="255"/>
      <c r="J847" s="255"/>
      <c r="K847" s="256"/>
      <c r="L847" s="255"/>
      <c r="M847" s="255"/>
      <c r="N847" s="255"/>
      <c r="O847" s="256"/>
      <c r="P847" s="255"/>
      <c r="Q847" s="255"/>
      <c r="R847" s="256"/>
      <c r="S847" s="256"/>
      <c r="T847" s="255"/>
      <c r="U847" s="259"/>
    </row>
    <row r="848">
      <c r="A848" s="255"/>
      <c r="B848" s="255"/>
      <c r="C848" s="256"/>
      <c r="D848" s="255"/>
      <c r="E848" s="255"/>
      <c r="F848" s="255"/>
      <c r="G848" s="256"/>
      <c r="H848" s="255"/>
      <c r="I848" s="255"/>
      <c r="J848" s="255"/>
      <c r="K848" s="256"/>
      <c r="L848" s="255"/>
      <c r="M848" s="255"/>
      <c r="N848" s="255"/>
      <c r="O848" s="256"/>
      <c r="P848" s="255"/>
      <c r="Q848" s="255"/>
      <c r="R848" s="256"/>
      <c r="S848" s="256"/>
      <c r="T848" s="255"/>
      <c r="U848" s="259"/>
    </row>
    <row r="849">
      <c r="A849" s="255"/>
      <c r="B849" s="255"/>
      <c r="C849" s="256"/>
      <c r="D849" s="255"/>
      <c r="E849" s="255"/>
      <c r="F849" s="255"/>
      <c r="G849" s="256"/>
      <c r="H849" s="255"/>
      <c r="I849" s="255"/>
      <c r="J849" s="255"/>
      <c r="K849" s="256"/>
      <c r="L849" s="255"/>
      <c r="M849" s="255"/>
      <c r="N849" s="255"/>
      <c r="O849" s="256"/>
      <c r="P849" s="255"/>
      <c r="Q849" s="255"/>
      <c r="R849" s="256"/>
      <c r="S849" s="256"/>
      <c r="T849" s="255"/>
      <c r="U849" s="259"/>
    </row>
    <row r="850">
      <c r="A850" s="255"/>
      <c r="B850" s="255"/>
      <c r="C850" s="256"/>
      <c r="D850" s="255"/>
      <c r="E850" s="255"/>
      <c r="F850" s="255"/>
      <c r="G850" s="256"/>
      <c r="H850" s="255"/>
      <c r="I850" s="255"/>
      <c r="J850" s="255"/>
      <c r="K850" s="256"/>
      <c r="L850" s="255"/>
      <c r="M850" s="255"/>
      <c r="N850" s="255"/>
      <c r="O850" s="256"/>
      <c r="P850" s="255"/>
      <c r="Q850" s="255"/>
      <c r="R850" s="256"/>
      <c r="S850" s="256"/>
      <c r="T850" s="255"/>
      <c r="U850" s="259"/>
    </row>
    <row r="851">
      <c r="A851" s="255"/>
      <c r="B851" s="255"/>
      <c r="C851" s="256"/>
      <c r="D851" s="255"/>
      <c r="E851" s="255"/>
      <c r="F851" s="255"/>
      <c r="G851" s="256"/>
      <c r="H851" s="255"/>
      <c r="I851" s="255"/>
      <c r="J851" s="255"/>
      <c r="K851" s="256"/>
      <c r="L851" s="255"/>
      <c r="M851" s="255"/>
      <c r="N851" s="255"/>
      <c r="O851" s="256"/>
      <c r="P851" s="255"/>
      <c r="Q851" s="255"/>
      <c r="R851" s="256"/>
      <c r="S851" s="256"/>
      <c r="T851" s="255"/>
      <c r="U851" s="259"/>
    </row>
    <row r="852">
      <c r="A852" s="255"/>
      <c r="B852" s="255"/>
      <c r="C852" s="256"/>
      <c r="D852" s="255"/>
      <c r="E852" s="255"/>
      <c r="F852" s="255"/>
      <c r="G852" s="256"/>
      <c r="H852" s="255"/>
      <c r="I852" s="255"/>
      <c r="J852" s="255"/>
      <c r="K852" s="256"/>
      <c r="L852" s="255"/>
      <c r="M852" s="255"/>
      <c r="N852" s="255"/>
      <c r="O852" s="256"/>
      <c r="P852" s="255"/>
      <c r="Q852" s="255"/>
      <c r="R852" s="256"/>
      <c r="S852" s="256"/>
      <c r="T852" s="255"/>
      <c r="U852" s="259"/>
    </row>
    <row r="853">
      <c r="A853" s="255"/>
      <c r="B853" s="255"/>
      <c r="C853" s="256"/>
      <c r="D853" s="255"/>
      <c r="E853" s="255"/>
      <c r="F853" s="255"/>
      <c r="G853" s="256"/>
      <c r="H853" s="255"/>
      <c r="I853" s="255"/>
      <c r="J853" s="255"/>
      <c r="K853" s="256"/>
      <c r="L853" s="255"/>
      <c r="M853" s="255"/>
      <c r="N853" s="255"/>
      <c r="O853" s="256"/>
      <c r="P853" s="255"/>
      <c r="Q853" s="255"/>
      <c r="R853" s="256"/>
      <c r="S853" s="256"/>
      <c r="T853" s="255"/>
      <c r="U853" s="259"/>
    </row>
    <row r="854">
      <c r="A854" s="255"/>
      <c r="B854" s="255"/>
      <c r="C854" s="256"/>
      <c r="D854" s="255"/>
      <c r="E854" s="255"/>
      <c r="F854" s="255"/>
      <c r="G854" s="256"/>
      <c r="H854" s="255"/>
      <c r="I854" s="255"/>
      <c r="J854" s="255"/>
      <c r="K854" s="256"/>
      <c r="L854" s="255"/>
      <c r="M854" s="255"/>
      <c r="N854" s="255"/>
      <c r="O854" s="256"/>
      <c r="P854" s="255"/>
      <c r="Q854" s="255"/>
      <c r="R854" s="256"/>
      <c r="S854" s="256"/>
      <c r="T854" s="255"/>
      <c r="U854" s="259"/>
    </row>
    <row r="855">
      <c r="A855" s="255"/>
      <c r="B855" s="255"/>
      <c r="C855" s="256"/>
      <c r="D855" s="255"/>
      <c r="E855" s="255"/>
      <c r="F855" s="255"/>
      <c r="G855" s="256"/>
      <c r="H855" s="255"/>
      <c r="I855" s="255"/>
      <c r="J855" s="255"/>
      <c r="K855" s="256"/>
      <c r="L855" s="255"/>
      <c r="M855" s="255"/>
      <c r="N855" s="255"/>
      <c r="O855" s="256"/>
      <c r="P855" s="255"/>
      <c r="Q855" s="255"/>
      <c r="R855" s="256"/>
      <c r="S855" s="256"/>
      <c r="T855" s="255"/>
      <c r="U855" s="259"/>
    </row>
    <row r="856">
      <c r="A856" s="255"/>
      <c r="B856" s="255"/>
      <c r="C856" s="256"/>
      <c r="D856" s="255"/>
      <c r="E856" s="255"/>
      <c r="F856" s="255"/>
      <c r="G856" s="256"/>
      <c r="H856" s="255"/>
      <c r="I856" s="255"/>
      <c r="J856" s="255"/>
      <c r="K856" s="256"/>
      <c r="L856" s="255"/>
      <c r="M856" s="255"/>
      <c r="N856" s="255"/>
      <c r="O856" s="256"/>
      <c r="P856" s="255"/>
      <c r="Q856" s="255"/>
      <c r="R856" s="256"/>
      <c r="S856" s="256"/>
      <c r="T856" s="255"/>
      <c r="U856" s="259"/>
    </row>
    <row r="857">
      <c r="A857" s="255"/>
      <c r="B857" s="255"/>
      <c r="C857" s="256"/>
      <c r="D857" s="255"/>
      <c r="E857" s="255"/>
      <c r="F857" s="255"/>
      <c r="G857" s="256"/>
      <c r="H857" s="255"/>
      <c r="I857" s="255"/>
      <c r="J857" s="255"/>
      <c r="K857" s="256"/>
      <c r="L857" s="255"/>
      <c r="M857" s="255"/>
      <c r="N857" s="255"/>
      <c r="O857" s="256"/>
      <c r="P857" s="255"/>
      <c r="Q857" s="255"/>
      <c r="R857" s="256"/>
      <c r="S857" s="256"/>
      <c r="T857" s="255"/>
      <c r="U857" s="259"/>
    </row>
    <row r="858">
      <c r="A858" s="255"/>
      <c r="B858" s="255"/>
      <c r="C858" s="256"/>
      <c r="D858" s="255"/>
      <c r="E858" s="255"/>
      <c r="F858" s="255"/>
      <c r="G858" s="256"/>
      <c r="H858" s="255"/>
      <c r="I858" s="255"/>
      <c r="J858" s="255"/>
      <c r="K858" s="256"/>
      <c r="L858" s="255"/>
      <c r="M858" s="255"/>
      <c r="N858" s="255"/>
      <c r="O858" s="256"/>
      <c r="P858" s="255"/>
      <c r="Q858" s="255"/>
      <c r="R858" s="256"/>
      <c r="S858" s="256"/>
      <c r="T858" s="255"/>
      <c r="U858" s="259"/>
    </row>
    <row r="859">
      <c r="A859" s="255"/>
      <c r="B859" s="255"/>
      <c r="C859" s="256"/>
      <c r="D859" s="255"/>
      <c r="E859" s="255"/>
      <c r="F859" s="255"/>
      <c r="G859" s="256"/>
      <c r="H859" s="255"/>
      <c r="I859" s="255"/>
      <c r="J859" s="255"/>
      <c r="K859" s="256"/>
      <c r="L859" s="255"/>
      <c r="M859" s="255"/>
      <c r="N859" s="255"/>
      <c r="O859" s="256"/>
      <c r="P859" s="255"/>
      <c r="Q859" s="255"/>
      <c r="R859" s="256"/>
      <c r="S859" s="256"/>
      <c r="T859" s="255"/>
      <c r="U859" s="259"/>
    </row>
    <row r="860">
      <c r="A860" s="255"/>
      <c r="B860" s="255"/>
      <c r="C860" s="256"/>
      <c r="D860" s="255"/>
      <c r="E860" s="255"/>
      <c r="F860" s="255"/>
      <c r="G860" s="256"/>
      <c r="H860" s="255"/>
      <c r="I860" s="255"/>
      <c r="J860" s="255"/>
      <c r="K860" s="256"/>
      <c r="L860" s="255"/>
      <c r="M860" s="255"/>
      <c r="N860" s="255"/>
      <c r="O860" s="256"/>
      <c r="P860" s="255"/>
      <c r="Q860" s="255"/>
      <c r="R860" s="256"/>
      <c r="S860" s="256"/>
      <c r="T860" s="255"/>
      <c r="U860" s="259"/>
    </row>
    <row r="861">
      <c r="A861" s="255"/>
      <c r="B861" s="255"/>
      <c r="C861" s="256"/>
      <c r="D861" s="255"/>
      <c r="E861" s="255"/>
      <c r="F861" s="255"/>
      <c r="G861" s="256"/>
      <c r="H861" s="255"/>
      <c r="I861" s="255"/>
      <c r="J861" s="255"/>
      <c r="K861" s="256"/>
      <c r="L861" s="255"/>
      <c r="M861" s="255"/>
      <c r="N861" s="255"/>
      <c r="O861" s="256"/>
      <c r="P861" s="255"/>
      <c r="Q861" s="255"/>
      <c r="R861" s="256"/>
      <c r="S861" s="256"/>
      <c r="T861" s="255"/>
      <c r="U861" s="259"/>
    </row>
    <row r="862">
      <c r="A862" s="255"/>
      <c r="B862" s="255"/>
      <c r="C862" s="256"/>
      <c r="D862" s="255"/>
      <c r="E862" s="255"/>
      <c r="F862" s="255"/>
      <c r="G862" s="256"/>
      <c r="H862" s="255"/>
      <c r="I862" s="255"/>
      <c r="J862" s="255"/>
      <c r="K862" s="256"/>
      <c r="L862" s="255"/>
      <c r="M862" s="255"/>
      <c r="N862" s="255"/>
      <c r="O862" s="256"/>
      <c r="P862" s="255"/>
      <c r="Q862" s="255"/>
      <c r="R862" s="256"/>
      <c r="S862" s="256"/>
      <c r="T862" s="255"/>
      <c r="U862" s="259"/>
    </row>
    <row r="863">
      <c r="A863" s="255"/>
      <c r="B863" s="255"/>
      <c r="C863" s="256"/>
      <c r="D863" s="255"/>
      <c r="E863" s="255"/>
      <c r="F863" s="255"/>
      <c r="G863" s="256"/>
      <c r="H863" s="255"/>
      <c r="I863" s="255"/>
      <c r="J863" s="255"/>
      <c r="K863" s="256"/>
      <c r="L863" s="255"/>
      <c r="M863" s="255"/>
      <c r="N863" s="255"/>
      <c r="O863" s="256"/>
      <c r="P863" s="255"/>
      <c r="Q863" s="255"/>
      <c r="R863" s="256"/>
      <c r="S863" s="256"/>
      <c r="T863" s="255"/>
      <c r="U863" s="259"/>
    </row>
    <row r="864">
      <c r="A864" s="255"/>
      <c r="B864" s="255"/>
      <c r="C864" s="256"/>
      <c r="D864" s="255"/>
      <c r="E864" s="255"/>
      <c r="F864" s="255"/>
      <c r="G864" s="256"/>
      <c r="H864" s="255"/>
      <c r="I864" s="255"/>
      <c r="J864" s="255"/>
      <c r="K864" s="256"/>
      <c r="L864" s="255"/>
      <c r="M864" s="255"/>
      <c r="N864" s="255"/>
      <c r="O864" s="256"/>
      <c r="P864" s="255"/>
      <c r="Q864" s="255"/>
      <c r="R864" s="256"/>
      <c r="S864" s="256"/>
      <c r="T864" s="255"/>
      <c r="U864" s="259"/>
    </row>
    <row r="865">
      <c r="A865" s="255"/>
      <c r="B865" s="255"/>
      <c r="C865" s="256"/>
      <c r="D865" s="255"/>
      <c r="E865" s="255"/>
      <c r="F865" s="255"/>
      <c r="G865" s="256"/>
      <c r="H865" s="255"/>
      <c r="I865" s="255"/>
      <c r="J865" s="255"/>
      <c r="K865" s="256"/>
      <c r="L865" s="255"/>
      <c r="M865" s="255"/>
      <c r="N865" s="255"/>
      <c r="O865" s="256"/>
      <c r="P865" s="255"/>
      <c r="Q865" s="255"/>
      <c r="R865" s="256"/>
      <c r="S865" s="256"/>
      <c r="T865" s="255"/>
      <c r="U865" s="259"/>
    </row>
    <row r="866">
      <c r="A866" s="255"/>
      <c r="B866" s="255"/>
      <c r="C866" s="256"/>
      <c r="D866" s="255"/>
      <c r="E866" s="255"/>
      <c r="F866" s="255"/>
      <c r="G866" s="256"/>
      <c r="H866" s="255"/>
      <c r="I866" s="255"/>
      <c r="J866" s="255"/>
      <c r="K866" s="256"/>
      <c r="L866" s="255"/>
      <c r="M866" s="255"/>
      <c r="N866" s="255"/>
      <c r="O866" s="256"/>
      <c r="P866" s="255"/>
      <c r="Q866" s="255"/>
      <c r="R866" s="256"/>
      <c r="S866" s="256"/>
      <c r="T866" s="255"/>
      <c r="U866" s="259"/>
    </row>
    <row r="867">
      <c r="A867" s="255"/>
      <c r="B867" s="255"/>
      <c r="C867" s="256"/>
      <c r="D867" s="255"/>
      <c r="E867" s="255"/>
      <c r="F867" s="255"/>
      <c r="G867" s="256"/>
      <c r="H867" s="255"/>
      <c r="I867" s="255"/>
      <c r="J867" s="255"/>
      <c r="K867" s="256"/>
      <c r="L867" s="255"/>
      <c r="M867" s="255"/>
      <c r="N867" s="255"/>
      <c r="O867" s="256"/>
      <c r="P867" s="255"/>
      <c r="Q867" s="255"/>
      <c r="R867" s="256"/>
      <c r="S867" s="256"/>
      <c r="T867" s="255"/>
      <c r="U867" s="259"/>
    </row>
    <row r="868">
      <c r="A868" s="255"/>
      <c r="B868" s="255"/>
      <c r="C868" s="256"/>
      <c r="D868" s="255"/>
      <c r="E868" s="255"/>
      <c r="F868" s="255"/>
      <c r="G868" s="256"/>
      <c r="H868" s="255"/>
      <c r="I868" s="255"/>
      <c r="J868" s="255"/>
      <c r="K868" s="256"/>
      <c r="L868" s="255"/>
      <c r="M868" s="255"/>
      <c r="N868" s="255"/>
      <c r="O868" s="256"/>
      <c r="P868" s="255"/>
      <c r="Q868" s="255"/>
      <c r="R868" s="256"/>
      <c r="S868" s="256"/>
      <c r="T868" s="255"/>
      <c r="U868" s="259"/>
    </row>
    <row r="869">
      <c r="A869" s="255"/>
      <c r="B869" s="255"/>
      <c r="C869" s="256"/>
      <c r="D869" s="255"/>
      <c r="E869" s="255"/>
      <c r="F869" s="255"/>
      <c r="G869" s="256"/>
      <c r="H869" s="255"/>
      <c r="I869" s="255"/>
      <c r="J869" s="255"/>
      <c r="K869" s="256"/>
      <c r="L869" s="255"/>
      <c r="M869" s="255"/>
      <c r="N869" s="255"/>
      <c r="O869" s="256"/>
      <c r="P869" s="255"/>
      <c r="Q869" s="255"/>
      <c r="R869" s="256"/>
      <c r="S869" s="256"/>
      <c r="T869" s="255"/>
      <c r="U869" s="259"/>
    </row>
    <row r="870">
      <c r="A870" s="255"/>
      <c r="B870" s="255"/>
      <c r="C870" s="256"/>
      <c r="D870" s="255"/>
      <c r="E870" s="255"/>
      <c r="F870" s="255"/>
      <c r="G870" s="256"/>
      <c r="H870" s="255"/>
      <c r="I870" s="255"/>
      <c r="J870" s="255"/>
      <c r="K870" s="256"/>
      <c r="L870" s="255"/>
      <c r="M870" s="255"/>
      <c r="N870" s="255"/>
      <c r="O870" s="256"/>
      <c r="P870" s="255"/>
      <c r="Q870" s="255"/>
      <c r="R870" s="256"/>
      <c r="S870" s="256"/>
      <c r="T870" s="255"/>
      <c r="U870" s="259"/>
    </row>
    <row r="871">
      <c r="A871" s="255"/>
      <c r="B871" s="255"/>
      <c r="C871" s="256"/>
      <c r="D871" s="255"/>
      <c r="E871" s="255"/>
      <c r="F871" s="255"/>
      <c r="G871" s="256"/>
      <c r="H871" s="255"/>
      <c r="I871" s="255"/>
      <c r="J871" s="255"/>
      <c r="K871" s="256"/>
      <c r="L871" s="255"/>
      <c r="M871" s="255"/>
      <c r="N871" s="255"/>
      <c r="O871" s="256"/>
      <c r="P871" s="255"/>
      <c r="Q871" s="255"/>
      <c r="R871" s="256"/>
      <c r="S871" s="256"/>
      <c r="T871" s="255"/>
      <c r="U871" s="259"/>
    </row>
    <row r="872">
      <c r="A872" s="255"/>
      <c r="B872" s="255"/>
      <c r="C872" s="256"/>
      <c r="D872" s="255"/>
      <c r="E872" s="255"/>
      <c r="F872" s="255"/>
      <c r="G872" s="256"/>
      <c r="H872" s="255"/>
      <c r="I872" s="255"/>
      <c r="J872" s="255"/>
      <c r="K872" s="256"/>
      <c r="L872" s="255"/>
      <c r="M872" s="255"/>
      <c r="N872" s="255"/>
      <c r="O872" s="256"/>
      <c r="P872" s="255"/>
      <c r="Q872" s="255"/>
      <c r="R872" s="256"/>
      <c r="S872" s="256"/>
      <c r="T872" s="255"/>
      <c r="U872" s="259"/>
    </row>
    <row r="873">
      <c r="A873" s="255"/>
      <c r="B873" s="255"/>
      <c r="C873" s="256"/>
      <c r="D873" s="255"/>
      <c r="E873" s="255"/>
      <c r="F873" s="255"/>
      <c r="G873" s="256"/>
      <c r="H873" s="255"/>
      <c r="I873" s="255"/>
      <c r="J873" s="255"/>
      <c r="K873" s="256"/>
      <c r="L873" s="255"/>
      <c r="M873" s="255"/>
      <c r="N873" s="255"/>
      <c r="O873" s="256"/>
      <c r="P873" s="255"/>
      <c r="Q873" s="255"/>
      <c r="R873" s="256"/>
      <c r="S873" s="256"/>
      <c r="T873" s="255"/>
      <c r="U873" s="259"/>
    </row>
    <row r="874">
      <c r="A874" s="255"/>
      <c r="B874" s="255"/>
      <c r="C874" s="256"/>
      <c r="D874" s="255"/>
      <c r="E874" s="255"/>
      <c r="F874" s="255"/>
      <c r="G874" s="256"/>
      <c r="H874" s="255"/>
      <c r="I874" s="255"/>
      <c r="J874" s="255"/>
      <c r="K874" s="256"/>
      <c r="L874" s="255"/>
      <c r="M874" s="255"/>
      <c r="N874" s="255"/>
      <c r="O874" s="256"/>
      <c r="P874" s="255"/>
      <c r="Q874" s="255"/>
      <c r="R874" s="256"/>
      <c r="S874" s="256"/>
      <c r="T874" s="255"/>
      <c r="U874" s="259"/>
    </row>
    <row r="875">
      <c r="A875" s="255"/>
      <c r="B875" s="255"/>
      <c r="C875" s="256"/>
      <c r="D875" s="255"/>
      <c r="E875" s="255"/>
      <c r="F875" s="255"/>
      <c r="G875" s="256"/>
      <c r="H875" s="255"/>
      <c r="I875" s="255"/>
      <c r="J875" s="255"/>
      <c r="K875" s="256"/>
      <c r="L875" s="255"/>
      <c r="M875" s="255"/>
      <c r="N875" s="255"/>
      <c r="O875" s="256"/>
      <c r="P875" s="255"/>
      <c r="Q875" s="255"/>
      <c r="R875" s="256"/>
      <c r="S875" s="256"/>
      <c r="T875" s="255"/>
      <c r="U875" s="259"/>
    </row>
    <row r="876">
      <c r="A876" s="255"/>
      <c r="B876" s="255"/>
      <c r="C876" s="256"/>
      <c r="D876" s="255"/>
      <c r="E876" s="255"/>
      <c r="F876" s="255"/>
      <c r="G876" s="256"/>
      <c r="H876" s="255"/>
      <c r="I876" s="255"/>
      <c r="J876" s="255"/>
      <c r="K876" s="256"/>
      <c r="L876" s="255"/>
      <c r="M876" s="255"/>
      <c r="N876" s="255"/>
      <c r="O876" s="256"/>
      <c r="P876" s="255"/>
      <c r="Q876" s="255"/>
      <c r="R876" s="256"/>
      <c r="S876" s="256"/>
      <c r="T876" s="255"/>
      <c r="U876" s="259"/>
    </row>
    <row r="877">
      <c r="A877" s="255"/>
      <c r="B877" s="255"/>
      <c r="C877" s="256"/>
      <c r="D877" s="255"/>
      <c r="E877" s="255"/>
      <c r="F877" s="255"/>
      <c r="G877" s="256"/>
      <c r="H877" s="255"/>
      <c r="I877" s="255"/>
      <c r="J877" s="255"/>
      <c r="K877" s="256"/>
      <c r="L877" s="255"/>
      <c r="M877" s="255"/>
      <c r="N877" s="255"/>
      <c r="O877" s="256"/>
      <c r="P877" s="255"/>
      <c r="Q877" s="255"/>
      <c r="R877" s="256"/>
      <c r="S877" s="256"/>
      <c r="T877" s="255"/>
      <c r="U877" s="259"/>
    </row>
    <row r="878">
      <c r="A878" s="255"/>
      <c r="B878" s="255"/>
      <c r="C878" s="256"/>
      <c r="D878" s="255"/>
      <c r="E878" s="255"/>
      <c r="F878" s="255"/>
      <c r="G878" s="256"/>
      <c r="H878" s="255"/>
      <c r="I878" s="255"/>
      <c r="J878" s="255"/>
      <c r="K878" s="256"/>
      <c r="L878" s="255"/>
      <c r="M878" s="255"/>
      <c r="N878" s="255"/>
      <c r="O878" s="256"/>
      <c r="P878" s="255"/>
      <c r="Q878" s="255"/>
      <c r="R878" s="256"/>
      <c r="S878" s="256"/>
      <c r="T878" s="255"/>
      <c r="U878" s="259"/>
    </row>
    <row r="879">
      <c r="A879" s="255"/>
      <c r="B879" s="255"/>
      <c r="C879" s="256"/>
      <c r="D879" s="255"/>
      <c r="E879" s="255"/>
      <c r="F879" s="255"/>
      <c r="G879" s="256"/>
      <c r="H879" s="255"/>
      <c r="I879" s="255"/>
      <c r="J879" s="255"/>
      <c r="K879" s="256"/>
      <c r="L879" s="255"/>
      <c r="M879" s="255"/>
      <c r="N879" s="255"/>
      <c r="O879" s="256"/>
      <c r="P879" s="255"/>
      <c r="Q879" s="255"/>
      <c r="R879" s="256"/>
      <c r="S879" s="256"/>
      <c r="T879" s="255"/>
      <c r="U879" s="259"/>
    </row>
    <row r="880">
      <c r="A880" s="255"/>
      <c r="B880" s="255"/>
      <c r="C880" s="256"/>
      <c r="D880" s="255"/>
      <c r="E880" s="255"/>
      <c r="F880" s="255"/>
      <c r="G880" s="256"/>
      <c r="H880" s="255"/>
      <c r="I880" s="255"/>
      <c r="J880" s="255"/>
      <c r="K880" s="256"/>
      <c r="L880" s="255"/>
      <c r="M880" s="255"/>
      <c r="N880" s="255"/>
      <c r="O880" s="256"/>
      <c r="P880" s="255"/>
      <c r="Q880" s="255"/>
      <c r="R880" s="256"/>
      <c r="S880" s="256"/>
      <c r="T880" s="255"/>
      <c r="U880" s="259"/>
    </row>
    <row r="881">
      <c r="A881" s="255"/>
      <c r="B881" s="255"/>
      <c r="C881" s="256"/>
      <c r="D881" s="255"/>
      <c r="E881" s="255"/>
      <c r="F881" s="255"/>
      <c r="G881" s="256"/>
      <c r="H881" s="255"/>
      <c r="I881" s="255"/>
      <c r="J881" s="255"/>
      <c r="K881" s="256"/>
      <c r="L881" s="255"/>
      <c r="M881" s="255"/>
      <c r="N881" s="255"/>
      <c r="O881" s="256"/>
      <c r="P881" s="255"/>
      <c r="Q881" s="255"/>
      <c r="R881" s="256"/>
      <c r="S881" s="256"/>
      <c r="T881" s="255"/>
      <c r="U881" s="259"/>
    </row>
    <row r="882">
      <c r="A882" s="255"/>
      <c r="B882" s="255"/>
      <c r="C882" s="256"/>
      <c r="D882" s="255"/>
      <c r="E882" s="255"/>
      <c r="F882" s="255"/>
      <c r="G882" s="256"/>
      <c r="H882" s="255"/>
      <c r="I882" s="255"/>
      <c r="J882" s="255"/>
      <c r="K882" s="256"/>
      <c r="L882" s="255"/>
      <c r="M882" s="255"/>
      <c r="N882" s="255"/>
      <c r="O882" s="256"/>
      <c r="P882" s="255"/>
      <c r="Q882" s="255"/>
      <c r="R882" s="256"/>
      <c r="S882" s="256"/>
      <c r="T882" s="255"/>
      <c r="U882" s="259"/>
    </row>
    <row r="883">
      <c r="A883" s="255"/>
      <c r="B883" s="255"/>
      <c r="C883" s="256"/>
      <c r="D883" s="255"/>
      <c r="E883" s="255"/>
      <c r="F883" s="255"/>
      <c r="G883" s="256"/>
      <c r="H883" s="255"/>
      <c r="I883" s="255"/>
      <c r="J883" s="255"/>
      <c r="K883" s="256"/>
      <c r="L883" s="255"/>
      <c r="M883" s="255"/>
      <c r="N883" s="255"/>
      <c r="O883" s="256"/>
      <c r="P883" s="255"/>
      <c r="Q883" s="255"/>
      <c r="R883" s="256"/>
      <c r="S883" s="256"/>
      <c r="T883" s="255"/>
      <c r="U883" s="259"/>
    </row>
    <row r="884">
      <c r="A884" s="255"/>
      <c r="B884" s="255"/>
      <c r="C884" s="256"/>
      <c r="D884" s="255"/>
      <c r="E884" s="255"/>
      <c r="F884" s="255"/>
      <c r="G884" s="256"/>
      <c r="H884" s="255"/>
      <c r="I884" s="255"/>
      <c r="J884" s="255"/>
      <c r="K884" s="256"/>
      <c r="L884" s="255"/>
      <c r="M884" s="255"/>
      <c r="N884" s="255"/>
      <c r="O884" s="256"/>
      <c r="P884" s="255"/>
      <c r="Q884" s="255"/>
      <c r="R884" s="256"/>
      <c r="S884" s="256"/>
      <c r="T884" s="255"/>
      <c r="U884" s="259"/>
    </row>
    <row r="885">
      <c r="A885" s="255"/>
      <c r="B885" s="255"/>
      <c r="C885" s="256"/>
      <c r="D885" s="255"/>
      <c r="E885" s="255"/>
      <c r="F885" s="255"/>
      <c r="G885" s="256"/>
      <c r="H885" s="255"/>
      <c r="I885" s="255"/>
      <c r="J885" s="255"/>
      <c r="K885" s="256"/>
      <c r="L885" s="255"/>
      <c r="M885" s="255"/>
      <c r="N885" s="255"/>
      <c r="O885" s="256"/>
      <c r="P885" s="255"/>
      <c r="Q885" s="255"/>
      <c r="R885" s="256"/>
      <c r="S885" s="256"/>
      <c r="T885" s="255"/>
      <c r="U885" s="259"/>
    </row>
    <row r="886">
      <c r="A886" s="255"/>
      <c r="B886" s="255"/>
      <c r="C886" s="256"/>
      <c r="D886" s="255"/>
      <c r="E886" s="255"/>
      <c r="F886" s="255"/>
      <c r="G886" s="256"/>
      <c r="H886" s="255"/>
      <c r="I886" s="255"/>
      <c r="J886" s="255"/>
      <c r="K886" s="256"/>
      <c r="L886" s="255"/>
      <c r="M886" s="255"/>
      <c r="N886" s="255"/>
      <c r="O886" s="256"/>
      <c r="P886" s="255"/>
      <c r="Q886" s="255"/>
      <c r="R886" s="256"/>
      <c r="S886" s="256"/>
      <c r="T886" s="255"/>
      <c r="U886" s="259"/>
    </row>
    <row r="887">
      <c r="A887" s="255"/>
      <c r="B887" s="255"/>
      <c r="C887" s="256"/>
      <c r="D887" s="255"/>
      <c r="E887" s="255"/>
      <c r="F887" s="255"/>
      <c r="G887" s="256"/>
      <c r="H887" s="255"/>
      <c r="I887" s="255"/>
      <c r="J887" s="255"/>
      <c r="K887" s="256"/>
      <c r="L887" s="255"/>
      <c r="M887" s="255"/>
      <c r="N887" s="255"/>
      <c r="O887" s="256"/>
      <c r="P887" s="255"/>
      <c r="Q887" s="255"/>
      <c r="R887" s="256"/>
      <c r="S887" s="256"/>
      <c r="T887" s="255"/>
      <c r="U887" s="259"/>
    </row>
    <row r="888">
      <c r="A888" s="255"/>
      <c r="B888" s="255"/>
      <c r="C888" s="256"/>
      <c r="D888" s="255"/>
      <c r="E888" s="255"/>
      <c r="F888" s="255"/>
      <c r="G888" s="256"/>
      <c r="H888" s="255"/>
      <c r="I888" s="255"/>
      <c r="J888" s="255"/>
      <c r="K888" s="256"/>
      <c r="L888" s="255"/>
      <c r="M888" s="255"/>
      <c r="N888" s="255"/>
      <c r="O888" s="256"/>
      <c r="P888" s="255"/>
      <c r="Q888" s="255"/>
      <c r="R888" s="256"/>
      <c r="S888" s="256"/>
      <c r="T888" s="255"/>
      <c r="U888" s="259"/>
    </row>
    <row r="889">
      <c r="A889" s="255"/>
      <c r="B889" s="255"/>
      <c r="C889" s="256"/>
      <c r="D889" s="255"/>
      <c r="E889" s="255"/>
      <c r="F889" s="255"/>
      <c r="G889" s="256"/>
      <c r="H889" s="255"/>
      <c r="I889" s="255"/>
      <c r="J889" s="255"/>
      <c r="K889" s="256"/>
      <c r="L889" s="255"/>
      <c r="M889" s="255"/>
      <c r="N889" s="255"/>
      <c r="O889" s="256"/>
      <c r="P889" s="255"/>
      <c r="Q889" s="255"/>
      <c r="R889" s="256"/>
      <c r="S889" s="256"/>
      <c r="T889" s="255"/>
      <c r="U889" s="259"/>
    </row>
    <row r="890">
      <c r="A890" s="255"/>
      <c r="B890" s="255"/>
      <c r="C890" s="256"/>
      <c r="D890" s="255"/>
      <c r="E890" s="255"/>
      <c r="F890" s="255"/>
      <c r="G890" s="256"/>
      <c r="H890" s="255"/>
      <c r="I890" s="255"/>
      <c r="J890" s="255"/>
      <c r="K890" s="256"/>
      <c r="L890" s="255"/>
      <c r="M890" s="255"/>
      <c r="N890" s="255"/>
      <c r="O890" s="256"/>
      <c r="P890" s="255"/>
      <c r="Q890" s="255"/>
      <c r="R890" s="256"/>
      <c r="S890" s="256"/>
      <c r="T890" s="255"/>
      <c r="U890" s="259"/>
    </row>
    <row r="891">
      <c r="A891" s="255"/>
      <c r="B891" s="255"/>
      <c r="C891" s="256"/>
      <c r="D891" s="255"/>
      <c r="E891" s="255"/>
      <c r="F891" s="255"/>
      <c r="G891" s="256"/>
      <c r="H891" s="255"/>
      <c r="I891" s="255"/>
      <c r="J891" s="255"/>
      <c r="K891" s="256"/>
      <c r="L891" s="255"/>
      <c r="M891" s="255"/>
      <c r="N891" s="255"/>
      <c r="O891" s="256"/>
      <c r="P891" s="255"/>
      <c r="Q891" s="255"/>
      <c r="R891" s="256"/>
      <c r="S891" s="256"/>
      <c r="T891" s="255"/>
      <c r="U891" s="259"/>
    </row>
    <row r="892">
      <c r="A892" s="255"/>
      <c r="B892" s="255"/>
      <c r="C892" s="256"/>
      <c r="D892" s="255"/>
      <c r="E892" s="255"/>
      <c r="F892" s="255"/>
      <c r="G892" s="256"/>
      <c r="H892" s="255"/>
      <c r="I892" s="255"/>
      <c r="J892" s="255"/>
      <c r="K892" s="256"/>
      <c r="L892" s="255"/>
      <c r="M892" s="255"/>
      <c r="N892" s="255"/>
      <c r="O892" s="256"/>
      <c r="P892" s="255"/>
      <c r="Q892" s="255"/>
      <c r="R892" s="256"/>
      <c r="S892" s="256"/>
      <c r="T892" s="255"/>
      <c r="U892" s="259"/>
    </row>
    <row r="893">
      <c r="A893" s="255"/>
      <c r="B893" s="255"/>
      <c r="C893" s="256"/>
      <c r="D893" s="255"/>
      <c r="E893" s="255"/>
      <c r="F893" s="255"/>
      <c r="G893" s="256"/>
      <c r="H893" s="255"/>
      <c r="I893" s="255"/>
      <c r="J893" s="255"/>
      <c r="K893" s="256"/>
      <c r="L893" s="255"/>
      <c r="M893" s="255"/>
      <c r="N893" s="255"/>
      <c r="O893" s="256"/>
      <c r="P893" s="255"/>
      <c r="Q893" s="255"/>
      <c r="R893" s="256"/>
      <c r="S893" s="256"/>
      <c r="T893" s="255"/>
      <c r="U893" s="259"/>
    </row>
    <row r="894">
      <c r="A894" s="255"/>
      <c r="B894" s="255"/>
      <c r="C894" s="256"/>
      <c r="D894" s="255"/>
      <c r="E894" s="255"/>
      <c r="F894" s="255"/>
      <c r="G894" s="256"/>
      <c r="H894" s="255"/>
      <c r="I894" s="255"/>
      <c r="J894" s="255"/>
      <c r="K894" s="256"/>
      <c r="L894" s="255"/>
      <c r="M894" s="255"/>
      <c r="N894" s="255"/>
      <c r="O894" s="256"/>
      <c r="P894" s="255"/>
      <c r="Q894" s="255"/>
      <c r="R894" s="256"/>
      <c r="S894" s="256"/>
      <c r="T894" s="255"/>
      <c r="U894" s="259"/>
    </row>
    <row r="895">
      <c r="A895" s="255"/>
      <c r="B895" s="255"/>
      <c r="C895" s="256"/>
      <c r="D895" s="255"/>
      <c r="E895" s="255"/>
      <c r="F895" s="255"/>
      <c r="G895" s="256"/>
      <c r="H895" s="255"/>
      <c r="I895" s="255"/>
      <c r="J895" s="255"/>
      <c r="K895" s="256"/>
      <c r="L895" s="255"/>
      <c r="M895" s="255"/>
      <c r="N895" s="255"/>
      <c r="O895" s="256"/>
      <c r="P895" s="255"/>
      <c r="Q895" s="255"/>
      <c r="R895" s="256"/>
      <c r="S895" s="256"/>
      <c r="T895" s="255"/>
      <c r="U895" s="259"/>
    </row>
    <row r="896">
      <c r="A896" s="255"/>
      <c r="B896" s="255"/>
      <c r="C896" s="256"/>
      <c r="D896" s="255"/>
      <c r="E896" s="255"/>
      <c r="F896" s="255"/>
      <c r="G896" s="256"/>
      <c r="H896" s="255"/>
      <c r="I896" s="255"/>
      <c r="J896" s="255"/>
      <c r="K896" s="256"/>
      <c r="L896" s="255"/>
      <c r="M896" s="255"/>
      <c r="N896" s="255"/>
      <c r="O896" s="256"/>
      <c r="P896" s="255"/>
      <c r="Q896" s="255"/>
      <c r="R896" s="256"/>
      <c r="S896" s="256"/>
      <c r="T896" s="255"/>
      <c r="U896" s="259"/>
    </row>
    <row r="897">
      <c r="A897" s="255"/>
      <c r="B897" s="255"/>
      <c r="C897" s="256"/>
      <c r="D897" s="255"/>
      <c r="E897" s="255"/>
      <c r="F897" s="255"/>
      <c r="G897" s="256"/>
      <c r="H897" s="255"/>
      <c r="I897" s="255"/>
      <c r="J897" s="255"/>
      <c r="K897" s="256"/>
      <c r="L897" s="255"/>
      <c r="M897" s="255"/>
      <c r="N897" s="255"/>
      <c r="O897" s="256"/>
      <c r="P897" s="255"/>
      <c r="Q897" s="255"/>
      <c r="R897" s="256"/>
      <c r="S897" s="256"/>
      <c r="T897" s="255"/>
      <c r="U897" s="259"/>
    </row>
    <row r="898">
      <c r="A898" s="255"/>
      <c r="B898" s="255"/>
      <c r="C898" s="256"/>
      <c r="D898" s="255"/>
      <c r="E898" s="255"/>
      <c r="F898" s="255"/>
      <c r="G898" s="256"/>
      <c r="H898" s="255"/>
      <c r="I898" s="255"/>
      <c r="J898" s="255"/>
      <c r="K898" s="256"/>
      <c r="L898" s="255"/>
      <c r="M898" s="255"/>
      <c r="N898" s="255"/>
      <c r="O898" s="256"/>
      <c r="P898" s="255"/>
      <c r="Q898" s="255"/>
      <c r="R898" s="256"/>
      <c r="S898" s="256"/>
      <c r="T898" s="255"/>
      <c r="U898" s="259"/>
    </row>
    <row r="899">
      <c r="A899" s="255"/>
      <c r="B899" s="255"/>
      <c r="C899" s="256"/>
      <c r="D899" s="255"/>
      <c r="E899" s="255"/>
      <c r="F899" s="255"/>
      <c r="G899" s="256"/>
      <c r="H899" s="255"/>
      <c r="I899" s="255"/>
      <c r="J899" s="255"/>
      <c r="K899" s="256"/>
      <c r="L899" s="255"/>
      <c r="M899" s="255"/>
      <c r="N899" s="255"/>
      <c r="O899" s="256"/>
      <c r="P899" s="255"/>
      <c r="Q899" s="255"/>
      <c r="R899" s="256"/>
      <c r="S899" s="256"/>
      <c r="T899" s="255"/>
      <c r="U899" s="259"/>
    </row>
    <row r="900">
      <c r="A900" s="255"/>
      <c r="B900" s="255"/>
      <c r="C900" s="256"/>
      <c r="D900" s="255"/>
      <c r="E900" s="255"/>
      <c r="F900" s="255"/>
      <c r="G900" s="256"/>
      <c r="H900" s="255"/>
      <c r="I900" s="255"/>
      <c r="J900" s="255"/>
      <c r="K900" s="256"/>
      <c r="L900" s="255"/>
      <c r="M900" s="255"/>
      <c r="N900" s="255"/>
      <c r="O900" s="256"/>
      <c r="P900" s="255"/>
      <c r="Q900" s="255"/>
      <c r="R900" s="256"/>
      <c r="S900" s="256"/>
      <c r="T900" s="255"/>
      <c r="U900" s="259"/>
    </row>
    <row r="901">
      <c r="A901" s="255"/>
      <c r="B901" s="255"/>
      <c r="C901" s="256"/>
      <c r="D901" s="255"/>
      <c r="E901" s="255"/>
      <c r="F901" s="255"/>
      <c r="G901" s="256"/>
      <c r="H901" s="255"/>
      <c r="I901" s="255"/>
      <c r="J901" s="255"/>
      <c r="K901" s="256"/>
      <c r="L901" s="255"/>
      <c r="M901" s="255"/>
      <c r="N901" s="255"/>
      <c r="O901" s="256"/>
      <c r="P901" s="255"/>
      <c r="Q901" s="255"/>
      <c r="R901" s="256"/>
      <c r="S901" s="256"/>
      <c r="T901" s="255"/>
      <c r="U901" s="259"/>
    </row>
    <row r="902">
      <c r="A902" s="255"/>
      <c r="B902" s="255"/>
      <c r="C902" s="256"/>
      <c r="D902" s="255"/>
      <c r="E902" s="255"/>
      <c r="F902" s="255"/>
      <c r="G902" s="256"/>
      <c r="H902" s="255"/>
      <c r="I902" s="255"/>
      <c r="J902" s="255"/>
      <c r="K902" s="256"/>
      <c r="L902" s="255"/>
      <c r="M902" s="255"/>
      <c r="N902" s="255"/>
      <c r="O902" s="256"/>
      <c r="P902" s="255"/>
      <c r="Q902" s="255"/>
      <c r="R902" s="256"/>
      <c r="S902" s="256"/>
      <c r="T902" s="255"/>
      <c r="U902" s="259"/>
    </row>
    <row r="903">
      <c r="A903" s="255"/>
      <c r="B903" s="255"/>
      <c r="C903" s="256"/>
      <c r="D903" s="255"/>
      <c r="E903" s="255"/>
      <c r="F903" s="255"/>
      <c r="G903" s="256"/>
      <c r="H903" s="255"/>
      <c r="I903" s="255"/>
      <c r="J903" s="255"/>
      <c r="K903" s="256"/>
      <c r="L903" s="255"/>
      <c r="M903" s="255"/>
      <c r="N903" s="255"/>
      <c r="O903" s="256"/>
      <c r="P903" s="255"/>
      <c r="Q903" s="255"/>
      <c r="R903" s="256"/>
      <c r="S903" s="256"/>
      <c r="T903" s="255"/>
      <c r="U903" s="259"/>
    </row>
    <row r="904">
      <c r="A904" s="255"/>
      <c r="B904" s="255"/>
      <c r="C904" s="256"/>
      <c r="D904" s="255"/>
      <c r="E904" s="255"/>
      <c r="F904" s="255"/>
      <c r="G904" s="256"/>
      <c r="H904" s="255"/>
      <c r="I904" s="255"/>
      <c r="J904" s="255"/>
      <c r="K904" s="256"/>
      <c r="L904" s="255"/>
      <c r="M904" s="255"/>
      <c r="N904" s="255"/>
      <c r="O904" s="256"/>
      <c r="P904" s="255"/>
      <c r="Q904" s="255"/>
      <c r="R904" s="256"/>
      <c r="S904" s="256"/>
      <c r="T904" s="255"/>
      <c r="U904" s="259"/>
    </row>
    <row r="905">
      <c r="A905" s="255"/>
      <c r="B905" s="255"/>
      <c r="C905" s="256"/>
      <c r="D905" s="255"/>
      <c r="E905" s="255"/>
      <c r="F905" s="255"/>
      <c r="G905" s="256"/>
      <c r="H905" s="255"/>
      <c r="I905" s="255"/>
      <c r="J905" s="255"/>
      <c r="K905" s="256"/>
      <c r="L905" s="255"/>
      <c r="M905" s="255"/>
      <c r="N905" s="255"/>
      <c r="O905" s="256"/>
      <c r="P905" s="255"/>
      <c r="Q905" s="255"/>
      <c r="R905" s="256"/>
      <c r="S905" s="256"/>
      <c r="T905" s="255"/>
      <c r="U905" s="259"/>
    </row>
    <row r="906">
      <c r="A906" s="255"/>
      <c r="B906" s="255"/>
      <c r="C906" s="256"/>
      <c r="D906" s="255"/>
      <c r="E906" s="255"/>
      <c r="F906" s="255"/>
      <c r="G906" s="256"/>
      <c r="H906" s="255"/>
      <c r="I906" s="255"/>
      <c r="J906" s="255"/>
      <c r="K906" s="256"/>
      <c r="L906" s="255"/>
      <c r="M906" s="255"/>
      <c r="N906" s="255"/>
      <c r="O906" s="256"/>
      <c r="P906" s="255"/>
      <c r="Q906" s="255"/>
      <c r="R906" s="256"/>
      <c r="S906" s="256"/>
      <c r="T906" s="255"/>
      <c r="U906" s="259"/>
    </row>
    <row r="907">
      <c r="A907" s="255"/>
      <c r="B907" s="255"/>
      <c r="C907" s="256"/>
      <c r="D907" s="255"/>
      <c r="E907" s="255"/>
      <c r="F907" s="255"/>
      <c r="G907" s="256"/>
      <c r="H907" s="255"/>
      <c r="I907" s="255"/>
      <c r="J907" s="255"/>
      <c r="K907" s="256"/>
      <c r="L907" s="255"/>
      <c r="M907" s="255"/>
      <c r="N907" s="255"/>
      <c r="O907" s="256"/>
      <c r="P907" s="255"/>
      <c r="Q907" s="255"/>
      <c r="R907" s="256"/>
      <c r="S907" s="256"/>
      <c r="T907" s="255"/>
      <c r="U907" s="259"/>
    </row>
    <row r="908">
      <c r="A908" s="255"/>
      <c r="B908" s="255"/>
      <c r="C908" s="256"/>
      <c r="D908" s="255"/>
      <c r="E908" s="255"/>
      <c r="F908" s="255"/>
      <c r="G908" s="256"/>
      <c r="H908" s="255"/>
      <c r="I908" s="255"/>
      <c r="J908" s="255"/>
      <c r="K908" s="256"/>
      <c r="L908" s="255"/>
      <c r="M908" s="255"/>
      <c r="N908" s="255"/>
      <c r="O908" s="256"/>
      <c r="P908" s="255"/>
      <c r="Q908" s="255"/>
      <c r="R908" s="256"/>
      <c r="S908" s="256"/>
      <c r="T908" s="255"/>
      <c r="U908" s="259"/>
    </row>
    <row r="909">
      <c r="A909" s="255"/>
      <c r="B909" s="255"/>
      <c r="C909" s="256"/>
      <c r="D909" s="255"/>
      <c r="E909" s="255"/>
      <c r="F909" s="255"/>
      <c r="G909" s="256"/>
      <c r="H909" s="255"/>
      <c r="I909" s="255"/>
      <c r="J909" s="255"/>
      <c r="K909" s="256"/>
      <c r="L909" s="255"/>
      <c r="M909" s="255"/>
      <c r="N909" s="255"/>
      <c r="O909" s="256"/>
      <c r="P909" s="255"/>
      <c r="Q909" s="255"/>
      <c r="R909" s="256"/>
      <c r="S909" s="256"/>
      <c r="T909" s="255"/>
      <c r="U909" s="259"/>
    </row>
    <row r="910">
      <c r="A910" s="255"/>
      <c r="B910" s="255"/>
      <c r="C910" s="256"/>
      <c r="D910" s="255"/>
      <c r="E910" s="255"/>
      <c r="F910" s="255"/>
      <c r="G910" s="256"/>
      <c r="H910" s="255"/>
      <c r="I910" s="255"/>
      <c r="J910" s="255"/>
      <c r="K910" s="256"/>
      <c r="L910" s="255"/>
      <c r="M910" s="255"/>
      <c r="N910" s="255"/>
      <c r="O910" s="256"/>
      <c r="P910" s="255"/>
      <c r="Q910" s="255"/>
      <c r="R910" s="256"/>
      <c r="S910" s="256"/>
      <c r="T910" s="255"/>
      <c r="U910" s="259"/>
    </row>
    <row r="911">
      <c r="A911" s="255"/>
      <c r="B911" s="255"/>
      <c r="C911" s="256"/>
      <c r="D911" s="255"/>
      <c r="E911" s="255"/>
      <c r="F911" s="255"/>
      <c r="G911" s="256"/>
      <c r="H911" s="255"/>
      <c r="I911" s="255"/>
      <c r="J911" s="255"/>
      <c r="K911" s="256"/>
      <c r="L911" s="255"/>
      <c r="M911" s="255"/>
      <c r="N911" s="255"/>
      <c r="O911" s="256"/>
      <c r="P911" s="255"/>
      <c r="Q911" s="255"/>
      <c r="R911" s="256"/>
      <c r="S911" s="256"/>
      <c r="T911" s="255"/>
      <c r="U911" s="259"/>
    </row>
    <row r="912">
      <c r="A912" s="255"/>
      <c r="B912" s="255"/>
      <c r="C912" s="256"/>
      <c r="D912" s="255"/>
      <c r="E912" s="255"/>
      <c r="F912" s="255"/>
      <c r="G912" s="256"/>
      <c r="H912" s="255"/>
      <c r="I912" s="255"/>
      <c r="J912" s="255"/>
      <c r="K912" s="256"/>
      <c r="L912" s="255"/>
      <c r="M912" s="255"/>
      <c r="N912" s="255"/>
      <c r="O912" s="256"/>
      <c r="P912" s="255"/>
      <c r="Q912" s="255"/>
      <c r="R912" s="256"/>
      <c r="S912" s="256"/>
      <c r="T912" s="255"/>
      <c r="U912" s="259"/>
    </row>
    <row r="913">
      <c r="A913" s="255"/>
      <c r="B913" s="255"/>
      <c r="C913" s="256"/>
      <c r="D913" s="255"/>
      <c r="E913" s="255"/>
      <c r="F913" s="255"/>
      <c r="G913" s="256"/>
      <c r="H913" s="255"/>
      <c r="I913" s="255"/>
      <c r="J913" s="255"/>
      <c r="K913" s="256"/>
      <c r="L913" s="255"/>
      <c r="M913" s="255"/>
      <c r="N913" s="255"/>
      <c r="O913" s="256"/>
      <c r="P913" s="255"/>
      <c r="Q913" s="255"/>
      <c r="R913" s="256"/>
      <c r="S913" s="256"/>
      <c r="T913" s="255"/>
      <c r="U913" s="259"/>
    </row>
    <row r="914">
      <c r="A914" s="255"/>
      <c r="B914" s="255"/>
      <c r="C914" s="256"/>
      <c r="D914" s="255"/>
      <c r="E914" s="255"/>
      <c r="F914" s="255"/>
      <c r="G914" s="256"/>
      <c r="H914" s="255"/>
      <c r="I914" s="255"/>
      <c r="J914" s="255"/>
      <c r="K914" s="256"/>
      <c r="L914" s="255"/>
      <c r="M914" s="255"/>
      <c r="N914" s="255"/>
      <c r="O914" s="256"/>
      <c r="P914" s="255"/>
      <c r="Q914" s="255"/>
      <c r="R914" s="256"/>
      <c r="S914" s="256"/>
      <c r="T914" s="255"/>
      <c r="U914" s="259"/>
    </row>
    <row r="915">
      <c r="A915" s="255"/>
      <c r="B915" s="255"/>
      <c r="C915" s="256"/>
      <c r="D915" s="255"/>
      <c r="E915" s="255"/>
      <c r="F915" s="255"/>
      <c r="G915" s="256"/>
      <c r="H915" s="255"/>
      <c r="I915" s="255"/>
      <c r="J915" s="255"/>
      <c r="K915" s="256"/>
      <c r="L915" s="255"/>
      <c r="M915" s="255"/>
      <c r="N915" s="255"/>
      <c r="O915" s="256"/>
      <c r="P915" s="255"/>
      <c r="Q915" s="255"/>
      <c r="R915" s="256"/>
      <c r="S915" s="256"/>
      <c r="T915" s="255"/>
      <c r="U915" s="259"/>
    </row>
    <row r="916">
      <c r="A916" s="255"/>
      <c r="B916" s="255"/>
      <c r="C916" s="256"/>
      <c r="D916" s="255"/>
      <c r="E916" s="255"/>
      <c r="F916" s="255"/>
      <c r="G916" s="256"/>
      <c r="H916" s="255"/>
      <c r="I916" s="255"/>
      <c r="J916" s="255"/>
      <c r="K916" s="256"/>
      <c r="L916" s="255"/>
      <c r="M916" s="255"/>
      <c r="N916" s="255"/>
      <c r="O916" s="256"/>
      <c r="P916" s="255"/>
      <c r="Q916" s="255"/>
      <c r="R916" s="256"/>
      <c r="S916" s="256"/>
      <c r="T916" s="255"/>
      <c r="U916" s="259"/>
    </row>
    <row r="917">
      <c r="A917" s="255"/>
      <c r="B917" s="255"/>
      <c r="C917" s="256"/>
      <c r="D917" s="255"/>
      <c r="E917" s="255"/>
      <c r="F917" s="255"/>
      <c r="G917" s="256"/>
      <c r="H917" s="255"/>
      <c r="I917" s="255"/>
      <c r="J917" s="255"/>
      <c r="K917" s="256"/>
      <c r="L917" s="255"/>
      <c r="M917" s="255"/>
      <c r="N917" s="255"/>
      <c r="O917" s="256"/>
      <c r="P917" s="255"/>
      <c r="Q917" s="255"/>
      <c r="R917" s="256"/>
      <c r="S917" s="256"/>
      <c r="T917" s="255"/>
      <c r="U917" s="259"/>
    </row>
    <row r="918">
      <c r="A918" s="255"/>
      <c r="B918" s="255"/>
      <c r="C918" s="256"/>
      <c r="D918" s="255"/>
      <c r="E918" s="255"/>
      <c r="F918" s="255"/>
      <c r="G918" s="256"/>
      <c r="H918" s="255"/>
      <c r="I918" s="255"/>
      <c r="J918" s="255"/>
      <c r="K918" s="256"/>
      <c r="L918" s="255"/>
      <c r="M918" s="255"/>
      <c r="N918" s="255"/>
      <c r="O918" s="256"/>
      <c r="P918" s="255"/>
      <c r="Q918" s="255"/>
      <c r="R918" s="256"/>
      <c r="S918" s="256"/>
      <c r="T918" s="255"/>
      <c r="U918" s="259"/>
    </row>
    <row r="919">
      <c r="A919" s="255"/>
      <c r="B919" s="255"/>
      <c r="C919" s="256"/>
      <c r="D919" s="255"/>
      <c r="E919" s="255"/>
      <c r="F919" s="255"/>
      <c r="G919" s="256"/>
      <c r="H919" s="255"/>
      <c r="I919" s="255"/>
      <c r="J919" s="255"/>
      <c r="K919" s="256"/>
      <c r="L919" s="255"/>
      <c r="M919" s="255"/>
      <c r="N919" s="255"/>
      <c r="O919" s="256"/>
      <c r="P919" s="255"/>
      <c r="Q919" s="255"/>
      <c r="R919" s="256"/>
      <c r="S919" s="256"/>
      <c r="T919" s="255"/>
      <c r="U919" s="259"/>
    </row>
    <row r="920">
      <c r="A920" s="255"/>
      <c r="B920" s="255"/>
      <c r="C920" s="256"/>
      <c r="D920" s="255"/>
      <c r="E920" s="255"/>
      <c r="F920" s="255"/>
      <c r="G920" s="256"/>
      <c r="H920" s="255"/>
      <c r="I920" s="255"/>
      <c r="J920" s="255"/>
      <c r="K920" s="256"/>
      <c r="L920" s="255"/>
      <c r="M920" s="255"/>
      <c r="N920" s="255"/>
      <c r="O920" s="256"/>
      <c r="P920" s="255"/>
      <c r="Q920" s="255"/>
      <c r="R920" s="256"/>
      <c r="S920" s="256"/>
      <c r="T920" s="255"/>
      <c r="U920" s="259"/>
    </row>
    <row r="921">
      <c r="A921" s="255"/>
      <c r="B921" s="255"/>
      <c r="C921" s="256"/>
      <c r="D921" s="255"/>
      <c r="E921" s="255"/>
      <c r="F921" s="255"/>
      <c r="G921" s="256"/>
      <c r="H921" s="255"/>
      <c r="I921" s="255"/>
      <c r="J921" s="255"/>
      <c r="K921" s="256"/>
      <c r="L921" s="255"/>
      <c r="M921" s="255"/>
      <c r="N921" s="255"/>
      <c r="O921" s="256"/>
      <c r="P921" s="255"/>
      <c r="Q921" s="255"/>
      <c r="R921" s="256"/>
      <c r="S921" s="256"/>
      <c r="T921" s="255"/>
      <c r="U921" s="259"/>
    </row>
    <row r="922">
      <c r="A922" s="255"/>
      <c r="B922" s="255"/>
      <c r="C922" s="256"/>
      <c r="D922" s="255"/>
      <c r="E922" s="255"/>
      <c r="F922" s="255"/>
      <c r="G922" s="256"/>
      <c r="H922" s="255"/>
      <c r="I922" s="255"/>
      <c r="J922" s="255"/>
      <c r="K922" s="256"/>
      <c r="L922" s="255"/>
      <c r="M922" s="255"/>
      <c r="N922" s="255"/>
      <c r="O922" s="256"/>
      <c r="P922" s="255"/>
      <c r="Q922" s="255"/>
      <c r="R922" s="256"/>
      <c r="S922" s="256"/>
      <c r="T922" s="255"/>
      <c r="U922" s="259"/>
    </row>
    <row r="923">
      <c r="A923" s="255"/>
      <c r="B923" s="255"/>
      <c r="C923" s="256"/>
      <c r="D923" s="255"/>
      <c r="E923" s="255"/>
      <c r="F923" s="255"/>
      <c r="G923" s="256"/>
      <c r="H923" s="255"/>
      <c r="I923" s="255"/>
      <c r="J923" s="255"/>
      <c r="K923" s="256"/>
      <c r="L923" s="255"/>
      <c r="M923" s="255"/>
      <c r="N923" s="255"/>
      <c r="O923" s="256"/>
      <c r="P923" s="255"/>
      <c r="Q923" s="255"/>
      <c r="R923" s="256"/>
      <c r="S923" s="256"/>
      <c r="T923" s="255"/>
      <c r="U923" s="259"/>
    </row>
    <row r="924">
      <c r="A924" s="255"/>
      <c r="B924" s="255"/>
      <c r="C924" s="256"/>
      <c r="D924" s="255"/>
      <c r="E924" s="255"/>
      <c r="F924" s="255"/>
      <c r="G924" s="256"/>
      <c r="H924" s="255"/>
      <c r="I924" s="255"/>
      <c r="J924" s="255"/>
      <c r="K924" s="256"/>
      <c r="L924" s="255"/>
      <c r="M924" s="255"/>
      <c r="N924" s="255"/>
      <c r="O924" s="256"/>
      <c r="P924" s="255"/>
      <c r="Q924" s="255"/>
      <c r="R924" s="256"/>
      <c r="S924" s="256"/>
      <c r="T924" s="255"/>
      <c r="U924" s="259"/>
    </row>
    <row r="925">
      <c r="A925" s="255"/>
      <c r="B925" s="255"/>
      <c r="C925" s="256"/>
      <c r="D925" s="255"/>
      <c r="E925" s="255"/>
      <c r="F925" s="255"/>
      <c r="G925" s="256"/>
      <c r="H925" s="255"/>
      <c r="I925" s="255"/>
      <c r="J925" s="255"/>
      <c r="K925" s="256"/>
      <c r="L925" s="255"/>
      <c r="M925" s="255"/>
      <c r="N925" s="255"/>
      <c r="O925" s="256"/>
      <c r="P925" s="255"/>
      <c r="Q925" s="255"/>
      <c r="R925" s="256"/>
      <c r="S925" s="256"/>
      <c r="T925" s="255"/>
      <c r="U925" s="259"/>
    </row>
    <row r="926">
      <c r="A926" s="255"/>
      <c r="B926" s="255"/>
      <c r="C926" s="256"/>
      <c r="D926" s="255"/>
      <c r="E926" s="255"/>
      <c r="F926" s="255"/>
      <c r="G926" s="256"/>
      <c r="H926" s="255"/>
      <c r="I926" s="255"/>
      <c r="J926" s="255"/>
      <c r="K926" s="256"/>
      <c r="L926" s="255"/>
      <c r="M926" s="255"/>
      <c r="N926" s="255"/>
      <c r="O926" s="256"/>
      <c r="P926" s="255"/>
      <c r="Q926" s="255"/>
      <c r="R926" s="256"/>
      <c r="S926" s="256"/>
      <c r="T926" s="255"/>
      <c r="U926" s="259"/>
    </row>
    <row r="927">
      <c r="A927" s="255"/>
      <c r="B927" s="255"/>
      <c r="C927" s="256"/>
      <c r="D927" s="255"/>
      <c r="E927" s="255"/>
      <c r="F927" s="255"/>
      <c r="G927" s="256"/>
      <c r="H927" s="255"/>
      <c r="I927" s="255"/>
      <c r="J927" s="255"/>
      <c r="K927" s="256"/>
      <c r="L927" s="255"/>
      <c r="M927" s="255"/>
      <c r="N927" s="255"/>
      <c r="O927" s="256"/>
      <c r="P927" s="255"/>
      <c r="Q927" s="255"/>
      <c r="R927" s="256"/>
      <c r="S927" s="256"/>
      <c r="T927" s="255"/>
      <c r="U927" s="259"/>
    </row>
    <row r="928">
      <c r="A928" s="255"/>
      <c r="B928" s="255"/>
      <c r="C928" s="256"/>
      <c r="D928" s="255"/>
      <c r="E928" s="255"/>
      <c r="F928" s="255"/>
      <c r="G928" s="256"/>
      <c r="H928" s="255"/>
      <c r="I928" s="255"/>
      <c r="J928" s="255"/>
      <c r="K928" s="256"/>
      <c r="L928" s="255"/>
      <c r="M928" s="255"/>
      <c r="N928" s="255"/>
      <c r="O928" s="256"/>
      <c r="P928" s="255"/>
      <c r="Q928" s="255"/>
      <c r="R928" s="256"/>
      <c r="S928" s="256"/>
      <c r="T928" s="255"/>
      <c r="U928" s="259"/>
    </row>
    <row r="929">
      <c r="A929" s="255"/>
      <c r="B929" s="255"/>
      <c r="C929" s="256"/>
      <c r="D929" s="255"/>
      <c r="E929" s="255"/>
      <c r="F929" s="255"/>
      <c r="G929" s="256"/>
      <c r="H929" s="255"/>
      <c r="I929" s="255"/>
      <c r="J929" s="255"/>
      <c r="K929" s="256"/>
      <c r="L929" s="255"/>
      <c r="M929" s="255"/>
      <c r="N929" s="255"/>
      <c r="O929" s="256"/>
      <c r="P929" s="255"/>
      <c r="Q929" s="255"/>
      <c r="R929" s="256"/>
      <c r="S929" s="256"/>
      <c r="T929" s="255"/>
      <c r="U929" s="259"/>
    </row>
    <row r="930">
      <c r="A930" s="255"/>
      <c r="B930" s="255"/>
      <c r="C930" s="256"/>
      <c r="D930" s="255"/>
      <c r="E930" s="255"/>
      <c r="F930" s="255"/>
      <c r="G930" s="256"/>
      <c r="H930" s="255"/>
      <c r="I930" s="255"/>
      <c r="J930" s="255"/>
      <c r="K930" s="256"/>
      <c r="L930" s="255"/>
      <c r="M930" s="255"/>
      <c r="N930" s="255"/>
      <c r="O930" s="256"/>
      <c r="P930" s="255"/>
      <c r="Q930" s="255"/>
      <c r="R930" s="256"/>
      <c r="S930" s="256"/>
      <c r="T930" s="255"/>
      <c r="U930" s="259"/>
    </row>
    <row r="931">
      <c r="A931" s="255"/>
      <c r="B931" s="255"/>
      <c r="C931" s="256"/>
      <c r="D931" s="255"/>
      <c r="E931" s="255"/>
      <c r="F931" s="255"/>
      <c r="G931" s="256"/>
      <c r="H931" s="255"/>
      <c r="I931" s="255"/>
      <c r="J931" s="255"/>
      <c r="K931" s="256"/>
      <c r="L931" s="255"/>
      <c r="M931" s="255"/>
      <c r="N931" s="255"/>
      <c r="O931" s="256"/>
      <c r="P931" s="255"/>
      <c r="Q931" s="255"/>
      <c r="R931" s="256"/>
      <c r="S931" s="256"/>
      <c r="T931" s="255"/>
      <c r="U931" s="259"/>
    </row>
    <row r="932">
      <c r="A932" s="255"/>
      <c r="B932" s="255"/>
      <c r="C932" s="256"/>
      <c r="D932" s="255"/>
      <c r="E932" s="255"/>
      <c r="F932" s="255"/>
      <c r="G932" s="256"/>
      <c r="H932" s="255"/>
      <c r="I932" s="255"/>
      <c r="J932" s="255"/>
      <c r="K932" s="256"/>
      <c r="L932" s="255"/>
      <c r="M932" s="255"/>
      <c r="N932" s="255"/>
      <c r="O932" s="256"/>
      <c r="P932" s="255"/>
      <c r="Q932" s="255"/>
      <c r="R932" s="256"/>
      <c r="S932" s="256"/>
      <c r="T932" s="255"/>
      <c r="U932" s="259"/>
    </row>
    <row r="933">
      <c r="A933" s="255"/>
      <c r="B933" s="255"/>
      <c r="C933" s="256"/>
      <c r="D933" s="255"/>
      <c r="E933" s="255"/>
      <c r="F933" s="255"/>
      <c r="G933" s="256"/>
      <c r="H933" s="255"/>
      <c r="I933" s="255"/>
      <c r="J933" s="255"/>
      <c r="K933" s="256"/>
      <c r="L933" s="255"/>
      <c r="M933" s="255"/>
      <c r="N933" s="255"/>
      <c r="O933" s="256"/>
      <c r="P933" s="255"/>
      <c r="Q933" s="255"/>
      <c r="R933" s="256"/>
      <c r="S933" s="256"/>
      <c r="T933" s="255"/>
      <c r="U933" s="259"/>
    </row>
    <row r="934">
      <c r="A934" s="255"/>
      <c r="B934" s="255"/>
      <c r="C934" s="256"/>
      <c r="D934" s="255"/>
      <c r="E934" s="255"/>
      <c r="F934" s="255"/>
      <c r="G934" s="256"/>
      <c r="H934" s="255"/>
      <c r="I934" s="255"/>
      <c r="J934" s="255"/>
      <c r="K934" s="256"/>
      <c r="L934" s="255"/>
      <c r="M934" s="255"/>
      <c r="N934" s="255"/>
      <c r="O934" s="256"/>
      <c r="P934" s="255"/>
      <c r="Q934" s="255"/>
      <c r="R934" s="256"/>
      <c r="S934" s="256"/>
      <c r="T934" s="255"/>
      <c r="U934" s="259"/>
    </row>
    <row r="935">
      <c r="A935" s="255"/>
      <c r="B935" s="255"/>
      <c r="C935" s="256"/>
      <c r="D935" s="255"/>
      <c r="E935" s="255"/>
      <c r="F935" s="255"/>
      <c r="G935" s="256"/>
      <c r="H935" s="255"/>
      <c r="I935" s="255"/>
      <c r="J935" s="255"/>
      <c r="K935" s="256"/>
      <c r="L935" s="255"/>
      <c r="M935" s="255"/>
      <c r="N935" s="255"/>
      <c r="O935" s="256"/>
      <c r="P935" s="255"/>
      <c r="Q935" s="255"/>
      <c r="R935" s="256"/>
      <c r="S935" s="256"/>
      <c r="T935" s="255"/>
      <c r="U935" s="259"/>
    </row>
    <row r="936">
      <c r="A936" s="255"/>
      <c r="B936" s="255"/>
      <c r="C936" s="256"/>
      <c r="D936" s="255"/>
      <c r="E936" s="255"/>
      <c r="F936" s="255"/>
      <c r="G936" s="256"/>
      <c r="H936" s="255"/>
      <c r="I936" s="255"/>
      <c r="J936" s="255"/>
      <c r="K936" s="256"/>
      <c r="L936" s="255"/>
      <c r="M936" s="255"/>
      <c r="N936" s="255"/>
      <c r="O936" s="256"/>
      <c r="P936" s="255"/>
      <c r="Q936" s="255"/>
      <c r="R936" s="256"/>
      <c r="S936" s="256"/>
      <c r="T936" s="255"/>
      <c r="U936" s="259"/>
    </row>
    <row r="937">
      <c r="A937" s="255"/>
      <c r="B937" s="255"/>
      <c r="C937" s="256"/>
      <c r="D937" s="255"/>
      <c r="E937" s="255"/>
      <c r="F937" s="255"/>
      <c r="G937" s="256"/>
      <c r="H937" s="255"/>
      <c r="I937" s="255"/>
      <c r="J937" s="255"/>
      <c r="K937" s="256"/>
      <c r="L937" s="255"/>
      <c r="M937" s="255"/>
      <c r="N937" s="255"/>
      <c r="O937" s="256"/>
      <c r="P937" s="255"/>
      <c r="Q937" s="255"/>
      <c r="R937" s="256"/>
      <c r="S937" s="256"/>
      <c r="T937" s="255"/>
      <c r="U937" s="259"/>
    </row>
    <row r="938">
      <c r="A938" s="255"/>
      <c r="B938" s="255"/>
      <c r="C938" s="256"/>
      <c r="D938" s="255"/>
      <c r="E938" s="255"/>
      <c r="F938" s="255"/>
      <c r="G938" s="256"/>
      <c r="H938" s="255"/>
      <c r="I938" s="255"/>
      <c r="J938" s="255"/>
      <c r="K938" s="256"/>
      <c r="L938" s="255"/>
      <c r="M938" s="255"/>
      <c r="N938" s="255"/>
      <c r="O938" s="256"/>
      <c r="P938" s="255"/>
      <c r="Q938" s="255"/>
      <c r="R938" s="256"/>
      <c r="S938" s="256"/>
      <c r="T938" s="255"/>
      <c r="U938" s="259"/>
    </row>
    <row r="939">
      <c r="A939" s="255"/>
      <c r="B939" s="255"/>
      <c r="C939" s="256"/>
      <c r="D939" s="255"/>
      <c r="E939" s="255"/>
      <c r="F939" s="255"/>
      <c r="G939" s="256"/>
      <c r="H939" s="255"/>
      <c r="I939" s="255"/>
      <c r="J939" s="255"/>
      <c r="K939" s="256"/>
      <c r="L939" s="255"/>
      <c r="M939" s="255"/>
      <c r="N939" s="255"/>
      <c r="O939" s="256"/>
      <c r="P939" s="255"/>
      <c r="Q939" s="255"/>
      <c r="R939" s="256"/>
      <c r="S939" s="256"/>
      <c r="T939" s="255"/>
      <c r="U939" s="259"/>
    </row>
    <row r="940">
      <c r="A940" s="255"/>
      <c r="B940" s="255"/>
      <c r="C940" s="256"/>
      <c r="D940" s="255"/>
      <c r="E940" s="255"/>
      <c r="F940" s="255"/>
      <c r="G940" s="256"/>
      <c r="H940" s="255"/>
      <c r="I940" s="255"/>
      <c r="J940" s="255"/>
      <c r="K940" s="256"/>
      <c r="L940" s="255"/>
      <c r="M940" s="255"/>
      <c r="N940" s="255"/>
      <c r="O940" s="256"/>
      <c r="P940" s="255"/>
      <c r="Q940" s="255"/>
      <c r="R940" s="256"/>
      <c r="S940" s="256"/>
      <c r="T940" s="255"/>
      <c r="U940" s="259"/>
    </row>
    <row r="941">
      <c r="A941" s="255"/>
      <c r="B941" s="255"/>
      <c r="C941" s="256"/>
      <c r="D941" s="255"/>
      <c r="E941" s="255"/>
      <c r="F941" s="255"/>
      <c r="G941" s="256"/>
      <c r="H941" s="255"/>
      <c r="I941" s="255"/>
      <c r="J941" s="255"/>
      <c r="K941" s="256"/>
      <c r="L941" s="255"/>
      <c r="M941" s="255"/>
      <c r="N941" s="255"/>
      <c r="O941" s="256"/>
      <c r="P941" s="255"/>
      <c r="Q941" s="255"/>
      <c r="R941" s="256"/>
      <c r="S941" s="256"/>
      <c r="T941" s="255"/>
      <c r="U941" s="259"/>
    </row>
    <row r="942">
      <c r="A942" s="255"/>
      <c r="B942" s="255"/>
      <c r="C942" s="256"/>
      <c r="D942" s="255"/>
      <c r="E942" s="255"/>
      <c r="F942" s="255"/>
      <c r="G942" s="256"/>
      <c r="H942" s="255"/>
      <c r="I942" s="255"/>
      <c r="J942" s="255"/>
      <c r="K942" s="256"/>
      <c r="L942" s="255"/>
      <c r="M942" s="255"/>
      <c r="N942" s="255"/>
      <c r="O942" s="256"/>
      <c r="P942" s="255"/>
      <c r="Q942" s="255"/>
      <c r="R942" s="256"/>
      <c r="S942" s="256"/>
      <c r="T942" s="255"/>
      <c r="U942" s="259"/>
    </row>
    <row r="943">
      <c r="A943" s="255"/>
      <c r="B943" s="255"/>
      <c r="C943" s="256"/>
      <c r="D943" s="255"/>
      <c r="E943" s="255"/>
      <c r="F943" s="255"/>
      <c r="G943" s="256"/>
      <c r="H943" s="255"/>
      <c r="I943" s="255"/>
      <c r="J943" s="255"/>
      <c r="K943" s="256"/>
      <c r="L943" s="255"/>
      <c r="M943" s="255"/>
      <c r="N943" s="255"/>
      <c r="O943" s="256"/>
      <c r="P943" s="255"/>
      <c r="Q943" s="255"/>
      <c r="R943" s="256"/>
      <c r="S943" s="256"/>
      <c r="T943" s="255"/>
      <c r="U943" s="259"/>
    </row>
    <row r="944">
      <c r="A944" s="255"/>
      <c r="B944" s="255"/>
      <c r="C944" s="256"/>
      <c r="D944" s="255"/>
      <c r="E944" s="255"/>
      <c r="F944" s="255"/>
      <c r="G944" s="256"/>
      <c r="H944" s="255"/>
      <c r="I944" s="255"/>
      <c r="J944" s="255"/>
      <c r="K944" s="256"/>
      <c r="L944" s="255"/>
      <c r="M944" s="255"/>
      <c r="N944" s="255"/>
      <c r="O944" s="256"/>
      <c r="P944" s="255"/>
      <c r="Q944" s="255"/>
      <c r="R944" s="256"/>
      <c r="S944" s="256"/>
      <c r="T944" s="255"/>
      <c r="U944" s="259"/>
    </row>
    <row r="945">
      <c r="A945" s="255"/>
      <c r="B945" s="255"/>
      <c r="C945" s="256"/>
      <c r="D945" s="255"/>
      <c r="E945" s="255"/>
      <c r="F945" s="255"/>
      <c r="G945" s="256"/>
      <c r="H945" s="255"/>
      <c r="I945" s="255"/>
      <c r="J945" s="255"/>
      <c r="K945" s="256"/>
      <c r="L945" s="255"/>
      <c r="M945" s="255"/>
      <c r="N945" s="255"/>
      <c r="O945" s="256"/>
      <c r="P945" s="255"/>
      <c r="Q945" s="255"/>
      <c r="R945" s="256"/>
      <c r="S945" s="256"/>
      <c r="T945" s="255"/>
      <c r="U945" s="259"/>
    </row>
    <row r="946">
      <c r="A946" s="255"/>
      <c r="B946" s="255"/>
      <c r="C946" s="256"/>
      <c r="D946" s="255"/>
      <c r="E946" s="255"/>
      <c r="F946" s="255"/>
      <c r="G946" s="256"/>
      <c r="H946" s="255"/>
      <c r="I946" s="255"/>
      <c r="J946" s="255"/>
      <c r="K946" s="256"/>
      <c r="L946" s="255"/>
      <c r="M946" s="255"/>
      <c r="N946" s="255"/>
      <c r="O946" s="256"/>
      <c r="P946" s="255"/>
      <c r="Q946" s="255"/>
      <c r="R946" s="256"/>
      <c r="S946" s="256"/>
      <c r="T946" s="255"/>
      <c r="U946" s="259"/>
    </row>
    <row r="947">
      <c r="A947" s="255"/>
      <c r="B947" s="255"/>
      <c r="C947" s="256"/>
      <c r="D947" s="255"/>
      <c r="E947" s="255"/>
      <c r="F947" s="255"/>
      <c r="G947" s="256"/>
      <c r="H947" s="255"/>
      <c r="I947" s="255"/>
      <c r="J947" s="255"/>
      <c r="K947" s="256"/>
      <c r="L947" s="255"/>
      <c r="M947" s="255"/>
      <c r="N947" s="255"/>
      <c r="O947" s="256"/>
      <c r="P947" s="255"/>
      <c r="Q947" s="255"/>
      <c r="R947" s="256"/>
      <c r="S947" s="256"/>
      <c r="T947" s="255"/>
      <c r="U947" s="259"/>
    </row>
    <row r="948">
      <c r="A948" s="255"/>
      <c r="B948" s="255"/>
      <c r="C948" s="256"/>
      <c r="D948" s="255"/>
      <c r="E948" s="255"/>
      <c r="F948" s="255"/>
      <c r="G948" s="256"/>
      <c r="H948" s="255"/>
      <c r="I948" s="255"/>
      <c r="J948" s="255"/>
      <c r="K948" s="256"/>
      <c r="L948" s="255"/>
      <c r="M948" s="255"/>
      <c r="N948" s="255"/>
      <c r="O948" s="256"/>
      <c r="P948" s="255"/>
      <c r="Q948" s="255"/>
      <c r="R948" s="256"/>
      <c r="S948" s="256"/>
      <c r="T948" s="255"/>
      <c r="U948" s="259"/>
    </row>
    <row r="949">
      <c r="A949" s="255"/>
      <c r="B949" s="255"/>
      <c r="C949" s="256"/>
      <c r="D949" s="255"/>
      <c r="E949" s="255"/>
      <c r="F949" s="255"/>
      <c r="G949" s="256"/>
      <c r="H949" s="255"/>
      <c r="I949" s="255"/>
      <c r="J949" s="255"/>
      <c r="K949" s="256"/>
      <c r="L949" s="255"/>
      <c r="M949" s="255"/>
      <c r="N949" s="255"/>
      <c r="O949" s="256"/>
      <c r="P949" s="255"/>
      <c r="Q949" s="255"/>
      <c r="R949" s="256"/>
      <c r="S949" s="256"/>
      <c r="T949" s="255"/>
      <c r="U949" s="259"/>
    </row>
    <row r="950">
      <c r="A950" s="255"/>
      <c r="B950" s="255"/>
      <c r="C950" s="256"/>
      <c r="D950" s="255"/>
      <c r="E950" s="255"/>
      <c r="F950" s="255"/>
      <c r="G950" s="256"/>
      <c r="H950" s="255"/>
      <c r="I950" s="255"/>
      <c r="J950" s="255"/>
      <c r="K950" s="256"/>
      <c r="L950" s="255"/>
      <c r="M950" s="255"/>
      <c r="N950" s="255"/>
      <c r="O950" s="256"/>
      <c r="P950" s="255"/>
      <c r="Q950" s="255"/>
      <c r="R950" s="256"/>
      <c r="S950" s="256"/>
      <c r="T950" s="255"/>
      <c r="U950" s="259"/>
    </row>
    <row r="951">
      <c r="A951" s="255"/>
      <c r="B951" s="255"/>
      <c r="C951" s="256"/>
      <c r="D951" s="255"/>
      <c r="E951" s="255"/>
      <c r="F951" s="255"/>
      <c r="G951" s="256"/>
      <c r="H951" s="255"/>
      <c r="I951" s="255"/>
      <c r="J951" s="255"/>
      <c r="K951" s="256"/>
      <c r="L951" s="255"/>
      <c r="M951" s="255"/>
      <c r="N951" s="255"/>
      <c r="O951" s="256"/>
      <c r="P951" s="255"/>
      <c r="Q951" s="255"/>
      <c r="R951" s="256"/>
      <c r="S951" s="256"/>
      <c r="T951" s="255"/>
      <c r="U951" s="259"/>
    </row>
    <row r="952">
      <c r="A952" s="255"/>
      <c r="B952" s="255"/>
      <c r="C952" s="256"/>
      <c r="D952" s="255"/>
      <c r="E952" s="255"/>
      <c r="F952" s="255"/>
      <c r="G952" s="256"/>
      <c r="H952" s="255"/>
      <c r="I952" s="255"/>
      <c r="J952" s="255"/>
      <c r="K952" s="256"/>
      <c r="L952" s="255"/>
      <c r="M952" s="255"/>
      <c r="N952" s="255"/>
      <c r="O952" s="256"/>
      <c r="P952" s="255"/>
      <c r="Q952" s="255"/>
      <c r="R952" s="256"/>
      <c r="S952" s="256"/>
      <c r="T952" s="255"/>
      <c r="U952" s="259"/>
    </row>
    <row r="953">
      <c r="A953" s="255"/>
      <c r="B953" s="255"/>
      <c r="C953" s="256"/>
      <c r="D953" s="255"/>
      <c r="E953" s="255"/>
      <c r="F953" s="255"/>
      <c r="G953" s="256"/>
      <c r="H953" s="255"/>
      <c r="I953" s="255"/>
      <c r="J953" s="255"/>
      <c r="K953" s="256"/>
      <c r="L953" s="255"/>
      <c r="M953" s="255"/>
      <c r="N953" s="255"/>
      <c r="O953" s="256"/>
      <c r="P953" s="255"/>
      <c r="Q953" s="255"/>
      <c r="R953" s="256"/>
      <c r="S953" s="256"/>
      <c r="T953" s="255"/>
      <c r="U953" s="259"/>
    </row>
    <row r="954">
      <c r="A954" s="255"/>
      <c r="B954" s="255"/>
      <c r="C954" s="256"/>
      <c r="D954" s="255"/>
      <c r="E954" s="255"/>
      <c r="F954" s="255"/>
      <c r="G954" s="256"/>
      <c r="H954" s="255"/>
      <c r="I954" s="255"/>
      <c r="J954" s="255"/>
      <c r="K954" s="256"/>
      <c r="L954" s="255"/>
      <c r="M954" s="255"/>
      <c r="N954" s="255"/>
      <c r="O954" s="256"/>
      <c r="P954" s="255"/>
      <c r="Q954" s="255"/>
      <c r="R954" s="256"/>
      <c r="S954" s="256"/>
      <c r="T954" s="255"/>
      <c r="U954" s="259"/>
    </row>
    <row r="955">
      <c r="A955" s="255"/>
      <c r="B955" s="255"/>
      <c r="C955" s="256"/>
      <c r="D955" s="255"/>
      <c r="E955" s="255"/>
      <c r="F955" s="255"/>
      <c r="G955" s="256"/>
      <c r="H955" s="255"/>
      <c r="I955" s="255"/>
      <c r="J955" s="255"/>
      <c r="K955" s="256"/>
      <c r="L955" s="255"/>
      <c r="M955" s="255"/>
      <c r="N955" s="255"/>
      <c r="O955" s="256"/>
      <c r="P955" s="255"/>
      <c r="Q955" s="255"/>
      <c r="R955" s="256"/>
      <c r="S955" s="256"/>
      <c r="T955" s="255"/>
      <c r="U955" s="259"/>
    </row>
    <row r="956">
      <c r="A956" s="255"/>
      <c r="B956" s="255"/>
      <c r="C956" s="256"/>
      <c r="D956" s="255"/>
      <c r="E956" s="255"/>
      <c r="F956" s="255"/>
      <c r="G956" s="256"/>
      <c r="H956" s="255"/>
      <c r="I956" s="255"/>
      <c r="J956" s="255"/>
      <c r="K956" s="256"/>
      <c r="L956" s="255"/>
      <c r="M956" s="255"/>
      <c r="N956" s="255"/>
      <c r="O956" s="256"/>
      <c r="P956" s="255"/>
      <c r="Q956" s="255"/>
      <c r="R956" s="256"/>
      <c r="S956" s="256"/>
      <c r="T956" s="255"/>
      <c r="U956" s="259"/>
    </row>
    <row r="957">
      <c r="A957" s="255"/>
      <c r="B957" s="255"/>
      <c r="C957" s="256"/>
      <c r="D957" s="255"/>
      <c r="E957" s="255"/>
      <c r="F957" s="255"/>
      <c r="G957" s="256"/>
      <c r="H957" s="255"/>
      <c r="I957" s="255"/>
      <c r="J957" s="255"/>
      <c r="K957" s="256"/>
      <c r="L957" s="255"/>
      <c r="M957" s="255"/>
      <c r="N957" s="255"/>
      <c r="O957" s="256"/>
      <c r="P957" s="255"/>
      <c r="Q957" s="255"/>
      <c r="R957" s="256"/>
      <c r="S957" s="256"/>
      <c r="T957" s="255"/>
      <c r="U957" s="259"/>
    </row>
    <row r="958">
      <c r="A958" s="255"/>
      <c r="B958" s="255"/>
      <c r="C958" s="256"/>
      <c r="D958" s="255"/>
      <c r="E958" s="255"/>
      <c r="F958" s="255"/>
      <c r="G958" s="256"/>
      <c r="H958" s="255"/>
      <c r="I958" s="255"/>
      <c r="J958" s="255"/>
      <c r="K958" s="256"/>
      <c r="L958" s="255"/>
      <c r="M958" s="255"/>
      <c r="N958" s="255"/>
      <c r="O958" s="256"/>
      <c r="P958" s="255"/>
      <c r="Q958" s="255"/>
      <c r="R958" s="256"/>
      <c r="S958" s="256"/>
      <c r="T958" s="255"/>
      <c r="U958" s="259"/>
    </row>
    <row r="959">
      <c r="A959" s="255"/>
      <c r="B959" s="255"/>
      <c r="C959" s="256"/>
      <c r="D959" s="255"/>
      <c r="E959" s="255"/>
      <c r="F959" s="255"/>
      <c r="G959" s="256"/>
      <c r="H959" s="255"/>
      <c r="I959" s="255"/>
      <c r="J959" s="255"/>
      <c r="K959" s="256"/>
      <c r="L959" s="255"/>
      <c r="M959" s="255"/>
      <c r="N959" s="255"/>
      <c r="O959" s="256"/>
      <c r="P959" s="255"/>
      <c r="Q959" s="255"/>
      <c r="R959" s="256"/>
      <c r="S959" s="256"/>
      <c r="T959" s="255"/>
      <c r="U959" s="259"/>
    </row>
    <row r="960">
      <c r="A960" s="255"/>
      <c r="B960" s="255"/>
      <c r="C960" s="256"/>
      <c r="D960" s="255"/>
      <c r="E960" s="255"/>
      <c r="F960" s="255"/>
      <c r="G960" s="256"/>
      <c r="H960" s="255"/>
      <c r="I960" s="255"/>
      <c r="J960" s="255"/>
      <c r="K960" s="256"/>
      <c r="L960" s="255"/>
      <c r="M960" s="255"/>
      <c r="N960" s="255"/>
      <c r="O960" s="256"/>
      <c r="P960" s="255"/>
      <c r="Q960" s="255"/>
      <c r="R960" s="256"/>
      <c r="S960" s="256"/>
      <c r="T960" s="255"/>
      <c r="U960" s="259"/>
    </row>
    <row r="961">
      <c r="A961" s="255"/>
      <c r="B961" s="255"/>
      <c r="C961" s="256"/>
      <c r="D961" s="255"/>
      <c r="E961" s="255"/>
      <c r="F961" s="255"/>
      <c r="G961" s="256"/>
      <c r="H961" s="255"/>
      <c r="I961" s="255"/>
      <c r="J961" s="255"/>
      <c r="K961" s="256"/>
      <c r="L961" s="255"/>
      <c r="M961" s="255"/>
      <c r="N961" s="255"/>
      <c r="O961" s="256"/>
      <c r="P961" s="255"/>
      <c r="Q961" s="255"/>
      <c r="R961" s="256"/>
      <c r="S961" s="256"/>
      <c r="T961" s="255"/>
      <c r="U961" s="259"/>
    </row>
    <row r="962">
      <c r="A962" s="255"/>
      <c r="B962" s="255"/>
      <c r="C962" s="256"/>
      <c r="D962" s="255"/>
      <c r="E962" s="255"/>
      <c r="F962" s="255"/>
      <c r="G962" s="256"/>
      <c r="H962" s="255"/>
      <c r="I962" s="255"/>
      <c r="J962" s="255"/>
      <c r="K962" s="256"/>
      <c r="L962" s="255"/>
      <c r="M962" s="255"/>
      <c r="N962" s="255"/>
      <c r="O962" s="256"/>
      <c r="P962" s="255"/>
      <c r="Q962" s="255"/>
      <c r="R962" s="256"/>
      <c r="S962" s="256"/>
      <c r="T962" s="255"/>
      <c r="U962" s="259"/>
    </row>
    <row r="963">
      <c r="A963" s="255"/>
      <c r="B963" s="255"/>
      <c r="C963" s="256"/>
      <c r="D963" s="255"/>
      <c r="E963" s="255"/>
      <c r="F963" s="255"/>
      <c r="G963" s="256"/>
      <c r="H963" s="255"/>
      <c r="I963" s="255"/>
      <c r="J963" s="255"/>
      <c r="K963" s="256"/>
      <c r="L963" s="255"/>
      <c r="M963" s="255"/>
      <c r="N963" s="255"/>
      <c r="O963" s="256"/>
      <c r="P963" s="255"/>
      <c r="Q963" s="255"/>
      <c r="R963" s="256"/>
      <c r="S963" s="256"/>
      <c r="T963" s="255"/>
      <c r="U963" s="259"/>
    </row>
    <row r="964">
      <c r="A964" s="255"/>
      <c r="B964" s="255"/>
      <c r="C964" s="256"/>
      <c r="D964" s="255"/>
      <c r="E964" s="255"/>
      <c r="F964" s="255"/>
      <c r="G964" s="256"/>
      <c r="H964" s="255"/>
      <c r="I964" s="255"/>
      <c r="J964" s="255"/>
      <c r="K964" s="256"/>
      <c r="L964" s="255"/>
      <c r="M964" s="255"/>
      <c r="N964" s="255"/>
      <c r="O964" s="256"/>
      <c r="P964" s="255"/>
      <c r="Q964" s="255"/>
      <c r="R964" s="256"/>
      <c r="S964" s="256"/>
      <c r="T964" s="255"/>
      <c r="U964" s="259"/>
    </row>
    <row r="965">
      <c r="A965" s="255"/>
      <c r="B965" s="255"/>
      <c r="C965" s="256"/>
      <c r="D965" s="255"/>
      <c r="E965" s="255"/>
      <c r="F965" s="255"/>
      <c r="G965" s="256"/>
      <c r="H965" s="255"/>
      <c r="I965" s="255"/>
      <c r="J965" s="255"/>
      <c r="K965" s="256"/>
      <c r="L965" s="255"/>
      <c r="M965" s="255"/>
      <c r="N965" s="255"/>
      <c r="O965" s="256"/>
      <c r="P965" s="255"/>
      <c r="Q965" s="255"/>
      <c r="R965" s="256"/>
      <c r="S965" s="256"/>
      <c r="T965" s="255"/>
      <c r="U965" s="259"/>
    </row>
    <row r="966">
      <c r="A966" s="255"/>
      <c r="B966" s="255"/>
      <c r="C966" s="256"/>
      <c r="D966" s="255"/>
      <c r="E966" s="255"/>
      <c r="F966" s="255"/>
      <c r="G966" s="256"/>
      <c r="H966" s="255"/>
      <c r="I966" s="255"/>
      <c r="J966" s="255"/>
      <c r="K966" s="256"/>
      <c r="L966" s="255"/>
      <c r="M966" s="255"/>
      <c r="N966" s="255"/>
      <c r="O966" s="256"/>
      <c r="P966" s="255"/>
      <c r="Q966" s="255"/>
      <c r="R966" s="256"/>
      <c r="S966" s="256"/>
      <c r="T966" s="255"/>
      <c r="U966" s="259"/>
    </row>
    <row r="967">
      <c r="A967" s="255"/>
      <c r="B967" s="255"/>
      <c r="C967" s="256"/>
      <c r="D967" s="255"/>
      <c r="E967" s="255"/>
      <c r="F967" s="255"/>
      <c r="G967" s="256"/>
      <c r="H967" s="255"/>
      <c r="I967" s="255"/>
      <c r="J967" s="255"/>
      <c r="K967" s="256"/>
      <c r="L967" s="255"/>
      <c r="M967" s="255"/>
      <c r="N967" s="255"/>
      <c r="O967" s="256"/>
      <c r="P967" s="255"/>
      <c r="Q967" s="255"/>
      <c r="R967" s="256"/>
      <c r="S967" s="256"/>
      <c r="T967" s="255"/>
      <c r="U967" s="259"/>
    </row>
    <row r="968">
      <c r="A968" s="255"/>
      <c r="B968" s="255"/>
      <c r="C968" s="256"/>
      <c r="D968" s="255"/>
      <c r="E968" s="255"/>
      <c r="F968" s="255"/>
      <c r="G968" s="256"/>
      <c r="H968" s="255"/>
      <c r="I968" s="255"/>
      <c r="J968" s="255"/>
      <c r="K968" s="256"/>
      <c r="L968" s="255"/>
      <c r="M968" s="255"/>
      <c r="N968" s="255"/>
      <c r="O968" s="256"/>
      <c r="P968" s="255"/>
      <c r="Q968" s="255"/>
      <c r="R968" s="256"/>
      <c r="S968" s="256"/>
      <c r="T968" s="255"/>
      <c r="U968" s="259"/>
    </row>
    <row r="969">
      <c r="A969" s="255"/>
      <c r="B969" s="255"/>
      <c r="C969" s="256"/>
      <c r="D969" s="255"/>
      <c r="E969" s="255"/>
      <c r="F969" s="255"/>
      <c r="G969" s="256"/>
      <c r="H969" s="255"/>
      <c r="I969" s="255"/>
      <c r="J969" s="255"/>
      <c r="K969" s="256"/>
      <c r="L969" s="255"/>
      <c r="M969" s="255"/>
      <c r="N969" s="255"/>
      <c r="O969" s="256"/>
      <c r="P969" s="255"/>
      <c r="Q969" s="255"/>
      <c r="R969" s="256"/>
      <c r="S969" s="256"/>
      <c r="T969" s="255"/>
      <c r="U969" s="259"/>
    </row>
    <row r="970">
      <c r="A970" s="255"/>
      <c r="B970" s="255"/>
      <c r="C970" s="256"/>
      <c r="D970" s="255"/>
      <c r="E970" s="255"/>
      <c r="F970" s="255"/>
      <c r="G970" s="256"/>
      <c r="H970" s="255"/>
      <c r="I970" s="255"/>
      <c r="J970" s="255"/>
      <c r="K970" s="256"/>
      <c r="L970" s="255"/>
      <c r="M970" s="255"/>
      <c r="N970" s="255"/>
      <c r="O970" s="256"/>
      <c r="P970" s="255"/>
      <c r="Q970" s="255"/>
      <c r="R970" s="256"/>
      <c r="S970" s="256"/>
      <c r="T970" s="255"/>
      <c r="U970" s="259"/>
    </row>
    <row r="971">
      <c r="A971" s="255"/>
      <c r="B971" s="255"/>
      <c r="C971" s="256"/>
      <c r="D971" s="255"/>
      <c r="E971" s="255"/>
      <c r="F971" s="255"/>
      <c r="G971" s="256"/>
      <c r="H971" s="255"/>
      <c r="I971" s="255"/>
      <c r="J971" s="255"/>
      <c r="K971" s="256"/>
      <c r="L971" s="255"/>
      <c r="M971" s="255"/>
      <c r="N971" s="255"/>
      <c r="O971" s="256"/>
      <c r="P971" s="255"/>
      <c r="Q971" s="255"/>
      <c r="R971" s="256"/>
      <c r="S971" s="256"/>
      <c r="T971" s="255"/>
      <c r="U971" s="259"/>
    </row>
    <row r="972">
      <c r="A972" s="255"/>
      <c r="B972" s="255"/>
      <c r="C972" s="256"/>
      <c r="D972" s="255"/>
      <c r="E972" s="255"/>
      <c r="F972" s="255"/>
      <c r="G972" s="256"/>
      <c r="H972" s="255"/>
      <c r="I972" s="255"/>
      <c r="J972" s="255"/>
      <c r="K972" s="256"/>
      <c r="L972" s="255"/>
      <c r="M972" s="255"/>
      <c r="N972" s="255"/>
      <c r="O972" s="256"/>
      <c r="P972" s="255"/>
      <c r="Q972" s="255"/>
      <c r="R972" s="256"/>
      <c r="S972" s="256"/>
      <c r="T972" s="255"/>
      <c r="U972" s="259"/>
    </row>
    <row r="973">
      <c r="A973" s="255"/>
      <c r="B973" s="255"/>
      <c r="C973" s="256"/>
      <c r="D973" s="255"/>
      <c r="E973" s="255"/>
      <c r="F973" s="255"/>
      <c r="G973" s="256"/>
      <c r="H973" s="255"/>
      <c r="I973" s="255"/>
      <c r="J973" s="255"/>
      <c r="K973" s="256"/>
      <c r="L973" s="255"/>
      <c r="M973" s="255"/>
      <c r="N973" s="255"/>
      <c r="O973" s="256"/>
      <c r="P973" s="255"/>
      <c r="Q973" s="255"/>
      <c r="R973" s="256"/>
      <c r="S973" s="256"/>
      <c r="T973" s="255"/>
      <c r="U973" s="259"/>
    </row>
    <row r="974">
      <c r="A974" s="255"/>
      <c r="B974" s="255"/>
      <c r="C974" s="256"/>
      <c r="D974" s="255"/>
      <c r="E974" s="255"/>
      <c r="F974" s="255"/>
      <c r="G974" s="256"/>
      <c r="H974" s="255"/>
      <c r="I974" s="255"/>
      <c r="J974" s="255"/>
      <c r="K974" s="256"/>
      <c r="L974" s="255"/>
      <c r="M974" s="255"/>
      <c r="N974" s="255"/>
      <c r="O974" s="256"/>
      <c r="P974" s="255"/>
      <c r="Q974" s="255"/>
      <c r="R974" s="256"/>
      <c r="S974" s="256"/>
      <c r="T974" s="255"/>
      <c r="U974" s="259"/>
    </row>
    <row r="975">
      <c r="A975" s="255"/>
      <c r="B975" s="255"/>
      <c r="C975" s="256"/>
      <c r="D975" s="255"/>
      <c r="E975" s="255"/>
      <c r="F975" s="255"/>
      <c r="G975" s="256"/>
      <c r="H975" s="255"/>
      <c r="I975" s="255"/>
      <c r="J975" s="255"/>
      <c r="K975" s="256"/>
      <c r="L975" s="255"/>
      <c r="M975" s="255"/>
      <c r="N975" s="255"/>
      <c r="O975" s="256"/>
      <c r="P975" s="255"/>
      <c r="Q975" s="255"/>
      <c r="R975" s="256"/>
      <c r="S975" s="256"/>
      <c r="T975" s="255"/>
      <c r="U975" s="259"/>
    </row>
    <row r="976">
      <c r="A976" s="255"/>
      <c r="B976" s="255"/>
      <c r="C976" s="256"/>
      <c r="D976" s="255"/>
      <c r="E976" s="255"/>
      <c r="F976" s="255"/>
      <c r="G976" s="256"/>
      <c r="H976" s="255"/>
      <c r="I976" s="255"/>
      <c r="J976" s="255"/>
      <c r="K976" s="256"/>
      <c r="L976" s="255"/>
      <c r="M976" s="255"/>
      <c r="N976" s="255"/>
      <c r="O976" s="256"/>
      <c r="P976" s="255"/>
      <c r="Q976" s="255"/>
      <c r="R976" s="256"/>
      <c r="S976" s="256"/>
      <c r="T976" s="255"/>
      <c r="U976" s="259"/>
    </row>
    <row r="977">
      <c r="A977" s="255"/>
      <c r="B977" s="255"/>
      <c r="C977" s="256"/>
      <c r="D977" s="255"/>
      <c r="E977" s="255"/>
      <c r="F977" s="255"/>
      <c r="G977" s="256"/>
      <c r="H977" s="255"/>
      <c r="I977" s="255"/>
      <c r="J977" s="255"/>
      <c r="K977" s="256"/>
      <c r="L977" s="255"/>
      <c r="M977" s="255"/>
      <c r="N977" s="255"/>
      <c r="O977" s="256"/>
      <c r="P977" s="255"/>
      <c r="Q977" s="255"/>
      <c r="R977" s="256"/>
      <c r="S977" s="256"/>
      <c r="T977" s="255"/>
      <c r="U977" s="259"/>
    </row>
    <row r="978">
      <c r="A978" s="255"/>
      <c r="B978" s="255"/>
      <c r="C978" s="256"/>
      <c r="D978" s="255"/>
      <c r="E978" s="255"/>
      <c r="F978" s="255"/>
      <c r="G978" s="256"/>
      <c r="H978" s="255"/>
      <c r="I978" s="255"/>
      <c r="J978" s="255"/>
      <c r="K978" s="256"/>
      <c r="L978" s="255"/>
      <c r="M978" s="255"/>
      <c r="N978" s="255"/>
      <c r="O978" s="256"/>
      <c r="P978" s="255"/>
      <c r="Q978" s="255"/>
      <c r="R978" s="256"/>
      <c r="S978" s="256"/>
      <c r="T978" s="255"/>
      <c r="U978" s="259"/>
    </row>
    <row r="979">
      <c r="A979" s="255"/>
      <c r="B979" s="255"/>
      <c r="C979" s="256"/>
      <c r="D979" s="255"/>
      <c r="E979" s="255"/>
      <c r="F979" s="255"/>
      <c r="G979" s="256"/>
      <c r="H979" s="255"/>
      <c r="I979" s="255"/>
      <c r="J979" s="255"/>
      <c r="K979" s="256"/>
      <c r="L979" s="255"/>
      <c r="M979" s="255"/>
      <c r="N979" s="255"/>
      <c r="O979" s="256"/>
      <c r="P979" s="255"/>
      <c r="Q979" s="255"/>
      <c r="R979" s="256"/>
      <c r="S979" s="256"/>
      <c r="T979" s="255"/>
      <c r="U979" s="259"/>
    </row>
    <row r="980">
      <c r="A980" s="255"/>
      <c r="B980" s="255"/>
      <c r="C980" s="256"/>
      <c r="D980" s="255"/>
      <c r="E980" s="255"/>
      <c r="F980" s="255"/>
      <c r="G980" s="256"/>
      <c r="H980" s="255"/>
      <c r="I980" s="255"/>
      <c r="J980" s="255"/>
      <c r="K980" s="256"/>
      <c r="L980" s="255"/>
      <c r="M980" s="255"/>
      <c r="N980" s="255"/>
      <c r="O980" s="256"/>
      <c r="P980" s="255"/>
      <c r="Q980" s="255"/>
      <c r="R980" s="256"/>
      <c r="S980" s="256"/>
      <c r="T980" s="255"/>
      <c r="U980" s="259"/>
    </row>
    <row r="981">
      <c r="A981" s="255"/>
      <c r="B981" s="255"/>
      <c r="C981" s="256"/>
      <c r="D981" s="255"/>
      <c r="E981" s="255"/>
      <c r="F981" s="255"/>
      <c r="G981" s="256"/>
      <c r="H981" s="255"/>
      <c r="I981" s="255"/>
      <c r="J981" s="255"/>
      <c r="K981" s="256"/>
      <c r="L981" s="255"/>
      <c r="M981" s="255"/>
      <c r="N981" s="255"/>
      <c r="O981" s="256"/>
      <c r="P981" s="255"/>
      <c r="Q981" s="255"/>
      <c r="R981" s="256"/>
      <c r="S981" s="256"/>
      <c r="T981" s="255"/>
      <c r="U981" s="259"/>
    </row>
    <row r="982">
      <c r="A982" s="255"/>
      <c r="B982" s="255"/>
      <c r="C982" s="256"/>
      <c r="D982" s="255"/>
      <c r="E982" s="255"/>
      <c r="F982" s="255"/>
      <c r="G982" s="256"/>
      <c r="H982" s="255"/>
      <c r="I982" s="255"/>
      <c r="J982" s="255"/>
      <c r="K982" s="256"/>
      <c r="L982" s="255"/>
      <c r="M982" s="255"/>
      <c r="N982" s="255"/>
      <c r="O982" s="256"/>
      <c r="P982" s="255"/>
      <c r="Q982" s="255"/>
      <c r="R982" s="256"/>
      <c r="S982" s="256"/>
      <c r="T982" s="255"/>
      <c r="U982" s="259"/>
    </row>
    <row r="983">
      <c r="A983" s="255"/>
      <c r="B983" s="255"/>
      <c r="C983" s="256"/>
      <c r="D983" s="255"/>
      <c r="E983" s="255"/>
      <c r="F983" s="255"/>
      <c r="G983" s="256"/>
      <c r="H983" s="255"/>
      <c r="I983" s="255"/>
      <c r="J983" s="255"/>
      <c r="K983" s="256"/>
      <c r="L983" s="255"/>
      <c r="M983" s="255"/>
      <c r="N983" s="255"/>
      <c r="O983" s="256"/>
      <c r="P983" s="255"/>
      <c r="Q983" s="255"/>
      <c r="R983" s="256"/>
      <c r="S983" s="256"/>
      <c r="T983" s="255"/>
      <c r="U983" s="259"/>
    </row>
    <row r="984">
      <c r="A984" s="255"/>
      <c r="B984" s="255"/>
      <c r="C984" s="256"/>
      <c r="D984" s="255"/>
      <c r="E984" s="255"/>
      <c r="F984" s="255"/>
      <c r="G984" s="256"/>
      <c r="H984" s="255"/>
      <c r="I984" s="255"/>
      <c r="J984" s="255"/>
      <c r="K984" s="256"/>
      <c r="L984" s="255"/>
      <c r="M984" s="255"/>
      <c r="N984" s="255"/>
      <c r="O984" s="256"/>
      <c r="P984" s="255"/>
      <c r="Q984" s="255"/>
      <c r="R984" s="256"/>
      <c r="S984" s="256"/>
      <c r="T984" s="255"/>
      <c r="U984" s="259"/>
    </row>
    <row r="985">
      <c r="A985" s="255"/>
      <c r="B985" s="255"/>
      <c r="C985" s="256"/>
      <c r="D985" s="255"/>
      <c r="E985" s="255"/>
      <c r="F985" s="255"/>
      <c r="G985" s="256"/>
      <c r="H985" s="255"/>
      <c r="I985" s="255"/>
      <c r="J985" s="255"/>
      <c r="K985" s="256"/>
      <c r="L985" s="255"/>
      <c r="M985" s="255"/>
      <c r="N985" s="255"/>
      <c r="O985" s="256"/>
      <c r="P985" s="255"/>
      <c r="Q985" s="255"/>
      <c r="R985" s="256"/>
      <c r="S985" s="256"/>
      <c r="T985" s="255"/>
      <c r="U985" s="259"/>
    </row>
    <row r="986">
      <c r="A986" s="255"/>
      <c r="B986" s="255"/>
      <c r="C986" s="256"/>
      <c r="D986" s="255"/>
      <c r="E986" s="255"/>
      <c r="F986" s="255"/>
      <c r="G986" s="256"/>
      <c r="H986" s="255"/>
      <c r="I986" s="255"/>
      <c r="J986" s="255"/>
      <c r="K986" s="256"/>
      <c r="L986" s="255"/>
      <c r="M986" s="255"/>
      <c r="N986" s="255"/>
      <c r="O986" s="256"/>
      <c r="P986" s="255"/>
      <c r="Q986" s="255"/>
      <c r="R986" s="256"/>
      <c r="S986" s="256"/>
      <c r="T986" s="255"/>
      <c r="U986" s="259"/>
    </row>
    <row r="987">
      <c r="A987" s="255"/>
      <c r="B987" s="255"/>
      <c r="C987" s="256"/>
      <c r="D987" s="255"/>
      <c r="E987" s="255"/>
      <c r="F987" s="255"/>
      <c r="G987" s="256"/>
      <c r="H987" s="255"/>
      <c r="I987" s="255"/>
      <c r="J987" s="255"/>
      <c r="K987" s="256"/>
      <c r="L987" s="255"/>
      <c r="M987" s="255"/>
      <c r="N987" s="255"/>
      <c r="O987" s="256"/>
      <c r="P987" s="255"/>
      <c r="Q987" s="255"/>
      <c r="R987" s="256"/>
      <c r="S987" s="256"/>
      <c r="T987" s="255"/>
      <c r="U987" s="259"/>
    </row>
    <row r="988">
      <c r="A988" s="255"/>
      <c r="B988" s="255"/>
      <c r="C988" s="256"/>
      <c r="D988" s="255"/>
      <c r="E988" s="255"/>
      <c r="F988" s="255"/>
      <c r="G988" s="256"/>
      <c r="H988" s="255"/>
      <c r="I988" s="255"/>
      <c r="J988" s="255"/>
      <c r="K988" s="256"/>
      <c r="L988" s="255"/>
      <c r="M988" s="255"/>
      <c r="N988" s="255"/>
      <c r="O988" s="256"/>
      <c r="P988" s="255"/>
      <c r="Q988" s="255"/>
      <c r="R988" s="256"/>
      <c r="S988" s="256"/>
      <c r="T988" s="255"/>
      <c r="U988" s="259"/>
    </row>
    <row r="989">
      <c r="A989" s="255"/>
      <c r="B989" s="255"/>
      <c r="C989" s="256"/>
      <c r="D989" s="255"/>
      <c r="E989" s="255"/>
      <c r="F989" s="255"/>
      <c r="G989" s="256"/>
      <c r="H989" s="255"/>
      <c r="I989" s="255"/>
      <c r="J989" s="255"/>
      <c r="K989" s="256"/>
      <c r="L989" s="255"/>
      <c r="M989" s="255"/>
      <c r="N989" s="255"/>
      <c r="O989" s="256"/>
      <c r="P989" s="255"/>
      <c r="Q989" s="255"/>
      <c r="R989" s="256"/>
      <c r="S989" s="256"/>
      <c r="T989" s="255"/>
      <c r="U989" s="259"/>
    </row>
    <row r="990">
      <c r="A990" s="255"/>
      <c r="B990" s="255"/>
      <c r="C990" s="256"/>
      <c r="D990" s="255"/>
      <c r="E990" s="255"/>
      <c r="F990" s="255"/>
      <c r="G990" s="256"/>
      <c r="H990" s="255"/>
      <c r="I990" s="255"/>
      <c r="J990" s="255"/>
      <c r="K990" s="256"/>
      <c r="L990" s="255"/>
      <c r="M990" s="255"/>
      <c r="N990" s="255"/>
      <c r="O990" s="256"/>
      <c r="P990" s="255"/>
      <c r="Q990" s="255"/>
      <c r="R990" s="256"/>
      <c r="S990" s="256"/>
      <c r="T990" s="255"/>
      <c r="U990" s="259"/>
    </row>
    <row r="991">
      <c r="A991" s="255"/>
      <c r="B991" s="255"/>
      <c r="C991" s="256"/>
      <c r="D991" s="255"/>
      <c r="E991" s="255"/>
      <c r="F991" s="255"/>
      <c r="G991" s="256"/>
      <c r="H991" s="255"/>
      <c r="I991" s="255"/>
      <c r="J991" s="255"/>
      <c r="K991" s="256"/>
      <c r="L991" s="255"/>
      <c r="M991" s="255"/>
      <c r="N991" s="255"/>
      <c r="O991" s="256"/>
      <c r="P991" s="255"/>
      <c r="Q991" s="255"/>
      <c r="R991" s="256"/>
      <c r="S991" s="256"/>
      <c r="T991" s="255"/>
      <c r="U991" s="259"/>
    </row>
    <row r="992">
      <c r="A992" s="255"/>
      <c r="B992" s="255"/>
      <c r="C992" s="256"/>
      <c r="D992" s="255"/>
      <c r="E992" s="255"/>
      <c r="F992" s="255"/>
      <c r="G992" s="256"/>
      <c r="H992" s="255"/>
      <c r="I992" s="255"/>
      <c r="J992" s="255"/>
      <c r="K992" s="256"/>
      <c r="L992" s="255"/>
      <c r="M992" s="255"/>
      <c r="N992" s="255"/>
      <c r="O992" s="256"/>
      <c r="P992" s="255"/>
      <c r="Q992" s="255"/>
      <c r="R992" s="256"/>
      <c r="S992" s="256"/>
      <c r="T992" s="255"/>
      <c r="U992" s="259"/>
    </row>
    <row r="993">
      <c r="A993" s="255"/>
      <c r="B993" s="255"/>
      <c r="C993" s="256"/>
      <c r="D993" s="255"/>
      <c r="E993" s="255"/>
      <c r="F993" s="255"/>
      <c r="G993" s="256"/>
      <c r="H993" s="255"/>
      <c r="I993" s="255"/>
      <c r="J993" s="255"/>
      <c r="K993" s="256"/>
      <c r="L993" s="255"/>
      <c r="M993" s="255"/>
      <c r="N993" s="255"/>
      <c r="O993" s="256"/>
      <c r="P993" s="255"/>
      <c r="Q993" s="255"/>
      <c r="R993" s="256"/>
      <c r="S993" s="256"/>
      <c r="T993" s="255"/>
      <c r="U993" s="259"/>
    </row>
    <row r="994">
      <c r="A994" s="255"/>
      <c r="B994" s="255"/>
      <c r="C994" s="256"/>
      <c r="D994" s="255"/>
      <c r="E994" s="255"/>
      <c r="F994" s="255"/>
      <c r="G994" s="256"/>
      <c r="H994" s="255"/>
      <c r="I994" s="255"/>
      <c r="J994" s="255"/>
      <c r="K994" s="256"/>
      <c r="L994" s="255"/>
      <c r="M994" s="255"/>
      <c r="N994" s="255"/>
      <c r="O994" s="256"/>
      <c r="P994" s="255"/>
      <c r="Q994" s="255"/>
      <c r="R994" s="256"/>
      <c r="S994" s="256"/>
      <c r="T994" s="255"/>
      <c r="U994" s="259"/>
    </row>
    <row r="995">
      <c r="A995" s="255"/>
      <c r="B995" s="255"/>
      <c r="C995" s="256"/>
      <c r="D995" s="255"/>
      <c r="E995" s="255"/>
      <c r="F995" s="255"/>
      <c r="G995" s="256"/>
      <c r="H995" s="255"/>
      <c r="I995" s="255"/>
      <c r="J995" s="255"/>
      <c r="K995" s="256"/>
      <c r="L995" s="255"/>
      <c r="M995" s="255"/>
      <c r="N995" s="255"/>
      <c r="O995" s="256"/>
      <c r="P995" s="255"/>
      <c r="Q995" s="255"/>
      <c r="R995" s="256"/>
      <c r="S995" s="256"/>
      <c r="T995" s="255"/>
      <c r="U995" s="259"/>
    </row>
    <row r="996">
      <c r="A996" s="255"/>
      <c r="B996" s="255"/>
      <c r="C996" s="256"/>
      <c r="D996" s="255"/>
      <c r="E996" s="255"/>
      <c r="F996" s="255"/>
      <c r="G996" s="256"/>
      <c r="H996" s="255"/>
      <c r="I996" s="255"/>
      <c r="J996" s="255"/>
      <c r="K996" s="256"/>
      <c r="L996" s="255"/>
      <c r="M996" s="255"/>
      <c r="N996" s="255"/>
      <c r="O996" s="256"/>
      <c r="P996" s="255"/>
      <c r="Q996" s="255"/>
      <c r="R996" s="256"/>
      <c r="S996" s="256"/>
      <c r="T996" s="255"/>
      <c r="U996" s="259"/>
    </row>
    <row r="997">
      <c r="A997" s="255"/>
      <c r="B997" s="255"/>
      <c r="C997" s="256"/>
      <c r="D997" s="255"/>
      <c r="E997" s="255"/>
      <c r="F997" s="255"/>
      <c r="G997" s="256"/>
      <c r="H997" s="255"/>
      <c r="I997" s="255"/>
      <c r="J997" s="255"/>
      <c r="K997" s="256"/>
      <c r="L997" s="255"/>
      <c r="M997" s="255"/>
      <c r="N997" s="255"/>
      <c r="O997" s="256"/>
      <c r="P997" s="255"/>
      <c r="Q997" s="255"/>
      <c r="R997" s="256"/>
      <c r="S997" s="256"/>
      <c r="T997" s="255"/>
      <c r="U997" s="259"/>
    </row>
    <row r="998">
      <c r="A998" s="255"/>
      <c r="B998" s="255"/>
      <c r="C998" s="256"/>
      <c r="D998" s="255"/>
      <c r="E998" s="255"/>
      <c r="F998" s="255"/>
      <c r="G998" s="256"/>
      <c r="H998" s="255"/>
      <c r="I998" s="255"/>
      <c r="J998" s="255"/>
      <c r="K998" s="256"/>
      <c r="L998" s="255"/>
      <c r="M998" s="255"/>
      <c r="N998" s="255"/>
      <c r="O998" s="256"/>
      <c r="P998" s="255"/>
      <c r="Q998" s="255"/>
      <c r="R998" s="256"/>
      <c r="S998" s="256"/>
      <c r="T998" s="255"/>
      <c r="U998" s="259"/>
    </row>
    <row r="999">
      <c r="A999" s="255"/>
      <c r="B999" s="255"/>
      <c r="C999" s="256"/>
      <c r="D999" s="255"/>
      <c r="E999" s="255"/>
      <c r="F999" s="255"/>
      <c r="G999" s="256"/>
      <c r="H999" s="255"/>
      <c r="I999" s="255"/>
      <c r="J999" s="255"/>
      <c r="K999" s="256"/>
      <c r="L999" s="255"/>
      <c r="M999" s="255"/>
      <c r="N999" s="255"/>
      <c r="O999" s="256"/>
      <c r="P999" s="255"/>
      <c r="Q999" s="255"/>
      <c r="R999" s="256"/>
      <c r="S999" s="256"/>
      <c r="T999" s="255"/>
      <c r="U999" s="259"/>
    </row>
    <row r="1000">
      <c r="A1000" s="255"/>
      <c r="B1000" s="255"/>
      <c r="C1000" s="256"/>
      <c r="D1000" s="255"/>
      <c r="E1000" s="255"/>
      <c r="F1000" s="255"/>
      <c r="G1000" s="256"/>
      <c r="H1000" s="255"/>
      <c r="I1000" s="255"/>
      <c r="J1000" s="255"/>
      <c r="K1000" s="256"/>
      <c r="L1000" s="255"/>
      <c r="M1000" s="255"/>
      <c r="N1000" s="255"/>
      <c r="O1000" s="256"/>
      <c r="P1000" s="255"/>
      <c r="Q1000" s="255"/>
      <c r="R1000" s="256"/>
      <c r="S1000" s="256"/>
      <c r="T1000" s="255"/>
      <c r="U1000" s="259"/>
    </row>
    <row r="1001">
      <c r="A1001" s="255"/>
      <c r="B1001" s="255"/>
      <c r="C1001" s="256"/>
      <c r="D1001" s="255"/>
      <c r="E1001" s="255"/>
      <c r="F1001" s="255"/>
      <c r="G1001" s="256"/>
      <c r="H1001" s="255"/>
      <c r="I1001" s="255"/>
      <c r="J1001" s="255"/>
      <c r="K1001" s="256"/>
      <c r="L1001" s="255"/>
      <c r="M1001" s="255"/>
      <c r="N1001" s="255"/>
      <c r="O1001" s="256"/>
      <c r="P1001" s="255"/>
      <c r="Q1001" s="255"/>
      <c r="R1001" s="256"/>
      <c r="S1001" s="256"/>
      <c r="T1001" s="255"/>
      <c r="U1001" s="259"/>
    </row>
    <row r="1002">
      <c r="A1002" s="255"/>
      <c r="B1002" s="255"/>
      <c r="C1002" s="256"/>
      <c r="D1002" s="255"/>
      <c r="E1002" s="255"/>
      <c r="F1002" s="255"/>
      <c r="G1002" s="256"/>
      <c r="H1002" s="255"/>
      <c r="I1002" s="255"/>
      <c r="J1002" s="255"/>
      <c r="K1002" s="256"/>
      <c r="L1002" s="255"/>
      <c r="M1002" s="255"/>
      <c r="N1002" s="255"/>
      <c r="O1002" s="256"/>
      <c r="P1002" s="255"/>
      <c r="Q1002" s="255"/>
      <c r="R1002" s="256"/>
      <c r="S1002" s="256"/>
      <c r="T1002" s="255"/>
      <c r="U1002" s="259"/>
    </row>
    <row r="1003">
      <c r="A1003" s="255"/>
      <c r="B1003" s="255"/>
      <c r="C1003" s="256"/>
      <c r="D1003" s="255"/>
      <c r="E1003" s="255"/>
      <c r="F1003" s="255"/>
      <c r="G1003" s="256"/>
      <c r="H1003" s="255"/>
      <c r="I1003" s="255"/>
      <c r="J1003" s="255"/>
      <c r="K1003" s="256"/>
      <c r="L1003" s="255"/>
      <c r="M1003" s="255"/>
      <c r="N1003" s="255"/>
      <c r="O1003" s="256"/>
      <c r="P1003" s="255"/>
      <c r="Q1003" s="255"/>
      <c r="R1003" s="256"/>
      <c r="S1003" s="256"/>
      <c r="T1003" s="255"/>
      <c r="U1003" s="259"/>
    </row>
    <row r="1004">
      <c r="A1004" s="255"/>
      <c r="B1004" s="255"/>
      <c r="C1004" s="256"/>
      <c r="D1004" s="255"/>
      <c r="E1004" s="255"/>
      <c r="F1004" s="255"/>
      <c r="G1004" s="256"/>
      <c r="H1004" s="255"/>
      <c r="I1004" s="255"/>
      <c r="J1004" s="255"/>
      <c r="K1004" s="256"/>
      <c r="L1004" s="255"/>
      <c r="M1004" s="255"/>
      <c r="N1004" s="255"/>
      <c r="O1004" s="256"/>
      <c r="P1004" s="255"/>
      <c r="Q1004" s="255"/>
      <c r="R1004" s="256"/>
      <c r="S1004" s="256"/>
      <c r="T1004" s="255"/>
      <c r="U1004" s="259"/>
    </row>
    <row r="1005">
      <c r="A1005" s="255"/>
      <c r="B1005" s="255"/>
      <c r="C1005" s="256"/>
      <c r="D1005" s="255"/>
      <c r="E1005" s="255"/>
      <c r="F1005" s="255"/>
      <c r="G1005" s="256"/>
      <c r="H1005" s="255"/>
      <c r="I1005" s="255"/>
      <c r="J1005" s="255"/>
      <c r="K1005" s="256"/>
      <c r="L1005" s="255"/>
      <c r="M1005" s="255"/>
      <c r="N1005" s="255"/>
      <c r="O1005" s="256"/>
      <c r="P1005" s="255"/>
      <c r="Q1005" s="255"/>
      <c r="R1005" s="256"/>
      <c r="S1005" s="256"/>
      <c r="T1005" s="255"/>
      <c r="U1005" s="259"/>
    </row>
    <row r="1006">
      <c r="A1006" s="255"/>
      <c r="B1006" s="255"/>
      <c r="C1006" s="256"/>
      <c r="D1006" s="255"/>
      <c r="E1006" s="255"/>
      <c r="F1006" s="255"/>
      <c r="G1006" s="256"/>
      <c r="H1006" s="255"/>
      <c r="I1006" s="255"/>
      <c r="J1006" s="255"/>
      <c r="K1006" s="256"/>
      <c r="L1006" s="255"/>
      <c r="M1006" s="255"/>
      <c r="N1006" s="255"/>
      <c r="O1006" s="256"/>
      <c r="P1006" s="255"/>
      <c r="Q1006" s="255"/>
      <c r="R1006" s="256"/>
      <c r="S1006" s="256"/>
      <c r="T1006" s="255"/>
      <c r="U1006" s="259"/>
    </row>
    <row r="1007">
      <c r="A1007" s="255"/>
      <c r="B1007" s="255"/>
      <c r="C1007" s="256"/>
      <c r="D1007" s="255"/>
      <c r="E1007" s="255"/>
      <c r="F1007" s="255"/>
      <c r="G1007" s="256"/>
      <c r="H1007" s="255"/>
      <c r="I1007" s="255"/>
      <c r="J1007" s="255"/>
      <c r="K1007" s="256"/>
      <c r="L1007" s="255"/>
      <c r="M1007" s="255"/>
      <c r="N1007" s="255"/>
      <c r="O1007" s="256"/>
      <c r="P1007" s="255"/>
      <c r="Q1007" s="255"/>
      <c r="R1007" s="256"/>
      <c r="S1007" s="256"/>
      <c r="T1007" s="255"/>
      <c r="U1007" s="259"/>
    </row>
    <row r="1008">
      <c r="A1008" s="255"/>
      <c r="B1008" s="255"/>
      <c r="C1008" s="256"/>
      <c r="D1008" s="255"/>
      <c r="E1008" s="255"/>
      <c r="F1008" s="255"/>
      <c r="G1008" s="256"/>
      <c r="H1008" s="255"/>
      <c r="I1008" s="255"/>
      <c r="J1008" s="255"/>
      <c r="K1008" s="256"/>
      <c r="L1008" s="255"/>
      <c r="M1008" s="255"/>
      <c r="N1008" s="255"/>
      <c r="O1008" s="256"/>
      <c r="P1008" s="255"/>
      <c r="Q1008" s="255"/>
      <c r="R1008" s="256"/>
      <c r="S1008" s="256"/>
      <c r="T1008" s="255"/>
      <c r="U1008" s="259"/>
    </row>
    <row r="1009">
      <c r="A1009" s="255"/>
      <c r="B1009" s="255"/>
      <c r="C1009" s="256"/>
      <c r="D1009" s="255"/>
      <c r="E1009" s="255"/>
      <c r="F1009" s="255"/>
      <c r="G1009" s="256"/>
      <c r="H1009" s="255"/>
      <c r="I1009" s="255"/>
      <c r="J1009" s="255"/>
      <c r="K1009" s="256"/>
      <c r="L1009" s="255"/>
      <c r="M1009" s="255"/>
      <c r="N1009" s="255"/>
      <c r="O1009" s="256"/>
      <c r="P1009" s="255"/>
      <c r="Q1009" s="255"/>
      <c r="R1009" s="256"/>
      <c r="S1009" s="256"/>
      <c r="T1009" s="255"/>
      <c r="U1009" s="259"/>
    </row>
    <row r="1010">
      <c r="A1010" s="255"/>
      <c r="B1010" s="255"/>
      <c r="C1010" s="256"/>
      <c r="D1010" s="255"/>
      <c r="E1010" s="255"/>
      <c r="F1010" s="255"/>
      <c r="G1010" s="256"/>
      <c r="H1010" s="255"/>
      <c r="I1010" s="255"/>
      <c r="J1010" s="255"/>
      <c r="K1010" s="256"/>
      <c r="L1010" s="255"/>
      <c r="M1010" s="255"/>
      <c r="N1010" s="255"/>
      <c r="O1010" s="256"/>
      <c r="P1010" s="255"/>
      <c r="Q1010" s="255"/>
      <c r="R1010" s="256"/>
      <c r="S1010" s="256"/>
      <c r="T1010" s="255"/>
      <c r="U1010" s="259"/>
    </row>
    <row r="1011">
      <c r="A1011" s="255"/>
      <c r="B1011" s="255"/>
      <c r="C1011" s="256"/>
      <c r="D1011" s="255"/>
      <c r="E1011" s="255"/>
      <c r="F1011" s="255"/>
      <c r="G1011" s="256"/>
      <c r="H1011" s="255"/>
      <c r="I1011" s="255"/>
      <c r="J1011" s="255"/>
      <c r="K1011" s="256"/>
      <c r="L1011" s="255"/>
      <c r="M1011" s="255"/>
      <c r="N1011" s="255"/>
      <c r="O1011" s="256"/>
      <c r="P1011" s="255"/>
      <c r="Q1011" s="255"/>
      <c r="R1011" s="256"/>
      <c r="S1011" s="256"/>
      <c r="T1011" s="255"/>
      <c r="U1011" s="259"/>
    </row>
    <row r="1012">
      <c r="A1012" s="255"/>
      <c r="B1012" s="255"/>
      <c r="C1012" s="256"/>
      <c r="D1012" s="255"/>
      <c r="E1012" s="255"/>
      <c r="F1012" s="255"/>
      <c r="G1012" s="256"/>
      <c r="H1012" s="255"/>
      <c r="I1012" s="255"/>
      <c r="J1012" s="255"/>
      <c r="K1012" s="256"/>
      <c r="L1012" s="255"/>
      <c r="M1012" s="255"/>
      <c r="N1012" s="255"/>
      <c r="O1012" s="256"/>
      <c r="P1012" s="255"/>
      <c r="Q1012" s="255"/>
      <c r="R1012" s="256"/>
      <c r="S1012" s="256"/>
      <c r="T1012" s="255"/>
      <c r="U1012" s="259"/>
    </row>
    <row r="1013">
      <c r="A1013" s="255"/>
      <c r="B1013" s="255"/>
      <c r="C1013" s="256"/>
      <c r="D1013" s="255"/>
      <c r="E1013" s="255"/>
      <c r="F1013" s="255"/>
      <c r="G1013" s="256"/>
      <c r="H1013" s="255"/>
      <c r="I1013" s="255"/>
      <c r="J1013" s="255"/>
      <c r="K1013" s="256"/>
      <c r="L1013" s="255"/>
      <c r="M1013" s="255"/>
      <c r="N1013" s="255"/>
      <c r="O1013" s="256"/>
      <c r="P1013" s="255"/>
      <c r="Q1013" s="255"/>
      <c r="R1013" s="256"/>
      <c r="S1013" s="256"/>
      <c r="T1013" s="255"/>
      <c r="U1013" s="259"/>
    </row>
    <row r="1014">
      <c r="A1014" s="255"/>
      <c r="B1014" s="255"/>
      <c r="C1014" s="256"/>
      <c r="D1014" s="255"/>
      <c r="E1014" s="255"/>
      <c r="F1014" s="255"/>
      <c r="G1014" s="256"/>
      <c r="H1014" s="255"/>
      <c r="I1014" s="255"/>
      <c r="J1014" s="255"/>
      <c r="K1014" s="256"/>
      <c r="L1014" s="255"/>
      <c r="M1014" s="255"/>
      <c r="N1014" s="255"/>
      <c r="O1014" s="256"/>
      <c r="P1014" s="255"/>
      <c r="Q1014" s="255"/>
      <c r="R1014" s="256"/>
      <c r="S1014" s="256"/>
      <c r="T1014" s="255"/>
      <c r="U1014" s="259"/>
    </row>
    <row r="1015">
      <c r="A1015" s="255"/>
      <c r="B1015" s="255"/>
      <c r="C1015" s="256"/>
      <c r="D1015" s="255"/>
      <c r="E1015" s="255"/>
      <c r="F1015" s="255"/>
      <c r="G1015" s="256"/>
      <c r="H1015" s="255"/>
      <c r="I1015" s="255"/>
      <c r="J1015" s="255"/>
      <c r="K1015" s="256"/>
      <c r="L1015" s="255"/>
      <c r="M1015" s="255"/>
      <c r="N1015" s="255"/>
      <c r="O1015" s="256"/>
      <c r="P1015" s="255"/>
      <c r="Q1015" s="255"/>
      <c r="R1015" s="256"/>
      <c r="S1015" s="256"/>
      <c r="T1015" s="255"/>
      <c r="U1015" s="259"/>
    </row>
    <row r="1016">
      <c r="A1016" s="255"/>
      <c r="B1016" s="255"/>
      <c r="C1016" s="256"/>
      <c r="D1016" s="255"/>
      <c r="E1016" s="255"/>
      <c r="F1016" s="255"/>
      <c r="G1016" s="256"/>
      <c r="H1016" s="255"/>
      <c r="I1016" s="255"/>
      <c r="J1016" s="255"/>
      <c r="K1016" s="256"/>
      <c r="L1016" s="255"/>
      <c r="M1016" s="255"/>
      <c r="N1016" s="255"/>
      <c r="O1016" s="256"/>
      <c r="P1016" s="255"/>
      <c r="Q1016" s="255"/>
      <c r="R1016" s="256"/>
      <c r="S1016" s="256"/>
      <c r="T1016" s="255"/>
      <c r="U1016" s="259"/>
    </row>
    <row r="1017">
      <c r="A1017" s="255"/>
      <c r="B1017" s="255"/>
      <c r="C1017" s="256"/>
      <c r="D1017" s="255"/>
      <c r="E1017" s="255"/>
      <c r="F1017" s="255"/>
      <c r="G1017" s="256"/>
      <c r="H1017" s="255"/>
      <c r="I1017" s="255"/>
      <c r="J1017" s="255"/>
      <c r="K1017" s="256"/>
      <c r="L1017" s="255"/>
      <c r="M1017" s="255"/>
      <c r="N1017" s="255"/>
      <c r="O1017" s="256"/>
      <c r="P1017" s="255"/>
      <c r="Q1017" s="255"/>
      <c r="R1017" s="256"/>
      <c r="S1017" s="256"/>
      <c r="T1017" s="255"/>
      <c r="U1017" s="259"/>
    </row>
    <row r="1018">
      <c r="A1018" s="255"/>
      <c r="B1018" s="255"/>
      <c r="C1018" s="256"/>
      <c r="D1018" s="255"/>
      <c r="E1018" s="255"/>
      <c r="F1018" s="255"/>
      <c r="G1018" s="256"/>
      <c r="H1018" s="255"/>
      <c r="I1018" s="255"/>
      <c r="J1018" s="255"/>
      <c r="K1018" s="256"/>
      <c r="L1018" s="255"/>
      <c r="M1018" s="255"/>
      <c r="N1018" s="255"/>
      <c r="O1018" s="256"/>
      <c r="P1018" s="255"/>
      <c r="Q1018" s="255"/>
      <c r="R1018" s="256"/>
      <c r="S1018" s="256"/>
      <c r="T1018" s="255"/>
      <c r="U1018" s="259"/>
    </row>
    <row r="1019">
      <c r="A1019" s="255"/>
      <c r="B1019" s="255"/>
      <c r="C1019" s="256"/>
      <c r="D1019" s="255"/>
      <c r="E1019" s="255"/>
      <c r="F1019" s="255"/>
      <c r="G1019" s="256"/>
      <c r="H1019" s="255"/>
      <c r="I1019" s="255"/>
      <c r="J1019" s="255"/>
      <c r="K1019" s="256"/>
      <c r="L1019" s="255"/>
      <c r="M1019" s="255"/>
      <c r="N1019" s="255"/>
      <c r="O1019" s="256"/>
      <c r="P1019" s="255"/>
      <c r="Q1019" s="255"/>
      <c r="R1019" s="256"/>
      <c r="S1019" s="256"/>
      <c r="T1019" s="255"/>
      <c r="U1019" s="259"/>
    </row>
    <row r="1020">
      <c r="A1020" s="255"/>
      <c r="B1020" s="255"/>
      <c r="C1020" s="256"/>
      <c r="D1020" s="255"/>
      <c r="E1020" s="255"/>
      <c r="F1020" s="255"/>
      <c r="G1020" s="256"/>
      <c r="H1020" s="255"/>
      <c r="I1020" s="255"/>
      <c r="J1020" s="255"/>
      <c r="K1020" s="256"/>
      <c r="L1020" s="255"/>
      <c r="M1020" s="255"/>
      <c r="N1020" s="255"/>
      <c r="O1020" s="256"/>
      <c r="P1020" s="255"/>
      <c r="Q1020" s="255"/>
      <c r="R1020" s="256"/>
      <c r="S1020" s="256"/>
      <c r="T1020" s="255"/>
      <c r="U1020" s="259"/>
    </row>
    <row r="1021">
      <c r="A1021" s="255"/>
      <c r="B1021" s="255"/>
      <c r="C1021" s="256"/>
      <c r="D1021" s="255"/>
      <c r="E1021" s="255"/>
      <c r="F1021" s="255"/>
      <c r="G1021" s="256"/>
      <c r="H1021" s="255"/>
      <c r="I1021" s="255"/>
      <c r="J1021" s="255"/>
      <c r="K1021" s="256"/>
      <c r="L1021" s="255"/>
      <c r="M1021" s="255"/>
      <c r="N1021" s="255"/>
      <c r="O1021" s="256"/>
      <c r="P1021" s="255"/>
      <c r="Q1021" s="255"/>
      <c r="R1021" s="256"/>
      <c r="S1021" s="256"/>
      <c r="T1021" s="255"/>
      <c r="U1021" s="259"/>
    </row>
    <row r="1022">
      <c r="A1022" s="255"/>
      <c r="B1022" s="255"/>
      <c r="C1022" s="256"/>
      <c r="D1022" s="255"/>
      <c r="E1022" s="255"/>
      <c r="F1022" s="255"/>
      <c r="G1022" s="256"/>
      <c r="H1022" s="255"/>
      <c r="I1022" s="255"/>
      <c r="J1022" s="255"/>
      <c r="K1022" s="256"/>
      <c r="L1022" s="255"/>
      <c r="M1022" s="255"/>
      <c r="N1022" s="255"/>
      <c r="O1022" s="256"/>
      <c r="P1022" s="255"/>
      <c r="Q1022" s="255"/>
      <c r="R1022" s="256"/>
      <c r="S1022" s="256"/>
      <c r="T1022" s="255"/>
      <c r="U1022" s="259"/>
    </row>
    <row r="1023">
      <c r="A1023" s="255"/>
      <c r="B1023" s="255"/>
      <c r="C1023" s="256"/>
      <c r="D1023" s="255"/>
      <c r="E1023" s="255"/>
      <c r="F1023" s="255"/>
      <c r="G1023" s="256"/>
      <c r="H1023" s="255"/>
      <c r="I1023" s="255"/>
      <c r="J1023" s="255"/>
      <c r="K1023" s="256"/>
      <c r="L1023" s="255"/>
      <c r="M1023" s="255"/>
      <c r="N1023" s="255"/>
      <c r="O1023" s="256"/>
      <c r="P1023" s="255"/>
      <c r="Q1023" s="255"/>
      <c r="R1023" s="256"/>
      <c r="S1023" s="256"/>
      <c r="T1023" s="255"/>
      <c r="U1023" s="259"/>
    </row>
    <row r="1024">
      <c r="A1024" s="255"/>
      <c r="B1024" s="255"/>
      <c r="C1024" s="256"/>
      <c r="D1024" s="255"/>
      <c r="E1024" s="255"/>
      <c r="F1024" s="255"/>
      <c r="G1024" s="256"/>
      <c r="H1024" s="255"/>
      <c r="I1024" s="255"/>
      <c r="J1024" s="255"/>
      <c r="K1024" s="256"/>
      <c r="L1024" s="255"/>
      <c r="M1024" s="255"/>
      <c r="N1024" s="255"/>
      <c r="O1024" s="256"/>
      <c r="P1024" s="255"/>
      <c r="Q1024" s="255"/>
      <c r="R1024" s="256"/>
      <c r="S1024" s="256"/>
      <c r="T1024" s="255"/>
      <c r="U1024" s="259"/>
    </row>
    <row r="1025">
      <c r="A1025" s="255"/>
      <c r="B1025" s="255"/>
      <c r="C1025" s="256"/>
      <c r="D1025" s="255"/>
      <c r="E1025" s="255"/>
      <c r="F1025" s="255"/>
      <c r="G1025" s="256"/>
      <c r="H1025" s="255"/>
      <c r="I1025" s="255"/>
      <c r="J1025" s="255"/>
      <c r="K1025" s="256"/>
      <c r="L1025" s="255"/>
      <c r="M1025" s="255"/>
      <c r="N1025" s="255"/>
      <c r="O1025" s="256"/>
      <c r="P1025" s="255"/>
      <c r="Q1025" s="255"/>
      <c r="R1025" s="256"/>
      <c r="S1025" s="256"/>
      <c r="T1025" s="255"/>
      <c r="U1025" s="259"/>
    </row>
    <row r="1026">
      <c r="A1026" s="255"/>
      <c r="B1026" s="255"/>
      <c r="C1026" s="256"/>
      <c r="D1026" s="255"/>
      <c r="E1026" s="255"/>
      <c r="F1026" s="255"/>
      <c r="G1026" s="256"/>
      <c r="H1026" s="255"/>
      <c r="I1026" s="255"/>
      <c r="J1026" s="255"/>
      <c r="K1026" s="256"/>
      <c r="L1026" s="255"/>
      <c r="M1026" s="255"/>
      <c r="N1026" s="255"/>
      <c r="O1026" s="256"/>
      <c r="P1026" s="255"/>
      <c r="Q1026" s="255"/>
      <c r="R1026" s="256"/>
      <c r="S1026" s="256"/>
      <c r="T1026" s="255"/>
      <c r="U1026" s="259"/>
    </row>
    <row r="1027">
      <c r="A1027" s="255"/>
      <c r="B1027" s="255"/>
      <c r="C1027" s="256"/>
      <c r="D1027" s="255"/>
      <c r="E1027" s="255"/>
      <c r="F1027" s="255"/>
      <c r="G1027" s="256"/>
      <c r="H1027" s="255"/>
      <c r="I1027" s="255"/>
      <c r="J1027" s="255"/>
      <c r="K1027" s="256"/>
      <c r="L1027" s="255"/>
      <c r="M1027" s="255"/>
      <c r="N1027" s="255"/>
      <c r="O1027" s="256"/>
      <c r="P1027" s="255"/>
      <c r="Q1027" s="255"/>
      <c r="R1027" s="256"/>
      <c r="S1027" s="256"/>
      <c r="T1027" s="255"/>
      <c r="U1027" s="259"/>
    </row>
    <row r="1028">
      <c r="A1028" s="255"/>
      <c r="B1028" s="255"/>
      <c r="C1028" s="256"/>
      <c r="D1028" s="255"/>
      <c r="E1028" s="255"/>
      <c r="F1028" s="255"/>
      <c r="G1028" s="256"/>
      <c r="H1028" s="255"/>
      <c r="I1028" s="255"/>
      <c r="J1028" s="255"/>
      <c r="K1028" s="256"/>
      <c r="L1028" s="255"/>
      <c r="M1028" s="255"/>
      <c r="N1028" s="255"/>
      <c r="O1028" s="256"/>
      <c r="P1028" s="255"/>
      <c r="Q1028" s="255"/>
      <c r="R1028" s="256"/>
      <c r="S1028" s="256"/>
      <c r="T1028" s="255"/>
      <c r="U1028" s="259"/>
    </row>
    <row r="1029">
      <c r="A1029" s="255"/>
      <c r="B1029" s="255"/>
      <c r="C1029" s="256"/>
      <c r="D1029" s="255"/>
      <c r="E1029" s="255"/>
      <c r="F1029" s="255"/>
      <c r="G1029" s="256"/>
      <c r="H1029" s="255"/>
      <c r="I1029" s="255"/>
      <c r="J1029" s="255"/>
      <c r="K1029" s="256"/>
      <c r="L1029" s="255"/>
      <c r="M1029" s="255"/>
      <c r="N1029" s="255"/>
      <c r="O1029" s="256"/>
      <c r="P1029" s="255"/>
      <c r="Q1029" s="255"/>
      <c r="R1029" s="256"/>
      <c r="S1029" s="256"/>
      <c r="T1029" s="255"/>
      <c r="U1029" s="259"/>
    </row>
    <row r="1030">
      <c r="A1030" s="255"/>
      <c r="B1030" s="255"/>
      <c r="C1030" s="256"/>
      <c r="D1030" s="255"/>
      <c r="E1030" s="255"/>
      <c r="F1030" s="255"/>
      <c r="G1030" s="256"/>
      <c r="H1030" s="255"/>
      <c r="I1030" s="255"/>
      <c r="J1030" s="255"/>
      <c r="K1030" s="256"/>
      <c r="L1030" s="255"/>
      <c r="M1030" s="255"/>
      <c r="N1030" s="255"/>
      <c r="O1030" s="256"/>
      <c r="P1030" s="255"/>
      <c r="Q1030" s="255"/>
      <c r="R1030" s="256"/>
      <c r="S1030" s="256"/>
      <c r="T1030" s="255"/>
      <c r="U1030" s="259"/>
    </row>
    <row r="1031">
      <c r="A1031" s="255"/>
      <c r="B1031" s="255"/>
      <c r="C1031" s="256"/>
      <c r="D1031" s="255"/>
      <c r="E1031" s="255"/>
      <c r="F1031" s="255"/>
      <c r="G1031" s="256"/>
      <c r="H1031" s="255"/>
      <c r="I1031" s="255"/>
      <c r="J1031" s="255"/>
      <c r="K1031" s="256"/>
      <c r="L1031" s="255"/>
      <c r="M1031" s="255"/>
      <c r="N1031" s="255"/>
      <c r="O1031" s="256"/>
      <c r="P1031" s="255"/>
      <c r="Q1031" s="255"/>
      <c r="R1031" s="256"/>
      <c r="S1031" s="256"/>
      <c r="T1031" s="255"/>
      <c r="U1031" s="259"/>
    </row>
    <row r="1032">
      <c r="A1032" s="255"/>
      <c r="B1032" s="255"/>
      <c r="C1032" s="256"/>
      <c r="D1032" s="255"/>
      <c r="E1032" s="255"/>
      <c r="F1032" s="255"/>
      <c r="G1032" s="256"/>
      <c r="H1032" s="255"/>
      <c r="I1032" s="255"/>
      <c r="J1032" s="255"/>
      <c r="K1032" s="256"/>
      <c r="L1032" s="255"/>
      <c r="M1032" s="255"/>
      <c r="N1032" s="255"/>
      <c r="O1032" s="256"/>
      <c r="P1032" s="255"/>
      <c r="Q1032" s="255"/>
      <c r="R1032" s="256"/>
      <c r="S1032" s="256"/>
      <c r="T1032" s="255"/>
      <c r="U1032" s="259"/>
    </row>
    <row r="1033">
      <c r="A1033" s="255"/>
      <c r="B1033" s="255"/>
      <c r="C1033" s="256"/>
      <c r="D1033" s="255"/>
      <c r="E1033" s="255"/>
      <c r="F1033" s="255"/>
      <c r="G1033" s="256"/>
      <c r="H1033" s="255"/>
      <c r="I1033" s="255"/>
      <c r="J1033" s="255"/>
      <c r="K1033" s="256"/>
      <c r="L1033" s="255"/>
      <c r="M1033" s="255"/>
      <c r="N1033" s="255"/>
      <c r="O1033" s="256"/>
      <c r="P1033" s="255"/>
      <c r="Q1033" s="255"/>
      <c r="R1033" s="256"/>
      <c r="S1033" s="256"/>
      <c r="T1033" s="255"/>
      <c r="U1033" s="259"/>
    </row>
    <row r="1034">
      <c r="A1034" s="255"/>
      <c r="B1034" s="255"/>
      <c r="C1034" s="256"/>
      <c r="D1034" s="255"/>
      <c r="E1034" s="255"/>
      <c r="F1034" s="255"/>
      <c r="G1034" s="256"/>
      <c r="H1034" s="255"/>
      <c r="I1034" s="255"/>
      <c r="J1034" s="255"/>
      <c r="K1034" s="256"/>
      <c r="L1034" s="255"/>
      <c r="M1034" s="255"/>
      <c r="N1034" s="255"/>
      <c r="O1034" s="256"/>
      <c r="P1034" s="255"/>
      <c r="Q1034" s="255"/>
      <c r="R1034" s="256"/>
      <c r="S1034" s="256"/>
      <c r="T1034" s="255"/>
      <c r="U1034" s="259"/>
    </row>
    <row r="1035">
      <c r="A1035" s="255"/>
      <c r="B1035" s="255"/>
      <c r="C1035" s="256"/>
      <c r="D1035" s="255"/>
      <c r="E1035" s="255"/>
      <c r="F1035" s="255"/>
      <c r="G1035" s="256"/>
      <c r="H1035" s="255"/>
      <c r="I1035" s="255"/>
      <c r="J1035" s="255"/>
      <c r="K1035" s="256"/>
      <c r="L1035" s="255"/>
      <c r="M1035" s="255"/>
      <c r="N1035" s="255"/>
      <c r="O1035" s="256"/>
      <c r="P1035" s="255"/>
      <c r="Q1035" s="255"/>
      <c r="R1035" s="256"/>
      <c r="S1035" s="256"/>
      <c r="T1035" s="255"/>
      <c r="U1035" s="259"/>
    </row>
    <row r="1036">
      <c r="A1036" s="255"/>
      <c r="B1036" s="255"/>
      <c r="C1036" s="256"/>
      <c r="D1036" s="255"/>
      <c r="E1036" s="255"/>
      <c r="F1036" s="255"/>
      <c r="G1036" s="256"/>
      <c r="H1036" s="255"/>
      <c r="I1036" s="255"/>
      <c r="J1036" s="255"/>
      <c r="K1036" s="256"/>
      <c r="L1036" s="255"/>
      <c r="M1036" s="255"/>
      <c r="N1036" s="255"/>
      <c r="O1036" s="256"/>
      <c r="P1036" s="255"/>
      <c r="Q1036" s="255"/>
      <c r="R1036" s="256"/>
      <c r="S1036" s="256"/>
      <c r="T1036" s="255"/>
      <c r="U1036" s="259"/>
    </row>
    <row r="1037">
      <c r="A1037" s="255"/>
      <c r="B1037" s="255"/>
      <c r="C1037" s="256"/>
      <c r="D1037" s="255"/>
      <c r="E1037" s="255"/>
      <c r="F1037" s="255"/>
      <c r="G1037" s="256"/>
      <c r="H1037" s="255"/>
      <c r="I1037" s="255"/>
      <c r="J1037" s="255"/>
      <c r="K1037" s="256"/>
      <c r="L1037" s="255"/>
      <c r="M1037" s="255"/>
      <c r="N1037" s="255"/>
      <c r="O1037" s="256"/>
      <c r="P1037" s="255"/>
      <c r="Q1037" s="255"/>
      <c r="R1037" s="256"/>
      <c r="S1037" s="256"/>
      <c r="T1037" s="255"/>
      <c r="U1037" s="259"/>
    </row>
    <row r="1038">
      <c r="A1038" s="255"/>
      <c r="B1038" s="255"/>
      <c r="C1038" s="256"/>
      <c r="D1038" s="255"/>
      <c r="E1038" s="255"/>
      <c r="F1038" s="255"/>
      <c r="G1038" s="256"/>
      <c r="H1038" s="255"/>
      <c r="I1038" s="255"/>
      <c r="J1038" s="255"/>
      <c r="K1038" s="256"/>
      <c r="L1038" s="255"/>
      <c r="M1038" s="255"/>
      <c r="N1038" s="255"/>
      <c r="O1038" s="256"/>
      <c r="P1038" s="255"/>
      <c r="Q1038" s="255"/>
      <c r="R1038" s="256"/>
      <c r="S1038" s="256"/>
      <c r="T1038" s="255"/>
      <c r="U1038" s="259"/>
    </row>
    <row r="1039">
      <c r="A1039" s="255"/>
      <c r="B1039" s="255"/>
      <c r="C1039" s="256"/>
      <c r="D1039" s="255"/>
      <c r="E1039" s="255"/>
      <c r="F1039" s="255"/>
      <c r="G1039" s="256"/>
      <c r="H1039" s="255"/>
      <c r="I1039" s="255"/>
      <c r="J1039" s="255"/>
      <c r="K1039" s="256"/>
      <c r="L1039" s="255"/>
      <c r="M1039" s="255"/>
      <c r="N1039" s="255"/>
      <c r="O1039" s="256"/>
      <c r="P1039" s="255"/>
      <c r="Q1039" s="255"/>
      <c r="R1039" s="256"/>
      <c r="S1039" s="256"/>
      <c r="T1039" s="255"/>
      <c r="U1039" s="259"/>
    </row>
    <row r="1040">
      <c r="A1040" s="255"/>
      <c r="B1040" s="255"/>
      <c r="C1040" s="256"/>
      <c r="D1040" s="255"/>
      <c r="E1040" s="255"/>
      <c r="F1040" s="255"/>
      <c r="G1040" s="256"/>
      <c r="H1040" s="255"/>
      <c r="I1040" s="255"/>
      <c r="J1040" s="255"/>
      <c r="K1040" s="256"/>
      <c r="L1040" s="255"/>
      <c r="M1040" s="255"/>
      <c r="N1040" s="255"/>
      <c r="O1040" s="256"/>
      <c r="P1040" s="255"/>
      <c r="Q1040" s="255"/>
      <c r="R1040" s="256"/>
      <c r="S1040" s="256"/>
      <c r="T1040" s="255"/>
      <c r="U1040" s="259"/>
    </row>
    <row r="1041">
      <c r="A1041" s="255"/>
      <c r="B1041" s="255"/>
      <c r="C1041" s="256"/>
      <c r="D1041" s="255"/>
      <c r="E1041" s="255"/>
      <c r="F1041" s="255"/>
      <c r="G1041" s="256"/>
      <c r="H1041" s="255"/>
      <c r="I1041" s="255"/>
      <c r="J1041" s="255"/>
      <c r="K1041" s="256"/>
      <c r="L1041" s="255"/>
      <c r="M1041" s="255"/>
      <c r="N1041" s="255"/>
      <c r="O1041" s="256"/>
      <c r="P1041" s="255"/>
      <c r="Q1041" s="255"/>
      <c r="R1041" s="256"/>
      <c r="S1041" s="256"/>
      <c r="T1041" s="255"/>
      <c r="U1041" s="259"/>
    </row>
    <row r="1042">
      <c r="A1042" s="255"/>
      <c r="B1042" s="255"/>
      <c r="C1042" s="256"/>
      <c r="D1042" s="255"/>
      <c r="E1042" s="255"/>
      <c r="F1042" s="255"/>
      <c r="G1042" s="256"/>
      <c r="H1042" s="255"/>
      <c r="I1042" s="255"/>
      <c r="J1042" s="255"/>
      <c r="K1042" s="256"/>
      <c r="L1042" s="255"/>
      <c r="M1042" s="255"/>
      <c r="N1042" s="255"/>
      <c r="O1042" s="256"/>
      <c r="P1042" s="255"/>
      <c r="Q1042" s="255"/>
      <c r="R1042" s="256"/>
      <c r="S1042" s="256"/>
      <c r="T1042" s="255"/>
      <c r="U1042" s="259"/>
    </row>
    <row r="1043">
      <c r="A1043" s="255"/>
      <c r="B1043" s="255"/>
      <c r="C1043" s="256"/>
      <c r="D1043" s="255"/>
      <c r="E1043" s="255"/>
      <c r="F1043" s="255"/>
      <c r="G1043" s="256"/>
      <c r="H1043" s="255"/>
      <c r="I1043" s="255"/>
      <c r="J1043" s="255"/>
      <c r="K1043" s="256"/>
      <c r="L1043" s="255"/>
      <c r="M1043" s="255"/>
      <c r="N1043" s="255"/>
      <c r="O1043" s="256"/>
      <c r="P1043" s="255"/>
      <c r="Q1043" s="255"/>
      <c r="R1043" s="256"/>
      <c r="S1043" s="256"/>
      <c r="T1043" s="255"/>
      <c r="U1043" s="259"/>
    </row>
    <row r="1044">
      <c r="A1044" s="255"/>
      <c r="B1044" s="255"/>
      <c r="C1044" s="256"/>
      <c r="D1044" s="255"/>
      <c r="E1044" s="255"/>
      <c r="F1044" s="255"/>
      <c r="G1044" s="256"/>
      <c r="H1044" s="255"/>
      <c r="I1044" s="255"/>
      <c r="J1044" s="255"/>
      <c r="K1044" s="256"/>
      <c r="L1044" s="255"/>
      <c r="M1044" s="255"/>
      <c r="N1044" s="255"/>
      <c r="O1044" s="256"/>
      <c r="P1044" s="255"/>
      <c r="Q1044" s="255"/>
      <c r="R1044" s="256"/>
      <c r="S1044" s="256"/>
      <c r="T1044" s="255"/>
      <c r="U1044" s="259"/>
    </row>
    <row r="1045">
      <c r="A1045" s="255"/>
      <c r="B1045" s="255"/>
      <c r="C1045" s="256"/>
      <c r="D1045" s="255"/>
      <c r="E1045" s="255"/>
      <c r="F1045" s="255"/>
      <c r="G1045" s="256"/>
      <c r="H1045" s="255"/>
      <c r="I1045" s="255"/>
      <c r="J1045" s="255"/>
      <c r="K1045" s="256"/>
      <c r="L1045" s="255"/>
      <c r="M1045" s="255"/>
      <c r="N1045" s="255"/>
      <c r="O1045" s="256"/>
      <c r="P1045" s="255"/>
      <c r="Q1045" s="255"/>
      <c r="R1045" s="256"/>
      <c r="S1045" s="256"/>
      <c r="T1045" s="255"/>
      <c r="U1045" s="259"/>
    </row>
    <row r="1046">
      <c r="A1046" s="255"/>
      <c r="B1046" s="255"/>
      <c r="C1046" s="256"/>
      <c r="D1046" s="255"/>
      <c r="E1046" s="255"/>
      <c r="F1046" s="255"/>
      <c r="G1046" s="256"/>
      <c r="H1046" s="255"/>
      <c r="I1046" s="255"/>
      <c r="J1046" s="255"/>
      <c r="K1046" s="256"/>
      <c r="L1046" s="255"/>
      <c r="M1046" s="255"/>
      <c r="N1046" s="255"/>
      <c r="O1046" s="256"/>
      <c r="P1046" s="255"/>
      <c r="Q1046" s="255"/>
      <c r="R1046" s="256"/>
      <c r="S1046" s="256"/>
      <c r="T1046" s="255"/>
      <c r="U1046" s="259"/>
    </row>
    <row r="1047">
      <c r="A1047" s="255"/>
      <c r="B1047" s="255"/>
      <c r="C1047" s="256"/>
      <c r="D1047" s="255"/>
      <c r="E1047" s="255"/>
      <c r="F1047" s="255"/>
      <c r="G1047" s="256"/>
      <c r="H1047" s="255"/>
      <c r="I1047" s="255"/>
      <c r="J1047" s="255"/>
      <c r="K1047" s="256"/>
      <c r="L1047" s="255"/>
      <c r="M1047" s="255"/>
      <c r="N1047" s="255"/>
      <c r="O1047" s="256"/>
      <c r="P1047" s="255"/>
      <c r="Q1047" s="255"/>
      <c r="R1047" s="256"/>
      <c r="S1047" s="256"/>
      <c r="T1047" s="255"/>
      <c r="U1047" s="259"/>
    </row>
    <row r="1048">
      <c r="A1048" s="255"/>
      <c r="B1048" s="255"/>
      <c r="C1048" s="256"/>
      <c r="D1048" s="255"/>
      <c r="E1048" s="255"/>
      <c r="F1048" s="255"/>
      <c r="G1048" s="256"/>
      <c r="H1048" s="255"/>
      <c r="I1048" s="255"/>
      <c r="J1048" s="255"/>
      <c r="K1048" s="256"/>
      <c r="L1048" s="255"/>
      <c r="M1048" s="255"/>
      <c r="N1048" s="255"/>
      <c r="O1048" s="256"/>
      <c r="P1048" s="255"/>
      <c r="Q1048" s="255"/>
      <c r="R1048" s="256"/>
      <c r="S1048" s="256"/>
      <c r="T1048" s="255"/>
      <c r="U1048" s="259"/>
    </row>
    <row r="1049">
      <c r="A1049" s="255"/>
      <c r="B1049" s="255"/>
      <c r="C1049" s="256"/>
      <c r="D1049" s="255"/>
      <c r="E1049" s="255"/>
      <c r="F1049" s="255"/>
      <c r="G1049" s="256"/>
      <c r="H1049" s="255"/>
      <c r="I1049" s="255"/>
      <c r="J1049" s="255"/>
      <c r="K1049" s="256"/>
      <c r="L1049" s="255"/>
      <c r="M1049" s="255"/>
      <c r="N1049" s="255"/>
      <c r="O1049" s="256"/>
      <c r="P1049" s="255"/>
      <c r="Q1049" s="255"/>
      <c r="R1049" s="256"/>
      <c r="S1049" s="256"/>
      <c r="T1049" s="255"/>
      <c r="U1049" s="259"/>
    </row>
    <row r="1050">
      <c r="A1050" s="255"/>
      <c r="B1050" s="255"/>
      <c r="C1050" s="256"/>
      <c r="D1050" s="255"/>
      <c r="E1050" s="255"/>
      <c r="F1050" s="255"/>
      <c r="G1050" s="256"/>
      <c r="H1050" s="255"/>
      <c r="I1050" s="255"/>
      <c r="J1050" s="255"/>
      <c r="K1050" s="256"/>
      <c r="L1050" s="255"/>
      <c r="M1050" s="255"/>
      <c r="N1050" s="255"/>
      <c r="O1050" s="256"/>
      <c r="P1050" s="255"/>
      <c r="Q1050" s="255"/>
      <c r="R1050" s="256"/>
      <c r="S1050" s="256"/>
      <c r="T1050" s="255"/>
      <c r="U1050" s="259"/>
    </row>
    <row r="1051">
      <c r="A1051" s="255"/>
      <c r="B1051" s="255"/>
      <c r="C1051" s="256"/>
      <c r="D1051" s="255"/>
      <c r="E1051" s="255"/>
      <c r="F1051" s="255"/>
      <c r="G1051" s="256"/>
      <c r="H1051" s="255"/>
      <c r="I1051" s="255"/>
      <c r="J1051" s="255"/>
      <c r="K1051" s="256"/>
      <c r="L1051" s="255"/>
      <c r="M1051" s="255"/>
      <c r="N1051" s="255"/>
      <c r="O1051" s="256"/>
      <c r="P1051" s="255"/>
      <c r="Q1051" s="255"/>
      <c r="R1051" s="256"/>
      <c r="S1051" s="256"/>
      <c r="T1051" s="255"/>
      <c r="U1051" s="259"/>
    </row>
    <row r="1052">
      <c r="A1052" s="255"/>
      <c r="B1052" s="255"/>
      <c r="C1052" s="256"/>
      <c r="D1052" s="255"/>
      <c r="E1052" s="255"/>
      <c r="F1052" s="255"/>
      <c r="G1052" s="256"/>
      <c r="H1052" s="255"/>
      <c r="I1052" s="255"/>
      <c r="J1052" s="255"/>
      <c r="K1052" s="256"/>
      <c r="L1052" s="255"/>
      <c r="M1052" s="255"/>
      <c r="N1052" s="255"/>
      <c r="O1052" s="256"/>
      <c r="P1052" s="255"/>
      <c r="Q1052" s="255"/>
      <c r="R1052" s="256"/>
      <c r="S1052" s="256"/>
      <c r="T1052" s="255"/>
      <c r="U1052" s="259"/>
    </row>
    <row r="1053">
      <c r="A1053" s="255"/>
      <c r="B1053" s="255"/>
      <c r="C1053" s="256"/>
      <c r="D1053" s="255"/>
      <c r="E1053" s="255"/>
      <c r="F1053" s="255"/>
      <c r="G1053" s="256"/>
      <c r="H1053" s="255"/>
      <c r="I1053" s="255"/>
      <c r="J1053" s="255"/>
      <c r="K1053" s="256"/>
      <c r="L1053" s="255"/>
      <c r="M1053" s="255"/>
      <c r="N1053" s="255"/>
      <c r="O1053" s="256"/>
      <c r="P1053" s="255"/>
      <c r="Q1053" s="255"/>
      <c r="R1053" s="256"/>
      <c r="S1053" s="256"/>
      <c r="T1053" s="255"/>
      <c r="U1053" s="259"/>
    </row>
    <row r="1054">
      <c r="A1054" s="255"/>
      <c r="B1054" s="255"/>
      <c r="C1054" s="256"/>
      <c r="D1054" s="255"/>
      <c r="E1054" s="255"/>
      <c r="F1054" s="255"/>
      <c r="G1054" s="256"/>
      <c r="H1054" s="255"/>
      <c r="I1054" s="255"/>
      <c r="J1054" s="255"/>
      <c r="K1054" s="256"/>
      <c r="L1054" s="255"/>
      <c r="M1054" s="255"/>
      <c r="N1054" s="255"/>
      <c r="O1054" s="256"/>
      <c r="P1054" s="255"/>
      <c r="Q1054" s="255"/>
      <c r="R1054" s="256"/>
      <c r="S1054" s="256"/>
      <c r="T1054" s="255"/>
      <c r="U1054" s="259"/>
    </row>
    <row r="1055">
      <c r="A1055" s="255"/>
      <c r="B1055" s="255"/>
      <c r="C1055" s="256"/>
      <c r="D1055" s="255"/>
      <c r="E1055" s="255"/>
      <c r="F1055" s="255"/>
      <c r="G1055" s="256"/>
      <c r="H1055" s="255"/>
      <c r="I1055" s="255"/>
      <c r="J1055" s="255"/>
      <c r="K1055" s="256"/>
      <c r="L1055" s="255"/>
      <c r="M1055" s="255"/>
      <c r="N1055" s="255"/>
      <c r="O1055" s="256"/>
      <c r="P1055" s="255"/>
      <c r="Q1055" s="255"/>
      <c r="R1055" s="256"/>
      <c r="S1055" s="256"/>
      <c r="T1055" s="255"/>
      <c r="U1055" s="259"/>
    </row>
    <row r="1056">
      <c r="A1056" s="255"/>
      <c r="B1056" s="255"/>
      <c r="C1056" s="256"/>
      <c r="D1056" s="255"/>
      <c r="E1056" s="255"/>
      <c r="F1056" s="255"/>
      <c r="G1056" s="256"/>
      <c r="H1056" s="255"/>
      <c r="I1056" s="255"/>
      <c r="J1056" s="255"/>
      <c r="K1056" s="256"/>
      <c r="L1056" s="255"/>
      <c r="M1056" s="255"/>
      <c r="N1056" s="255"/>
      <c r="O1056" s="256"/>
      <c r="P1056" s="255"/>
      <c r="Q1056" s="255"/>
      <c r="R1056" s="256"/>
      <c r="S1056" s="256"/>
      <c r="T1056" s="255"/>
      <c r="U1056" s="259"/>
    </row>
    <row r="1057">
      <c r="A1057" s="255"/>
      <c r="B1057" s="255"/>
      <c r="C1057" s="256"/>
      <c r="D1057" s="255"/>
      <c r="E1057" s="255"/>
      <c r="F1057" s="255"/>
      <c r="G1057" s="256"/>
      <c r="H1057" s="255"/>
      <c r="I1057" s="255"/>
      <c r="J1057" s="255"/>
      <c r="K1057" s="256"/>
      <c r="L1057" s="255"/>
      <c r="M1057" s="255"/>
      <c r="N1057" s="255"/>
      <c r="O1057" s="256"/>
      <c r="P1057" s="255"/>
      <c r="Q1057" s="255"/>
      <c r="R1057" s="256"/>
      <c r="S1057" s="256"/>
      <c r="T1057" s="255"/>
      <c r="U1057" s="259"/>
    </row>
    <row r="1058">
      <c r="A1058" s="255"/>
      <c r="B1058" s="255"/>
      <c r="C1058" s="256"/>
      <c r="D1058" s="255"/>
      <c r="E1058" s="255"/>
      <c r="F1058" s="255"/>
      <c r="G1058" s="256"/>
      <c r="H1058" s="255"/>
      <c r="I1058" s="255"/>
      <c r="J1058" s="255"/>
      <c r="K1058" s="256"/>
      <c r="L1058" s="255"/>
      <c r="M1058" s="255"/>
      <c r="N1058" s="255"/>
      <c r="O1058" s="256"/>
      <c r="P1058" s="255"/>
      <c r="Q1058" s="255"/>
      <c r="R1058" s="256"/>
      <c r="S1058" s="256"/>
      <c r="T1058" s="255"/>
      <c r="U1058" s="259"/>
    </row>
    <row r="1059">
      <c r="A1059" s="255"/>
      <c r="B1059" s="255"/>
      <c r="C1059" s="256"/>
      <c r="D1059" s="255"/>
      <c r="E1059" s="255"/>
      <c r="F1059" s="255"/>
      <c r="G1059" s="256"/>
      <c r="H1059" s="255"/>
      <c r="I1059" s="255"/>
      <c r="J1059" s="255"/>
      <c r="K1059" s="256"/>
      <c r="L1059" s="255"/>
      <c r="M1059" s="255"/>
      <c r="N1059" s="255"/>
      <c r="O1059" s="256"/>
      <c r="P1059" s="255"/>
      <c r="Q1059" s="255"/>
      <c r="R1059" s="256"/>
      <c r="S1059" s="256"/>
      <c r="T1059" s="255"/>
      <c r="U1059" s="259"/>
    </row>
    <row r="1060">
      <c r="A1060" s="255"/>
      <c r="B1060" s="255"/>
      <c r="C1060" s="256"/>
      <c r="D1060" s="255"/>
      <c r="E1060" s="255"/>
      <c r="F1060" s="255"/>
      <c r="G1060" s="256"/>
      <c r="H1060" s="255"/>
      <c r="I1060" s="255"/>
      <c r="J1060" s="255"/>
      <c r="K1060" s="256"/>
      <c r="L1060" s="255"/>
      <c r="M1060" s="255"/>
      <c r="N1060" s="255"/>
      <c r="O1060" s="256"/>
      <c r="P1060" s="255"/>
      <c r="Q1060" s="255"/>
      <c r="R1060" s="256"/>
      <c r="S1060" s="256"/>
      <c r="T1060" s="255"/>
      <c r="U1060" s="259"/>
    </row>
    <row r="1061">
      <c r="A1061" s="255"/>
      <c r="B1061" s="255"/>
      <c r="C1061" s="256"/>
      <c r="D1061" s="255"/>
      <c r="E1061" s="255"/>
      <c r="F1061" s="255"/>
      <c r="G1061" s="256"/>
      <c r="H1061" s="255"/>
      <c r="I1061" s="255"/>
      <c r="J1061" s="255"/>
      <c r="K1061" s="256"/>
      <c r="L1061" s="255"/>
      <c r="M1061" s="255"/>
      <c r="N1061" s="255"/>
      <c r="O1061" s="256"/>
      <c r="P1061" s="255"/>
      <c r="Q1061" s="255"/>
      <c r="R1061" s="256"/>
      <c r="S1061" s="256"/>
      <c r="T1061" s="255"/>
      <c r="U1061" s="259"/>
    </row>
    <row r="1062">
      <c r="A1062" s="255"/>
      <c r="B1062" s="255"/>
      <c r="C1062" s="256"/>
      <c r="D1062" s="255"/>
      <c r="E1062" s="255"/>
      <c r="F1062" s="255"/>
      <c r="G1062" s="256"/>
      <c r="H1062" s="255"/>
      <c r="I1062" s="255"/>
      <c r="J1062" s="255"/>
      <c r="K1062" s="256"/>
      <c r="L1062" s="255"/>
      <c r="M1062" s="255"/>
      <c r="N1062" s="255"/>
      <c r="O1062" s="256"/>
      <c r="P1062" s="255"/>
      <c r="Q1062" s="255"/>
      <c r="R1062" s="256"/>
      <c r="S1062" s="256"/>
      <c r="T1062" s="255"/>
      <c r="U1062" s="259"/>
    </row>
    <row r="1063">
      <c r="A1063" s="255"/>
      <c r="B1063" s="255"/>
      <c r="C1063" s="256"/>
      <c r="D1063" s="255"/>
      <c r="E1063" s="255"/>
      <c r="F1063" s="255"/>
      <c r="G1063" s="256"/>
      <c r="H1063" s="255"/>
      <c r="I1063" s="255"/>
      <c r="J1063" s="255"/>
      <c r="K1063" s="256"/>
      <c r="L1063" s="255"/>
      <c r="M1063" s="255"/>
      <c r="N1063" s="255"/>
      <c r="O1063" s="256"/>
      <c r="P1063" s="255"/>
      <c r="Q1063" s="255"/>
      <c r="R1063" s="256"/>
      <c r="S1063" s="256"/>
      <c r="T1063" s="255"/>
      <c r="U1063" s="259"/>
    </row>
    <row r="1064">
      <c r="A1064" s="255"/>
      <c r="B1064" s="255"/>
      <c r="C1064" s="256"/>
      <c r="D1064" s="255"/>
      <c r="E1064" s="255"/>
      <c r="F1064" s="255"/>
      <c r="G1064" s="256"/>
      <c r="H1064" s="255"/>
      <c r="I1064" s="255"/>
      <c r="J1064" s="255"/>
      <c r="K1064" s="256"/>
      <c r="L1064" s="255"/>
      <c r="M1064" s="255"/>
      <c r="N1064" s="255"/>
      <c r="O1064" s="256"/>
      <c r="P1064" s="255"/>
      <c r="Q1064" s="255"/>
      <c r="R1064" s="256"/>
      <c r="S1064" s="256"/>
      <c r="T1064" s="255"/>
      <c r="U1064" s="259"/>
    </row>
    <row r="1065">
      <c r="A1065" s="255"/>
      <c r="B1065" s="255"/>
      <c r="C1065" s="256"/>
      <c r="D1065" s="255"/>
      <c r="E1065" s="255"/>
      <c r="F1065" s="255"/>
      <c r="G1065" s="256"/>
      <c r="H1065" s="255"/>
      <c r="I1065" s="255"/>
      <c r="J1065" s="255"/>
      <c r="K1065" s="256"/>
      <c r="L1065" s="255"/>
      <c r="M1065" s="255"/>
      <c r="N1065" s="255"/>
      <c r="O1065" s="256"/>
      <c r="P1065" s="255"/>
      <c r="Q1065" s="255"/>
      <c r="R1065" s="256"/>
      <c r="S1065" s="256"/>
      <c r="T1065" s="255"/>
      <c r="U1065" s="259"/>
    </row>
    <row r="1066">
      <c r="A1066" s="255"/>
      <c r="B1066" s="255"/>
      <c r="C1066" s="256"/>
      <c r="D1066" s="255"/>
      <c r="E1066" s="255"/>
      <c r="F1066" s="255"/>
      <c r="G1066" s="256"/>
      <c r="H1066" s="255"/>
      <c r="I1066" s="255"/>
      <c r="J1066" s="255"/>
      <c r="K1066" s="256"/>
      <c r="L1066" s="255"/>
      <c r="M1066" s="255"/>
      <c r="N1066" s="255"/>
      <c r="O1066" s="256"/>
      <c r="P1066" s="255"/>
      <c r="Q1066" s="255"/>
      <c r="R1066" s="256"/>
      <c r="S1066" s="256"/>
      <c r="T1066" s="255"/>
      <c r="U1066" s="259"/>
    </row>
    <row r="1067">
      <c r="A1067" s="255"/>
      <c r="B1067" s="255"/>
      <c r="C1067" s="256"/>
      <c r="D1067" s="255"/>
      <c r="E1067" s="255"/>
      <c r="F1067" s="255"/>
      <c r="G1067" s="256"/>
      <c r="H1067" s="255"/>
      <c r="I1067" s="255"/>
      <c r="J1067" s="255"/>
      <c r="K1067" s="256"/>
      <c r="L1067" s="255"/>
      <c r="M1067" s="255"/>
      <c r="N1067" s="255"/>
      <c r="O1067" s="256"/>
      <c r="P1067" s="255"/>
      <c r="Q1067" s="255"/>
      <c r="R1067" s="256"/>
      <c r="S1067" s="256"/>
      <c r="T1067" s="255"/>
      <c r="U1067" s="259"/>
    </row>
    <row r="1068">
      <c r="A1068" s="255"/>
      <c r="B1068" s="255"/>
      <c r="C1068" s="256"/>
      <c r="D1068" s="255"/>
      <c r="E1068" s="255"/>
      <c r="F1068" s="255"/>
      <c r="G1068" s="256"/>
      <c r="H1068" s="255"/>
      <c r="I1068" s="255"/>
      <c r="J1068" s="255"/>
      <c r="K1068" s="256"/>
      <c r="L1068" s="255"/>
      <c r="M1068" s="255"/>
      <c r="N1068" s="255"/>
      <c r="O1068" s="256"/>
      <c r="P1068" s="255"/>
      <c r="Q1068" s="255"/>
      <c r="R1068" s="256"/>
      <c r="S1068" s="256"/>
      <c r="T1068" s="255"/>
      <c r="U1068" s="259"/>
    </row>
    <row r="1069">
      <c r="A1069" s="255"/>
      <c r="B1069" s="255"/>
      <c r="C1069" s="256"/>
      <c r="D1069" s="255"/>
      <c r="E1069" s="255"/>
      <c r="F1069" s="255"/>
      <c r="G1069" s="256"/>
      <c r="H1069" s="255"/>
      <c r="I1069" s="255"/>
      <c r="J1069" s="255"/>
      <c r="K1069" s="256"/>
      <c r="L1069" s="255"/>
      <c r="M1069" s="255"/>
      <c r="N1069" s="255"/>
      <c r="O1069" s="256"/>
      <c r="P1069" s="255"/>
      <c r="Q1069" s="255"/>
      <c r="R1069" s="256"/>
      <c r="S1069" s="256"/>
      <c r="T1069" s="255"/>
      <c r="U1069" s="259"/>
    </row>
    <row r="1070">
      <c r="A1070" s="255"/>
      <c r="B1070" s="255"/>
      <c r="C1070" s="256"/>
      <c r="D1070" s="255"/>
      <c r="E1070" s="255"/>
      <c r="F1070" s="255"/>
      <c r="G1070" s="256"/>
      <c r="H1070" s="255"/>
      <c r="I1070" s="255"/>
      <c r="J1070" s="255"/>
      <c r="K1070" s="256"/>
      <c r="L1070" s="255"/>
      <c r="M1070" s="255"/>
      <c r="N1070" s="255"/>
      <c r="O1070" s="256"/>
      <c r="P1070" s="255"/>
      <c r="Q1070" s="255"/>
      <c r="R1070" s="256"/>
      <c r="S1070" s="256"/>
      <c r="T1070" s="255"/>
      <c r="U1070" s="259"/>
    </row>
    <row r="1071">
      <c r="A1071" s="255"/>
      <c r="B1071" s="255"/>
      <c r="C1071" s="256"/>
      <c r="D1071" s="255"/>
      <c r="E1071" s="255"/>
      <c r="F1071" s="255"/>
      <c r="G1071" s="256"/>
      <c r="H1071" s="255"/>
      <c r="I1071" s="255"/>
      <c r="J1071" s="255"/>
      <c r="K1071" s="256"/>
      <c r="L1071" s="255"/>
      <c r="M1071" s="255"/>
      <c r="N1071" s="255"/>
      <c r="O1071" s="256"/>
      <c r="P1071" s="255"/>
      <c r="Q1071" s="255"/>
      <c r="R1071" s="256"/>
      <c r="S1071" s="256"/>
      <c r="T1071" s="255"/>
      <c r="U1071" s="259"/>
    </row>
    <row r="1072">
      <c r="A1072" s="255"/>
      <c r="B1072" s="255"/>
      <c r="C1072" s="256"/>
      <c r="D1072" s="255"/>
      <c r="E1072" s="255"/>
      <c r="F1072" s="255"/>
      <c r="G1072" s="256"/>
      <c r="H1072" s="255"/>
      <c r="I1072" s="255"/>
      <c r="J1072" s="255"/>
      <c r="K1072" s="256"/>
      <c r="L1072" s="255"/>
      <c r="M1072" s="255"/>
      <c r="N1072" s="255"/>
      <c r="O1072" s="256"/>
      <c r="P1072" s="255"/>
      <c r="Q1072" s="255"/>
      <c r="R1072" s="256"/>
      <c r="S1072" s="256"/>
      <c r="T1072" s="255"/>
      <c r="U1072" s="259"/>
    </row>
    <row r="1073">
      <c r="A1073" s="255"/>
      <c r="B1073" s="255"/>
      <c r="C1073" s="256"/>
      <c r="D1073" s="255"/>
      <c r="E1073" s="255"/>
      <c r="F1073" s="255"/>
      <c r="G1073" s="256"/>
      <c r="H1073" s="255"/>
      <c r="I1073" s="255"/>
      <c r="J1073" s="255"/>
      <c r="K1073" s="256"/>
      <c r="L1073" s="255"/>
      <c r="M1073" s="255"/>
      <c r="N1073" s="255"/>
      <c r="O1073" s="256"/>
      <c r="P1073" s="255"/>
      <c r="Q1073" s="255"/>
      <c r="R1073" s="256"/>
      <c r="S1073" s="256"/>
      <c r="T1073" s="255"/>
      <c r="U1073" s="259"/>
    </row>
    <row r="1074">
      <c r="A1074" s="255"/>
      <c r="B1074" s="255"/>
      <c r="C1074" s="256"/>
      <c r="D1074" s="255"/>
      <c r="E1074" s="255"/>
      <c r="F1074" s="255"/>
      <c r="G1074" s="256"/>
      <c r="H1074" s="255"/>
      <c r="I1074" s="255"/>
      <c r="J1074" s="255"/>
      <c r="K1074" s="256"/>
      <c r="L1074" s="255"/>
      <c r="M1074" s="255"/>
      <c r="N1074" s="255"/>
      <c r="O1074" s="256"/>
      <c r="P1074" s="255"/>
      <c r="Q1074" s="255"/>
      <c r="R1074" s="256"/>
      <c r="S1074" s="256"/>
      <c r="T1074" s="255"/>
      <c r="U1074" s="259"/>
    </row>
    <row r="1075">
      <c r="A1075" s="255"/>
      <c r="B1075" s="255"/>
      <c r="C1075" s="256"/>
      <c r="D1075" s="255"/>
      <c r="E1075" s="255"/>
      <c r="F1075" s="255"/>
      <c r="G1075" s="256"/>
      <c r="H1075" s="255"/>
      <c r="I1075" s="255"/>
      <c r="J1075" s="255"/>
      <c r="K1075" s="256"/>
      <c r="L1075" s="255"/>
      <c r="M1075" s="255"/>
      <c r="N1075" s="255"/>
      <c r="O1075" s="256"/>
      <c r="P1075" s="255"/>
      <c r="Q1075" s="255"/>
      <c r="R1075" s="256"/>
      <c r="S1075" s="256"/>
      <c r="T1075" s="255"/>
      <c r="U1075" s="259"/>
    </row>
    <row r="1076">
      <c r="A1076" s="255"/>
      <c r="B1076" s="255"/>
      <c r="C1076" s="256"/>
      <c r="D1076" s="255"/>
      <c r="E1076" s="255"/>
      <c r="F1076" s="255"/>
      <c r="G1076" s="256"/>
      <c r="H1076" s="255"/>
      <c r="I1076" s="255"/>
      <c r="J1076" s="255"/>
      <c r="K1076" s="256"/>
      <c r="L1076" s="255"/>
      <c r="M1076" s="255"/>
      <c r="N1076" s="255"/>
      <c r="O1076" s="256"/>
      <c r="P1076" s="255"/>
      <c r="Q1076" s="255"/>
      <c r="R1076" s="256"/>
      <c r="S1076" s="256"/>
      <c r="T1076" s="255"/>
      <c r="U1076" s="259"/>
    </row>
    <row r="1077">
      <c r="A1077" s="255"/>
      <c r="B1077" s="255"/>
      <c r="C1077" s="256"/>
      <c r="D1077" s="255"/>
      <c r="E1077" s="255"/>
      <c r="F1077" s="255"/>
      <c r="G1077" s="256"/>
      <c r="H1077" s="255"/>
      <c r="I1077" s="255"/>
      <c r="J1077" s="255"/>
      <c r="K1077" s="256"/>
      <c r="L1077" s="255"/>
      <c r="M1077" s="255"/>
      <c r="N1077" s="255"/>
      <c r="O1077" s="256"/>
      <c r="P1077" s="255"/>
      <c r="Q1077" s="255"/>
      <c r="R1077" s="256"/>
      <c r="S1077" s="256"/>
      <c r="T1077" s="255"/>
      <c r="U1077" s="259"/>
    </row>
    <row r="1078">
      <c r="A1078" s="255"/>
      <c r="B1078" s="255"/>
      <c r="C1078" s="256"/>
      <c r="D1078" s="255"/>
      <c r="E1078" s="255"/>
      <c r="F1078" s="255"/>
      <c r="G1078" s="256"/>
      <c r="H1078" s="255"/>
      <c r="I1078" s="255"/>
      <c r="J1078" s="255"/>
      <c r="K1078" s="256"/>
      <c r="L1078" s="255"/>
      <c r="M1078" s="255"/>
      <c r="N1078" s="255"/>
      <c r="O1078" s="256"/>
      <c r="P1078" s="255"/>
      <c r="Q1078" s="255"/>
      <c r="R1078" s="256"/>
      <c r="S1078" s="256"/>
      <c r="T1078" s="255"/>
      <c r="U1078" s="259"/>
    </row>
    <row r="1079">
      <c r="A1079" s="255"/>
      <c r="B1079" s="255"/>
      <c r="C1079" s="256"/>
      <c r="D1079" s="255"/>
      <c r="E1079" s="255"/>
      <c r="F1079" s="255"/>
      <c r="G1079" s="256"/>
      <c r="H1079" s="255"/>
      <c r="I1079" s="255"/>
      <c r="J1079" s="255"/>
      <c r="K1079" s="256"/>
      <c r="L1079" s="255"/>
      <c r="M1079" s="255"/>
      <c r="N1079" s="255"/>
      <c r="O1079" s="256"/>
      <c r="P1079" s="255"/>
      <c r="Q1079" s="255"/>
      <c r="R1079" s="256"/>
      <c r="S1079" s="256"/>
      <c r="T1079" s="255"/>
      <c r="U1079" s="259"/>
    </row>
    <row r="1080">
      <c r="A1080" s="255"/>
      <c r="B1080" s="255"/>
      <c r="C1080" s="256"/>
      <c r="D1080" s="255"/>
      <c r="E1080" s="255"/>
      <c r="F1080" s="255"/>
      <c r="G1080" s="256"/>
      <c r="H1080" s="255"/>
      <c r="I1080" s="255"/>
      <c r="J1080" s="255"/>
      <c r="K1080" s="256"/>
      <c r="L1080" s="255"/>
      <c r="M1080" s="255"/>
      <c r="N1080" s="255"/>
      <c r="O1080" s="256"/>
      <c r="P1080" s="255"/>
      <c r="Q1080" s="255"/>
      <c r="R1080" s="256"/>
      <c r="S1080" s="256"/>
      <c r="T1080" s="255"/>
      <c r="U1080" s="259"/>
    </row>
    <row r="1081">
      <c r="A1081" s="255"/>
      <c r="B1081" s="255"/>
      <c r="C1081" s="256"/>
      <c r="D1081" s="255"/>
      <c r="E1081" s="255"/>
      <c r="F1081" s="255"/>
      <c r="G1081" s="256"/>
      <c r="H1081" s="255"/>
      <c r="I1081" s="255"/>
      <c r="J1081" s="255"/>
      <c r="K1081" s="256"/>
      <c r="L1081" s="255"/>
      <c r="M1081" s="255"/>
      <c r="N1081" s="255"/>
      <c r="O1081" s="256"/>
      <c r="P1081" s="255"/>
      <c r="Q1081" s="255"/>
      <c r="R1081" s="256"/>
      <c r="S1081" s="256"/>
      <c r="T1081" s="255"/>
      <c r="U1081" s="259"/>
    </row>
    <row r="1082">
      <c r="A1082" s="255"/>
      <c r="B1082" s="255"/>
      <c r="C1082" s="256"/>
      <c r="D1082" s="255"/>
      <c r="E1082" s="255"/>
      <c r="F1082" s="255"/>
      <c r="G1082" s="256"/>
      <c r="H1082" s="255"/>
      <c r="I1082" s="255"/>
      <c r="J1082" s="255"/>
      <c r="K1082" s="256"/>
      <c r="L1082" s="255"/>
      <c r="M1082" s="255"/>
      <c r="N1082" s="255"/>
      <c r="O1082" s="256"/>
      <c r="P1082" s="255"/>
      <c r="Q1082" s="255"/>
      <c r="R1082" s="256"/>
      <c r="S1082" s="256"/>
      <c r="T1082" s="255"/>
      <c r="U1082" s="259"/>
    </row>
    <row r="1083">
      <c r="A1083" s="255"/>
      <c r="B1083" s="255"/>
      <c r="C1083" s="256"/>
      <c r="D1083" s="255"/>
      <c r="E1083" s="255"/>
      <c r="F1083" s="255"/>
      <c r="G1083" s="256"/>
      <c r="H1083" s="255"/>
      <c r="I1083" s="255"/>
      <c r="J1083" s="255"/>
      <c r="K1083" s="256"/>
      <c r="L1083" s="255"/>
      <c r="M1083" s="255"/>
      <c r="N1083" s="255"/>
      <c r="O1083" s="256"/>
      <c r="P1083" s="255"/>
      <c r="Q1083" s="255"/>
      <c r="R1083" s="256"/>
      <c r="S1083" s="256"/>
      <c r="T1083" s="255"/>
      <c r="U1083" s="259"/>
    </row>
    <row r="1084">
      <c r="A1084" s="255"/>
      <c r="B1084" s="255"/>
      <c r="C1084" s="256"/>
      <c r="D1084" s="255"/>
      <c r="E1084" s="255"/>
      <c r="F1084" s="255"/>
      <c r="G1084" s="256"/>
      <c r="H1084" s="255"/>
      <c r="I1084" s="255"/>
      <c r="J1084" s="255"/>
      <c r="K1084" s="256"/>
      <c r="L1084" s="255"/>
      <c r="M1084" s="255"/>
      <c r="N1084" s="255"/>
      <c r="O1084" s="256"/>
      <c r="P1084" s="255"/>
      <c r="Q1084" s="255"/>
      <c r="R1084" s="256"/>
      <c r="S1084" s="256"/>
      <c r="T1084" s="255"/>
      <c r="U1084" s="259"/>
    </row>
    <row r="1085">
      <c r="A1085" s="255"/>
      <c r="B1085" s="255"/>
      <c r="C1085" s="256"/>
      <c r="D1085" s="255"/>
      <c r="E1085" s="255"/>
      <c r="F1085" s="255"/>
      <c r="G1085" s="256"/>
      <c r="H1085" s="255"/>
      <c r="I1085" s="255"/>
      <c r="J1085" s="255"/>
      <c r="K1085" s="256"/>
      <c r="L1085" s="255"/>
      <c r="M1085" s="255"/>
      <c r="N1085" s="255"/>
      <c r="O1085" s="256"/>
      <c r="P1085" s="255"/>
      <c r="Q1085" s="255"/>
      <c r="R1085" s="256"/>
      <c r="S1085" s="256"/>
      <c r="T1085" s="255"/>
      <c r="U1085" s="259"/>
    </row>
    <row r="1086">
      <c r="A1086" s="255"/>
      <c r="B1086" s="255"/>
      <c r="C1086" s="256"/>
      <c r="D1086" s="255"/>
      <c r="E1086" s="255"/>
      <c r="F1086" s="255"/>
      <c r="G1086" s="256"/>
      <c r="H1086" s="255"/>
      <c r="I1086" s="255"/>
      <c r="J1086" s="255"/>
      <c r="K1086" s="256"/>
      <c r="L1086" s="255"/>
      <c r="M1086" s="255"/>
      <c r="N1086" s="255"/>
      <c r="O1086" s="256"/>
      <c r="P1086" s="255"/>
      <c r="Q1086" s="255"/>
      <c r="R1086" s="256"/>
      <c r="S1086" s="256"/>
      <c r="T1086" s="255"/>
      <c r="U1086" s="259"/>
    </row>
    <row r="1087">
      <c r="A1087" s="255"/>
      <c r="B1087" s="255"/>
      <c r="C1087" s="256"/>
      <c r="D1087" s="255"/>
      <c r="E1087" s="255"/>
      <c r="F1087" s="255"/>
      <c r="G1087" s="256"/>
      <c r="H1087" s="255"/>
      <c r="I1087" s="255"/>
      <c r="J1087" s="255"/>
      <c r="K1087" s="256"/>
      <c r="L1087" s="255"/>
      <c r="M1087" s="255"/>
      <c r="N1087" s="255"/>
      <c r="O1087" s="256"/>
      <c r="P1087" s="255"/>
      <c r="Q1087" s="255"/>
      <c r="R1087" s="256"/>
      <c r="S1087" s="256"/>
      <c r="T1087" s="255"/>
      <c r="U1087" s="259"/>
    </row>
    <row r="1088">
      <c r="A1088" s="255"/>
      <c r="B1088" s="255"/>
      <c r="C1088" s="256"/>
      <c r="D1088" s="255"/>
      <c r="E1088" s="255"/>
      <c r="F1088" s="255"/>
      <c r="G1088" s="256"/>
      <c r="H1088" s="255"/>
      <c r="I1088" s="255"/>
      <c r="J1088" s="255"/>
      <c r="K1088" s="256"/>
      <c r="L1088" s="255"/>
      <c r="M1088" s="255"/>
      <c r="N1088" s="255"/>
      <c r="O1088" s="256"/>
      <c r="P1088" s="255"/>
      <c r="Q1088" s="255"/>
      <c r="R1088" s="256"/>
      <c r="S1088" s="256"/>
      <c r="T1088" s="255"/>
      <c r="U1088" s="259"/>
    </row>
    <row r="1089">
      <c r="A1089" s="255"/>
      <c r="B1089" s="255"/>
      <c r="C1089" s="256"/>
      <c r="D1089" s="255"/>
      <c r="E1089" s="255"/>
      <c r="F1089" s="255"/>
      <c r="G1089" s="256"/>
      <c r="H1089" s="255"/>
      <c r="I1089" s="255"/>
      <c r="J1089" s="255"/>
      <c r="K1089" s="256"/>
      <c r="L1089" s="255"/>
      <c r="M1089" s="255"/>
      <c r="N1089" s="255"/>
      <c r="O1089" s="256"/>
      <c r="P1089" s="255"/>
      <c r="Q1089" s="255"/>
      <c r="R1089" s="256"/>
      <c r="S1089" s="256"/>
      <c r="T1089" s="255"/>
      <c r="U1089" s="259"/>
    </row>
    <row r="1090">
      <c r="A1090" s="255"/>
      <c r="B1090" s="255"/>
      <c r="C1090" s="256"/>
      <c r="D1090" s="255"/>
      <c r="E1090" s="255"/>
      <c r="F1090" s="255"/>
      <c r="G1090" s="256"/>
      <c r="H1090" s="255"/>
      <c r="I1090" s="255"/>
      <c r="J1090" s="255"/>
      <c r="K1090" s="256"/>
      <c r="L1090" s="255"/>
      <c r="M1090" s="255"/>
      <c r="N1090" s="255"/>
      <c r="O1090" s="256"/>
      <c r="P1090" s="255"/>
      <c r="Q1090" s="255"/>
      <c r="R1090" s="256"/>
      <c r="S1090" s="256"/>
      <c r="T1090" s="255"/>
      <c r="U1090" s="259"/>
    </row>
    <row r="1091">
      <c r="A1091" s="255"/>
      <c r="B1091" s="255"/>
      <c r="C1091" s="256"/>
      <c r="D1091" s="255"/>
      <c r="E1091" s="255"/>
      <c r="F1091" s="255"/>
      <c r="G1091" s="256"/>
      <c r="H1091" s="255"/>
      <c r="I1091" s="255"/>
      <c r="J1091" s="255"/>
      <c r="K1091" s="256"/>
      <c r="L1091" s="255"/>
      <c r="M1091" s="255"/>
      <c r="N1091" s="255"/>
      <c r="O1091" s="256"/>
      <c r="P1091" s="255"/>
      <c r="Q1091" s="255"/>
      <c r="R1091" s="256"/>
      <c r="S1091" s="256"/>
      <c r="T1091" s="255"/>
      <c r="U1091" s="259"/>
    </row>
    <row r="1092">
      <c r="A1092" s="255"/>
      <c r="B1092" s="255"/>
      <c r="C1092" s="256"/>
      <c r="D1092" s="255"/>
      <c r="E1092" s="255"/>
      <c r="F1092" s="255"/>
      <c r="G1092" s="256"/>
      <c r="H1092" s="255"/>
      <c r="I1092" s="255"/>
      <c r="J1092" s="255"/>
      <c r="K1092" s="256"/>
      <c r="L1092" s="255"/>
      <c r="M1092" s="255"/>
      <c r="N1092" s="255"/>
      <c r="O1092" s="256"/>
      <c r="P1092" s="255"/>
      <c r="Q1092" s="255"/>
      <c r="R1092" s="256"/>
      <c r="S1092" s="256"/>
      <c r="T1092" s="255"/>
      <c r="U1092" s="259"/>
    </row>
    <row r="1093">
      <c r="A1093" s="255"/>
      <c r="B1093" s="255"/>
      <c r="C1093" s="256"/>
      <c r="D1093" s="255"/>
      <c r="E1093" s="255"/>
      <c r="F1093" s="255"/>
      <c r="G1093" s="256"/>
      <c r="H1093" s="255"/>
      <c r="I1093" s="255"/>
      <c r="J1093" s="255"/>
      <c r="K1093" s="256"/>
      <c r="L1093" s="255"/>
      <c r="M1093" s="255"/>
      <c r="N1093" s="255"/>
      <c r="O1093" s="256"/>
      <c r="P1093" s="255"/>
      <c r="Q1093" s="255"/>
      <c r="R1093" s="256"/>
      <c r="S1093" s="256"/>
      <c r="T1093" s="255"/>
      <c r="U1093" s="259"/>
    </row>
    <row r="1094">
      <c r="A1094" s="255"/>
      <c r="B1094" s="255"/>
      <c r="C1094" s="256"/>
      <c r="D1094" s="255"/>
      <c r="E1094" s="255"/>
      <c r="F1094" s="255"/>
      <c r="G1094" s="256"/>
      <c r="H1094" s="255"/>
      <c r="I1094" s="255"/>
      <c r="J1094" s="255"/>
      <c r="K1094" s="256"/>
      <c r="L1094" s="255"/>
      <c r="M1094" s="255"/>
      <c r="N1094" s="255"/>
      <c r="O1094" s="256"/>
      <c r="P1094" s="255"/>
      <c r="Q1094" s="255"/>
      <c r="R1094" s="256"/>
      <c r="S1094" s="256"/>
      <c r="T1094" s="255"/>
      <c r="U1094" s="259"/>
    </row>
    <row r="1095">
      <c r="A1095" s="255"/>
      <c r="B1095" s="255"/>
      <c r="C1095" s="256"/>
      <c r="D1095" s="255"/>
      <c r="E1095" s="255"/>
      <c r="F1095" s="255"/>
      <c r="G1095" s="256"/>
      <c r="H1095" s="255"/>
      <c r="I1095" s="255"/>
      <c r="J1095" s="255"/>
      <c r="K1095" s="256"/>
      <c r="L1095" s="255"/>
      <c r="M1095" s="255"/>
      <c r="N1095" s="255"/>
      <c r="O1095" s="256"/>
      <c r="P1095" s="255"/>
      <c r="Q1095" s="255"/>
      <c r="R1095" s="256"/>
      <c r="S1095" s="256"/>
      <c r="T1095" s="255"/>
      <c r="U1095" s="259"/>
    </row>
    <row r="1096">
      <c r="A1096" s="255"/>
      <c r="B1096" s="255"/>
      <c r="C1096" s="256"/>
      <c r="D1096" s="255"/>
      <c r="E1096" s="255"/>
      <c r="F1096" s="255"/>
      <c r="G1096" s="256"/>
      <c r="H1096" s="255"/>
      <c r="I1096" s="255"/>
      <c r="J1096" s="255"/>
      <c r="K1096" s="256"/>
      <c r="L1096" s="255"/>
      <c r="M1096" s="255"/>
      <c r="N1096" s="255"/>
      <c r="O1096" s="256"/>
      <c r="P1096" s="255"/>
      <c r="Q1096" s="255"/>
      <c r="R1096" s="256"/>
      <c r="S1096" s="256"/>
      <c r="T1096" s="255"/>
      <c r="U1096" s="259"/>
    </row>
    <row r="1097">
      <c r="A1097" s="255"/>
      <c r="B1097" s="255"/>
      <c r="C1097" s="256"/>
      <c r="D1097" s="255"/>
      <c r="E1097" s="255"/>
      <c r="F1097" s="255"/>
      <c r="G1097" s="256"/>
      <c r="H1097" s="255"/>
      <c r="I1097" s="255"/>
      <c r="J1097" s="255"/>
      <c r="K1097" s="256"/>
      <c r="L1097" s="255"/>
      <c r="M1097" s="255"/>
      <c r="N1097" s="255"/>
      <c r="O1097" s="256"/>
      <c r="P1097" s="255"/>
      <c r="Q1097" s="255"/>
      <c r="R1097" s="256"/>
      <c r="S1097" s="256"/>
      <c r="T1097" s="255"/>
      <c r="U1097" s="259"/>
    </row>
    <row r="1098">
      <c r="A1098" s="255"/>
      <c r="B1098" s="255"/>
      <c r="C1098" s="256"/>
      <c r="D1098" s="255"/>
      <c r="E1098" s="255"/>
      <c r="F1098" s="255"/>
      <c r="G1098" s="256"/>
      <c r="H1098" s="255"/>
      <c r="I1098" s="255"/>
      <c r="J1098" s="255"/>
      <c r="K1098" s="256"/>
      <c r="L1098" s="255"/>
      <c r="M1098" s="255"/>
      <c r="N1098" s="255"/>
      <c r="O1098" s="256"/>
      <c r="P1098" s="255"/>
      <c r="Q1098" s="255"/>
      <c r="R1098" s="256"/>
      <c r="S1098" s="256"/>
      <c r="T1098" s="255"/>
      <c r="U1098" s="259"/>
    </row>
    <row r="1099">
      <c r="A1099" s="255"/>
      <c r="B1099" s="255"/>
      <c r="C1099" s="256"/>
      <c r="D1099" s="255"/>
      <c r="E1099" s="255"/>
      <c r="F1099" s="255"/>
      <c r="G1099" s="256"/>
      <c r="H1099" s="255"/>
      <c r="I1099" s="255"/>
      <c r="J1099" s="255"/>
      <c r="K1099" s="256"/>
      <c r="L1099" s="255"/>
      <c r="M1099" s="255"/>
      <c r="N1099" s="255"/>
      <c r="O1099" s="256"/>
      <c r="P1099" s="255"/>
      <c r="Q1099" s="255"/>
      <c r="R1099" s="256"/>
      <c r="S1099" s="256"/>
      <c r="T1099" s="255"/>
      <c r="U1099" s="259"/>
    </row>
    <row r="1100">
      <c r="A1100" s="255"/>
      <c r="B1100" s="255"/>
      <c r="C1100" s="256"/>
      <c r="D1100" s="255"/>
      <c r="E1100" s="255"/>
      <c r="F1100" s="255"/>
      <c r="G1100" s="256"/>
      <c r="H1100" s="255"/>
      <c r="I1100" s="255"/>
      <c r="J1100" s="255"/>
      <c r="K1100" s="256"/>
      <c r="L1100" s="255"/>
      <c r="M1100" s="255"/>
      <c r="N1100" s="255"/>
      <c r="O1100" s="256"/>
      <c r="P1100" s="255"/>
      <c r="Q1100" s="255"/>
      <c r="R1100" s="256"/>
      <c r="S1100" s="256"/>
      <c r="T1100" s="255"/>
      <c r="U1100" s="259"/>
    </row>
    <row r="1101">
      <c r="A1101" s="255"/>
      <c r="B1101" s="255"/>
      <c r="C1101" s="256"/>
      <c r="D1101" s="255"/>
      <c r="E1101" s="255"/>
      <c r="F1101" s="255"/>
      <c r="G1101" s="256"/>
      <c r="H1101" s="255"/>
      <c r="I1101" s="255"/>
      <c r="J1101" s="255"/>
      <c r="K1101" s="256"/>
      <c r="L1101" s="255"/>
      <c r="M1101" s="255"/>
      <c r="N1101" s="255"/>
      <c r="O1101" s="256"/>
      <c r="P1101" s="255"/>
      <c r="Q1101" s="255"/>
      <c r="R1101" s="256"/>
      <c r="S1101" s="256"/>
      <c r="T1101" s="255"/>
      <c r="U1101" s="259"/>
    </row>
    <row r="1102">
      <c r="A1102" s="255"/>
      <c r="B1102" s="255"/>
      <c r="C1102" s="256"/>
      <c r="D1102" s="255"/>
      <c r="E1102" s="255"/>
      <c r="F1102" s="255"/>
      <c r="G1102" s="256"/>
      <c r="H1102" s="255"/>
      <c r="I1102" s="255"/>
      <c r="J1102" s="255"/>
      <c r="K1102" s="256"/>
      <c r="L1102" s="255"/>
      <c r="M1102" s="255"/>
      <c r="N1102" s="255"/>
      <c r="O1102" s="256"/>
      <c r="P1102" s="255"/>
      <c r="Q1102" s="255"/>
      <c r="R1102" s="256"/>
      <c r="S1102" s="256"/>
      <c r="T1102" s="255"/>
      <c r="U1102" s="259"/>
    </row>
    <row r="1103">
      <c r="A1103" s="255"/>
      <c r="B1103" s="255"/>
      <c r="C1103" s="256"/>
      <c r="D1103" s="255"/>
      <c r="E1103" s="255"/>
      <c r="F1103" s="255"/>
      <c r="G1103" s="256"/>
      <c r="H1103" s="255"/>
      <c r="I1103" s="255"/>
      <c r="J1103" s="255"/>
      <c r="K1103" s="256"/>
      <c r="L1103" s="255"/>
      <c r="M1103" s="255"/>
      <c r="N1103" s="255"/>
      <c r="O1103" s="256"/>
      <c r="P1103" s="255"/>
      <c r="Q1103" s="255"/>
      <c r="R1103" s="256"/>
      <c r="S1103" s="256"/>
      <c r="T1103" s="255"/>
      <c r="U1103" s="259"/>
    </row>
    <row r="1104">
      <c r="A1104" s="255"/>
      <c r="B1104" s="255"/>
      <c r="C1104" s="256"/>
      <c r="D1104" s="255"/>
      <c r="E1104" s="255"/>
      <c r="F1104" s="255"/>
      <c r="G1104" s="256"/>
      <c r="H1104" s="255"/>
      <c r="I1104" s="255"/>
      <c r="J1104" s="255"/>
      <c r="K1104" s="256"/>
      <c r="L1104" s="255"/>
      <c r="M1104" s="255"/>
      <c r="N1104" s="255"/>
      <c r="O1104" s="256"/>
      <c r="P1104" s="255"/>
      <c r="Q1104" s="255"/>
      <c r="R1104" s="256"/>
      <c r="S1104" s="256"/>
      <c r="T1104" s="255"/>
      <c r="U1104" s="259"/>
    </row>
    <row r="1105">
      <c r="A1105" s="255"/>
      <c r="B1105" s="255"/>
      <c r="C1105" s="256"/>
      <c r="D1105" s="255"/>
      <c r="E1105" s="255"/>
      <c r="F1105" s="255"/>
      <c r="G1105" s="256"/>
      <c r="H1105" s="255"/>
      <c r="I1105" s="255"/>
      <c r="J1105" s="255"/>
      <c r="K1105" s="256"/>
      <c r="L1105" s="255"/>
      <c r="M1105" s="255"/>
      <c r="N1105" s="255"/>
      <c r="O1105" s="256"/>
      <c r="P1105" s="255"/>
      <c r="Q1105" s="255"/>
      <c r="R1105" s="256"/>
      <c r="S1105" s="256"/>
      <c r="T1105" s="255"/>
      <c r="U1105" s="259"/>
    </row>
    <row r="1106">
      <c r="A1106" s="255"/>
      <c r="B1106" s="255"/>
      <c r="C1106" s="256"/>
      <c r="D1106" s="255"/>
      <c r="E1106" s="255"/>
      <c r="F1106" s="255"/>
      <c r="G1106" s="256"/>
      <c r="H1106" s="255"/>
      <c r="I1106" s="255"/>
      <c r="J1106" s="255"/>
      <c r="K1106" s="256"/>
      <c r="L1106" s="255"/>
      <c r="M1106" s="255"/>
      <c r="N1106" s="255"/>
      <c r="O1106" s="256"/>
      <c r="P1106" s="255"/>
      <c r="Q1106" s="255"/>
      <c r="R1106" s="256"/>
      <c r="S1106" s="256"/>
      <c r="T1106" s="255"/>
      <c r="U1106" s="259"/>
    </row>
    <row r="1107">
      <c r="A1107" s="255"/>
      <c r="B1107" s="255"/>
      <c r="C1107" s="256"/>
      <c r="D1107" s="255"/>
      <c r="E1107" s="255"/>
      <c r="F1107" s="255"/>
      <c r="G1107" s="256"/>
      <c r="H1107" s="255"/>
      <c r="I1107" s="255"/>
      <c r="J1107" s="255"/>
      <c r="K1107" s="256"/>
      <c r="L1107" s="255"/>
      <c r="M1107" s="255"/>
      <c r="N1107" s="255"/>
      <c r="O1107" s="256"/>
      <c r="P1107" s="255"/>
      <c r="Q1107" s="255"/>
      <c r="R1107" s="256"/>
      <c r="S1107" s="256"/>
      <c r="T1107" s="255"/>
      <c r="U1107" s="259"/>
    </row>
    <row r="1108">
      <c r="A1108" s="255"/>
      <c r="B1108" s="255"/>
      <c r="C1108" s="256"/>
      <c r="D1108" s="255"/>
      <c r="E1108" s="255"/>
      <c r="F1108" s="255"/>
      <c r="G1108" s="256"/>
      <c r="H1108" s="255"/>
      <c r="I1108" s="255"/>
      <c r="J1108" s="255"/>
      <c r="K1108" s="256"/>
      <c r="L1108" s="255"/>
      <c r="M1108" s="255"/>
      <c r="N1108" s="255"/>
      <c r="O1108" s="256"/>
      <c r="P1108" s="255"/>
      <c r="Q1108" s="255"/>
      <c r="R1108" s="256"/>
      <c r="S1108" s="256"/>
      <c r="T1108" s="255"/>
      <c r="U1108" s="259"/>
    </row>
    <row r="1109">
      <c r="A1109" s="255"/>
      <c r="B1109" s="255"/>
      <c r="C1109" s="256"/>
      <c r="D1109" s="255"/>
      <c r="E1109" s="255"/>
      <c r="F1109" s="255"/>
      <c r="G1109" s="256"/>
      <c r="H1109" s="255"/>
      <c r="I1109" s="255"/>
      <c r="J1109" s="255"/>
      <c r="K1109" s="256"/>
      <c r="L1109" s="255"/>
      <c r="M1109" s="255"/>
      <c r="N1109" s="255"/>
      <c r="O1109" s="256"/>
      <c r="P1109" s="255"/>
      <c r="Q1109" s="255"/>
      <c r="R1109" s="256"/>
      <c r="S1109" s="256"/>
      <c r="T1109" s="255"/>
      <c r="U1109" s="259"/>
    </row>
    <row r="1110">
      <c r="A1110" s="255"/>
      <c r="B1110" s="255"/>
      <c r="C1110" s="256"/>
      <c r="D1110" s="255"/>
      <c r="E1110" s="255"/>
      <c r="F1110" s="255"/>
      <c r="G1110" s="256"/>
      <c r="H1110" s="255"/>
      <c r="I1110" s="255"/>
      <c r="J1110" s="255"/>
      <c r="K1110" s="256"/>
      <c r="L1110" s="255"/>
      <c r="M1110" s="255"/>
      <c r="N1110" s="255"/>
      <c r="O1110" s="256"/>
      <c r="P1110" s="255"/>
      <c r="Q1110" s="255"/>
      <c r="R1110" s="256"/>
      <c r="S1110" s="256"/>
      <c r="T1110" s="255"/>
      <c r="U1110" s="259"/>
    </row>
    <row r="1111">
      <c r="A1111" s="255"/>
      <c r="B1111" s="255"/>
      <c r="C1111" s="256"/>
      <c r="D1111" s="255"/>
      <c r="E1111" s="255"/>
      <c r="F1111" s="255"/>
      <c r="G1111" s="256"/>
      <c r="H1111" s="255"/>
      <c r="I1111" s="255"/>
      <c r="J1111" s="255"/>
      <c r="K1111" s="256"/>
      <c r="L1111" s="255"/>
      <c r="M1111" s="255"/>
      <c r="N1111" s="255"/>
      <c r="O1111" s="256"/>
      <c r="P1111" s="255"/>
      <c r="Q1111" s="255"/>
      <c r="R1111" s="256"/>
      <c r="S1111" s="256"/>
      <c r="T1111" s="255"/>
      <c r="U1111" s="259"/>
    </row>
    <row r="1112">
      <c r="A1112" s="255"/>
      <c r="B1112" s="255"/>
      <c r="C1112" s="256"/>
      <c r="D1112" s="255"/>
      <c r="E1112" s="255"/>
      <c r="F1112" s="255"/>
      <c r="G1112" s="256"/>
      <c r="H1112" s="255"/>
      <c r="I1112" s="255"/>
      <c r="J1112" s="255"/>
      <c r="K1112" s="256"/>
      <c r="L1112" s="255"/>
      <c r="M1112" s="255"/>
      <c r="N1112" s="255"/>
      <c r="O1112" s="256"/>
      <c r="P1112" s="255"/>
      <c r="Q1112" s="255"/>
      <c r="R1112" s="256"/>
      <c r="S1112" s="256"/>
      <c r="T1112" s="255"/>
      <c r="U1112" s="259"/>
    </row>
    <row r="1113">
      <c r="A1113" s="255"/>
      <c r="B1113" s="255"/>
      <c r="C1113" s="256"/>
      <c r="D1113" s="255"/>
      <c r="E1113" s="255"/>
      <c r="F1113" s="255"/>
      <c r="G1113" s="256"/>
      <c r="H1113" s="255"/>
      <c r="I1113" s="255"/>
      <c r="J1113" s="255"/>
      <c r="K1113" s="256"/>
      <c r="L1113" s="255"/>
      <c r="M1113" s="255"/>
      <c r="N1113" s="255"/>
      <c r="O1113" s="256"/>
      <c r="P1113" s="255"/>
      <c r="Q1113" s="255"/>
      <c r="R1113" s="256"/>
      <c r="S1113" s="256"/>
      <c r="T1113" s="255"/>
      <c r="U1113" s="259"/>
    </row>
    <row r="1114">
      <c r="A1114" s="255"/>
      <c r="B1114" s="255"/>
      <c r="C1114" s="256"/>
      <c r="D1114" s="255"/>
      <c r="E1114" s="255"/>
      <c r="F1114" s="255"/>
      <c r="G1114" s="256"/>
      <c r="H1114" s="255"/>
      <c r="I1114" s="255"/>
      <c r="J1114" s="255"/>
      <c r="K1114" s="256"/>
      <c r="L1114" s="255"/>
      <c r="M1114" s="255"/>
      <c r="N1114" s="255"/>
      <c r="O1114" s="256"/>
      <c r="P1114" s="255"/>
      <c r="Q1114" s="255"/>
      <c r="R1114" s="256"/>
      <c r="S1114" s="256"/>
      <c r="T1114" s="255"/>
      <c r="U1114" s="259"/>
    </row>
    <row r="1115">
      <c r="A1115" s="255"/>
      <c r="B1115" s="255"/>
      <c r="C1115" s="256"/>
      <c r="D1115" s="255"/>
      <c r="E1115" s="255"/>
      <c r="F1115" s="255"/>
      <c r="G1115" s="256"/>
      <c r="H1115" s="255"/>
      <c r="I1115" s="255"/>
      <c r="J1115" s="255"/>
      <c r="K1115" s="256"/>
      <c r="L1115" s="255"/>
      <c r="M1115" s="255"/>
      <c r="N1115" s="255"/>
      <c r="O1115" s="256"/>
      <c r="P1115" s="255"/>
      <c r="Q1115" s="255"/>
      <c r="R1115" s="256"/>
      <c r="S1115" s="256"/>
      <c r="T1115" s="255"/>
      <c r="U1115" s="259"/>
    </row>
    <row r="1116">
      <c r="A1116" s="255"/>
      <c r="B1116" s="255"/>
      <c r="C1116" s="256"/>
      <c r="D1116" s="255"/>
      <c r="E1116" s="255"/>
      <c r="F1116" s="255"/>
      <c r="G1116" s="256"/>
      <c r="H1116" s="255"/>
      <c r="I1116" s="255"/>
      <c r="J1116" s="255"/>
      <c r="K1116" s="256"/>
      <c r="L1116" s="255"/>
      <c r="M1116" s="255"/>
      <c r="N1116" s="255"/>
      <c r="O1116" s="256"/>
      <c r="P1116" s="255"/>
      <c r="Q1116" s="255"/>
      <c r="R1116" s="256"/>
      <c r="S1116" s="256"/>
      <c r="T1116" s="255"/>
      <c r="U1116" s="259"/>
    </row>
    <row r="1117">
      <c r="A1117" s="255"/>
      <c r="B1117" s="255"/>
      <c r="C1117" s="256"/>
      <c r="D1117" s="255"/>
      <c r="E1117" s="255"/>
      <c r="F1117" s="255"/>
      <c r="G1117" s="256"/>
      <c r="H1117" s="255"/>
      <c r="I1117" s="255"/>
      <c r="J1117" s="255"/>
      <c r="K1117" s="256"/>
      <c r="L1117" s="255"/>
      <c r="M1117" s="255"/>
      <c r="N1117" s="255"/>
      <c r="O1117" s="256"/>
      <c r="P1117" s="255"/>
      <c r="Q1117" s="255"/>
      <c r="R1117" s="256"/>
      <c r="S1117" s="256"/>
      <c r="T1117" s="255"/>
      <c r="U1117" s="259"/>
    </row>
    <row r="1118">
      <c r="A1118" s="255"/>
      <c r="B1118" s="255"/>
      <c r="C1118" s="256"/>
      <c r="D1118" s="255"/>
      <c r="E1118" s="255"/>
      <c r="F1118" s="255"/>
      <c r="G1118" s="256"/>
      <c r="H1118" s="255"/>
      <c r="I1118" s="255"/>
      <c r="J1118" s="255"/>
      <c r="K1118" s="256"/>
      <c r="L1118" s="255"/>
      <c r="M1118" s="255"/>
      <c r="N1118" s="255"/>
      <c r="O1118" s="256"/>
      <c r="P1118" s="255"/>
      <c r="Q1118" s="255"/>
      <c r="R1118" s="256"/>
      <c r="S1118" s="256"/>
      <c r="T1118" s="255"/>
      <c r="U1118" s="259"/>
    </row>
    <row r="1119">
      <c r="A1119" s="255"/>
      <c r="B1119" s="255"/>
      <c r="C1119" s="256"/>
      <c r="D1119" s="255"/>
      <c r="E1119" s="255"/>
      <c r="F1119" s="255"/>
      <c r="G1119" s="256"/>
      <c r="H1119" s="255"/>
      <c r="I1119" s="255"/>
      <c r="J1119" s="255"/>
      <c r="K1119" s="256"/>
      <c r="L1119" s="255"/>
      <c r="M1119" s="255"/>
      <c r="N1119" s="255"/>
      <c r="O1119" s="256"/>
      <c r="P1119" s="255"/>
      <c r="Q1119" s="255"/>
      <c r="R1119" s="256"/>
      <c r="S1119" s="256"/>
      <c r="T1119" s="255"/>
      <c r="U1119" s="259"/>
    </row>
    <row r="1120">
      <c r="A1120" s="255"/>
      <c r="B1120" s="255"/>
      <c r="C1120" s="256"/>
      <c r="D1120" s="255"/>
      <c r="E1120" s="255"/>
      <c r="F1120" s="255"/>
      <c r="G1120" s="256"/>
      <c r="H1120" s="255"/>
      <c r="I1120" s="255"/>
      <c r="J1120" s="255"/>
      <c r="K1120" s="256"/>
      <c r="L1120" s="255"/>
      <c r="M1120" s="255"/>
      <c r="N1120" s="255"/>
      <c r="O1120" s="256"/>
      <c r="P1120" s="255"/>
      <c r="Q1120" s="255"/>
      <c r="R1120" s="256"/>
      <c r="S1120" s="256"/>
      <c r="T1120" s="255"/>
      <c r="U1120" s="259"/>
    </row>
    <row r="1121">
      <c r="A1121" s="255"/>
      <c r="B1121" s="255"/>
      <c r="C1121" s="256"/>
      <c r="D1121" s="255"/>
      <c r="E1121" s="255"/>
      <c r="F1121" s="255"/>
      <c r="G1121" s="256"/>
      <c r="H1121" s="255"/>
      <c r="I1121" s="255"/>
      <c r="J1121" s="255"/>
      <c r="K1121" s="256"/>
      <c r="L1121" s="255"/>
      <c r="M1121" s="255"/>
      <c r="N1121" s="255"/>
      <c r="O1121" s="256"/>
      <c r="P1121" s="255"/>
      <c r="Q1121" s="255"/>
      <c r="R1121" s="256"/>
      <c r="S1121" s="256"/>
      <c r="T1121" s="255"/>
      <c r="U1121" s="259"/>
    </row>
    <row r="1122">
      <c r="A1122" s="255"/>
      <c r="B1122" s="255"/>
      <c r="C1122" s="256"/>
      <c r="D1122" s="255"/>
      <c r="E1122" s="255"/>
      <c r="F1122" s="255"/>
      <c r="G1122" s="256"/>
      <c r="H1122" s="255"/>
      <c r="I1122" s="255"/>
      <c r="J1122" s="255"/>
      <c r="K1122" s="256"/>
      <c r="L1122" s="255"/>
      <c r="M1122" s="255"/>
      <c r="N1122" s="255"/>
      <c r="O1122" s="256"/>
      <c r="P1122" s="255"/>
      <c r="Q1122" s="255"/>
      <c r="R1122" s="256"/>
      <c r="S1122" s="256"/>
      <c r="T1122" s="255"/>
      <c r="U1122" s="259"/>
    </row>
    <row r="1123">
      <c r="A1123" s="255"/>
      <c r="B1123" s="255"/>
      <c r="C1123" s="256"/>
      <c r="D1123" s="255"/>
      <c r="E1123" s="255"/>
      <c r="F1123" s="255"/>
      <c r="G1123" s="256"/>
      <c r="H1123" s="255"/>
      <c r="I1123" s="255"/>
      <c r="J1123" s="255"/>
      <c r="K1123" s="256"/>
      <c r="L1123" s="255"/>
      <c r="M1123" s="255"/>
      <c r="N1123" s="255"/>
      <c r="O1123" s="256"/>
      <c r="P1123" s="255"/>
      <c r="Q1123" s="255"/>
      <c r="R1123" s="256"/>
      <c r="S1123" s="256"/>
      <c r="T1123" s="255"/>
      <c r="U1123" s="259"/>
    </row>
    <row r="1124">
      <c r="A1124" s="255"/>
      <c r="B1124" s="255"/>
      <c r="C1124" s="256"/>
      <c r="D1124" s="255"/>
      <c r="E1124" s="255"/>
      <c r="F1124" s="255"/>
      <c r="G1124" s="256"/>
      <c r="H1124" s="255"/>
      <c r="I1124" s="255"/>
      <c r="J1124" s="255"/>
      <c r="K1124" s="256"/>
      <c r="L1124" s="255"/>
      <c r="M1124" s="255"/>
      <c r="N1124" s="255"/>
      <c r="O1124" s="256"/>
      <c r="P1124" s="255"/>
      <c r="Q1124" s="255"/>
      <c r="R1124" s="256"/>
      <c r="S1124" s="256"/>
      <c r="T1124" s="255"/>
      <c r="U1124" s="259"/>
    </row>
    <row r="1125">
      <c r="A1125" s="255"/>
      <c r="B1125" s="255"/>
      <c r="C1125" s="256"/>
      <c r="D1125" s="255"/>
      <c r="E1125" s="255"/>
      <c r="F1125" s="255"/>
      <c r="G1125" s="256"/>
      <c r="H1125" s="255"/>
      <c r="I1125" s="255"/>
      <c r="J1125" s="255"/>
      <c r="K1125" s="256"/>
      <c r="L1125" s="255"/>
      <c r="M1125" s="255"/>
      <c r="N1125" s="255"/>
      <c r="O1125" s="256"/>
      <c r="P1125" s="255"/>
      <c r="Q1125" s="255"/>
      <c r="R1125" s="256"/>
      <c r="S1125" s="256"/>
      <c r="T1125" s="255"/>
      <c r="U1125" s="259"/>
    </row>
    <row r="1126">
      <c r="A1126" s="255"/>
      <c r="B1126" s="255"/>
      <c r="C1126" s="256"/>
      <c r="D1126" s="255"/>
      <c r="E1126" s="255"/>
      <c r="F1126" s="255"/>
      <c r="G1126" s="256"/>
      <c r="H1126" s="255"/>
      <c r="I1126" s="255"/>
      <c r="J1126" s="255"/>
      <c r="K1126" s="256"/>
      <c r="L1126" s="255"/>
      <c r="M1126" s="255"/>
      <c r="N1126" s="255"/>
      <c r="O1126" s="256"/>
      <c r="P1126" s="255"/>
      <c r="Q1126" s="255"/>
      <c r="R1126" s="256"/>
      <c r="S1126" s="256"/>
      <c r="T1126" s="255"/>
      <c r="U1126" s="259"/>
    </row>
    <row r="1127">
      <c r="A1127" s="255"/>
      <c r="B1127" s="255"/>
      <c r="C1127" s="256"/>
      <c r="D1127" s="255"/>
      <c r="E1127" s="255"/>
      <c r="F1127" s="255"/>
      <c r="G1127" s="256"/>
      <c r="H1127" s="255"/>
      <c r="I1127" s="255"/>
      <c r="J1127" s="255"/>
      <c r="K1127" s="256"/>
      <c r="L1127" s="255"/>
      <c r="M1127" s="255"/>
      <c r="N1127" s="255"/>
      <c r="O1127" s="256"/>
      <c r="P1127" s="255"/>
      <c r="Q1127" s="255"/>
      <c r="R1127" s="256"/>
      <c r="S1127" s="256"/>
      <c r="T1127" s="255"/>
      <c r="U1127" s="259"/>
    </row>
    <row r="1128">
      <c r="A1128" s="255"/>
      <c r="B1128" s="255"/>
      <c r="C1128" s="256"/>
      <c r="D1128" s="255"/>
      <c r="E1128" s="255"/>
      <c r="F1128" s="255"/>
      <c r="G1128" s="256"/>
      <c r="H1128" s="255"/>
      <c r="I1128" s="255"/>
      <c r="J1128" s="255"/>
      <c r="K1128" s="256"/>
      <c r="L1128" s="255"/>
      <c r="M1128" s="255"/>
      <c r="N1128" s="255"/>
      <c r="O1128" s="256"/>
      <c r="P1128" s="255"/>
      <c r="Q1128" s="255"/>
      <c r="R1128" s="256"/>
      <c r="S1128" s="256"/>
      <c r="T1128" s="255"/>
      <c r="U1128" s="259"/>
    </row>
    <row r="1129">
      <c r="A1129" s="255"/>
      <c r="B1129" s="255"/>
      <c r="C1129" s="256"/>
      <c r="D1129" s="255"/>
      <c r="E1129" s="255"/>
      <c r="F1129" s="255"/>
      <c r="G1129" s="256"/>
      <c r="H1129" s="255"/>
      <c r="I1129" s="255"/>
      <c r="J1129" s="255"/>
      <c r="K1129" s="256"/>
      <c r="L1129" s="255"/>
      <c r="M1129" s="255"/>
      <c r="N1129" s="255"/>
      <c r="O1129" s="256"/>
      <c r="P1129" s="255"/>
      <c r="Q1129" s="255"/>
      <c r="R1129" s="256"/>
      <c r="S1129" s="256"/>
      <c r="T1129" s="255"/>
      <c r="U1129" s="259"/>
    </row>
    <row r="1130">
      <c r="A1130" s="255"/>
      <c r="B1130" s="255"/>
      <c r="C1130" s="256"/>
      <c r="D1130" s="255"/>
      <c r="E1130" s="255"/>
      <c r="F1130" s="255"/>
      <c r="G1130" s="256"/>
      <c r="H1130" s="255"/>
      <c r="I1130" s="255"/>
      <c r="J1130" s="255"/>
      <c r="K1130" s="256"/>
      <c r="L1130" s="255"/>
      <c r="M1130" s="255"/>
      <c r="N1130" s="255"/>
      <c r="O1130" s="256"/>
      <c r="P1130" s="255"/>
      <c r="Q1130" s="255"/>
      <c r="R1130" s="256"/>
      <c r="S1130" s="256"/>
      <c r="T1130" s="255"/>
      <c r="U1130" s="259"/>
    </row>
    <row r="1131">
      <c r="A1131" s="255"/>
      <c r="B1131" s="255"/>
      <c r="C1131" s="256"/>
      <c r="D1131" s="255"/>
      <c r="E1131" s="255"/>
      <c r="F1131" s="255"/>
      <c r="G1131" s="256"/>
      <c r="H1131" s="255"/>
      <c r="I1131" s="255"/>
      <c r="J1131" s="255"/>
      <c r="K1131" s="256"/>
      <c r="L1131" s="255"/>
      <c r="M1131" s="255"/>
      <c r="N1131" s="255"/>
      <c r="O1131" s="256"/>
      <c r="P1131" s="255"/>
      <c r="Q1131" s="255"/>
      <c r="R1131" s="256"/>
      <c r="S1131" s="256"/>
      <c r="T1131" s="255"/>
      <c r="U1131" s="259"/>
    </row>
    <row r="1132">
      <c r="A1132" s="255"/>
      <c r="B1132" s="255"/>
      <c r="C1132" s="256"/>
      <c r="D1132" s="255"/>
      <c r="E1132" s="255"/>
      <c r="F1132" s="255"/>
      <c r="G1132" s="256"/>
      <c r="H1132" s="255"/>
      <c r="I1132" s="255"/>
      <c r="J1132" s="255"/>
      <c r="K1132" s="256"/>
      <c r="L1132" s="255"/>
      <c r="M1132" s="255"/>
      <c r="N1132" s="255"/>
      <c r="O1132" s="256"/>
      <c r="P1132" s="255"/>
      <c r="Q1132" s="255"/>
      <c r="R1132" s="256"/>
      <c r="S1132" s="256"/>
      <c r="T1132" s="255"/>
      <c r="U1132" s="259"/>
    </row>
    <row r="1133">
      <c r="A1133" s="255"/>
      <c r="B1133" s="255"/>
      <c r="C1133" s="256"/>
      <c r="D1133" s="255"/>
      <c r="E1133" s="255"/>
      <c r="F1133" s="255"/>
      <c r="G1133" s="256"/>
      <c r="H1133" s="255"/>
      <c r="I1133" s="255"/>
      <c r="J1133" s="255"/>
      <c r="K1133" s="256"/>
      <c r="L1133" s="255"/>
      <c r="M1133" s="255"/>
      <c r="N1133" s="255"/>
      <c r="O1133" s="256"/>
      <c r="P1133" s="255"/>
      <c r="Q1133" s="255"/>
      <c r="R1133" s="256"/>
      <c r="S1133" s="256"/>
      <c r="T1133" s="255"/>
      <c r="U1133" s="259"/>
    </row>
    <row r="1134">
      <c r="A1134" s="255"/>
      <c r="B1134" s="255"/>
      <c r="C1134" s="256"/>
      <c r="D1134" s="255"/>
      <c r="E1134" s="255"/>
      <c r="F1134" s="255"/>
      <c r="G1134" s="256"/>
      <c r="H1134" s="255"/>
      <c r="I1134" s="255"/>
      <c r="J1134" s="255"/>
      <c r="K1134" s="256"/>
      <c r="L1134" s="255"/>
      <c r="M1134" s="255"/>
      <c r="N1134" s="255"/>
      <c r="O1134" s="256"/>
      <c r="P1134" s="255"/>
      <c r="Q1134" s="255"/>
      <c r="R1134" s="256"/>
      <c r="S1134" s="256"/>
      <c r="T1134" s="255"/>
      <c r="U1134" s="259"/>
    </row>
    <row r="1135">
      <c r="A1135" s="255"/>
      <c r="B1135" s="255"/>
      <c r="C1135" s="256"/>
      <c r="D1135" s="255"/>
      <c r="E1135" s="255"/>
      <c r="F1135" s="255"/>
      <c r="G1135" s="256"/>
      <c r="H1135" s="255"/>
      <c r="I1135" s="255"/>
      <c r="J1135" s="255"/>
      <c r="K1135" s="256"/>
      <c r="L1135" s="255"/>
      <c r="M1135" s="255"/>
      <c r="N1135" s="255"/>
      <c r="O1135" s="256"/>
      <c r="P1135" s="255"/>
      <c r="Q1135" s="255"/>
      <c r="R1135" s="256"/>
      <c r="S1135" s="256"/>
      <c r="T1135" s="255"/>
      <c r="U1135" s="259"/>
    </row>
    <row r="1136">
      <c r="A1136" s="255"/>
      <c r="B1136" s="255"/>
      <c r="C1136" s="256"/>
      <c r="D1136" s="255"/>
      <c r="E1136" s="255"/>
      <c r="F1136" s="255"/>
      <c r="G1136" s="256"/>
      <c r="H1136" s="255"/>
      <c r="I1136" s="255"/>
      <c r="J1136" s="255"/>
      <c r="K1136" s="256"/>
      <c r="L1136" s="255"/>
      <c r="M1136" s="255"/>
      <c r="N1136" s="255"/>
      <c r="O1136" s="256"/>
      <c r="P1136" s="255"/>
      <c r="Q1136" s="255"/>
      <c r="R1136" s="256"/>
      <c r="S1136" s="256"/>
      <c r="T1136" s="255"/>
      <c r="U1136" s="259"/>
    </row>
    <row r="1137">
      <c r="A1137" s="255"/>
      <c r="B1137" s="255"/>
      <c r="C1137" s="256"/>
      <c r="D1137" s="255"/>
      <c r="E1137" s="255"/>
      <c r="F1137" s="255"/>
      <c r="G1137" s="256"/>
      <c r="H1137" s="255"/>
      <c r="I1137" s="255"/>
      <c r="J1137" s="255"/>
      <c r="K1137" s="256"/>
      <c r="L1137" s="255"/>
      <c r="M1137" s="255"/>
      <c r="N1137" s="255"/>
      <c r="O1137" s="256"/>
      <c r="P1137" s="255"/>
      <c r="Q1137" s="255"/>
      <c r="R1137" s="256"/>
      <c r="S1137" s="256"/>
      <c r="T1137" s="255"/>
      <c r="U1137" s="259"/>
    </row>
    <row r="1138">
      <c r="A1138" s="255"/>
      <c r="B1138" s="255"/>
      <c r="C1138" s="256"/>
      <c r="D1138" s="255"/>
      <c r="E1138" s="255"/>
      <c r="F1138" s="255"/>
      <c r="G1138" s="256"/>
      <c r="H1138" s="255"/>
      <c r="I1138" s="255"/>
      <c r="J1138" s="255"/>
      <c r="K1138" s="256"/>
      <c r="L1138" s="255"/>
      <c r="M1138" s="255"/>
      <c r="N1138" s="255"/>
      <c r="O1138" s="256"/>
      <c r="P1138" s="255"/>
      <c r="Q1138" s="255"/>
      <c r="R1138" s="256"/>
      <c r="S1138" s="256"/>
      <c r="T1138" s="255"/>
      <c r="U1138" s="259"/>
    </row>
    <row r="1139">
      <c r="A1139" s="255"/>
      <c r="B1139" s="255"/>
      <c r="C1139" s="256"/>
      <c r="D1139" s="255"/>
      <c r="E1139" s="255"/>
      <c r="F1139" s="255"/>
      <c r="G1139" s="256"/>
      <c r="H1139" s="255"/>
      <c r="I1139" s="255"/>
      <c r="J1139" s="255"/>
      <c r="K1139" s="256"/>
      <c r="L1139" s="255"/>
      <c r="M1139" s="255"/>
      <c r="N1139" s="255"/>
      <c r="O1139" s="256"/>
      <c r="P1139" s="255"/>
      <c r="Q1139" s="255"/>
      <c r="R1139" s="256"/>
      <c r="S1139" s="256"/>
      <c r="T1139" s="255"/>
      <c r="U1139" s="259"/>
    </row>
    <row r="1140">
      <c r="A1140" s="255"/>
      <c r="B1140" s="255"/>
      <c r="C1140" s="256"/>
      <c r="D1140" s="255"/>
      <c r="E1140" s="255"/>
      <c r="F1140" s="255"/>
      <c r="G1140" s="256"/>
      <c r="H1140" s="255"/>
      <c r="I1140" s="255"/>
      <c r="J1140" s="255"/>
      <c r="K1140" s="256"/>
      <c r="L1140" s="255"/>
      <c r="M1140" s="255"/>
      <c r="N1140" s="255"/>
      <c r="O1140" s="256"/>
      <c r="P1140" s="255"/>
      <c r="Q1140" s="255"/>
      <c r="R1140" s="256"/>
      <c r="S1140" s="256"/>
      <c r="T1140" s="255"/>
      <c r="U1140" s="259"/>
    </row>
    <row r="1141">
      <c r="A1141" s="255"/>
      <c r="B1141" s="255"/>
      <c r="C1141" s="256"/>
      <c r="D1141" s="255"/>
      <c r="E1141" s="255"/>
      <c r="F1141" s="255"/>
      <c r="G1141" s="256"/>
      <c r="H1141" s="255"/>
      <c r="I1141" s="255"/>
      <c r="J1141" s="255"/>
      <c r="K1141" s="256"/>
      <c r="L1141" s="255"/>
      <c r="M1141" s="255"/>
      <c r="N1141" s="255"/>
      <c r="O1141" s="256"/>
      <c r="P1141" s="255"/>
      <c r="Q1141" s="255"/>
      <c r="R1141" s="256"/>
      <c r="S1141" s="256"/>
      <c r="T1141" s="255"/>
      <c r="U1141" s="259"/>
    </row>
    <row r="1142">
      <c r="A1142" s="255"/>
      <c r="B1142" s="255"/>
      <c r="C1142" s="256"/>
      <c r="D1142" s="255"/>
      <c r="E1142" s="255"/>
      <c r="F1142" s="255"/>
      <c r="G1142" s="256"/>
      <c r="H1142" s="255"/>
      <c r="I1142" s="255"/>
      <c r="J1142" s="255"/>
      <c r="K1142" s="256"/>
      <c r="L1142" s="255"/>
      <c r="M1142" s="255"/>
      <c r="N1142" s="255"/>
      <c r="O1142" s="256"/>
      <c r="P1142" s="255"/>
      <c r="Q1142" s="255"/>
      <c r="R1142" s="256"/>
      <c r="S1142" s="256"/>
      <c r="T1142" s="255"/>
      <c r="U1142" s="259"/>
    </row>
    <row r="1143">
      <c r="A1143" s="255"/>
      <c r="B1143" s="255"/>
      <c r="C1143" s="256"/>
      <c r="D1143" s="255"/>
      <c r="E1143" s="255"/>
      <c r="F1143" s="255"/>
      <c r="G1143" s="256"/>
      <c r="H1143" s="255"/>
      <c r="I1143" s="255"/>
      <c r="J1143" s="255"/>
      <c r="K1143" s="256"/>
      <c r="L1143" s="255"/>
      <c r="M1143" s="255"/>
      <c r="N1143" s="255"/>
      <c r="O1143" s="256"/>
      <c r="P1143" s="255"/>
      <c r="Q1143" s="255"/>
      <c r="R1143" s="256"/>
      <c r="S1143" s="256"/>
      <c r="T1143" s="255"/>
      <c r="U1143" s="259"/>
    </row>
    <row r="1144">
      <c r="A1144" s="255"/>
      <c r="B1144" s="255"/>
      <c r="C1144" s="256"/>
      <c r="D1144" s="255"/>
      <c r="E1144" s="255"/>
      <c r="F1144" s="255"/>
      <c r="G1144" s="256"/>
      <c r="H1144" s="255"/>
      <c r="I1144" s="255"/>
      <c r="J1144" s="255"/>
      <c r="K1144" s="256"/>
      <c r="L1144" s="255"/>
      <c r="M1144" s="255"/>
      <c r="N1144" s="255"/>
      <c r="O1144" s="256"/>
      <c r="P1144" s="255"/>
      <c r="Q1144" s="255"/>
      <c r="R1144" s="256"/>
      <c r="S1144" s="256"/>
      <c r="T1144" s="255"/>
      <c r="U1144" s="259"/>
    </row>
    <row r="1145">
      <c r="A1145" s="255"/>
      <c r="B1145" s="255"/>
      <c r="C1145" s="256"/>
      <c r="D1145" s="255"/>
      <c r="E1145" s="255"/>
      <c r="F1145" s="255"/>
      <c r="G1145" s="256"/>
      <c r="H1145" s="255"/>
      <c r="I1145" s="255"/>
      <c r="J1145" s="255"/>
      <c r="K1145" s="256"/>
      <c r="L1145" s="255"/>
      <c r="M1145" s="255"/>
      <c r="N1145" s="255"/>
      <c r="O1145" s="256"/>
      <c r="P1145" s="255"/>
      <c r="Q1145" s="255"/>
      <c r="R1145" s="256"/>
      <c r="S1145" s="256"/>
      <c r="T1145" s="255"/>
      <c r="U1145" s="259"/>
    </row>
    <row r="1146">
      <c r="A1146" s="255"/>
      <c r="B1146" s="255"/>
      <c r="C1146" s="256"/>
      <c r="D1146" s="255"/>
      <c r="E1146" s="255"/>
      <c r="F1146" s="255"/>
      <c r="G1146" s="256"/>
      <c r="H1146" s="255"/>
      <c r="I1146" s="255"/>
      <c r="J1146" s="255"/>
      <c r="K1146" s="256"/>
      <c r="L1146" s="255"/>
      <c r="M1146" s="255"/>
      <c r="N1146" s="255"/>
      <c r="O1146" s="256"/>
      <c r="P1146" s="255"/>
      <c r="Q1146" s="255"/>
      <c r="R1146" s="256"/>
      <c r="S1146" s="256"/>
      <c r="T1146" s="255"/>
      <c r="U1146" s="259"/>
    </row>
    <row r="1147">
      <c r="A1147" s="255"/>
      <c r="B1147" s="255"/>
      <c r="C1147" s="256"/>
      <c r="D1147" s="255"/>
      <c r="E1147" s="255"/>
      <c r="F1147" s="255"/>
      <c r="G1147" s="256"/>
      <c r="H1147" s="255"/>
      <c r="I1147" s="255"/>
      <c r="J1147" s="255"/>
      <c r="K1147" s="256"/>
      <c r="L1147" s="255"/>
      <c r="M1147" s="255"/>
      <c r="N1147" s="255"/>
      <c r="O1147" s="256"/>
      <c r="P1147" s="255"/>
      <c r="Q1147" s="255"/>
      <c r="R1147" s="256"/>
      <c r="S1147" s="256"/>
      <c r="T1147" s="255"/>
      <c r="U1147" s="259"/>
    </row>
    <row r="1148">
      <c r="A1148" s="255"/>
      <c r="B1148" s="255"/>
      <c r="C1148" s="256"/>
      <c r="D1148" s="255"/>
      <c r="E1148" s="255"/>
      <c r="F1148" s="255"/>
      <c r="G1148" s="256"/>
      <c r="H1148" s="255"/>
      <c r="I1148" s="255"/>
      <c r="J1148" s="255"/>
      <c r="K1148" s="256"/>
      <c r="L1148" s="255"/>
      <c r="M1148" s="255"/>
      <c r="N1148" s="255"/>
      <c r="O1148" s="256"/>
      <c r="P1148" s="255"/>
      <c r="Q1148" s="255"/>
      <c r="R1148" s="256"/>
      <c r="S1148" s="256"/>
      <c r="T1148" s="255"/>
      <c r="U1148" s="259"/>
    </row>
    <row r="1149">
      <c r="A1149" s="255"/>
      <c r="B1149" s="255"/>
      <c r="C1149" s="256"/>
      <c r="D1149" s="255"/>
      <c r="E1149" s="255"/>
      <c r="F1149" s="255"/>
      <c r="G1149" s="256"/>
      <c r="H1149" s="255"/>
      <c r="I1149" s="255"/>
      <c r="J1149" s="255"/>
      <c r="K1149" s="256"/>
      <c r="L1149" s="255"/>
      <c r="M1149" s="255"/>
      <c r="N1149" s="255"/>
      <c r="O1149" s="256"/>
      <c r="P1149" s="255"/>
      <c r="Q1149" s="255"/>
      <c r="R1149" s="256"/>
      <c r="S1149" s="256"/>
      <c r="T1149" s="255"/>
      <c r="U1149" s="259"/>
    </row>
    <row r="1150">
      <c r="A1150" s="255"/>
      <c r="B1150" s="255"/>
      <c r="C1150" s="256"/>
      <c r="D1150" s="255"/>
      <c r="E1150" s="255"/>
      <c r="F1150" s="255"/>
      <c r="G1150" s="256"/>
      <c r="H1150" s="255"/>
      <c r="I1150" s="255"/>
      <c r="J1150" s="255"/>
      <c r="K1150" s="256"/>
      <c r="L1150" s="255"/>
      <c r="M1150" s="255"/>
      <c r="N1150" s="255"/>
      <c r="O1150" s="256"/>
      <c r="P1150" s="255"/>
      <c r="Q1150" s="255"/>
      <c r="R1150" s="256"/>
      <c r="S1150" s="256"/>
      <c r="T1150" s="255"/>
      <c r="U1150" s="259"/>
    </row>
    <row r="1151">
      <c r="A1151" s="255"/>
      <c r="B1151" s="255"/>
      <c r="C1151" s="256"/>
      <c r="D1151" s="255"/>
      <c r="E1151" s="255"/>
      <c r="F1151" s="255"/>
      <c r="G1151" s="256"/>
      <c r="H1151" s="255"/>
      <c r="I1151" s="255"/>
      <c r="J1151" s="255"/>
      <c r="K1151" s="256"/>
      <c r="L1151" s="255"/>
      <c r="M1151" s="255"/>
      <c r="N1151" s="255"/>
      <c r="O1151" s="256"/>
      <c r="P1151" s="255"/>
      <c r="Q1151" s="255"/>
      <c r="R1151" s="256"/>
      <c r="S1151" s="256"/>
      <c r="T1151" s="255"/>
      <c r="U1151" s="259"/>
    </row>
    <row r="1152">
      <c r="A1152" s="255"/>
      <c r="B1152" s="255"/>
      <c r="C1152" s="256"/>
      <c r="D1152" s="255"/>
      <c r="E1152" s="255"/>
      <c r="F1152" s="255"/>
      <c r="G1152" s="256"/>
      <c r="H1152" s="255"/>
      <c r="I1152" s="255"/>
      <c r="J1152" s="255"/>
      <c r="K1152" s="256"/>
      <c r="L1152" s="255"/>
      <c r="M1152" s="255"/>
      <c r="N1152" s="255"/>
      <c r="O1152" s="256"/>
      <c r="P1152" s="255"/>
      <c r="Q1152" s="255"/>
      <c r="R1152" s="256"/>
      <c r="S1152" s="256"/>
      <c r="T1152" s="255"/>
      <c r="U1152" s="259"/>
    </row>
    <row r="1153">
      <c r="A1153" s="255"/>
      <c r="B1153" s="255"/>
      <c r="C1153" s="256"/>
      <c r="D1153" s="255"/>
      <c r="E1153" s="255"/>
      <c r="F1153" s="255"/>
      <c r="G1153" s="256"/>
      <c r="H1153" s="255"/>
      <c r="I1153" s="255"/>
      <c r="J1153" s="255"/>
      <c r="K1153" s="256"/>
      <c r="L1153" s="255"/>
      <c r="M1153" s="255"/>
      <c r="N1153" s="255"/>
      <c r="O1153" s="256"/>
      <c r="P1153" s="255"/>
      <c r="Q1153" s="255"/>
      <c r="R1153" s="256"/>
      <c r="S1153" s="256"/>
      <c r="T1153" s="255"/>
      <c r="U1153" s="259"/>
    </row>
    <row r="1154">
      <c r="A1154" s="255"/>
      <c r="B1154" s="255"/>
      <c r="C1154" s="256"/>
      <c r="D1154" s="255"/>
      <c r="E1154" s="255"/>
      <c r="F1154" s="255"/>
      <c r="G1154" s="256"/>
      <c r="H1154" s="255"/>
      <c r="I1154" s="255"/>
      <c r="J1154" s="255"/>
      <c r="K1154" s="256"/>
      <c r="L1154" s="255"/>
      <c r="M1154" s="255"/>
      <c r="N1154" s="255"/>
      <c r="O1154" s="256"/>
      <c r="P1154" s="255"/>
      <c r="Q1154" s="255"/>
      <c r="R1154" s="256"/>
      <c r="S1154" s="256"/>
      <c r="T1154" s="255"/>
      <c r="U1154" s="259"/>
    </row>
    <row r="1155">
      <c r="A1155" s="255"/>
      <c r="B1155" s="255"/>
      <c r="C1155" s="256"/>
      <c r="D1155" s="255"/>
      <c r="E1155" s="255"/>
      <c r="F1155" s="255"/>
      <c r="G1155" s="256"/>
      <c r="H1155" s="255"/>
      <c r="I1155" s="255"/>
      <c r="J1155" s="255"/>
      <c r="K1155" s="256"/>
      <c r="L1155" s="255"/>
      <c r="M1155" s="255"/>
      <c r="N1155" s="255"/>
      <c r="O1155" s="256"/>
      <c r="P1155" s="255"/>
      <c r="Q1155" s="255"/>
      <c r="R1155" s="256"/>
      <c r="S1155" s="256"/>
      <c r="T1155" s="255"/>
      <c r="U1155" s="259"/>
    </row>
    <row r="1156">
      <c r="A1156" s="255"/>
      <c r="B1156" s="255"/>
      <c r="C1156" s="256"/>
      <c r="D1156" s="255"/>
      <c r="E1156" s="255"/>
      <c r="F1156" s="255"/>
      <c r="G1156" s="256"/>
      <c r="H1156" s="255"/>
      <c r="I1156" s="255"/>
      <c r="J1156" s="255"/>
      <c r="K1156" s="256"/>
      <c r="L1156" s="255"/>
      <c r="M1156" s="255"/>
      <c r="N1156" s="255"/>
      <c r="O1156" s="256"/>
      <c r="P1156" s="255"/>
      <c r="Q1156" s="255"/>
      <c r="R1156" s="256"/>
      <c r="S1156" s="256"/>
      <c r="T1156" s="255"/>
      <c r="U1156" s="259"/>
    </row>
    <row r="1157">
      <c r="A1157" s="255"/>
      <c r="B1157" s="255"/>
      <c r="C1157" s="256"/>
      <c r="D1157" s="255"/>
      <c r="E1157" s="255"/>
      <c r="F1157" s="255"/>
      <c r="G1157" s="256"/>
      <c r="H1157" s="255"/>
      <c r="I1157" s="255"/>
      <c r="J1157" s="255"/>
      <c r="K1157" s="256"/>
      <c r="L1157" s="255"/>
      <c r="M1157" s="255"/>
      <c r="N1157" s="255"/>
      <c r="O1157" s="256"/>
      <c r="P1157" s="255"/>
      <c r="Q1157" s="255"/>
      <c r="R1157" s="256"/>
      <c r="S1157" s="256"/>
      <c r="T1157" s="255"/>
      <c r="U1157" s="259"/>
    </row>
    <row r="1158">
      <c r="A1158" s="255"/>
      <c r="B1158" s="255"/>
      <c r="C1158" s="256"/>
      <c r="D1158" s="255"/>
      <c r="E1158" s="255"/>
      <c r="F1158" s="255"/>
      <c r="G1158" s="256"/>
      <c r="H1158" s="255"/>
      <c r="I1158" s="255"/>
      <c r="J1158" s="255"/>
      <c r="K1158" s="256"/>
      <c r="L1158" s="255"/>
      <c r="M1158" s="255"/>
      <c r="N1158" s="255"/>
      <c r="O1158" s="256"/>
      <c r="P1158" s="255"/>
      <c r="Q1158" s="255"/>
      <c r="R1158" s="256"/>
      <c r="S1158" s="256"/>
      <c r="T1158" s="255"/>
      <c r="U1158" s="259"/>
    </row>
    <row r="1159">
      <c r="A1159" s="255"/>
      <c r="B1159" s="255"/>
      <c r="C1159" s="256"/>
      <c r="D1159" s="255"/>
      <c r="E1159" s="255"/>
      <c r="F1159" s="255"/>
      <c r="G1159" s="256"/>
      <c r="H1159" s="255"/>
      <c r="I1159" s="255"/>
      <c r="J1159" s="255"/>
      <c r="K1159" s="256"/>
      <c r="L1159" s="255"/>
      <c r="M1159" s="255"/>
      <c r="N1159" s="255"/>
      <c r="O1159" s="256"/>
      <c r="P1159" s="255"/>
      <c r="Q1159" s="255"/>
      <c r="R1159" s="256"/>
      <c r="S1159" s="256"/>
      <c r="T1159" s="255"/>
      <c r="U1159" s="259"/>
    </row>
    <row r="1160">
      <c r="A1160" s="255"/>
      <c r="B1160" s="255"/>
      <c r="C1160" s="256"/>
      <c r="D1160" s="255"/>
      <c r="E1160" s="255"/>
      <c r="F1160" s="255"/>
      <c r="G1160" s="256"/>
      <c r="H1160" s="255"/>
      <c r="I1160" s="255"/>
      <c r="J1160" s="255"/>
      <c r="K1160" s="256"/>
      <c r="L1160" s="255"/>
      <c r="M1160" s="255"/>
      <c r="N1160" s="255"/>
      <c r="O1160" s="256"/>
      <c r="P1160" s="255"/>
      <c r="Q1160" s="255"/>
      <c r="R1160" s="256"/>
      <c r="S1160" s="256"/>
      <c r="T1160" s="255"/>
      <c r="U1160" s="259"/>
    </row>
    <row r="1161">
      <c r="A1161" s="255"/>
      <c r="B1161" s="255"/>
      <c r="C1161" s="256"/>
      <c r="D1161" s="255"/>
      <c r="E1161" s="255"/>
      <c r="F1161" s="255"/>
      <c r="G1161" s="256"/>
      <c r="H1161" s="255"/>
      <c r="I1161" s="255"/>
      <c r="J1161" s="255"/>
      <c r="K1161" s="256"/>
      <c r="L1161" s="255"/>
      <c r="M1161" s="255"/>
      <c r="N1161" s="255"/>
      <c r="O1161" s="256"/>
      <c r="P1161" s="255"/>
      <c r="Q1161" s="255"/>
      <c r="R1161" s="256"/>
      <c r="S1161" s="256"/>
      <c r="T1161" s="255"/>
      <c r="U1161" s="259"/>
    </row>
    <row r="1162">
      <c r="A1162" s="255"/>
      <c r="B1162" s="255"/>
      <c r="C1162" s="256"/>
      <c r="D1162" s="255"/>
      <c r="E1162" s="255"/>
      <c r="F1162" s="255"/>
      <c r="G1162" s="256"/>
      <c r="H1162" s="255"/>
      <c r="I1162" s="255"/>
      <c r="J1162" s="255"/>
      <c r="K1162" s="256"/>
      <c r="L1162" s="255"/>
      <c r="M1162" s="255"/>
      <c r="N1162" s="255"/>
      <c r="O1162" s="256"/>
      <c r="P1162" s="255"/>
      <c r="Q1162" s="255"/>
      <c r="R1162" s="256"/>
      <c r="S1162" s="256"/>
      <c r="T1162" s="255"/>
      <c r="U1162" s="259"/>
    </row>
    <row r="1163">
      <c r="A1163" s="255"/>
      <c r="B1163" s="255"/>
      <c r="C1163" s="256"/>
      <c r="D1163" s="255"/>
      <c r="E1163" s="255"/>
      <c r="F1163" s="255"/>
      <c r="G1163" s="256"/>
      <c r="H1163" s="255"/>
      <c r="I1163" s="255"/>
      <c r="J1163" s="255"/>
      <c r="K1163" s="256"/>
      <c r="L1163" s="255"/>
      <c r="M1163" s="255"/>
      <c r="N1163" s="255"/>
      <c r="O1163" s="256"/>
      <c r="P1163" s="255"/>
      <c r="Q1163" s="255"/>
      <c r="R1163" s="256"/>
      <c r="S1163" s="256"/>
      <c r="T1163" s="255"/>
      <c r="U1163" s="259"/>
    </row>
    <row r="1164">
      <c r="A1164" s="255"/>
      <c r="B1164" s="255"/>
      <c r="C1164" s="256"/>
      <c r="D1164" s="255"/>
      <c r="E1164" s="255"/>
      <c r="F1164" s="255"/>
      <c r="G1164" s="256"/>
      <c r="H1164" s="255"/>
      <c r="I1164" s="255"/>
      <c r="J1164" s="255"/>
      <c r="K1164" s="256"/>
      <c r="L1164" s="255"/>
      <c r="M1164" s="255"/>
      <c r="N1164" s="255"/>
      <c r="O1164" s="256"/>
      <c r="P1164" s="255"/>
      <c r="Q1164" s="255"/>
      <c r="R1164" s="256"/>
      <c r="S1164" s="256"/>
      <c r="T1164" s="255"/>
      <c r="U1164" s="259"/>
    </row>
    <row r="1165">
      <c r="A1165" s="255"/>
      <c r="B1165" s="255"/>
      <c r="C1165" s="256"/>
      <c r="D1165" s="255"/>
      <c r="E1165" s="255"/>
      <c r="F1165" s="255"/>
      <c r="G1165" s="256"/>
      <c r="H1165" s="255"/>
      <c r="I1165" s="255"/>
      <c r="J1165" s="255"/>
      <c r="K1165" s="256"/>
      <c r="L1165" s="255"/>
      <c r="M1165" s="255"/>
      <c r="N1165" s="255"/>
      <c r="O1165" s="256"/>
      <c r="P1165" s="255"/>
      <c r="Q1165" s="255"/>
      <c r="R1165" s="256"/>
      <c r="S1165" s="256"/>
      <c r="T1165" s="255"/>
      <c r="U1165" s="259"/>
    </row>
    <row r="1166">
      <c r="A1166" s="255"/>
      <c r="B1166" s="255"/>
      <c r="C1166" s="256"/>
      <c r="D1166" s="255"/>
      <c r="E1166" s="255"/>
      <c r="F1166" s="255"/>
      <c r="G1166" s="256"/>
      <c r="H1166" s="255"/>
      <c r="I1166" s="255"/>
      <c r="J1166" s="255"/>
      <c r="K1166" s="256"/>
      <c r="L1166" s="255"/>
      <c r="M1166" s="255"/>
      <c r="N1166" s="255"/>
      <c r="O1166" s="256"/>
      <c r="P1166" s="255"/>
      <c r="Q1166" s="255"/>
      <c r="R1166" s="256"/>
      <c r="S1166" s="256"/>
      <c r="T1166" s="255"/>
      <c r="U1166" s="259"/>
    </row>
    <row r="1167">
      <c r="A1167" s="255"/>
      <c r="B1167" s="255"/>
      <c r="C1167" s="256"/>
      <c r="D1167" s="255"/>
      <c r="E1167" s="255"/>
      <c r="F1167" s="255"/>
      <c r="G1167" s="256"/>
      <c r="H1167" s="255"/>
      <c r="I1167" s="255"/>
      <c r="J1167" s="255"/>
      <c r="K1167" s="256"/>
      <c r="L1167" s="255"/>
      <c r="M1167" s="255"/>
      <c r="N1167" s="255"/>
      <c r="O1167" s="256"/>
      <c r="P1167" s="255"/>
      <c r="Q1167" s="255"/>
      <c r="R1167" s="256"/>
      <c r="S1167" s="256"/>
      <c r="T1167" s="255"/>
      <c r="U1167" s="259"/>
    </row>
    <row r="1168">
      <c r="A1168" s="255"/>
      <c r="B1168" s="255"/>
      <c r="C1168" s="256"/>
      <c r="D1168" s="255"/>
      <c r="E1168" s="255"/>
      <c r="F1168" s="255"/>
      <c r="G1168" s="256"/>
      <c r="H1168" s="255"/>
      <c r="I1168" s="255"/>
      <c r="J1168" s="255"/>
      <c r="K1168" s="256"/>
      <c r="L1168" s="255"/>
      <c r="M1168" s="255"/>
      <c r="N1168" s="255"/>
      <c r="O1168" s="256"/>
      <c r="P1168" s="255"/>
      <c r="Q1168" s="255"/>
      <c r="R1168" s="256"/>
      <c r="S1168" s="256"/>
      <c r="T1168" s="255"/>
      <c r="U1168" s="259"/>
    </row>
    <row r="1169">
      <c r="A1169" s="255"/>
      <c r="B1169" s="255"/>
      <c r="C1169" s="256"/>
      <c r="D1169" s="255"/>
      <c r="E1169" s="255"/>
      <c r="F1169" s="255"/>
      <c r="G1169" s="256"/>
      <c r="H1169" s="255"/>
      <c r="I1169" s="255"/>
      <c r="J1169" s="255"/>
      <c r="K1169" s="256"/>
      <c r="L1169" s="255"/>
      <c r="M1169" s="255"/>
      <c r="N1169" s="255"/>
      <c r="O1169" s="256"/>
      <c r="P1169" s="255"/>
      <c r="Q1169" s="255"/>
      <c r="R1169" s="256"/>
      <c r="S1169" s="256"/>
      <c r="T1169" s="255"/>
      <c r="U1169" s="259"/>
    </row>
    <row r="1170">
      <c r="A1170" s="255"/>
      <c r="B1170" s="255"/>
      <c r="C1170" s="256"/>
      <c r="D1170" s="255"/>
      <c r="E1170" s="255"/>
      <c r="F1170" s="255"/>
      <c r="G1170" s="256"/>
      <c r="H1170" s="255"/>
      <c r="I1170" s="255"/>
      <c r="J1170" s="255"/>
      <c r="K1170" s="256"/>
      <c r="L1170" s="255"/>
      <c r="M1170" s="255"/>
      <c r="N1170" s="255"/>
      <c r="O1170" s="256"/>
      <c r="P1170" s="255"/>
      <c r="Q1170" s="255"/>
      <c r="R1170" s="256"/>
      <c r="S1170" s="256"/>
      <c r="T1170" s="255"/>
      <c r="U1170" s="259"/>
    </row>
    <row r="1171">
      <c r="A1171" s="255"/>
      <c r="B1171" s="255"/>
      <c r="C1171" s="256"/>
      <c r="D1171" s="255"/>
      <c r="E1171" s="255"/>
      <c r="F1171" s="255"/>
      <c r="G1171" s="256"/>
      <c r="H1171" s="255"/>
      <c r="I1171" s="255"/>
      <c r="J1171" s="255"/>
      <c r="K1171" s="256"/>
      <c r="L1171" s="255"/>
      <c r="M1171" s="255"/>
      <c r="N1171" s="255"/>
      <c r="O1171" s="256"/>
      <c r="P1171" s="255"/>
      <c r="Q1171" s="255"/>
      <c r="R1171" s="256"/>
      <c r="S1171" s="256"/>
      <c r="T1171" s="255"/>
      <c r="U1171" s="259"/>
    </row>
    <row r="1172">
      <c r="A1172" s="255"/>
      <c r="B1172" s="255"/>
      <c r="C1172" s="256"/>
      <c r="D1172" s="255"/>
      <c r="E1172" s="255"/>
      <c r="F1172" s="255"/>
      <c r="G1172" s="256"/>
      <c r="H1172" s="255"/>
      <c r="I1172" s="255"/>
      <c r="J1172" s="255"/>
      <c r="K1172" s="256"/>
      <c r="L1172" s="255"/>
      <c r="M1172" s="255"/>
      <c r="N1172" s="255"/>
      <c r="O1172" s="256"/>
      <c r="P1172" s="255"/>
      <c r="Q1172" s="255"/>
      <c r="R1172" s="256"/>
      <c r="S1172" s="256"/>
      <c r="T1172" s="255"/>
      <c r="U1172" s="259"/>
    </row>
    <row r="1173">
      <c r="A1173" s="255"/>
      <c r="B1173" s="255"/>
      <c r="C1173" s="256"/>
      <c r="D1173" s="255"/>
      <c r="E1173" s="255"/>
      <c r="F1173" s="255"/>
      <c r="G1173" s="256"/>
      <c r="H1173" s="255"/>
      <c r="I1173" s="255"/>
      <c r="J1173" s="255"/>
      <c r="K1173" s="256"/>
      <c r="L1173" s="255"/>
      <c r="M1173" s="255"/>
      <c r="N1173" s="255"/>
      <c r="O1173" s="256"/>
      <c r="P1173" s="255"/>
      <c r="Q1173" s="255"/>
      <c r="R1173" s="256"/>
      <c r="S1173" s="256"/>
      <c r="T1173" s="255"/>
      <c r="U1173" s="259"/>
    </row>
    <row r="1174">
      <c r="A1174" s="255"/>
      <c r="B1174" s="255"/>
      <c r="C1174" s="256"/>
      <c r="D1174" s="255"/>
      <c r="E1174" s="255"/>
      <c r="F1174" s="255"/>
      <c r="G1174" s="256"/>
      <c r="H1174" s="255"/>
      <c r="I1174" s="255"/>
      <c r="J1174" s="255"/>
      <c r="K1174" s="256"/>
      <c r="L1174" s="255"/>
      <c r="M1174" s="255"/>
      <c r="N1174" s="255"/>
      <c r="O1174" s="256"/>
      <c r="P1174" s="255"/>
      <c r="Q1174" s="255"/>
      <c r="R1174" s="256"/>
      <c r="S1174" s="256"/>
      <c r="T1174" s="255"/>
      <c r="U1174" s="259"/>
    </row>
    <row r="1175">
      <c r="A1175" s="255"/>
      <c r="B1175" s="255"/>
      <c r="C1175" s="256"/>
      <c r="D1175" s="255"/>
      <c r="E1175" s="255"/>
      <c r="F1175" s="255"/>
      <c r="G1175" s="256"/>
      <c r="H1175" s="255"/>
      <c r="I1175" s="255"/>
      <c r="J1175" s="255"/>
      <c r="K1175" s="256"/>
      <c r="L1175" s="255"/>
      <c r="M1175" s="255"/>
      <c r="N1175" s="255"/>
      <c r="O1175" s="256"/>
      <c r="P1175" s="255"/>
      <c r="Q1175" s="255"/>
      <c r="R1175" s="256"/>
      <c r="S1175" s="256"/>
      <c r="T1175" s="255"/>
      <c r="U1175" s="259"/>
    </row>
    <row r="1176">
      <c r="A1176" s="255"/>
      <c r="B1176" s="255"/>
      <c r="C1176" s="256"/>
      <c r="D1176" s="255"/>
      <c r="E1176" s="255"/>
      <c r="F1176" s="255"/>
      <c r="G1176" s="256"/>
      <c r="H1176" s="255"/>
      <c r="I1176" s="255"/>
      <c r="J1176" s="255"/>
      <c r="K1176" s="256"/>
      <c r="L1176" s="255"/>
      <c r="M1176" s="255"/>
      <c r="N1176" s="255"/>
      <c r="O1176" s="256"/>
      <c r="P1176" s="255"/>
      <c r="Q1176" s="255"/>
      <c r="R1176" s="256"/>
      <c r="S1176" s="256"/>
      <c r="T1176" s="255"/>
      <c r="U1176" s="259"/>
    </row>
    <row r="1177">
      <c r="A1177" s="255"/>
      <c r="B1177" s="255"/>
      <c r="C1177" s="256"/>
      <c r="D1177" s="255"/>
      <c r="E1177" s="255"/>
      <c r="F1177" s="255"/>
      <c r="G1177" s="256"/>
      <c r="H1177" s="255"/>
      <c r="I1177" s="255"/>
      <c r="J1177" s="255"/>
      <c r="K1177" s="256"/>
      <c r="L1177" s="255"/>
      <c r="M1177" s="255"/>
      <c r="N1177" s="255"/>
      <c r="O1177" s="256"/>
      <c r="P1177" s="255"/>
      <c r="Q1177" s="255"/>
      <c r="R1177" s="256"/>
      <c r="S1177" s="256"/>
      <c r="T1177" s="255"/>
      <c r="U1177" s="259"/>
    </row>
    <row r="1178">
      <c r="A1178" s="255"/>
      <c r="B1178" s="255"/>
      <c r="C1178" s="256"/>
      <c r="D1178" s="255"/>
      <c r="E1178" s="255"/>
      <c r="F1178" s="255"/>
      <c r="G1178" s="256"/>
      <c r="H1178" s="255"/>
      <c r="I1178" s="255"/>
      <c r="J1178" s="255"/>
      <c r="K1178" s="256"/>
      <c r="L1178" s="255"/>
      <c r="M1178" s="255"/>
      <c r="N1178" s="255"/>
      <c r="O1178" s="256"/>
      <c r="P1178" s="255"/>
      <c r="Q1178" s="255"/>
      <c r="R1178" s="256"/>
      <c r="S1178" s="256"/>
      <c r="T1178" s="255"/>
      <c r="U1178" s="259"/>
    </row>
    <row r="1179">
      <c r="A1179" s="255"/>
      <c r="B1179" s="255"/>
      <c r="C1179" s="256"/>
      <c r="D1179" s="255"/>
      <c r="E1179" s="255"/>
      <c r="F1179" s="255"/>
      <c r="G1179" s="256"/>
      <c r="H1179" s="255"/>
      <c r="I1179" s="255"/>
      <c r="J1179" s="255"/>
      <c r="K1179" s="256"/>
      <c r="L1179" s="255"/>
      <c r="M1179" s="255"/>
      <c r="N1179" s="255"/>
      <c r="O1179" s="256"/>
      <c r="P1179" s="255"/>
      <c r="Q1179" s="255"/>
      <c r="R1179" s="256"/>
      <c r="S1179" s="256"/>
      <c r="T1179" s="255"/>
      <c r="U1179" s="259"/>
    </row>
    <row r="1180">
      <c r="A1180" s="255"/>
      <c r="B1180" s="255"/>
      <c r="C1180" s="256"/>
      <c r="D1180" s="255"/>
      <c r="E1180" s="255"/>
      <c r="F1180" s="255"/>
      <c r="G1180" s="256"/>
      <c r="H1180" s="255"/>
      <c r="I1180" s="255"/>
      <c r="J1180" s="255"/>
      <c r="K1180" s="256"/>
      <c r="L1180" s="255"/>
      <c r="M1180" s="255"/>
      <c r="N1180" s="255"/>
      <c r="O1180" s="256"/>
      <c r="P1180" s="255"/>
      <c r="Q1180" s="255"/>
      <c r="R1180" s="256"/>
      <c r="S1180" s="256"/>
      <c r="T1180" s="255"/>
      <c r="U1180" s="259"/>
    </row>
    <row r="1181">
      <c r="A1181" s="255"/>
      <c r="B1181" s="255"/>
      <c r="C1181" s="256"/>
      <c r="D1181" s="255"/>
      <c r="E1181" s="255"/>
      <c r="F1181" s="255"/>
      <c r="G1181" s="256"/>
      <c r="H1181" s="255"/>
      <c r="I1181" s="255"/>
      <c r="J1181" s="255"/>
      <c r="K1181" s="256"/>
      <c r="L1181" s="255"/>
      <c r="M1181" s="255"/>
      <c r="N1181" s="255"/>
      <c r="O1181" s="256"/>
      <c r="P1181" s="255"/>
      <c r="Q1181" s="255"/>
      <c r="R1181" s="256"/>
      <c r="S1181" s="256"/>
      <c r="T1181" s="255"/>
      <c r="U1181" s="259"/>
    </row>
    <row r="1182">
      <c r="A1182" s="255"/>
      <c r="B1182" s="255"/>
      <c r="C1182" s="256"/>
      <c r="D1182" s="255"/>
      <c r="E1182" s="255"/>
      <c r="F1182" s="255"/>
      <c r="G1182" s="256"/>
      <c r="H1182" s="255"/>
      <c r="I1182" s="255"/>
      <c r="J1182" s="255"/>
      <c r="K1182" s="256"/>
      <c r="L1182" s="255"/>
      <c r="M1182" s="255"/>
      <c r="N1182" s="255"/>
      <c r="O1182" s="256"/>
      <c r="P1182" s="255"/>
      <c r="Q1182" s="255"/>
      <c r="R1182" s="256"/>
      <c r="S1182" s="256"/>
      <c r="T1182" s="255"/>
      <c r="U1182" s="259"/>
    </row>
    <row r="1183">
      <c r="A1183" s="255"/>
      <c r="B1183" s="255"/>
      <c r="C1183" s="256"/>
      <c r="D1183" s="255"/>
      <c r="E1183" s="255"/>
      <c r="F1183" s="255"/>
      <c r="G1183" s="256"/>
      <c r="H1183" s="255"/>
      <c r="I1183" s="255"/>
      <c r="J1183" s="255"/>
      <c r="K1183" s="256"/>
      <c r="L1183" s="255"/>
      <c r="M1183" s="255"/>
      <c r="N1183" s="255"/>
      <c r="O1183" s="256"/>
      <c r="P1183" s="255"/>
      <c r="Q1183" s="255"/>
      <c r="R1183" s="256"/>
      <c r="S1183" s="256"/>
      <c r="T1183" s="255"/>
      <c r="U1183" s="259"/>
    </row>
    <row r="1184">
      <c r="A1184" s="255"/>
      <c r="B1184" s="255"/>
      <c r="C1184" s="256"/>
      <c r="D1184" s="255"/>
      <c r="E1184" s="255"/>
      <c r="F1184" s="255"/>
      <c r="G1184" s="256"/>
      <c r="H1184" s="255"/>
      <c r="I1184" s="255"/>
      <c r="J1184" s="255"/>
      <c r="K1184" s="256"/>
      <c r="L1184" s="255"/>
      <c r="M1184" s="255"/>
      <c r="N1184" s="255"/>
      <c r="O1184" s="256"/>
      <c r="P1184" s="255"/>
      <c r="Q1184" s="255"/>
      <c r="R1184" s="256"/>
      <c r="S1184" s="256"/>
      <c r="T1184" s="255"/>
      <c r="U1184" s="259"/>
    </row>
    <row r="1185">
      <c r="A1185" s="255"/>
      <c r="B1185" s="255"/>
      <c r="C1185" s="256"/>
      <c r="D1185" s="255"/>
      <c r="E1185" s="255"/>
      <c r="F1185" s="255"/>
      <c r="G1185" s="256"/>
      <c r="H1185" s="255"/>
      <c r="I1185" s="255"/>
      <c r="J1185" s="255"/>
      <c r="K1185" s="256"/>
      <c r="L1185" s="255"/>
      <c r="M1185" s="255"/>
      <c r="N1185" s="255"/>
      <c r="O1185" s="256"/>
      <c r="P1185" s="255"/>
      <c r="Q1185" s="255"/>
      <c r="R1185" s="256"/>
      <c r="S1185" s="256"/>
      <c r="T1185" s="255"/>
      <c r="U1185" s="259"/>
    </row>
    <row r="1186">
      <c r="A1186" s="255"/>
      <c r="B1186" s="255"/>
      <c r="C1186" s="256"/>
      <c r="D1186" s="255"/>
      <c r="E1186" s="255"/>
      <c r="F1186" s="255"/>
      <c r="G1186" s="256"/>
      <c r="H1186" s="255"/>
      <c r="I1186" s="255"/>
      <c r="J1186" s="255"/>
      <c r="K1186" s="256"/>
      <c r="L1186" s="255"/>
      <c r="M1186" s="255"/>
      <c r="N1186" s="255"/>
      <c r="O1186" s="256"/>
      <c r="P1186" s="255"/>
      <c r="Q1186" s="255"/>
      <c r="R1186" s="256"/>
      <c r="S1186" s="256"/>
      <c r="T1186" s="255"/>
      <c r="U1186" s="259"/>
    </row>
    <row r="1187">
      <c r="A1187" s="255"/>
      <c r="B1187" s="255"/>
      <c r="C1187" s="256"/>
      <c r="D1187" s="255"/>
      <c r="E1187" s="255"/>
      <c r="F1187" s="255"/>
      <c r="G1187" s="256"/>
      <c r="H1187" s="255"/>
      <c r="I1187" s="255"/>
      <c r="J1187" s="255"/>
      <c r="K1187" s="256"/>
      <c r="L1187" s="255"/>
      <c r="M1187" s="255"/>
      <c r="N1187" s="255"/>
      <c r="O1187" s="256"/>
      <c r="P1187" s="255"/>
      <c r="Q1187" s="255"/>
      <c r="R1187" s="256"/>
      <c r="S1187" s="256"/>
      <c r="T1187" s="255"/>
      <c r="U1187" s="259"/>
    </row>
    <row r="1188">
      <c r="A1188" s="255"/>
      <c r="B1188" s="255"/>
      <c r="C1188" s="256"/>
      <c r="D1188" s="255"/>
      <c r="E1188" s="255"/>
      <c r="F1188" s="255"/>
      <c r="G1188" s="256"/>
      <c r="H1188" s="255"/>
      <c r="I1188" s="255"/>
      <c r="J1188" s="255"/>
      <c r="K1188" s="256"/>
      <c r="L1188" s="255"/>
      <c r="M1188" s="255"/>
      <c r="N1188" s="255"/>
      <c r="O1188" s="256"/>
      <c r="P1188" s="255"/>
      <c r="Q1188" s="255"/>
      <c r="R1188" s="256"/>
      <c r="S1188" s="256"/>
      <c r="T1188" s="255"/>
      <c r="U1188" s="259"/>
    </row>
    <row r="1189">
      <c r="A1189" s="255"/>
      <c r="B1189" s="255"/>
      <c r="C1189" s="256"/>
      <c r="D1189" s="255"/>
      <c r="E1189" s="255"/>
      <c r="F1189" s="255"/>
      <c r="G1189" s="256"/>
      <c r="H1189" s="255"/>
      <c r="I1189" s="255"/>
      <c r="J1189" s="255"/>
      <c r="K1189" s="256"/>
      <c r="L1189" s="255"/>
      <c r="M1189" s="255"/>
      <c r="N1189" s="255"/>
      <c r="O1189" s="256"/>
      <c r="P1189" s="255"/>
      <c r="Q1189" s="255"/>
      <c r="R1189" s="256"/>
      <c r="S1189" s="256"/>
      <c r="T1189" s="255"/>
      <c r="U1189" s="259"/>
    </row>
    <row r="1190">
      <c r="A1190" s="255"/>
      <c r="B1190" s="255"/>
      <c r="C1190" s="256"/>
      <c r="D1190" s="255"/>
      <c r="E1190" s="255"/>
      <c r="F1190" s="255"/>
      <c r="G1190" s="256"/>
      <c r="H1190" s="255"/>
      <c r="I1190" s="255"/>
      <c r="J1190" s="255"/>
      <c r="K1190" s="256"/>
      <c r="L1190" s="255"/>
      <c r="M1190" s="255"/>
      <c r="N1190" s="255"/>
      <c r="O1190" s="256"/>
      <c r="P1190" s="255"/>
      <c r="Q1190" s="255"/>
      <c r="R1190" s="256"/>
      <c r="S1190" s="256"/>
      <c r="T1190" s="255"/>
      <c r="U1190" s="259"/>
    </row>
    <row r="1191">
      <c r="A1191" s="255"/>
      <c r="B1191" s="255"/>
      <c r="C1191" s="256"/>
      <c r="D1191" s="255"/>
      <c r="E1191" s="255"/>
      <c r="F1191" s="255"/>
      <c r="G1191" s="256"/>
      <c r="H1191" s="255"/>
      <c r="I1191" s="255"/>
      <c r="J1191" s="255"/>
      <c r="K1191" s="256"/>
      <c r="L1191" s="255"/>
      <c r="M1191" s="255"/>
      <c r="N1191" s="255"/>
      <c r="O1191" s="256"/>
      <c r="P1191" s="255"/>
      <c r="Q1191" s="255"/>
      <c r="R1191" s="256"/>
      <c r="S1191" s="256"/>
      <c r="T1191" s="255"/>
      <c r="U1191" s="259"/>
    </row>
    <row r="1192">
      <c r="A1192" s="255"/>
      <c r="B1192" s="255"/>
      <c r="C1192" s="256"/>
      <c r="D1192" s="255"/>
      <c r="E1192" s="255"/>
      <c r="F1192" s="255"/>
      <c r="G1192" s="256"/>
      <c r="H1192" s="255"/>
      <c r="I1192" s="255"/>
      <c r="J1192" s="255"/>
      <c r="K1192" s="256"/>
      <c r="L1192" s="255"/>
      <c r="M1192" s="255"/>
      <c r="N1192" s="255"/>
      <c r="O1192" s="256"/>
      <c r="P1192" s="255"/>
      <c r="Q1192" s="255"/>
      <c r="R1192" s="256"/>
      <c r="S1192" s="256"/>
      <c r="T1192" s="255"/>
      <c r="U1192" s="259"/>
    </row>
    <row r="1193">
      <c r="A1193" s="255"/>
      <c r="B1193" s="255"/>
      <c r="C1193" s="256"/>
      <c r="D1193" s="255"/>
      <c r="E1193" s="255"/>
      <c r="F1193" s="255"/>
      <c r="G1193" s="256"/>
      <c r="H1193" s="255"/>
      <c r="I1193" s="255"/>
      <c r="J1193" s="255"/>
      <c r="K1193" s="256"/>
      <c r="L1193" s="255"/>
      <c r="M1193" s="255"/>
      <c r="N1193" s="255"/>
      <c r="O1193" s="256"/>
      <c r="P1193" s="255"/>
      <c r="Q1193" s="255"/>
      <c r="R1193" s="256"/>
      <c r="S1193" s="256"/>
      <c r="T1193" s="255"/>
      <c r="U1193" s="259"/>
    </row>
    <row r="1194">
      <c r="A1194" s="255"/>
      <c r="B1194" s="255"/>
      <c r="C1194" s="256"/>
      <c r="D1194" s="255"/>
      <c r="E1194" s="255"/>
      <c r="F1194" s="255"/>
      <c r="G1194" s="256"/>
      <c r="H1194" s="255"/>
      <c r="I1194" s="255"/>
      <c r="J1194" s="255"/>
      <c r="K1194" s="256"/>
      <c r="L1194" s="255"/>
      <c r="M1194" s="255"/>
      <c r="N1194" s="255"/>
      <c r="O1194" s="256"/>
      <c r="P1194" s="255"/>
      <c r="Q1194" s="255"/>
      <c r="R1194" s="256"/>
      <c r="S1194" s="256"/>
      <c r="T1194" s="255"/>
      <c r="U1194" s="259"/>
    </row>
    <row r="1195">
      <c r="A1195" s="255"/>
      <c r="B1195" s="255"/>
      <c r="C1195" s="256"/>
      <c r="D1195" s="255"/>
      <c r="E1195" s="255"/>
      <c r="F1195" s="255"/>
      <c r="G1195" s="256"/>
      <c r="H1195" s="255"/>
      <c r="I1195" s="255"/>
      <c r="J1195" s="255"/>
      <c r="K1195" s="256"/>
      <c r="L1195" s="255"/>
      <c r="M1195" s="255"/>
      <c r="N1195" s="255"/>
      <c r="O1195" s="256"/>
      <c r="P1195" s="255"/>
      <c r="Q1195" s="255"/>
      <c r="R1195" s="256"/>
      <c r="S1195" s="256"/>
      <c r="T1195" s="255"/>
      <c r="U1195" s="259"/>
    </row>
    <row r="1196">
      <c r="A1196" s="255"/>
      <c r="B1196" s="255"/>
      <c r="C1196" s="256"/>
      <c r="D1196" s="255"/>
      <c r="E1196" s="255"/>
      <c r="F1196" s="255"/>
      <c r="G1196" s="256"/>
      <c r="H1196" s="255"/>
      <c r="I1196" s="255"/>
      <c r="J1196" s="255"/>
      <c r="K1196" s="256"/>
      <c r="L1196" s="255"/>
      <c r="M1196" s="255"/>
      <c r="N1196" s="255"/>
      <c r="O1196" s="256"/>
      <c r="P1196" s="255"/>
      <c r="Q1196" s="255"/>
      <c r="R1196" s="256"/>
      <c r="S1196" s="256"/>
      <c r="T1196" s="255"/>
      <c r="U1196" s="259"/>
    </row>
    <row r="1197">
      <c r="A1197" s="255"/>
      <c r="B1197" s="255"/>
      <c r="C1197" s="256"/>
      <c r="D1197" s="255"/>
      <c r="E1197" s="255"/>
      <c r="F1197" s="255"/>
      <c r="G1197" s="256"/>
      <c r="H1197" s="255"/>
      <c r="I1197" s="255"/>
      <c r="J1197" s="255"/>
      <c r="K1197" s="256"/>
      <c r="L1197" s="255"/>
      <c r="M1197" s="255"/>
      <c r="N1197" s="255"/>
      <c r="O1197" s="256"/>
      <c r="P1197" s="255"/>
      <c r="Q1197" s="255"/>
      <c r="R1197" s="256"/>
      <c r="S1197" s="256"/>
      <c r="T1197" s="255"/>
      <c r="U1197" s="259"/>
    </row>
    <row r="1198">
      <c r="A1198" s="255"/>
      <c r="B1198" s="255"/>
      <c r="C1198" s="256"/>
      <c r="D1198" s="255"/>
      <c r="E1198" s="255"/>
      <c r="F1198" s="255"/>
      <c r="G1198" s="256"/>
      <c r="H1198" s="255"/>
      <c r="I1198" s="255"/>
      <c r="J1198" s="255"/>
      <c r="K1198" s="256"/>
      <c r="L1198" s="255"/>
      <c r="M1198" s="255"/>
      <c r="N1198" s="255"/>
      <c r="O1198" s="256"/>
      <c r="P1198" s="255"/>
      <c r="Q1198" s="255"/>
      <c r="R1198" s="256"/>
      <c r="S1198" s="256"/>
      <c r="T1198" s="255"/>
      <c r="U1198" s="259"/>
    </row>
    <row r="1199">
      <c r="A1199" s="255"/>
      <c r="B1199" s="255"/>
      <c r="C1199" s="256"/>
      <c r="D1199" s="255"/>
      <c r="E1199" s="255"/>
      <c r="F1199" s="255"/>
      <c r="G1199" s="256"/>
      <c r="H1199" s="255"/>
      <c r="I1199" s="255"/>
      <c r="J1199" s="255"/>
      <c r="K1199" s="256"/>
      <c r="L1199" s="255"/>
      <c r="M1199" s="255"/>
      <c r="N1199" s="255"/>
      <c r="O1199" s="256"/>
      <c r="P1199" s="255"/>
      <c r="Q1199" s="255"/>
      <c r="R1199" s="256"/>
      <c r="S1199" s="256"/>
      <c r="T1199" s="255"/>
      <c r="U1199" s="259"/>
    </row>
    <row r="1200">
      <c r="A1200" s="255"/>
      <c r="B1200" s="255"/>
      <c r="C1200" s="256"/>
      <c r="D1200" s="255"/>
      <c r="E1200" s="255"/>
      <c r="F1200" s="255"/>
      <c r="G1200" s="256"/>
      <c r="H1200" s="255"/>
      <c r="I1200" s="255"/>
      <c r="J1200" s="255"/>
      <c r="K1200" s="256"/>
      <c r="L1200" s="255"/>
      <c r="M1200" s="255"/>
      <c r="N1200" s="255"/>
      <c r="O1200" s="256"/>
      <c r="P1200" s="255"/>
      <c r="Q1200" s="255"/>
      <c r="R1200" s="256"/>
      <c r="S1200" s="256"/>
      <c r="T1200" s="255"/>
      <c r="U1200" s="259"/>
    </row>
    <row r="1201">
      <c r="A1201" s="255"/>
      <c r="B1201" s="255"/>
      <c r="C1201" s="256"/>
      <c r="D1201" s="255"/>
      <c r="E1201" s="255"/>
      <c r="F1201" s="255"/>
      <c r="G1201" s="256"/>
      <c r="H1201" s="255"/>
      <c r="I1201" s="255"/>
      <c r="J1201" s="255"/>
      <c r="K1201" s="256"/>
      <c r="L1201" s="255"/>
      <c r="M1201" s="255"/>
      <c r="N1201" s="255"/>
      <c r="O1201" s="256"/>
      <c r="P1201" s="255"/>
      <c r="Q1201" s="255"/>
      <c r="R1201" s="256"/>
      <c r="S1201" s="256"/>
      <c r="T1201" s="255"/>
      <c r="U1201" s="259"/>
    </row>
    <row r="1202">
      <c r="A1202" s="255"/>
      <c r="B1202" s="255"/>
      <c r="C1202" s="256"/>
      <c r="D1202" s="255"/>
      <c r="E1202" s="255"/>
      <c r="F1202" s="255"/>
      <c r="G1202" s="256"/>
      <c r="H1202" s="255"/>
      <c r="I1202" s="255"/>
      <c r="J1202" s="255"/>
      <c r="K1202" s="256"/>
      <c r="L1202" s="255"/>
      <c r="M1202" s="255"/>
      <c r="N1202" s="255"/>
      <c r="O1202" s="256"/>
      <c r="P1202" s="255"/>
      <c r="Q1202" s="255"/>
      <c r="R1202" s="256"/>
      <c r="S1202" s="256"/>
      <c r="T1202" s="255"/>
      <c r="U1202" s="259"/>
    </row>
    <row r="1203">
      <c r="A1203" s="255"/>
      <c r="B1203" s="255"/>
      <c r="C1203" s="256"/>
      <c r="D1203" s="255"/>
      <c r="E1203" s="255"/>
      <c r="F1203" s="255"/>
      <c r="G1203" s="256"/>
      <c r="H1203" s="255"/>
      <c r="I1203" s="255"/>
      <c r="J1203" s="255"/>
      <c r="K1203" s="256"/>
      <c r="L1203" s="255"/>
      <c r="M1203" s="255"/>
      <c r="N1203" s="255"/>
      <c r="O1203" s="256"/>
      <c r="P1203" s="255"/>
      <c r="Q1203" s="255"/>
      <c r="R1203" s="256"/>
      <c r="S1203" s="256"/>
      <c r="T1203" s="255"/>
      <c r="U1203" s="259"/>
    </row>
    <row r="1204">
      <c r="A1204" s="255"/>
      <c r="B1204" s="255"/>
      <c r="C1204" s="256"/>
      <c r="D1204" s="255"/>
      <c r="E1204" s="255"/>
      <c r="F1204" s="255"/>
      <c r="G1204" s="256"/>
      <c r="H1204" s="255"/>
      <c r="I1204" s="255"/>
      <c r="J1204" s="255"/>
      <c r="K1204" s="256"/>
      <c r="L1204" s="255"/>
      <c r="M1204" s="255"/>
      <c r="N1204" s="255"/>
      <c r="O1204" s="256"/>
      <c r="P1204" s="255"/>
      <c r="Q1204" s="255"/>
      <c r="R1204" s="256"/>
      <c r="S1204" s="256"/>
      <c r="T1204" s="255"/>
      <c r="U1204" s="259"/>
    </row>
    <row r="1205">
      <c r="A1205" s="255"/>
      <c r="B1205" s="255"/>
      <c r="C1205" s="256"/>
      <c r="D1205" s="255"/>
      <c r="E1205" s="255"/>
      <c r="F1205" s="255"/>
      <c r="G1205" s="256"/>
      <c r="H1205" s="255"/>
      <c r="I1205" s="255"/>
      <c r="J1205" s="255"/>
      <c r="K1205" s="256"/>
      <c r="L1205" s="255"/>
      <c r="M1205" s="255"/>
      <c r="N1205" s="255"/>
      <c r="O1205" s="256"/>
      <c r="P1205" s="255"/>
      <c r="Q1205" s="255"/>
      <c r="R1205" s="256"/>
      <c r="S1205" s="256"/>
      <c r="T1205" s="255"/>
      <c r="U1205" s="259"/>
    </row>
    <row r="1206">
      <c r="A1206" s="255"/>
      <c r="B1206" s="255"/>
      <c r="C1206" s="256"/>
      <c r="D1206" s="255"/>
      <c r="E1206" s="255"/>
      <c r="F1206" s="255"/>
      <c r="G1206" s="256"/>
      <c r="H1206" s="255"/>
      <c r="I1206" s="255"/>
      <c r="J1206" s="255"/>
      <c r="K1206" s="256"/>
      <c r="L1206" s="255"/>
      <c r="M1206" s="255"/>
      <c r="N1206" s="255"/>
      <c r="O1206" s="256"/>
      <c r="P1206" s="255"/>
      <c r="Q1206" s="255"/>
      <c r="R1206" s="256"/>
      <c r="S1206" s="256"/>
      <c r="T1206" s="255"/>
      <c r="U1206" s="259"/>
    </row>
    <row r="1207">
      <c r="A1207" s="255"/>
      <c r="B1207" s="255"/>
      <c r="C1207" s="256"/>
      <c r="D1207" s="255"/>
      <c r="E1207" s="255"/>
      <c r="F1207" s="255"/>
      <c r="G1207" s="256"/>
      <c r="H1207" s="255"/>
      <c r="I1207" s="255"/>
      <c r="J1207" s="255"/>
      <c r="K1207" s="256"/>
      <c r="L1207" s="255"/>
      <c r="M1207" s="255"/>
      <c r="N1207" s="255"/>
      <c r="O1207" s="256"/>
      <c r="P1207" s="255"/>
      <c r="Q1207" s="255"/>
      <c r="R1207" s="256"/>
      <c r="S1207" s="256"/>
      <c r="T1207" s="255"/>
      <c r="U1207" s="259"/>
    </row>
    <row r="1208">
      <c r="A1208" s="255"/>
      <c r="B1208" s="255"/>
      <c r="C1208" s="256"/>
      <c r="D1208" s="255"/>
      <c r="E1208" s="255"/>
      <c r="F1208" s="255"/>
      <c r="G1208" s="256"/>
      <c r="H1208" s="255"/>
      <c r="I1208" s="255"/>
      <c r="J1208" s="255"/>
      <c r="K1208" s="256"/>
      <c r="L1208" s="255"/>
      <c r="M1208" s="255"/>
      <c r="N1208" s="255"/>
      <c r="O1208" s="256"/>
      <c r="P1208" s="255"/>
      <c r="Q1208" s="255"/>
      <c r="R1208" s="256"/>
      <c r="S1208" s="256"/>
      <c r="T1208" s="255"/>
      <c r="U1208" s="259"/>
    </row>
    <row r="1209">
      <c r="A1209" s="255"/>
      <c r="B1209" s="255"/>
      <c r="C1209" s="256"/>
      <c r="D1209" s="255"/>
      <c r="E1209" s="255"/>
      <c r="F1209" s="255"/>
      <c r="G1209" s="256"/>
      <c r="H1209" s="255"/>
      <c r="I1209" s="255"/>
      <c r="J1209" s="255"/>
      <c r="K1209" s="256"/>
      <c r="L1209" s="255"/>
      <c r="M1209" s="255"/>
      <c r="N1209" s="255"/>
      <c r="O1209" s="256"/>
      <c r="P1209" s="255"/>
      <c r="Q1209" s="255"/>
      <c r="R1209" s="256"/>
      <c r="S1209" s="256"/>
      <c r="T1209" s="255"/>
      <c r="U1209" s="259"/>
    </row>
    <row r="1210">
      <c r="A1210" s="255"/>
      <c r="B1210" s="255"/>
      <c r="C1210" s="256"/>
      <c r="D1210" s="255"/>
      <c r="E1210" s="255"/>
      <c r="F1210" s="255"/>
      <c r="G1210" s="256"/>
      <c r="H1210" s="255"/>
      <c r="I1210" s="255"/>
      <c r="J1210" s="255"/>
      <c r="K1210" s="256"/>
      <c r="L1210" s="255"/>
      <c r="M1210" s="255"/>
      <c r="N1210" s="255"/>
      <c r="O1210" s="256"/>
      <c r="P1210" s="255"/>
      <c r="Q1210" s="255"/>
      <c r="R1210" s="256"/>
      <c r="S1210" s="256"/>
      <c r="T1210" s="255"/>
      <c r="U1210" s="259"/>
    </row>
    <row r="1211">
      <c r="A1211" s="255"/>
      <c r="B1211" s="255"/>
      <c r="C1211" s="256"/>
      <c r="D1211" s="255"/>
      <c r="E1211" s="255"/>
      <c r="F1211" s="255"/>
      <c r="G1211" s="256"/>
      <c r="H1211" s="255"/>
      <c r="I1211" s="255"/>
      <c r="J1211" s="255"/>
      <c r="K1211" s="256"/>
      <c r="L1211" s="255"/>
      <c r="M1211" s="255"/>
      <c r="N1211" s="255"/>
      <c r="O1211" s="256"/>
      <c r="P1211" s="255"/>
      <c r="Q1211" s="255"/>
      <c r="R1211" s="256"/>
      <c r="S1211" s="256"/>
      <c r="T1211" s="255"/>
      <c r="U1211" s="259"/>
    </row>
    <row r="1212">
      <c r="A1212" s="255"/>
      <c r="B1212" s="255"/>
      <c r="C1212" s="256"/>
      <c r="D1212" s="255"/>
      <c r="E1212" s="255"/>
      <c r="F1212" s="255"/>
      <c r="G1212" s="256"/>
      <c r="H1212" s="255"/>
      <c r="I1212" s="255"/>
      <c r="J1212" s="255"/>
      <c r="K1212" s="256"/>
      <c r="L1212" s="255"/>
      <c r="M1212" s="255"/>
      <c r="N1212" s="255"/>
      <c r="O1212" s="256"/>
      <c r="P1212" s="255"/>
      <c r="Q1212" s="255"/>
      <c r="R1212" s="256"/>
      <c r="S1212" s="256"/>
      <c r="T1212" s="255"/>
      <c r="U1212" s="259"/>
    </row>
    <row r="1213">
      <c r="A1213" s="255"/>
      <c r="B1213" s="255"/>
      <c r="C1213" s="256"/>
      <c r="D1213" s="255"/>
      <c r="E1213" s="255"/>
      <c r="F1213" s="255"/>
      <c r="G1213" s="256"/>
      <c r="H1213" s="255"/>
      <c r="I1213" s="255"/>
      <c r="J1213" s="255"/>
      <c r="K1213" s="256"/>
      <c r="L1213" s="255"/>
      <c r="M1213" s="255"/>
      <c r="N1213" s="255"/>
      <c r="O1213" s="256"/>
      <c r="P1213" s="255"/>
      <c r="Q1213" s="255"/>
      <c r="R1213" s="256"/>
      <c r="S1213" s="256"/>
      <c r="T1213" s="255"/>
      <c r="U1213" s="259"/>
    </row>
    <row r="1214">
      <c r="A1214" s="255"/>
      <c r="B1214" s="255"/>
      <c r="C1214" s="256"/>
      <c r="D1214" s="255"/>
      <c r="E1214" s="255"/>
      <c r="F1214" s="255"/>
      <c r="G1214" s="256"/>
      <c r="H1214" s="255"/>
      <c r="I1214" s="255"/>
      <c r="J1214" s="255"/>
      <c r="K1214" s="256"/>
      <c r="L1214" s="255"/>
      <c r="M1214" s="255"/>
      <c r="N1214" s="255"/>
      <c r="O1214" s="256"/>
      <c r="P1214" s="255"/>
      <c r="Q1214" s="255"/>
      <c r="R1214" s="256"/>
      <c r="S1214" s="256"/>
      <c r="T1214" s="255"/>
      <c r="U1214" s="259"/>
    </row>
    <row r="1215">
      <c r="A1215" s="255"/>
      <c r="B1215" s="255"/>
      <c r="C1215" s="256"/>
      <c r="D1215" s="255"/>
      <c r="E1215" s="255"/>
      <c r="F1215" s="255"/>
      <c r="G1215" s="256"/>
      <c r="H1215" s="255"/>
      <c r="I1215" s="255"/>
      <c r="J1215" s="255"/>
      <c r="K1215" s="256"/>
      <c r="L1215" s="255"/>
      <c r="M1215" s="255"/>
      <c r="N1215" s="255"/>
      <c r="O1215" s="256"/>
      <c r="P1215" s="255"/>
      <c r="Q1215" s="255"/>
      <c r="R1215" s="256"/>
      <c r="S1215" s="256"/>
      <c r="T1215" s="255"/>
      <c r="U1215" s="259"/>
    </row>
    <row r="1216">
      <c r="A1216" s="255"/>
      <c r="B1216" s="255"/>
      <c r="C1216" s="256"/>
      <c r="D1216" s="255"/>
      <c r="E1216" s="255"/>
      <c r="F1216" s="255"/>
      <c r="G1216" s="256"/>
      <c r="H1216" s="255"/>
      <c r="I1216" s="255"/>
      <c r="J1216" s="255"/>
      <c r="K1216" s="256"/>
      <c r="L1216" s="255"/>
      <c r="M1216" s="255"/>
      <c r="N1216" s="255"/>
      <c r="O1216" s="256"/>
      <c r="P1216" s="255"/>
      <c r="Q1216" s="255"/>
      <c r="R1216" s="256"/>
      <c r="S1216" s="256"/>
      <c r="T1216" s="255"/>
      <c r="U1216" s="259"/>
    </row>
    <row r="1217">
      <c r="A1217" s="255"/>
      <c r="B1217" s="255"/>
      <c r="C1217" s="256"/>
      <c r="D1217" s="255"/>
      <c r="E1217" s="255"/>
      <c r="F1217" s="255"/>
      <c r="G1217" s="256"/>
      <c r="H1217" s="255"/>
      <c r="I1217" s="255"/>
      <c r="J1217" s="255"/>
      <c r="K1217" s="256"/>
      <c r="L1217" s="255"/>
      <c r="M1217" s="255"/>
      <c r="N1217" s="255"/>
      <c r="O1217" s="256"/>
      <c r="P1217" s="255"/>
      <c r="Q1217" s="255"/>
      <c r="R1217" s="256"/>
      <c r="S1217" s="256"/>
      <c r="T1217" s="255"/>
      <c r="U1217" s="259"/>
    </row>
    <row r="1218">
      <c r="A1218" s="255"/>
      <c r="B1218" s="255"/>
      <c r="C1218" s="256"/>
      <c r="D1218" s="255"/>
      <c r="E1218" s="255"/>
      <c r="F1218" s="255"/>
      <c r="G1218" s="256"/>
      <c r="H1218" s="255"/>
      <c r="I1218" s="255"/>
      <c r="J1218" s="255"/>
      <c r="K1218" s="256"/>
      <c r="L1218" s="255"/>
      <c r="M1218" s="255"/>
      <c r="N1218" s="255"/>
      <c r="O1218" s="256"/>
      <c r="P1218" s="255"/>
      <c r="Q1218" s="255"/>
      <c r="R1218" s="256"/>
      <c r="S1218" s="256"/>
      <c r="T1218" s="255"/>
      <c r="U1218" s="259"/>
    </row>
    <row r="1219">
      <c r="A1219" s="255"/>
      <c r="B1219" s="255"/>
      <c r="C1219" s="256"/>
      <c r="D1219" s="255"/>
      <c r="E1219" s="255"/>
      <c r="F1219" s="255"/>
      <c r="G1219" s="256"/>
      <c r="H1219" s="255"/>
      <c r="I1219" s="255"/>
      <c r="J1219" s="255"/>
      <c r="K1219" s="256"/>
      <c r="L1219" s="255"/>
      <c r="M1219" s="255"/>
      <c r="N1219" s="255"/>
      <c r="O1219" s="256"/>
      <c r="P1219" s="255"/>
      <c r="Q1219" s="255"/>
      <c r="R1219" s="256"/>
      <c r="S1219" s="256"/>
      <c r="T1219" s="255"/>
      <c r="U1219" s="259"/>
    </row>
    <row r="1220">
      <c r="A1220" s="255"/>
      <c r="B1220" s="255"/>
      <c r="C1220" s="256"/>
      <c r="D1220" s="255"/>
      <c r="E1220" s="255"/>
      <c r="F1220" s="255"/>
      <c r="G1220" s="256"/>
      <c r="H1220" s="255"/>
      <c r="I1220" s="255"/>
      <c r="J1220" s="255"/>
      <c r="K1220" s="256"/>
      <c r="L1220" s="255"/>
      <c r="M1220" s="255"/>
      <c r="N1220" s="255"/>
      <c r="O1220" s="256"/>
      <c r="P1220" s="255"/>
      <c r="Q1220" s="255"/>
      <c r="R1220" s="256"/>
      <c r="S1220" s="256"/>
      <c r="T1220" s="255"/>
      <c r="U1220" s="259"/>
    </row>
    <row r="1221">
      <c r="A1221" s="255"/>
      <c r="B1221" s="255"/>
      <c r="C1221" s="256"/>
      <c r="D1221" s="255"/>
      <c r="E1221" s="255"/>
      <c r="F1221" s="255"/>
      <c r="G1221" s="256"/>
      <c r="H1221" s="255"/>
      <c r="I1221" s="255"/>
      <c r="J1221" s="255"/>
      <c r="K1221" s="256"/>
      <c r="L1221" s="255"/>
      <c r="M1221" s="255"/>
      <c r="N1221" s="255"/>
      <c r="O1221" s="256"/>
      <c r="P1221" s="255"/>
      <c r="Q1221" s="255"/>
      <c r="R1221" s="256"/>
      <c r="S1221" s="256"/>
      <c r="T1221" s="255"/>
      <c r="U1221" s="259"/>
    </row>
    <row r="1222">
      <c r="A1222" s="255"/>
      <c r="B1222" s="255"/>
      <c r="C1222" s="256"/>
      <c r="D1222" s="255"/>
      <c r="E1222" s="255"/>
      <c r="F1222" s="255"/>
      <c r="G1222" s="256"/>
      <c r="H1222" s="255"/>
      <c r="I1222" s="255"/>
      <c r="J1222" s="255"/>
      <c r="K1222" s="256"/>
      <c r="L1222" s="255"/>
      <c r="M1222" s="255"/>
      <c r="N1222" s="255"/>
      <c r="O1222" s="256"/>
      <c r="P1222" s="255"/>
      <c r="Q1222" s="255"/>
      <c r="R1222" s="256"/>
      <c r="S1222" s="256"/>
      <c r="T1222" s="255"/>
      <c r="U1222" s="259"/>
    </row>
    <row r="1223">
      <c r="A1223" s="255"/>
      <c r="B1223" s="255"/>
      <c r="C1223" s="256"/>
      <c r="D1223" s="255"/>
      <c r="E1223" s="255"/>
      <c r="F1223" s="255"/>
      <c r="G1223" s="256"/>
      <c r="H1223" s="255"/>
      <c r="I1223" s="255"/>
      <c r="J1223" s="255"/>
      <c r="K1223" s="256"/>
      <c r="L1223" s="255"/>
      <c r="M1223" s="255"/>
      <c r="N1223" s="255"/>
      <c r="O1223" s="256"/>
      <c r="P1223" s="255"/>
      <c r="Q1223" s="255"/>
      <c r="R1223" s="256"/>
      <c r="S1223" s="256"/>
      <c r="T1223" s="255"/>
      <c r="U1223" s="259"/>
    </row>
    <row r="1224">
      <c r="A1224" s="255"/>
      <c r="B1224" s="255"/>
      <c r="C1224" s="256"/>
      <c r="D1224" s="255"/>
      <c r="E1224" s="255"/>
      <c r="F1224" s="255"/>
      <c r="G1224" s="256"/>
      <c r="H1224" s="255"/>
      <c r="I1224" s="255"/>
      <c r="J1224" s="255"/>
      <c r="K1224" s="256"/>
      <c r="L1224" s="255"/>
      <c r="M1224" s="255"/>
      <c r="N1224" s="255"/>
      <c r="O1224" s="256"/>
      <c r="P1224" s="255"/>
      <c r="Q1224" s="255"/>
      <c r="R1224" s="256"/>
      <c r="S1224" s="256"/>
      <c r="T1224" s="255"/>
      <c r="U1224" s="259"/>
    </row>
    <row r="1225">
      <c r="A1225" s="255"/>
      <c r="B1225" s="255"/>
      <c r="C1225" s="256"/>
      <c r="D1225" s="255"/>
      <c r="E1225" s="255"/>
      <c r="F1225" s="255"/>
      <c r="G1225" s="256"/>
      <c r="H1225" s="255"/>
      <c r="I1225" s="255"/>
      <c r="J1225" s="255"/>
      <c r="K1225" s="256"/>
      <c r="L1225" s="255"/>
      <c r="M1225" s="255"/>
      <c r="N1225" s="255"/>
      <c r="O1225" s="256"/>
      <c r="P1225" s="255"/>
      <c r="Q1225" s="255"/>
      <c r="R1225" s="256"/>
      <c r="S1225" s="256"/>
      <c r="T1225" s="255"/>
      <c r="U1225" s="259"/>
    </row>
    <row r="1226">
      <c r="A1226" s="255"/>
      <c r="B1226" s="255"/>
      <c r="C1226" s="256"/>
      <c r="D1226" s="255"/>
      <c r="E1226" s="255"/>
      <c r="F1226" s="255"/>
      <c r="G1226" s="256"/>
      <c r="H1226" s="255"/>
      <c r="I1226" s="255"/>
      <c r="J1226" s="255"/>
      <c r="K1226" s="256"/>
      <c r="L1226" s="255"/>
      <c r="M1226" s="255"/>
      <c r="N1226" s="255"/>
      <c r="O1226" s="256"/>
      <c r="P1226" s="255"/>
      <c r="Q1226" s="255"/>
      <c r="R1226" s="256"/>
      <c r="S1226" s="256"/>
      <c r="T1226" s="255"/>
      <c r="U1226" s="259"/>
    </row>
    <row r="1227">
      <c r="A1227" s="255"/>
      <c r="B1227" s="255"/>
      <c r="C1227" s="256"/>
      <c r="D1227" s="255"/>
      <c r="E1227" s="255"/>
      <c r="F1227" s="255"/>
      <c r="G1227" s="256"/>
      <c r="H1227" s="255"/>
      <c r="I1227" s="255"/>
      <c r="J1227" s="255"/>
      <c r="K1227" s="256"/>
      <c r="L1227" s="255"/>
      <c r="M1227" s="255"/>
      <c r="N1227" s="255"/>
      <c r="O1227" s="256"/>
      <c r="P1227" s="255"/>
      <c r="Q1227" s="255"/>
      <c r="R1227" s="256"/>
      <c r="S1227" s="256"/>
      <c r="T1227" s="255"/>
      <c r="U1227" s="259"/>
    </row>
    <row r="1228">
      <c r="A1228" s="255"/>
      <c r="B1228" s="255"/>
      <c r="C1228" s="256"/>
      <c r="D1228" s="255"/>
      <c r="E1228" s="255"/>
      <c r="F1228" s="255"/>
      <c r="G1228" s="256"/>
      <c r="H1228" s="255"/>
      <c r="I1228" s="255"/>
      <c r="J1228" s="255"/>
      <c r="K1228" s="256"/>
      <c r="L1228" s="255"/>
      <c r="M1228" s="255"/>
      <c r="N1228" s="255"/>
      <c r="O1228" s="256"/>
      <c r="P1228" s="255"/>
      <c r="Q1228" s="255"/>
      <c r="R1228" s="256"/>
      <c r="S1228" s="256"/>
      <c r="T1228" s="255"/>
      <c r="U1228" s="259"/>
    </row>
    <row r="1229">
      <c r="A1229" s="255"/>
      <c r="B1229" s="255"/>
      <c r="C1229" s="256"/>
      <c r="D1229" s="255"/>
      <c r="E1229" s="255"/>
      <c r="F1229" s="255"/>
      <c r="G1229" s="256"/>
      <c r="H1229" s="255"/>
      <c r="I1229" s="255"/>
      <c r="J1229" s="255"/>
      <c r="K1229" s="256"/>
      <c r="L1229" s="255"/>
      <c r="M1229" s="255"/>
      <c r="N1229" s="255"/>
      <c r="O1229" s="256"/>
      <c r="P1229" s="255"/>
      <c r="Q1229" s="255"/>
      <c r="R1229" s="256"/>
      <c r="S1229" s="256"/>
      <c r="T1229" s="255"/>
      <c r="U1229" s="259"/>
    </row>
    <row r="1230">
      <c r="A1230" s="255"/>
      <c r="B1230" s="255"/>
      <c r="C1230" s="256"/>
      <c r="D1230" s="255"/>
      <c r="E1230" s="255"/>
      <c r="F1230" s="255"/>
      <c r="G1230" s="256"/>
      <c r="H1230" s="255"/>
      <c r="I1230" s="255"/>
      <c r="J1230" s="255"/>
      <c r="K1230" s="256"/>
      <c r="L1230" s="255"/>
      <c r="M1230" s="255"/>
      <c r="N1230" s="255"/>
      <c r="O1230" s="256"/>
      <c r="P1230" s="255"/>
      <c r="Q1230" s="255"/>
      <c r="R1230" s="256"/>
      <c r="S1230" s="256"/>
      <c r="T1230" s="255"/>
      <c r="U1230" s="259"/>
    </row>
    <row r="1231">
      <c r="A1231" s="255"/>
      <c r="B1231" s="255"/>
      <c r="C1231" s="256"/>
      <c r="D1231" s="255"/>
      <c r="E1231" s="255"/>
      <c r="F1231" s="255"/>
      <c r="G1231" s="256"/>
      <c r="H1231" s="255"/>
      <c r="I1231" s="255"/>
      <c r="J1231" s="255"/>
      <c r="K1231" s="256"/>
      <c r="L1231" s="255"/>
      <c r="M1231" s="255"/>
      <c r="N1231" s="255"/>
      <c r="O1231" s="256"/>
      <c r="P1231" s="255"/>
      <c r="Q1231" s="255"/>
      <c r="R1231" s="256"/>
      <c r="S1231" s="256"/>
      <c r="T1231" s="255"/>
      <c r="U1231" s="259"/>
    </row>
    <row r="1232">
      <c r="A1232" s="255"/>
      <c r="B1232" s="255"/>
      <c r="C1232" s="256"/>
      <c r="D1232" s="255"/>
      <c r="E1232" s="255"/>
      <c r="F1232" s="255"/>
      <c r="G1232" s="256"/>
      <c r="H1232" s="255"/>
      <c r="I1232" s="255"/>
      <c r="J1232" s="255"/>
      <c r="K1232" s="256"/>
      <c r="L1232" s="255"/>
      <c r="M1232" s="255"/>
      <c r="N1232" s="255"/>
      <c r="O1232" s="256"/>
      <c r="P1232" s="255"/>
      <c r="Q1232" s="255"/>
      <c r="R1232" s="256"/>
      <c r="S1232" s="256"/>
      <c r="T1232" s="255"/>
      <c r="U1232" s="259"/>
    </row>
    <row r="1233">
      <c r="A1233" s="255"/>
      <c r="B1233" s="255"/>
      <c r="C1233" s="256"/>
      <c r="D1233" s="255"/>
      <c r="E1233" s="255"/>
      <c r="F1233" s="255"/>
      <c r="G1233" s="256"/>
      <c r="H1233" s="255"/>
      <c r="I1233" s="255"/>
      <c r="J1233" s="255"/>
      <c r="K1233" s="256"/>
      <c r="L1233" s="255"/>
      <c r="M1233" s="255"/>
      <c r="N1233" s="255"/>
      <c r="O1233" s="256"/>
      <c r="P1233" s="255"/>
      <c r="Q1233" s="255"/>
      <c r="R1233" s="256"/>
      <c r="S1233" s="256"/>
      <c r="T1233" s="255"/>
      <c r="U1233" s="259"/>
    </row>
    <row r="1234">
      <c r="A1234" s="255"/>
      <c r="B1234" s="255"/>
      <c r="C1234" s="256"/>
      <c r="D1234" s="255"/>
      <c r="E1234" s="255"/>
      <c r="F1234" s="255"/>
      <c r="G1234" s="256"/>
      <c r="H1234" s="255"/>
      <c r="I1234" s="255"/>
      <c r="J1234" s="255"/>
      <c r="K1234" s="256"/>
      <c r="L1234" s="255"/>
      <c r="M1234" s="255"/>
      <c r="N1234" s="255"/>
      <c r="O1234" s="256"/>
      <c r="P1234" s="255"/>
      <c r="Q1234" s="255"/>
      <c r="R1234" s="256"/>
      <c r="S1234" s="256"/>
      <c r="T1234" s="255"/>
      <c r="U1234" s="259"/>
    </row>
    <row r="1235">
      <c r="A1235" s="255"/>
      <c r="B1235" s="255"/>
      <c r="C1235" s="256"/>
      <c r="D1235" s="255"/>
      <c r="E1235" s="255"/>
      <c r="F1235" s="255"/>
      <c r="G1235" s="256"/>
      <c r="H1235" s="255"/>
      <c r="I1235" s="255"/>
      <c r="J1235" s="255"/>
      <c r="K1235" s="256"/>
      <c r="L1235" s="255"/>
      <c r="M1235" s="255"/>
      <c r="N1235" s="255"/>
      <c r="O1235" s="256"/>
      <c r="P1235" s="255"/>
      <c r="Q1235" s="255"/>
      <c r="R1235" s="256"/>
      <c r="S1235" s="256"/>
      <c r="T1235" s="255"/>
      <c r="U1235" s="259"/>
    </row>
    <row r="1236">
      <c r="A1236" s="255"/>
      <c r="B1236" s="255"/>
      <c r="C1236" s="256"/>
      <c r="D1236" s="255"/>
      <c r="E1236" s="255"/>
      <c r="F1236" s="255"/>
      <c r="G1236" s="256"/>
      <c r="H1236" s="255"/>
      <c r="I1236" s="255"/>
      <c r="J1236" s="255"/>
      <c r="K1236" s="256"/>
      <c r="L1236" s="255"/>
      <c r="M1236" s="255"/>
      <c r="N1236" s="255"/>
      <c r="O1236" s="256"/>
      <c r="P1236" s="255"/>
      <c r="Q1236" s="255"/>
      <c r="R1236" s="256"/>
      <c r="S1236" s="256"/>
      <c r="T1236" s="255"/>
      <c r="U1236" s="259"/>
    </row>
    <row r="1237">
      <c r="A1237" s="255"/>
      <c r="B1237" s="255"/>
      <c r="C1237" s="256"/>
      <c r="D1237" s="255"/>
      <c r="E1237" s="255"/>
      <c r="F1237" s="255"/>
      <c r="G1237" s="256"/>
      <c r="H1237" s="255"/>
      <c r="I1237" s="255"/>
      <c r="J1237" s="255"/>
      <c r="K1237" s="256"/>
      <c r="L1237" s="255"/>
      <c r="M1237" s="255"/>
      <c r="N1237" s="255"/>
      <c r="O1237" s="256"/>
      <c r="P1237" s="255"/>
      <c r="Q1237" s="255"/>
      <c r="R1237" s="256"/>
      <c r="S1237" s="256"/>
      <c r="T1237" s="255"/>
      <c r="U1237" s="259"/>
    </row>
    <row r="1238">
      <c r="A1238" s="255"/>
      <c r="B1238" s="255"/>
      <c r="C1238" s="256"/>
      <c r="D1238" s="255"/>
      <c r="E1238" s="255"/>
      <c r="F1238" s="255"/>
      <c r="G1238" s="256"/>
      <c r="H1238" s="255"/>
      <c r="I1238" s="255"/>
      <c r="J1238" s="255"/>
      <c r="K1238" s="256"/>
      <c r="L1238" s="255"/>
      <c r="M1238" s="255"/>
      <c r="N1238" s="255"/>
      <c r="O1238" s="256"/>
      <c r="P1238" s="255"/>
      <c r="Q1238" s="255"/>
      <c r="R1238" s="256"/>
      <c r="S1238" s="256"/>
      <c r="T1238" s="255"/>
      <c r="U1238" s="259"/>
    </row>
    <row r="1239">
      <c r="A1239" s="255"/>
      <c r="B1239" s="255"/>
      <c r="C1239" s="256"/>
      <c r="D1239" s="255"/>
      <c r="E1239" s="255"/>
      <c r="F1239" s="255"/>
      <c r="G1239" s="256"/>
      <c r="H1239" s="255"/>
      <c r="I1239" s="255"/>
      <c r="J1239" s="255"/>
      <c r="K1239" s="256"/>
      <c r="L1239" s="255"/>
      <c r="M1239" s="255"/>
      <c r="N1239" s="255"/>
      <c r="O1239" s="256"/>
      <c r="P1239" s="255"/>
      <c r="Q1239" s="255"/>
      <c r="R1239" s="256"/>
      <c r="S1239" s="256"/>
      <c r="T1239" s="255"/>
      <c r="U1239" s="259"/>
    </row>
    <row r="1240">
      <c r="A1240" s="255"/>
      <c r="B1240" s="255"/>
      <c r="C1240" s="256"/>
      <c r="D1240" s="255"/>
      <c r="E1240" s="255"/>
      <c r="F1240" s="255"/>
      <c r="G1240" s="256"/>
      <c r="H1240" s="255"/>
      <c r="I1240" s="255"/>
      <c r="J1240" s="255"/>
      <c r="K1240" s="256"/>
      <c r="L1240" s="255"/>
      <c r="M1240" s="255"/>
      <c r="N1240" s="255"/>
      <c r="O1240" s="256"/>
      <c r="P1240" s="255"/>
      <c r="Q1240" s="255"/>
      <c r="R1240" s="256"/>
      <c r="S1240" s="256"/>
      <c r="T1240" s="255"/>
      <c r="U1240" s="259"/>
    </row>
    <row r="1241">
      <c r="A1241" s="255"/>
      <c r="B1241" s="255"/>
      <c r="C1241" s="256"/>
      <c r="D1241" s="255"/>
      <c r="E1241" s="255"/>
      <c r="F1241" s="255"/>
      <c r="G1241" s="256"/>
      <c r="H1241" s="255"/>
      <c r="I1241" s="255"/>
      <c r="J1241" s="255"/>
      <c r="K1241" s="256"/>
      <c r="L1241" s="255"/>
      <c r="M1241" s="255"/>
      <c r="N1241" s="255"/>
      <c r="O1241" s="256"/>
      <c r="P1241" s="255"/>
      <c r="Q1241" s="255"/>
      <c r="R1241" s="256"/>
      <c r="S1241" s="256"/>
      <c r="T1241" s="255"/>
      <c r="U1241" s="259"/>
    </row>
    <row r="1242">
      <c r="A1242" s="255"/>
      <c r="B1242" s="255"/>
      <c r="C1242" s="256"/>
      <c r="D1242" s="255"/>
      <c r="E1242" s="255"/>
      <c r="F1242" s="255"/>
      <c r="G1242" s="256"/>
      <c r="H1242" s="255"/>
      <c r="I1242" s="255"/>
      <c r="J1242" s="255"/>
      <c r="K1242" s="256"/>
      <c r="L1242" s="255"/>
      <c r="M1242" s="255"/>
      <c r="N1242" s="255"/>
      <c r="O1242" s="256"/>
      <c r="P1242" s="255"/>
      <c r="Q1242" s="255"/>
      <c r="R1242" s="256"/>
      <c r="S1242" s="256"/>
      <c r="T1242" s="255"/>
      <c r="U1242" s="259"/>
    </row>
    <row r="1243">
      <c r="A1243" s="255"/>
      <c r="B1243" s="255"/>
      <c r="C1243" s="256"/>
      <c r="D1243" s="255"/>
      <c r="E1243" s="255"/>
      <c r="F1243" s="255"/>
      <c r="G1243" s="256"/>
      <c r="H1243" s="255"/>
      <c r="I1243" s="255"/>
      <c r="J1243" s="255"/>
      <c r="K1243" s="256"/>
      <c r="L1243" s="255"/>
      <c r="M1243" s="255"/>
      <c r="N1243" s="255"/>
      <c r="O1243" s="256"/>
      <c r="P1243" s="255"/>
      <c r="Q1243" s="255"/>
      <c r="R1243" s="256"/>
      <c r="S1243" s="256"/>
      <c r="T1243" s="255"/>
      <c r="U1243" s="259"/>
    </row>
    <row r="1244">
      <c r="A1244" s="255"/>
      <c r="B1244" s="255"/>
      <c r="C1244" s="256"/>
      <c r="D1244" s="255"/>
      <c r="E1244" s="255"/>
      <c r="F1244" s="255"/>
      <c r="G1244" s="256"/>
      <c r="H1244" s="255"/>
      <c r="I1244" s="255"/>
      <c r="J1244" s="255"/>
      <c r="K1244" s="256"/>
      <c r="L1244" s="255"/>
      <c r="M1244" s="255"/>
      <c r="N1244" s="255"/>
      <c r="O1244" s="256"/>
      <c r="P1244" s="255"/>
      <c r="Q1244" s="255"/>
      <c r="R1244" s="256"/>
      <c r="S1244" s="256"/>
      <c r="T1244" s="255"/>
      <c r="U1244" s="259"/>
    </row>
    <row r="1245">
      <c r="A1245" s="255"/>
      <c r="B1245" s="255"/>
      <c r="C1245" s="256"/>
      <c r="D1245" s="255"/>
      <c r="E1245" s="255"/>
      <c r="F1245" s="255"/>
      <c r="G1245" s="256"/>
      <c r="H1245" s="255"/>
      <c r="I1245" s="255"/>
      <c r="J1245" s="255"/>
      <c r="K1245" s="256"/>
      <c r="L1245" s="255"/>
      <c r="M1245" s="255"/>
      <c r="N1245" s="255"/>
      <c r="O1245" s="256"/>
      <c r="P1245" s="255"/>
      <c r="Q1245" s="255"/>
      <c r="R1245" s="256"/>
      <c r="S1245" s="256"/>
      <c r="T1245" s="255"/>
      <c r="U1245" s="259"/>
    </row>
    <row r="1246">
      <c r="A1246" s="255"/>
      <c r="B1246" s="255"/>
      <c r="C1246" s="256"/>
      <c r="D1246" s="255"/>
      <c r="E1246" s="255"/>
      <c r="F1246" s="255"/>
      <c r="G1246" s="256"/>
      <c r="H1246" s="255"/>
      <c r="I1246" s="255"/>
      <c r="J1246" s="255"/>
      <c r="K1246" s="256"/>
      <c r="L1246" s="255"/>
      <c r="M1246" s="255"/>
      <c r="N1246" s="255"/>
      <c r="O1246" s="256"/>
      <c r="P1246" s="255"/>
      <c r="Q1246" s="255"/>
      <c r="R1246" s="256"/>
      <c r="S1246" s="256"/>
      <c r="T1246" s="255"/>
      <c r="U1246" s="259"/>
    </row>
    <row r="1247">
      <c r="A1247" s="255"/>
      <c r="B1247" s="255"/>
      <c r="C1247" s="256"/>
      <c r="D1247" s="255"/>
      <c r="E1247" s="255"/>
      <c r="F1247" s="255"/>
      <c r="G1247" s="256"/>
      <c r="H1247" s="255"/>
      <c r="I1247" s="255"/>
      <c r="J1247" s="255"/>
      <c r="K1247" s="256"/>
      <c r="L1247" s="255"/>
      <c r="M1247" s="255"/>
      <c r="N1247" s="255"/>
      <c r="O1247" s="256"/>
      <c r="P1247" s="255"/>
      <c r="Q1247" s="255"/>
      <c r="R1247" s="256"/>
      <c r="S1247" s="256"/>
      <c r="T1247" s="255"/>
      <c r="U1247" s="259"/>
    </row>
    <row r="1248">
      <c r="A1248" s="255"/>
      <c r="B1248" s="255"/>
      <c r="C1248" s="256"/>
      <c r="D1248" s="255"/>
      <c r="E1248" s="255"/>
      <c r="F1248" s="255"/>
      <c r="G1248" s="256"/>
      <c r="H1248" s="255"/>
      <c r="I1248" s="255"/>
      <c r="J1248" s="255"/>
      <c r="K1248" s="256"/>
      <c r="L1248" s="255"/>
      <c r="M1248" s="255"/>
      <c r="N1248" s="255"/>
      <c r="O1248" s="256"/>
      <c r="P1248" s="255"/>
      <c r="Q1248" s="255"/>
      <c r="R1248" s="256"/>
      <c r="S1248" s="256"/>
      <c r="T1248" s="255"/>
      <c r="U1248" s="259"/>
    </row>
    <row r="1249">
      <c r="A1249" s="255"/>
      <c r="B1249" s="255"/>
      <c r="C1249" s="256"/>
      <c r="D1249" s="255"/>
      <c r="E1249" s="255"/>
      <c r="F1249" s="255"/>
      <c r="G1249" s="256"/>
      <c r="H1249" s="255"/>
      <c r="I1249" s="255"/>
      <c r="J1249" s="255"/>
      <c r="K1249" s="256"/>
      <c r="L1249" s="255"/>
      <c r="M1249" s="255"/>
      <c r="N1249" s="255"/>
      <c r="O1249" s="256"/>
      <c r="P1249" s="255"/>
      <c r="Q1249" s="255"/>
      <c r="R1249" s="256"/>
      <c r="S1249" s="256"/>
      <c r="T1249" s="255"/>
      <c r="U1249" s="259"/>
    </row>
    <row r="1250">
      <c r="A1250" s="255"/>
      <c r="B1250" s="255"/>
      <c r="C1250" s="256"/>
      <c r="D1250" s="255"/>
      <c r="E1250" s="255"/>
      <c r="F1250" s="255"/>
      <c r="G1250" s="256"/>
      <c r="H1250" s="255"/>
      <c r="I1250" s="255"/>
      <c r="J1250" s="255"/>
      <c r="K1250" s="256"/>
      <c r="L1250" s="255"/>
      <c r="M1250" s="255"/>
      <c r="N1250" s="255"/>
      <c r="O1250" s="256"/>
      <c r="P1250" s="255"/>
      <c r="Q1250" s="255"/>
      <c r="R1250" s="256"/>
      <c r="S1250" s="256"/>
      <c r="T1250" s="255"/>
      <c r="U1250" s="259"/>
    </row>
    <row r="1251">
      <c r="A1251" s="255"/>
      <c r="B1251" s="255"/>
      <c r="C1251" s="256"/>
      <c r="D1251" s="255"/>
      <c r="E1251" s="255"/>
      <c r="F1251" s="255"/>
      <c r="G1251" s="256"/>
      <c r="H1251" s="255"/>
      <c r="I1251" s="255"/>
      <c r="J1251" s="255"/>
      <c r="K1251" s="256"/>
      <c r="L1251" s="255"/>
      <c r="M1251" s="255"/>
      <c r="N1251" s="255"/>
      <c r="O1251" s="256"/>
      <c r="P1251" s="255"/>
      <c r="Q1251" s="255"/>
      <c r="R1251" s="256"/>
      <c r="S1251" s="256"/>
      <c r="T1251" s="255"/>
      <c r="U1251" s="259"/>
    </row>
    <row r="1252">
      <c r="A1252" s="255"/>
      <c r="B1252" s="255"/>
      <c r="C1252" s="256"/>
      <c r="D1252" s="255"/>
      <c r="E1252" s="255"/>
      <c r="F1252" s="255"/>
      <c r="G1252" s="256"/>
      <c r="H1252" s="255"/>
      <c r="I1252" s="255"/>
      <c r="J1252" s="255"/>
      <c r="K1252" s="256"/>
      <c r="L1252" s="255"/>
      <c r="M1252" s="255"/>
      <c r="N1252" s="255"/>
      <c r="O1252" s="256"/>
      <c r="P1252" s="255"/>
      <c r="Q1252" s="255"/>
      <c r="R1252" s="256"/>
      <c r="S1252" s="256"/>
      <c r="T1252" s="255"/>
      <c r="U1252" s="259"/>
    </row>
    <row r="1253">
      <c r="A1253" s="255"/>
      <c r="B1253" s="255"/>
      <c r="C1253" s="256"/>
      <c r="D1253" s="255"/>
      <c r="E1253" s="255"/>
      <c r="F1253" s="255"/>
      <c r="G1253" s="256"/>
      <c r="H1253" s="255"/>
      <c r="I1253" s="255"/>
      <c r="J1253" s="255"/>
      <c r="K1253" s="256"/>
      <c r="L1253" s="255"/>
      <c r="M1253" s="255"/>
      <c r="N1253" s="255"/>
      <c r="O1253" s="256"/>
      <c r="P1253" s="255"/>
      <c r="Q1253" s="255"/>
      <c r="R1253" s="256"/>
      <c r="S1253" s="256"/>
      <c r="T1253" s="255"/>
      <c r="U1253" s="259"/>
    </row>
    <row r="1254">
      <c r="A1254" s="255"/>
      <c r="B1254" s="255"/>
      <c r="C1254" s="256"/>
      <c r="D1254" s="255"/>
      <c r="E1254" s="255"/>
      <c r="F1254" s="255"/>
      <c r="G1254" s="256"/>
      <c r="H1254" s="255"/>
      <c r="I1254" s="255"/>
      <c r="J1254" s="255"/>
      <c r="K1254" s="256"/>
      <c r="L1254" s="255"/>
      <c r="M1254" s="255"/>
      <c r="N1254" s="255"/>
      <c r="O1254" s="256"/>
      <c r="P1254" s="255"/>
      <c r="Q1254" s="255"/>
      <c r="R1254" s="256"/>
      <c r="S1254" s="256"/>
      <c r="T1254" s="255"/>
      <c r="U1254" s="259"/>
    </row>
    <row r="1255">
      <c r="A1255" s="255"/>
      <c r="B1255" s="255"/>
      <c r="C1255" s="256"/>
      <c r="D1255" s="255"/>
      <c r="E1255" s="255"/>
      <c r="F1255" s="255"/>
      <c r="G1255" s="256"/>
      <c r="H1255" s="255"/>
      <c r="I1255" s="255"/>
      <c r="J1255" s="255"/>
      <c r="K1255" s="256"/>
      <c r="L1255" s="255"/>
      <c r="M1255" s="255"/>
      <c r="N1255" s="255"/>
      <c r="O1255" s="256"/>
      <c r="P1255" s="255"/>
      <c r="Q1255" s="255"/>
      <c r="R1255" s="256"/>
      <c r="S1255" s="256"/>
      <c r="T1255" s="255"/>
      <c r="U1255" s="259"/>
    </row>
    <row r="1256">
      <c r="A1256" s="255"/>
      <c r="B1256" s="255"/>
      <c r="C1256" s="256"/>
      <c r="D1256" s="255"/>
      <c r="E1256" s="255"/>
      <c r="F1256" s="255"/>
      <c r="G1256" s="256"/>
      <c r="H1256" s="255"/>
      <c r="I1256" s="255"/>
      <c r="J1256" s="255"/>
      <c r="K1256" s="256"/>
      <c r="L1256" s="255"/>
      <c r="M1256" s="255"/>
      <c r="N1256" s="255"/>
      <c r="O1256" s="256"/>
      <c r="P1256" s="255"/>
      <c r="Q1256" s="255"/>
      <c r="R1256" s="256"/>
      <c r="S1256" s="256"/>
      <c r="T1256" s="255"/>
      <c r="U1256" s="259"/>
    </row>
    <row r="1257">
      <c r="A1257" s="255"/>
      <c r="B1257" s="255"/>
      <c r="C1257" s="256"/>
      <c r="D1257" s="255"/>
      <c r="E1257" s="255"/>
      <c r="F1257" s="255"/>
      <c r="G1257" s="256"/>
      <c r="H1257" s="255"/>
      <c r="I1257" s="255"/>
      <c r="J1257" s="255"/>
      <c r="K1257" s="256"/>
      <c r="L1257" s="255"/>
      <c r="M1257" s="255"/>
      <c r="N1257" s="255"/>
      <c r="O1257" s="256"/>
      <c r="P1257" s="255"/>
      <c r="Q1257" s="255"/>
      <c r="R1257" s="256"/>
      <c r="S1257" s="256"/>
      <c r="T1257" s="255"/>
      <c r="U1257" s="259"/>
    </row>
    <row r="1258">
      <c r="A1258" s="255"/>
      <c r="B1258" s="255"/>
      <c r="C1258" s="256"/>
      <c r="D1258" s="255"/>
      <c r="E1258" s="255"/>
      <c r="F1258" s="255"/>
      <c r="G1258" s="256"/>
      <c r="H1258" s="255"/>
      <c r="I1258" s="255"/>
      <c r="J1258" s="255"/>
      <c r="K1258" s="256"/>
      <c r="L1258" s="255"/>
      <c r="M1258" s="255"/>
      <c r="N1258" s="255"/>
      <c r="O1258" s="256"/>
      <c r="P1258" s="255"/>
      <c r="Q1258" s="255"/>
      <c r="R1258" s="256"/>
      <c r="S1258" s="256"/>
      <c r="T1258" s="255"/>
      <c r="U1258" s="259"/>
    </row>
    <row r="1259">
      <c r="A1259" s="255"/>
      <c r="B1259" s="255"/>
      <c r="C1259" s="256"/>
      <c r="D1259" s="255"/>
      <c r="E1259" s="255"/>
      <c r="F1259" s="255"/>
      <c r="G1259" s="256"/>
      <c r="H1259" s="255"/>
      <c r="I1259" s="255"/>
      <c r="J1259" s="255"/>
      <c r="K1259" s="256"/>
      <c r="L1259" s="255"/>
      <c r="M1259" s="255"/>
      <c r="N1259" s="255"/>
      <c r="O1259" s="256"/>
      <c r="P1259" s="255"/>
      <c r="Q1259" s="255"/>
      <c r="R1259" s="256"/>
      <c r="S1259" s="256"/>
      <c r="T1259" s="255"/>
      <c r="U1259" s="259"/>
    </row>
    <row r="1260">
      <c r="A1260" s="255"/>
      <c r="B1260" s="255"/>
      <c r="C1260" s="256"/>
      <c r="D1260" s="255"/>
      <c r="E1260" s="255"/>
      <c r="F1260" s="255"/>
      <c r="G1260" s="256"/>
      <c r="H1260" s="255"/>
      <c r="I1260" s="255"/>
      <c r="J1260" s="255"/>
      <c r="K1260" s="256"/>
      <c r="L1260" s="255"/>
      <c r="M1260" s="255"/>
      <c r="N1260" s="255"/>
      <c r="O1260" s="256"/>
      <c r="P1260" s="255"/>
      <c r="Q1260" s="255"/>
      <c r="R1260" s="256"/>
      <c r="S1260" s="256"/>
      <c r="T1260" s="255"/>
      <c r="U1260" s="259"/>
    </row>
    <row r="1261">
      <c r="A1261" s="255"/>
      <c r="B1261" s="255"/>
      <c r="C1261" s="256"/>
      <c r="D1261" s="255"/>
      <c r="E1261" s="255"/>
      <c r="F1261" s="255"/>
      <c r="G1261" s="256"/>
      <c r="H1261" s="255"/>
      <c r="I1261" s="255"/>
      <c r="J1261" s="255"/>
      <c r="K1261" s="256"/>
      <c r="L1261" s="255"/>
      <c r="M1261" s="255"/>
      <c r="N1261" s="255"/>
      <c r="O1261" s="256"/>
      <c r="P1261" s="255"/>
      <c r="Q1261" s="255"/>
      <c r="R1261" s="256"/>
      <c r="S1261" s="256"/>
      <c r="T1261" s="255"/>
      <c r="U1261" s="259"/>
    </row>
    <row r="1262">
      <c r="A1262" s="255"/>
      <c r="B1262" s="255"/>
      <c r="C1262" s="256"/>
      <c r="D1262" s="255"/>
      <c r="E1262" s="255"/>
      <c r="F1262" s="255"/>
      <c r="G1262" s="256"/>
      <c r="H1262" s="255"/>
      <c r="I1262" s="255"/>
      <c r="J1262" s="255"/>
      <c r="K1262" s="256"/>
      <c r="L1262" s="255"/>
      <c r="M1262" s="255"/>
      <c r="N1262" s="255"/>
      <c r="O1262" s="256"/>
      <c r="P1262" s="255"/>
      <c r="Q1262" s="255"/>
      <c r="R1262" s="256"/>
      <c r="S1262" s="256"/>
      <c r="T1262" s="255"/>
      <c r="U1262" s="259"/>
    </row>
    <row r="1263">
      <c r="A1263" s="255"/>
      <c r="B1263" s="255"/>
      <c r="C1263" s="256"/>
      <c r="D1263" s="255"/>
      <c r="E1263" s="255"/>
      <c r="F1263" s="255"/>
      <c r="G1263" s="256"/>
      <c r="H1263" s="255"/>
      <c r="I1263" s="255"/>
      <c r="J1263" s="255"/>
      <c r="K1263" s="256"/>
      <c r="L1263" s="255"/>
      <c r="M1263" s="255"/>
      <c r="N1263" s="255"/>
      <c r="O1263" s="256"/>
      <c r="P1263" s="255"/>
      <c r="Q1263" s="255"/>
      <c r="R1263" s="256"/>
      <c r="S1263" s="256"/>
      <c r="T1263" s="255"/>
      <c r="U1263" s="259"/>
    </row>
  </sheetData>
  <mergeCells count="5">
    <mergeCell ref="A2:D2"/>
    <mergeCell ref="E2:H2"/>
    <mergeCell ref="I2:L2"/>
    <mergeCell ref="M2:P2"/>
    <mergeCell ref="Q2:T2"/>
  </mergeCells>
  <hyperlinks>
    <hyperlink r:id="rId1" ref="A1"/>
  </hyperlinks>
  <drawing r:id="rId2"/>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21.88"/>
    <col customWidth="1" min="2" max="2" width="33.75"/>
    <col customWidth="1" min="3" max="3" width="13.63"/>
  </cols>
  <sheetData>
    <row r="1">
      <c r="A1" s="260" t="s">
        <v>2545</v>
      </c>
      <c r="B1" s="3" t="s">
        <v>2546</v>
      </c>
      <c r="C1" s="3" t="s">
        <v>2547</v>
      </c>
    </row>
    <row r="2">
      <c r="A2" s="261" t="str">
        <f t="array" ref="A2:A6">sort(UNIQUE('MIS Archived Data'!I2:I977))</f>
        <v>EMP0021 Tamanna Dewangan</v>
      </c>
      <c r="B2" s="262" t="str">
        <f>IFERROR(__xludf.DUMMYFUNCTION("ifna(ARRAYFORMULA(IF($A$2:$A977="""", """", VLOOKUP($A$2:$A977, IMPORTRANGE(""1gWuR_2rYfxtfd_JgrBeWttfLXykCrruz2uLp9JjisnY"", ""Master_Data!c2:j""), 8, FALSE))))"),"#REF!")</f>
        <v>#REF!</v>
      </c>
      <c r="C2" s="263" t="str">
        <f>IFERROR(__xludf.DUMMYFUNCTION("ifna(ARRAYFORMULA(IF($A$2:$A977="""", """", VLOOKUP($A$2:$A977, IMPORTRANGE(""1gWuR_2rYfxtfd_JgrBeWttfLXykCrruz2uLp9JjisnY"", ""Master_Data!c2:j""), 7, FALSE))))"),"#REF!")</f>
        <v>#REF!</v>
      </c>
      <c r="E2" s="3"/>
      <c r="F2" s="3"/>
    </row>
    <row r="3">
      <c r="A3" s="261" t="s">
        <v>15</v>
      </c>
      <c r="B3" s="264" t="str">
        <f>IFERROR(__xludf.DUMMYFUNCTION("""COMPUTED_VALUE"""),"#REF!")</f>
        <v>#REF!</v>
      </c>
      <c r="C3" s="76" t="str">
        <f>IFERROR(__xludf.DUMMYFUNCTION("""COMPUTED_VALUE"""),"#REF!")</f>
        <v>#REF!</v>
      </c>
      <c r="D3" s="3"/>
      <c r="E3" s="3"/>
      <c r="F3" s="3"/>
    </row>
    <row r="4">
      <c r="A4" s="265" t="s">
        <v>48</v>
      </c>
      <c r="B4" s="76" t="str">
        <f>IFERROR(__xludf.DUMMYFUNCTION("""COMPUTED_VALUE"""),"#REF!")</f>
        <v>#REF!</v>
      </c>
      <c r="C4" s="76" t="str">
        <f>IFERROR(__xludf.DUMMYFUNCTION("""COMPUTED_VALUE"""),"#REF!")</f>
        <v>#REF!</v>
      </c>
      <c r="D4" s="3"/>
      <c r="E4" s="3"/>
      <c r="F4" s="3"/>
    </row>
    <row r="5">
      <c r="A5" s="265" t="s">
        <v>72</v>
      </c>
      <c r="B5" s="76" t="str">
        <f>IFERROR(__xludf.DUMMYFUNCTION("""COMPUTED_VALUE"""),"#REF!")</f>
        <v>#REF!</v>
      </c>
      <c r="C5" s="76" t="str">
        <f>IFERROR(__xludf.DUMMYFUNCTION("""COMPUTED_VALUE"""),"#REF!")</f>
        <v>#REF!</v>
      </c>
      <c r="D5" s="3"/>
      <c r="E5" s="3"/>
      <c r="F5" s="3"/>
    </row>
    <row r="6">
      <c r="A6" s="265"/>
      <c r="B6" s="3" t="str">
        <f>IFERROR(__xludf.DUMMYFUNCTION("""COMPUTED_VALUE"""),"")</f>
        <v/>
      </c>
      <c r="C6" s="76" t="str">
        <f>IFERROR(__xludf.DUMMYFUNCTION("""COMPUTED_VALUE"""),"")</f>
        <v/>
      </c>
    </row>
    <row r="7">
      <c r="A7" s="3"/>
      <c r="B7" s="3" t="str">
        <f>IFERROR(__xludf.DUMMYFUNCTION("""COMPUTED_VALUE"""),"")</f>
        <v/>
      </c>
      <c r="C7" s="76" t="str">
        <f>IFERROR(__xludf.DUMMYFUNCTION("""COMPUTED_VALUE"""),"")</f>
        <v/>
      </c>
    </row>
    <row r="8">
      <c r="B8" s="3" t="str">
        <f>IFERROR(__xludf.DUMMYFUNCTION("""COMPUTED_VALUE"""),"")</f>
        <v/>
      </c>
      <c r="C8" s="76" t="str">
        <f>IFERROR(__xludf.DUMMYFUNCTION("""COMPUTED_VALUE"""),"")</f>
        <v/>
      </c>
    </row>
    <row r="9">
      <c r="B9" s="3" t="str">
        <f>IFERROR(__xludf.DUMMYFUNCTION("""COMPUTED_VALUE"""),"")</f>
        <v/>
      </c>
      <c r="C9" s="76" t="str">
        <f>IFERROR(__xludf.DUMMYFUNCTION("""COMPUTED_VALUE"""),"")</f>
        <v/>
      </c>
    </row>
    <row r="10">
      <c r="A10" s="3"/>
      <c r="B10" s="3" t="str">
        <f>IFERROR(__xludf.DUMMYFUNCTION("""COMPUTED_VALUE"""),"")</f>
        <v/>
      </c>
      <c r="C10" s="76" t="str">
        <f>IFERROR(__xludf.DUMMYFUNCTION("""COMPUTED_VALUE"""),"")</f>
        <v/>
      </c>
    </row>
    <row r="11">
      <c r="B11" s="76" t="str">
        <f>IFERROR(__xludf.DUMMYFUNCTION("""COMPUTED_VALUE"""),"")</f>
        <v/>
      </c>
      <c r="C11" s="76" t="str">
        <f>IFERROR(__xludf.DUMMYFUNCTION("""COMPUTED_VALUE"""),"")</f>
        <v/>
      </c>
    </row>
    <row r="12">
      <c r="B12" s="76" t="str">
        <f>IFERROR(__xludf.DUMMYFUNCTION("""COMPUTED_VALUE"""),"")</f>
        <v/>
      </c>
      <c r="C12" s="76" t="str">
        <f>IFERROR(__xludf.DUMMYFUNCTION("""COMPUTED_VALUE"""),"")</f>
        <v/>
      </c>
    </row>
    <row r="13">
      <c r="B13" s="76" t="str">
        <f>IFERROR(__xludf.DUMMYFUNCTION("""COMPUTED_VALUE"""),"")</f>
        <v/>
      </c>
      <c r="C13" s="76" t="str">
        <f>IFERROR(__xludf.DUMMYFUNCTION("""COMPUTED_VALUE"""),"")</f>
        <v/>
      </c>
    </row>
    <row r="14">
      <c r="B14" s="76" t="str">
        <f>IFERROR(__xludf.DUMMYFUNCTION("""COMPUTED_VALUE"""),"")</f>
        <v/>
      </c>
      <c r="C14" s="76" t="str">
        <f>IFERROR(__xludf.DUMMYFUNCTION("""COMPUTED_VALUE"""),"")</f>
        <v/>
      </c>
    </row>
    <row r="15">
      <c r="B15" s="76" t="str">
        <f>IFERROR(__xludf.DUMMYFUNCTION("""COMPUTED_VALUE"""),"")</f>
        <v/>
      </c>
      <c r="C15" s="76" t="str">
        <f>IFERROR(__xludf.DUMMYFUNCTION("""COMPUTED_VALUE"""),"")</f>
        <v/>
      </c>
    </row>
    <row r="16">
      <c r="B16" s="76" t="str">
        <f>IFERROR(__xludf.DUMMYFUNCTION("""COMPUTED_VALUE"""),"")</f>
        <v/>
      </c>
      <c r="C16" s="76" t="str">
        <f>IFERROR(__xludf.DUMMYFUNCTION("""COMPUTED_VALUE"""),"")</f>
        <v/>
      </c>
    </row>
    <row r="17">
      <c r="B17" s="76" t="str">
        <f>IFERROR(__xludf.DUMMYFUNCTION("""COMPUTED_VALUE"""),"")</f>
        <v/>
      </c>
      <c r="C17" s="76" t="str">
        <f>IFERROR(__xludf.DUMMYFUNCTION("""COMPUTED_VALUE"""),"")</f>
        <v/>
      </c>
    </row>
    <row r="18">
      <c r="B18" s="76" t="str">
        <f>IFERROR(__xludf.DUMMYFUNCTION("""COMPUTED_VALUE"""),"")</f>
        <v/>
      </c>
      <c r="C18" s="76" t="str">
        <f>IFERROR(__xludf.DUMMYFUNCTION("""COMPUTED_VALUE"""),"")</f>
        <v/>
      </c>
    </row>
    <row r="19">
      <c r="B19" s="76" t="str">
        <f>IFERROR(__xludf.DUMMYFUNCTION("""COMPUTED_VALUE"""),"")</f>
        <v/>
      </c>
      <c r="C19" s="76" t="str">
        <f>IFERROR(__xludf.DUMMYFUNCTION("""COMPUTED_VALUE"""),"")</f>
        <v/>
      </c>
    </row>
    <row r="20">
      <c r="B20" s="76" t="str">
        <f>IFERROR(__xludf.DUMMYFUNCTION("""COMPUTED_VALUE"""),"")</f>
        <v/>
      </c>
      <c r="C20" s="76" t="str">
        <f>IFERROR(__xludf.DUMMYFUNCTION("""COMPUTED_VALUE"""),"")</f>
        <v/>
      </c>
    </row>
    <row r="21">
      <c r="B21" s="76" t="str">
        <f>IFERROR(__xludf.DUMMYFUNCTION("""COMPUTED_VALUE"""),"")</f>
        <v/>
      </c>
      <c r="C21" s="76" t="str">
        <f>IFERROR(__xludf.DUMMYFUNCTION("""COMPUTED_VALUE"""),"")</f>
        <v/>
      </c>
    </row>
    <row r="22">
      <c r="B22" s="76" t="str">
        <f>IFERROR(__xludf.DUMMYFUNCTION("""COMPUTED_VALUE"""),"")</f>
        <v/>
      </c>
      <c r="C22" s="76" t="str">
        <f>IFERROR(__xludf.DUMMYFUNCTION("""COMPUTED_VALUE"""),"")</f>
        <v/>
      </c>
    </row>
    <row r="23">
      <c r="B23" s="76" t="str">
        <f>IFERROR(__xludf.DUMMYFUNCTION("""COMPUTED_VALUE"""),"")</f>
        <v/>
      </c>
      <c r="C23" s="76" t="str">
        <f>IFERROR(__xludf.DUMMYFUNCTION("""COMPUTED_VALUE"""),"")</f>
        <v/>
      </c>
    </row>
    <row r="24">
      <c r="B24" s="76" t="str">
        <f>IFERROR(__xludf.DUMMYFUNCTION("""COMPUTED_VALUE"""),"")</f>
        <v/>
      </c>
      <c r="C24" s="76" t="str">
        <f>IFERROR(__xludf.DUMMYFUNCTION("""COMPUTED_VALUE"""),"")</f>
        <v/>
      </c>
    </row>
    <row r="25">
      <c r="B25" s="76" t="str">
        <f>IFERROR(__xludf.DUMMYFUNCTION("""COMPUTED_VALUE"""),"")</f>
        <v/>
      </c>
      <c r="C25" s="76" t="str">
        <f>IFERROR(__xludf.DUMMYFUNCTION("""COMPUTED_VALUE"""),"")</f>
        <v/>
      </c>
    </row>
    <row r="26">
      <c r="B26" s="76" t="str">
        <f>IFERROR(__xludf.DUMMYFUNCTION("""COMPUTED_VALUE"""),"")</f>
        <v/>
      </c>
      <c r="C26" s="76" t="str">
        <f>IFERROR(__xludf.DUMMYFUNCTION("""COMPUTED_VALUE"""),"")</f>
        <v/>
      </c>
    </row>
    <row r="27">
      <c r="B27" s="76" t="str">
        <f>IFERROR(__xludf.DUMMYFUNCTION("""COMPUTED_VALUE"""),"")</f>
        <v/>
      </c>
      <c r="C27" s="76" t="str">
        <f>IFERROR(__xludf.DUMMYFUNCTION("""COMPUTED_VALUE"""),"")</f>
        <v/>
      </c>
    </row>
    <row r="28">
      <c r="B28" s="76" t="str">
        <f>IFERROR(__xludf.DUMMYFUNCTION("""COMPUTED_VALUE"""),"")</f>
        <v/>
      </c>
      <c r="C28" s="76" t="str">
        <f>IFERROR(__xludf.DUMMYFUNCTION("""COMPUTED_VALUE"""),"")</f>
        <v/>
      </c>
    </row>
    <row r="29">
      <c r="B29" s="76" t="str">
        <f>IFERROR(__xludf.DUMMYFUNCTION("""COMPUTED_VALUE"""),"")</f>
        <v/>
      </c>
      <c r="C29" s="76" t="str">
        <f>IFERROR(__xludf.DUMMYFUNCTION("""COMPUTED_VALUE"""),"")</f>
        <v/>
      </c>
    </row>
    <row r="30">
      <c r="B30" s="76" t="str">
        <f>IFERROR(__xludf.DUMMYFUNCTION("""COMPUTED_VALUE"""),"")</f>
        <v/>
      </c>
      <c r="C30" s="76" t="str">
        <f>IFERROR(__xludf.DUMMYFUNCTION("""COMPUTED_VALUE"""),"")</f>
        <v/>
      </c>
    </row>
    <row r="31">
      <c r="B31" s="76" t="str">
        <f>IFERROR(__xludf.DUMMYFUNCTION("""COMPUTED_VALUE"""),"")</f>
        <v/>
      </c>
      <c r="C31" s="76" t="str">
        <f>IFERROR(__xludf.DUMMYFUNCTION("""COMPUTED_VALUE"""),"")</f>
        <v/>
      </c>
    </row>
    <row r="32">
      <c r="B32" s="76" t="str">
        <f>IFERROR(__xludf.DUMMYFUNCTION("""COMPUTED_VALUE"""),"")</f>
        <v/>
      </c>
      <c r="C32" s="76" t="str">
        <f>IFERROR(__xludf.DUMMYFUNCTION("""COMPUTED_VALUE"""),"")</f>
        <v/>
      </c>
    </row>
    <row r="33">
      <c r="B33" s="76" t="str">
        <f>IFERROR(__xludf.DUMMYFUNCTION("""COMPUTED_VALUE"""),"")</f>
        <v/>
      </c>
      <c r="C33" s="76" t="str">
        <f>IFERROR(__xludf.DUMMYFUNCTION("""COMPUTED_VALUE"""),"")</f>
        <v/>
      </c>
    </row>
    <row r="34">
      <c r="B34" s="76" t="str">
        <f>IFERROR(__xludf.DUMMYFUNCTION("""COMPUTED_VALUE"""),"")</f>
        <v/>
      </c>
      <c r="C34" s="76" t="str">
        <f>IFERROR(__xludf.DUMMYFUNCTION("""COMPUTED_VALUE"""),"")</f>
        <v/>
      </c>
    </row>
    <row r="35">
      <c r="B35" s="76" t="str">
        <f>IFERROR(__xludf.DUMMYFUNCTION("""COMPUTED_VALUE"""),"")</f>
        <v/>
      </c>
      <c r="C35" s="76" t="str">
        <f>IFERROR(__xludf.DUMMYFUNCTION("""COMPUTED_VALUE"""),"")</f>
        <v/>
      </c>
    </row>
    <row r="36">
      <c r="B36" s="76" t="str">
        <f>IFERROR(__xludf.DUMMYFUNCTION("""COMPUTED_VALUE"""),"")</f>
        <v/>
      </c>
      <c r="C36" s="76" t="str">
        <f>IFERROR(__xludf.DUMMYFUNCTION("""COMPUTED_VALUE"""),"")</f>
        <v/>
      </c>
    </row>
    <row r="37">
      <c r="B37" s="76" t="str">
        <f>IFERROR(__xludf.DUMMYFUNCTION("""COMPUTED_VALUE"""),"")</f>
        <v/>
      </c>
      <c r="C37" s="76" t="str">
        <f>IFERROR(__xludf.DUMMYFUNCTION("""COMPUTED_VALUE"""),"")</f>
        <v/>
      </c>
    </row>
    <row r="38">
      <c r="B38" s="76" t="str">
        <f>IFERROR(__xludf.DUMMYFUNCTION("""COMPUTED_VALUE"""),"")</f>
        <v/>
      </c>
      <c r="C38" s="76" t="str">
        <f>IFERROR(__xludf.DUMMYFUNCTION("""COMPUTED_VALUE"""),"")</f>
        <v/>
      </c>
    </row>
    <row r="39">
      <c r="B39" s="76" t="str">
        <f>IFERROR(__xludf.DUMMYFUNCTION("""COMPUTED_VALUE"""),"")</f>
        <v/>
      </c>
      <c r="C39" s="76" t="str">
        <f>IFERROR(__xludf.DUMMYFUNCTION("""COMPUTED_VALUE"""),"")</f>
        <v/>
      </c>
    </row>
    <row r="40">
      <c r="B40" s="76" t="str">
        <f>IFERROR(__xludf.DUMMYFUNCTION("""COMPUTED_VALUE"""),"")</f>
        <v/>
      </c>
      <c r="C40" s="76" t="str">
        <f>IFERROR(__xludf.DUMMYFUNCTION("""COMPUTED_VALUE"""),"")</f>
        <v/>
      </c>
    </row>
    <row r="41">
      <c r="B41" s="76" t="str">
        <f>IFERROR(__xludf.DUMMYFUNCTION("""COMPUTED_VALUE"""),"")</f>
        <v/>
      </c>
      <c r="C41" s="76" t="str">
        <f>IFERROR(__xludf.DUMMYFUNCTION("""COMPUTED_VALUE"""),"")</f>
        <v/>
      </c>
    </row>
    <row r="42">
      <c r="B42" s="76" t="str">
        <f>IFERROR(__xludf.DUMMYFUNCTION("""COMPUTED_VALUE"""),"")</f>
        <v/>
      </c>
      <c r="C42" s="76" t="str">
        <f>IFERROR(__xludf.DUMMYFUNCTION("""COMPUTED_VALUE"""),"")</f>
        <v/>
      </c>
    </row>
    <row r="43">
      <c r="B43" s="76" t="str">
        <f>IFERROR(__xludf.DUMMYFUNCTION("""COMPUTED_VALUE"""),"")</f>
        <v/>
      </c>
      <c r="C43" s="76" t="str">
        <f>IFERROR(__xludf.DUMMYFUNCTION("""COMPUTED_VALUE"""),"")</f>
        <v/>
      </c>
    </row>
    <row r="44">
      <c r="B44" s="76" t="str">
        <f>IFERROR(__xludf.DUMMYFUNCTION("""COMPUTED_VALUE"""),"")</f>
        <v/>
      </c>
      <c r="C44" s="76" t="str">
        <f>IFERROR(__xludf.DUMMYFUNCTION("""COMPUTED_VALUE"""),"")</f>
        <v/>
      </c>
    </row>
    <row r="45">
      <c r="B45" s="76" t="str">
        <f>IFERROR(__xludf.DUMMYFUNCTION("""COMPUTED_VALUE"""),"")</f>
        <v/>
      </c>
      <c r="C45" s="76" t="str">
        <f>IFERROR(__xludf.DUMMYFUNCTION("""COMPUTED_VALUE"""),"")</f>
        <v/>
      </c>
    </row>
    <row r="46">
      <c r="B46" s="76" t="str">
        <f>IFERROR(__xludf.DUMMYFUNCTION("""COMPUTED_VALUE"""),"")</f>
        <v/>
      </c>
      <c r="C46" s="76" t="str">
        <f>IFERROR(__xludf.DUMMYFUNCTION("""COMPUTED_VALUE"""),"")</f>
        <v/>
      </c>
    </row>
    <row r="47">
      <c r="B47" s="76" t="str">
        <f>IFERROR(__xludf.DUMMYFUNCTION("""COMPUTED_VALUE"""),"")</f>
        <v/>
      </c>
      <c r="C47" s="76" t="str">
        <f>IFERROR(__xludf.DUMMYFUNCTION("""COMPUTED_VALUE"""),"")</f>
        <v/>
      </c>
    </row>
    <row r="48">
      <c r="B48" s="76" t="str">
        <f>IFERROR(__xludf.DUMMYFUNCTION("""COMPUTED_VALUE"""),"")</f>
        <v/>
      </c>
      <c r="C48" s="76" t="str">
        <f>IFERROR(__xludf.DUMMYFUNCTION("""COMPUTED_VALUE"""),"")</f>
        <v/>
      </c>
    </row>
    <row r="49">
      <c r="B49" s="76" t="str">
        <f>IFERROR(__xludf.DUMMYFUNCTION("""COMPUTED_VALUE"""),"")</f>
        <v/>
      </c>
      <c r="C49" s="76" t="str">
        <f>IFERROR(__xludf.DUMMYFUNCTION("""COMPUTED_VALUE"""),"")</f>
        <v/>
      </c>
    </row>
    <row r="50">
      <c r="B50" s="76" t="str">
        <f>IFERROR(__xludf.DUMMYFUNCTION("""COMPUTED_VALUE"""),"")</f>
        <v/>
      </c>
      <c r="C50" s="76" t="str">
        <f>IFERROR(__xludf.DUMMYFUNCTION("""COMPUTED_VALUE"""),"")</f>
        <v/>
      </c>
    </row>
    <row r="51">
      <c r="B51" s="76" t="str">
        <f>IFERROR(__xludf.DUMMYFUNCTION("""COMPUTED_VALUE"""),"")</f>
        <v/>
      </c>
      <c r="C51" s="76" t="str">
        <f>IFERROR(__xludf.DUMMYFUNCTION("""COMPUTED_VALUE"""),"")</f>
        <v/>
      </c>
    </row>
    <row r="52">
      <c r="B52" s="76" t="str">
        <f>IFERROR(__xludf.DUMMYFUNCTION("""COMPUTED_VALUE"""),"")</f>
        <v/>
      </c>
      <c r="C52" s="76" t="str">
        <f>IFERROR(__xludf.DUMMYFUNCTION("""COMPUTED_VALUE"""),"")</f>
        <v/>
      </c>
    </row>
    <row r="53">
      <c r="B53" s="76" t="str">
        <f>IFERROR(__xludf.DUMMYFUNCTION("""COMPUTED_VALUE"""),"")</f>
        <v/>
      </c>
      <c r="C53" s="76" t="str">
        <f>IFERROR(__xludf.DUMMYFUNCTION("""COMPUTED_VALUE"""),"")</f>
        <v/>
      </c>
    </row>
    <row r="54">
      <c r="B54" s="76" t="str">
        <f>IFERROR(__xludf.DUMMYFUNCTION("""COMPUTED_VALUE"""),"")</f>
        <v/>
      </c>
      <c r="C54" s="76" t="str">
        <f>IFERROR(__xludf.DUMMYFUNCTION("""COMPUTED_VALUE"""),"")</f>
        <v/>
      </c>
    </row>
    <row r="55">
      <c r="B55" s="76" t="str">
        <f>IFERROR(__xludf.DUMMYFUNCTION("""COMPUTED_VALUE"""),"")</f>
        <v/>
      </c>
      <c r="C55" s="76" t="str">
        <f>IFERROR(__xludf.DUMMYFUNCTION("""COMPUTED_VALUE"""),"")</f>
        <v/>
      </c>
    </row>
    <row r="56">
      <c r="B56" s="76" t="str">
        <f>IFERROR(__xludf.DUMMYFUNCTION("""COMPUTED_VALUE"""),"")</f>
        <v/>
      </c>
      <c r="C56" s="76" t="str">
        <f>IFERROR(__xludf.DUMMYFUNCTION("""COMPUTED_VALUE"""),"")</f>
        <v/>
      </c>
    </row>
    <row r="57">
      <c r="B57" s="76" t="str">
        <f>IFERROR(__xludf.DUMMYFUNCTION("""COMPUTED_VALUE"""),"")</f>
        <v/>
      </c>
      <c r="C57" s="76" t="str">
        <f>IFERROR(__xludf.DUMMYFUNCTION("""COMPUTED_VALUE"""),"")</f>
        <v/>
      </c>
    </row>
    <row r="58">
      <c r="B58" s="76" t="str">
        <f>IFERROR(__xludf.DUMMYFUNCTION("""COMPUTED_VALUE"""),"")</f>
        <v/>
      </c>
      <c r="C58" s="76" t="str">
        <f>IFERROR(__xludf.DUMMYFUNCTION("""COMPUTED_VALUE"""),"")</f>
        <v/>
      </c>
    </row>
    <row r="59">
      <c r="B59" s="76" t="str">
        <f>IFERROR(__xludf.DUMMYFUNCTION("""COMPUTED_VALUE"""),"")</f>
        <v/>
      </c>
      <c r="C59" s="76" t="str">
        <f>IFERROR(__xludf.DUMMYFUNCTION("""COMPUTED_VALUE"""),"")</f>
        <v/>
      </c>
    </row>
    <row r="60">
      <c r="B60" s="76" t="str">
        <f>IFERROR(__xludf.DUMMYFUNCTION("""COMPUTED_VALUE"""),"")</f>
        <v/>
      </c>
      <c r="C60" s="76" t="str">
        <f>IFERROR(__xludf.DUMMYFUNCTION("""COMPUTED_VALUE"""),"")</f>
        <v/>
      </c>
    </row>
    <row r="61">
      <c r="B61" s="76" t="str">
        <f>IFERROR(__xludf.DUMMYFUNCTION("""COMPUTED_VALUE"""),"")</f>
        <v/>
      </c>
      <c r="C61" s="76" t="str">
        <f>IFERROR(__xludf.DUMMYFUNCTION("""COMPUTED_VALUE"""),"")</f>
        <v/>
      </c>
    </row>
    <row r="62">
      <c r="B62" s="76" t="str">
        <f>IFERROR(__xludf.DUMMYFUNCTION("""COMPUTED_VALUE"""),"")</f>
        <v/>
      </c>
      <c r="C62" s="76" t="str">
        <f>IFERROR(__xludf.DUMMYFUNCTION("""COMPUTED_VALUE"""),"")</f>
        <v/>
      </c>
    </row>
    <row r="63">
      <c r="B63" s="76" t="str">
        <f>IFERROR(__xludf.DUMMYFUNCTION("""COMPUTED_VALUE"""),"")</f>
        <v/>
      </c>
      <c r="C63" s="76" t="str">
        <f>IFERROR(__xludf.DUMMYFUNCTION("""COMPUTED_VALUE"""),"")</f>
        <v/>
      </c>
    </row>
    <row r="64">
      <c r="B64" s="76" t="str">
        <f>IFERROR(__xludf.DUMMYFUNCTION("""COMPUTED_VALUE"""),"")</f>
        <v/>
      </c>
      <c r="C64" s="76" t="str">
        <f>IFERROR(__xludf.DUMMYFUNCTION("""COMPUTED_VALUE"""),"")</f>
        <v/>
      </c>
    </row>
    <row r="65">
      <c r="B65" s="76" t="str">
        <f>IFERROR(__xludf.DUMMYFUNCTION("""COMPUTED_VALUE"""),"")</f>
        <v/>
      </c>
      <c r="C65" s="76" t="str">
        <f>IFERROR(__xludf.DUMMYFUNCTION("""COMPUTED_VALUE"""),"")</f>
        <v/>
      </c>
    </row>
    <row r="66">
      <c r="B66" s="76" t="str">
        <f>IFERROR(__xludf.DUMMYFUNCTION("""COMPUTED_VALUE"""),"")</f>
        <v/>
      </c>
      <c r="C66" s="76" t="str">
        <f>IFERROR(__xludf.DUMMYFUNCTION("""COMPUTED_VALUE"""),"")</f>
        <v/>
      </c>
    </row>
    <row r="67">
      <c r="B67" s="76" t="str">
        <f>IFERROR(__xludf.DUMMYFUNCTION("""COMPUTED_VALUE"""),"")</f>
        <v/>
      </c>
      <c r="C67" s="76" t="str">
        <f>IFERROR(__xludf.DUMMYFUNCTION("""COMPUTED_VALUE"""),"")</f>
        <v/>
      </c>
    </row>
    <row r="68">
      <c r="B68" s="76" t="str">
        <f>IFERROR(__xludf.DUMMYFUNCTION("""COMPUTED_VALUE"""),"")</f>
        <v/>
      </c>
      <c r="C68" s="76" t="str">
        <f>IFERROR(__xludf.DUMMYFUNCTION("""COMPUTED_VALUE"""),"")</f>
        <v/>
      </c>
    </row>
    <row r="69">
      <c r="B69" s="76" t="str">
        <f>IFERROR(__xludf.DUMMYFUNCTION("""COMPUTED_VALUE"""),"")</f>
        <v/>
      </c>
      <c r="C69" s="76" t="str">
        <f>IFERROR(__xludf.DUMMYFUNCTION("""COMPUTED_VALUE"""),"")</f>
        <v/>
      </c>
    </row>
    <row r="70">
      <c r="B70" s="76" t="str">
        <f>IFERROR(__xludf.DUMMYFUNCTION("""COMPUTED_VALUE"""),"")</f>
        <v/>
      </c>
      <c r="C70" s="76" t="str">
        <f>IFERROR(__xludf.DUMMYFUNCTION("""COMPUTED_VALUE"""),"")</f>
        <v/>
      </c>
    </row>
    <row r="71">
      <c r="B71" s="76" t="str">
        <f>IFERROR(__xludf.DUMMYFUNCTION("""COMPUTED_VALUE"""),"")</f>
        <v/>
      </c>
      <c r="C71" s="76" t="str">
        <f>IFERROR(__xludf.DUMMYFUNCTION("""COMPUTED_VALUE"""),"")</f>
        <v/>
      </c>
    </row>
    <row r="72">
      <c r="B72" s="76" t="str">
        <f>IFERROR(__xludf.DUMMYFUNCTION("""COMPUTED_VALUE"""),"")</f>
        <v/>
      </c>
      <c r="C72" s="76" t="str">
        <f>IFERROR(__xludf.DUMMYFUNCTION("""COMPUTED_VALUE"""),"")</f>
        <v/>
      </c>
    </row>
    <row r="73">
      <c r="B73" s="76" t="str">
        <f>IFERROR(__xludf.DUMMYFUNCTION("""COMPUTED_VALUE"""),"")</f>
        <v/>
      </c>
      <c r="C73" s="76" t="str">
        <f>IFERROR(__xludf.DUMMYFUNCTION("""COMPUTED_VALUE"""),"")</f>
        <v/>
      </c>
    </row>
    <row r="74">
      <c r="B74" s="76" t="str">
        <f>IFERROR(__xludf.DUMMYFUNCTION("""COMPUTED_VALUE"""),"")</f>
        <v/>
      </c>
      <c r="C74" s="76" t="str">
        <f>IFERROR(__xludf.DUMMYFUNCTION("""COMPUTED_VALUE"""),"")</f>
        <v/>
      </c>
    </row>
    <row r="75">
      <c r="B75" s="76" t="str">
        <f>IFERROR(__xludf.DUMMYFUNCTION("""COMPUTED_VALUE"""),"")</f>
        <v/>
      </c>
      <c r="C75" s="76" t="str">
        <f>IFERROR(__xludf.DUMMYFUNCTION("""COMPUTED_VALUE"""),"")</f>
        <v/>
      </c>
    </row>
    <row r="76">
      <c r="B76" s="76" t="str">
        <f>IFERROR(__xludf.DUMMYFUNCTION("""COMPUTED_VALUE"""),"")</f>
        <v/>
      </c>
      <c r="C76" s="76" t="str">
        <f>IFERROR(__xludf.DUMMYFUNCTION("""COMPUTED_VALUE"""),"")</f>
        <v/>
      </c>
    </row>
    <row r="77">
      <c r="B77" s="76" t="str">
        <f>IFERROR(__xludf.DUMMYFUNCTION("""COMPUTED_VALUE"""),"")</f>
        <v/>
      </c>
      <c r="C77" s="76" t="str">
        <f>IFERROR(__xludf.DUMMYFUNCTION("""COMPUTED_VALUE"""),"")</f>
        <v/>
      </c>
    </row>
    <row r="78">
      <c r="B78" s="76" t="str">
        <f>IFERROR(__xludf.DUMMYFUNCTION("""COMPUTED_VALUE"""),"")</f>
        <v/>
      </c>
      <c r="C78" s="76" t="str">
        <f>IFERROR(__xludf.DUMMYFUNCTION("""COMPUTED_VALUE"""),"")</f>
        <v/>
      </c>
    </row>
    <row r="79">
      <c r="B79" s="76" t="str">
        <f>IFERROR(__xludf.DUMMYFUNCTION("""COMPUTED_VALUE"""),"")</f>
        <v/>
      </c>
      <c r="C79" s="76" t="str">
        <f>IFERROR(__xludf.DUMMYFUNCTION("""COMPUTED_VALUE"""),"")</f>
        <v/>
      </c>
    </row>
    <row r="80">
      <c r="B80" s="76" t="str">
        <f>IFERROR(__xludf.DUMMYFUNCTION("""COMPUTED_VALUE"""),"")</f>
        <v/>
      </c>
      <c r="C80" s="76" t="str">
        <f>IFERROR(__xludf.DUMMYFUNCTION("""COMPUTED_VALUE"""),"")</f>
        <v/>
      </c>
    </row>
    <row r="81">
      <c r="B81" s="76" t="str">
        <f>IFERROR(__xludf.DUMMYFUNCTION("""COMPUTED_VALUE"""),"")</f>
        <v/>
      </c>
      <c r="C81" s="76" t="str">
        <f>IFERROR(__xludf.DUMMYFUNCTION("""COMPUTED_VALUE"""),"")</f>
        <v/>
      </c>
    </row>
    <row r="82">
      <c r="B82" s="76" t="str">
        <f>IFERROR(__xludf.DUMMYFUNCTION("""COMPUTED_VALUE"""),"")</f>
        <v/>
      </c>
      <c r="C82" s="76" t="str">
        <f>IFERROR(__xludf.DUMMYFUNCTION("""COMPUTED_VALUE"""),"")</f>
        <v/>
      </c>
    </row>
    <row r="83">
      <c r="B83" s="76" t="str">
        <f>IFERROR(__xludf.DUMMYFUNCTION("""COMPUTED_VALUE"""),"")</f>
        <v/>
      </c>
      <c r="C83" s="76" t="str">
        <f>IFERROR(__xludf.DUMMYFUNCTION("""COMPUTED_VALUE"""),"")</f>
        <v/>
      </c>
    </row>
    <row r="84">
      <c r="B84" s="76" t="str">
        <f>IFERROR(__xludf.DUMMYFUNCTION("""COMPUTED_VALUE"""),"")</f>
        <v/>
      </c>
      <c r="C84" s="76" t="str">
        <f>IFERROR(__xludf.DUMMYFUNCTION("""COMPUTED_VALUE"""),"")</f>
        <v/>
      </c>
    </row>
    <row r="85">
      <c r="B85" s="76" t="str">
        <f>IFERROR(__xludf.DUMMYFUNCTION("""COMPUTED_VALUE"""),"")</f>
        <v/>
      </c>
      <c r="C85" s="76" t="str">
        <f>IFERROR(__xludf.DUMMYFUNCTION("""COMPUTED_VALUE"""),"")</f>
        <v/>
      </c>
    </row>
    <row r="86">
      <c r="B86" s="76" t="str">
        <f>IFERROR(__xludf.DUMMYFUNCTION("""COMPUTED_VALUE"""),"")</f>
        <v/>
      </c>
      <c r="C86" s="76" t="str">
        <f>IFERROR(__xludf.DUMMYFUNCTION("""COMPUTED_VALUE"""),"")</f>
        <v/>
      </c>
    </row>
    <row r="87">
      <c r="B87" s="76" t="str">
        <f>IFERROR(__xludf.DUMMYFUNCTION("""COMPUTED_VALUE"""),"")</f>
        <v/>
      </c>
      <c r="C87" s="76" t="str">
        <f>IFERROR(__xludf.DUMMYFUNCTION("""COMPUTED_VALUE"""),"")</f>
        <v/>
      </c>
    </row>
    <row r="88">
      <c r="B88" s="76" t="str">
        <f>IFERROR(__xludf.DUMMYFUNCTION("""COMPUTED_VALUE"""),"")</f>
        <v/>
      </c>
      <c r="C88" s="76" t="str">
        <f>IFERROR(__xludf.DUMMYFUNCTION("""COMPUTED_VALUE"""),"")</f>
        <v/>
      </c>
    </row>
    <row r="89">
      <c r="B89" s="76" t="str">
        <f>IFERROR(__xludf.DUMMYFUNCTION("""COMPUTED_VALUE"""),"")</f>
        <v/>
      </c>
      <c r="C89" s="76" t="str">
        <f>IFERROR(__xludf.DUMMYFUNCTION("""COMPUTED_VALUE"""),"")</f>
        <v/>
      </c>
    </row>
    <row r="90">
      <c r="B90" s="76" t="str">
        <f>IFERROR(__xludf.DUMMYFUNCTION("""COMPUTED_VALUE"""),"")</f>
        <v/>
      </c>
      <c r="C90" s="76" t="str">
        <f>IFERROR(__xludf.DUMMYFUNCTION("""COMPUTED_VALUE"""),"")</f>
        <v/>
      </c>
    </row>
    <row r="91">
      <c r="B91" s="76" t="str">
        <f>IFERROR(__xludf.DUMMYFUNCTION("""COMPUTED_VALUE"""),"")</f>
        <v/>
      </c>
      <c r="C91" s="76" t="str">
        <f>IFERROR(__xludf.DUMMYFUNCTION("""COMPUTED_VALUE"""),"")</f>
        <v/>
      </c>
    </row>
    <row r="92">
      <c r="B92" s="76" t="str">
        <f>IFERROR(__xludf.DUMMYFUNCTION("""COMPUTED_VALUE"""),"")</f>
        <v/>
      </c>
      <c r="C92" s="76" t="str">
        <f>IFERROR(__xludf.DUMMYFUNCTION("""COMPUTED_VALUE"""),"")</f>
        <v/>
      </c>
    </row>
    <row r="93">
      <c r="B93" s="76" t="str">
        <f>IFERROR(__xludf.DUMMYFUNCTION("""COMPUTED_VALUE"""),"")</f>
        <v/>
      </c>
      <c r="C93" s="76" t="str">
        <f>IFERROR(__xludf.DUMMYFUNCTION("""COMPUTED_VALUE"""),"")</f>
        <v/>
      </c>
    </row>
    <row r="94">
      <c r="B94" s="76" t="str">
        <f>IFERROR(__xludf.DUMMYFUNCTION("""COMPUTED_VALUE"""),"")</f>
        <v/>
      </c>
      <c r="C94" s="76" t="str">
        <f>IFERROR(__xludf.DUMMYFUNCTION("""COMPUTED_VALUE"""),"")</f>
        <v/>
      </c>
    </row>
    <row r="95">
      <c r="B95" s="76" t="str">
        <f>IFERROR(__xludf.DUMMYFUNCTION("""COMPUTED_VALUE"""),"")</f>
        <v/>
      </c>
      <c r="C95" s="76" t="str">
        <f>IFERROR(__xludf.DUMMYFUNCTION("""COMPUTED_VALUE"""),"")</f>
        <v/>
      </c>
    </row>
    <row r="96">
      <c r="B96" s="76" t="str">
        <f>IFERROR(__xludf.DUMMYFUNCTION("""COMPUTED_VALUE"""),"")</f>
        <v/>
      </c>
      <c r="C96" s="76" t="str">
        <f>IFERROR(__xludf.DUMMYFUNCTION("""COMPUTED_VALUE"""),"")</f>
        <v/>
      </c>
    </row>
    <row r="97">
      <c r="B97" s="76" t="str">
        <f>IFERROR(__xludf.DUMMYFUNCTION("""COMPUTED_VALUE"""),"")</f>
        <v/>
      </c>
      <c r="C97" s="76" t="str">
        <f>IFERROR(__xludf.DUMMYFUNCTION("""COMPUTED_VALUE"""),"")</f>
        <v/>
      </c>
    </row>
    <row r="98">
      <c r="B98" s="76" t="str">
        <f>IFERROR(__xludf.DUMMYFUNCTION("""COMPUTED_VALUE"""),"")</f>
        <v/>
      </c>
      <c r="C98" s="76" t="str">
        <f>IFERROR(__xludf.DUMMYFUNCTION("""COMPUTED_VALUE"""),"")</f>
        <v/>
      </c>
    </row>
    <row r="99">
      <c r="B99" s="76" t="str">
        <f>IFERROR(__xludf.DUMMYFUNCTION("""COMPUTED_VALUE"""),"")</f>
        <v/>
      </c>
      <c r="C99" s="76" t="str">
        <f>IFERROR(__xludf.DUMMYFUNCTION("""COMPUTED_VALUE"""),"")</f>
        <v/>
      </c>
    </row>
    <row r="100">
      <c r="B100" s="76" t="str">
        <f>IFERROR(__xludf.DUMMYFUNCTION("""COMPUTED_VALUE"""),"")</f>
        <v/>
      </c>
      <c r="C100" s="76" t="str">
        <f>IFERROR(__xludf.DUMMYFUNCTION("""COMPUTED_VALUE"""),"")</f>
        <v/>
      </c>
    </row>
    <row r="101">
      <c r="B101" s="76" t="str">
        <f>IFERROR(__xludf.DUMMYFUNCTION("""COMPUTED_VALUE"""),"")</f>
        <v/>
      </c>
      <c r="C101" s="76" t="str">
        <f>IFERROR(__xludf.DUMMYFUNCTION("""COMPUTED_VALUE"""),"")</f>
        <v/>
      </c>
    </row>
    <row r="102">
      <c r="B102" s="76" t="str">
        <f>IFERROR(__xludf.DUMMYFUNCTION("""COMPUTED_VALUE"""),"")</f>
        <v/>
      </c>
      <c r="C102" s="76" t="str">
        <f>IFERROR(__xludf.DUMMYFUNCTION("""COMPUTED_VALUE"""),"")</f>
        <v/>
      </c>
    </row>
    <row r="103">
      <c r="B103" s="76" t="str">
        <f>IFERROR(__xludf.DUMMYFUNCTION("""COMPUTED_VALUE"""),"")</f>
        <v/>
      </c>
      <c r="C103" s="76" t="str">
        <f>IFERROR(__xludf.DUMMYFUNCTION("""COMPUTED_VALUE"""),"")</f>
        <v/>
      </c>
    </row>
    <row r="104">
      <c r="B104" s="76" t="str">
        <f>IFERROR(__xludf.DUMMYFUNCTION("""COMPUTED_VALUE"""),"")</f>
        <v/>
      </c>
      <c r="C104" s="76" t="str">
        <f>IFERROR(__xludf.DUMMYFUNCTION("""COMPUTED_VALUE"""),"")</f>
        <v/>
      </c>
    </row>
    <row r="105">
      <c r="B105" s="76" t="str">
        <f>IFERROR(__xludf.DUMMYFUNCTION("""COMPUTED_VALUE"""),"")</f>
        <v/>
      </c>
      <c r="C105" s="76" t="str">
        <f>IFERROR(__xludf.DUMMYFUNCTION("""COMPUTED_VALUE"""),"")</f>
        <v/>
      </c>
    </row>
    <row r="106">
      <c r="B106" s="76" t="str">
        <f>IFERROR(__xludf.DUMMYFUNCTION("""COMPUTED_VALUE"""),"")</f>
        <v/>
      </c>
      <c r="C106" s="76" t="str">
        <f>IFERROR(__xludf.DUMMYFUNCTION("""COMPUTED_VALUE"""),"")</f>
        <v/>
      </c>
    </row>
    <row r="107">
      <c r="B107" s="76" t="str">
        <f>IFERROR(__xludf.DUMMYFUNCTION("""COMPUTED_VALUE"""),"")</f>
        <v/>
      </c>
      <c r="C107" s="76" t="str">
        <f>IFERROR(__xludf.DUMMYFUNCTION("""COMPUTED_VALUE"""),"")</f>
        <v/>
      </c>
    </row>
    <row r="108">
      <c r="B108" s="76" t="str">
        <f>IFERROR(__xludf.DUMMYFUNCTION("""COMPUTED_VALUE"""),"")</f>
        <v/>
      </c>
      <c r="C108" s="76" t="str">
        <f>IFERROR(__xludf.DUMMYFUNCTION("""COMPUTED_VALUE"""),"")</f>
        <v/>
      </c>
    </row>
    <row r="109">
      <c r="B109" s="76" t="str">
        <f>IFERROR(__xludf.DUMMYFUNCTION("""COMPUTED_VALUE"""),"")</f>
        <v/>
      </c>
      <c r="C109" s="76" t="str">
        <f>IFERROR(__xludf.DUMMYFUNCTION("""COMPUTED_VALUE"""),"")</f>
        <v/>
      </c>
    </row>
    <row r="110">
      <c r="B110" s="76" t="str">
        <f>IFERROR(__xludf.DUMMYFUNCTION("""COMPUTED_VALUE"""),"")</f>
        <v/>
      </c>
      <c r="C110" s="76" t="str">
        <f>IFERROR(__xludf.DUMMYFUNCTION("""COMPUTED_VALUE"""),"")</f>
        <v/>
      </c>
    </row>
    <row r="111">
      <c r="B111" s="76" t="str">
        <f>IFERROR(__xludf.DUMMYFUNCTION("""COMPUTED_VALUE"""),"")</f>
        <v/>
      </c>
      <c r="C111" s="76" t="str">
        <f>IFERROR(__xludf.DUMMYFUNCTION("""COMPUTED_VALUE"""),"")</f>
        <v/>
      </c>
    </row>
    <row r="112">
      <c r="B112" s="76" t="str">
        <f>IFERROR(__xludf.DUMMYFUNCTION("""COMPUTED_VALUE"""),"")</f>
        <v/>
      </c>
      <c r="C112" s="76" t="str">
        <f>IFERROR(__xludf.DUMMYFUNCTION("""COMPUTED_VALUE"""),"")</f>
        <v/>
      </c>
    </row>
    <row r="113">
      <c r="B113" s="76" t="str">
        <f>IFERROR(__xludf.DUMMYFUNCTION("""COMPUTED_VALUE"""),"")</f>
        <v/>
      </c>
      <c r="C113" s="76" t="str">
        <f>IFERROR(__xludf.DUMMYFUNCTION("""COMPUTED_VALUE"""),"")</f>
        <v/>
      </c>
    </row>
    <row r="114">
      <c r="B114" s="76" t="str">
        <f>IFERROR(__xludf.DUMMYFUNCTION("""COMPUTED_VALUE"""),"")</f>
        <v/>
      </c>
      <c r="C114" s="76" t="str">
        <f>IFERROR(__xludf.DUMMYFUNCTION("""COMPUTED_VALUE"""),"")</f>
        <v/>
      </c>
    </row>
    <row r="115">
      <c r="B115" s="76" t="str">
        <f>IFERROR(__xludf.DUMMYFUNCTION("""COMPUTED_VALUE"""),"")</f>
        <v/>
      </c>
      <c r="C115" s="76" t="str">
        <f>IFERROR(__xludf.DUMMYFUNCTION("""COMPUTED_VALUE"""),"")</f>
        <v/>
      </c>
    </row>
    <row r="116">
      <c r="B116" s="76" t="str">
        <f>IFERROR(__xludf.DUMMYFUNCTION("""COMPUTED_VALUE"""),"")</f>
        <v/>
      </c>
      <c r="C116" s="76" t="str">
        <f>IFERROR(__xludf.DUMMYFUNCTION("""COMPUTED_VALUE"""),"")</f>
        <v/>
      </c>
    </row>
    <row r="117">
      <c r="B117" s="76" t="str">
        <f>IFERROR(__xludf.DUMMYFUNCTION("""COMPUTED_VALUE"""),"")</f>
        <v/>
      </c>
      <c r="C117" s="76" t="str">
        <f>IFERROR(__xludf.DUMMYFUNCTION("""COMPUTED_VALUE"""),"")</f>
        <v/>
      </c>
    </row>
    <row r="118">
      <c r="B118" s="76" t="str">
        <f>IFERROR(__xludf.DUMMYFUNCTION("""COMPUTED_VALUE"""),"")</f>
        <v/>
      </c>
      <c r="C118" s="76" t="str">
        <f>IFERROR(__xludf.DUMMYFUNCTION("""COMPUTED_VALUE"""),"")</f>
        <v/>
      </c>
    </row>
    <row r="119">
      <c r="B119" s="76" t="str">
        <f>IFERROR(__xludf.DUMMYFUNCTION("""COMPUTED_VALUE"""),"")</f>
        <v/>
      </c>
      <c r="C119" s="76" t="str">
        <f>IFERROR(__xludf.DUMMYFUNCTION("""COMPUTED_VALUE"""),"")</f>
        <v/>
      </c>
    </row>
    <row r="120">
      <c r="B120" s="76" t="str">
        <f>IFERROR(__xludf.DUMMYFUNCTION("""COMPUTED_VALUE"""),"")</f>
        <v/>
      </c>
      <c r="C120" s="76" t="str">
        <f>IFERROR(__xludf.DUMMYFUNCTION("""COMPUTED_VALUE"""),"")</f>
        <v/>
      </c>
    </row>
    <row r="121">
      <c r="B121" s="76" t="str">
        <f>IFERROR(__xludf.DUMMYFUNCTION("""COMPUTED_VALUE"""),"")</f>
        <v/>
      </c>
      <c r="C121" s="76" t="str">
        <f>IFERROR(__xludf.DUMMYFUNCTION("""COMPUTED_VALUE"""),"")</f>
        <v/>
      </c>
    </row>
    <row r="122">
      <c r="B122" s="76" t="str">
        <f>IFERROR(__xludf.DUMMYFUNCTION("""COMPUTED_VALUE"""),"")</f>
        <v/>
      </c>
      <c r="C122" s="76" t="str">
        <f>IFERROR(__xludf.DUMMYFUNCTION("""COMPUTED_VALUE"""),"")</f>
        <v/>
      </c>
    </row>
    <row r="123">
      <c r="B123" s="76" t="str">
        <f>IFERROR(__xludf.DUMMYFUNCTION("""COMPUTED_VALUE"""),"")</f>
        <v/>
      </c>
      <c r="C123" s="76" t="str">
        <f>IFERROR(__xludf.DUMMYFUNCTION("""COMPUTED_VALUE"""),"")</f>
        <v/>
      </c>
    </row>
    <row r="124">
      <c r="B124" s="76" t="str">
        <f>IFERROR(__xludf.DUMMYFUNCTION("""COMPUTED_VALUE"""),"")</f>
        <v/>
      </c>
      <c r="C124" s="76" t="str">
        <f>IFERROR(__xludf.DUMMYFUNCTION("""COMPUTED_VALUE"""),"")</f>
        <v/>
      </c>
    </row>
    <row r="125">
      <c r="B125" s="76" t="str">
        <f>IFERROR(__xludf.DUMMYFUNCTION("""COMPUTED_VALUE"""),"")</f>
        <v/>
      </c>
      <c r="C125" s="76" t="str">
        <f>IFERROR(__xludf.DUMMYFUNCTION("""COMPUTED_VALUE"""),"")</f>
        <v/>
      </c>
    </row>
    <row r="126">
      <c r="B126" s="76" t="str">
        <f>IFERROR(__xludf.DUMMYFUNCTION("""COMPUTED_VALUE"""),"")</f>
        <v/>
      </c>
      <c r="C126" s="76" t="str">
        <f>IFERROR(__xludf.DUMMYFUNCTION("""COMPUTED_VALUE"""),"")</f>
        <v/>
      </c>
    </row>
    <row r="127">
      <c r="B127" s="76" t="str">
        <f>IFERROR(__xludf.DUMMYFUNCTION("""COMPUTED_VALUE"""),"")</f>
        <v/>
      </c>
      <c r="C127" s="76" t="str">
        <f>IFERROR(__xludf.DUMMYFUNCTION("""COMPUTED_VALUE"""),"")</f>
        <v/>
      </c>
    </row>
    <row r="128">
      <c r="B128" s="76" t="str">
        <f>IFERROR(__xludf.DUMMYFUNCTION("""COMPUTED_VALUE"""),"")</f>
        <v/>
      </c>
      <c r="C128" s="76" t="str">
        <f>IFERROR(__xludf.DUMMYFUNCTION("""COMPUTED_VALUE"""),"")</f>
        <v/>
      </c>
    </row>
    <row r="129">
      <c r="B129" s="76" t="str">
        <f>IFERROR(__xludf.DUMMYFUNCTION("""COMPUTED_VALUE"""),"")</f>
        <v/>
      </c>
      <c r="C129" s="76" t="str">
        <f>IFERROR(__xludf.DUMMYFUNCTION("""COMPUTED_VALUE"""),"")</f>
        <v/>
      </c>
    </row>
    <row r="130">
      <c r="B130" s="76" t="str">
        <f>IFERROR(__xludf.DUMMYFUNCTION("""COMPUTED_VALUE"""),"")</f>
        <v/>
      </c>
      <c r="C130" s="76" t="str">
        <f>IFERROR(__xludf.DUMMYFUNCTION("""COMPUTED_VALUE"""),"")</f>
        <v/>
      </c>
    </row>
    <row r="131">
      <c r="B131" s="76" t="str">
        <f>IFERROR(__xludf.DUMMYFUNCTION("""COMPUTED_VALUE"""),"")</f>
        <v/>
      </c>
      <c r="C131" s="76" t="str">
        <f>IFERROR(__xludf.DUMMYFUNCTION("""COMPUTED_VALUE"""),"")</f>
        <v/>
      </c>
    </row>
    <row r="132">
      <c r="B132" s="76" t="str">
        <f>IFERROR(__xludf.DUMMYFUNCTION("""COMPUTED_VALUE"""),"")</f>
        <v/>
      </c>
      <c r="C132" s="76" t="str">
        <f>IFERROR(__xludf.DUMMYFUNCTION("""COMPUTED_VALUE"""),"")</f>
        <v/>
      </c>
    </row>
    <row r="133">
      <c r="B133" s="76" t="str">
        <f>IFERROR(__xludf.DUMMYFUNCTION("""COMPUTED_VALUE"""),"")</f>
        <v/>
      </c>
      <c r="C133" s="76" t="str">
        <f>IFERROR(__xludf.DUMMYFUNCTION("""COMPUTED_VALUE"""),"")</f>
        <v/>
      </c>
    </row>
    <row r="134">
      <c r="B134" s="76" t="str">
        <f>IFERROR(__xludf.DUMMYFUNCTION("""COMPUTED_VALUE"""),"")</f>
        <v/>
      </c>
      <c r="C134" s="76" t="str">
        <f>IFERROR(__xludf.DUMMYFUNCTION("""COMPUTED_VALUE"""),"")</f>
        <v/>
      </c>
    </row>
    <row r="135">
      <c r="B135" s="76" t="str">
        <f>IFERROR(__xludf.DUMMYFUNCTION("""COMPUTED_VALUE"""),"")</f>
        <v/>
      </c>
      <c r="C135" s="76" t="str">
        <f>IFERROR(__xludf.DUMMYFUNCTION("""COMPUTED_VALUE"""),"")</f>
        <v/>
      </c>
    </row>
    <row r="136">
      <c r="B136" s="76" t="str">
        <f>IFERROR(__xludf.DUMMYFUNCTION("""COMPUTED_VALUE"""),"")</f>
        <v/>
      </c>
      <c r="C136" s="76" t="str">
        <f>IFERROR(__xludf.DUMMYFUNCTION("""COMPUTED_VALUE"""),"")</f>
        <v/>
      </c>
    </row>
    <row r="137">
      <c r="B137" s="76" t="str">
        <f>IFERROR(__xludf.DUMMYFUNCTION("""COMPUTED_VALUE"""),"")</f>
        <v/>
      </c>
      <c r="C137" s="76" t="str">
        <f>IFERROR(__xludf.DUMMYFUNCTION("""COMPUTED_VALUE"""),"")</f>
        <v/>
      </c>
    </row>
    <row r="138">
      <c r="B138" s="76" t="str">
        <f>IFERROR(__xludf.DUMMYFUNCTION("""COMPUTED_VALUE"""),"")</f>
        <v/>
      </c>
      <c r="C138" s="76" t="str">
        <f>IFERROR(__xludf.DUMMYFUNCTION("""COMPUTED_VALUE"""),"")</f>
        <v/>
      </c>
    </row>
    <row r="139">
      <c r="B139" s="76" t="str">
        <f>IFERROR(__xludf.DUMMYFUNCTION("""COMPUTED_VALUE"""),"")</f>
        <v/>
      </c>
      <c r="C139" s="76" t="str">
        <f>IFERROR(__xludf.DUMMYFUNCTION("""COMPUTED_VALUE"""),"")</f>
        <v/>
      </c>
    </row>
    <row r="140">
      <c r="B140" s="76" t="str">
        <f>IFERROR(__xludf.DUMMYFUNCTION("""COMPUTED_VALUE"""),"")</f>
        <v/>
      </c>
      <c r="C140" s="76" t="str">
        <f>IFERROR(__xludf.DUMMYFUNCTION("""COMPUTED_VALUE"""),"")</f>
        <v/>
      </c>
    </row>
    <row r="141">
      <c r="B141" s="76" t="str">
        <f>IFERROR(__xludf.DUMMYFUNCTION("""COMPUTED_VALUE"""),"")</f>
        <v/>
      </c>
      <c r="C141" s="76" t="str">
        <f>IFERROR(__xludf.DUMMYFUNCTION("""COMPUTED_VALUE"""),"")</f>
        <v/>
      </c>
    </row>
    <row r="142">
      <c r="B142" s="76" t="str">
        <f>IFERROR(__xludf.DUMMYFUNCTION("""COMPUTED_VALUE"""),"")</f>
        <v/>
      </c>
      <c r="C142" s="76" t="str">
        <f>IFERROR(__xludf.DUMMYFUNCTION("""COMPUTED_VALUE"""),"")</f>
        <v/>
      </c>
    </row>
    <row r="143">
      <c r="B143" s="76" t="str">
        <f>IFERROR(__xludf.DUMMYFUNCTION("""COMPUTED_VALUE"""),"")</f>
        <v/>
      </c>
      <c r="C143" s="76" t="str">
        <f>IFERROR(__xludf.DUMMYFUNCTION("""COMPUTED_VALUE"""),"")</f>
        <v/>
      </c>
    </row>
    <row r="144">
      <c r="B144" s="76" t="str">
        <f>IFERROR(__xludf.DUMMYFUNCTION("""COMPUTED_VALUE"""),"")</f>
        <v/>
      </c>
      <c r="C144" s="76" t="str">
        <f>IFERROR(__xludf.DUMMYFUNCTION("""COMPUTED_VALUE"""),"")</f>
        <v/>
      </c>
    </row>
    <row r="145">
      <c r="B145" s="76" t="str">
        <f>IFERROR(__xludf.DUMMYFUNCTION("""COMPUTED_VALUE"""),"")</f>
        <v/>
      </c>
      <c r="C145" s="76" t="str">
        <f>IFERROR(__xludf.DUMMYFUNCTION("""COMPUTED_VALUE"""),"")</f>
        <v/>
      </c>
    </row>
    <row r="146">
      <c r="B146" s="76" t="str">
        <f>IFERROR(__xludf.DUMMYFUNCTION("""COMPUTED_VALUE"""),"")</f>
        <v/>
      </c>
      <c r="C146" s="76" t="str">
        <f>IFERROR(__xludf.DUMMYFUNCTION("""COMPUTED_VALUE"""),"")</f>
        <v/>
      </c>
    </row>
    <row r="147">
      <c r="B147" s="76" t="str">
        <f>IFERROR(__xludf.DUMMYFUNCTION("""COMPUTED_VALUE"""),"")</f>
        <v/>
      </c>
      <c r="C147" s="76" t="str">
        <f>IFERROR(__xludf.DUMMYFUNCTION("""COMPUTED_VALUE"""),"")</f>
        <v/>
      </c>
    </row>
    <row r="148">
      <c r="B148" s="76" t="str">
        <f>IFERROR(__xludf.DUMMYFUNCTION("""COMPUTED_VALUE"""),"")</f>
        <v/>
      </c>
      <c r="C148" s="76" t="str">
        <f>IFERROR(__xludf.DUMMYFUNCTION("""COMPUTED_VALUE"""),"")</f>
        <v/>
      </c>
    </row>
    <row r="149">
      <c r="B149" s="76" t="str">
        <f>IFERROR(__xludf.DUMMYFUNCTION("""COMPUTED_VALUE"""),"")</f>
        <v/>
      </c>
      <c r="C149" s="76" t="str">
        <f>IFERROR(__xludf.DUMMYFUNCTION("""COMPUTED_VALUE"""),"")</f>
        <v/>
      </c>
    </row>
    <row r="150">
      <c r="B150" s="76" t="str">
        <f>IFERROR(__xludf.DUMMYFUNCTION("""COMPUTED_VALUE"""),"")</f>
        <v/>
      </c>
      <c r="C150" s="76" t="str">
        <f>IFERROR(__xludf.DUMMYFUNCTION("""COMPUTED_VALUE"""),"")</f>
        <v/>
      </c>
    </row>
    <row r="151">
      <c r="B151" s="76" t="str">
        <f>IFERROR(__xludf.DUMMYFUNCTION("""COMPUTED_VALUE"""),"")</f>
        <v/>
      </c>
      <c r="C151" s="76" t="str">
        <f>IFERROR(__xludf.DUMMYFUNCTION("""COMPUTED_VALUE"""),"")</f>
        <v/>
      </c>
    </row>
    <row r="152">
      <c r="B152" s="76" t="str">
        <f>IFERROR(__xludf.DUMMYFUNCTION("""COMPUTED_VALUE"""),"")</f>
        <v/>
      </c>
      <c r="C152" s="76" t="str">
        <f>IFERROR(__xludf.DUMMYFUNCTION("""COMPUTED_VALUE"""),"")</f>
        <v/>
      </c>
    </row>
    <row r="153">
      <c r="B153" s="76" t="str">
        <f>IFERROR(__xludf.DUMMYFUNCTION("""COMPUTED_VALUE"""),"")</f>
        <v/>
      </c>
      <c r="C153" s="76" t="str">
        <f>IFERROR(__xludf.DUMMYFUNCTION("""COMPUTED_VALUE"""),"")</f>
        <v/>
      </c>
    </row>
    <row r="154">
      <c r="B154" s="76" t="str">
        <f>IFERROR(__xludf.DUMMYFUNCTION("""COMPUTED_VALUE"""),"")</f>
        <v/>
      </c>
      <c r="C154" s="76" t="str">
        <f>IFERROR(__xludf.DUMMYFUNCTION("""COMPUTED_VALUE"""),"")</f>
        <v/>
      </c>
    </row>
    <row r="155">
      <c r="B155" s="76" t="str">
        <f>IFERROR(__xludf.DUMMYFUNCTION("""COMPUTED_VALUE"""),"")</f>
        <v/>
      </c>
      <c r="C155" s="76" t="str">
        <f>IFERROR(__xludf.DUMMYFUNCTION("""COMPUTED_VALUE"""),"")</f>
        <v/>
      </c>
    </row>
    <row r="156">
      <c r="B156" s="76" t="str">
        <f>IFERROR(__xludf.DUMMYFUNCTION("""COMPUTED_VALUE"""),"")</f>
        <v/>
      </c>
      <c r="C156" s="76" t="str">
        <f>IFERROR(__xludf.DUMMYFUNCTION("""COMPUTED_VALUE"""),"")</f>
        <v/>
      </c>
    </row>
    <row r="157">
      <c r="B157" s="76" t="str">
        <f>IFERROR(__xludf.DUMMYFUNCTION("""COMPUTED_VALUE"""),"")</f>
        <v/>
      </c>
      <c r="C157" s="76" t="str">
        <f>IFERROR(__xludf.DUMMYFUNCTION("""COMPUTED_VALUE"""),"")</f>
        <v/>
      </c>
    </row>
    <row r="158">
      <c r="B158" s="76" t="str">
        <f>IFERROR(__xludf.DUMMYFUNCTION("""COMPUTED_VALUE"""),"")</f>
        <v/>
      </c>
      <c r="C158" s="76" t="str">
        <f>IFERROR(__xludf.DUMMYFUNCTION("""COMPUTED_VALUE"""),"")</f>
        <v/>
      </c>
    </row>
    <row r="159">
      <c r="B159" s="76" t="str">
        <f>IFERROR(__xludf.DUMMYFUNCTION("""COMPUTED_VALUE"""),"")</f>
        <v/>
      </c>
      <c r="C159" s="76" t="str">
        <f>IFERROR(__xludf.DUMMYFUNCTION("""COMPUTED_VALUE"""),"")</f>
        <v/>
      </c>
    </row>
    <row r="160">
      <c r="B160" s="76" t="str">
        <f>IFERROR(__xludf.DUMMYFUNCTION("""COMPUTED_VALUE"""),"")</f>
        <v/>
      </c>
      <c r="C160" s="76" t="str">
        <f>IFERROR(__xludf.DUMMYFUNCTION("""COMPUTED_VALUE"""),"")</f>
        <v/>
      </c>
    </row>
    <row r="161">
      <c r="B161" s="76" t="str">
        <f>IFERROR(__xludf.DUMMYFUNCTION("""COMPUTED_VALUE"""),"")</f>
        <v/>
      </c>
      <c r="C161" s="76" t="str">
        <f>IFERROR(__xludf.DUMMYFUNCTION("""COMPUTED_VALUE"""),"")</f>
        <v/>
      </c>
    </row>
    <row r="162">
      <c r="B162" s="76" t="str">
        <f>IFERROR(__xludf.DUMMYFUNCTION("""COMPUTED_VALUE"""),"")</f>
        <v/>
      </c>
      <c r="C162" s="76" t="str">
        <f>IFERROR(__xludf.DUMMYFUNCTION("""COMPUTED_VALUE"""),"")</f>
        <v/>
      </c>
    </row>
    <row r="163">
      <c r="B163" s="76" t="str">
        <f>IFERROR(__xludf.DUMMYFUNCTION("""COMPUTED_VALUE"""),"")</f>
        <v/>
      </c>
      <c r="C163" s="76" t="str">
        <f>IFERROR(__xludf.DUMMYFUNCTION("""COMPUTED_VALUE"""),"")</f>
        <v/>
      </c>
    </row>
    <row r="164">
      <c r="B164" s="76" t="str">
        <f>IFERROR(__xludf.DUMMYFUNCTION("""COMPUTED_VALUE"""),"")</f>
        <v/>
      </c>
      <c r="C164" s="76" t="str">
        <f>IFERROR(__xludf.DUMMYFUNCTION("""COMPUTED_VALUE"""),"")</f>
        <v/>
      </c>
    </row>
    <row r="165">
      <c r="B165" s="76" t="str">
        <f>IFERROR(__xludf.DUMMYFUNCTION("""COMPUTED_VALUE"""),"")</f>
        <v/>
      </c>
      <c r="C165" s="76" t="str">
        <f>IFERROR(__xludf.DUMMYFUNCTION("""COMPUTED_VALUE"""),"")</f>
        <v/>
      </c>
    </row>
    <row r="166">
      <c r="B166" s="76" t="str">
        <f>IFERROR(__xludf.DUMMYFUNCTION("""COMPUTED_VALUE"""),"")</f>
        <v/>
      </c>
      <c r="C166" s="76" t="str">
        <f>IFERROR(__xludf.DUMMYFUNCTION("""COMPUTED_VALUE"""),"")</f>
        <v/>
      </c>
    </row>
    <row r="167">
      <c r="B167" s="76" t="str">
        <f>IFERROR(__xludf.DUMMYFUNCTION("""COMPUTED_VALUE"""),"")</f>
        <v/>
      </c>
      <c r="C167" s="76" t="str">
        <f>IFERROR(__xludf.DUMMYFUNCTION("""COMPUTED_VALUE"""),"")</f>
        <v/>
      </c>
    </row>
    <row r="168">
      <c r="B168" s="76" t="str">
        <f>IFERROR(__xludf.DUMMYFUNCTION("""COMPUTED_VALUE"""),"")</f>
        <v/>
      </c>
      <c r="C168" s="76" t="str">
        <f>IFERROR(__xludf.DUMMYFUNCTION("""COMPUTED_VALUE"""),"")</f>
        <v/>
      </c>
    </row>
    <row r="169">
      <c r="B169" s="76" t="str">
        <f>IFERROR(__xludf.DUMMYFUNCTION("""COMPUTED_VALUE"""),"")</f>
        <v/>
      </c>
      <c r="C169" s="76" t="str">
        <f>IFERROR(__xludf.DUMMYFUNCTION("""COMPUTED_VALUE"""),"")</f>
        <v/>
      </c>
    </row>
    <row r="170">
      <c r="B170" s="76" t="str">
        <f>IFERROR(__xludf.DUMMYFUNCTION("""COMPUTED_VALUE"""),"")</f>
        <v/>
      </c>
      <c r="C170" s="76" t="str">
        <f>IFERROR(__xludf.DUMMYFUNCTION("""COMPUTED_VALUE"""),"")</f>
        <v/>
      </c>
    </row>
    <row r="171">
      <c r="B171" s="76" t="str">
        <f>IFERROR(__xludf.DUMMYFUNCTION("""COMPUTED_VALUE"""),"")</f>
        <v/>
      </c>
      <c r="C171" s="76" t="str">
        <f>IFERROR(__xludf.DUMMYFUNCTION("""COMPUTED_VALUE"""),"")</f>
        <v/>
      </c>
    </row>
    <row r="172">
      <c r="B172" s="76" t="str">
        <f>IFERROR(__xludf.DUMMYFUNCTION("""COMPUTED_VALUE"""),"")</f>
        <v/>
      </c>
      <c r="C172" s="76" t="str">
        <f>IFERROR(__xludf.DUMMYFUNCTION("""COMPUTED_VALUE"""),"")</f>
        <v/>
      </c>
    </row>
    <row r="173">
      <c r="B173" s="76" t="str">
        <f>IFERROR(__xludf.DUMMYFUNCTION("""COMPUTED_VALUE"""),"")</f>
        <v/>
      </c>
      <c r="C173" s="76" t="str">
        <f>IFERROR(__xludf.DUMMYFUNCTION("""COMPUTED_VALUE"""),"")</f>
        <v/>
      </c>
    </row>
    <row r="174">
      <c r="B174" s="76" t="str">
        <f>IFERROR(__xludf.DUMMYFUNCTION("""COMPUTED_VALUE"""),"")</f>
        <v/>
      </c>
      <c r="C174" s="76" t="str">
        <f>IFERROR(__xludf.DUMMYFUNCTION("""COMPUTED_VALUE"""),"")</f>
        <v/>
      </c>
    </row>
    <row r="175">
      <c r="B175" s="76" t="str">
        <f>IFERROR(__xludf.DUMMYFUNCTION("""COMPUTED_VALUE"""),"")</f>
        <v/>
      </c>
      <c r="C175" s="76" t="str">
        <f>IFERROR(__xludf.DUMMYFUNCTION("""COMPUTED_VALUE"""),"")</f>
        <v/>
      </c>
    </row>
    <row r="176">
      <c r="B176" s="76" t="str">
        <f>IFERROR(__xludf.DUMMYFUNCTION("""COMPUTED_VALUE"""),"")</f>
        <v/>
      </c>
      <c r="C176" s="76" t="str">
        <f>IFERROR(__xludf.DUMMYFUNCTION("""COMPUTED_VALUE"""),"")</f>
        <v/>
      </c>
    </row>
    <row r="177">
      <c r="B177" s="76" t="str">
        <f>IFERROR(__xludf.DUMMYFUNCTION("""COMPUTED_VALUE"""),"")</f>
        <v/>
      </c>
      <c r="C177" s="76" t="str">
        <f>IFERROR(__xludf.DUMMYFUNCTION("""COMPUTED_VALUE"""),"")</f>
        <v/>
      </c>
    </row>
    <row r="178">
      <c r="B178" s="76" t="str">
        <f>IFERROR(__xludf.DUMMYFUNCTION("""COMPUTED_VALUE"""),"")</f>
        <v/>
      </c>
      <c r="C178" s="76" t="str">
        <f>IFERROR(__xludf.DUMMYFUNCTION("""COMPUTED_VALUE"""),"")</f>
        <v/>
      </c>
    </row>
    <row r="179">
      <c r="B179" s="76" t="str">
        <f>IFERROR(__xludf.DUMMYFUNCTION("""COMPUTED_VALUE"""),"")</f>
        <v/>
      </c>
      <c r="C179" s="76" t="str">
        <f>IFERROR(__xludf.DUMMYFUNCTION("""COMPUTED_VALUE"""),"")</f>
        <v/>
      </c>
    </row>
    <row r="180">
      <c r="B180" s="76" t="str">
        <f>IFERROR(__xludf.DUMMYFUNCTION("""COMPUTED_VALUE"""),"")</f>
        <v/>
      </c>
      <c r="C180" s="76" t="str">
        <f>IFERROR(__xludf.DUMMYFUNCTION("""COMPUTED_VALUE"""),"")</f>
        <v/>
      </c>
    </row>
    <row r="181">
      <c r="B181" s="76" t="str">
        <f>IFERROR(__xludf.DUMMYFUNCTION("""COMPUTED_VALUE"""),"")</f>
        <v/>
      </c>
      <c r="C181" s="76" t="str">
        <f>IFERROR(__xludf.DUMMYFUNCTION("""COMPUTED_VALUE"""),"")</f>
        <v/>
      </c>
    </row>
    <row r="182">
      <c r="B182" s="76" t="str">
        <f>IFERROR(__xludf.DUMMYFUNCTION("""COMPUTED_VALUE"""),"")</f>
        <v/>
      </c>
      <c r="C182" s="76" t="str">
        <f>IFERROR(__xludf.DUMMYFUNCTION("""COMPUTED_VALUE"""),"")</f>
        <v/>
      </c>
    </row>
    <row r="183">
      <c r="B183" s="76" t="str">
        <f>IFERROR(__xludf.DUMMYFUNCTION("""COMPUTED_VALUE"""),"")</f>
        <v/>
      </c>
      <c r="C183" s="76" t="str">
        <f>IFERROR(__xludf.DUMMYFUNCTION("""COMPUTED_VALUE"""),"")</f>
        <v/>
      </c>
    </row>
    <row r="184">
      <c r="B184" s="76" t="str">
        <f>IFERROR(__xludf.DUMMYFUNCTION("""COMPUTED_VALUE"""),"")</f>
        <v/>
      </c>
      <c r="C184" s="76" t="str">
        <f>IFERROR(__xludf.DUMMYFUNCTION("""COMPUTED_VALUE"""),"")</f>
        <v/>
      </c>
    </row>
    <row r="185">
      <c r="B185" s="76" t="str">
        <f>IFERROR(__xludf.DUMMYFUNCTION("""COMPUTED_VALUE"""),"")</f>
        <v/>
      </c>
      <c r="C185" s="76" t="str">
        <f>IFERROR(__xludf.DUMMYFUNCTION("""COMPUTED_VALUE"""),"")</f>
        <v/>
      </c>
    </row>
    <row r="186">
      <c r="B186" s="76" t="str">
        <f>IFERROR(__xludf.DUMMYFUNCTION("""COMPUTED_VALUE"""),"")</f>
        <v/>
      </c>
      <c r="C186" s="76" t="str">
        <f>IFERROR(__xludf.DUMMYFUNCTION("""COMPUTED_VALUE"""),"")</f>
        <v/>
      </c>
    </row>
    <row r="187">
      <c r="B187" s="76" t="str">
        <f>IFERROR(__xludf.DUMMYFUNCTION("""COMPUTED_VALUE"""),"")</f>
        <v/>
      </c>
      <c r="C187" s="76" t="str">
        <f>IFERROR(__xludf.DUMMYFUNCTION("""COMPUTED_VALUE"""),"")</f>
        <v/>
      </c>
    </row>
    <row r="188">
      <c r="B188" s="76" t="str">
        <f>IFERROR(__xludf.DUMMYFUNCTION("""COMPUTED_VALUE"""),"")</f>
        <v/>
      </c>
      <c r="C188" s="76" t="str">
        <f>IFERROR(__xludf.DUMMYFUNCTION("""COMPUTED_VALUE"""),"")</f>
        <v/>
      </c>
    </row>
    <row r="189">
      <c r="B189" s="76" t="str">
        <f>IFERROR(__xludf.DUMMYFUNCTION("""COMPUTED_VALUE"""),"")</f>
        <v/>
      </c>
      <c r="C189" s="76" t="str">
        <f>IFERROR(__xludf.DUMMYFUNCTION("""COMPUTED_VALUE"""),"")</f>
        <v/>
      </c>
    </row>
    <row r="190">
      <c r="B190" s="76" t="str">
        <f>IFERROR(__xludf.DUMMYFUNCTION("""COMPUTED_VALUE"""),"")</f>
        <v/>
      </c>
      <c r="C190" s="76" t="str">
        <f>IFERROR(__xludf.DUMMYFUNCTION("""COMPUTED_VALUE"""),"")</f>
        <v/>
      </c>
    </row>
    <row r="191">
      <c r="B191" s="76" t="str">
        <f>IFERROR(__xludf.DUMMYFUNCTION("""COMPUTED_VALUE"""),"")</f>
        <v/>
      </c>
      <c r="C191" s="76" t="str">
        <f>IFERROR(__xludf.DUMMYFUNCTION("""COMPUTED_VALUE"""),"")</f>
        <v/>
      </c>
    </row>
    <row r="192">
      <c r="B192" s="76" t="str">
        <f>IFERROR(__xludf.DUMMYFUNCTION("""COMPUTED_VALUE"""),"")</f>
        <v/>
      </c>
      <c r="C192" s="76" t="str">
        <f>IFERROR(__xludf.DUMMYFUNCTION("""COMPUTED_VALUE"""),"")</f>
        <v/>
      </c>
    </row>
    <row r="193">
      <c r="B193" s="76" t="str">
        <f>IFERROR(__xludf.DUMMYFUNCTION("""COMPUTED_VALUE"""),"")</f>
        <v/>
      </c>
      <c r="C193" s="76" t="str">
        <f>IFERROR(__xludf.DUMMYFUNCTION("""COMPUTED_VALUE"""),"")</f>
        <v/>
      </c>
    </row>
    <row r="194">
      <c r="B194" s="76" t="str">
        <f>IFERROR(__xludf.DUMMYFUNCTION("""COMPUTED_VALUE"""),"")</f>
        <v/>
      </c>
      <c r="C194" s="76" t="str">
        <f>IFERROR(__xludf.DUMMYFUNCTION("""COMPUTED_VALUE"""),"")</f>
        <v/>
      </c>
    </row>
    <row r="195">
      <c r="B195" s="76" t="str">
        <f>IFERROR(__xludf.DUMMYFUNCTION("""COMPUTED_VALUE"""),"")</f>
        <v/>
      </c>
      <c r="C195" s="76" t="str">
        <f>IFERROR(__xludf.DUMMYFUNCTION("""COMPUTED_VALUE"""),"")</f>
        <v/>
      </c>
    </row>
    <row r="196">
      <c r="B196" s="76" t="str">
        <f>IFERROR(__xludf.DUMMYFUNCTION("""COMPUTED_VALUE"""),"")</f>
        <v/>
      </c>
      <c r="C196" s="76" t="str">
        <f>IFERROR(__xludf.DUMMYFUNCTION("""COMPUTED_VALUE"""),"")</f>
        <v/>
      </c>
    </row>
    <row r="197">
      <c r="B197" s="76" t="str">
        <f>IFERROR(__xludf.DUMMYFUNCTION("""COMPUTED_VALUE"""),"")</f>
        <v/>
      </c>
      <c r="C197" s="76" t="str">
        <f>IFERROR(__xludf.DUMMYFUNCTION("""COMPUTED_VALUE"""),"")</f>
        <v/>
      </c>
    </row>
    <row r="198">
      <c r="B198" s="76" t="str">
        <f>IFERROR(__xludf.DUMMYFUNCTION("""COMPUTED_VALUE"""),"")</f>
        <v/>
      </c>
      <c r="C198" s="76" t="str">
        <f>IFERROR(__xludf.DUMMYFUNCTION("""COMPUTED_VALUE"""),"")</f>
        <v/>
      </c>
    </row>
    <row r="199">
      <c r="B199" s="76" t="str">
        <f>IFERROR(__xludf.DUMMYFUNCTION("""COMPUTED_VALUE"""),"")</f>
        <v/>
      </c>
      <c r="C199" s="76" t="str">
        <f>IFERROR(__xludf.DUMMYFUNCTION("""COMPUTED_VALUE"""),"")</f>
        <v/>
      </c>
    </row>
    <row r="200">
      <c r="B200" s="76" t="str">
        <f>IFERROR(__xludf.DUMMYFUNCTION("""COMPUTED_VALUE"""),"")</f>
        <v/>
      </c>
      <c r="C200" s="76" t="str">
        <f>IFERROR(__xludf.DUMMYFUNCTION("""COMPUTED_VALUE"""),"")</f>
        <v/>
      </c>
    </row>
    <row r="201">
      <c r="B201" s="76" t="str">
        <f>IFERROR(__xludf.DUMMYFUNCTION("""COMPUTED_VALUE"""),"")</f>
        <v/>
      </c>
      <c r="C201" s="76" t="str">
        <f>IFERROR(__xludf.DUMMYFUNCTION("""COMPUTED_VALUE"""),"")</f>
        <v/>
      </c>
    </row>
    <row r="202">
      <c r="B202" s="76" t="str">
        <f>IFERROR(__xludf.DUMMYFUNCTION("""COMPUTED_VALUE"""),"")</f>
        <v/>
      </c>
      <c r="C202" s="76" t="str">
        <f>IFERROR(__xludf.DUMMYFUNCTION("""COMPUTED_VALUE"""),"")</f>
        <v/>
      </c>
    </row>
    <row r="203">
      <c r="B203" s="76" t="str">
        <f>IFERROR(__xludf.DUMMYFUNCTION("""COMPUTED_VALUE"""),"")</f>
        <v/>
      </c>
      <c r="C203" s="76" t="str">
        <f>IFERROR(__xludf.DUMMYFUNCTION("""COMPUTED_VALUE"""),"")</f>
        <v/>
      </c>
    </row>
    <row r="204">
      <c r="B204" s="76" t="str">
        <f>IFERROR(__xludf.DUMMYFUNCTION("""COMPUTED_VALUE"""),"")</f>
        <v/>
      </c>
      <c r="C204" s="76" t="str">
        <f>IFERROR(__xludf.DUMMYFUNCTION("""COMPUTED_VALUE"""),"")</f>
        <v/>
      </c>
    </row>
    <row r="205">
      <c r="B205" s="76" t="str">
        <f>IFERROR(__xludf.DUMMYFUNCTION("""COMPUTED_VALUE"""),"")</f>
        <v/>
      </c>
      <c r="C205" s="76" t="str">
        <f>IFERROR(__xludf.DUMMYFUNCTION("""COMPUTED_VALUE"""),"")</f>
        <v/>
      </c>
    </row>
    <row r="206">
      <c r="B206" s="76" t="str">
        <f>IFERROR(__xludf.DUMMYFUNCTION("""COMPUTED_VALUE"""),"")</f>
        <v/>
      </c>
      <c r="C206" s="76" t="str">
        <f>IFERROR(__xludf.DUMMYFUNCTION("""COMPUTED_VALUE"""),"")</f>
        <v/>
      </c>
    </row>
    <row r="207">
      <c r="B207" s="76" t="str">
        <f>IFERROR(__xludf.DUMMYFUNCTION("""COMPUTED_VALUE"""),"")</f>
        <v/>
      </c>
      <c r="C207" s="76" t="str">
        <f>IFERROR(__xludf.DUMMYFUNCTION("""COMPUTED_VALUE"""),"")</f>
        <v/>
      </c>
    </row>
    <row r="208">
      <c r="B208" s="76" t="str">
        <f>IFERROR(__xludf.DUMMYFUNCTION("""COMPUTED_VALUE"""),"")</f>
        <v/>
      </c>
      <c r="C208" s="76" t="str">
        <f>IFERROR(__xludf.DUMMYFUNCTION("""COMPUTED_VALUE"""),"")</f>
        <v/>
      </c>
    </row>
    <row r="209">
      <c r="B209" s="76" t="str">
        <f>IFERROR(__xludf.DUMMYFUNCTION("""COMPUTED_VALUE"""),"")</f>
        <v/>
      </c>
      <c r="C209" s="76" t="str">
        <f>IFERROR(__xludf.DUMMYFUNCTION("""COMPUTED_VALUE"""),"")</f>
        <v/>
      </c>
    </row>
    <row r="210">
      <c r="B210" s="76" t="str">
        <f>IFERROR(__xludf.DUMMYFUNCTION("""COMPUTED_VALUE"""),"")</f>
        <v/>
      </c>
      <c r="C210" s="76" t="str">
        <f>IFERROR(__xludf.DUMMYFUNCTION("""COMPUTED_VALUE"""),"")</f>
        <v/>
      </c>
    </row>
    <row r="211">
      <c r="B211" s="76" t="str">
        <f>IFERROR(__xludf.DUMMYFUNCTION("""COMPUTED_VALUE"""),"")</f>
        <v/>
      </c>
      <c r="C211" s="76" t="str">
        <f>IFERROR(__xludf.DUMMYFUNCTION("""COMPUTED_VALUE"""),"")</f>
        <v/>
      </c>
    </row>
    <row r="212">
      <c r="B212" s="76" t="str">
        <f>IFERROR(__xludf.DUMMYFUNCTION("""COMPUTED_VALUE"""),"")</f>
        <v/>
      </c>
      <c r="C212" s="76" t="str">
        <f>IFERROR(__xludf.DUMMYFUNCTION("""COMPUTED_VALUE"""),"")</f>
        <v/>
      </c>
    </row>
    <row r="213">
      <c r="B213" s="76" t="str">
        <f>IFERROR(__xludf.DUMMYFUNCTION("""COMPUTED_VALUE"""),"")</f>
        <v/>
      </c>
      <c r="C213" s="76" t="str">
        <f>IFERROR(__xludf.DUMMYFUNCTION("""COMPUTED_VALUE"""),"")</f>
        <v/>
      </c>
    </row>
    <row r="214">
      <c r="B214" s="76" t="str">
        <f>IFERROR(__xludf.DUMMYFUNCTION("""COMPUTED_VALUE"""),"")</f>
        <v/>
      </c>
      <c r="C214" s="76" t="str">
        <f>IFERROR(__xludf.DUMMYFUNCTION("""COMPUTED_VALUE"""),"")</f>
        <v/>
      </c>
    </row>
    <row r="215">
      <c r="B215" s="76" t="str">
        <f>IFERROR(__xludf.DUMMYFUNCTION("""COMPUTED_VALUE"""),"")</f>
        <v/>
      </c>
      <c r="C215" s="76" t="str">
        <f>IFERROR(__xludf.DUMMYFUNCTION("""COMPUTED_VALUE"""),"")</f>
        <v/>
      </c>
    </row>
    <row r="216">
      <c r="B216" s="76" t="str">
        <f>IFERROR(__xludf.DUMMYFUNCTION("""COMPUTED_VALUE"""),"")</f>
        <v/>
      </c>
      <c r="C216" s="76" t="str">
        <f>IFERROR(__xludf.DUMMYFUNCTION("""COMPUTED_VALUE"""),"")</f>
        <v/>
      </c>
    </row>
    <row r="217">
      <c r="B217" s="76" t="str">
        <f>IFERROR(__xludf.DUMMYFUNCTION("""COMPUTED_VALUE"""),"")</f>
        <v/>
      </c>
      <c r="C217" s="76" t="str">
        <f>IFERROR(__xludf.DUMMYFUNCTION("""COMPUTED_VALUE"""),"")</f>
        <v/>
      </c>
    </row>
    <row r="218">
      <c r="B218" s="76" t="str">
        <f>IFERROR(__xludf.DUMMYFUNCTION("""COMPUTED_VALUE"""),"")</f>
        <v/>
      </c>
      <c r="C218" s="76" t="str">
        <f>IFERROR(__xludf.DUMMYFUNCTION("""COMPUTED_VALUE"""),"")</f>
        <v/>
      </c>
    </row>
    <row r="219">
      <c r="B219" s="76" t="str">
        <f>IFERROR(__xludf.DUMMYFUNCTION("""COMPUTED_VALUE"""),"")</f>
        <v/>
      </c>
      <c r="C219" s="76" t="str">
        <f>IFERROR(__xludf.DUMMYFUNCTION("""COMPUTED_VALUE"""),"")</f>
        <v/>
      </c>
    </row>
    <row r="220">
      <c r="B220" s="76" t="str">
        <f>IFERROR(__xludf.DUMMYFUNCTION("""COMPUTED_VALUE"""),"")</f>
        <v/>
      </c>
      <c r="C220" s="76" t="str">
        <f>IFERROR(__xludf.DUMMYFUNCTION("""COMPUTED_VALUE"""),"")</f>
        <v/>
      </c>
    </row>
    <row r="221">
      <c r="B221" s="76" t="str">
        <f>IFERROR(__xludf.DUMMYFUNCTION("""COMPUTED_VALUE"""),"")</f>
        <v/>
      </c>
      <c r="C221" s="76" t="str">
        <f>IFERROR(__xludf.DUMMYFUNCTION("""COMPUTED_VALUE"""),"")</f>
        <v/>
      </c>
    </row>
    <row r="222">
      <c r="B222" s="76" t="str">
        <f>IFERROR(__xludf.DUMMYFUNCTION("""COMPUTED_VALUE"""),"")</f>
        <v/>
      </c>
      <c r="C222" s="76" t="str">
        <f>IFERROR(__xludf.DUMMYFUNCTION("""COMPUTED_VALUE"""),"")</f>
        <v/>
      </c>
    </row>
    <row r="223">
      <c r="B223" s="76" t="str">
        <f>IFERROR(__xludf.DUMMYFUNCTION("""COMPUTED_VALUE"""),"")</f>
        <v/>
      </c>
      <c r="C223" s="76" t="str">
        <f>IFERROR(__xludf.DUMMYFUNCTION("""COMPUTED_VALUE"""),"")</f>
        <v/>
      </c>
    </row>
    <row r="224">
      <c r="B224" s="76" t="str">
        <f>IFERROR(__xludf.DUMMYFUNCTION("""COMPUTED_VALUE"""),"")</f>
        <v/>
      </c>
      <c r="C224" s="76" t="str">
        <f>IFERROR(__xludf.DUMMYFUNCTION("""COMPUTED_VALUE"""),"")</f>
        <v/>
      </c>
    </row>
    <row r="225">
      <c r="B225" s="76" t="str">
        <f>IFERROR(__xludf.DUMMYFUNCTION("""COMPUTED_VALUE"""),"")</f>
        <v/>
      </c>
      <c r="C225" s="76" t="str">
        <f>IFERROR(__xludf.DUMMYFUNCTION("""COMPUTED_VALUE"""),"")</f>
        <v/>
      </c>
    </row>
    <row r="226">
      <c r="B226" s="76" t="str">
        <f>IFERROR(__xludf.DUMMYFUNCTION("""COMPUTED_VALUE"""),"")</f>
        <v/>
      </c>
      <c r="C226" s="76" t="str">
        <f>IFERROR(__xludf.DUMMYFUNCTION("""COMPUTED_VALUE"""),"")</f>
        <v/>
      </c>
    </row>
    <row r="227">
      <c r="B227" s="76" t="str">
        <f>IFERROR(__xludf.DUMMYFUNCTION("""COMPUTED_VALUE"""),"")</f>
        <v/>
      </c>
      <c r="C227" s="76" t="str">
        <f>IFERROR(__xludf.DUMMYFUNCTION("""COMPUTED_VALUE"""),"")</f>
        <v/>
      </c>
    </row>
    <row r="228">
      <c r="B228" s="76" t="str">
        <f>IFERROR(__xludf.DUMMYFUNCTION("""COMPUTED_VALUE"""),"")</f>
        <v/>
      </c>
      <c r="C228" s="76" t="str">
        <f>IFERROR(__xludf.DUMMYFUNCTION("""COMPUTED_VALUE"""),"")</f>
        <v/>
      </c>
    </row>
    <row r="229">
      <c r="B229" s="76" t="str">
        <f>IFERROR(__xludf.DUMMYFUNCTION("""COMPUTED_VALUE"""),"")</f>
        <v/>
      </c>
      <c r="C229" s="76" t="str">
        <f>IFERROR(__xludf.DUMMYFUNCTION("""COMPUTED_VALUE"""),"")</f>
        <v/>
      </c>
    </row>
    <row r="230">
      <c r="B230" s="76" t="str">
        <f>IFERROR(__xludf.DUMMYFUNCTION("""COMPUTED_VALUE"""),"")</f>
        <v/>
      </c>
      <c r="C230" s="76" t="str">
        <f>IFERROR(__xludf.DUMMYFUNCTION("""COMPUTED_VALUE"""),"")</f>
        <v/>
      </c>
    </row>
    <row r="231">
      <c r="B231" s="76" t="str">
        <f>IFERROR(__xludf.DUMMYFUNCTION("""COMPUTED_VALUE"""),"")</f>
        <v/>
      </c>
      <c r="C231" s="76" t="str">
        <f>IFERROR(__xludf.DUMMYFUNCTION("""COMPUTED_VALUE"""),"")</f>
        <v/>
      </c>
    </row>
    <row r="232">
      <c r="B232" s="76" t="str">
        <f>IFERROR(__xludf.DUMMYFUNCTION("""COMPUTED_VALUE"""),"")</f>
        <v/>
      </c>
      <c r="C232" s="76" t="str">
        <f>IFERROR(__xludf.DUMMYFUNCTION("""COMPUTED_VALUE"""),"")</f>
        <v/>
      </c>
    </row>
    <row r="233">
      <c r="B233" s="76" t="str">
        <f>IFERROR(__xludf.DUMMYFUNCTION("""COMPUTED_VALUE"""),"")</f>
        <v/>
      </c>
      <c r="C233" s="76" t="str">
        <f>IFERROR(__xludf.DUMMYFUNCTION("""COMPUTED_VALUE"""),"")</f>
        <v/>
      </c>
    </row>
    <row r="234">
      <c r="B234" s="76" t="str">
        <f>IFERROR(__xludf.DUMMYFUNCTION("""COMPUTED_VALUE"""),"")</f>
        <v/>
      </c>
      <c r="C234" s="76" t="str">
        <f>IFERROR(__xludf.DUMMYFUNCTION("""COMPUTED_VALUE"""),"")</f>
        <v/>
      </c>
    </row>
    <row r="235">
      <c r="B235" s="76" t="str">
        <f>IFERROR(__xludf.DUMMYFUNCTION("""COMPUTED_VALUE"""),"")</f>
        <v/>
      </c>
      <c r="C235" s="76" t="str">
        <f>IFERROR(__xludf.DUMMYFUNCTION("""COMPUTED_VALUE"""),"")</f>
        <v/>
      </c>
    </row>
    <row r="236">
      <c r="B236" s="76" t="str">
        <f>IFERROR(__xludf.DUMMYFUNCTION("""COMPUTED_VALUE"""),"")</f>
        <v/>
      </c>
      <c r="C236" s="76" t="str">
        <f>IFERROR(__xludf.DUMMYFUNCTION("""COMPUTED_VALUE"""),"")</f>
        <v/>
      </c>
    </row>
    <row r="237">
      <c r="B237" s="76" t="str">
        <f>IFERROR(__xludf.DUMMYFUNCTION("""COMPUTED_VALUE"""),"")</f>
        <v/>
      </c>
      <c r="C237" s="76" t="str">
        <f>IFERROR(__xludf.DUMMYFUNCTION("""COMPUTED_VALUE"""),"")</f>
        <v/>
      </c>
    </row>
    <row r="238">
      <c r="B238" s="76" t="str">
        <f>IFERROR(__xludf.DUMMYFUNCTION("""COMPUTED_VALUE"""),"")</f>
        <v/>
      </c>
      <c r="C238" s="76" t="str">
        <f>IFERROR(__xludf.DUMMYFUNCTION("""COMPUTED_VALUE"""),"")</f>
        <v/>
      </c>
    </row>
    <row r="239">
      <c r="B239" s="76" t="str">
        <f>IFERROR(__xludf.DUMMYFUNCTION("""COMPUTED_VALUE"""),"")</f>
        <v/>
      </c>
      <c r="C239" s="76" t="str">
        <f>IFERROR(__xludf.DUMMYFUNCTION("""COMPUTED_VALUE"""),"")</f>
        <v/>
      </c>
    </row>
    <row r="240">
      <c r="B240" s="76" t="str">
        <f>IFERROR(__xludf.DUMMYFUNCTION("""COMPUTED_VALUE"""),"")</f>
        <v/>
      </c>
      <c r="C240" s="76" t="str">
        <f>IFERROR(__xludf.DUMMYFUNCTION("""COMPUTED_VALUE"""),"")</f>
        <v/>
      </c>
    </row>
    <row r="241">
      <c r="B241" s="76" t="str">
        <f>IFERROR(__xludf.DUMMYFUNCTION("""COMPUTED_VALUE"""),"")</f>
        <v/>
      </c>
      <c r="C241" s="76" t="str">
        <f>IFERROR(__xludf.DUMMYFUNCTION("""COMPUTED_VALUE"""),"")</f>
        <v/>
      </c>
    </row>
    <row r="242">
      <c r="B242" s="76" t="str">
        <f>IFERROR(__xludf.DUMMYFUNCTION("""COMPUTED_VALUE"""),"")</f>
        <v/>
      </c>
      <c r="C242" s="76" t="str">
        <f>IFERROR(__xludf.DUMMYFUNCTION("""COMPUTED_VALUE"""),"")</f>
        <v/>
      </c>
    </row>
    <row r="243">
      <c r="B243" s="76" t="str">
        <f>IFERROR(__xludf.DUMMYFUNCTION("""COMPUTED_VALUE"""),"")</f>
        <v/>
      </c>
      <c r="C243" s="76" t="str">
        <f>IFERROR(__xludf.DUMMYFUNCTION("""COMPUTED_VALUE"""),"")</f>
        <v/>
      </c>
    </row>
    <row r="244">
      <c r="B244" s="76" t="str">
        <f>IFERROR(__xludf.DUMMYFUNCTION("""COMPUTED_VALUE"""),"")</f>
        <v/>
      </c>
      <c r="C244" s="76" t="str">
        <f>IFERROR(__xludf.DUMMYFUNCTION("""COMPUTED_VALUE"""),"")</f>
        <v/>
      </c>
    </row>
    <row r="245">
      <c r="B245" s="76" t="str">
        <f>IFERROR(__xludf.DUMMYFUNCTION("""COMPUTED_VALUE"""),"")</f>
        <v/>
      </c>
      <c r="C245" s="76" t="str">
        <f>IFERROR(__xludf.DUMMYFUNCTION("""COMPUTED_VALUE"""),"")</f>
        <v/>
      </c>
    </row>
    <row r="246">
      <c r="B246" s="76" t="str">
        <f>IFERROR(__xludf.DUMMYFUNCTION("""COMPUTED_VALUE"""),"")</f>
        <v/>
      </c>
      <c r="C246" s="76" t="str">
        <f>IFERROR(__xludf.DUMMYFUNCTION("""COMPUTED_VALUE"""),"")</f>
        <v/>
      </c>
    </row>
    <row r="247">
      <c r="B247" s="76" t="str">
        <f>IFERROR(__xludf.DUMMYFUNCTION("""COMPUTED_VALUE"""),"")</f>
        <v/>
      </c>
      <c r="C247" s="76" t="str">
        <f>IFERROR(__xludf.DUMMYFUNCTION("""COMPUTED_VALUE"""),"")</f>
        <v/>
      </c>
    </row>
    <row r="248">
      <c r="B248" s="76" t="str">
        <f>IFERROR(__xludf.DUMMYFUNCTION("""COMPUTED_VALUE"""),"")</f>
        <v/>
      </c>
      <c r="C248" s="76" t="str">
        <f>IFERROR(__xludf.DUMMYFUNCTION("""COMPUTED_VALUE"""),"")</f>
        <v/>
      </c>
    </row>
    <row r="249">
      <c r="B249" s="76" t="str">
        <f>IFERROR(__xludf.DUMMYFUNCTION("""COMPUTED_VALUE"""),"")</f>
        <v/>
      </c>
      <c r="C249" s="76" t="str">
        <f>IFERROR(__xludf.DUMMYFUNCTION("""COMPUTED_VALUE"""),"")</f>
        <v/>
      </c>
    </row>
    <row r="250">
      <c r="B250" s="76" t="str">
        <f>IFERROR(__xludf.DUMMYFUNCTION("""COMPUTED_VALUE"""),"")</f>
        <v/>
      </c>
      <c r="C250" s="76" t="str">
        <f>IFERROR(__xludf.DUMMYFUNCTION("""COMPUTED_VALUE"""),"")</f>
        <v/>
      </c>
    </row>
    <row r="251">
      <c r="B251" s="76" t="str">
        <f>IFERROR(__xludf.DUMMYFUNCTION("""COMPUTED_VALUE"""),"")</f>
        <v/>
      </c>
      <c r="C251" s="76" t="str">
        <f>IFERROR(__xludf.DUMMYFUNCTION("""COMPUTED_VALUE"""),"")</f>
        <v/>
      </c>
    </row>
    <row r="252">
      <c r="B252" s="76" t="str">
        <f>IFERROR(__xludf.DUMMYFUNCTION("""COMPUTED_VALUE"""),"")</f>
        <v/>
      </c>
      <c r="C252" s="76" t="str">
        <f>IFERROR(__xludf.DUMMYFUNCTION("""COMPUTED_VALUE"""),"")</f>
        <v/>
      </c>
    </row>
    <row r="253">
      <c r="B253" s="76" t="str">
        <f>IFERROR(__xludf.DUMMYFUNCTION("""COMPUTED_VALUE"""),"")</f>
        <v/>
      </c>
      <c r="C253" s="76" t="str">
        <f>IFERROR(__xludf.DUMMYFUNCTION("""COMPUTED_VALUE"""),"")</f>
        <v/>
      </c>
    </row>
    <row r="254">
      <c r="B254" s="76" t="str">
        <f>IFERROR(__xludf.DUMMYFUNCTION("""COMPUTED_VALUE"""),"")</f>
        <v/>
      </c>
      <c r="C254" s="76" t="str">
        <f>IFERROR(__xludf.DUMMYFUNCTION("""COMPUTED_VALUE"""),"")</f>
        <v/>
      </c>
    </row>
    <row r="255">
      <c r="B255" s="76" t="str">
        <f>IFERROR(__xludf.DUMMYFUNCTION("""COMPUTED_VALUE"""),"")</f>
        <v/>
      </c>
      <c r="C255" s="76" t="str">
        <f>IFERROR(__xludf.DUMMYFUNCTION("""COMPUTED_VALUE"""),"")</f>
        <v/>
      </c>
    </row>
    <row r="256">
      <c r="B256" s="76" t="str">
        <f>IFERROR(__xludf.DUMMYFUNCTION("""COMPUTED_VALUE"""),"")</f>
        <v/>
      </c>
      <c r="C256" s="76" t="str">
        <f>IFERROR(__xludf.DUMMYFUNCTION("""COMPUTED_VALUE"""),"")</f>
        <v/>
      </c>
    </row>
    <row r="257">
      <c r="B257" s="76" t="str">
        <f>IFERROR(__xludf.DUMMYFUNCTION("""COMPUTED_VALUE"""),"")</f>
        <v/>
      </c>
      <c r="C257" s="76" t="str">
        <f>IFERROR(__xludf.DUMMYFUNCTION("""COMPUTED_VALUE"""),"")</f>
        <v/>
      </c>
    </row>
    <row r="258">
      <c r="B258" s="76" t="str">
        <f>IFERROR(__xludf.DUMMYFUNCTION("""COMPUTED_VALUE"""),"")</f>
        <v/>
      </c>
      <c r="C258" s="76" t="str">
        <f>IFERROR(__xludf.DUMMYFUNCTION("""COMPUTED_VALUE"""),"")</f>
        <v/>
      </c>
    </row>
    <row r="259">
      <c r="B259" s="76" t="str">
        <f>IFERROR(__xludf.DUMMYFUNCTION("""COMPUTED_VALUE"""),"")</f>
        <v/>
      </c>
      <c r="C259" s="76" t="str">
        <f>IFERROR(__xludf.DUMMYFUNCTION("""COMPUTED_VALUE"""),"")</f>
        <v/>
      </c>
    </row>
    <row r="260">
      <c r="B260" s="76" t="str">
        <f>IFERROR(__xludf.DUMMYFUNCTION("""COMPUTED_VALUE"""),"")</f>
        <v/>
      </c>
      <c r="C260" s="76" t="str">
        <f>IFERROR(__xludf.DUMMYFUNCTION("""COMPUTED_VALUE"""),"")</f>
        <v/>
      </c>
    </row>
    <row r="261">
      <c r="B261" s="76" t="str">
        <f>IFERROR(__xludf.DUMMYFUNCTION("""COMPUTED_VALUE"""),"")</f>
        <v/>
      </c>
      <c r="C261" s="76" t="str">
        <f>IFERROR(__xludf.DUMMYFUNCTION("""COMPUTED_VALUE"""),"")</f>
        <v/>
      </c>
    </row>
    <row r="262">
      <c r="B262" s="76" t="str">
        <f>IFERROR(__xludf.DUMMYFUNCTION("""COMPUTED_VALUE"""),"")</f>
        <v/>
      </c>
      <c r="C262" s="76" t="str">
        <f>IFERROR(__xludf.DUMMYFUNCTION("""COMPUTED_VALUE"""),"")</f>
        <v/>
      </c>
    </row>
    <row r="263">
      <c r="B263" s="76" t="str">
        <f>IFERROR(__xludf.DUMMYFUNCTION("""COMPUTED_VALUE"""),"")</f>
        <v/>
      </c>
      <c r="C263" s="76" t="str">
        <f>IFERROR(__xludf.DUMMYFUNCTION("""COMPUTED_VALUE"""),"")</f>
        <v/>
      </c>
    </row>
    <row r="264">
      <c r="B264" s="76" t="str">
        <f>IFERROR(__xludf.DUMMYFUNCTION("""COMPUTED_VALUE"""),"")</f>
        <v/>
      </c>
      <c r="C264" s="76" t="str">
        <f>IFERROR(__xludf.DUMMYFUNCTION("""COMPUTED_VALUE"""),"")</f>
        <v/>
      </c>
    </row>
    <row r="265">
      <c r="B265" s="76" t="str">
        <f>IFERROR(__xludf.DUMMYFUNCTION("""COMPUTED_VALUE"""),"")</f>
        <v/>
      </c>
      <c r="C265" s="76" t="str">
        <f>IFERROR(__xludf.DUMMYFUNCTION("""COMPUTED_VALUE"""),"")</f>
        <v/>
      </c>
    </row>
    <row r="266">
      <c r="B266" s="76" t="str">
        <f>IFERROR(__xludf.DUMMYFUNCTION("""COMPUTED_VALUE"""),"")</f>
        <v/>
      </c>
      <c r="C266" s="76" t="str">
        <f>IFERROR(__xludf.DUMMYFUNCTION("""COMPUTED_VALUE"""),"")</f>
        <v/>
      </c>
    </row>
    <row r="267">
      <c r="B267" s="76" t="str">
        <f>IFERROR(__xludf.DUMMYFUNCTION("""COMPUTED_VALUE"""),"")</f>
        <v/>
      </c>
      <c r="C267" s="76" t="str">
        <f>IFERROR(__xludf.DUMMYFUNCTION("""COMPUTED_VALUE"""),"")</f>
        <v/>
      </c>
    </row>
    <row r="268">
      <c r="B268" s="76" t="str">
        <f>IFERROR(__xludf.DUMMYFUNCTION("""COMPUTED_VALUE"""),"")</f>
        <v/>
      </c>
      <c r="C268" s="76" t="str">
        <f>IFERROR(__xludf.DUMMYFUNCTION("""COMPUTED_VALUE"""),"")</f>
        <v/>
      </c>
    </row>
    <row r="269">
      <c r="B269" s="76" t="str">
        <f>IFERROR(__xludf.DUMMYFUNCTION("""COMPUTED_VALUE"""),"")</f>
        <v/>
      </c>
      <c r="C269" s="76" t="str">
        <f>IFERROR(__xludf.DUMMYFUNCTION("""COMPUTED_VALUE"""),"")</f>
        <v/>
      </c>
    </row>
    <row r="270">
      <c r="B270" s="76" t="str">
        <f>IFERROR(__xludf.DUMMYFUNCTION("""COMPUTED_VALUE"""),"")</f>
        <v/>
      </c>
      <c r="C270" s="76" t="str">
        <f>IFERROR(__xludf.DUMMYFUNCTION("""COMPUTED_VALUE"""),"")</f>
        <v/>
      </c>
    </row>
    <row r="271">
      <c r="B271" s="76" t="str">
        <f>IFERROR(__xludf.DUMMYFUNCTION("""COMPUTED_VALUE"""),"")</f>
        <v/>
      </c>
      <c r="C271" s="76" t="str">
        <f>IFERROR(__xludf.DUMMYFUNCTION("""COMPUTED_VALUE"""),"")</f>
        <v/>
      </c>
    </row>
    <row r="272">
      <c r="B272" s="76" t="str">
        <f>IFERROR(__xludf.DUMMYFUNCTION("""COMPUTED_VALUE"""),"")</f>
        <v/>
      </c>
      <c r="C272" s="76" t="str">
        <f>IFERROR(__xludf.DUMMYFUNCTION("""COMPUTED_VALUE"""),"")</f>
        <v/>
      </c>
    </row>
    <row r="273">
      <c r="B273" s="76" t="str">
        <f>IFERROR(__xludf.DUMMYFUNCTION("""COMPUTED_VALUE"""),"")</f>
        <v/>
      </c>
      <c r="C273" s="76" t="str">
        <f>IFERROR(__xludf.DUMMYFUNCTION("""COMPUTED_VALUE"""),"")</f>
        <v/>
      </c>
    </row>
    <row r="274">
      <c r="B274" s="76" t="str">
        <f>IFERROR(__xludf.DUMMYFUNCTION("""COMPUTED_VALUE"""),"")</f>
        <v/>
      </c>
      <c r="C274" s="76" t="str">
        <f>IFERROR(__xludf.DUMMYFUNCTION("""COMPUTED_VALUE"""),"")</f>
        <v/>
      </c>
    </row>
    <row r="275">
      <c r="B275" s="76" t="str">
        <f>IFERROR(__xludf.DUMMYFUNCTION("""COMPUTED_VALUE"""),"")</f>
        <v/>
      </c>
      <c r="C275" s="76" t="str">
        <f>IFERROR(__xludf.DUMMYFUNCTION("""COMPUTED_VALUE"""),"")</f>
        <v/>
      </c>
    </row>
    <row r="276">
      <c r="B276" s="76" t="str">
        <f>IFERROR(__xludf.DUMMYFUNCTION("""COMPUTED_VALUE"""),"")</f>
        <v/>
      </c>
      <c r="C276" s="76" t="str">
        <f>IFERROR(__xludf.DUMMYFUNCTION("""COMPUTED_VALUE"""),"")</f>
        <v/>
      </c>
    </row>
    <row r="277">
      <c r="B277" s="76" t="str">
        <f>IFERROR(__xludf.DUMMYFUNCTION("""COMPUTED_VALUE"""),"")</f>
        <v/>
      </c>
      <c r="C277" s="76" t="str">
        <f>IFERROR(__xludf.DUMMYFUNCTION("""COMPUTED_VALUE"""),"")</f>
        <v/>
      </c>
    </row>
    <row r="278">
      <c r="B278" s="76" t="str">
        <f>IFERROR(__xludf.DUMMYFUNCTION("""COMPUTED_VALUE"""),"")</f>
        <v/>
      </c>
      <c r="C278" s="76" t="str">
        <f>IFERROR(__xludf.DUMMYFUNCTION("""COMPUTED_VALUE"""),"")</f>
        <v/>
      </c>
    </row>
    <row r="279">
      <c r="B279" s="76" t="str">
        <f>IFERROR(__xludf.DUMMYFUNCTION("""COMPUTED_VALUE"""),"")</f>
        <v/>
      </c>
      <c r="C279" s="76" t="str">
        <f>IFERROR(__xludf.DUMMYFUNCTION("""COMPUTED_VALUE"""),"")</f>
        <v/>
      </c>
    </row>
    <row r="280">
      <c r="B280" s="76" t="str">
        <f>IFERROR(__xludf.DUMMYFUNCTION("""COMPUTED_VALUE"""),"")</f>
        <v/>
      </c>
      <c r="C280" s="76" t="str">
        <f>IFERROR(__xludf.DUMMYFUNCTION("""COMPUTED_VALUE"""),"")</f>
        <v/>
      </c>
    </row>
    <row r="281">
      <c r="B281" s="76" t="str">
        <f>IFERROR(__xludf.DUMMYFUNCTION("""COMPUTED_VALUE"""),"")</f>
        <v/>
      </c>
      <c r="C281" s="76" t="str">
        <f>IFERROR(__xludf.DUMMYFUNCTION("""COMPUTED_VALUE"""),"")</f>
        <v/>
      </c>
    </row>
    <row r="282">
      <c r="B282" s="76" t="str">
        <f>IFERROR(__xludf.DUMMYFUNCTION("""COMPUTED_VALUE"""),"")</f>
        <v/>
      </c>
      <c r="C282" s="76" t="str">
        <f>IFERROR(__xludf.DUMMYFUNCTION("""COMPUTED_VALUE"""),"")</f>
        <v/>
      </c>
    </row>
    <row r="283">
      <c r="B283" s="76" t="str">
        <f>IFERROR(__xludf.DUMMYFUNCTION("""COMPUTED_VALUE"""),"")</f>
        <v/>
      </c>
      <c r="C283" s="76" t="str">
        <f>IFERROR(__xludf.DUMMYFUNCTION("""COMPUTED_VALUE"""),"")</f>
        <v/>
      </c>
    </row>
    <row r="284">
      <c r="B284" s="76" t="str">
        <f>IFERROR(__xludf.DUMMYFUNCTION("""COMPUTED_VALUE"""),"")</f>
        <v/>
      </c>
      <c r="C284" s="76" t="str">
        <f>IFERROR(__xludf.DUMMYFUNCTION("""COMPUTED_VALUE"""),"")</f>
        <v/>
      </c>
    </row>
    <row r="285">
      <c r="B285" s="76" t="str">
        <f>IFERROR(__xludf.DUMMYFUNCTION("""COMPUTED_VALUE"""),"")</f>
        <v/>
      </c>
      <c r="C285" s="76" t="str">
        <f>IFERROR(__xludf.DUMMYFUNCTION("""COMPUTED_VALUE"""),"")</f>
        <v/>
      </c>
    </row>
    <row r="286">
      <c r="B286" s="76" t="str">
        <f>IFERROR(__xludf.DUMMYFUNCTION("""COMPUTED_VALUE"""),"")</f>
        <v/>
      </c>
      <c r="C286" s="76" t="str">
        <f>IFERROR(__xludf.DUMMYFUNCTION("""COMPUTED_VALUE"""),"")</f>
        <v/>
      </c>
    </row>
    <row r="287">
      <c r="B287" s="76" t="str">
        <f>IFERROR(__xludf.DUMMYFUNCTION("""COMPUTED_VALUE"""),"")</f>
        <v/>
      </c>
      <c r="C287" s="76" t="str">
        <f>IFERROR(__xludf.DUMMYFUNCTION("""COMPUTED_VALUE"""),"")</f>
        <v/>
      </c>
    </row>
    <row r="288">
      <c r="B288" s="76" t="str">
        <f>IFERROR(__xludf.DUMMYFUNCTION("""COMPUTED_VALUE"""),"")</f>
        <v/>
      </c>
      <c r="C288" s="76" t="str">
        <f>IFERROR(__xludf.DUMMYFUNCTION("""COMPUTED_VALUE"""),"")</f>
        <v/>
      </c>
    </row>
    <row r="289">
      <c r="B289" s="76" t="str">
        <f>IFERROR(__xludf.DUMMYFUNCTION("""COMPUTED_VALUE"""),"")</f>
        <v/>
      </c>
      <c r="C289" s="76" t="str">
        <f>IFERROR(__xludf.DUMMYFUNCTION("""COMPUTED_VALUE"""),"")</f>
        <v/>
      </c>
    </row>
    <row r="290">
      <c r="B290" s="76" t="str">
        <f>IFERROR(__xludf.DUMMYFUNCTION("""COMPUTED_VALUE"""),"")</f>
        <v/>
      </c>
      <c r="C290" s="76" t="str">
        <f>IFERROR(__xludf.DUMMYFUNCTION("""COMPUTED_VALUE"""),"")</f>
        <v/>
      </c>
    </row>
    <row r="291">
      <c r="B291" s="76" t="str">
        <f>IFERROR(__xludf.DUMMYFUNCTION("""COMPUTED_VALUE"""),"")</f>
        <v/>
      </c>
      <c r="C291" s="76" t="str">
        <f>IFERROR(__xludf.DUMMYFUNCTION("""COMPUTED_VALUE"""),"")</f>
        <v/>
      </c>
    </row>
    <row r="292">
      <c r="B292" s="76" t="str">
        <f>IFERROR(__xludf.DUMMYFUNCTION("""COMPUTED_VALUE"""),"")</f>
        <v/>
      </c>
      <c r="C292" s="76" t="str">
        <f>IFERROR(__xludf.DUMMYFUNCTION("""COMPUTED_VALUE"""),"")</f>
        <v/>
      </c>
    </row>
    <row r="293">
      <c r="B293" s="76" t="str">
        <f>IFERROR(__xludf.DUMMYFUNCTION("""COMPUTED_VALUE"""),"")</f>
        <v/>
      </c>
      <c r="C293" s="76" t="str">
        <f>IFERROR(__xludf.DUMMYFUNCTION("""COMPUTED_VALUE"""),"")</f>
        <v/>
      </c>
    </row>
    <row r="294">
      <c r="B294" s="76" t="str">
        <f>IFERROR(__xludf.DUMMYFUNCTION("""COMPUTED_VALUE"""),"")</f>
        <v/>
      </c>
      <c r="C294" s="76" t="str">
        <f>IFERROR(__xludf.DUMMYFUNCTION("""COMPUTED_VALUE"""),"")</f>
        <v/>
      </c>
    </row>
    <row r="295">
      <c r="B295" s="76" t="str">
        <f>IFERROR(__xludf.DUMMYFUNCTION("""COMPUTED_VALUE"""),"")</f>
        <v/>
      </c>
      <c r="C295" s="76" t="str">
        <f>IFERROR(__xludf.DUMMYFUNCTION("""COMPUTED_VALUE"""),"")</f>
        <v/>
      </c>
    </row>
    <row r="296">
      <c r="B296" s="76" t="str">
        <f>IFERROR(__xludf.DUMMYFUNCTION("""COMPUTED_VALUE"""),"")</f>
        <v/>
      </c>
      <c r="C296" s="76" t="str">
        <f>IFERROR(__xludf.DUMMYFUNCTION("""COMPUTED_VALUE"""),"")</f>
        <v/>
      </c>
    </row>
    <row r="297">
      <c r="B297" s="76" t="str">
        <f>IFERROR(__xludf.DUMMYFUNCTION("""COMPUTED_VALUE"""),"")</f>
        <v/>
      </c>
      <c r="C297" s="76" t="str">
        <f>IFERROR(__xludf.DUMMYFUNCTION("""COMPUTED_VALUE"""),"")</f>
        <v/>
      </c>
    </row>
    <row r="298">
      <c r="B298" s="76" t="str">
        <f>IFERROR(__xludf.DUMMYFUNCTION("""COMPUTED_VALUE"""),"")</f>
        <v/>
      </c>
      <c r="C298" s="76" t="str">
        <f>IFERROR(__xludf.DUMMYFUNCTION("""COMPUTED_VALUE"""),"")</f>
        <v/>
      </c>
    </row>
    <row r="299">
      <c r="B299" s="76" t="str">
        <f>IFERROR(__xludf.DUMMYFUNCTION("""COMPUTED_VALUE"""),"")</f>
        <v/>
      </c>
      <c r="C299" s="76" t="str">
        <f>IFERROR(__xludf.DUMMYFUNCTION("""COMPUTED_VALUE"""),"")</f>
        <v/>
      </c>
    </row>
    <row r="300">
      <c r="B300" s="76" t="str">
        <f>IFERROR(__xludf.DUMMYFUNCTION("""COMPUTED_VALUE"""),"")</f>
        <v/>
      </c>
      <c r="C300" s="76" t="str">
        <f>IFERROR(__xludf.DUMMYFUNCTION("""COMPUTED_VALUE"""),"")</f>
        <v/>
      </c>
    </row>
    <row r="301">
      <c r="B301" s="76" t="str">
        <f>IFERROR(__xludf.DUMMYFUNCTION("""COMPUTED_VALUE"""),"")</f>
        <v/>
      </c>
      <c r="C301" s="76" t="str">
        <f>IFERROR(__xludf.DUMMYFUNCTION("""COMPUTED_VALUE"""),"")</f>
        <v/>
      </c>
    </row>
    <row r="302">
      <c r="B302" s="76" t="str">
        <f>IFERROR(__xludf.DUMMYFUNCTION("""COMPUTED_VALUE"""),"")</f>
        <v/>
      </c>
      <c r="C302" s="76" t="str">
        <f>IFERROR(__xludf.DUMMYFUNCTION("""COMPUTED_VALUE"""),"")</f>
        <v/>
      </c>
    </row>
    <row r="303">
      <c r="B303" s="76" t="str">
        <f>IFERROR(__xludf.DUMMYFUNCTION("""COMPUTED_VALUE"""),"")</f>
        <v/>
      </c>
      <c r="C303" s="76" t="str">
        <f>IFERROR(__xludf.DUMMYFUNCTION("""COMPUTED_VALUE"""),"")</f>
        <v/>
      </c>
    </row>
    <row r="304">
      <c r="B304" s="76" t="str">
        <f>IFERROR(__xludf.DUMMYFUNCTION("""COMPUTED_VALUE"""),"")</f>
        <v/>
      </c>
      <c r="C304" s="76" t="str">
        <f>IFERROR(__xludf.DUMMYFUNCTION("""COMPUTED_VALUE"""),"")</f>
        <v/>
      </c>
    </row>
    <row r="305">
      <c r="B305" s="76" t="str">
        <f>IFERROR(__xludf.DUMMYFUNCTION("""COMPUTED_VALUE"""),"")</f>
        <v/>
      </c>
      <c r="C305" s="76" t="str">
        <f>IFERROR(__xludf.DUMMYFUNCTION("""COMPUTED_VALUE"""),"")</f>
        <v/>
      </c>
    </row>
    <row r="306">
      <c r="B306" s="76" t="str">
        <f>IFERROR(__xludf.DUMMYFUNCTION("""COMPUTED_VALUE"""),"")</f>
        <v/>
      </c>
      <c r="C306" s="76" t="str">
        <f>IFERROR(__xludf.DUMMYFUNCTION("""COMPUTED_VALUE"""),"")</f>
        <v/>
      </c>
    </row>
    <row r="307">
      <c r="B307" s="76" t="str">
        <f>IFERROR(__xludf.DUMMYFUNCTION("""COMPUTED_VALUE"""),"")</f>
        <v/>
      </c>
      <c r="C307" s="76" t="str">
        <f>IFERROR(__xludf.DUMMYFUNCTION("""COMPUTED_VALUE"""),"")</f>
        <v/>
      </c>
    </row>
    <row r="308">
      <c r="B308" s="76" t="str">
        <f>IFERROR(__xludf.DUMMYFUNCTION("""COMPUTED_VALUE"""),"")</f>
        <v/>
      </c>
      <c r="C308" s="76" t="str">
        <f>IFERROR(__xludf.DUMMYFUNCTION("""COMPUTED_VALUE"""),"")</f>
        <v/>
      </c>
    </row>
    <row r="309">
      <c r="B309" s="76" t="str">
        <f>IFERROR(__xludf.DUMMYFUNCTION("""COMPUTED_VALUE"""),"")</f>
        <v/>
      </c>
      <c r="C309" s="76" t="str">
        <f>IFERROR(__xludf.DUMMYFUNCTION("""COMPUTED_VALUE"""),"")</f>
        <v/>
      </c>
    </row>
    <row r="310">
      <c r="B310" s="76" t="str">
        <f>IFERROR(__xludf.DUMMYFUNCTION("""COMPUTED_VALUE"""),"")</f>
        <v/>
      </c>
      <c r="C310" s="76" t="str">
        <f>IFERROR(__xludf.DUMMYFUNCTION("""COMPUTED_VALUE"""),"")</f>
        <v/>
      </c>
    </row>
    <row r="311">
      <c r="B311" s="76" t="str">
        <f>IFERROR(__xludf.DUMMYFUNCTION("""COMPUTED_VALUE"""),"")</f>
        <v/>
      </c>
      <c r="C311" s="76" t="str">
        <f>IFERROR(__xludf.DUMMYFUNCTION("""COMPUTED_VALUE"""),"")</f>
        <v/>
      </c>
    </row>
    <row r="312">
      <c r="B312" s="76" t="str">
        <f>IFERROR(__xludf.DUMMYFUNCTION("""COMPUTED_VALUE"""),"")</f>
        <v/>
      </c>
      <c r="C312" s="76" t="str">
        <f>IFERROR(__xludf.DUMMYFUNCTION("""COMPUTED_VALUE"""),"")</f>
        <v/>
      </c>
    </row>
    <row r="313">
      <c r="B313" s="76" t="str">
        <f>IFERROR(__xludf.DUMMYFUNCTION("""COMPUTED_VALUE"""),"")</f>
        <v/>
      </c>
      <c r="C313" s="76" t="str">
        <f>IFERROR(__xludf.DUMMYFUNCTION("""COMPUTED_VALUE"""),"")</f>
        <v/>
      </c>
    </row>
    <row r="314">
      <c r="B314" s="76" t="str">
        <f>IFERROR(__xludf.DUMMYFUNCTION("""COMPUTED_VALUE"""),"")</f>
        <v/>
      </c>
      <c r="C314" s="76" t="str">
        <f>IFERROR(__xludf.DUMMYFUNCTION("""COMPUTED_VALUE"""),"")</f>
        <v/>
      </c>
    </row>
    <row r="315">
      <c r="B315" s="76" t="str">
        <f>IFERROR(__xludf.DUMMYFUNCTION("""COMPUTED_VALUE"""),"")</f>
        <v/>
      </c>
      <c r="C315" s="76" t="str">
        <f>IFERROR(__xludf.DUMMYFUNCTION("""COMPUTED_VALUE"""),"")</f>
        <v/>
      </c>
    </row>
    <row r="316">
      <c r="B316" s="76" t="str">
        <f>IFERROR(__xludf.DUMMYFUNCTION("""COMPUTED_VALUE"""),"")</f>
        <v/>
      </c>
      <c r="C316" s="76" t="str">
        <f>IFERROR(__xludf.DUMMYFUNCTION("""COMPUTED_VALUE"""),"")</f>
        <v/>
      </c>
    </row>
    <row r="317">
      <c r="B317" s="76" t="str">
        <f>IFERROR(__xludf.DUMMYFUNCTION("""COMPUTED_VALUE"""),"")</f>
        <v/>
      </c>
      <c r="C317" s="76" t="str">
        <f>IFERROR(__xludf.DUMMYFUNCTION("""COMPUTED_VALUE"""),"")</f>
        <v/>
      </c>
    </row>
    <row r="318">
      <c r="B318" s="76" t="str">
        <f>IFERROR(__xludf.DUMMYFUNCTION("""COMPUTED_VALUE"""),"")</f>
        <v/>
      </c>
      <c r="C318" s="76" t="str">
        <f>IFERROR(__xludf.DUMMYFUNCTION("""COMPUTED_VALUE"""),"")</f>
        <v/>
      </c>
    </row>
    <row r="319">
      <c r="B319" s="76" t="str">
        <f>IFERROR(__xludf.DUMMYFUNCTION("""COMPUTED_VALUE"""),"")</f>
        <v/>
      </c>
      <c r="C319" s="76" t="str">
        <f>IFERROR(__xludf.DUMMYFUNCTION("""COMPUTED_VALUE"""),"")</f>
        <v/>
      </c>
    </row>
    <row r="320">
      <c r="B320" s="76" t="str">
        <f>IFERROR(__xludf.DUMMYFUNCTION("""COMPUTED_VALUE"""),"")</f>
        <v/>
      </c>
      <c r="C320" s="76" t="str">
        <f>IFERROR(__xludf.DUMMYFUNCTION("""COMPUTED_VALUE"""),"")</f>
        <v/>
      </c>
    </row>
    <row r="321">
      <c r="B321" s="76" t="str">
        <f>IFERROR(__xludf.DUMMYFUNCTION("""COMPUTED_VALUE"""),"")</f>
        <v/>
      </c>
      <c r="C321" s="76" t="str">
        <f>IFERROR(__xludf.DUMMYFUNCTION("""COMPUTED_VALUE"""),"")</f>
        <v/>
      </c>
    </row>
    <row r="322">
      <c r="B322" s="76" t="str">
        <f>IFERROR(__xludf.DUMMYFUNCTION("""COMPUTED_VALUE"""),"")</f>
        <v/>
      </c>
      <c r="C322" s="76" t="str">
        <f>IFERROR(__xludf.DUMMYFUNCTION("""COMPUTED_VALUE"""),"")</f>
        <v/>
      </c>
    </row>
    <row r="323">
      <c r="B323" s="76" t="str">
        <f>IFERROR(__xludf.DUMMYFUNCTION("""COMPUTED_VALUE"""),"")</f>
        <v/>
      </c>
      <c r="C323" s="76" t="str">
        <f>IFERROR(__xludf.DUMMYFUNCTION("""COMPUTED_VALUE"""),"")</f>
        <v/>
      </c>
    </row>
    <row r="324">
      <c r="B324" s="76" t="str">
        <f>IFERROR(__xludf.DUMMYFUNCTION("""COMPUTED_VALUE"""),"")</f>
        <v/>
      </c>
      <c r="C324" s="76" t="str">
        <f>IFERROR(__xludf.DUMMYFUNCTION("""COMPUTED_VALUE"""),"")</f>
        <v/>
      </c>
    </row>
    <row r="325">
      <c r="B325" s="76" t="str">
        <f>IFERROR(__xludf.DUMMYFUNCTION("""COMPUTED_VALUE"""),"")</f>
        <v/>
      </c>
      <c r="C325" s="76" t="str">
        <f>IFERROR(__xludf.DUMMYFUNCTION("""COMPUTED_VALUE"""),"")</f>
        <v/>
      </c>
    </row>
    <row r="326">
      <c r="B326" s="76" t="str">
        <f>IFERROR(__xludf.DUMMYFUNCTION("""COMPUTED_VALUE"""),"")</f>
        <v/>
      </c>
      <c r="C326" s="76" t="str">
        <f>IFERROR(__xludf.DUMMYFUNCTION("""COMPUTED_VALUE"""),"")</f>
        <v/>
      </c>
    </row>
    <row r="327">
      <c r="B327" s="76" t="str">
        <f>IFERROR(__xludf.DUMMYFUNCTION("""COMPUTED_VALUE"""),"")</f>
        <v/>
      </c>
      <c r="C327" s="76" t="str">
        <f>IFERROR(__xludf.DUMMYFUNCTION("""COMPUTED_VALUE"""),"")</f>
        <v/>
      </c>
    </row>
    <row r="328">
      <c r="B328" s="76" t="str">
        <f>IFERROR(__xludf.DUMMYFUNCTION("""COMPUTED_VALUE"""),"")</f>
        <v/>
      </c>
      <c r="C328" s="76" t="str">
        <f>IFERROR(__xludf.DUMMYFUNCTION("""COMPUTED_VALUE"""),"")</f>
        <v/>
      </c>
    </row>
    <row r="329">
      <c r="B329" s="76" t="str">
        <f>IFERROR(__xludf.DUMMYFUNCTION("""COMPUTED_VALUE"""),"")</f>
        <v/>
      </c>
      <c r="C329" s="76" t="str">
        <f>IFERROR(__xludf.DUMMYFUNCTION("""COMPUTED_VALUE"""),"")</f>
        <v/>
      </c>
    </row>
    <row r="330">
      <c r="B330" s="76" t="str">
        <f>IFERROR(__xludf.DUMMYFUNCTION("""COMPUTED_VALUE"""),"")</f>
        <v/>
      </c>
      <c r="C330" s="76" t="str">
        <f>IFERROR(__xludf.DUMMYFUNCTION("""COMPUTED_VALUE"""),"")</f>
        <v/>
      </c>
    </row>
    <row r="331">
      <c r="B331" s="76" t="str">
        <f>IFERROR(__xludf.DUMMYFUNCTION("""COMPUTED_VALUE"""),"")</f>
        <v/>
      </c>
      <c r="C331" s="76" t="str">
        <f>IFERROR(__xludf.DUMMYFUNCTION("""COMPUTED_VALUE"""),"")</f>
        <v/>
      </c>
    </row>
    <row r="332">
      <c r="B332" s="76" t="str">
        <f>IFERROR(__xludf.DUMMYFUNCTION("""COMPUTED_VALUE"""),"")</f>
        <v/>
      </c>
      <c r="C332" s="76" t="str">
        <f>IFERROR(__xludf.DUMMYFUNCTION("""COMPUTED_VALUE"""),"")</f>
        <v/>
      </c>
    </row>
    <row r="333">
      <c r="B333" s="76" t="str">
        <f>IFERROR(__xludf.DUMMYFUNCTION("""COMPUTED_VALUE"""),"")</f>
        <v/>
      </c>
      <c r="C333" s="76" t="str">
        <f>IFERROR(__xludf.DUMMYFUNCTION("""COMPUTED_VALUE"""),"")</f>
        <v/>
      </c>
    </row>
    <row r="334">
      <c r="B334" s="76" t="str">
        <f>IFERROR(__xludf.DUMMYFUNCTION("""COMPUTED_VALUE"""),"")</f>
        <v/>
      </c>
      <c r="C334" s="76" t="str">
        <f>IFERROR(__xludf.DUMMYFUNCTION("""COMPUTED_VALUE"""),"")</f>
        <v/>
      </c>
    </row>
    <row r="335">
      <c r="B335" s="76" t="str">
        <f>IFERROR(__xludf.DUMMYFUNCTION("""COMPUTED_VALUE"""),"")</f>
        <v/>
      </c>
      <c r="C335" s="76" t="str">
        <f>IFERROR(__xludf.DUMMYFUNCTION("""COMPUTED_VALUE"""),"")</f>
        <v/>
      </c>
    </row>
    <row r="336">
      <c r="B336" s="76" t="str">
        <f>IFERROR(__xludf.DUMMYFUNCTION("""COMPUTED_VALUE"""),"")</f>
        <v/>
      </c>
      <c r="C336" s="76" t="str">
        <f>IFERROR(__xludf.DUMMYFUNCTION("""COMPUTED_VALUE"""),"")</f>
        <v/>
      </c>
    </row>
    <row r="337">
      <c r="B337" s="76" t="str">
        <f>IFERROR(__xludf.DUMMYFUNCTION("""COMPUTED_VALUE"""),"")</f>
        <v/>
      </c>
      <c r="C337" s="76" t="str">
        <f>IFERROR(__xludf.DUMMYFUNCTION("""COMPUTED_VALUE"""),"")</f>
        <v/>
      </c>
    </row>
    <row r="338">
      <c r="B338" s="76" t="str">
        <f>IFERROR(__xludf.DUMMYFUNCTION("""COMPUTED_VALUE"""),"")</f>
        <v/>
      </c>
      <c r="C338" s="76" t="str">
        <f>IFERROR(__xludf.DUMMYFUNCTION("""COMPUTED_VALUE"""),"")</f>
        <v/>
      </c>
    </row>
    <row r="339">
      <c r="B339" s="76" t="str">
        <f>IFERROR(__xludf.DUMMYFUNCTION("""COMPUTED_VALUE"""),"")</f>
        <v/>
      </c>
      <c r="C339" s="76" t="str">
        <f>IFERROR(__xludf.DUMMYFUNCTION("""COMPUTED_VALUE"""),"")</f>
        <v/>
      </c>
    </row>
    <row r="340">
      <c r="B340" s="76" t="str">
        <f>IFERROR(__xludf.DUMMYFUNCTION("""COMPUTED_VALUE"""),"")</f>
        <v/>
      </c>
      <c r="C340" s="76" t="str">
        <f>IFERROR(__xludf.DUMMYFUNCTION("""COMPUTED_VALUE"""),"")</f>
        <v/>
      </c>
    </row>
    <row r="341">
      <c r="B341" s="76" t="str">
        <f>IFERROR(__xludf.DUMMYFUNCTION("""COMPUTED_VALUE"""),"")</f>
        <v/>
      </c>
      <c r="C341" s="76" t="str">
        <f>IFERROR(__xludf.DUMMYFUNCTION("""COMPUTED_VALUE"""),"")</f>
        <v/>
      </c>
    </row>
    <row r="342">
      <c r="B342" s="76" t="str">
        <f>IFERROR(__xludf.DUMMYFUNCTION("""COMPUTED_VALUE"""),"")</f>
        <v/>
      </c>
      <c r="C342" s="76" t="str">
        <f>IFERROR(__xludf.DUMMYFUNCTION("""COMPUTED_VALUE"""),"")</f>
        <v/>
      </c>
    </row>
    <row r="343">
      <c r="B343" s="76" t="str">
        <f>IFERROR(__xludf.DUMMYFUNCTION("""COMPUTED_VALUE"""),"")</f>
        <v/>
      </c>
      <c r="C343" s="76" t="str">
        <f>IFERROR(__xludf.DUMMYFUNCTION("""COMPUTED_VALUE"""),"")</f>
        <v/>
      </c>
    </row>
    <row r="344">
      <c r="B344" s="76" t="str">
        <f>IFERROR(__xludf.DUMMYFUNCTION("""COMPUTED_VALUE"""),"")</f>
        <v/>
      </c>
      <c r="C344" s="76" t="str">
        <f>IFERROR(__xludf.DUMMYFUNCTION("""COMPUTED_VALUE"""),"")</f>
        <v/>
      </c>
    </row>
    <row r="345">
      <c r="B345" s="76" t="str">
        <f>IFERROR(__xludf.DUMMYFUNCTION("""COMPUTED_VALUE"""),"")</f>
        <v/>
      </c>
      <c r="C345" s="76" t="str">
        <f>IFERROR(__xludf.DUMMYFUNCTION("""COMPUTED_VALUE"""),"")</f>
        <v/>
      </c>
    </row>
    <row r="346">
      <c r="B346" s="76" t="str">
        <f>IFERROR(__xludf.DUMMYFUNCTION("""COMPUTED_VALUE"""),"")</f>
        <v/>
      </c>
      <c r="C346" s="76" t="str">
        <f>IFERROR(__xludf.DUMMYFUNCTION("""COMPUTED_VALUE"""),"")</f>
        <v/>
      </c>
    </row>
    <row r="347">
      <c r="B347" s="76" t="str">
        <f>IFERROR(__xludf.DUMMYFUNCTION("""COMPUTED_VALUE"""),"")</f>
        <v/>
      </c>
      <c r="C347" s="76" t="str">
        <f>IFERROR(__xludf.DUMMYFUNCTION("""COMPUTED_VALUE"""),"")</f>
        <v/>
      </c>
    </row>
    <row r="348">
      <c r="B348" s="76" t="str">
        <f>IFERROR(__xludf.DUMMYFUNCTION("""COMPUTED_VALUE"""),"")</f>
        <v/>
      </c>
      <c r="C348" s="76" t="str">
        <f>IFERROR(__xludf.DUMMYFUNCTION("""COMPUTED_VALUE"""),"")</f>
        <v/>
      </c>
    </row>
    <row r="349">
      <c r="B349" s="76" t="str">
        <f>IFERROR(__xludf.DUMMYFUNCTION("""COMPUTED_VALUE"""),"")</f>
        <v/>
      </c>
      <c r="C349" s="76" t="str">
        <f>IFERROR(__xludf.DUMMYFUNCTION("""COMPUTED_VALUE"""),"")</f>
        <v/>
      </c>
    </row>
    <row r="350">
      <c r="B350" s="76" t="str">
        <f>IFERROR(__xludf.DUMMYFUNCTION("""COMPUTED_VALUE"""),"")</f>
        <v/>
      </c>
      <c r="C350" s="76" t="str">
        <f>IFERROR(__xludf.DUMMYFUNCTION("""COMPUTED_VALUE"""),"")</f>
        <v/>
      </c>
    </row>
    <row r="351">
      <c r="B351" s="76" t="str">
        <f>IFERROR(__xludf.DUMMYFUNCTION("""COMPUTED_VALUE"""),"")</f>
        <v/>
      </c>
      <c r="C351" s="76" t="str">
        <f>IFERROR(__xludf.DUMMYFUNCTION("""COMPUTED_VALUE"""),"")</f>
        <v/>
      </c>
    </row>
    <row r="352">
      <c r="B352" s="76" t="str">
        <f>IFERROR(__xludf.DUMMYFUNCTION("""COMPUTED_VALUE"""),"")</f>
        <v/>
      </c>
      <c r="C352" s="76" t="str">
        <f>IFERROR(__xludf.DUMMYFUNCTION("""COMPUTED_VALUE"""),"")</f>
        <v/>
      </c>
    </row>
    <row r="353">
      <c r="B353" s="76" t="str">
        <f>IFERROR(__xludf.DUMMYFUNCTION("""COMPUTED_VALUE"""),"")</f>
        <v/>
      </c>
      <c r="C353" s="76" t="str">
        <f>IFERROR(__xludf.DUMMYFUNCTION("""COMPUTED_VALUE"""),"")</f>
        <v/>
      </c>
    </row>
    <row r="354">
      <c r="B354" s="76" t="str">
        <f>IFERROR(__xludf.DUMMYFUNCTION("""COMPUTED_VALUE"""),"")</f>
        <v/>
      </c>
      <c r="C354" s="76" t="str">
        <f>IFERROR(__xludf.DUMMYFUNCTION("""COMPUTED_VALUE"""),"")</f>
        <v/>
      </c>
    </row>
    <row r="355">
      <c r="B355" s="76" t="str">
        <f>IFERROR(__xludf.DUMMYFUNCTION("""COMPUTED_VALUE"""),"")</f>
        <v/>
      </c>
      <c r="C355" s="76" t="str">
        <f>IFERROR(__xludf.DUMMYFUNCTION("""COMPUTED_VALUE"""),"")</f>
        <v/>
      </c>
    </row>
    <row r="356">
      <c r="B356" s="76" t="str">
        <f>IFERROR(__xludf.DUMMYFUNCTION("""COMPUTED_VALUE"""),"")</f>
        <v/>
      </c>
      <c r="C356" s="76" t="str">
        <f>IFERROR(__xludf.DUMMYFUNCTION("""COMPUTED_VALUE"""),"")</f>
        <v/>
      </c>
    </row>
    <row r="357">
      <c r="B357" s="76" t="str">
        <f>IFERROR(__xludf.DUMMYFUNCTION("""COMPUTED_VALUE"""),"")</f>
        <v/>
      </c>
      <c r="C357" s="76" t="str">
        <f>IFERROR(__xludf.DUMMYFUNCTION("""COMPUTED_VALUE"""),"")</f>
        <v/>
      </c>
    </row>
    <row r="358">
      <c r="B358" s="76" t="str">
        <f>IFERROR(__xludf.DUMMYFUNCTION("""COMPUTED_VALUE"""),"")</f>
        <v/>
      </c>
      <c r="C358" s="76" t="str">
        <f>IFERROR(__xludf.DUMMYFUNCTION("""COMPUTED_VALUE"""),"")</f>
        <v/>
      </c>
    </row>
    <row r="359">
      <c r="B359" s="76" t="str">
        <f>IFERROR(__xludf.DUMMYFUNCTION("""COMPUTED_VALUE"""),"")</f>
        <v/>
      </c>
      <c r="C359" s="76" t="str">
        <f>IFERROR(__xludf.DUMMYFUNCTION("""COMPUTED_VALUE"""),"")</f>
        <v/>
      </c>
    </row>
    <row r="360">
      <c r="B360" s="76" t="str">
        <f>IFERROR(__xludf.DUMMYFUNCTION("""COMPUTED_VALUE"""),"")</f>
        <v/>
      </c>
      <c r="C360" s="76" t="str">
        <f>IFERROR(__xludf.DUMMYFUNCTION("""COMPUTED_VALUE"""),"")</f>
        <v/>
      </c>
    </row>
    <row r="361">
      <c r="B361" s="76" t="str">
        <f>IFERROR(__xludf.DUMMYFUNCTION("""COMPUTED_VALUE"""),"")</f>
        <v/>
      </c>
      <c r="C361" s="76" t="str">
        <f>IFERROR(__xludf.DUMMYFUNCTION("""COMPUTED_VALUE"""),"")</f>
        <v/>
      </c>
    </row>
    <row r="362">
      <c r="B362" s="76" t="str">
        <f>IFERROR(__xludf.DUMMYFUNCTION("""COMPUTED_VALUE"""),"")</f>
        <v/>
      </c>
      <c r="C362" s="76" t="str">
        <f>IFERROR(__xludf.DUMMYFUNCTION("""COMPUTED_VALUE"""),"")</f>
        <v/>
      </c>
    </row>
    <row r="363">
      <c r="B363" s="76" t="str">
        <f>IFERROR(__xludf.DUMMYFUNCTION("""COMPUTED_VALUE"""),"")</f>
        <v/>
      </c>
      <c r="C363" s="76" t="str">
        <f>IFERROR(__xludf.DUMMYFUNCTION("""COMPUTED_VALUE"""),"")</f>
        <v/>
      </c>
    </row>
    <row r="364">
      <c r="B364" s="76" t="str">
        <f>IFERROR(__xludf.DUMMYFUNCTION("""COMPUTED_VALUE"""),"")</f>
        <v/>
      </c>
      <c r="C364" s="76" t="str">
        <f>IFERROR(__xludf.DUMMYFUNCTION("""COMPUTED_VALUE"""),"")</f>
        <v/>
      </c>
    </row>
    <row r="365">
      <c r="B365" s="76" t="str">
        <f>IFERROR(__xludf.DUMMYFUNCTION("""COMPUTED_VALUE"""),"")</f>
        <v/>
      </c>
      <c r="C365" s="76" t="str">
        <f>IFERROR(__xludf.DUMMYFUNCTION("""COMPUTED_VALUE"""),"")</f>
        <v/>
      </c>
    </row>
    <row r="366">
      <c r="B366" s="76" t="str">
        <f>IFERROR(__xludf.DUMMYFUNCTION("""COMPUTED_VALUE"""),"")</f>
        <v/>
      </c>
      <c r="C366" s="76" t="str">
        <f>IFERROR(__xludf.DUMMYFUNCTION("""COMPUTED_VALUE"""),"")</f>
        <v/>
      </c>
    </row>
    <row r="367">
      <c r="B367" s="76" t="str">
        <f>IFERROR(__xludf.DUMMYFUNCTION("""COMPUTED_VALUE"""),"")</f>
        <v/>
      </c>
      <c r="C367" s="76" t="str">
        <f>IFERROR(__xludf.DUMMYFUNCTION("""COMPUTED_VALUE"""),"")</f>
        <v/>
      </c>
    </row>
    <row r="368">
      <c r="B368" s="76" t="str">
        <f>IFERROR(__xludf.DUMMYFUNCTION("""COMPUTED_VALUE"""),"")</f>
        <v/>
      </c>
      <c r="C368" s="76" t="str">
        <f>IFERROR(__xludf.DUMMYFUNCTION("""COMPUTED_VALUE"""),"")</f>
        <v/>
      </c>
    </row>
    <row r="369">
      <c r="B369" s="76" t="str">
        <f>IFERROR(__xludf.DUMMYFUNCTION("""COMPUTED_VALUE"""),"")</f>
        <v/>
      </c>
      <c r="C369" s="76" t="str">
        <f>IFERROR(__xludf.DUMMYFUNCTION("""COMPUTED_VALUE"""),"")</f>
        <v/>
      </c>
    </row>
    <row r="370">
      <c r="B370" s="76" t="str">
        <f>IFERROR(__xludf.DUMMYFUNCTION("""COMPUTED_VALUE"""),"")</f>
        <v/>
      </c>
      <c r="C370" s="76" t="str">
        <f>IFERROR(__xludf.DUMMYFUNCTION("""COMPUTED_VALUE"""),"")</f>
        <v/>
      </c>
    </row>
    <row r="371">
      <c r="B371" s="76" t="str">
        <f>IFERROR(__xludf.DUMMYFUNCTION("""COMPUTED_VALUE"""),"")</f>
        <v/>
      </c>
      <c r="C371" s="76" t="str">
        <f>IFERROR(__xludf.DUMMYFUNCTION("""COMPUTED_VALUE"""),"")</f>
        <v/>
      </c>
    </row>
    <row r="372">
      <c r="B372" s="76" t="str">
        <f>IFERROR(__xludf.DUMMYFUNCTION("""COMPUTED_VALUE"""),"")</f>
        <v/>
      </c>
      <c r="C372" s="76" t="str">
        <f>IFERROR(__xludf.DUMMYFUNCTION("""COMPUTED_VALUE"""),"")</f>
        <v/>
      </c>
    </row>
    <row r="373">
      <c r="B373" s="76" t="str">
        <f>IFERROR(__xludf.DUMMYFUNCTION("""COMPUTED_VALUE"""),"")</f>
        <v/>
      </c>
      <c r="C373" s="76" t="str">
        <f>IFERROR(__xludf.DUMMYFUNCTION("""COMPUTED_VALUE"""),"")</f>
        <v/>
      </c>
    </row>
    <row r="374">
      <c r="B374" s="76" t="str">
        <f>IFERROR(__xludf.DUMMYFUNCTION("""COMPUTED_VALUE"""),"")</f>
        <v/>
      </c>
      <c r="C374" s="76" t="str">
        <f>IFERROR(__xludf.DUMMYFUNCTION("""COMPUTED_VALUE"""),"")</f>
        <v/>
      </c>
    </row>
    <row r="375">
      <c r="B375" s="76" t="str">
        <f>IFERROR(__xludf.DUMMYFUNCTION("""COMPUTED_VALUE"""),"")</f>
        <v/>
      </c>
      <c r="C375" s="76" t="str">
        <f>IFERROR(__xludf.DUMMYFUNCTION("""COMPUTED_VALUE"""),"")</f>
        <v/>
      </c>
    </row>
    <row r="376">
      <c r="B376" s="76" t="str">
        <f>IFERROR(__xludf.DUMMYFUNCTION("""COMPUTED_VALUE"""),"")</f>
        <v/>
      </c>
      <c r="C376" s="76" t="str">
        <f>IFERROR(__xludf.DUMMYFUNCTION("""COMPUTED_VALUE"""),"")</f>
        <v/>
      </c>
    </row>
    <row r="377">
      <c r="B377" s="76" t="str">
        <f>IFERROR(__xludf.DUMMYFUNCTION("""COMPUTED_VALUE"""),"")</f>
        <v/>
      </c>
      <c r="C377" s="76" t="str">
        <f>IFERROR(__xludf.DUMMYFUNCTION("""COMPUTED_VALUE"""),"")</f>
        <v/>
      </c>
    </row>
    <row r="378">
      <c r="B378" s="76" t="str">
        <f>IFERROR(__xludf.DUMMYFUNCTION("""COMPUTED_VALUE"""),"")</f>
        <v/>
      </c>
      <c r="C378" s="76" t="str">
        <f>IFERROR(__xludf.DUMMYFUNCTION("""COMPUTED_VALUE"""),"")</f>
        <v/>
      </c>
    </row>
    <row r="379">
      <c r="B379" s="76" t="str">
        <f>IFERROR(__xludf.DUMMYFUNCTION("""COMPUTED_VALUE"""),"")</f>
        <v/>
      </c>
      <c r="C379" s="76" t="str">
        <f>IFERROR(__xludf.DUMMYFUNCTION("""COMPUTED_VALUE"""),"")</f>
        <v/>
      </c>
    </row>
    <row r="380">
      <c r="B380" s="76" t="str">
        <f>IFERROR(__xludf.DUMMYFUNCTION("""COMPUTED_VALUE"""),"")</f>
        <v/>
      </c>
      <c r="C380" s="76" t="str">
        <f>IFERROR(__xludf.DUMMYFUNCTION("""COMPUTED_VALUE"""),"")</f>
        <v/>
      </c>
    </row>
    <row r="381">
      <c r="B381" s="76" t="str">
        <f>IFERROR(__xludf.DUMMYFUNCTION("""COMPUTED_VALUE"""),"")</f>
        <v/>
      </c>
      <c r="C381" s="76" t="str">
        <f>IFERROR(__xludf.DUMMYFUNCTION("""COMPUTED_VALUE"""),"")</f>
        <v/>
      </c>
    </row>
    <row r="382">
      <c r="B382" s="76" t="str">
        <f>IFERROR(__xludf.DUMMYFUNCTION("""COMPUTED_VALUE"""),"")</f>
        <v/>
      </c>
      <c r="C382" s="76" t="str">
        <f>IFERROR(__xludf.DUMMYFUNCTION("""COMPUTED_VALUE"""),"")</f>
        <v/>
      </c>
    </row>
    <row r="383">
      <c r="B383" s="76" t="str">
        <f>IFERROR(__xludf.DUMMYFUNCTION("""COMPUTED_VALUE"""),"")</f>
        <v/>
      </c>
      <c r="C383" s="76" t="str">
        <f>IFERROR(__xludf.DUMMYFUNCTION("""COMPUTED_VALUE"""),"")</f>
        <v/>
      </c>
    </row>
    <row r="384">
      <c r="B384" s="76" t="str">
        <f>IFERROR(__xludf.DUMMYFUNCTION("""COMPUTED_VALUE"""),"")</f>
        <v/>
      </c>
      <c r="C384" s="76" t="str">
        <f>IFERROR(__xludf.DUMMYFUNCTION("""COMPUTED_VALUE"""),"")</f>
        <v/>
      </c>
    </row>
    <row r="385">
      <c r="B385" s="76" t="str">
        <f>IFERROR(__xludf.DUMMYFUNCTION("""COMPUTED_VALUE"""),"")</f>
        <v/>
      </c>
      <c r="C385" s="76" t="str">
        <f>IFERROR(__xludf.DUMMYFUNCTION("""COMPUTED_VALUE"""),"")</f>
        <v/>
      </c>
    </row>
    <row r="386">
      <c r="B386" s="76" t="str">
        <f>IFERROR(__xludf.DUMMYFUNCTION("""COMPUTED_VALUE"""),"")</f>
        <v/>
      </c>
      <c r="C386" s="76" t="str">
        <f>IFERROR(__xludf.DUMMYFUNCTION("""COMPUTED_VALUE"""),"")</f>
        <v/>
      </c>
    </row>
    <row r="387">
      <c r="B387" s="76" t="str">
        <f>IFERROR(__xludf.DUMMYFUNCTION("""COMPUTED_VALUE"""),"")</f>
        <v/>
      </c>
      <c r="C387" s="76" t="str">
        <f>IFERROR(__xludf.DUMMYFUNCTION("""COMPUTED_VALUE"""),"")</f>
        <v/>
      </c>
    </row>
    <row r="388">
      <c r="B388" s="76" t="str">
        <f>IFERROR(__xludf.DUMMYFUNCTION("""COMPUTED_VALUE"""),"")</f>
        <v/>
      </c>
      <c r="C388" s="76" t="str">
        <f>IFERROR(__xludf.DUMMYFUNCTION("""COMPUTED_VALUE"""),"")</f>
        <v/>
      </c>
    </row>
    <row r="389">
      <c r="B389" s="76" t="str">
        <f>IFERROR(__xludf.DUMMYFUNCTION("""COMPUTED_VALUE"""),"")</f>
        <v/>
      </c>
      <c r="C389" s="76" t="str">
        <f>IFERROR(__xludf.DUMMYFUNCTION("""COMPUTED_VALUE"""),"")</f>
        <v/>
      </c>
    </row>
    <row r="390">
      <c r="B390" s="76" t="str">
        <f>IFERROR(__xludf.DUMMYFUNCTION("""COMPUTED_VALUE"""),"")</f>
        <v/>
      </c>
      <c r="C390" s="76" t="str">
        <f>IFERROR(__xludf.DUMMYFUNCTION("""COMPUTED_VALUE"""),"")</f>
        <v/>
      </c>
    </row>
    <row r="391">
      <c r="B391" s="76" t="str">
        <f>IFERROR(__xludf.DUMMYFUNCTION("""COMPUTED_VALUE"""),"")</f>
        <v/>
      </c>
      <c r="C391" s="76" t="str">
        <f>IFERROR(__xludf.DUMMYFUNCTION("""COMPUTED_VALUE"""),"")</f>
        <v/>
      </c>
    </row>
    <row r="392">
      <c r="B392" s="76" t="str">
        <f>IFERROR(__xludf.DUMMYFUNCTION("""COMPUTED_VALUE"""),"")</f>
        <v/>
      </c>
      <c r="C392" s="76" t="str">
        <f>IFERROR(__xludf.DUMMYFUNCTION("""COMPUTED_VALUE"""),"")</f>
        <v/>
      </c>
    </row>
    <row r="393">
      <c r="B393" s="76" t="str">
        <f>IFERROR(__xludf.DUMMYFUNCTION("""COMPUTED_VALUE"""),"")</f>
        <v/>
      </c>
      <c r="C393" s="76" t="str">
        <f>IFERROR(__xludf.DUMMYFUNCTION("""COMPUTED_VALUE"""),"")</f>
        <v/>
      </c>
    </row>
    <row r="394">
      <c r="B394" s="76" t="str">
        <f>IFERROR(__xludf.DUMMYFUNCTION("""COMPUTED_VALUE"""),"")</f>
        <v/>
      </c>
      <c r="C394" s="76" t="str">
        <f>IFERROR(__xludf.DUMMYFUNCTION("""COMPUTED_VALUE"""),"")</f>
        <v/>
      </c>
    </row>
    <row r="395">
      <c r="B395" s="76" t="str">
        <f>IFERROR(__xludf.DUMMYFUNCTION("""COMPUTED_VALUE"""),"")</f>
        <v/>
      </c>
      <c r="C395" s="76" t="str">
        <f>IFERROR(__xludf.DUMMYFUNCTION("""COMPUTED_VALUE"""),"")</f>
        <v/>
      </c>
    </row>
    <row r="396">
      <c r="B396" s="76" t="str">
        <f>IFERROR(__xludf.DUMMYFUNCTION("""COMPUTED_VALUE"""),"")</f>
        <v/>
      </c>
      <c r="C396" s="76" t="str">
        <f>IFERROR(__xludf.DUMMYFUNCTION("""COMPUTED_VALUE"""),"")</f>
        <v/>
      </c>
    </row>
    <row r="397">
      <c r="B397" s="76" t="str">
        <f>IFERROR(__xludf.DUMMYFUNCTION("""COMPUTED_VALUE"""),"")</f>
        <v/>
      </c>
      <c r="C397" s="76" t="str">
        <f>IFERROR(__xludf.DUMMYFUNCTION("""COMPUTED_VALUE"""),"")</f>
        <v/>
      </c>
    </row>
    <row r="398">
      <c r="B398" s="76" t="str">
        <f>IFERROR(__xludf.DUMMYFUNCTION("""COMPUTED_VALUE"""),"")</f>
        <v/>
      </c>
      <c r="C398" s="76" t="str">
        <f>IFERROR(__xludf.DUMMYFUNCTION("""COMPUTED_VALUE"""),"")</f>
        <v/>
      </c>
    </row>
    <row r="399">
      <c r="B399" s="76" t="str">
        <f>IFERROR(__xludf.DUMMYFUNCTION("""COMPUTED_VALUE"""),"")</f>
        <v/>
      </c>
      <c r="C399" s="76" t="str">
        <f>IFERROR(__xludf.DUMMYFUNCTION("""COMPUTED_VALUE"""),"")</f>
        <v/>
      </c>
    </row>
    <row r="400">
      <c r="B400" s="76" t="str">
        <f>IFERROR(__xludf.DUMMYFUNCTION("""COMPUTED_VALUE"""),"")</f>
        <v/>
      </c>
      <c r="C400" s="76" t="str">
        <f>IFERROR(__xludf.DUMMYFUNCTION("""COMPUTED_VALUE"""),"")</f>
        <v/>
      </c>
    </row>
    <row r="401">
      <c r="B401" s="76" t="str">
        <f>IFERROR(__xludf.DUMMYFUNCTION("""COMPUTED_VALUE"""),"")</f>
        <v/>
      </c>
      <c r="C401" s="76" t="str">
        <f>IFERROR(__xludf.DUMMYFUNCTION("""COMPUTED_VALUE"""),"")</f>
        <v/>
      </c>
    </row>
    <row r="402">
      <c r="B402" s="76" t="str">
        <f>IFERROR(__xludf.DUMMYFUNCTION("""COMPUTED_VALUE"""),"")</f>
        <v/>
      </c>
      <c r="C402" s="76" t="str">
        <f>IFERROR(__xludf.DUMMYFUNCTION("""COMPUTED_VALUE"""),"")</f>
        <v/>
      </c>
    </row>
    <row r="403">
      <c r="B403" s="76" t="str">
        <f>IFERROR(__xludf.DUMMYFUNCTION("""COMPUTED_VALUE"""),"")</f>
        <v/>
      </c>
      <c r="C403" s="76" t="str">
        <f>IFERROR(__xludf.DUMMYFUNCTION("""COMPUTED_VALUE"""),"")</f>
        <v/>
      </c>
    </row>
    <row r="404">
      <c r="B404" s="76" t="str">
        <f>IFERROR(__xludf.DUMMYFUNCTION("""COMPUTED_VALUE"""),"")</f>
        <v/>
      </c>
      <c r="C404" s="76" t="str">
        <f>IFERROR(__xludf.DUMMYFUNCTION("""COMPUTED_VALUE"""),"")</f>
        <v/>
      </c>
    </row>
    <row r="405">
      <c r="B405" s="76" t="str">
        <f>IFERROR(__xludf.DUMMYFUNCTION("""COMPUTED_VALUE"""),"")</f>
        <v/>
      </c>
      <c r="C405" s="76" t="str">
        <f>IFERROR(__xludf.DUMMYFUNCTION("""COMPUTED_VALUE"""),"")</f>
        <v/>
      </c>
    </row>
    <row r="406">
      <c r="B406" s="76" t="str">
        <f>IFERROR(__xludf.DUMMYFUNCTION("""COMPUTED_VALUE"""),"")</f>
        <v/>
      </c>
      <c r="C406" s="76" t="str">
        <f>IFERROR(__xludf.DUMMYFUNCTION("""COMPUTED_VALUE"""),"")</f>
        <v/>
      </c>
    </row>
    <row r="407">
      <c r="B407" s="76" t="str">
        <f>IFERROR(__xludf.DUMMYFUNCTION("""COMPUTED_VALUE"""),"")</f>
        <v/>
      </c>
      <c r="C407" s="76" t="str">
        <f>IFERROR(__xludf.DUMMYFUNCTION("""COMPUTED_VALUE"""),"")</f>
        <v/>
      </c>
    </row>
    <row r="408">
      <c r="B408" s="76" t="str">
        <f>IFERROR(__xludf.DUMMYFUNCTION("""COMPUTED_VALUE"""),"")</f>
        <v/>
      </c>
      <c r="C408" s="76" t="str">
        <f>IFERROR(__xludf.DUMMYFUNCTION("""COMPUTED_VALUE"""),"")</f>
        <v/>
      </c>
    </row>
    <row r="409">
      <c r="B409" s="76" t="str">
        <f>IFERROR(__xludf.DUMMYFUNCTION("""COMPUTED_VALUE"""),"")</f>
        <v/>
      </c>
      <c r="C409" s="76" t="str">
        <f>IFERROR(__xludf.DUMMYFUNCTION("""COMPUTED_VALUE"""),"")</f>
        <v/>
      </c>
    </row>
    <row r="410">
      <c r="B410" s="76" t="str">
        <f>IFERROR(__xludf.DUMMYFUNCTION("""COMPUTED_VALUE"""),"")</f>
        <v/>
      </c>
      <c r="C410" s="76" t="str">
        <f>IFERROR(__xludf.DUMMYFUNCTION("""COMPUTED_VALUE"""),"")</f>
        <v/>
      </c>
    </row>
    <row r="411">
      <c r="B411" s="76" t="str">
        <f>IFERROR(__xludf.DUMMYFUNCTION("""COMPUTED_VALUE"""),"")</f>
        <v/>
      </c>
      <c r="C411" s="76" t="str">
        <f>IFERROR(__xludf.DUMMYFUNCTION("""COMPUTED_VALUE"""),"")</f>
        <v/>
      </c>
    </row>
    <row r="412">
      <c r="B412" s="76" t="str">
        <f>IFERROR(__xludf.DUMMYFUNCTION("""COMPUTED_VALUE"""),"")</f>
        <v/>
      </c>
      <c r="C412" s="76" t="str">
        <f>IFERROR(__xludf.DUMMYFUNCTION("""COMPUTED_VALUE"""),"")</f>
        <v/>
      </c>
    </row>
    <row r="413">
      <c r="B413" s="76" t="str">
        <f>IFERROR(__xludf.DUMMYFUNCTION("""COMPUTED_VALUE"""),"")</f>
        <v/>
      </c>
      <c r="C413" s="76" t="str">
        <f>IFERROR(__xludf.DUMMYFUNCTION("""COMPUTED_VALUE"""),"")</f>
        <v/>
      </c>
    </row>
    <row r="414">
      <c r="B414" s="76" t="str">
        <f>IFERROR(__xludf.DUMMYFUNCTION("""COMPUTED_VALUE"""),"")</f>
        <v/>
      </c>
      <c r="C414" s="76" t="str">
        <f>IFERROR(__xludf.DUMMYFUNCTION("""COMPUTED_VALUE"""),"")</f>
        <v/>
      </c>
    </row>
    <row r="415">
      <c r="B415" s="76" t="str">
        <f>IFERROR(__xludf.DUMMYFUNCTION("""COMPUTED_VALUE"""),"")</f>
        <v/>
      </c>
      <c r="C415" s="76" t="str">
        <f>IFERROR(__xludf.DUMMYFUNCTION("""COMPUTED_VALUE"""),"")</f>
        <v/>
      </c>
    </row>
    <row r="416">
      <c r="B416" s="76" t="str">
        <f>IFERROR(__xludf.DUMMYFUNCTION("""COMPUTED_VALUE"""),"")</f>
        <v/>
      </c>
      <c r="C416" s="76" t="str">
        <f>IFERROR(__xludf.DUMMYFUNCTION("""COMPUTED_VALUE"""),"")</f>
        <v/>
      </c>
    </row>
    <row r="417">
      <c r="B417" s="76" t="str">
        <f>IFERROR(__xludf.DUMMYFUNCTION("""COMPUTED_VALUE"""),"")</f>
        <v/>
      </c>
      <c r="C417" s="76" t="str">
        <f>IFERROR(__xludf.DUMMYFUNCTION("""COMPUTED_VALUE"""),"")</f>
        <v/>
      </c>
    </row>
    <row r="418">
      <c r="B418" s="76" t="str">
        <f>IFERROR(__xludf.DUMMYFUNCTION("""COMPUTED_VALUE"""),"")</f>
        <v/>
      </c>
      <c r="C418" s="76" t="str">
        <f>IFERROR(__xludf.DUMMYFUNCTION("""COMPUTED_VALUE"""),"")</f>
        <v/>
      </c>
    </row>
    <row r="419">
      <c r="B419" s="76" t="str">
        <f>IFERROR(__xludf.DUMMYFUNCTION("""COMPUTED_VALUE"""),"")</f>
        <v/>
      </c>
      <c r="C419" s="76" t="str">
        <f>IFERROR(__xludf.DUMMYFUNCTION("""COMPUTED_VALUE"""),"")</f>
        <v/>
      </c>
    </row>
    <row r="420">
      <c r="B420" s="76" t="str">
        <f>IFERROR(__xludf.DUMMYFUNCTION("""COMPUTED_VALUE"""),"")</f>
        <v/>
      </c>
      <c r="C420" s="76" t="str">
        <f>IFERROR(__xludf.DUMMYFUNCTION("""COMPUTED_VALUE"""),"")</f>
        <v/>
      </c>
    </row>
    <row r="421">
      <c r="B421" s="76" t="str">
        <f>IFERROR(__xludf.DUMMYFUNCTION("""COMPUTED_VALUE"""),"")</f>
        <v/>
      </c>
      <c r="C421" s="76" t="str">
        <f>IFERROR(__xludf.DUMMYFUNCTION("""COMPUTED_VALUE"""),"")</f>
        <v/>
      </c>
    </row>
    <row r="422">
      <c r="B422" s="76" t="str">
        <f>IFERROR(__xludf.DUMMYFUNCTION("""COMPUTED_VALUE"""),"")</f>
        <v/>
      </c>
      <c r="C422" s="76" t="str">
        <f>IFERROR(__xludf.DUMMYFUNCTION("""COMPUTED_VALUE"""),"")</f>
        <v/>
      </c>
    </row>
    <row r="423">
      <c r="B423" s="76" t="str">
        <f>IFERROR(__xludf.DUMMYFUNCTION("""COMPUTED_VALUE"""),"")</f>
        <v/>
      </c>
      <c r="C423" s="76" t="str">
        <f>IFERROR(__xludf.DUMMYFUNCTION("""COMPUTED_VALUE"""),"")</f>
        <v/>
      </c>
    </row>
    <row r="424">
      <c r="B424" s="76" t="str">
        <f>IFERROR(__xludf.DUMMYFUNCTION("""COMPUTED_VALUE"""),"")</f>
        <v/>
      </c>
      <c r="C424" s="76" t="str">
        <f>IFERROR(__xludf.DUMMYFUNCTION("""COMPUTED_VALUE"""),"")</f>
        <v/>
      </c>
    </row>
    <row r="425">
      <c r="B425" s="76" t="str">
        <f>IFERROR(__xludf.DUMMYFUNCTION("""COMPUTED_VALUE"""),"")</f>
        <v/>
      </c>
      <c r="C425" s="76" t="str">
        <f>IFERROR(__xludf.DUMMYFUNCTION("""COMPUTED_VALUE"""),"")</f>
        <v/>
      </c>
    </row>
    <row r="426">
      <c r="B426" s="76" t="str">
        <f>IFERROR(__xludf.DUMMYFUNCTION("""COMPUTED_VALUE"""),"")</f>
        <v/>
      </c>
      <c r="C426" s="76" t="str">
        <f>IFERROR(__xludf.DUMMYFUNCTION("""COMPUTED_VALUE"""),"")</f>
        <v/>
      </c>
    </row>
    <row r="427">
      <c r="B427" s="76" t="str">
        <f>IFERROR(__xludf.DUMMYFUNCTION("""COMPUTED_VALUE"""),"")</f>
        <v/>
      </c>
      <c r="C427" s="76" t="str">
        <f>IFERROR(__xludf.DUMMYFUNCTION("""COMPUTED_VALUE"""),"")</f>
        <v/>
      </c>
    </row>
    <row r="428">
      <c r="B428" s="76" t="str">
        <f>IFERROR(__xludf.DUMMYFUNCTION("""COMPUTED_VALUE"""),"")</f>
        <v/>
      </c>
      <c r="C428" s="76" t="str">
        <f>IFERROR(__xludf.DUMMYFUNCTION("""COMPUTED_VALUE"""),"")</f>
        <v/>
      </c>
    </row>
    <row r="429">
      <c r="B429" s="76" t="str">
        <f>IFERROR(__xludf.DUMMYFUNCTION("""COMPUTED_VALUE"""),"")</f>
        <v/>
      </c>
      <c r="C429" s="76" t="str">
        <f>IFERROR(__xludf.DUMMYFUNCTION("""COMPUTED_VALUE"""),"")</f>
        <v/>
      </c>
    </row>
    <row r="430">
      <c r="B430" s="76" t="str">
        <f>IFERROR(__xludf.DUMMYFUNCTION("""COMPUTED_VALUE"""),"")</f>
        <v/>
      </c>
      <c r="C430" s="76" t="str">
        <f>IFERROR(__xludf.DUMMYFUNCTION("""COMPUTED_VALUE"""),"")</f>
        <v/>
      </c>
    </row>
    <row r="431">
      <c r="B431" s="76" t="str">
        <f>IFERROR(__xludf.DUMMYFUNCTION("""COMPUTED_VALUE"""),"")</f>
        <v/>
      </c>
      <c r="C431" s="76" t="str">
        <f>IFERROR(__xludf.DUMMYFUNCTION("""COMPUTED_VALUE"""),"")</f>
        <v/>
      </c>
    </row>
    <row r="432">
      <c r="B432" s="76" t="str">
        <f>IFERROR(__xludf.DUMMYFUNCTION("""COMPUTED_VALUE"""),"")</f>
        <v/>
      </c>
      <c r="C432" s="76" t="str">
        <f>IFERROR(__xludf.DUMMYFUNCTION("""COMPUTED_VALUE"""),"")</f>
        <v/>
      </c>
    </row>
    <row r="433">
      <c r="B433" s="76" t="str">
        <f>IFERROR(__xludf.DUMMYFUNCTION("""COMPUTED_VALUE"""),"")</f>
        <v/>
      </c>
      <c r="C433" s="76" t="str">
        <f>IFERROR(__xludf.DUMMYFUNCTION("""COMPUTED_VALUE"""),"")</f>
        <v/>
      </c>
    </row>
    <row r="434">
      <c r="B434" s="76" t="str">
        <f>IFERROR(__xludf.DUMMYFUNCTION("""COMPUTED_VALUE"""),"")</f>
        <v/>
      </c>
      <c r="C434" s="76" t="str">
        <f>IFERROR(__xludf.DUMMYFUNCTION("""COMPUTED_VALUE"""),"")</f>
        <v/>
      </c>
    </row>
    <row r="435">
      <c r="B435" s="76" t="str">
        <f>IFERROR(__xludf.DUMMYFUNCTION("""COMPUTED_VALUE"""),"")</f>
        <v/>
      </c>
      <c r="C435" s="76" t="str">
        <f>IFERROR(__xludf.DUMMYFUNCTION("""COMPUTED_VALUE"""),"")</f>
        <v/>
      </c>
    </row>
    <row r="436">
      <c r="B436" s="76" t="str">
        <f>IFERROR(__xludf.DUMMYFUNCTION("""COMPUTED_VALUE"""),"")</f>
        <v/>
      </c>
      <c r="C436" s="76" t="str">
        <f>IFERROR(__xludf.DUMMYFUNCTION("""COMPUTED_VALUE"""),"")</f>
        <v/>
      </c>
    </row>
    <row r="437">
      <c r="B437" s="76" t="str">
        <f>IFERROR(__xludf.DUMMYFUNCTION("""COMPUTED_VALUE"""),"")</f>
        <v/>
      </c>
      <c r="C437" s="76" t="str">
        <f>IFERROR(__xludf.DUMMYFUNCTION("""COMPUTED_VALUE"""),"")</f>
        <v/>
      </c>
    </row>
    <row r="438">
      <c r="B438" s="76" t="str">
        <f>IFERROR(__xludf.DUMMYFUNCTION("""COMPUTED_VALUE"""),"")</f>
        <v/>
      </c>
      <c r="C438" s="76" t="str">
        <f>IFERROR(__xludf.DUMMYFUNCTION("""COMPUTED_VALUE"""),"")</f>
        <v/>
      </c>
    </row>
    <row r="439">
      <c r="B439" s="76" t="str">
        <f>IFERROR(__xludf.DUMMYFUNCTION("""COMPUTED_VALUE"""),"")</f>
        <v/>
      </c>
      <c r="C439" s="76" t="str">
        <f>IFERROR(__xludf.DUMMYFUNCTION("""COMPUTED_VALUE"""),"")</f>
        <v/>
      </c>
    </row>
    <row r="440">
      <c r="B440" s="76" t="str">
        <f>IFERROR(__xludf.DUMMYFUNCTION("""COMPUTED_VALUE"""),"")</f>
        <v/>
      </c>
      <c r="C440" s="76" t="str">
        <f>IFERROR(__xludf.DUMMYFUNCTION("""COMPUTED_VALUE"""),"")</f>
        <v/>
      </c>
    </row>
    <row r="441">
      <c r="B441" s="76" t="str">
        <f>IFERROR(__xludf.DUMMYFUNCTION("""COMPUTED_VALUE"""),"")</f>
        <v/>
      </c>
      <c r="C441" s="76" t="str">
        <f>IFERROR(__xludf.DUMMYFUNCTION("""COMPUTED_VALUE"""),"")</f>
        <v/>
      </c>
    </row>
    <row r="442">
      <c r="B442" s="76" t="str">
        <f>IFERROR(__xludf.DUMMYFUNCTION("""COMPUTED_VALUE"""),"")</f>
        <v/>
      </c>
      <c r="C442" s="76" t="str">
        <f>IFERROR(__xludf.DUMMYFUNCTION("""COMPUTED_VALUE"""),"")</f>
        <v/>
      </c>
    </row>
    <row r="443">
      <c r="B443" s="76" t="str">
        <f>IFERROR(__xludf.DUMMYFUNCTION("""COMPUTED_VALUE"""),"")</f>
        <v/>
      </c>
      <c r="C443" s="76" t="str">
        <f>IFERROR(__xludf.DUMMYFUNCTION("""COMPUTED_VALUE"""),"")</f>
        <v/>
      </c>
    </row>
    <row r="444">
      <c r="B444" s="76" t="str">
        <f>IFERROR(__xludf.DUMMYFUNCTION("""COMPUTED_VALUE"""),"")</f>
        <v/>
      </c>
      <c r="C444" s="76" t="str">
        <f>IFERROR(__xludf.DUMMYFUNCTION("""COMPUTED_VALUE"""),"")</f>
        <v/>
      </c>
    </row>
    <row r="445">
      <c r="B445" s="76" t="str">
        <f>IFERROR(__xludf.DUMMYFUNCTION("""COMPUTED_VALUE"""),"")</f>
        <v/>
      </c>
      <c r="C445" s="76" t="str">
        <f>IFERROR(__xludf.DUMMYFUNCTION("""COMPUTED_VALUE"""),"")</f>
        <v/>
      </c>
    </row>
    <row r="446">
      <c r="B446" s="76" t="str">
        <f>IFERROR(__xludf.DUMMYFUNCTION("""COMPUTED_VALUE"""),"")</f>
        <v/>
      </c>
      <c r="C446" s="76" t="str">
        <f>IFERROR(__xludf.DUMMYFUNCTION("""COMPUTED_VALUE"""),"")</f>
        <v/>
      </c>
    </row>
    <row r="447">
      <c r="B447" s="76" t="str">
        <f>IFERROR(__xludf.DUMMYFUNCTION("""COMPUTED_VALUE"""),"")</f>
        <v/>
      </c>
      <c r="C447" s="76" t="str">
        <f>IFERROR(__xludf.DUMMYFUNCTION("""COMPUTED_VALUE"""),"")</f>
        <v/>
      </c>
    </row>
    <row r="448">
      <c r="B448" s="76" t="str">
        <f>IFERROR(__xludf.DUMMYFUNCTION("""COMPUTED_VALUE"""),"")</f>
        <v/>
      </c>
      <c r="C448" s="76" t="str">
        <f>IFERROR(__xludf.DUMMYFUNCTION("""COMPUTED_VALUE"""),"")</f>
        <v/>
      </c>
    </row>
    <row r="449">
      <c r="B449" s="76" t="str">
        <f>IFERROR(__xludf.DUMMYFUNCTION("""COMPUTED_VALUE"""),"")</f>
        <v/>
      </c>
      <c r="C449" s="76" t="str">
        <f>IFERROR(__xludf.DUMMYFUNCTION("""COMPUTED_VALUE"""),"")</f>
        <v/>
      </c>
    </row>
    <row r="450">
      <c r="B450" s="76" t="str">
        <f>IFERROR(__xludf.DUMMYFUNCTION("""COMPUTED_VALUE"""),"")</f>
        <v/>
      </c>
      <c r="C450" s="76" t="str">
        <f>IFERROR(__xludf.DUMMYFUNCTION("""COMPUTED_VALUE"""),"")</f>
        <v/>
      </c>
    </row>
    <row r="451">
      <c r="B451" s="76" t="str">
        <f>IFERROR(__xludf.DUMMYFUNCTION("""COMPUTED_VALUE"""),"")</f>
        <v/>
      </c>
      <c r="C451" s="76" t="str">
        <f>IFERROR(__xludf.DUMMYFUNCTION("""COMPUTED_VALUE"""),"")</f>
        <v/>
      </c>
    </row>
    <row r="452">
      <c r="B452" s="76" t="str">
        <f>IFERROR(__xludf.DUMMYFUNCTION("""COMPUTED_VALUE"""),"")</f>
        <v/>
      </c>
      <c r="C452" s="76" t="str">
        <f>IFERROR(__xludf.DUMMYFUNCTION("""COMPUTED_VALUE"""),"")</f>
        <v/>
      </c>
    </row>
    <row r="453">
      <c r="B453" s="76" t="str">
        <f>IFERROR(__xludf.DUMMYFUNCTION("""COMPUTED_VALUE"""),"")</f>
        <v/>
      </c>
      <c r="C453" s="76" t="str">
        <f>IFERROR(__xludf.DUMMYFUNCTION("""COMPUTED_VALUE"""),"")</f>
        <v/>
      </c>
    </row>
    <row r="454">
      <c r="B454" s="76" t="str">
        <f>IFERROR(__xludf.DUMMYFUNCTION("""COMPUTED_VALUE"""),"")</f>
        <v/>
      </c>
      <c r="C454" s="76" t="str">
        <f>IFERROR(__xludf.DUMMYFUNCTION("""COMPUTED_VALUE"""),"")</f>
        <v/>
      </c>
    </row>
    <row r="455">
      <c r="B455" s="76" t="str">
        <f>IFERROR(__xludf.DUMMYFUNCTION("""COMPUTED_VALUE"""),"")</f>
        <v/>
      </c>
      <c r="C455" s="76" t="str">
        <f>IFERROR(__xludf.DUMMYFUNCTION("""COMPUTED_VALUE"""),"")</f>
        <v/>
      </c>
    </row>
    <row r="456">
      <c r="B456" s="76" t="str">
        <f>IFERROR(__xludf.DUMMYFUNCTION("""COMPUTED_VALUE"""),"")</f>
        <v/>
      </c>
      <c r="C456" s="76" t="str">
        <f>IFERROR(__xludf.DUMMYFUNCTION("""COMPUTED_VALUE"""),"")</f>
        <v/>
      </c>
    </row>
    <row r="457">
      <c r="B457" s="76" t="str">
        <f>IFERROR(__xludf.DUMMYFUNCTION("""COMPUTED_VALUE"""),"")</f>
        <v/>
      </c>
      <c r="C457" s="76" t="str">
        <f>IFERROR(__xludf.DUMMYFUNCTION("""COMPUTED_VALUE"""),"")</f>
        <v/>
      </c>
    </row>
    <row r="458">
      <c r="B458" s="76" t="str">
        <f>IFERROR(__xludf.DUMMYFUNCTION("""COMPUTED_VALUE"""),"")</f>
        <v/>
      </c>
      <c r="C458" s="76" t="str">
        <f>IFERROR(__xludf.DUMMYFUNCTION("""COMPUTED_VALUE"""),"")</f>
        <v/>
      </c>
    </row>
    <row r="459">
      <c r="B459" s="76" t="str">
        <f>IFERROR(__xludf.DUMMYFUNCTION("""COMPUTED_VALUE"""),"")</f>
        <v/>
      </c>
      <c r="C459" s="76" t="str">
        <f>IFERROR(__xludf.DUMMYFUNCTION("""COMPUTED_VALUE"""),"")</f>
        <v/>
      </c>
    </row>
    <row r="460">
      <c r="B460" s="76" t="str">
        <f>IFERROR(__xludf.DUMMYFUNCTION("""COMPUTED_VALUE"""),"")</f>
        <v/>
      </c>
      <c r="C460" s="76" t="str">
        <f>IFERROR(__xludf.DUMMYFUNCTION("""COMPUTED_VALUE"""),"")</f>
        <v/>
      </c>
    </row>
    <row r="461">
      <c r="B461" s="76" t="str">
        <f>IFERROR(__xludf.DUMMYFUNCTION("""COMPUTED_VALUE"""),"")</f>
        <v/>
      </c>
      <c r="C461" s="76" t="str">
        <f>IFERROR(__xludf.DUMMYFUNCTION("""COMPUTED_VALUE"""),"")</f>
        <v/>
      </c>
    </row>
    <row r="462">
      <c r="B462" s="76" t="str">
        <f>IFERROR(__xludf.DUMMYFUNCTION("""COMPUTED_VALUE"""),"")</f>
        <v/>
      </c>
      <c r="C462" s="76" t="str">
        <f>IFERROR(__xludf.DUMMYFUNCTION("""COMPUTED_VALUE"""),"")</f>
        <v/>
      </c>
    </row>
    <row r="463">
      <c r="B463" s="76" t="str">
        <f>IFERROR(__xludf.DUMMYFUNCTION("""COMPUTED_VALUE"""),"")</f>
        <v/>
      </c>
      <c r="C463" s="76" t="str">
        <f>IFERROR(__xludf.DUMMYFUNCTION("""COMPUTED_VALUE"""),"")</f>
        <v/>
      </c>
    </row>
    <row r="464">
      <c r="B464" s="76" t="str">
        <f>IFERROR(__xludf.DUMMYFUNCTION("""COMPUTED_VALUE"""),"")</f>
        <v/>
      </c>
      <c r="C464" s="76" t="str">
        <f>IFERROR(__xludf.DUMMYFUNCTION("""COMPUTED_VALUE"""),"")</f>
        <v/>
      </c>
    </row>
    <row r="465">
      <c r="B465" s="76" t="str">
        <f>IFERROR(__xludf.DUMMYFUNCTION("""COMPUTED_VALUE"""),"")</f>
        <v/>
      </c>
      <c r="C465" s="76" t="str">
        <f>IFERROR(__xludf.DUMMYFUNCTION("""COMPUTED_VALUE"""),"")</f>
        <v/>
      </c>
    </row>
    <row r="466">
      <c r="B466" s="76" t="str">
        <f>IFERROR(__xludf.DUMMYFUNCTION("""COMPUTED_VALUE"""),"")</f>
        <v/>
      </c>
      <c r="C466" s="76" t="str">
        <f>IFERROR(__xludf.DUMMYFUNCTION("""COMPUTED_VALUE"""),"")</f>
        <v/>
      </c>
    </row>
    <row r="467">
      <c r="B467" s="76" t="str">
        <f>IFERROR(__xludf.DUMMYFUNCTION("""COMPUTED_VALUE"""),"")</f>
        <v/>
      </c>
      <c r="C467" s="76" t="str">
        <f>IFERROR(__xludf.DUMMYFUNCTION("""COMPUTED_VALUE"""),"")</f>
        <v/>
      </c>
    </row>
    <row r="468">
      <c r="B468" s="76" t="str">
        <f>IFERROR(__xludf.DUMMYFUNCTION("""COMPUTED_VALUE"""),"")</f>
        <v/>
      </c>
      <c r="C468" s="76" t="str">
        <f>IFERROR(__xludf.DUMMYFUNCTION("""COMPUTED_VALUE"""),"")</f>
        <v/>
      </c>
    </row>
    <row r="469">
      <c r="B469" s="76" t="str">
        <f>IFERROR(__xludf.DUMMYFUNCTION("""COMPUTED_VALUE"""),"")</f>
        <v/>
      </c>
      <c r="C469" s="76" t="str">
        <f>IFERROR(__xludf.DUMMYFUNCTION("""COMPUTED_VALUE"""),"")</f>
        <v/>
      </c>
    </row>
    <row r="470">
      <c r="B470" s="76" t="str">
        <f>IFERROR(__xludf.DUMMYFUNCTION("""COMPUTED_VALUE"""),"")</f>
        <v/>
      </c>
      <c r="C470" s="76" t="str">
        <f>IFERROR(__xludf.DUMMYFUNCTION("""COMPUTED_VALUE"""),"")</f>
        <v/>
      </c>
    </row>
    <row r="471">
      <c r="B471" s="76" t="str">
        <f>IFERROR(__xludf.DUMMYFUNCTION("""COMPUTED_VALUE"""),"")</f>
        <v/>
      </c>
      <c r="C471" s="76" t="str">
        <f>IFERROR(__xludf.DUMMYFUNCTION("""COMPUTED_VALUE"""),"")</f>
        <v/>
      </c>
    </row>
    <row r="472">
      <c r="B472" s="76" t="str">
        <f>IFERROR(__xludf.DUMMYFUNCTION("""COMPUTED_VALUE"""),"")</f>
        <v/>
      </c>
      <c r="C472" s="76" t="str">
        <f>IFERROR(__xludf.DUMMYFUNCTION("""COMPUTED_VALUE"""),"")</f>
        <v/>
      </c>
    </row>
    <row r="473">
      <c r="B473" s="76" t="str">
        <f>IFERROR(__xludf.DUMMYFUNCTION("""COMPUTED_VALUE"""),"")</f>
        <v/>
      </c>
      <c r="C473" s="76" t="str">
        <f>IFERROR(__xludf.DUMMYFUNCTION("""COMPUTED_VALUE"""),"")</f>
        <v/>
      </c>
    </row>
    <row r="474">
      <c r="B474" s="76" t="str">
        <f>IFERROR(__xludf.DUMMYFUNCTION("""COMPUTED_VALUE"""),"")</f>
        <v/>
      </c>
      <c r="C474" s="76" t="str">
        <f>IFERROR(__xludf.DUMMYFUNCTION("""COMPUTED_VALUE"""),"")</f>
        <v/>
      </c>
    </row>
    <row r="475">
      <c r="B475" s="76" t="str">
        <f>IFERROR(__xludf.DUMMYFUNCTION("""COMPUTED_VALUE"""),"")</f>
        <v/>
      </c>
      <c r="C475" s="76" t="str">
        <f>IFERROR(__xludf.DUMMYFUNCTION("""COMPUTED_VALUE"""),"")</f>
        <v/>
      </c>
    </row>
    <row r="476">
      <c r="B476" s="76" t="str">
        <f>IFERROR(__xludf.DUMMYFUNCTION("""COMPUTED_VALUE"""),"")</f>
        <v/>
      </c>
      <c r="C476" s="76" t="str">
        <f>IFERROR(__xludf.DUMMYFUNCTION("""COMPUTED_VALUE"""),"")</f>
        <v/>
      </c>
    </row>
    <row r="477">
      <c r="B477" s="76" t="str">
        <f>IFERROR(__xludf.DUMMYFUNCTION("""COMPUTED_VALUE"""),"")</f>
        <v/>
      </c>
      <c r="C477" s="76" t="str">
        <f>IFERROR(__xludf.DUMMYFUNCTION("""COMPUTED_VALUE"""),"")</f>
        <v/>
      </c>
    </row>
    <row r="478">
      <c r="B478" s="76" t="str">
        <f>IFERROR(__xludf.DUMMYFUNCTION("""COMPUTED_VALUE"""),"")</f>
        <v/>
      </c>
      <c r="C478" s="76" t="str">
        <f>IFERROR(__xludf.DUMMYFUNCTION("""COMPUTED_VALUE"""),"")</f>
        <v/>
      </c>
    </row>
    <row r="479">
      <c r="B479" s="76" t="str">
        <f>IFERROR(__xludf.DUMMYFUNCTION("""COMPUTED_VALUE"""),"")</f>
        <v/>
      </c>
      <c r="C479" s="76" t="str">
        <f>IFERROR(__xludf.DUMMYFUNCTION("""COMPUTED_VALUE"""),"")</f>
        <v/>
      </c>
    </row>
    <row r="480">
      <c r="B480" s="76" t="str">
        <f>IFERROR(__xludf.DUMMYFUNCTION("""COMPUTED_VALUE"""),"")</f>
        <v/>
      </c>
      <c r="C480" s="76" t="str">
        <f>IFERROR(__xludf.DUMMYFUNCTION("""COMPUTED_VALUE"""),"")</f>
        <v/>
      </c>
    </row>
    <row r="481">
      <c r="B481" s="76" t="str">
        <f>IFERROR(__xludf.DUMMYFUNCTION("""COMPUTED_VALUE"""),"")</f>
        <v/>
      </c>
      <c r="C481" s="76" t="str">
        <f>IFERROR(__xludf.DUMMYFUNCTION("""COMPUTED_VALUE"""),"")</f>
        <v/>
      </c>
    </row>
    <row r="482">
      <c r="B482" s="76" t="str">
        <f>IFERROR(__xludf.DUMMYFUNCTION("""COMPUTED_VALUE"""),"")</f>
        <v/>
      </c>
      <c r="C482" s="76" t="str">
        <f>IFERROR(__xludf.DUMMYFUNCTION("""COMPUTED_VALUE"""),"")</f>
        <v/>
      </c>
    </row>
    <row r="483">
      <c r="B483" s="76" t="str">
        <f>IFERROR(__xludf.DUMMYFUNCTION("""COMPUTED_VALUE"""),"")</f>
        <v/>
      </c>
      <c r="C483" s="76" t="str">
        <f>IFERROR(__xludf.DUMMYFUNCTION("""COMPUTED_VALUE"""),"")</f>
        <v/>
      </c>
    </row>
    <row r="484">
      <c r="B484" s="76" t="str">
        <f>IFERROR(__xludf.DUMMYFUNCTION("""COMPUTED_VALUE"""),"")</f>
        <v/>
      </c>
      <c r="C484" s="76" t="str">
        <f>IFERROR(__xludf.DUMMYFUNCTION("""COMPUTED_VALUE"""),"")</f>
        <v/>
      </c>
    </row>
    <row r="485">
      <c r="B485" s="76" t="str">
        <f>IFERROR(__xludf.DUMMYFUNCTION("""COMPUTED_VALUE"""),"")</f>
        <v/>
      </c>
      <c r="C485" s="76" t="str">
        <f>IFERROR(__xludf.DUMMYFUNCTION("""COMPUTED_VALUE"""),"")</f>
        <v/>
      </c>
    </row>
    <row r="486">
      <c r="B486" s="76" t="str">
        <f>IFERROR(__xludf.DUMMYFUNCTION("""COMPUTED_VALUE"""),"")</f>
        <v/>
      </c>
      <c r="C486" s="76" t="str">
        <f>IFERROR(__xludf.DUMMYFUNCTION("""COMPUTED_VALUE"""),"")</f>
        <v/>
      </c>
    </row>
    <row r="487">
      <c r="B487" s="76" t="str">
        <f>IFERROR(__xludf.DUMMYFUNCTION("""COMPUTED_VALUE"""),"")</f>
        <v/>
      </c>
      <c r="C487" s="76" t="str">
        <f>IFERROR(__xludf.DUMMYFUNCTION("""COMPUTED_VALUE"""),"")</f>
        <v/>
      </c>
    </row>
    <row r="488">
      <c r="B488" s="76" t="str">
        <f>IFERROR(__xludf.DUMMYFUNCTION("""COMPUTED_VALUE"""),"")</f>
        <v/>
      </c>
      <c r="C488" s="76" t="str">
        <f>IFERROR(__xludf.DUMMYFUNCTION("""COMPUTED_VALUE"""),"")</f>
        <v/>
      </c>
    </row>
    <row r="489">
      <c r="B489" s="76" t="str">
        <f>IFERROR(__xludf.DUMMYFUNCTION("""COMPUTED_VALUE"""),"")</f>
        <v/>
      </c>
      <c r="C489" s="76" t="str">
        <f>IFERROR(__xludf.DUMMYFUNCTION("""COMPUTED_VALUE"""),"")</f>
        <v/>
      </c>
    </row>
    <row r="490">
      <c r="B490" s="76" t="str">
        <f>IFERROR(__xludf.DUMMYFUNCTION("""COMPUTED_VALUE"""),"")</f>
        <v/>
      </c>
      <c r="C490" s="76" t="str">
        <f>IFERROR(__xludf.DUMMYFUNCTION("""COMPUTED_VALUE"""),"")</f>
        <v/>
      </c>
    </row>
    <row r="491">
      <c r="B491" s="76" t="str">
        <f>IFERROR(__xludf.DUMMYFUNCTION("""COMPUTED_VALUE"""),"")</f>
        <v/>
      </c>
      <c r="C491" s="76" t="str">
        <f>IFERROR(__xludf.DUMMYFUNCTION("""COMPUTED_VALUE"""),"")</f>
        <v/>
      </c>
    </row>
    <row r="492">
      <c r="B492" s="76" t="str">
        <f>IFERROR(__xludf.DUMMYFUNCTION("""COMPUTED_VALUE"""),"")</f>
        <v/>
      </c>
      <c r="C492" s="76" t="str">
        <f>IFERROR(__xludf.DUMMYFUNCTION("""COMPUTED_VALUE"""),"")</f>
        <v/>
      </c>
    </row>
    <row r="493">
      <c r="B493" s="76" t="str">
        <f>IFERROR(__xludf.DUMMYFUNCTION("""COMPUTED_VALUE"""),"")</f>
        <v/>
      </c>
      <c r="C493" s="76" t="str">
        <f>IFERROR(__xludf.DUMMYFUNCTION("""COMPUTED_VALUE"""),"")</f>
        <v/>
      </c>
    </row>
    <row r="494">
      <c r="B494" s="76" t="str">
        <f>IFERROR(__xludf.DUMMYFUNCTION("""COMPUTED_VALUE"""),"")</f>
        <v/>
      </c>
      <c r="C494" s="76" t="str">
        <f>IFERROR(__xludf.DUMMYFUNCTION("""COMPUTED_VALUE"""),"")</f>
        <v/>
      </c>
    </row>
    <row r="495">
      <c r="B495" s="76" t="str">
        <f>IFERROR(__xludf.DUMMYFUNCTION("""COMPUTED_VALUE"""),"")</f>
        <v/>
      </c>
      <c r="C495" s="76" t="str">
        <f>IFERROR(__xludf.DUMMYFUNCTION("""COMPUTED_VALUE"""),"")</f>
        <v/>
      </c>
    </row>
    <row r="496">
      <c r="B496" s="76" t="str">
        <f>IFERROR(__xludf.DUMMYFUNCTION("""COMPUTED_VALUE"""),"")</f>
        <v/>
      </c>
      <c r="C496" s="76" t="str">
        <f>IFERROR(__xludf.DUMMYFUNCTION("""COMPUTED_VALUE"""),"")</f>
        <v/>
      </c>
    </row>
    <row r="497">
      <c r="B497" s="76" t="str">
        <f>IFERROR(__xludf.DUMMYFUNCTION("""COMPUTED_VALUE"""),"")</f>
        <v/>
      </c>
      <c r="C497" s="76" t="str">
        <f>IFERROR(__xludf.DUMMYFUNCTION("""COMPUTED_VALUE"""),"")</f>
        <v/>
      </c>
    </row>
    <row r="498">
      <c r="B498" s="76" t="str">
        <f>IFERROR(__xludf.DUMMYFUNCTION("""COMPUTED_VALUE"""),"")</f>
        <v/>
      </c>
      <c r="C498" s="76" t="str">
        <f>IFERROR(__xludf.DUMMYFUNCTION("""COMPUTED_VALUE"""),"")</f>
        <v/>
      </c>
    </row>
    <row r="499">
      <c r="B499" s="76" t="str">
        <f>IFERROR(__xludf.DUMMYFUNCTION("""COMPUTED_VALUE"""),"")</f>
        <v/>
      </c>
      <c r="C499" s="76" t="str">
        <f>IFERROR(__xludf.DUMMYFUNCTION("""COMPUTED_VALUE"""),"")</f>
        <v/>
      </c>
    </row>
    <row r="500">
      <c r="B500" s="76" t="str">
        <f>IFERROR(__xludf.DUMMYFUNCTION("""COMPUTED_VALUE"""),"")</f>
        <v/>
      </c>
      <c r="C500" s="76" t="str">
        <f>IFERROR(__xludf.DUMMYFUNCTION("""COMPUTED_VALUE"""),"")</f>
        <v/>
      </c>
    </row>
    <row r="501">
      <c r="B501" s="76" t="str">
        <f>IFERROR(__xludf.DUMMYFUNCTION("""COMPUTED_VALUE"""),"")</f>
        <v/>
      </c>
      <c r="C501" s="76" t="str">
        <f>IFERROR(__xludf.DUMMYFUNCTION("""COMPUTED_VALUE"""),"")</f>
        <v/>
      </c>
    </row>
    <row r="502">
      <c r="B502" s="76" t="str">
        <f>IFERROR(__xludf.DUMMYFUNCTION("""COMPUTED_VALUE"""),"")</f>
        <v/>
      </c>
      <c r="C502" s="76" t="str">
        <f>IFERROR(__xludf.DUMMYFUNCTION("""COMPUTED_VALUE"""),"")</f>
        <v/>
      </c>
    </row>
    <row r="503">
      <c r="B503" s="76" t="str">
        <f>IFERROR(__xludf.DUMMYFUNCTION("""COMPUTED_VALUE"""),"")</f>
        <v/>
      </c>
      <c r="C503" s="76" t="str">
        <f>IFERROR(__xludf.DUMMYFUNCTION("""COMPUTED_VALUE"""),"")</f>
        <v/>
      </c>
    </row>
    <row r="504">
      <c r="B504" s="76" t="str">
        <f>IFERROR(__xludf.DUMMYFUNCTION("""COMPUTED_VALUE"""),"")</f>
        <v/>
      </c>
      <c r="C504" s="76" t="str">
        <f>IFERROR(__xludf.DUMMYFUNCTION("""COMPUTED_VALUE"""),"")</f>
        <v/>
      </c>
    </row>
    <row r="505">
      <c r="B505" s="76" t="str">
        <f>IFERROR(__xludf.DUMMYFUNCTION("""COMPUTED_VALUE"""),"")</f>
        <v/>
      </c>
      <c r="C505" s="76" t="str">
        <f>IFERROR(__xludf.DUMMYFUNCTION("""COMPUTED_VALUE"""),"")</f>
        <v/>
      </c>
    </row>
    <row r="506">
      <c r="B506" s="76" t="str">
        <f>IFERROR(__xludf.DUMMYFUNCTION("""COMPUTED_VALUE"""),"")</f>
        <v/>
      </c>
      <c r="C506" s="76" t="str">
        <f>IFERROR(__xludf.DUMMYFUNCTION("""COMPUTED_VALUE"""),"")</f>
        <v/>
      </c>
    </row>
    <row r="507">
      <c r="B507" s="76" t="str">
        <f>IFERROR(__xludf.DUMMYFUNCTION("""COMPUTED_VALUE"""),"")</f>
        <v/>
      </c>
      <c r="C507" s="76" t="str">
        <f>IFERROR(__xludf.DUMMYFUNCTION("""COMPUTED_VALUE"""),"")</f>
        <v/>
      </c>
    </row>
    <row r="508">
      <c r="B508" s="76" t="str">
        <f>IFERROR(__xludf.DUMMYFUNCTION("""COMPUTED_VALUE"""),"")</f>
        <v/>
      </c>
      <c r="C508" s="76" t="str">
        <f>IFERROR(__xludf.DUMMYFUNCTION("""COMPUTED_VALUE"""),"")</f>
        <v/>
      </c>
    </row>
    <row r="509">
      <c r="B509" s="76" t="str">
        <f>IFERROR(__xludf.DUMMYFUNCTION("""COMPUTED_VALUE"""),"")</f>
        <v/>
      </c>
      <c r="C509" s="76" t="str">
        <f>IFERROR(__xludf.DUMMYFUNCTION("""COMPUTED_VALUE"""),"")</f>
        <v/>
      </c>
    </row>
    <row r="510">
      <c r="B510" s="76" t="str">
        <f>IFERROR(__xludf.DUMMYFUNCTION("""COMPUTED_VALUE"""),"")</f>
        <v/>
      </c>
      <c r="C510" s="76" t="str">
        <f>IFERROR(__xludf.DUMMYFUNCTION("""COMPUTED_VALUE"""),"")</f>
        <v/>
      </c>
    </row>
    <row r="511">
      <c r="B511" s="76" t="str">
        <f>IFERROR(__xludf.DUMMYFUNCTION("""COMPUTED_VALUE"""),"")</f>
        <v/>
      </c>
      <c r="C511" s="76" t="str">
        <f>IFERROR(__xludf.DUMMYFUNCTION("""COMPUTED_VALUE"""),"")</f>
        <v/>
      </c>
    </row>
    <row r="512">
      <c r="B512" s="76" t="str">
        <f>IFERROR(__xludf.DUMMYFUNCTION("""COMPUTED_VALUE"""),"")</f>
        <v/>
      </c>
      <c r="C512" s="76" t="str">
        <f>IFERROR(__xludf.DUMMYFUNCTION("""COMPUTED_VALUE"""),"")</f>
        <v/>
      </c>
    </row>
    <row r="513">
      <c r="B513" s="76" t="str">
        <f>IFERROR(__xludf.DUMMYFUNCTION("""COMPUTED_VALUE"""),"")</f>
        <v/>
      </c>
      <c r="C513" s="76" t="str">
        <f>IFERROR(__xludf.DUMMYFUNCTION("""COMPUTED_VALUE"""),"")</f>
        <v/>
      </c>
    </row>
    <row r="514">
      <c r="B514" s="76" t="str">
        <f>IFERROR(__xludf.DUMMYFUNCTION("""COMPUTED_VALUE"""),"")</f>
        <v/>
      </c>
      <c r="C514" s="76" t="str">
        <f>IFERROR(__xludf.DUMMYFUNCTION("""COMPUTED_VALUE"""),"")</f>
        <v/>
      </c>
    </row>
    <row r="515">
      <c r="B515" s="76" t="str">
        <f>IFERROR(__xludf.DUMMYFUNCTION("""COMPUTED_VALUE"""),"")</f>
        <v/>
      </c>
      <c r="C515" s="76" t="str">
        <f>IFERROR(__xludf.DUMMYFUNCTION("""COMPUTED_VALUE"""),"")</f>
        <v/>
      </c>
    </row>
    <row r="516">
      <c r="B516" s="76" t="str">
        <f>IFERROR(__xludf.DUMMYFUNCTION("""COMPUTED_VALUE"""),"")</f>
        <v/>
      </c>
      <c r="C516" s="76" t="str">
        <f>IFERROR(__xludf.DUMMYFUNCTION("""COMPUTED_VALUE"""),"")</f>
        <v/>
      </c>
    </row>
    <row r="517">
      <c r="B517" s="76" t="str">
        <f>IFERROR(__xludf.DUMMYFUNCTION("""COMPUTED_VALUE"""),"")</f>
        <v/>
      </c>
      <c r="C517" s="76" t="str">
        <f>IFERROR(__xludf.DUMMYFUNCTION("""COMPUTED_VALUE"""),"")</f>
        <v/>
      </c>
    </row>
    <row r="518">
      <c r="B518" s="76" t="str">
        <f>IFERROR(__xludf.DUMMYFUNCTION("""COMPUTED_VALUE"""),"")</f>
        <v/>
      </c>
      <c r="C518" s="76" t="str">
        <f>IFERROR(__xludf.DUMMYFUNCTION("""COMPUTED_VALUE"""),"")</f>
        <v/>
      </c>
    </row>
    <row r="519">
      <c r="B519" s="76" t="str">
        <f>IFERROR(__xludf.DUMMYFUNCTION("""COMPUTED_VALUE"""),"")</f>
        <v/>
      </c>
      <c r="C519" s="76" t="str">
        <f>IFERROR(__xludf.DUMMYFUNCTION("""COMPUTED_VALUE"""),"")</f>
        <v/>
      </c>
    </row>
    <row r="520">
      <c r="B520" s="76" t="str">
        <f>IFERROR(__xludf.DUMMYFUNCTION("""COMPUTED_VALUE"""),"")</f>
        <v/>
      </c>
      <c r="C520" s="76" t="str">
        <f>IFERROR(__xludf.DUMMYFUNCTION("""COMPUTED_VALUE"""),"")</f>
        <v/>
      </c>
    </row>
    <row r="521">
      <c r="B521" s="76" t="str">
        <f>IFERROR(__xludf.DUMMYFUNCTION("""COMPUTED_VALUE"""),"")</f>
        <v/>
      </c>
      <c r="C521" s="76" t="str">
        <f>IFERROR(__xludf.DUMMYFUNCTION("""COMPUTED_VALUE"""),"")</f>
        <v/>
      </c>
    </row>
    <row r="522">
      <c r="B522" s="76" t="str">
        <f>IFERROR(__xludf.DUMMYFUNCTION("""COMPUTED_VALUE"""),"")</f>
        <v/>
      </c>
      <c r="C522" s="76" t="str">
        <f>IFERROR(__xludf.DUMMYFUNCTION("""COMPUTED_VALUE"""),"")</f>
        <v/>
      </c>
    </row>
    <row r="523">
      <c r="B523" s="76" t="str">
        <f>IFERROR(__xludf.DUMMYFUNCTION("""COMPUTED_VALUE"""),"")</f>
        <v/>
      </c>
      <c r="C523" s="76" t="str">
        <f>IFERROR(__xludf.DUMMYFUNCTION("""COMPUTED_VALUE"""),"")</f>
        <v/>
      </c>
    </row>
    <row r="524">
      <c r="B524" s="76" t="str">
        <f>IFERROR(__xludf.DUMMYFUNCTION("""COMPUTED_VALUE"""),"")</f>
        <v/>
      </c>
      <c r="C524" s="76" t="str">
        <f>IFERROR(__xludf.DUMMYFUNCTION("""COMPUTED_VALUE"""),"")</f>
        <v/>
      </c>
    </row>
    <row r="525">
      <c r="B525" s="76" t="str">
        <f>IFERROR(__xludf.DUMMYFUNCTION("""COMPUTED_VALUE"""),"")</f>
        <v/>
      </c>
      <c r="C525" s="76" t="str">
        <f>IFERROR(__xludf.DUMMYFUNCTION("""COMPUTED_VALUE"""),"")</f>
        <v/>
      </c>
    </row>
    <row r="526">
      <c r="B526" s="76" t="str">
        <f>IFERROR(__xludf.DUMMYFUNCTION("""COMPUTED_VALUE"""),"")</f>
        <v/>
      </c>
      <c r="C526" s="76" t="str">
        <f>IFERROR(__xludf.DUMMYFUNCTION("""COMPUTED_VALUE"""),"")</f>
        <v/>
      </c>
    </row>
    <row r="527">
      <c r="B527" s="76" t="str">
        <f>IFERROR(__xludf.DUMMYFUNCTION("""COMPUTED_VALUE"""),"")</f>
        <v/>
      </c>
      <c r="C527" s="76" t="str">
        <f>IFERROR(__xludf.DUMMYFUNCTION("""COMPUTED_VALUE"""),"")</f>
        <v/>
      </c>
    </row>
    <row r="528">
      <c r="B528" s="76" t="str">
        <f>IFERROR(__xludf.DUMMYFUNCTION("""COMPUTED_VALUE"""),"")</f>
        <v/>
      </c>
      <c r="C528" s="76" t="str">
        <f>IFERROR(__xludf.DUMMYFUNCTION("""COMPUTED_VALUE"""),"")</f>
        <v/>
      </c>
    </row>
    <row r="529">
      <c r="B529" s="76" t="str">
        <f>IFERROR(__xludf.DUMMYFUNCTION("""COMPUTED_VALUE"""),"")</f>
        <v/>
      </c>
      <c r="C529" s="76" t="str">
        <f>IFERROR(__xludf.DUMMYFUNCTION("""COMPUTED_VALUE"""),"")</f>
        <v/>
      </c>
    </row>
    <row r="530">
      <c r="B530" s="76" t="str">
        <f>IFERROR(__xludf.DUMMYFUNCTION("""COMPUTED_VALUE"""),"")</f>
        <v/>
      </c>
      <c r="C530" s="76" t="str">
        <f>IFERROR(__xludf.DUMMYFUNCTION("""COMPUTED_VALUE"""),"")</f>
        <v/>
      </c>
    </row>
    <row r="531">
      <c r="B531" s="76" t="str">
        <f>IFERROR(__xludf.DUMMYFUNCTION("""COMPUTED_VALUE"""),"")</f>
        <v/>
      </c>
      <c r="C531" s="76" t="str">
        <f>IFERROR(__xludf.DUMMYFUNCTION("""COMPUTED_VALUE"""),"")</f>
        <v/>
      </c>
    </row>
    <row r="532">
      <c r="B532" s="76" t="str">
        <f>IFERROR(__xludf.DUMMYFUNCTION("""COMPUTED_VALUE"""),"")</f>
        <v/>
      </c>
      <c r="C532" s="76" t="str">
        <f>IFERROR(__xludf.DUMMYFUNCTION("""COMPUTED_VALUE"""),"")</f>
        <v/>
      </c>
    </row>
    <row r="533">
      <c r="B533" s="76" t="str">
        <f>IFERROR(__xludf.DUMMYFUNCTION("""COMPUTED_VALUE"""),"")</f>
        <v/>
      </c>
      <c r="C533" s="76" t="str">
        <f>IFERROR(__xludf.DUMMYFUNCTION("""COMPUTED_VALUE"""),"")</f>
        <v/>
      </c>
    </row>
    <row r="534">
      <c r="B534" s="76" t="str">
        <f>IFERROR(__xludf.DUMMYFUNCTION("""COMPUTED_VALUE"""),"")</f>
        <v/>
      </c>
      <c r="C534" s="76" t="str">
        <f>IFERROR(__xludf.DUMMYFUNCTION("""COMPUTED_VALUE"""),"")</f>
        <v/>
      </c>
    </row>
    <row r="535">
      <c r="B535" s="76" t="str">
        <f>IFERROR(__xludf.DUMMYFUNCTION("""COMPUTED_VALUE"""),"")</f>
        <v/>
      </c>
      <c r="C535" s="76" t="str">
        <f>IFERROR(__xludf.DUMMYFUNCTION("""COMPUTED_VALUE"""),"")</f>
        <v/>
      </c>
    </row>
    <row r="536">
      <c r="B536" s="76" t="str">
        <f>IFERROR(__xludf.DUMMYFUNCTION("""COMPUTED_VALUE"""),"")</f>
        <v/>
      </c>
      <c r="C536" s="76" t="str">
        <f>IFERROR(__xludf.DUMMYFUNCTION("""COMPUTED_VALUE"""),"")</f>
        <v/>
      </c>
    </row>
    <row r="537">
      <c r="B537" s="76" t="str">
        <f>IFERROR(__xludf.DUMMYFUNCTION("""COMPUTED_VALUE"""),"")</f>
        <v/>
      </c>
      <c r="C537" s="76" t="str">
        <f>IFERROR(__xludf.DUMMYFUNCTION("""COMPUTED_VALUE"""),"")</f>
        <v/>
      </c>
    </row>
    <row r="538">
      <c r="B538" s="76" t="str">
        <f>IFERROR(__xludf.DUMMYFUNCTION("""COMPUTED_VALUE"""),"")</f>
        <v/>
      </c>
      <c r="C538" s="76" t="str">
        <f>IFERROR(__xludf.DUMMYFUNCTION("""COMPUTED_VALUE"""),"")</f>
        <v/>
      </c>
    </row>
    <row r="539">
      <c r="B539" s="76" t="str">
        <f>IFERROR(__xludf.DUMMYFUNCTION("""COMPUTED_VALUE"""),"")</f>
        <v/>
      </c>
      <c r="C539" s="76" t="str">
        <f>IFERROR(__xludf.DUMMYFUNCTION("""COMPUTED_VALUE"""),"")</f>
        <v/>
      </c>
    </row>
    <row r="540">
      <c r="B540" s="76" t="str">
        <f>IFERROR(__xludf.DUMMYFUNCTION("""COMPUTED_VALUE"""),"")</f>
        <v/>
      </c>
      <c r="C540" s="76" t="str">
        <f>IFERROR(__xludf.DUMMYFUNCTION("""COMPUTED_VALUE"""),"")</f>
        <v/>
      </c>
    </row>
    <row r="541">
      <c r="B541" s="76" t="str">
        <f>IFERROR(__xludf.DUMMYFUNCTION("""COMPUTED_VALUE"""),"")</f>
        <v/>
      </c>
      <c r="C541" s="76" t="str">
        <f>IFERROR(__xludf.DUMMYFUNCTION("""COMPUTED_VALUE"""),"")</f>
        <v/>
      </c>
    </row>
    <row r="542">
      <c r="B542" s="76" t="str">
        <f>IFERROR(__xludf.DUMMYFUNCTION("""COMPUTED_VALUE"""),"")</f>
        <v/>
      </c>
      <c r="C542" s="76" t="str">
        <f>IFERROR(__xludf.DUMMYFUNCTION("""COMPUTED_VALUE"""),"")</f>
        <v/>
      </c>
    </row>
    <row r="543">
      <c r="B543" s="76" t="str">
        <f>IFERROR(__xludf.DUMMYFUNCTION("""COMPUTED_VALUE"""),"")</f>
        <v/>
      </c>
      <c r="C543" s="76" t="str">
        <f>IFERROR(__xludf.DUMMYFUNCTION("""COMPUTED_VALUE"""),"")</f>
        <v/>
      </c>
    </row>
    <row r="544">
      <c r="B544" s="76" t="str">
        <f>IFERROR(__xludf.DUMMYFUNCTION("""COMPUTED_VALUE"""),"")</f>
        <v/>
      </c>
      <c r="C544" s="76" t="str">
        <f>IFERROR(__xludf.DUMMYFUNCTION("""COMPUTED_VALUE"""),"")</f>
        <v/>
      </c>
    </row>
    <row r="545">
      <c r="B545" s="76" t="str">
        <f>IFERROR(__xludf.DUMMYFUNCTION("""COMPUTED_VALUE"""),"")</f>
        <v/>
      </c>
      <c r="C545" s="76" t="str">
        <f>IFERROR(__xludf.DUMMYFUNCTION("""COMPUTED_VALUE"""),"")</f>
        <v/>
      </c>
    </row>
    <row r="546">
      <c r="B546" s="76" t="str">
        <f>IFERROR(__xludf.DUMMYFUNCTION("""COMPUTED_VALUE"""),"")</f>
        <v/>
      </c>
      <c r="C546" s="76" t="str">
        <f>IFERROR(__xludf.DUMMYFUNCTION("""COMPUTED_VALUE"""),"")</f>
        <v/>
      </c>
    </row>
    <row r="547">
      <c r="B547" s="76" t="str">
        <f>IFERROR(__xludf.DUMMYFUNCTION("""COMPUTED_VALUE"""),"")</f>
        <v/>
      </c>
      <c r="C547" s="76" t="str">
        <f>IFERROR(__xludf.DUMMYFUNCTION("""COMPUTED_VALUE"""),"")</f>
        <v/>
      </c>
    </row>
    <row r="548">
      <c r="B548" s="76" t="str">
        <f>IFERROR(__xludf.DUMMYFUNCTION("""COMPUTED_VALUE"""),"")</f>
        <v/>
      </c>
      <c r="C548" s="76" t="str">
        <f>IFERROR(__xludf.DUMMYFUNCTION("""COMPUTED_VALUE"""),"")</f>
        <v/>
      </c>
    </row>
    <row r="549">
      <c r="B549" s="76" t="str">
        <f>IFERROR(__xludf.DUMMYFUNCTION("""COMPUTED_VALUE"""),"")</f>
        <v/>
      </c>
      <c r="C549" s="76" t="str">
        <f>IFERROR(__xludf.DUMMYFUNCTION("""COMPUTED_VALUE"""),"")</f>
        <v/>
      </c>
    </row>
    <row r="550">
      <c r="B550" s="76" t="str">
        <f>IFERROR(__xludf.DUMMYFUNCTION("""COMPUTED_VALUE"""),"")</f>
        <v/>
      </c>
      <c r="C550" s="76" t="str">
        <f>IFERROR(__xludf.DUMMYFUNCTION("""COMPUTED_VALUE"""),"")</f>
        <v/>
      </c>
    </row>
    <row r="551">
      <c r="B551" s="76" t="str">
        <f>IFERROR(__xludf.DUMMYFUNCTION("""COMPUTED_VALUE"""),"")</f>
        <v/>
      </c>
      <c r="C551" s="76" t="str">
        <f>IFERROR(__xludf.DUMMYFUNCTION("""COMPUTED_VALUE"""),"")</f>
        <v/>
      </c>
    </row>
    <row r="552">
      <c r="B552" s="76" t="str">
        <f>IFERROR(__xludf.DUMMYFUNCTION("""COMPUTED_VALUE"""),"")</f>
        <v/>
      </c>
      <c r="C552" s="76" t="str">
        <f>IFERROR(__xludf.DUMMYFUNCTION("""COMPUTED_VALUE"""),"")</f>
        <v/>
      </c>
    </row>
    <row r="553">
      <c r="B553" s="76" t="str">
        <f>IFERROR(__xludf.DUMMYFUNCTION("""COMPUTED_VALUE"""),"")</f>
        <v/>
      </c>
      <c r="C553" s="76" t="str">
        <f>IFERROR(__xludf.DUMMYFUNCTION("""COMPUTED_VALUE"""),"")</f>
        <v/>
      </c>
    </row>
    <row r="554">
      <c r="B554" s="76" t="str">
        <f>IFERROR(__xludf.DUMMYFUNCTION("""COMPUTED_VALUE"""),"")</f>
        <v/>
      </c>
      <c r="C554" s="76" t="str">
        <f>IFERROR(__xludf.DUMMYFUNCTION("""COMPUTED_VALUE"""),"")</f>
        <v/>
      </c>
    </row>
    <row r="555">
      <c r="B555" s="76" t="str">
        <f>IFERROR(__xludf.DUMMYFUNCTION("""COMPUTED_VALUE"""),"")</f>
        <v/>
      </c>
      <c r="C555" s="76" t="str">
        <f>IFERROR(__xludf.DUMMYFUNCTION("""COMPUTED_VALUE"""),"")</f>
        <v/>
      </c>
    </row>
    <row r="556">
      <c r="B556" s="76" t="str">
        <f>IFERROR(__xludf.DUMMYFUNCTION("""COMPUTED_VALUE"""),"")</f>
        <v/>
      </c>
      <c r="C556" s="76" t="str">
        <f>IFERROR(__xludf.DUMMYFUNCTION("""COMPUTED_VALUE"""),"")</f>
        <v/>
      </c>
    </row>
    <row r="557">
      <c r="B557" s="76" t="str">
        <f>IFERROR(__xludf.DUMMYFUNCTION("""COMPUTED_VALUE"""),"")</f>
        <v/>
      </c>
      <c r="C557" s="76" t="str">
        <f>IFERROR(__xludf.DUMMYFUNCTION("""COMPUTED_VALUE"""),"")</f>
        <v/>
      </c>
    </row>
    <row r="558">
      <c r="B558" s="76" t="str">
        <f>IFERROR(__xludf.DUMMYFUNCTION("""COMPUTED_VALUE"""),"")</f>
        <v/>
      </c>
      <c r="C558" s="76" t="str">
        <f>IFERROR(__xludf.DUMMYFUNCTION("""COMPUTED_VALUE"""),"")</f>
        <v/>
      </c>
    </row>
    <row r="559">
      <c r="B559" s="76" t="str">
        <f>IFERROR(__xludf.DUMMYFUNCTION("""COMPUTED_VALUE"""),"")</f>
        <v/>
      </c>
      <c r="C559" s="76" t="str">
        <f>IFERROR(__xludf.DUMMYFUNCTION("""COMPUTED_VALUE"""),"")</f>
        <v/>
      </c>
    </row>
    <row r="560">
      <c r="B560" s="76" t="str">
        <f>IFERROR(__xludf.DUMMYFUNCTION("""COMPUTED_VALUE"""),"")</f>
        <v/>
      </c>
      <c r="C560" s="76" t="str">
        <f>IFERROR(__xludf.DUMMYFUNCTION("""COMPUTED_VALUE"""),"")</f>
        <v/>
      </c>
    </row>
    <row r="561">
      <c r="B561" s="76" t="str">
        <f>IFERROR(__xludf.DUMMYFUNCTION("""COMPUTED_VALUE"""),"")</f>
        <v/>
      </c>
      <c r="C561" s="76" t="str">
        <f>IFERROR(__xludf.DUMMYFUNCTION("""COMPUTED_VALUE"""),"")</f>
        <v/>
      </c>
    </row>
    <row r="562">
      <c r="B562" s="76" t="str">
        <f>IFERROR(__xludf.DUMMYFUNCTION("""COMPUTED_VALUE"""),"")</f>
        <v/>
      </c>
      <c r="C562" s="76" t="str">
        <f>IFERROR(__xludf.DUMMYFUNCTION("""COMPUTED_VALUE"""),"")</f>
        <v/>
      </c>
    </row>
    <row r="563">
      <c r="B563" s="76" t="str">
        <f>IFERROR(__xludf.DUMMYFUNCTION("""COMPUTED_VALUE"""),"")</f>
        <v/>
      </c>
      <c r="C563" s="76" t="str">
        <f>IFERROR(__xludf.DUMMYFUNCTION("""COMPUTED_VALUE"""),"")</f>
        <v/>
      </c>
    </row>
    <row r="564">
      <c r="B564" s="76" t="str">
        <f>IFERROR(__xludf.DUMMYFUNCTION("""COMPUTED_VALUE"""),"")</f>
        <v/>
      </c>
      <c r="C564" s="76" t="str">
        <f>IFERROR(__xludf.DUMMYFUNCTION("""COMPUTED_VALUE"""),"")</f>
        <v/>
      </c>
    </row>
    <row r="565">
      <c r="B565" s="76" t="str">
        <f>IFERROR(__xludf.DUMMYFUNCTION("""COMPUTED_VALUE"""),"")</f>
        <v/>
      </c>
      <c r="C565" s="76" t="str">
        <f>IFERROR(__xludf.DUMMYFUNCTION("""COMPUTED_VALUE"""),"")</f>
        <v/>
      </c>
    </row>
    <row r="566">
      <c r="B566" s="76" t="str">
        <f>IFERROR(__xludf.DUMMYFUNCTION("""COMPUTED_VALUE"""),"")</f>
        <v/>
      </c>
      <c r="C566" s="76" t="str">
        <f>IFERROR(__xludf.DUMMYFUNCTION("""COMPUTED_VALUE"""),"")</f>
        <v/>
      </c>
    </row>
    <row r="567">
      <c r="B567" s="76" t="str">
        <f>IFERROR(__xludf.DUMMYFUNCTION("""COMPUTED_VALUE"""),"")</f>
        <v/>
      </c>
      <c r="C567" s="76" t="str">
        <f>IFERROR(__xludf.DUMMYFUNCTION("""COMPUTED_VALUE"""),"")</f>
        <v/>
      </c>
    </row>
    <row r="568">
      <c r="B568" s="76" t="str">
        <f>IFERROR(__xludf.DUMMYFUNCTION("""COMPUTED_VALUE"""),"")</f>
        <v/>
      </c>
      <c r="C568" s="76" t="str">
        <f>IFERROR(__xludf.DUMMYFUNCTION("""COMPUTED_VALUE"""),"")</f>
        <v/>
      </c>
    </row>
    <row r="569">
      <c r="B569" s="76" t="str">
        <f>IFERROR(__xludf.DUMMYFUNCTION("""COMPUTED_VALUE"""),"")</f>
        <v/>
      </c>
      <c r="C569" s="76" t="str">
        <f>IFERROR(__xludf.DUMMYFUNCTION("""COMPUTED_VALUE"""),"")</f>
        <v/>
      </c>
    </row>
    <row r="570">
      <c r="B570" s="76" t="str">
        <f>IFERROR(__xludf.DUMMYFUNCTION("""COMPUTED_VALUE"""),"")</f>
        <v/>
      </c>
      <c r="C570" s="76" t="str">
        <f>IFERROR(__xludf.DUMMYFUNCTION("""COMPUTED_VALUE"""),"")</f>
        <v/>
      </c>
    </row>
    <row r="571">
      <c r="B571" s="76" t="str">
        <f>IFERROR(__xludf.DUMMYFUNCTION("""COMPUTED_VALUE"""),"")</f>
        <v/>
      </c>
      <c r="C571" s="76" t="str">
        <f>IFERROR(__xludf.DUMMYFUNCTION("""COMPUTED_VALUE"""),"")</f>
        <v/>
      </c>
    </row>
    <row r="572">
      <c r="B572" s="76" t="str">
        <f>IFERROR(__xludf.DUMMYFUNCTION("""COMPUTED_VALUE"""),"")</f>
        <v/>
      </c>
      <c r="C572" s="76" t="str">
        <f>IFERROR(__xludf.DUMMYFUNCTION("""COMPUTED_VALUE"""),"")</f>
        <v/>
      </c>
    </row>
    <row r="573">
      <c r="B573" s="76" t="str">
        <f>IFERROR(__xludf.DUMMYFUNCTION("""COMPUTED_VALUE"""),"")</f>
        <v/>
      </c>
      <c r="C573" s="76" t="str">
        <f>IFERROR(__xludf.DUMMYFUNCTION("""COMPUTED_VALUE"""),"")</f>
        <v/>
      </c>
    </row>
    <row r="574">
      <c r="B574" s="76" t="str">
        <f>IFERROR(__xludf.DUMMYFUNCTION("""COMPUTED_VALUE"""),"")</f>
        <v/>
      </c>
      <c r="C574" s="76" t="str">
        <f>IFERROR(__xludf.DUMMYFUNCTION("""COMPUTED_VALUE"""),"")</f>
        <v/>
      </c>
    </row>
    <row r="575">
      <c r="B575" s="76" t="str">
        <f>IFERROR(__xludf.DUMMYFUNCTION("""COMPUTED_VALUE"""),"")</f>
        <v/>
      </c>
      <c r="C575" s="76" t="str">
        <f>IFERROR(__xludf.DUMMYFUNCTION("""COMPUTED_VALUE"""),"")</f>
        <v/>
      </c>
    </row>
    <row r="576">
      <c r="B576" s="76" t="str">
        <f>IFERROR(__xludf.DUMMYFUNCTION("""COMPUTED_VALUE"""),"")</f>
        <v/>
      </c>
      <c r="C576" s="76" t="str">
        <f>IFERROR(__xludf.DUMMYFUNCTION("""COMPUTED_VALUE"""),"")</f>
        <v/>
      </c>
    </row>
    <row r="577">
      <c r="B577" s="76" t="str">
        <f>IFERROR(__xludf.DUMMYFUNCTION("""COMPUTED_VALUE"""),"")</f>
        <v/>
      </c>
      <c r="C577" s="76" t="str">
        <f>IFERROR(__xludf.DUMMYFUNCTION("""COMPUTED_VALUE"""),"")</f>
        <v/>
      </c>
    </row>
    <row r="578">
      <c r="B578" s="76" t="str">
        <f>IFERROR(__xludf.DUMMYFUNCTION("""COMPUTED_VALUE"""),"")</f>
        <v/>
      </c>
      <c r="C578" s="76" t="str">
        <f>IFERROR(__xludf.DUMMYFUNCTION("""COMPUTED_VALUE"""),"")</f>
        <v/>
      </c>
    </row>
    <row r="579">
      <c r="B579" s="76" t="str">
        <f>IFERROR(__xludf.DUMMYFUNCTION("""COMPUTED_VALUE"""),"")</f>
        <v/>
      </c>
      <c r="C579" s="76" t="str">
        <f>IFERROR(__xludf.DUMMYFUNCTION("""COMPUTED_VALUE"""),"")</f>
        <v/>
      </c>
    </row>
    <row r="580">
      <c r="B580" s="76" t="str">
        <f>IFERROR(__xludf.DUMMYFUNCTION("""COMPUTED_VALUE"""),"")</f>
        <v/>
      </c>
      <c r="C580" s="76" t="str">
        <f>IFERROR(__xludf.DUMMYFUNCTION("""COMPUTED_VALUE"""),"")</f>
        <v/>
      </c>
    </row>
    <row r="581">
      <c r="B581" s="76" t="str">
        <f>IFERROR(__xludf.DUMMYFUNCTION("""COMPUTED_VALUE"""),"")</f>
        <v/>
      </c>
      <c r="C581" s="76" t="str">
        <f>IFERROR(__xludf.DUMMYFUNCTION("""COMPUTED_VALUE"""),"")</f>
        <v/>
      </c>
    </row>
    <row r="582">
      <c r="B582" s="76" t="str">
        <f>IFERROR(__xludf.DUMMYFUNCTION("""COMPUTED_VALUE"""),"")</f>
        <v/>
      </c>
      <c r="C582" s="76" t="str">
        <f>IFERROR(__xludf.DUMMYFUNCTION("""COMPUTED_VALUE"""),"")</f>
        <v/>
      </c>
    </row>
    <row r="583">
      <c r="B583" s="76" t="str">
        <f>IFERROR(__xludf.DUMMYFUNCTION("""COMPUTED_VALUE"""),"")</f>
        <v/>
      </c>
      <c r="C583" s="76" t="str">
        <f>IFERROR(__xludf.DUMMYFUNCTION("""COMPUTED_VALUE"""),"")</f>
        <v/>
      </c>
    </row>
    <row r="584">
      <c r="B584" s="76" t="str">
        <f>IFERROR(__xludf.DUMMYFUNCTION("""COMPUTED_VALUE"""),"")</f>
        <v/>
      </c>
      <c r="C584" s="76" t="str">
        <f>IFERROR(__xludf.DUMMYFUNCTION("""COMPUTED_VALUE"""),"")</f>
        <v/>
      </c>
    </row>
    <row r="585">
      <c r="B585" s="76" t="str">
        <f>IFERROR(__xludf.DUMMYFUNCTION("""COMPUTED_VALUE"""),"")</f>
        <v/>
      </c>
      <c r="C585" s="76" t="str">
        <f>IFERROR(__xludf.DUMMYFUNCTION("""COMPUTED_VALUE"""),"")</f>
        <v/>
      </c>
    </row>
    <row r="586">
      <c r="B586" s="76" t="str">
        <f>IFERROR(__xludf.DUMMYFUNCTION("""COMPUTED_VALUE"""),"")</f>
        <v/>
      </c>
      <c r="C586" s="76" t="str">
        <f>IFERROR(__xludf.DUMMYFUNCTION("""COMPUTED_VALUE"""),"")</f>
        <v/>
      </c>
    </row>
    <row r="587">
      <c r="B587" s="76" t="str">
        <f>IFERROR(__xludf.DUMMYFUNCTION("""COMPUTED_VALUE"""),"")</f>
        <v/>
      </c>
      <c r="C587" s="76" t="str">
        <f>IFERROR(__xludf.DUMMYFUNCTION("""COMPUTED_VALUE"""),"")</f>
        <v/>
      </c>
    </row>
    <row r="588">
      <c r="B588" s="76" t="str">
        <f>IFERROR(__xludf.DUMMYFUNCTION("""COMPUTED_VALUE"""),"")</f>
        <v/>
      </c>
      <c r="C588" s="76" t="str">
        <f>IFERROR(__xludf.DUMMYFUNCTION("""COMPUTED_VALUE"""),"")</f>
        <v/>
      </c>
    </row>
    <row r="589">
      <c r="B589" s="76" t="str">
        <f>IFERROR(__xludf.DUMMYFUNCTION("""COMPUTED_VALUE"""),"")</f>
        <v/>
      </c>
      <c r="C589" s="76" t="str">
        <f>IFERROR(__xludf.DUMMYFUNCTION("""COMPUTED_VALUE"""),"")</f>
        <v/>
      </c>
    </row>
    <row r="590">
      <c r="B590" s="76" t="str">
        <f>IFERROR(__xludf.DUMMYFUNCTION("""COMPUTED_VALUE"""),"")</f>
        <v/>
      </c>
      <c r="C590" s="76" t="str">
        <f>IFERROR(__xludf.DUMMYFUNCTION("""COMPUTED_VALUE"""),"")</f>
        <v/>
      </c>
    </row>
    <row r="591">
      <c r="B591" s="76" t="str">
        <f>IFERROR(__xludf.DUMMYFUNCTION("""COMPUTED_VALUE"""),"")</f>
        <v/>
      </c>
      <c r="C591" s="76" t="str">
        <f>IFERROR(__xludf.DUMMYFUNCTION("""COMPUTED_VALUE"""),"")</f>
        <v/>
      </c>
    </row>
    <row r="592">
      <c r="B592" s="76" t="str">
        <f>IFERROR(__xludf.DUMMYFUNCTION("""COMPUTED_VALUE"""),"")</f>
        <v/>
      </c>
      <c r="C592" s="76" t="str">
        <f>IFERROR(__xludf.DUMMYFUNCTION("""COMPUTED_VALUE"""),"")</f>
        <v/>
      </c>
    </row>
    <row r="593">
      <c r="B593" s="76" t="str">
        <f>IFERROR(__xludf.DUMMYFUNCTION("""COMPUTED_VALUE"""),"")</f>
        <v/>
      </c>
      <c r="C593" s="76" t="str">
        <f>IFERROR(__xludf.DUMMYFUNCTION("""COMPUTED_VALUE"""),"")</f>
        <v/>
      </c>
    </row>
    <row r="594">
      <c r="B594" s="76" t="str">
        <f>IFERROR(__xludf.DUMMYFUNCTION("""COMPUTED_VALUE"""),"")</f>
        <v/>
      </c>
      <c r="C594" s="76" t="str">
        <f>IFERROR(__xludf.DUMMYFUNCTION("""COMPUTED_VALUE"""),"")</f>
        <v/>
      </c>
    </row>
    <row r="595">
      <c r="B595" s="76" t="str">
        <f>IFERROR(__xludf.DUMMYFUNCTION("""COMPUTED_VALUE"""),"")</f>
        <v/>
      </c>
      <c r="C595" s="76" t="str">
        <f>IFERROR(__xludf.DUMMYFUNCTION("""COMPUTED_VALUE"""),"")</f>
        <v/>
      </c>
    </row>
    <row r="596">
      <c r="B596" s="76" t="str">
        <f>IFERROR(__xludf.DUMMYFUNCTION("""COMPUTED_VALUE"""),"")</f>
        <v/>
      </c>
      <c r="C596" s="76" t="str">
        <f>IFERROR(__xludf.DUMMYFUNCTION("""COMPUTED_VALUE"""),"")</f>
        <v/>
      </c>
    </row>
    <row r="597">
      <c r="B597" s="76" t="str">
        <f>IFERROR(__xludf.DUMMYFUNCTION("""COMPUTED_VALUE"""),"")</f>
        <v/>
      </c>
      <c r="C597" s="76" t="str">
        <f>IFERROR(__xludf.DUMMYFUNCTION("""COMPUTED_VALUE"""),"")</f>
        <v/>
      </c>
    </row>
    <row r="598">
      <c r="B598" s="76" t="str">
        <f>IFERROR(__xludf.DUMMYFUNCTION("""COMPUTED_VALUE"""),"")</f>
        <v/>
      </c>
      <c r="C598" s="76" t="str">
        <f>IFERROR(__xludf.DUMMYFUNCTION("""COMPUTED_VALUE"""),"")</f>
        <v/>
      </c>
    </row>
    <row r="599">
      <c r="B599" s="76" t="str">
        <f>IFERROR(__xludf.DUMMYFUNCTION("""COMPUTED_VALUE"""),"")</f>
        <v/>
      </c>
      <c r="C599" s="76" t="str">
        <f>IFERROR(__xludf.DUMMYFUNCTION("""COMPUTED_VALUE"""),"")</f>
        <v/>
      </c>
    </row>
    <row r="600">
      <c r="B600" s="76" t="str">
        <f>IFERROR(__xludf.DUMMYFUNCTION("""COMPUTED_VALUE"""),"")</f>
        <v/>
      </c>
      <c r="C600" s="76" t="str">
        <f>IFERROR(__xludf.DUMMYFUNCTION("""COMPUTED_VALUE"""),"")</f>
        <v/>
      </c>
    </row>
    <row r="601">
      <c r="B601" s="76" t="str">
        <f>IFERROR(__xludf.DUMMYFUNCTION("""COMPUTED_VALUE"""),"")</f>
        <v/>
      </c>
      <c r="C601" s="76" t="str">
        <f>IFERROR(__xludf.DUMMYFUNCTION("""COMPUTED_VALUE"""),"")</f>
        <v/>
      </c>
    </row>
    <row r="602">
      <c r="B602" s="76" t="str">
        <f>IFERROR(__xludf.DUMMYFUNCTION("""COMPUTED_VALUE"""),"")</f>
        <v/>
      </c>
      <c r="C602" s="76" t="str">
        <f>IFERROR(__xludf.DUMMYFUNCTION("""COMPUTED_VALUE"""),"")</f>
        <v/>
      </c>
    </row>
    <row r="603">
      <c r="B603" s="76" t="str">
        <f>IFERROR(__xludf.DUMMYFUNCTION("""COMPUTED_VALUE"""),"")</f>
        <v/>
      </c>
      <c r="C603" s="76" t="str">
        <f>IFERROR(__xludf.DUMMYFUNCTION("""COMPUTED_VALUE"""),"")</f>
        <v/>
      </c>
    </row>
    <row r="604">
      <c r="B604" s="76" t="str">
        <f>IFERROR(__xludf.DUMMYFUNCTION("""COMPUTED_VALUE"""),"")</f>
        <v/>
      </c>
      <c r="C604" s="76" t="str">
        <f>IFERROR(__xludf.DUMMYFUNCTION("""COMPUTED_VALUE"""),"")</f>
        <v/>
      </c>
    </row>
    <row r="605">
      <c r="B605" s="76" t="str">
        <f>IFERROR(__xludf.DUMMYFUNCTION("""COMPUTED_VALUE"""),"")</f>
        <v/>
      </c>
      <c r="C605" s="76" t="str">
        <f>IFERROR(__xludf.DUMMYFUNCTION("""COMPUTED_VALUE"""),"")</f>
        <v/>
      </c>
    </row>
    <row r="606">
      <c r="B606" s="76" t="str">
        <f>IFERROR(__xludf.DUMMYFUNCTION("""COMPUTED_VALUE"""),"")</f>
        <v/>
      </c>
      <c r="C606" s="76" t="str">
        <f>IFERROR(__xludf.DUMMYFUNCTION("""COMPUTED_VALUE"""),"")</f>
        <v/>
      </c>
    </row>
    <row r="607">
      <c r="B607" s="76" t="str">
        <f>IFERROR(__xludf.DUMMYFUNCTION("""COMPUTED_VALUE"""),"")</f>
        <v/>
      </c>
      <c r="C607" s="76" t="str">
        <f>IFERROR(__xludf.DUMMYFUNCTION("""COMPUTED_VALUE"""),"")</f>
        <v/>
      </c>
    </row>
    <row r="608">
      <c r="B608" s="76" t="str">
        <f>IFERROR(__xludf.DUMMYFUNCTION("""COMPUTED_VALUE"""),"")</f>
        <v/>
      </c>
      <c r="C608" s="76" t="str">
        <f>IFERROR(__xludf.DUMMYFUNCTION("""COMPUTED_VALUE"""),"")</f>
        <v/>
      </c>
    </row>
    <row r="609">
      <c r="B609" s="76" t="str">
        <f>IFERROR(__xludf.DUMMYFUNCTION("""COMPUTED_VALUE"""),"")</f>
        <v/>
      </c>
      <c r="C609" s="76" t="str">
        <f>IFERROR(__xludf.DUMMYFUNCTION("""COMPUTED_VALUE"""),"")</f>
        <v/>
      </c>
    </row>
    <row r="610">
      <c r="B610" s="76" t="str">
        <f>IFERROR(__xludf.DUMMYFUNCTION("""COMPUTED_VALUE"""),"")</f>
        <v/>
      </c>
      <c r="C610" s="76" t="str">
        <f>IFERROR(__xludf.DUMMYFUNCTION("""COMPUTED_VALUE"""),"")</f>
        <v/>
      </c>
    </row>
    <row r="611">
      <c r="B611" s="76" t="str">
        <f>IFERROR(__xludf.DUMMYFUNCTION("""COMPUTED_VALUE"""),"")</f>
        <v/>
      </c>
      <c r="C611" s="76" t="str">
        <f>IFERROR(__xludf.DUMMYFUNCTION("""COMPUTED_VALUE"""),"")</f>
        <v/>
      </c>
    </row>
    <row r="612">
      <c r="B612" s="76" t="str">
        <f>IFERROR(__xludf.DUMMYFUNCTION("""COMPUTED_VALUE"""),"")</f>
        <v/>
      </c>
      <c r="C612" s="76" t="str">
        <f>IFERROR(__xludf.DUMMYFUNCTION("""COMPUTED_VALUE"""),"")</f>
        <v/>
      </c>
    </row>
    <row r="613">
      <c r="B613" s="76" t="str">
        <f>IFERROR(__xludf.DUMMYFUNCTION("""COMPUTED_VALUE"""),"")</f>
        <v/>
      </c>
      <c r="C613" s="76" t="str">
        <f>IFERROR(__xludf.DUMMYFUNCTION("""COMPUTED_VALUE"""),"")</f>
        <v/>
      </c>
    </row>
    <row r="614">
      <c r="B614" s="76" t="str">
        <f>IFERROR(__xludf.DUMMYFUNCTION("""COMPUTED_VALUE"""),"")</f>
        <v/>
      </c>
      <c r="C614" s="76" t="str">
        <f>IFERROR(__xludf.DUMMYFUNCTION("""COMPUTED_VALUE"""),"")</f>
        <v/>
      </c>
    </row>
    <row r="615">
      <c r="B615" s="76" t="str">
        <f>IFERROR(__xludf.DUMMYFUNCTION("""COMPUTED_VALUE"""),"")</f>
        <v/>
      </c>
      <c r="C615" s="76" t="str">
        <f>IFERROR(__xludf.DUMMYFUNCTION("""COMPUTED_VALUE"""),"")</f>
        <v/>
      </c>
    </row>
    <row r="616">
      <c r="B616" s="76" t="str">
        <f>IFERROR(__xludf.DUMMYFUNCTION("""COMPUTED_VALUE"""),"")</f>
        <v/>
      </c>
      <c r="C616" s="76" t="str">
        <f>IFERROR(__xludf.DUMMYFUNCTION("""COMPUTED_VALUE"""),"")</f>
        <v/>
      </c>
    </row>
    <row r="617">
      <c r="B617" s="76" t="str">
        <f>IFERROR(__xludf.DUMMYFUNCTION("""COMPUTED_VALUE"""),"")</f>
        <v/>
      </c>
      <c r="C617" s="76" t="str">
        <f>IFERROR(__xludf.DUMMYFUNCTION("""COMPUTED_VALUE"""),"")</f>
        <v/>
      </c>
    </row>
    <row r="618">
      <c r="B618" s="76" t="str">
        <f>IFERROR(__xludf.DUMMYFUNCTION("""COMPUTED_VALUE"""),"")</f>
        <v/>
      </c>
      <c r="C618" s="76" t="str">
        <f>IFERROR(__xludf.DUMMYFUNCTION("""COMPUTED_VALUE"""),"")</f>
        <v/>
      </c>
    </row>
    <row r="619">
      <c r="B619" s="76" t="str">
        <f>IFERROR(__xludf.DUMMYFUNCTION("""COMPUTED_VALUE"""),"")</f>
        <v/>
      </c>
      <c r="C619" s="76" t="str">
        <f>IFERROR(__xludf.DUMMYFUNCTION("""COMPUTED_VALUE"""),"")</f>
        <v/>
      </c>
    </row>
    <row r="620">
      <c r="B620" s="76" t="str">
        <f>IFERROR(__xludf.DUMMYFUNCTION("""COMPUTED_VALUE"""),"")</f>
        <v/>
      </c>
      <c r="C620" s="76" t="str">
        <f>IFERROR(__xludf.DUMMYFUNCTION("""COMPUTED_VALUE"""),"")</f>
        <v/>
      </c>
    </row>
    <row r="621">
      <c r="B621" s="76" t="str">
        <f>IFERROR(__xludf.DUMMYFUNCTION("""COMPUTED_VALUE"""),"")</f>
        <v/>
      </c>
      <c r="C621" s="76" t="str">
        <f>IFERROR(__xludf.DUMMYFUNCTION("""COMPUTED_VALUE"""),"")</f>
        <v/>
      </c>
    </row>
    <row r="622">
      <c r="B622" s="76" t="str">
        <f>IFERROR(__xludf.DUMMYFUNCTION("""COMPUTED_VALUE"""),"")</f>
        <v/>
      </c>
      <c r="C622" s="76" t="str">
        <f>IFERROR(__xludf.DUMMYFUNCTION("""COMPUTED_VALUE"""),"")</f>
        <v/>
      </c>
    </row>
    <row r="623">
      <c r="B623" s="76" t="str">
        <f>IFERROR(__xludf.DUMMYFUNCTION("""COMPUTED_VALUE"""),"")</f>
        <v/>
      </c>
      <c r="C623" s="76" t="str">
        <f>IFERROR(__xludf.DUMMYFUNCTION("""COMPUTED_VALUE"""),"")</f>
        <v/>
      </c>
    </row>
    <row r="624">
      <c r="B624" s="76" t="str">
        <f>IFERROR(__xludf.DUMMYFUNCTION("""COMPUTED_VALUE"""),"")</f>
        <v/>
      </c>
      <c r="C624" s="76" t="str">
        <f>IFERROR(__xludf.DUMMYFUNCTION("""COMPUTED_VALUE"""),"")</f>
        <v/>
      </c>
    </row>
    <row r="625">
      <c r="B625" s="76" t="str">
        <f>IFERROR(__xludf.DUMMYFUNCTION("""COMPUTED_VALUE"""),"")</f>
        <v/>
      </c>
      <c r="C625" s="76" t="str">
        <f>IFERROR(__xludf.DUMMYFUNCTION("""COMPUTED_VALUE"""),"")</f>
        <v/>
      </c>
    </row>
    <row r="626">
      <c r="B626" s="76" t="str">
        <f>IFERROR(__xludf.DUMMYFUNCTION("""COMPUTED_VALUE"""),"")</f>
        <v/>
      </c>
      <c r="C626" s="76" t="str">
        <f>IFERROR(__xludf.DUMMYFUNCTION("""COMPUTED_VALUE"""),"")</f>
        <v/>
      </c>
    </row>
    <row r="627">
      <c r="B627" s="76" t="str">
        <f>IFERROR(__xludf.DUMMYFUNCTION("""COMPUTED_VALUE"""),"")</f>
        <v/>
      </c>
      <c r="C627" s="76" t="str">
        <f>IFERROR(__xludf.DUMMYFUNCTION("""COMPUTED_VALUE"""),"")</f>
        <v/>
      </c>
    </row>
    <row r="628">
      <c r="B628" s="76" t="str">
        <f>IFERROR(__xludf.DUMMYFUNCTION("""COMPUTED_VALUE"""),"")</f>
        <v/>
      </c>
      <c r="C628" s="76" t="str">
        <f>IFERROR(__xludf.DUMMYFUNCTION("""COMPUTED_VALUE"""),"")</f>
        <v/>
      </c>
    </row>
    <row r="629">
      <c r="B629" s="76" t="str">
        <f>IFERROR(__xludf.DUMMYFUNCTION("""COMPUTED_VALUE"""),"")</f>
        <v/>
      </c>
      <c r="C629" s="76" t="str">
        <f>IFERROR(__xludf.DUMMYFUNCTION("""COMPUTED_VALUE"""),"")</f>
        <v/>
      </c>
    </row>
    <row r="630">
      <c r="B630" s="76" t="str">
        <f>IFERROR(__xludf.DUMMYFUNCTION("""COMPUTED_VALUE"""),"")</f>
        <v/>
      </c>
      <c r="C630" s="76" t="str">
        <f>IFERROR(__xludf.DUMMYFUNCTION("""COMPUTED_VALUE"""),"")</f>
        <v/>
      </c>
    </row>
    <row r="631">
      <c r="B631" s="76" t="str">
        <f>IFERROR(__xludf.DUMMYFUNCTION("""COMPUTED_VALUE"""),"")</f>
        <v/>
      </c>
      <c r="C631" s="76" t="str">
        <f>IFERROR(__xludf.DUMMYFUNCTION("""COMPUTED_VALUE"""),"")</f>
        <v/>
      </c>
    </row>
    <row r="632">
      <c r="B632" s="76" t="str">
        <f>IFERROR(__xludf.DUMMYFUNCTION("""COMPUTED_VALUE"""),"")</f>
        <v/>
      </c>
      <c r="C632" s="76" t="str">
        <f>IFERROR(__xludf.DUMMYFUNCTION("""COMPUTED_VALUE"""),"")</f>
        <v/>
      </c>
    </row>
    <row r="633">
      <c r="B633" s="76" t="str">
        <f>IFERROR(__xludf.DUMMYFUNCTION("""COMPUTED_VALUE"""),"")</f>
        <v/>
      </c>
      <c r="C633" s="76" t="str">
        <f>IFERROR(__xludf.DUMMYFUNCTION("""COMPUTED_VALUE"""),"")</f>
        <v/>
      </c>
    </row>
    <row r="634">
      <c r="B634" s="76" t="str">
        <f>IFERROR(__xludf.DUMMYFUNCTION("""COMPUTED_VALUE"""),"")</f>
        <v/>
      </c>
      <c r="C634" s="76" t="str">
        <f>IFERROR(__xludf.DUMMYFUNCTION("""COMPUTED_VALUE"""),"")</f>
        <v/>
      </c>
    </row>
    <row r="635">
      <c r="B635" s="76" t="str">
        <f>IFERROR(__xludf.DUMMYFUNCTION("""COMPUTED_VALUE"""),"")</f>
        <v/>
      </c>
      <c r="C635" s="76" t="str">
        <f>IFERROR(__xludf.DUMMYFUNCTION("""COMPUTED_VALUE"""),"")</f>
        <v/>
      </c>
    </row>
    <row r="636">
      <c r="B636" s="76" t="str">
        <f>IFERROR(__xludf.DUMMYFUNCTION("""COMPUTED_VALUE"""),"")</f>
        <v/>
      </c>
      <c r="C636" s="76" t="str">
        <f>IFERROR(__xludf.DUMMYFUNCTION("""COMPUTED_VALUE"""),"")</f>
        <v/>
      </c>
    </row>
    <row r="637">
      <c r="B637" s="76" t="str">
        <f>IFERROR(__xludf.DUMMYFUNCTION("""COMPUTED_VALUE"""),"")</f>
        <v/>
      </c>
      <c r="C637" s="76" t="str">
        <f>IFERROR(__xludf.DUMMYFUNCTION("""COMPUTED_VALUE"""),"")</f>
        <v/>
      </c>
    </row>
    <row r="638">
      <c r="B638" s="76" t="str">
        <f>IFERROR(__xludf.DUMMYFUNCTION("""COMPUTED_VALUE"""),"")</f>
        <v/>
      </c>
      <c r="C638" s="76" t="str">
        <f>IFERROR(__xludf.DUMMYFUNCTION("""COMPUTED_VALUE"""),"")</f>
        <v/>
      </c>
    </row>
    <row r="639">
      <c r="B639" s="76" t="str">
        <f>IFERROR(__xludf.DUMMYFUNCTION("""COMPUTED_VALUE"""),"")</f>
        <v/>
      </c>
      <c r="C639" s="76" t="str">
        <f>IFERROR(__xludf.DUMMYFUNCTION("""COMPUTED_VALUE"""),"")</f>
        <v/>
      </c>
    </row>
    <row r="640">
      <c r="B640" s="76" t="str">
        <f>IFERROR(__xludf.DUMMYFUNCTION("""COMPUTED_VALUE"""),"")</f>
        <v/>
      </c>
      <c r="C640" s="76" t="str">
        <f>IFERROR(__xludf.DUMMYFUNCTION("""COMPUTED_VALUE"""),"")</f>
        <v/>
      </c>
    </row>
    <row r="641">
      <c r="B641" s="76" t="str">
        <f>IFERROR(__xludf.DUMMYFUNCTION("""COMPUTED_VALUE"""),"")</f>
        <v/>
      </c>
      <c r="C641" s="76" t="str">
        <f>IFERROR(__xludf.DUMMYFUNCTION("""COMPUTED_VALUE"""),"")</f>
        <v/>
      </c>
    </row>
    <row r="642">
      <c r="B642" s="76" t="str">
        <f>IFERROR(__xludf.DUMMYFUNCTION("""COMPUTED_VALUE"""),"")</f>
        <v/>
      </c>
      <c r="C642" s="76" t="str">
        <f>IFERROR(__xludf.DUMMYFUNCTION("""COMPUTED_VALUE"""),"")</f>
        <v/>
      </c>
    </row>
    <row r="643">
      <c r="B643" s="76" t="str">
        <f>IFERROR(__xludf.DUMMYFUNCTION("""COMPUTED_VALUE"""),"")</f>
        <v/>
      </c>
      <c r="C643" s="76" t="str">
        <f>IFERROR(__xludf.DUMMYFUNCTION("""COMPUTED_VALUE"""),"")</f>
        <v/>
      </c>
    </row>
    <row r="644">
      <c r="B644" s="76" t="str">
        <f>IFERROR(__xludf.DUMMYFUNCTION("""COMPUTED_VALUE"""),"")</f>
        <v/>
      </c>
      <c r="C644" s="76" t="str">
        <f>IFERROR(__xludf.DUMMYFUNCTION("""COMPUTED_VALUE"""),"")</f>
        <v/>
      </c>
    </row>
    <row r="645">
      <c r="B645" s="76" t="str">
        <f>IFERROR(__xludf.DUMMYFUNCTION("""COMPUTED_VALUE"""),"")</f>
        <v/>
      </c>
      <c r="C645" s="76" t="str">
        <f>IFERROR(__xludf.DUMMYFUNCTION("""COMPUTED_VALUE"""),"")</f>
        <v/>
      </c>
    </row>
    <row r="646">
      <c r="B646" s="76" t="str">
        <f>IFERROR(__xludf.DUMMYFUNCTION("""COMPUTED_VALUE"""),"")</f>
        <v/>
      </c>
      <c r="C646" s="76" t="str">
        <f>IFERROR(__xludf.DUMMYFUNCTION("""COMPUTED_VALUE"""),"")</f>
        <v/>
      </c>
    </row>
    <row r="647">
      <c r="B647" s="76" t="str">
        <f>IFERROR(__xludf.DUMMYFUNCTION("""COMPUTED_VALUE"""),"")</f>
        <v/>
      </c>
      <c r="C647" s="76" t="str">
        <f>IFERROR(__xludf.DUMMYFUNCTION("""COMPUTED_VALUE"""),"")</f>
        <v/>
      </c>
    </row>
    <row r="648">
      <c r="B648" s="76" t="str">
        <f>IFERROR(__xludf.DUMMYFUNCTION("""COMPUTED_VALUE"""),"")</f>
        <v/>
      </c>
      <c r="C648" s="76" t="str">
        <f>IFERROR(__xludf.DUMMYFUNCTION("""COMPUTED_VALUE"""),"")</f>
        <v/>
      </c>
    </row>
    <row r="649">
      <c r="B649" s="76" t="str">
        <f>IFERROR(__xludf.DUMMYFUNCTION("""COMPUTED_VALUE"""),"")</f>
        <v/>
      </c>
      <c r="C649" s="76" t="str">
        <f>IFERROR(__xludf.DUMMYFUNCTION("""COMPUTED_VALUE"""),"")</f>
        <v/>
      </c>
    </row>
    <row r="650">
      <c r="B650" s="76" t="str">
        <f>IFERROR(__xludf.DUMMYFUNCTION("""COMPUTED_VALUE"""),"")</f>
        <v/>
      </c>
      <c r="C650" s="76" t="str">
        <f>IFERROR(__xludf.DUMMYFUNCTION("""COMPUTED_VALUE"""),"")</f>
        <v/>
      </c>
    </row>
    <row r="651">
      <c r="B651" s="76" t="str">
        <f>IFERROR(__xludf.DUMMYFUNCTION("""COMPUTED_VALUE"""),"")</f>
        <v/>
      </c>
      <c r="C651" s="76" t="str">
        <f>IFERROR(__xludf.DUMMYFUNCTION("""COMPUTED_VALUE"""),"")</f>
        <v/>
      </c>
    </row>
    <row r="652">
      <c r="B652" s="76" t="str">
        <f>IFERROR(__xludf.DUMMYFUNCTION("""COMPUTED_VALUE"""),"")</f>
        <v/>
      </c>
      <c r="C652" s="76" t="str">
        <f>IFERROR(__xludf.DUMMYFUNCTION("""COMPUTED_VALUE"""),"")</f>
        <v/>
      </c>
    </row>
    <row r="653">
      <c r="B653" s="76" t="str">
        <f>IFERROR(__xludf.DUMMYFUNCTION("""COMPUTED_VALUE"""),"")</f>
        <v/>
      </c>
      <c r="C653" s="76" t="str">
        <f>IFERROR(__xludf.DUMMYFUNCTION("""COMPUTED_VALUE"""),"")</f>
        <v/>
      </c>
    </row>
    <row r="654">
      <c r="B654" s="76" t="str">
        <f>IFERROR(__xludf.DUMMYFUNCTION("""COMPUTED_VALUE"""),"")</f>
        <v/>
      </c>
      <c r="C654" s="76" t="str">
        <f>IFERROR(__xludf.DUMMYFUNCTION("""COMPUTED_VALUE"""),"")</f>
        <v/>
      </c>
    </row>
    <row r="655">
      <c r="B655" s="76" t="str">
        <f>IFERROR(__xludf.DUMMYFUNCTION("""COMPUTED_VALUE"""),"")</f>
        <v/>
      </c>
      <c r="C655" s="76" t="str">
        <f>IFERROR(__xludf.DUMMYFUNCTION("""COMPUTED_VALUE"""),"")</f>
        <v/>
      </c>
    </row>
    <row r="656">
      <c r="B656" s="76" t="str">
        <f>IFERROR(__xludf.DUMMYFUNCTION("""COMPUTED_VALUE"""),"")</f>
        <v/>
      </c>
      <c r="C656" s="76" t="str">
        <f>IFERROR(__xludf.DUMMYFUNCTION("""COMPUTED_VALUE"""),"")</f>
        <v/>
      </c>
    </row>
    <row r="657">
      <c r="B657" s="76" t="str">
        <f>IFERROR(__xludf.DUMMYFUNCTION("""COMPUTED_VALUE"""),"")</f>
        <v/>
      </c>
      <c r="C657" s="76" t="str">
        <f>IFERROR(__xludf.DUMMYFUNCTION("""COMPUTED_VALUE"""),"")</f>
        <v/>
      </c>
    </row>
    <row r="658">
      <c r="B658" s="76" t="str">
        <f>IFERROR(__xludf.DUMMYFUNCTION("""COMPUTED_VALUE"""),"")</f>
        <v/>
      </c>
      <c r="C658" s="76" t="str">
        <f>IFERROR(__xludf.DUMMYFUNCTION("""COMPUTED_VALUE"""),"")</f>
        <v/>
      </c>
    </row>
    <row r="659">
      <c r="B659" s="76" t="str">
        <f>IFERROR(__xludf.DUMMYFUNCTION("""COMPUTED_VALUE"""),"")</f>
        <v/>
      </c>
      <c r="C659" s="76" t="str">
        <f>IFERROR(__xludf.DUMMYFUNCTION("""COMPUTED_VALUE"""),"")</f>
        <v/>
      </c>
    </row>
    <row r="660">
      <c r="B660" s="76" t="str">
        <f>IFERROR(__xludf.DUMMYFUNCTION("""COMPUTED_VALUE"""),"")</f>
        <v/>
      </c>
      <c r="C660" s="76" t="str">
        <f>IFERROR(__xludf.DUMMYFUNCTION("""COMPUTED_VALUE"""),"")</f>
        <v/>
      </c>
    </row>
    <row r="661">
      <c r="B661" s="76" t="str">
        <f>IFERROR(__xludf.DUMMYFUNCTION("""COMPUTED_VALUE"""),"")</f>
        <v/>
      </c>
      <c r="C661" s="76" t="str">
        <f>IFERROR(__xludf.DUMMYFUNCTION("""COMPUTED_VALUE"""),"")</f>
        <v/>
      </c>
    </row>
    <row r="662">
      <c r="B662" s="76" t="str">
        <f>IFERROR(__xludf.DUMMYFUNCTION("""COMPUTED_VALUE"""),"")</f>
        <v/>
      </c>
      <c r="C662" s="76" t="str">
        <f>IFERROR(__xludf.DUMMYFUNCTION("""COMPUTED_VALUE"""),"")</f>
        <v/>
      </c>
    </row>
    <row r="663">
      <c r="B663" s="76" t="str">
        <f>IFERROR(__xludf.DUMMYFUNCTION("""COMPUTED_VALUE"""),"")</f>
        <v/>
      </c>
      <c r="C663" s="76" t="str">
        <f>IFERROR(__xludf.DUMMYFUNCTION("""COMPUTED_VALUE"""),"")</f>
        <v/>
      </c>
    </row>
    <row r="664">
      <c r="B664" s="76" t="str">
        <f>IFERROR(__xludf.DUMMYFUNCTION("""COMPUTED_VALUE"""),"")</f>
        <v/>
      </c>
      <c r="C664" s="76" t="str">
        <f>IFERROR(__xludf.DUMMYFUNCTION("""COMPUTED_VALUE"""),"")</f>
        <v/>
      </c>
    </row>
    <row r="665">
      <c r="B665" s="76" t="str">
        <f>IFERROR(__xludf.DUMMYFUNCTION("""COMPUTED_VALUE"""),"")</f>
        <v/>
      </c>
      <c r="C665" s="76" t="str">
        <f>IFERROR(__xludf.DUMMYFUNCTION("""COMPUTED_VALUE"""),"")</f>
        <v/>
      </c>
    </row>
    <row r="666">
      <c r="B666" s="76" t="str">
        <f>IFERROR(__xludf.DUMMYFUNCTION("""COMPUTED_VALUE"""),"")</f>
        <v/>
      </c>
      <c r="C666" s="76" t="str">
        <f>IFERROR(__xludf.DUMMYFUNCTION("""COMPUTED_VALUE"""),"")</f>
        <v/>
      </c>
    </row>
    <row r="667">
      <c r="B667" s="76" t="str">
        <f>IFERROR(__xludf.DUMMYFUNCTION("""COMPUTED_VALUE"""),"")</f>
        <v/>
      </c>
      <c r="C667" s="76" t="str">
        <f>IFERROR(__xludf.DUMMYFUNCTION("""COMPUTED_VALUE"""),"")</f>
        <v/>
      </c>
    </row>
    <row r="668">
      <c r="B668" s="76" t="str">
        <f>IFERROR(__xludf.DUMMYFUNCTION("""COMPUTED_VALUE"""),"")</f>
        <v/>
      </c>
      <c r="C668" s="76" t="str">
        <f>IFERROR(__xludf.DUMMYFUNCTION("""COMPUTED_VALUE"""),"")</f>
        <v/>
      </c>
    </row>
    <row r="669">
      <c r="B669" s="76" t="str">
        <f>IFERROR(__xludf.DUMMYFUNCTION("""COMPUTED_VALUE"""),"")</f>
        <v/>
      </c>
      <c r="C669" s="76" t="str">
        <f>IFERROR(__xludf.DUMMYFUNCTION("""COMPUTED_VALUE"""),"")</f>
        <v/>
      </c>
    </row>
    <row r="670">
      <c r="B670" s="76" t="str">
        <f>IFERROR(__xludf.DUMMYFUNCTION("""COMPUTED_VALUE"""),"")</f>
        <v/>
      </c>
      <c r="C670" s="76" t="str">
        <f>IFERROR(__xludf.DUMMYFUNCTION("""COMPUTED_VALUE"""),"")</f>
        <v/>
      </c>
    </row>
    <row r="671">
      <c r="B671" s="76" t="str">
        <f>IFERROR(__xludf.DUMMYFUNCTION("""COMPUTED_VALUE"""),"")</f>
        <v/>
      </c>
      <c r="C671" s="76" t="str">
        <f>IFERROR(__xludf.DUMMYFUNCTION("""COMPUTED_VALUE"""),"")</f>
        <v/>
      </c>
    </row>
    <row r="672">
      <c r="B672" s="76" t="str">
        <f>IFERROR(__xludf.DUMMYFUNCTION("""COMPUTED_VALUE"""),"")</f>
        <v/>
      </c>
      <c r="C672" s="76" t="str">
        <f>IFERROR(__xludf.DUMMYFUNCTION("""COMPUTED_VALUE"""),"")</f>
        <v/>
      </c>
    </row>
    <row r="673">
      <c r="B673" s="76" t="str">
        <f>IFERROR(__xludf.DUMMYFUNCTION("""COMPUTED_VALUE"""),"")</f>
        <v/>
      </c>
      <c r="C673" s="76" t="str">
        <f>IFERROR(__xludf.DUMMYFUNCTION("""COMPUTED_VALUE"""),"")</f>
        <v/>
      </c>
    </row>
    <row r="674">
      <c r="B674" s="76" t="str">
        <f>IFERROR(__xludf.DUMMYFUNCTION("""COMPUTED_VALUE"""),"")</f>
        <v/>
      </c>
      <c r="C674" s="76" t="str">
        <f>IFERROR(__xludf.DUMMYFUNCTION("""COMPUTED_VALUE"""),"")</f>
        <v/>
      </c>
    </row>
    <row r="675">
      <c r="B675" s="76" t="str">
        <f>IFERROR(__xludf.DUMMYFUNCTION("""COMPUTED_VALUE"""),"")</f>
        <v/>
      </c>
      <c r="C675" s="76" t="str">
        <f>IFERROR(__xludf.DUMMYFUNCTION("""COMPUTED_VALUE"""),"")</f>
        <v/>
      </c>
    </row>
    <row r="676">
      <c r="B676" s="76" t="str">
        <f>IFERROR(__xludf.DUMMYFUNCTION("""COMPUTED_VALUE"""),"")</f>
        <v/>
      </c>
      <c r="C676" s="76" t="str">
        <f>IFERROR(__xludf.DUMMYFUNCTION("""COMPUTED_VALUE"""),"")</f>
        <v/>
      </c>
    </row>
    <row r="677">
      <c r="B677" s="76" t="str">
        <f>IFERROR(__xludf.DUMMYFUNCTION("""COMPUTED_VALUE"""),"")</f>
        <v/>
      </c>
      <c r="C677" s="76" t="str">
        <f>IFERROR(__xludf.DUMMYFUNCTION("""COMPUTED_VALUE"""),"")</f>
        <v/>
      </c>
    </row>
    <row r="678">
      <c r="B678" s="76" t="str">
        <f>IFERROR(__xludf.DUMMYFUNCTION("""COMPUTED_VALUE"""),"")</f>
        <v/>
      </c>
      <c r="C678" s="76" t="str">
        <f>IFERROR(__xludf.DUMMYFUNCTION("""COMPUTED_VALUE"""),"")</f>
        <v/>
      </c>
    </row>
    <row r="679">
      <c r="B679" s="76" t="str">
        <f>IFERROR(__xludf.DUMMYFUNCTION("""COMPUTED_VALUE"""),"")</f>
        <v/>
      </c>
      <c r="C679" s="76" t="str">
        <f>IFERROR(__xludf.DUMMYFUNCTION("""COMPUTED_VALUE"""),"")</f>
        <v/>
      </c>
    </row>
    <row r="680">
      <c r="B680" s="76" t="str">
        <f>IFERROR(__xludf.DUMMYFUNCTION("""COMPUTED_VALUE"""),"")</f>
        <v/>
      </c>
      <c r="C680" s="76" t="str">
        <f>IFERROR(__xludf.DUMMYFUNCTION("""COMPUTED_VALUE"""),"")</f>
        <v/>
      </c>
    </row>
    <row r="681">
      <c r="B681" s="76" t="str">
        <f>IFERROR(__xludf.DUMMYFUNCTION("""COMPUTED_VALUE"""),"")</f>
        <v/>
      </c>
      <c r="C681" s="76" t="str">
        <f>IFERROR(__xludf.DUMMYFUNCTION("""COMPUTED_VALUE"""),"")</f>
        <v/>
      </c>
    </row>
    <row r="682">
      <c r="B682" s="76" t="str">
        <f>IFERROR(__xludf.DUMMYFUNCTION("""COMPUTED_VALUE"""),"")</f>
        <v/>
      </c>
      <c r="C682" s="76" t="str">
        <f>IFERROR(__xludf.DUMMYFUNCTION("""COMPUTED_VALUE"""),"")</f>
        <v/>
      </c>
    </row>
    <row r="683">
      <c r="B683" s="76" t="str">
        <f>IFERROR(__xludf.DUMMYFUNCTION("""COMPUTED_VALUE"""),"")</f>
        <v/>
      </c>
      <c r="C683" s="76" t="str">
        <f>IFERROR(__xludf.DUMMYFUNCTION("""COMPUTED_VALUE"""),"")</f>
        <v/>
      </c>
    </row>
    <row r="684">
      <c r="B684" s="76" t="str">
        <f>IFERROR(__xludf.DUMMYFUNCTION("""COMPUTED_VALUE"""),"")</f>
        <v/>
      </c>
      <c r="C684" s="76" t="str">
        <f>IFERROR(__xludf.DUMMYFUNCTION("""COMPUTED_VALUE"""),"")</f>
        <v/>
      </c>
    </row>
    <row r="685">
      <c r="B685" s="76" t="str">
        <f>IFERROR(__xludf.DUMMYFUNCTION("""COMPUTED_VALUE"""),"")</f>
        <v/>
      </c>
      <c r="C685" s="76" t="str">
        <f>IFERROR(__xludf.DUMMYFUNCTION("""COMPUTED_VALUE"""),"")</f>
        <v/>
      </c>
    </row>
    <row r="686">
      <c r="B686" s="76" t="str">
        <f>IFERROR(__xludf.DUMMYFUNCTION("""COMPUTED_VALUE"""),"")</f>
        <v/>
      </c>
      <c r="C686" s="76" t="str">
        <f>IFERROR(__xludf.DUMMYFUNCTION("""COMPUTED_VALUE"""),"")</f>
        <v/>
      </c>
    </row>
    <row r="687">
      <c r="B687" s="76" t="str">
        <f>IFERROR(__xludf.DUMMYFUNCTION("""COMPUTED_VALUE"""),"")</f>
        <v/>
      </c>
      <c r="C687" s="76" t="str">
        <f>IFERROR(__xludf.DUMMYFUNCTION("""COMPUTED_VALUE"""),"")</f>
        <v/>
      </c>
    </row>
    <row r="688">
      <c r="B688" s="76" t="str">
        <f>IFERROR(__xludf.DUMMYFUNCTION("""COMPUTED_VALUE"""),"")</f>
        <v/>
      </c>
      <c r="C688" s="76" t="str">
        <f>IFERROR(__xludf.DUMMYFUNCTION("""COMPUTED_VALUE"""),"")</f>
        <v/>
      </c>
    </row>
    <row r="689">
      <c r="B689" s="76" t="str">
        <f>IFERROR(__xludf.DUMMYFUNCTION("""COMPUTED_VALUE"""),"")</f>
        <v/>
      </c>
      <c r="C689" s="76" t="str">
        <f>IFERROR(__xludf.DUMMYFUNCTION("""COMPUTED_VALUE"""),"")</f>
        <v/>
      </c>
    </row>
    <row r="690">
      <c r="B690" s="76" t="str">
        <f>IFERROR(__xludf.DUMMYFUNCTION("""COMPUTED_VALUE"""),"")</f>
        <v/>
      </c>
      <c r="C690" s="76" t="str">
        <f>IFERROR(__xludf.DUMMYFUNCTION("""COMPUTED_VALUE"""),"")</f>
        <v/>
      </c>
    </row>
    <row r="691">
      <c r="B691" s="76" t="str">
        <f>IFERROR(__xludf.DUMMYFUNCTION("""COMPUTED_VALUE"""),"")</f>
        <v/>
      </c>
      <c r="C691" s="76" t="str">
        <f>IFERROR(__xludf.DUMMYFUNCTION("""COMPUTED_VALUE"""),"")</f>
        <v/>
      </c>
    </row>
    <row r="692">
      <c r="B692" s="76" t="str">
        <f>IFERROR(__xludf.DUMMYFUNCTION("""COMPUTED_VALUE"""),"")</f>
        <v/>
      </c>
      <c r="C692" s="76" t="str">
        <f>IFERROR(__xludf.DUMMYFUNCTION("""COMPUTED_VALUE"""),"")</f>
        <v/>
      </c>
    </row>
    <row r="693">
      <c r="B693" s="76" t="str">
        <f>IFERROR(__xludf.DUMMYFUNCTION("""COMPUTED_VALUE"""),"")</f>
        <v/>
      </c>
      <c r="C693" s="76" t="str">
        <f>IFERROR(__xludf.DUMMYFUNCTION("""COMPUTED_VALUE"""),"")</f>
        <v/>
      </c>
    </row>
    <row r="694">
      <c r="B694" s="76" t="str">
        <f>IFERROR(__xludf.DUMMYFUNCTION("""COMPUTED_VALUE"""),"")</f>
        <v/>
      </c>
      <c r="C694" s="76" t="str">
        <f>IFERROR(__xludf.DUMMYFUNCTION("""COMPUTED_VALUE"""),"")</f>
        <v/>
      </c>
    </row>
    <row r="695">
      <c r="B695" s="76" t="str">
        <f>IFERROR(__xludf.DUMMYFUNCTION("""COMPUTED_VALUE"""),"")</f>
        <v/>
      </c>
      <c r="C695" s="76" t="str">
        <f>IFERROR(__xludf.DUMMYFUNCTION("""COMPUTED_VALUE"""),"")</f>
        <v/>
      </c>
    </row>
    <row r="696">
      <c r="B696" s="76" t="str">
        <f>IFERROR(__xludf.DUMMYFUNCTION("""COMPUTED_VALUE"""),"")</f>
        <v/>
      </c>
      <c r="C696" s="76" t="str">
        <f>IFERROR(__xludf.DUMMYFUNCTION("""COMPUTED_VALUE"""),"")</f>
        <v/>
      </c>
    </row>
    <row r="697">
      <c r="B697" s="76" t="str">
        <f>IFERROR(__xludf.DUMMYFUNCTION("""COMPUTED_VALUE"""),"")</f>
        <v/>
      </c>
      <c r="C697" s="76" t="str">
        <f>IFERROR(__xludf.DUMMYFUNCTION("""COMPUTED_VALUE"""),"")</f>
        <v/>
      </c>
    </row>
    <row r="698">
      <c r="B698" s="76" t="str">
        <f>IFERROR(__xludf.DUMMYFUNCTION("""COMPUTED_VALUE"""),"")</f>
        <v/>
      </c>
      <c r="C698" s="76" t="str">
        <f>IFERROR(__xludf.DUMMYFUNCTION("""COMPUTED_VALUE"""),"")</f>
        <v/>
      </c>
    </row>
    <row r="699">
      <c r="B699" s="76" t="str">
        <f>IFERROR(__xludf.DUMMYFUNCTION("""COMPUTED_VALUE"""),"")</f>
        <v/>
      </c>
      <c r="C699" s="76" t="str">
        <f>IFERROR(__xludf.DUMMYFUNCTION("""COMPUTED_VALUE"""),"")</f>
        <v/>
      </c>
    </row>
    <row r="700">
      <c r="B700" s="76" t="str">
        <f>IFERROR(__xludf.DUMMYFUNCTION("""COMPUTED_VALUE"""),"")</f>
        <v/>
      </c>
      <c r="C700" s="76" t="str">
        <f>IFERROR(__xludf.DUMMYFUNCTION("""COMPUTED_VALUE"""),"")</f>
        <v/>
      </c>
    </row>
    <row r="701">
      <c r="B701" s="76" t="str">
        <f>IFERROR(__xludf.DUMMYFUNCTION("""COMPUTED_VALUE"""),"")</f>
        <v/>
      </c>
      <c r="C701" s="76" t="str">
        <f>IFERROR(__xludf.DUMMYFUNCTION("""COMPUTED_VALUE"""),"")</f>
        <v/>
      </c>
    </row>
    <row r="702">
      <c r="B702" s="76" t="str">
        <f>IFERROR(__xludf.DUMMYFUNCTION("""COMPUTED_VALUE"""),"")</f>
        <v/>
      </c>
      <c r="C702" s="76" t="str">
        <f>IFERROR(__xludf.DUMMYFUNCTION("""COMPUTED_VALUE"""),"")</f>
        <v/>
      </c>
    </row>
    <row r="703">
      <c r="B703" s="76" t="str">
        <f>IFERROR(__xludf.DUMMYFUNCTION("""COMPUTED_VALUE"""),"")</f>
        <v/>
      </c>
      <c r="C703" s="76" t="str">
        <f>IFERROR(__xludf.DUMMYFUNCTION("""COMPUTED_VALUE"""),"")</f>
        <v/>
      </c>
    </row>
    <row r="704">
      <c r="B704" s="76" t="str">
        <f>IFERROR(__xludf.DUMMYFUNCTION("""COMPUTED_VALUE"""),"")</f>
        <v/>
      </c>
      <c r="C704" s="76" t="str">
        <f>IFERROR(__xludf.DUMMYFUNCTION("""COMPUTED_VALUE"""),"")</f>
        <v/>
      </c>
    </row>
    <row r="705">
      <c r="B705" s="76" t="str">
        <f>IFERROR(__xludf.DUMMYFUNCTION("""COMPUTED_VALUE"""),"")</f>
        <v/>
      </c>
      <c r="C705" s="76" t="str">
        <f>IFERROR(__xludf.DUMMYFUNCTION("""COMPUTED_VALUE"""),"")</f>
        <v/>
      </c>
    </row>
    <row r="706">
      <c r="B706" s="76" t="str">
        <f>IFERROR(__xludf.DUMMYFUNCTION("""COMPUTED_VALUE"""),"")</f>
        <v/>
      </c>
      <c r="C706" s="76" t="str">
        <f>IFERROR(__xludf.DUMMYFUNCTION("""COMPUTED_VALUE"""),"")</f>
        <v/>
      </c>
    </row>
    <row r="707">
      <c r="B707" s="76" t="str">
        <f>IFERROR(__xludf.DUMMYFUNCTION("""COMPUTED_VALUE"""),"")</f>
        <v/>
      </c>
      <c r="C707" s="76" t="str">
        <f>IFERROR(__xludf.DUMMYFUNCTION("""COMPUTED_VALUE"""),"")</f>
        <v/>
      </c>
    </row>
    <row r="708">
      <c r="B708" s="76" t="str">
        <f>IFERROR(__xludf.DUMMYFUNCTION("""COMPUTED_VALUE"""),"")</f>
        <v/>
      </c>
      <c r="C708" s="76" t="str">
        <f>IFERROR(__xludf.DUMMYFUNCTION("""COMPUTED_VALUE"""),"")</f>
        <v/>
      </c>
    </row>
    <row r="709">
      <c r="B709" s="76" t="str">
        <f>IFERROR(__xludf.DUMMYFUNCTION("""COMPUTED_VALUE"""),"")</f>
        <v/>
      </c>
      <c r="C709" s="76" t="str">
        <f>IFERROR(__xludf.DUMMYFUNCTION("""COMPUTED_VALUE"""),"")</f>
        <v/>
      </c>
    </row>
    <row r="710">
      <c r="B710" s="76" t="str">
        <f>IFERROR(__xludf.DUMMYFUNCTION("""COMPUTED_VALUE"""),"")</f>
        <v/>
      </c>
      <c r="C710" s="76" t="str">
        <f>IFERROR(__xludf.DUMMYFUNCTION("""COMPUTED_VALUE"""),"")</f>
        <v/>
      </c>
    </row>
    <row r="711">
      <c r="B711" s="76" t="str">
        <f>IFERROR(__xludf.DUMMYFUNCTION("""COMPUTED_VALUE"""),"")</f>
        <v/>
      </c>
      <c r="C711" s="76" t="str">
        <f>IFERROR(__xludf.DUMMYFUNCTION("""COMPUTED_VALUE"""),"")</f>
        <v/>
      </c>
    </row>
    <row r="712">
      <c r="B712" s="76" t="str">
        <f>IFERROR(__xludf.DUMMYFUNCTION("""COMPUTED_VALUE"""),"")</f>
        <v/>
      </c>
      <c r="C712" s="76" t="str">
        <f>IFERROR(__xludf.DUMMYFUNCTION("""COMPUTED_VALUE"""),"")</f>
        <v/>
      </c>
    </row>
    <row r="713">
      <c r="B713" s="76" t="str">
        <f>IFERROR(__xludf.DUMMYFUNCTION("""COMPUTED_VALUE"""),"")</f>
        <v/>
      </c>
      <c r="C713" s="76" t="str">
        <f>IFERROR(__xludf.DUMMYFUNCTION("""COMPUTED_VALUE"""),"")</f>
        <v/>
      </c>
    </row>
    <row r="714">
      <c r="B714" s="76" t="str">
        <f>IFERROR(__xludf.DUMMYFUNCTION("""COMPUTED_VALUE"""),"")</f>
        <v/>
      </c>
      <c r="C714" s="76" t="str">
        <f>IFERROR(__xludf.DUMMYFUNCTION("""COMPUTED_VALUE"""),"")</f>
        <v/>
      </c>
    </row>
    <row r="715">
      <c r="B715" s="76" t="str">
        <f>IFERROR(__xludf.DUMMYFUNCTION("""COMPUTED_VALUE"""),"")</f>
        <v/>
      </c>
      <c r="C715" s="76" t="str">
        <f>IFERROR(__xludf.DUMMYFUNCTION("""COMPUTED_VALUE"""),"")</f>
        <v/>
      </c>
    </row>
    <row r="716">
      <c r="B716" s="76" t="str">
        <f>IFERROR(__xludf.DUMMYFUNCTION("""COMPUTED_VALUE"""),"")</f>
        <v/>
      </c>
      <c r="C716" s="76" t="str">
        <f>IFERROR(__xludf.DUMMYFUNCTION("""COMPUTED_VALUE"""),"")</f>
        <v/>
      </c>
    </row>
    <row r="717">
      <c r="B717" s="76" t="str">
        <f>IFERROR(__xludf.DUMMYFUNCTION("""COMPUTED_VALUE"""),"")</f>
        <v/>
      </c>
      <c r="C717" s="76" t="str">
        <f>IFERROR(__xludf.DUMMYFUNCTION("""COMPUTED_VALUE"""),"")</f>
        <v/>
      </c>
    </row>
    <row r="718">
      <c r="B718" s="76" t="str">
        <f>IFERROR(__xludf.DUMMYFUNCTION("""COMPUTED_VALUE"""),"")</f>
        <v/>
      </c>
      <c r="C718" s="76" t="str">
        <f>IFERROR(__xludf.DUMMYFUNCTION("""COMPUTED_VALUE"""),"")</f>
        <v/>
      </c>
    </row>
    <row r="719">
      <c r="B719" s="76" t="str">
        <f>IFERROR(__xludf.DUMMYFUNCTION("""COMPUTED_VALUE"""),"")</f>
        <v/>
      </c>
      <c r="C719" s="76" t="str">
        <f>IFERROR(__xludf.DUMMYFUNCTION("""COMPUTED_VALUE"""),"")</f>
        <v/>
      </c>
    </row>
    <row r="720">
      <c r="B720" s="76" t="str">
        <f>IFERROR(__xludf.DUMMYFUNCTION("""COMPUTED_VALUE"""),"")</f>
        <v/>
      </c>
      <c r="C720" s="76" t="str">
        <f>IFERROR(__xludf.DUMMYFUNCTION("""COMPUTED_VALUE"""),"")</f>
        <v/>
      </c>
    </row>
    <row r="721">
      <c r="B721" s="76" t="str">
        <f>IFERROR(__xludf.DUMMYFUNCTION("""COMPUTED_VALUE"""),"")</f>
        <v/>
      </c>
      <c r="C721" s="76" t="str">
        <f>IFERROR(__xludf.DUMMYFUNCTION("""COMPUTED_VALUE"""),"")</f>
        <v/>
      </c>
    </row>
    <row r="722">
      <c r="B722" s="76" t="str">
        <f>IFERROR(__xludf.DUMMYFUNCTION("""COMPUTED_VALUE"""),"")</f>
        <v/>
      </c>
      <c r="C722" s="76" t="str">
        <f>IFERROR(__xludf.DUMMYFUNCTION("""COMPUTED_VALUE"""),"")</f>
        <v/>
      </c>
    </row>
    <row r="723">
      <c r="B723" s="76" t="str">
        <f>IFERROR(__xludf.DUMMYFUNCTION("""COMPUTED_VALUE"""),"")</f>
        <v/>
      </c>
      <c r="C723" s="76" t="str">
        <f>IFERROR(__xludf.DUMMYFUNCTION("""COMPUTED_VALUE"""),"")</f>
        <v/>
      </c>
    </row>
    <row r="724">
      <c r="B724" s="76" t="str">
        <f>IFERROR(__xludf.DUMMYFUNCTION("""COMPUTED_VALUE"""),"")</f>
        <v/>
      </c>
      <c r="C724" s="76" t="str">
        <f>IFERROR(__xludf.DUMMYFUNCTION("""COMPUTED_VALUE"""),"")</f>
        <v/>
      </c>
    </row>
    <row r="725">
      <c r="B725" s="76" t="str">
        <f>IFERROR(__xludf.DUMMYFUNCTION("""COMPUTED_VALUE"""),"")</f>
        <v/>
      </c>
      <c r="C725" s="76" t="str">
        <f>IFERROR(__xludf.DUMMYFUNCTION("""COMPUTED_VALUE"""),"")</f>
        <v/>
      </c>
    </row>
    <row r="726">
      <c r="B726" s="76" t="str">
        <f>IFERROR(__xludf.DUMMYFUNCTION("""COMPUTED_VALUE"""),"")</f>
        <v/>
      </c>
      <c r="C726" s="76" t="str">
        <f>IFERROR(__xludf.DUMMYFUNCTION("""COMPUTED_VALUE"""),"")</f>
        <v/>
      </c>
    </row>
    <row r="727">
      <c r="B727" s="76" t="str">
        <f>IFERROR(__xludf.DUMMYFUNCTION("""COMPUTED_VALUE"""),"")</f>
        <v/>
      </c>
      <c r="C727" s="76" t="str">
        <f>IFERROR(__xludf.DUMMYFUNCTION("""COMPUTED_VALUE"""),"")</f>
        <v/>
      </c>
    </row>
    <row r="728">
      <c r="B728" s="76" t="str">
        <f>IFERROR(__xludf.DUMMYFUNCTION("""COMPUTED_VALUE"""),"")</f>
        <v/>
      </c>
      <c r="C728" s="76" t="str">
        <f>IFERROR(__xludf.DUMMYFUNCTION("""COMPUTED_VALUE"""),"")</f>
        <v/>
      </c>
    </row>
    <row r="729">
      <c r="B729" s="76" t="str">
        <f>IFERROR(__xludf.DUMMYFUNCTION("""COMPUTED_VALUE"""),"")</f>
        <v/>
      </c>
      <c r="C729" s="76" t="str">
        <f>IFERROR(__xludf.DUMMYFUNCTION("""COMPUTED_VALUE"""),"")</f>
        <v/>
      </c>
    </row>
    <row r="730">
      <c r="B730" s="76" t="str">
        <f>IFERROR(__xludf.DUMMYFUNCTION("""COMPUTED_VALUE"""),"")</f>
        <v/>
      </c>
      <c r="C730" s="76" t="str">
        <f>IFERROR(__xludf.DUMMYFUNCTION("""COMPUTED_VALUE"""),"")</f>
        <v/>
      </c>
    </row>
    <row r="731">
      <c r="B731" s="76" t="str">
        <f>IFERROR(__xludf.DUMMYFUNCTION("""COMPUTED_VALUE"""),"")</f>
        <v/>
      </c>
      <c r="C731" s="76" t="str">
        <f>IFERROR(__xludf.DUMMYFUNCTION("""COMPUTED_VALUE"""),"")</f>
        <v/>
      </c>
    </row>
    <row r="732">
      <c r="B732" s="76" t="str">
        <f>IFERROR(__xludf.DUMMYFUNCTION("""COMPUTED_VALUE"""),"")</f>
        <v/>
      </c>
      <c r="C732" s="76" t="str">
        <f>IFERROR(__xludf.DUMMYFUNCTION("""COMPUTED_VALUE"""),"")</f>
        <v/>
      </c>
    </row>
    <row r="733">
      <c r="B733" s="76" t="str">
        <f>IFERROR(__xludf.DUMMYFUNCTION("""COMPUTED_VALUE"""),"")</f>
        <v/>
      </c>
      <c r="C733" s="76" t="str">
        <f>IFERROR(__xludf.DUMMYFUNCTION("""COMPUTED_VALUE"""),"")</f>
        <v/>
      </c>
    </row>
    <row r="734">
      <c r="B734" s="76" t="str">
        <f>IFERROR(__xludf.DUMMYFUNCTION("""COMPUTED_VALUE"""),"")</f>
        <v/>
      </c>
      <c r="C734" s="76" t="str">
        <f>IFERROR(__xludf.DUMMYFUNCTION("""COMPUTED_VALUE"""),"")</f>
        <v/>
      </c>
    </row>
    <row r="735">
      <c r="B735" s="76" t="str">
        <f>IFERROR(__xludf.DUMMYFUNCTION("""COMPUTED_VALUE"""),"")</f>
        <v/>
      </c>
      <c r="C735" s="76" t="str">
        <f>IFERROR(__xludf.DUMMYFUNCTION("""COMPUTED_VALUE"""),"")</f>
        <v/>
      </c>
    </row>
    <row r="736">
      <c r="B736" s="76" t="str">
        <f>IFERROR(__xludf.DUMMYFUNCTION("""COMPUTED_VALUE"""),"")</f>
        <v/>
      </c>
      <c r="C736" s="76" t="str">
        <f>IFERROR(__xludf.DUMMYFUNCTION("""COMPUTED_VALUE"""),"")</f>
        <v/>
      </c>
    </row>
    <row r="737">
      <c r="B737" s="76" t="str">
        <f>IFERROR(__xludf.DUMMYFUNCTION("""COMPUTED_VALUE"""),"")</f>
        <v/>
      </c>
      <c r="C737" s="76" t="str">
        <f>IFERROR(__xludf.DUMMYFUNCTION("""COMPUTED_VALUE"""),"")</f>
        <v/>
      </c>
    </row>
    <row r="738">
      <c r="B738" s="76" t="str">
        <f>IFERROR(__xludf.DUMMYFUNCTION("""COMPUTED_VALUE"""),"")</f>
        <v/>
      </c>
      <c r="C738" s="76" t="str">
        <f>IFERROR(__xludf.DUMMYFUNCTION("""COMPUTED_VALUE"""),"")</f>
        <v/>
      </c>
    </row>
    <row r="739">
      <c r="B739" s="76" t="str">
        <f>IFERROR(__xludf.DUMMYFUNCTION("""COMPUTED_VALUE"""),"")</f>
        <v/>
      </c>
      <c r="C739" s="76" t="str">
        <f>IFERROR(__xludf.DUMMYFUNCTION("""COMPUTED_VALUE"""),"")</f>
        <v/>
      </c>
    </row>
    <row r="740">
      <c r="B740" s="76" t="str">
        <f>IFERROR(__xludf.DUMMYFUNCTION("""COMPUTED_VALUE"""),"")</f>
        <v/>
      </c>
      <c r="C740" s="76" t="str">
        <f>IFERROR(__xludf.DUMMYFUNCTION("""COMPUTED_VALUE"""),"")</f>
        <v/>
      </c>
    </row>
    <row r="741">
      <c r="B741" s="76" t="str">
        <f>IFERROR(__xludf.DUMMYFUNCTION("""COMPUTED_VALUE"""),"")</f>
        <v/>
      </c>
      <c r="C741" s="76" t="str">
        <f>IFERROR(__xludf.DUMMYFUNCTION("""COMPUTED_VALUE"""),"")</f>
        <v/>
      </c>
    </row>
    <row r="742">
      <c r="B742" s="76" t="str">
        <f>IFERROR(__xludf.DUMMYFUNCTION("""COMPUTED_VALUE"""),"")</f>
        <v/>
      </c>
      <c r="C742" s="76" t="str">
        <f>IFERROR(__xludf.DUMMYFUNCTION("""COMPUTED_VALUE"""),"")</f>
        <v/>
      </c>
    </row>
    <row r="743">
      <c r="B743" s="76" t="str">
        <f>IFERROR(__xludf.DUMMYFUNCTION("""COMPUTED_VALUE"""),"")</f>
        <v/>
      </c>
      <c r="C743" s="76" t="str">
        <f>IFERROR(__xludf.DUMMYFUNCTION("""COMPUTED_VALUE"""),"")</f>
        <v/>
      </c>
    </row>
    <row r="744">
      <c r="B744" s="76" t="str">
        <f>IFERROR(__xludf.DUMMYFUNCTION("""COMPUTED_VALUE"""),"")</f>
        <v/>
      </c>
      <c r="C744" s="76" t="str">
        <f>IFERROR(__xludf.DUMMYFUNCTION("""COMPUTED_VALUE"""),"")</f>
        <v/>
      </c>
    </row>
    <row r="745">
      <c r="B745" s="76" t="str">
        <f>IFERROR(__xludf.DUMMYFUNCTION("""COMPUTED_VALUE"""),"")</f>
        <v/>
      </c>
      <c r="C745" s="76" t="str">
        <f>IFERROR(__xludf.DUMMYFUNCTION("""COMPUTED_VALUE"""),"")</f>
        <v/>
      </c>
    </row>
    <row r="746">
      <c r="B746" s="76" t="str">
        <f>IFERROR(__xludf.DUMMYFUNCTION("""COMPUTED_VALUE"""),"")</f>
        <v/>
      </c>
      <c r="C746" s="76" t="str">
        <f>IFERROR(__xludf.DUMMYFUNCTION("""COMPUTED_VALUE"""),"")</f>
        <v/>
      </c>
    </row>
    <row r="747">
      <c r="B747" s="76" t="str">
        <f>IFERROR(__xludf.DUMMYFUNCTION("""COMPUTED_VALUE"""),"")</f>
        <v/>
      </c>
      <c r="C747" s="76" t="str">
        <f>IFERROR(__xludf.DUMMYFUNCTION("""COMPUTED_VALUE"""),"")</f>
        <v/>
      </c>
    </row>
    <row r="748">
      <c r="B748" s="76" t="str">
        <f>IFERROR(__xludf.DUMMYFUNCTION("""COMPUTED_VALUE"""),"")</f>
        <v/>
      </c>
      <c r="C748" s="76" t="str">
        <f>IFERROR(__xludf.DUMMYFUNCTION("""COMPUTED_VALUE"""),"")</f>
        <v/>
      </c>
    </row>
    <row r="749">
      <c r="B749" s="76" t="str">
        <f>IFERROR(__xludf.DUMMYFUNCTION("""COMPUTED_VALUE"""),"")</f>
        <v/>
      </c>
      <c r="C749" s="76" t="str">
        <f>IFERROR(__xludf.DUMMYFUNCTION("""COMPUTED_VALUE"""),"")</f>
        <v/>
      </c>
    </row>
    <row r="750">
      <c r="B750" s="76" t="str">
        <f>IFERROR(__xludf.DUMMYFUNCTION("""COMPUTED_VALUE"""),"")</f>
        <v/>
      </c>
      <c r="C750" s="76" t="str">
        <f>IFERROR(__xludf.DUMMYFUNCTION("""COMPUTED_VALUE"""),"")</f>
        <v/>
      </c>
    </row>
    <row r="751">
      <c r="B751" s="76" t="str">
        <f>IFERROR(__xludf.DUMMYFUNCTION("""COMPUTED_VALUE"""),"")</f>
        <v/>
      </c>
      <c r="C751" s="76" t="str">
        <f>IFERROR(__xludf.DUMMYFUNCTION("""COMPUTED_VALUE"""),"")</f>
        <v/>
      </c>
    </row>
    <row r="752">
      <c r="B752" s="76" t="str">
        <f>IFERROR(__xludf.DUMMYFUNCTION("""COMPUTED_VALUE"""),"")</f>
        <v/>
      </c>
      <c r="C752" s="76" t="str">
        <f>IFERROR(__xludf.DUMMYFUNCTION("""COMPUTED_VALUE"""),"")</f>
        <v/>
      </c>
    </row>
    <row r="753">
      <c r="B753" s="76" t="str">
        <f>IFERROR(__xludf.DUMMYFUNCTION("""COMPUTED_VALUE"""),"")</f>
        <v/>
      </c>
      <c r="C753" s="76" t="str">
        <f>IFERROR(__xludf.DUMMYFUNCTION("""COMPUTED_VALUE"""),"")</f>
        <v/>
      </c>
    </row>
    <row r="754">
      <c r="B754" s="76" t="str">
        <f>IFERROR(__xludf.DUMMYFUNCTION("""COMPUTED_VALUE"""),"")</f>
        <v/>
      </c>
      <c r="C754" s="76" t="str">
        <f>IFERROR(__xludf.DUMMYFUNCTION("""COMPUTED_VALUE"""),"")</f>
        <v/>
      </c>
    </row>
    <row r="755">
      <c r="B755" s="76" t="str">
        <f>IFERROR(__xludf.DUMMYFUNCTION("""COMPUTED_VALUE"""),"")</f>
        <v/>
      </c>
      <c r="C755" s="76" t="str">
        <f>IFERROR(__xludf.DUMMYFUNCTION("""COMPUTED_VALUE"""),"")</f>
        <v/>
      </c>
    </row>
    <row r="756">
      <c r="B756" s="76" t="str">
        <f>IFERROR(__xludf.DUMMYFUNCTION("""COMPUTED_VALUE"""),"")</f>
        <v/>
      </c>
      <c r="C756" s="76" t="str">
        <f>IFERROR(__xludf.DUMMYFUNCTION("""COMPUTED_VALUE"""),"")</f>
        <v/>
      </c>
    </row>
    <row r="757">
      <c r="B757" s="76" t="str">
        <f>IFERROR(__xludf.DUMMYFUNCTION("""COMPUTED_VALUE"""),"")</f>
        <v/>
      </c>
      <c r="C757" s="76" t="str">
        <f>IFERROR(__xludf.DUMMYFUNCTION("""COMPUTED_VALUE"""),"")</f>
        <v/>
      </c>
    </row>
    <row r="758">
      <c r="B758" s="76" t="str">
        <f>IFERROR(__xludf.DUMMYFUNCTION("""COMPUTED_VALUE"""),"")</f>
        <v/>
      </c>
      <c r="C758" s="76" t="str">
        <f>IFERROR(__xludf.DUMMYFUNCTION("""COMPUTED_VALUE"""),"")</f>
        <v/>
      </c>
    </row>
    <row r="759">
      <c r="B759" s="76" t="str">
        <f>IFERROR(__xludf.DUMMYFUNCTION("""COMPUTED_VALUE"""),"")</f>
        <v/>
      </c>
      <c r="C759" s="76" t="str">
        <f>IFERROR(__xludf.DUMMYFUNCTION("""COMPUTED_VALUE"""),"")</f>
        <v/>
      </c>
    </row>
    <row r="760">
      <c r="B760" s="76" t="str">
        <f>IFERROR(__xludf.DUMMYFUNCTION("""COMPUTED_VALUE"""),"")</f>
        <v/>
      </c>
      <c r="C760" s="76" t="str">
        <f>IFERROR(__xludf.DUMMYFUNCTION("""COMPUTED_VALUE"""),"")</f>
        <v/>
      </c>
    </row>
    <row r="761">
      <c r="B761" s="76" t="str">
        <f>IFERROR(__xludf.DUMMYFUNCTION("""COMPUTED_VALUE"""),"")</f>
        <v/>
      </c>
      <c r="C761" s="76" t="str">
        <f>IFERROR(__xludf.DUMMYFUNCTION("""COMPUTED_VALUE"""),"")</f>
        <v/>
      </c>
    </row>
    <row r="762">
      <c r="B762" s="76" t="str">
        <f>IFERROR(__xludf.DUMMYFUNCTION("""COMPUTED_VALUE"""),"")</f>
        <v/>
      </c>
      <c r="C762" s="76" t="str">
        <f>IFERROR(__xludf.DUMMYFUNCTION("""COMPUTED_VALUE"""),"")</f>
        <v/>
      </c>
    </row>
    <row r="763">
      <c r="B763" s="76" t="str">
        <f>IFERROR(__xludf.DUMMYFUNCTION("""COMPUTED_VALUE"""),"")</f>
        <v/>
      </c>
      <c r="C763" s="76" t="str">
        <f>IFERROR(__xludf.DUMMYFUNCTION("""COMPUTED_VALUE"""),"")</f>
        <v/>
      </c>
    </row>
    <row r="764">
      <c r="B764" s="76" t="str">
        <f>IFERROR(__xludf.DUMMYFUNCTION("""COMPUTED_VALUE"""),"")</f>
        <v/>
      </c>
      <c r="C764" s="76" t="str">
        <f>IFERROR(__xludf.DUMMYFUNCTION("""COMPUTED_VALUE"""),"")</f>
        <v/>
      </c>
    </row>
    <row r="765">
      <c r="B765" s="76" t="str">
        <f>IFERROR(__xludf.DUMMYFUNCTION("""COMPUTED_VALUE"""),"")</f>
        <v/>
      </c>
      <c r="C765" s="76" t="str">
        <f>IFERROR(__xludf.DUMMYFUNCTION("""COMPUTED_VALUE"""),"")</f>
        <v/>
      </c>
    </row>
    <row r="766">
      <c r="B766" s="76" t="str">
        <f>IFERROR(__xludf.DUMMYFUNCTION("""COMPUTED_VALUE"""),"")</f>
        <v/>
      </c>
      <c r="C766" s="76" t="str">
        <f>IFERROR(__xludf.DUMMYFUNCTION("""COMPUTED_VALUE"""),"")</f>
        <v/>
      </c>
    </row>
    <row r="767">
      <c r="B767" s="76" t="str">
        <f>IFERROR(__xludf.DUMMYFUNCTION("""COMPUTED_VALUE"""),"")</f>
        <v/>
      </c>
      <c r="C767" s="76" t="str">
        <f>IFERROR(__xludf.DUMMYFUNCTION("""COMPUTED_VALUE"""),"")</f>
        <v/>
      </c>
    </row>
    <row r="768">
      <c r="B768" s="76" t="str">
        <f>IFERROR(__xludf.DUMMYFUNCTION("""COMPUTED_VALUE"""),"")</f>
        <v/>
      </c>
      <c r="C768" s="76" t="str">
        <f>IFERROR(__xludf.DUMMYFUNCTION("""COMPUTED_VALUE"""),"")</f>
        <v/>
      </c>
    </row>
    <row r="769">
      <c r="B769" s="76" t="str">
        <f>IFERROR(__xludf.DUMMYFUNCTION("""COMPUTED_VALUE"""),"")</f>
        <v/>
      </c>
      <c r="C769" s="76" t="str">
        <f>IFERROR(__xludf.DUMMYFUNCTION("""COMPUTED_VALUE"""),"")</f>
        <v/>
      </c>
    </row>
    <row r="770">
      <c r="B770" s="76" t="str">
        <f>IFERROR(__xludf.DUMMYFUNCTION("""COMPUTED_VALUE"""),"")</f>
        <v/>
      </c>
      <c r="C770" s="76" t="str">
        <f>IFERROR(__xludf.DUMMYFUNCTION("""COMPUTED_VALUE"""),"")</f>
        <v/>
      </c>
    </row>
    <row r="771">
      <c r="B771" s="76" t="str">
        <f>IFERROR(__xludf.DUMMYFUNCTION("""COMPUTED_VALUE"""),"")</f>
        <v/>
      </c>
      <c r="C771" s="76" t="str">
        <f>IFERROR(__xludf.DUMMYFUNCTION("""COMPUTED_VALUE"""),"")</f>
        <v/>
      </c>
    </row>
    <row r="772">
      <c r="B772" s="76" t="str">
        <f>IFERROR(__xludf.DUMMYFUNCTION("""COMPUTED_VALUE"""),"")</f>
        <v/>
      </c>
      <c r="C772" s="76" t="str">
        <f>IFERROR(__xludf.DUMMYFUNCTION("""COMPUTED_VALUE"""),"")</f>
        <v/>
      </c>
    </row>
    <row r="773">
      <c r="B773" s="76" t="str">
        <f>IFERROR(__xludf.DUMMYFUNCTION("""COMPUTED_VALUE"""),"")</f>
        <v/>
      </c>
      <c r="C773" s="76" t="str">
        <f>IFERROR(__xludf.DUMMYFUNCTION("""COMPUTED_VALUE"""),"")</f>
        <v/>
      </c>
    </row>
    <row r="774">
      <c r="B774" s="76" t="str">
        <f>IFERROR(__xludf.DUMMYFUNCTION("""COMPUTED_VALUE"""),"")</f>
        <v/>
      </c>
      <c r="C774" s="76" t="str">
        <f>IFERROR(__xludf.DUMMYFUNCTION("""COMPUTED_VALUE"""),"")</f>
        <v/>
      </c>
    </row>
    <row r="775">
      <c r="B775" s="76" t="str">
        <f>IFERROR(__xludf.DUMMYFUNCTION("""COMPUTED_VALUE"""),"")</f>
        <v/>
      </c>
      <c r="C775" s="76" t="str">
        <f>IFERROR(__xludf.DUMMYFUNCTION("""COMPUTED_VALUE"""),"")</f>
        <v/>
      </c>
    </row>
    <row r="776">
      <c r="B776" s="76" t="str">
        <f>IFERROR(__xludf.DUMMYFUNCTION("""COMPUTED_VALUE"""),"")</f>
        <v/>
      </c>
      <c r="C776" s="76" t="str">
        <f>IFERROR(__xludf.DUMMYFUNCTION("""COMPUTED_VALUE"""),"")</f>
        <v/>
      </c>
    </row>
    <row r="777">
      <c r="B777" s="76" t="str">
        <f>IFERROR(__xludf.DUMMYFUNCTION("""COMPUTED_VALUE"""),"")</f>
        <v/>
      </c>
      <c r="C777" s="76" t="str">
        <f>IFERROR(__xludf.DUMMYFUNCTION("""COMPUTED_VALUE"""),"")</f>
        <v/>
      </c>
    </row>
    <row r="778">
      <c r="B778" s="76" t="str">
        <f>IFERROR(__xludf.DUMMYFUNCTION("""COMPUTED_VALUE"""),"")</f>
        <v/>
      </c>
      <c r="C778" s="76" t="str">
        <f>IFERROR(__xludf.DUMMYFUNCTION("""COMPUTED_VALUE"""),"")</f>
        <v/>
      </c>
    </row>
    <row r="779">
      <c r="B779" s="76" t="str">
        <f>IFERROR(__xludf.DUMMYFUNCTION("""COMPUTED_VALUE"""),"")</f>
        <v/>
      </c>
      <c r="C779" s="76" t="str">
        <f>IFERROR(__xludf.DUMMYFUNCTION("""COMPUTED_VALUE"""),"")</f>
        <v/>
      </c>
    </row>
    <row r="780">
      <c r="B780" s="76" t="str">
        <f>IFERROR(__xludf.DUMMYFUNCTION("""COMPUTED_VALUE"""),"")</f>
        <v/>
      </c>
      <c r="C780" s="76" t="str">
        <f>IFERROR(__xludf.DUMMYFUNCTION("""COMPUTED_VALUE"""),"")</f>
        <v/>
      </c>
    </row>
    <row r="781">
      <c r="B781" s="76" t="str">
        <f>IFERROR(__xludf.DUMMYFUNCTION("""COMPUTED_VALUE"""),"")</f>
        <v/>
      </c>
      <c r="C781" s="76" t="str">
        <f>IFERROR(__xludf.DUMMYFUNCTION("""COMPUTED_VALUE"""),"")</f>
        <v/>
      </c>
    </row>
    <row r="782">
      <c r="B782" s="76" t="str">
        <f>IFERROR(__xludf.DUMMYFUNCTION("""COMPUTED_VALUE"""),"")</f>
        <v/>
      </c>
      <c r="C782" s="76" t="str">
        <f>IFERROR(__xludf.DUMMYFUNCTION("""COMPUTED_VALUE"""),"")</f>
        <v/>
      </c>
    </row>
    <row r="783">
      <c r="B783" s="76" t="str">
        <f>IFERROR(__xludf.DUMMYFUNCTION("""COMPUTED_VALUE"""),"")</f>
        <v/>
      </c>
      <c r="C783" s="76" t="str">
        <f>IFERROR(__xludf.DUMMYFUNCTION("""COMPUTED_VALUE"""),"")</f>
        <v/>
      </c>
    </row>
    <row r="784">
      <c r="B784" s="76" t="str">
        <f>IFERROR(__xludf.DUMMYFUNCTION("""COMPUTED_VALUE"""),"")</f>
        <v/>
      </c>
      <c r="C784" s="76" t="str">
        <f>IFERROR(__xludf.DUMMYFUNCTION("""COMPUTED_VALUE"""),"")</f>
        <v/>
      </c>
    </row>
    <row r="785">
      <c r="B785" s="76" t="str">
        <f>IFERROR(__xludf.DUMMYFUNCTION("""COMPUTED_VALUE"""),"")</f>
        <v/>
      </c>
      <c r="C785" s="76" t="str">
        <f>IFERROR(__xludf.DUMMYFUNCTION("""COMPUTED_VALUE"""),"")</f>
        <v/>
      </c>
    </row>
    <row r="786">
      <c r="B786" s="76" t="str">
        <f>IFERROR(__xludf.DUMMYFUNCTION("""COMPUTED_VALUE"""),"")</f>
        <v/>
      </c>
      <c r="C786" s="76" t="str">
        <f>IFERROR(__xludf.DUMMYFUNCTION("""COMPUTED_VALUE"""),"")</f>
        <v/>
      </c>
    </row>
    <row r="787">
      <c r="B787" s="76" t="str">
        <f>IFERROR(__xludf.DUMMYFUNCTION("""COMPUTED_VALUE"""),"")</f>
        <v/>
      </c>
      <c r="C787" s="76" t="str">
        <f>IFERROR(__xludf.DUMMYFUNCTION("""COMPUTED_VALUE"""),"")</f>
        <v/>
      </c>
    </row>
    <row r="788">
      <c r="B788" s="76" t="str">
        <f>IFERROR(__xludf.DUMMYFUNCTION("""COMPUTED_VALUE"""),"")</f>
        <v/>
      </c>
      <c r="C788" s="76" t="str">
        <f>IFERROR(__xludf.DUMMYFUNCTION("""COMPUTED_VALUE"""),"")</f>
        <v/>
      </c>
    </row>
    <row r="789">
      <c r="B789" s="76" t="str">
        <f>IFERROR(__xludf.DUMMYFUNCTION("""COMPUTED_VALUE"""),"")</f>
        <v/>
      </c>
      <c r="C789" s="76" t="str">
        <f>IFERROR(__xludf.DUMMYFUNCTION("""COMPUTED_VALUE"""),"")</f>
        <v/>
      </c>
    </row>
    <row r="790">
      <c r="B790" s="76" t="str">
        <f>IFERROR(__xludf.DUMMYFUNCTION("""COMPUTED_VALUE"""),"")</f>
        <v/>
      </c>
      <c r="C790" s="76" t="str">
        <f>IFERROR(__xludf.DUMMYFUNCTION("""COMPUTED_VALUE"""),"")</f>
        <v/>
      </c>
    </row>
    <row r="791">
      <c r="B791" s="76" t="str">
        <f>IFERROR(__xludf.DUMMYFUNCTION("""COMPUTED_VALUE"""),"")</f>
        <v/>
      </c>
      <c r="C791" s="76" t="str">
        <f>IFERROR(__xludf.DUMMYFUNCTION("""COMPUTED_VALUE"""),"")</f>
        <v/>
      </c>
    </row>
    <row r="792">
      <c r="B792" s="76" t="str">
        <f>IFERROR(__xludf.DUMMYFUNCTION("""COMPUTED_VALUE"""),"")</f>
        <v/>
      </c>
      <c r="C792" s="76" t="str">
        <f>IFERROR(__xludf.DUMMYFUNCTION("""COMPUTED_VALUE"""),"")</f>
        <v/>
      </c>
    </row>
    <row r="793">
      <c r="B793" s="76" t="str">
        <f>IFERROR(__xludf.DUMMYFUNCTION("""COMPUTED_VALUE"""),"")</f>
        <v/>
      </c>
      <c r="C793" s="76" t="str">
        <f>IFERROR(__xludf.DUMMYFUNCTION("""COMPUTED_VALUE"""),"")</f>
        <v/>
      </c>
    </row>
    <row r="794">
      <c r="B794" s="76" t="str">
        <f>IFERROR(__xludf.DUMMYFUNCTION("""COMPUTED_VALUE"""),"")</f>
        <v/>
      </c>
      <c r="C794" s="76" t="str">
        <f>IFERROR(__xludf.DUMMYFUNCTION("""COMPUTED_VALUE"""),"")</f>
        <v/>
      </c>
    </row>
    <row r="795">
      <c r="B795" s="76" t="str">
        <f>IFERROR(__xludf.DUMMYFUNCTION("""COMPUTED_VALUE"""),"")</f>
        <v/>
      </c>
      <c r="C795" s="76" t="str">
        <f>IFERROR(__xludf.DUMMYFUNCTION("""COMPUTED_VALUE"""),"")</f>
        <v/>
      </c>
    </row>
    <row r="796">
      <c r="B796" s="76" t="str">
        <f>IFERROR(__xludf.DUMMYFUNCTION("""COMPUTED_VALUE"""),"")</f>
        <v/>
      </c>
      <c r="C796" s="76" t="str">
        <f>IFERROR(__xludf.DUMMYFUNCTION("""COMPUTED_VALUE"""),"")</f>
        <v/>
      </c>
    </row>
    <row r="797">
      <c r="B797" s="76" t="str">
        <f>IFERROR(__xludf.DUMMYFUNCTION("""COMPUTED_VALUE"""),"")</f>
        <v/>
      </c>
      <c r="C797" s="76" t="str">
        <f>IFERROR(__xludf.DUMMYFUNCTION("""COMPUTED_VALUE"""),"")</f>
        <v/>
      </c>
    </row>
    <row r="798">
      <c r="B798" s="76" t="str">
        <f>IFERROR(__xludf.DUMMYFUNCTION("""COMPUTED_VALUE"""),"")</f>
        <v/>
      </c>
      <c r="C798" s="76" t="str">
        <f>IFERROR(__xludf.DUMMYFUNCTION("""COMPUTED_VALUE"""),"")</f>
        <v/>
      </c>
    </row>
    <row r="799">
      <c r="B799" s="76" t="str">
        <f>IFERROR(__xludf.DUMMYFUNCTION("""COMPUTED_VALUE"""),"")</f>
        <v/>
      </c>
      <c r="C799" s="76" t="str">
        <f>IFERROR(__xludf.DUMMYFUNCTION("""COMPUTED_VALUE"""),"")</f>
        <v/>
      </c>
    </row>
    <row r="800">
      <c r="B800" s="76" t="str">
        <f>IFERROR(__xludf.DUMMYFUNCTION("""COMPUTED_VALUE"""),"")</f>
        <v/>
      </c>
      <c r="C800" s="76" t="str">
        <f>IFERROR(__xludf.DUMMYFUNCTION("""COMPUTED_VALUE"""),"")</f>
        <v/>
      </c>
    </row>
    <row r="801">
      <c r="B801" s="76" t="str">
        <f>IFERROR(__xludf.DUMMYFUNCTION("""COMPUTED_VALUE"""),"")</f>
        <v/>
      </c>
      <c r="C801" s="76" t="str">
        <f>IFERROR(__xludf.DUMMYFUNCTION("""COMPUTED_VALUE"""),"")</f>
        <v/>
      </c>
    </row>
    <row r="802">
      <c r="B802" s="76" t="str">
        <f>IFERROR(__xludf.DUMMYFUNCTION("""COMPUTED_VALUE"""),"")</f>
        <v/>
      </c>
      <c r="C802" s="76" t="str">
        <f>IFERROR(__xludf.DUMMYFUNCTION("""COMPUTED_VALUE"""),"")</f>
        <v/>
      </c>
    </row>
    <row r="803">
      <c r="B803" s="76" t="str">
        <f>IFERROR(__xludf.DUMMYFUNCTION("""COMPUTED_VALUE"""),"")</f>
        <v/>
      </c>
      <c r="C803" s="76" t="str">
        <f>IFERROR(__xludf.DUMMYFUNCTION("""COMPUTED_VALUE"""),"")</f>
        <v/>
      </c>
    </row>
    <row r="804">
      <c r="B804" s="76" t="str">
        <f>IFERROR(__xludf.DUMMYFUNCTION("""COMPUTED_VALUE"""),"")</f>
        <v/>
      </c>
      <c r="C804" s="76" t="str">
        <f>IFERROR(__xludf.DUMMYFUNCTION("""COMPUTED_VALUE"""),"")</f>
        <v/>
      </c>
    </row>
    <row r="805">
      <c r="B805" s="76" t="str">
        <f>IFERROR(__xludf.DUMMYFUNCTION("""COMPUTED_VALUE"""),"")</f>
        <v/>
      </c>
      <c r="C805" s="76" t="str">
        <f>IFERROR(__xludf.DUMMYFUNCTION("""COMPUTED_VALUE"""),"")</f>
        <v/>
      </c>
    </row>
    <row r="806">
      <c r="B806" s="76" t="str">
        <f>IFERROR(__xludf.DUMMYFUNCTION("""COMPUTED_VALUE"""),"")</f>
        <v/>
      </c>
      <c r="C806" s="76" t="str">
        <f>IFERROR(__xludf.DUMMYFUNCTION("""COMPUTED_VALUE"""),"")</f>
        <v/>
      </c>
    </row>
    <row r="807">
      <c r="B807" s="76" t="str">
        <f>IFERROR(__xludf.DUMMYFUNCTION("""COMPUTED_VALUE"""),"")</f>
        <v/>
      </c>
      <c r="C807" s="76" t="str">
        <f>IFERROR(__xludf.DUMMYFUNCTION("""COMPUTED_VALUE"""),"")</f>
        <v/>
      </c>
    </row>
    <row r="808">
      <c r="B808" s="76" t="str">
        <f>IFERROR(__xludf.DUMMYFUNCTION("""COMPUTED_VALUE"""),"")</f>
        <v/>
      </c>
      <c r="C808" s="76" t="str">
        <f>IFERROR(__xludf.DUMMYFUNCTION("""COMPUTED_VALUE"""),"")</f>
        <v/>
      </c>
    </row>
    <row r="809">
      <c r="B809" s="76" t="str">
        <f>IFERROR(__xludf.DUMMYFUNCTION("""COMPUTED_VALUE"""),"")</f>
        <v/>
      </c>
      <c r="C809" s="76" t="str">
        <f>IFERROR(__xludf.DUMMYFUNCTION("""COMPUTED_VALUE"""),"")</f>
        <v/>
      </c>
    </row>
    <row r="810">
      <c r="B810" s="76" t="str">
        <f>IFERROR(__xludf.DUMMYFUNCTION("""COMPUTED_VALUE"""),"")</f>
        <v/>
      </c>
      <c r="C810" s="76" t="str">
        <f>IFERROR(__xludf.DUMMYFUNCTION("""COMPUTED_VALUE"""),"")</f>
        <v/>
      </c>
    </row>
    <row r="811">
      <c r="B811" s="76" t="str">
        <f>IFERROR(__xludf.DUMMYFUNCTION("""COMPUTED_VALUE"""),"")</f>
        <v/>
      </c>
      <c r="C811" s="76" t="str">
        <f>IFERROR(__xludf.DUMMYFUNCTION("""COMPUTED_VALUE"""),"")</f>
        <v/>
      </c>
    </row>
    <row r="812">
      <c r="B812" s="76" t="str">
        <f>IFERROR(__xludf.DUMMYFUNCTION("""COMPUTED_VALUE"""),"")</f>
        <v/>
      </c>
      <c r="C812" s="76" t="str">
        <f>IFERROR(__xludf.DUMMYFUNCTION("""COMPUTED_VALUE"""),"")</f>
        <v/>
      </c>
    </row>
    <row r="813">
      <c r="B813" s="76" t="str">
        <f>IFERROR(__xludf.DUMMYFUNCTION("""COMPUTED_VALUE"""),"")</f>
        <v/>
      </c>
      <c r="C813" s="76" t="str">
        <f>IFERROR(__xludf.DUMMYFUNCTION("""COMPUTED_VALUE"""),"")</f>
        <v/>
      </c>
    </row>
    <row r="814">
      <c r="B814" s="76" t="str">
        <f>IFERROR(__xludf.DUMMYFUNCTION("""COMPUTED_VALUE"""),"")</f>
        <v/>
      </c>
      <c r="C814" s="76" t="str">
        <f>IFERROR(__xludf.DUMMYFUNCTION("""COMPUTED_VALUE"""),"")</f>
        <v/>
      </c>
    </row>
    <row r="815">
      <c r="B815" s="76" t="str">
        <f>IFERROR(__xludf.DUMMYFUNCTION("""COMPUTED_VALUE"""),"")</f>
        <v/>
      </c>
      <c r="C815" s="76" t="str">
        <f>IFERROR(__xludf.DUMMYFUNCTION("""COMPUTED_VALUE"""),"")</f>
        <v/>
      </c>
    </row>
    <row r="816">
      <c r="B816" s="76" t="str">
        <f>IFERROR(__xludf.DUMMYFUNCTION("""COMPUTED_VALUE"""),"")</f>
        <v/>
      </c>
      <c r="C816" s="76" t="str">
        <f>IFERROR(__xludf.DUMMYFUNCTION("""COMPUTED_VALUE"""),"")</f>
        <v/>
      </c>
    </row>
    <row r="817">
      <c r="B817" s="76" t="str">
        <f>IFERROR(__xludf.DUMMYFUNCTION("""COMPUTED_VALUE"""),"")</f>
        <v/>
      </c>
      <c r="C817" s="76" t="str">
        <f>IFERROR(__xludf.DUMMYFUNCTION("""COMPUTED_VALUE"""),"")</f>
        <v/>
      </c>
    </row>
    <row r="818">
      <c r="B818" s="76" t="str">
        <f>IFERROR(__xludf.DUMMYFUNCTION("""COMPUTED_VALUE"""),"")</f>
        <v/>
      </c>
      <c r="C818" s="76" t="str">
        <f>IFERROR(__xludf.DUMMYFUNCTION("""COMPUTED_VALUE"""),"")</f>
        <v/>
      </c>
    </row>
    <row r="819">
      <c r="B819" s="76" t="str">
        <f>IFERROR(__xludf.DUMMYFUNCTION("""COMPUTED_VALUE"""),"")</f>
        <v/>
      </c>
      <c r="C819" s="76" t="str">
        <f>IFERROR(__xludf.DUMMYFUNCTION("""COMPUTED_VALUE"""),"")</f>
        <v/>
      </c>
    </row>
    <row r="820">
      <c r="B820" s="76" t="str">
        <f>IFERROR(__xludf.DUMMYFUNCTION("""COMPUTED_VALUE"""),"")</f>
        <v/>
      </c>
      <c r="C820" s="76" t="str">
        <f>IFERROR(__xludf.DUMMYFUNCTION("""COMPUTED_VALUE"""),"")</f>
        <v/>
      </c>
    </row>
    <row r="821">
      <c r="B821" s="76" t="str">
        <f>IFERROR(__xludf.DUMMYFUNCTION("""COMPUTED_VALUE"""),"")</f>
        <v/>
      </c>
      <c r="C821" s="76" t="str">
        <f>IFERROR(__xludf.DUMMYFUNCTION("""COMPUTED_VALUE"""),"")</f>
        <v/>
      </c>
    </row>
    <row r="822">
      <c r="B822" s="76" t="str">
        <f>IFERROR(__xludf.DUMMYFUNCTION("""COMPUTED_VALUE"""),"")</f>
        <v/>
      </c>
      <c r="C822" s="76" t="str">
        <f>IFERROR(__xludf.DUMMYFUNCTION("""COMPUTED_VALUE"""),"")</f>
        <v/>
      </c>
    </row>
    <row r="823">
      <c r="B823" s="76" t="str">
        <f>IFERROR(__xludf.DUMMYFUNCTION("""COMPUTED_VALUE"""),"")</f>
        <v/>
      </c>
      <c r="C823" s="76" t="str">
        <f>IFERROR(__xludf.DUMMYFUNCTION("""COMPUTED_VALUE"""),"")</f>
        <v/>
      </c>
    </row>
    <row r="824">
      <c r="B824" s="76" t="str">
        <f>IFERROR(__xludf.DUMMYFUNCTION("""COMPUTED_VALUE"""),"")</f>
        <v/>
      </c>
      <c r="C824" s="76" t="str">
        <f>IFERROR(__xludf.DUMMYFUNCTION("""COMPUTED_VALUE"""),"")</f>
        <v/>
      </c>
    </row>
    <row r="825">
      <c r="B825" s="76" t="str">
        <f>IFERROR(__xludf.DUMMYFUNCTION("""COMPUTED_VALUE"""),"")</f>
        <v/>
      </c>
      <c r="C825" s="76" t="str">
        <f>IFERROR(__xludf.DUMMYFUNCTION("""COMPUTED_VALUE"""),"")</f>
        <v/>
      </c>
    </row>
    <row r="826">
      <c r="B826" s="76" t="str">
        <f>IFERROR(__xludf.DUMMYFUNCTION("""COMPUTED_VALUE"""),"")</f>
        <v/>
      </c>
      <c r="C826" s="76" t="str">
        <f>IFERROR(__xludf.DUMMYFUNCTION("""COMPUTED_VALUE"""),"")</f>
        <v/>
      </c>
    </row>
    <row r="827">
      <c r="B827" s="76" t="str">
        <f>IFERROR(__xludf.DUMMYFUNCTION("""COMPUTED_VALUE"""),"")</f>
        <v/>
      </c>
      <c r="C827" s="76" t="str">
        <f>IFERROR(__xludf.DUMMYFUNCTION("""COMPUTED_VALUE"""),"")</f>
        <v/>
      </c>
    </row>
    <row r="828">
      <c r="B828" s="76" t="str">
        <f>IFERROR(__xludf.DUMMYFUNCTION("""COMPUTED_VALUE"""),"")</f>
        <v/>
      </c>
      <c r="C828" s="76" t="str">
        <f>IFERROR(__xludf.DUMMYFUNCTION("""COMPUTED_VALUE"""),"")</f>
        <v/>
      </c>
    </row>
    <row r="829">
      <c r="B829" s="76" t="str">
        <f>IFERROR(__xludf.DUMMYFUNCTION("""COMPUTED_VALUE"""),"")</f>
        <v/>
      </c>
      <c r="C829" s="76" t="str">
        <f>IFERROR(__xludf.DUMMYFUNCTION("""COMPUTED_VALUE"""),"")</f>
        <v/>
      </c>
    </row>
    <row r="830">
      <c r="B830" s="76" t="str">
        <f>IFERROR(__xludf.DUMMYFUNCTION("""COMPUTED_VALUE"""),"")</f>
        <v/>
      </c>
      <c r="C830" s="76" t="str">
        <f>IFERROR(__xludf.DUMMYFUNCTION("""COMPUTED_VALUE"""),"")</f>
        <v/>
      </c>
    </row>
    <row r="831">
      <c r="B831" s="76" t="str">
        <f>IFERROR(__xludf.DUMMYFUNCTION("""COMPUTED_VALUE"""),"")</f>
        <v/>
      </c>
      <c r="C831" s="76" t="str">
        <f>IFERROR(__xludf.DUMMYFUNCTION("""COMPUTED_VALUE"""),"")</f>
        <v/>
      </c>
    </row>
    <row r="832">
      <c r="B832" s="76" t="str">
        <f>IFERROR(__xludf.DUMMYFUNCTION("""COMPUTED_VALUE"""),"")</f>
        <v/>
      </c>
      <c r="C832" s="76" t="str">
        <f>IFERROR(__xludf.DUMMYFUNCTION("""COMPUTED_VALUE"""),"")</f>
        <v/>
      </c>
    </row>
    <row r="833">
      <c r="B833" s="76" t="str">
        <f>IFERROR(__xludf.DUMMYFUNCTION("""COMPUTED_VALUE"""),"")</f>
        <v/>
      </c>
      <c r="C833" s="76" t="str">
        <f>IFERROR(__xludf.DUMMYFUNCTION("""COMPUTED_VALUE"""),"")</f>
        <v/>
      </c>
    </row>
    <row r="834">
      <c r="B834" s="76" t="str">
        <f>IFERROR(__xludf.DUMMYFUNCTION("""COMPUTED_VALUE"""),"")</f>
        <v/>
      </c>
      <c r="C834" s="76" t="str">
        <f>IFERROR(__xludf.DUMMYFUNCTION("""COMPUTED_VALUE"""),"")</f>
        <v/>
      </c>
    </row>
    <row r="835">
      <c r="B835" s="76" t="str">
        <f>IFERROR(__xludf.DUMMYFUNCTION("""COMPUTED_VALUE"""),"")</f>
        <v/>
      </c>
      <c r="C835" s="76" t="str">
        <f>IFERROR(__xludf.DUMMYFUNCTION("""COMPUTED_VALUE"""),"")</f>
        <v/>
      </c>
    </row>
    <row r="836">
      <c r="B836" s="76" t="str">
        <f>IFERROR(__xludf.DUMMYFUNCTION("""COMPUTED_VALUE"""),"")</f>
        <v/>
      </c>
      <c r="C836" s="76" t="str">
        <f>IFERROR(__xludf.DUMMYFUNCTION("""COMPUTED_VALUE"""),"")</f>
        <v/>
      </c>
    </row>
    <row r="837">
      <c r="B837" s="76" t="str">
        <f>IFERROR(__xludf.DUMMYFUNCTION("""COMPUTED_VALUE"""),"")</f>
        <v/>
      </c>
      <c r="C837" s="76" t="str">
        <f>IFERROR(__xludf.DUMMYFUNCTION("""COMPUTED_VALUE"""),"")</f>
        <v/>
      </c>
    </row>
    <row r="838">
      <c r="B838" s="76" t="str">
        <f>IFERROR(__xludf.DUMMYFUNCTION("""COMPUTED_VALUE"""),"")</f>
        <v/>
      </c>
      <c r="C838" s="76" t="str">
        <f>IFERROR(__xludf.DUMMYFUNCTION("""COMPUTED_VALUE"""),"")</f>
        <v/>
      </c>
    </row>
    <row r="839">
      <c r="B839" s="76" t="str">
        <f>IFERROR(__xludf.DUMMYFUNCTION("""COMPUTED_VALUE"""),"")</f>
        <v/>
      </c>
      <c r="C839" s="76" t="str">
        <f>IFERROR(__xludf.DUMMYFUNCTION("""COMPUTED_VALUE"""),"")</f>
        <v/>
      </c>
    </row>
    <row r="840">
      <c r="B840" s="76" t="str">
        <f>IFERROR(__xludf.DUMMYFUNCTION("""COMPUTED_VALUE"""),"")</f>
        <v/>
      </c>
      <c r="C840" s="76" t="str">
        <f>IFERROR(__xludf.DUMMYFUNCTION("""COMPUTED_VALUE"""),"")</f>
        <v/>
      </c>
    </row>
    <row r="841">
      <c r="B841" s="76" t="str">
        <f>IFERROR(__xludf.DUMMYFUNCTION("""COMPUTED_VALUE"""),"")</f>
        <v/>
      </c>
      <c r="C841" s="76" t="str">
        <f>IFERROR(__xludf.DUMMYFUNCTION("""COMPUTED_VALUE"""),"")</f>
        <v/>
      </c>
    </row>
    <row r="842">
      <c r="B842" s="76" t="str">
        <f>IFERROR(__xludf.DUMMYFUNCTION("""COMPUTED_VALUE"""),"")</f>
        <v/>
      </c>
      <c r="C842" s="76" t="str">
        <f>IFERROR(__xludf.DUMMYFUNCTION("""COMPUTED_VALUE"""),"")</f>
        <v/>
      </c>
    </row>
    <row r="843">
      <c r="B843" s="76" t="str">
        <f>IFERROR(__xludf.DUMMYFUNCTION("""COMPUTED_VALUE"""),"")</f>
        <v/>
      </c>
      <c r="C843" s="76" t="str">
        <f>IFERROR(__xludf.DUMMYFUNCTION("""COMPUTED_VALUE"""),"")</f>
        <v/>
      </c>
    </row>
    <row r="844">
      <c r="B844" s="76" t="str">
        <f>IFERROR(__xludf.DUMMYFUNCTION("""COMPUTED_VALUE"""),"")</f>
        <v/>
      </c>
      <c r="C844" s="76" t="str">
        <f>IFERROR(__xludf.DUMMYFUNCTION("""COMPUTED_VALUE"""),"")</f>
        <v/>
      </c>
    </row>
    <row r="845">
      <c r="B845" s="76" t="str">
        <f>IFERROR(__xludf.DUMMYFUNCTION("""COMPUTED_VALUE"""),"")</f>
        <v/>
      </c>
      <c r="C845" s="76" t="str">
        <f>IFERROR(__xludf.DUMMYFUNCTION("""COMPUTED_VALUE"""),"")</f>
        <v/>
      </c>
    </row>
    <row r="846">
      <c r="B846" s="76" t="str">
        <f>IFERROR(__xludf.DUMMYFUNCTION("""COMPUTED_VALUE"""),"")</f>
        <v/>
      </c>
      <c r="C846" s="76" t="str">
        <f>IFERROR(__xludf.DUMMYFUNCTION("""COMPUTED_VALUE"""),"")</f>
        <v/>
      </c>
    </row>
    <row r="847">
      <c r="B847" s="76" t="str">
        <f>IFERROR(__xludf.DUMMYFUNCTION("""COMPUTED_VALUE"""),"")</f>
        <v/>
      </c>
      <c r="C847" s="76" t="str">
        <f>IFERROR(__xludf.DUMMYFUNCTION("""COMPUTED_VALUE"""),"")</f>
        <v/>
      </c>
    </row>
    <row r="848">
      <c r="B848" s="76" t="str">
        <f>IFERROR(__xludf.DUMMYFUNCTION("""COMPUTED_VALUE"""),"")</f>
        <v/>
      </c>
      <c r="C848" s="76" t="str">
        <f>IFERROR(__xludf.DUMMYFUNCTION("""COMPUTED_VALUE"""),"")</f>
        <v/>
      </c>
    </row>
    <row r="849">
      <c r="B849" s="76" t="str">
        <f>IFERROR(__xludf.DUMMYFUNCTION("""COMPUTED_VALUE"""),"")</f>
        <v/>
      </c>
      <c r="C849" s="76" t="str">
        <f>IFERROR(__xludf.DUMMYFUNCTION("""COMPUTED_VALUE"""),"")</f>
        <v/>
      </c>
    </row>
    <row r="850">
      <c r="B850" s="76" t="str">
        <f>IFERROR(__xludf.DUMMYFUNCTION("""COMPUTED_VALUE"""),"")</f>
        <v/>
      </c>
      <c r="C850" s="76" t="str">
        <f>IFERROR(__xludf.DUMMYFUNCTION("""COMPUTED_VALUE"""),"")</f>
        <v/>
      </c>
    </row>
    <row r="851">
      <c r="B851" s="76" t="str">
        <f>IFERROR(__xludf.DUMMYFUNCTION("""COMPUTED_VALUE"""),"")</f>
        <v/>
      </c>
      <c r="C851" s="76" t="str">
        <f>IFERROR(__xludf.DUMMYFUNCTION("""COMPUTED_VALUE"""),"")</f>
        <v/>
      </c>
    </row>
    <row r="852">
      <c r="B852" s="76" t="str">
        <f>IFERROR(__xludf.DUMMYFUNCTION("""COMPUTED_VALUE"""),"")</f>
        <v/>
      </c>
      <c r="C852" s="76" t="str">
        <f>IFERROR(__xludf.DUMMYFUNCTION("""COMPUTED_VALUE"""),"")</f>
        <v/>
      </c>
    </row>
    <row r="853">
      <c r="B853" s="76" t="str">
        <f>IFERROR(__xludf.DUMMYFUNCTION("""COMPUTED_VALUE"""),"")</f>
        <v/>
      </c>
      <c r="C853" s="76" t="str">
        <f>IFERROR(__xludf.DUMMYFUNCTION("""COMPUTED_VALUE"""),"")</f>
        <v/>
      </c>
    </row>
    <row r="854">
      <c r="B854" s="76" t="str">
        <f>IFERROR(__xludf.DUMMYFUNCTION("""COMPUTED_VALUE"""),"")</f>
        <v/>
      </c>
      <c r="C854" s="76" t="str">
        <f>IFERROR(__xludf.DUMMYFUNCTION("""COMPUTED_VALUE"""),"")</f>
        <v/>
      </c>
    </row>
    <row r="855">
      <c r="B855" s="76" t="str">
        <f>IFERROR(__xludf.DUMMYFUNCTION("""COMPUTED_VALUE"""),"")</f>
        <v/>
      </c>
      <c r="C855" s="76" t="str">
        <f>IFERROR(__xludf.DUMMYFUNCTION("""COMPUTED_VALUE"""),"")</f>
        <v/>
      </c>
    </row>
    <row r="856">
      <c r="B856" s="76" t="str">
        <f>IFERROR(__xludf.DUMMYFUNCTION("""COMPUTED_VALUE"""),"")</f>
        <v/>
      </c>
      <c r="C856" s="76" t="str">
        <f>IFERROR(__xludf.DUMMYFUNCTION("""COMPUTED_VALUE"""),"")</f>
        <v/>
      </c>
    </row>
    <row r="857">
      <c r="B857" s="76" t="str">
        <f>IFERROR(__xludf.DUMMYFUNCTION("""COMPUTED_VALUE"""),"")</f>
        <v/>
      </c>
      <c r="C857" s="76" t="str">
        <f>IFERROR(__xludf.DUMMYFUNCTION("""COMPUTED_VALUE"""),"")</f>
        <v/>
      </c>
    </row>
    <row r="858">
      <c r="B858" s="76" t="str">
        <f>IFERROR(__xludf.DUMMYFUNCTION("""COMPUTED_VALUE"""),"")</f>
        <v/>
      </c>
      <c r="C858" s="76" t="str">
        <f>IFERROR(__xludf.DUMMYFUNCTION("""COMPUTED_VALUE"""),"")</f>
        <v/>
      </c>
    </row>
    <row r="859">
      <c r="B859" s="76" t="str">
        <f>IFERROR(__xludf.DUMMYFUNCTION("""COMPUTED_VALUE"""),"")</f>
        <v/>
      </c>
      <c r="C859" s="76" t="str">
        <f>IFERROR(__xludf.DUMMYFUNCTION("""COMPUTED_VALUE"""),"")</f>
        <v/>
      </c>
    </row>
    <row r="860">
      <c r="B860" s="76" t="str">
        <f>IFERROR(__xludf.DUMMYFUNCTION("""COMPUTED_VALUE"""),"")</f>
        <v/>
      </c>
      <c r="C860" s="76" t="str">
        <f>IFERROR(__xludf.DUMMYFUNCTION("""COMPUTED_VALUE"""),"")</f>
        <v/>
      </c>
    </row>
    <row r="861">
      <c r="B861" s="76" t="str">
        <f>IFERROR(__xludf.DUMMYFUNCTION("""COMPUTED_VALUE"""),"")</f>
        <v/>
      </c>
      <c r="C861" s="76" t="str">
        <f>IFERROR(__xludf.DUMMYFUNCTION("""COMPUTED_VALUE"""),"")</f>
        <v/>
      </c>
    </row>
    <row r="862">
      <c r="B862" s="76" t="str">
        <f>IFERROR(__xludf.DUMMYFUNCTION("""COMPUTED_VALUE"""),"")</f>
        <v/>
      </c>
      <c r="C862" s="76" t="str">
        <f>IFERROR(__xludf.DUMMYFUNCTION("""COMPUTED_VALUE"""),"")</f>
        <v/>
      </c>
    </row>
    <row r="863">
      <c r="B863" s="76" t="str">
        <f>IFERROR(__xludf.DUMMYFUNCTION("""COMPUTED_VALUE"""),"")</f>
        <v/>
      </c>
      <c r="C863" s="76" t="str">
        <f>IFERROR(__xludf.DUMMYFUNCTION("""COMPUTED_VALUE"""),"")</f>
        <v/>
      </c>
    </row>
    <row r="864">
      <c r="B864" s="76" t="str">
        <f>IFERROR(__xludf.DUMMYFUNCTION("""COMPUTED_VALUE"""),"")</f>
        <v/>
      </c>
      <c r="C864" s="76" t="str">
        <f>IFERROR(__xludf.DUMMYFUNCTION("""COMPUTED_VALUE"""),"")</f>
        <v/>
      </c>
    </row>
    <row r="865">
      <c r="B865" s="76" t="str">
        <f>IFERROR(__xludf.DUMMYFUNCTION("""COMPUTED_VALUE"""),"")</f>
        <v/>
      </c>
      <c r="C865" s="76" t="str">
        <f>IFERROR(__xludf.DUMMYFUNCTION("""COMPUTED_VALUE"""),"")</f>
        <v/>
      </c>
    </row>
    <row r="866">
      <c r="B866" s="76" t="str">
        <f>IFERROR(__xludf.DUMMYFUNCTION("""COMPUTED_VALUE"""),"")</f>
        <v/>
      </c>
      <c r="C866" s="76" t="str">
        <f>IFERROR(__xludf.DUMMYFUNCTION("""COMPUTED_VALUE"""),"")</f>
        <v/>
      </c>
    </row>
    <row r="867">
      <c r="B867" s="76" t="str">
        <f>IFERROR(__xludf.DUMMYFUNCTION("""COMPUTED_VALUE"""),"")</f>
        <v/>
      </c>
      <c r="C867" s="76" t="str">
        <f>IFERROR(__xludf.DUMMYFUNCTION("""COMPUTED_VALUE"""),"")</f>
        <v/>
      </c>
    </row>
    <row r="868">
      <c r="B868" s="76" t="str">
        <f>IFERROR(__xludf.DUMMYFUNCTION("""COMPUTED_VALUE"""),"")</f>
        <v/>
      </c>
      <c r="C868" s="76" t="str">
        <f>IFERROR(__xludf.DUMMYFUNCTION("""COMPUTED_VALUE"""),"")</f>
        <v/>
      </c>
    </row>
    <row r="869">
      <c r="B869" s="76" t="str">
        <f>IFERROR(__xludf.DUMMYFUNCTION("""COMPUTED_VALUE"""),"")</f>
        <v/>
      </c>
      <c r="C869" s="76" t="str">
        <f>IFERROR(__xludf.DUMMYFUNCTION("""COMPUTED_VALUE"""),"")</f>
        <v/>
      </c>
    </row>
    <row r="870">
      <c r="B870" s="76" t="str">
        <f>IFERROR(__xludf.DUMMYFUNCTION("""COMPUTED_VALUE"""),"")</f>
        <v/>
      </c>
      <c r="C870" s="76" t="str">
        <f>IFERROR(__xludf.DUMMYFUNCTION("""COMPUTED_VALUE"""),"")</f>
        <v/>
      </c>
    </row>
    <row r="871">
      <c r="B871" s="76" t="str">
        <f>IFERROR(__xludf.DUMMYFUNCTION("""COMPUTED_VALUE"""),"")</f>
        <v/>
      </c>
      <c r="C871" s="76" t="str">
        <f>IFERROR(__xludf.DUMMYFUNCTION("""COMPUTED_VALUE"""),"")</f>
        <v/>
      </c>
    </row>
    <row r="872">
      <c r="B872" s="76" t="str">
        <f>IFERROR(__xludf.DUMMYFUNCTION("""COMPUTED_VALUE"""),"")</f>
        <v/>
      </c>
      <c r="C872" s="76" t="str">
        <f>IFERROR(__xludf.DUMMYFUNCTION("""COMPUTED_VALUE"""),"")</f>
        <v/>
      </c>
    </row>
    <row r="873">
      <c r="B873" s="76" t="str">
        <f>IFERROR(__xludf.DUMMYFUNCTION("""COMPUTED_VALUE"""),"")</f>
        <v/>
      </c>
      <c r="C873" s="76" t="str">
        <f>IFERROR(__xludf.DUMMYFUNCTION("""COMPUTED_VALUE"""),"")</f>
        <v/>
      </c>
    </row>
    <row r="874">
      <c r="B874" s="76" t="str">
        <f>IFERROR(__xludf.DUMMYFUNCTION("""COMPUTED_VALUE"""),"")</f>
        <v/>
      </c>
      <c r="C874" s="76" t="str">
        <f>IFERROR(__xludf.DUMMYFUNCTION("""COMPUTED_VALUE"""),"")</f>
        <v/>
      </c>
    </row>
    <row r="875">
      <c r="B875" s="76" t="str">
        <f>IFERROR(__xludf.DUMMYFUNCTION("""COMPUTED_VALUE"""),"")</f>
        <v/>
      </c>
      <c r="C875" s="76" t="str">
        <f>IFERROR(__xludf.DUMMYFUNCTION("""COMPUTED_VALUE"""),"")</f>
        <v/>
      </c>
    </row>
    <row r="876">
      <c r="B876" s="76" t="str">
        <f>IFERROR(__xludf.DUMMYFUNCTION("""COMPUTED_VALUE"""),"")</f>
        <v/>
      </c>
      <c r="C876" s="76" t="str">
        <f>IFERROR(__xludf.DUMMYFUNCTION("""COMPUTED_VALUE"""),"")</f>
        <v/>
      </c>
    </row>
    <row r="877">
      <c r="B877" s="76" t="str">
        <f>IFERROR(__xludf.DUMMYFUNCTION("""COMPUTED_VALUE"""),"")</f>
        <v/>
      </c>
      <c r="C877" s="76" t="str">
        <f>IFERROR(__xludf.DUMMYFUNCTION("""COMPUTED_VALUE"""),"")</f>
        <v/>
      </c>
    </row>
    <row r="878">
      <c r="B878" s="76" t="str">
        <f>IFERROR(__xludf.DUMMYFUNCTION("""COMPUTED_VALUE"""),"")</f>
        <v/>
      </c>
      <c r="C878" s="76" t="str">
        <f>IFERROR(__xludf.DUMMYFUNCTION("""COMPUTED_VALUE"""),"")</f>
        <v/>
      </c>
    </row>
    <row r="879">
      <c r="B879" s="76" t="str">
        <f>IFERROR(__xludf.DUMMYFUNCTION("""COMPUTED_VALUE"""),"")</f>
        <v/>
      </c>
      <c r="C879" s="76" t="str">
        <f>IFERROR(__xludf.DUMMYFUNCTION("""COMPUTED_VALUE"""),"")</f>
        <v/>
      </c>
    </row>
    <row r="880">
      <c r="B880" s="76" t="str">
        <f>IFERROR(__xludf.DUMMYFUNCTION("""COMPUTED_VALUE"""),"")</f>
        <v/>
      </c>
      <c r="C880" s="76" t="str">
        <f>IFERROR(__xludf.DUMMYFUNCTION("""COMPUTED_VALUE"""),"")</f>
        <v/>
      </c>
    </row>
    <row r="881">
      <c r="B881" s="76" t="str">
        <f>IFERROR(__xludf.DUMMYFUNCTION("""COMPUTED_VALUE"""),"")</f>
        <v/>
      </c>
      <c r="C881" s="76" t="str">
        <f>IFERROR(__xludf.DUMMYFUNCTION("""COMPUTED_VALUE"""),"")</f>
        <v/>
      </c>
    </row>
    <row r="882">
      <c r="B882" s="76" t="str">
        <f>IFERROR(__xludf.DUMMYFUNCTION("""COMPUTED_VALUE"""),"")</f>
        <v/>
      </c>
      <c r="C882" s="76" t="str">
        <f>IFERROR(__xludf.DUMMYFUNCTION("""COMPUTED_VALUE"""),"")</f>
        <v/>
      </c>
    </row>
    <row r="883">
      <c r="B883" s="76" t="str">
        <f>IFERROR(__xludf.DUMMYFUNCTION("""COMPUTED_VALUE"""),"")</f>
        <v/>
      </c>
      <c r="C883" s="76" t="str">
        <f>IFERROR(__xludf.DUMMYFUNCTION("""COMPUTED_VALUE"""),"")</f>
        <v/>
      </c>
    </row>
    <row r="884">
      <c r="B884" s="76" t="str">
        <f>IFERROR(__xludf.DUMMYFUNCTION("""COMPUTED_VALUE"""),"")</f>
        <v/>
      </c>
      <c r="C884" s="76" t="str">
        <f>IFERROR(__xludf.DUMMYFUNCTION("""COMPUTED_VALUE"""),"")</f>
        <v/>
      </c>
    </row>
    <row r="885">
      <c r="B885" s="76" t="str">
        <f>IFERROR(__xludf.DUMMYFUNCTION("""COMPUTED_VALUE"""),"")</f>
        <v/>
      </c>
      <c r="C885" s="76" t="str">
        <f>IFERROR(__xludf.DUMMYFUNCTION("""COMPUTED_VALUE"""),"")</f>
        <v/>
      </c>
    </row>
    <row r="886">
      <c r="B886" s="76" t="str">
        <f>IFERROR(__xludf.DUMMYFUNCTION("""COMPUTED_VALUE"""),"")</f>
        <v/>
      </c>
      <c r="C886" s="76" t="str">
        <f>IFERROR(__xludf.DUMMYFUNCTION("""COMPUTED_VALUE"""),"")</f>
        <v/>
      </c>
    </row>
    <row r="887">
      <c r="B887" s="76" t="str">
        <f>IFERROR(__xludf.DUMMYFUNCTION("""COMPUTED_VALUE"""),"")</f>
        <v/>
      </c>
      <c r="C887" s="76" t="str">
        <f>IFERROR(__xludf.DUMMYFUNCTION("""COMPUTED_VALUE"""),"")</f>
        <v/>
      </c>
    </row>
    <row r="888">
      <c r="B888" s="76" t="str">
        <f>IFERROR(__xludf.DUMMYFUNCTION("""COMPUTED_VALUE"""),"")</f>
        <v/>
      </c>
      <c r="C888" s="76" t="str">
        <f>IFERROR(__xludf.DUMMYFUNCTION("""COMPUTED_VALUE"""),"")</f>
        <v/>
      </c>
    </row>
    <row r="889">
      <c r="B889" s="76" t="str">
        <f>IFERROR(__xludf.DUMMYFUNCTION("""COMPUTED_VALUE"""),"")</f>
        <v/>
      </c>
      <c r="C889" s="76" t="str">
        <f>IFERROR(__xludf.DUMMYFUNCTION("""COMPUTED_VALUE"""),"")</f>
        <v/>
      </c>
    </row>
    <row r="890">
      <c r="B890" s="76" t="str">
        <f>IFERROR(__xludf.DUMMYFUNCTION("""COMPUTED_VALUE"""),"")</f>
        <v/>
      </c>
      <c r="C890" s="76" t="str">
        <f>IFERROR(__xludf.DUMMYFUNCTION("""COMPUTED_VALUE"""),"")</f>
        <v/>
      </c>
    </row>
    <row r="891">
      <c r="B891" s="76" t="str">
        <f>IFERROR(__xludf.DUMMYFUNCTION("""COMPUTED_VALUE"""),"")</f>
        <v/>
      </c>
      <c r="C891" s="76" t="str">
        <f>IFERROR(__xludf.DUMMYFUNCTION("""COMPUTED_VALUE"""),"")</f>
        <v/>
      </c>
    </row>
    <row r="892">
      <c r="B892" s="76" t="str">
        <f>IFERROR(__xludf.DUMMYFUNCTION("""COMPUTED_VALUE"""),"")</f>
        <v/>
      </c>
      <c r="C892" s="76" t="str">
        <f>IFERROR(__xludf.DUMMYFUNCTION("""COMPUTED_VALUE"""),"")</f>
        <v/>
      </c>
    </row>
    <row r="893">
      <c r="B893" s="76" t="str">
        <f>IFERROR(__xludf.DUMMYFUNCTION("""COMPUTED_VALUE"""),"")</f>
        <v/>
      </c>
      <c r="C893" s="76" t="str">
        <f>IFERROR(__xludf.DUMMYFUNCTION("""COMPUTED_VALUE"""),"")</f>
        <v/>
      </c>
    </row>
    <row r="894">
      <c r="B894" s="76" t="str">
        <f>IFERROR(__xludf.DUMMYFUNCTION("""COMPUTED_VALUE"""),"")</f>
        <v/>
      </c>
      <c r="C894" s="76" t="str">
        <f>IFERROR(__xludf.DUMMYFUNCTION("""COMPUTED_VALUE"""),"")</f>
        <v/>
      </c>
    </row>
    <row r="895">
      <c r="B895" s="76" t="str">
        <f>IFERROR(__xludf.DUMMYFUNCTION("""COMPUTED_VALUE"""),"")</f>
        <v/>
      </c>
      <c r="C895" s="76" t="str">
        <f>IFERROR(__xludf.DUMMYFUNCTION("""COMPUTED_VALUE"""),"")</f>
        <v/>
      </c>
    </row>
    <row r="896">
      <c r="B896" s="76" t="str">
        <f>IFERROR(__xludf.DUMMYFUNCTION("""COMPUTED_VALUE"""),"")</f>
        <v/>
      </c>
      <c r="C896" s="76" t="str">
        <f>IFERROR(__xludf.DUMMYFUNCTION("""COMPUTED_VALUE"""),"")</f>
        <v/>
      </c>
    </row>
    <row r="897">
      <c r="B897" s="76" t="str">
        <f>IFERROR(__xludf.DUMMYFUNCTION("""COMPUTED_VALUE"""),"")</f>
        <v/>
      </c>
      <c r="C897" s="76" t="str">
        <f>IFERROR(__xludf.DUMMYFUNCTION("""COMPUTED_VALUE"""),"")</f>
        <v/>
      </c>
    </row>
    <row r="898">
      <c r="B898" s="76" t="str">
        <f>IFERROR(__xludf.DUMMYFUNCTION("""COMPUTED_VALUE"""),"")</f>
        <v/>
      </c>
      <c r="C898" s="76" t="str">
        <f>IFERROR(__xludf.DUMMYFUNCTION("""COMPUTED_VALUE"""),"")</f>
        <v/>
      </c>
    </row>
    <row r="899">
      <c r="B899" s="76" t="str">
        <f>IFERROR(__xludf.DUMMYFUNCTION("""COMPUTED_VALUE"""),"")</f>
        <v/>
      </c>
      <c r="C899" s="76" t="str">
        <f>IFERROR(__xludf.DUMMYFUNCTION("""COMPUTED_VALUE"""),"")</f>
        <v/>
      </c>
    </row>
    <row r="900">
      <c r="B900" s="76" t="str">
        <f>IFERROR(__xludf.DUMMYFUNCTION("""COMPUTED_VALUE"""),"")</f>
        <v/>
      </c>
      <c r="C900" s="76" t="str">
        <f>IFERROR(__xludf.DUMMYFUNCTION("""COMPUTED_VALUE"""),"")</f>
        <v/>
      </c>
    </row>
    <row r="901">
      <c r="B901" s="76" t="str">
        <f>IFERROR(__xludf.DUMMYFUNCTION("""COMPUTED_VALUE"""),"")</f>
        <v/>
      </c>
      <c r="C901" s="76" t="str">
        <f>IFERROR(__xludf.DUMMYFUNCTION("""COMPUTED_VALUE"""),"")</f>
        <v/>
      </c>
    </row>
    <row r="902">
      <c r="B902" s="76" t="str">
        <f>IFERROR(__xludf.DUMMYFUNCTION("""COMPUTED_VALUE"""),"")</f>
        <v/>
      </c>
      <c r="C902" s="76" t="str">
        <f>IFERROR(__xludf.DUMMYFUNCTION("""COMPUTED_VALUE"""),"")</f>
        <v/>
      </c>
    </row>
    <row r="903">
      <c r="B903" s="76" t="str">
        <f>IFERROR(__xludf.DUMMYFUNCTION("""COMPUTED_VALUE"""),"")</f>
        <v/>
      </c>
      <c r="C903" s="76" t="str">
        <f>IFERROR(__xludf.DUMMYFUNCTION("""COMPUTED_VALUE"""),"")</f>
        <v/>
      </c>
    </row>
    <row r="904">
      <c r="B904" s="76" t="str">
        <f>IFERROR(__xludf.DUMMYFUNCTION("""COMPUTED_VALUE"""),"")</f>
        <v/>
      </c>
      <c r="C904" s="76" t="str">
        <f>IFERROR(__xludf.DUMMYFUNCTION("""COMPUTED_VALUE"""),"")</f>
        <v/>
      </c>
    </row>
    <row r="905">
      <c r="B905" s="76" t="str">
        <f>IFERROR(__xludf.DUMMYFUNCTION("""COMPUTED_VALUE"""),"")</f>
        <v/>
      </c>
      <c r="C905" s="76" t="str">
        <f>IFERROR(__xludf.DUMMYFUNCTION("""COMPUTED_VALUE"""),"")</f>
        <v/>
      </c>
    </row>
    <row r="906">
      <c r="B906" s="76" t="str">
        <f>IFERROR(__xludf.DUMMYFUNCTION("""COMPUTED_VALUE"""),"")</f>
        <v/>
      </c>
      <c r="C906" s="76" t="str">
        <f>IFERROR(__xludf.DUMMYFUNCTION("""COMPUTED_VALUE"""),"")</f>
        <v/>
      </c>
    </row>
    <row r="907">
      <c r="B907" s="76" t="str">
        <f>IFERROR(__xludf.DUMMYFUNCTION("""COMPUTED_VALUE"""),"")</f>
        <v/>
      </c>
      <c r="C907" s="76" t="str">
        <f>IFERROR(__xludf.DUMMYFUNCTION("""COMPUTED_VALUE"""),"")</f>
        <v/>
      </c>
    </row>
    <row r="908">
      <c r="B908" s="76" t="str">
        <f>IFERROR(__xludf.DUMMYFUNCTION("""COMPUTED_VALUE"""),"")</f>
        <v/>
      </c>
      <c r="C908" s="76" t="str">
        <f>IFERROR(__xludf.DUMMYFUNCTION("""COMPUTED_VALUE"""),"")</f>
        <v/>
      </c>
    </row>
    <row r="909">
      <c r="B909" s="76" t="str">
        <f>IFERROR(__xludf.DUMMYFUNCTION("""COMPUTED_VALUE"""),"")</f>
        <v/>
      </c>
      <c r="C909" s="76" t="str">
        <f>IFERROR(__xludf.DUMMYFUNCTION("""COMPUTED_VALUE"""),"")</f>
        <v/>
      </c>
    </row>
    <row r="910">
      <c r="B910" s="76" t="str">
        <f>IFERROR(__xludf.DUMMYFUNCTION("""COMPUTED_VALUE"""),"")</f>
        <v/>
      </c>
      <c r="C910" s="76" t="str">
        <f>IFERROR(__xludf.DUMMYFUNCTION("""COMPUTED_VALUE"""),"")</f>
        <v/>
      </c>
    </row>
    <row r="911">
      <c r="B911" s="76" t="str">
        <f>IFERROR(__xludf.DUMMYFUNCTION("""COMPUTED_VALUE"""),"")</f>
        <v/>
      </c>
      <c r="C911" s="76" t="str">
        <f>IFERROR(__xludf.DUMMYFUNCTION("""COMPUTED_VALUE"""),"")</f>
        <v/>
      </c>
    </row>
    <row r="912">
      <c r="B912" s="76" t="str">
        <f>IFERROR(__xludf.DUMMYFUNCTION("""COMPUTED_VALUE"""),"")</f>
        <v/>
      </c>
      <c r="C912" s="76" t="str">
        <f>IFERROR(__xludf.DUMMYFUNCTION("""COMPUTED_VALUE"""),"")</f>
        <v/>
      </c>
    </row>
    <row r="913">
      <c r="B913" s="76" t="str">
        <f>IFERROR(__xludf.DUMMYFUNCTION("""COMPUTED_VALUE"""),"")</f>
        <v/>
      </c>
      <c r="C913" s="76" t="str">
        <f>IFERROR(__xludf.DUMMYFUNCTION("""COMPUTED_VALUE"""),"")</f>
        <v/>
      </c>
    </row>
    <row r="914">
      <c r="B914" s="76" t="str">
        <f>IFERROR(__xludf.DUMMYFUNCTION("""COMPUTED_VALUE"""),"")</f>
        <v/>
      </c>
      <c r="C914" s="76" t="str">
        <f>IFERROR(__xludf.DUMMYFUNCTION("""COMPUTED_VALUE"""),"")</f>
        <v/>
      </c>
    </row>
    <row r="915">
      <c r="B915" s="76" t="str">
        <f>IFERROR(__xludf.DUMMYFUNCTION("""COMPUTED_VALUE"""),"")</f>
        <v/>
      </c>
      <c r="C915" s="76" t="str">
        <f>IFERROR(__xludf.DUMMYFUNCTION("""COMPUTED_VALUE"""),"")</f>
        <v/>
      </c>
    </row>
    <row r="916">
      <c r="B916" s="76" t="str">
        <f>IFERROR(__xludf.DUMMYFUNCTION("""COMPUTED_VALUE"""),"")</f>
        <v/>
      </c>
      <c r="C916" s="76" t="str">
        <f>IFERROR(__xludf.DUMMYFUNCTION("""COMPUTED_VALUE"""),"")</f>
        <v/>
      </c>
    </row>
    <row r="917">
      <c r="B917" s="76" t="str">
        <f>IFERROR(__xludf.DUMMYFUNCTION("""COMPUTED_VALUE"""),"")</f>
        <v/>
      </c>
      <c r="C917" s="76" t="str">
        <f>IFERROR(__xludf.DUMMYFUNCTION("""COMPUTED_VALUE"""),"")</f>
        <v/>
      </c>
    </row>
    <row r="918">
      <c r="B918" s="76" t="str">
        <f>IFERROR(__xludf.DUMMYFUNCTION("""COMPUTED_VALUE"""),"")</f>
        <v/>
      </c>
      <c r="C918" s="76" t="str">
        <f>IFERROR(__xludf.DUMMYFUNCTION("""COMPUTED_VALUE"""),"")</f>
        <v/>
      </c>
    </row>
    <row r="919">
      <c r="B919" s="76" t="str">
        <f>IFERROR(__xludf.DUMMYFUNCTION("""COMPUTED_VALUE"""),"")</f>
        <v/>
      </c>
      <c r="C919" s="76" t="str">
        <f>IFERROR(__xludf.DUMMYFUNCTION("""COMPUTED_VALUE"""),"")</f>
        <v/>
      </c>
    </row>
    <row r="920">
      <c r="B920" s="76" t="str">
        <f>IFERROR(__xludf.DUMMYFUNCTION("""COMPUTED_VALUE"""),"")</f>
        <v/>
      </c>
      <c r="C920" s="76" t="str">
        <f>IFERROR(__xludf.DUMMYFUNCTION("""COMPUTED_VALUE"""),"")</f>
        <v/>
      </c>
    </row>
    <row r="921">
      <c r="B921" s="76" t="str">
        <f>IFERROR(__xludf.DUMMYFUNCTION("""COMPUTED_VALUE"""),"")</f>
        <v/>
      </c>
      <c r="C921" s="76" t="str">
        <f>IFERROR(__xludf.DUMMYFUNCTION("""COMPUTED_VALUE"""),"")</f>
        <v/>
      </c>
    </row>
    <row r="922">
      <c r="B922" s="76" t="str">
        <f>IFERROR(__xludf.DUMMYFUNCTION("""COMPUTED_VALUE"""),"")</f>
        <v/>
      </c>
      <c r="C922" s="76" t="str">
        <f>IFERROR(__xludf.DUMMYFUNCTION("""COMPUTED_VALUE"""),"")</f>
        <v/>
      </c>
    </row>
    <row r="923">
      <c r="B923" s="76" t="str">
        <f>IFERROR(__xludf.DUMMYFUNCTION("""COMPUTED_VALUE"""),"")</f>
        <v/>
      </c>
      <c r="C923" s="76" t="str">
        <f>IFERROR(__xludf.DUMMYFUNCTION("""COMPUTED_VALUE"""),"")</f>
        <v/>
      </c>
    </row>
    <row r="924">
      <c r="B924" s="76" t="str">
        <f>IFERROR(__xludf.DUMMYFUNCTION("""COMPUTED_VALUE"""),"")</f>
        <v/>
      </c>
      <c r="C924" s="76" t="str">
        <f>IFERROR(__xludf.DUMMYFUNCTION("""COMPUTED_VALUE"""),"")</f>
        <v/>
      </c>
    </row>
    <row r="925">
      <c r="B925" s="76" t="str">
        <f>IFERROR(__xludf.DUMMYFUNCTION("""COMPUTED_VALUE"""),"")</f>
        <v/>
      </c>
      <c r="C925" s="76" t="str">
        <f>IFERROR(__xludf.DUMMYFUNCTION("""COMPUTED_VALUE"""),"")</f>
        <v/>
      </c>
    </row>
    <row r="926">
      <c r="B926" s="76" t="str">
        <f>IFERROR(__xludf.DUMMYFUNCTION("""COMPUTED_VALUE"""),"")</f>
        <v/>
      </c>
      <c r="C926" s="76" t="str">
        <f>IFERROR(__xludf.DUMMYFUNCTION("""COMPUTED_VALUE"""),"")</f>
        <v/>
      </c>
    </row>
    <row r="927">
      <c r="B927" s="76" t="str">
        <f>IFERROR(__xludf.DUMMYFUNCTION("""COMPUTED_VALUE"""),"")</f>
        <v/>
      </c>
      <c r="C927" s="76" t="str">
        <f>IFERROR(__xludf.DUMMYFUNCTION("""COMPUTED_VALUE"""),"")</f>
        <v/>
      </c>
    </row>
    <row r="928">
      <c r="B928" s="76" t="str">
        <f>IFERROR(__xludf.DUMMYFUNCTION("""COMPUTED_VALUE"""),"")</f>
        <v/>
      </c>
      <c r="C928" s="76" t="str">
        <f>IFERROR(__xludf.DUMMYFUNCTION("""COMPUTED_VALUE"""),"")</f>
        <v/>
      </c>
    </row>
    <row r="929">
      <c r="B929" s="76" t="str">
        <f>IFERROR(__xludf.DUMMYFUNCTION("""COMPUTED_VALUE"""),"")</f>
        <v/>
      </c>
      <c r="C929" s="76" t="str">
        <f>IFERROR(__xludf.DUMMYFUNCTION("""COMPUTED_VALUE"""),"")</f>
        <v/>
      </c>
    </row>
    <row r="930">
      <c r="B930" s="76" t="str">
        <f>IFERROR(__xludf.DUMMYFUNCTION("""COMPUTED_VALUE"""),"")</f>
        <v/>
      </c>
      <c r="C930" s="76" t="str">
        <f>IFERROR(__xludf.DUMMYFUNCTION("""COMPUTED_VALUE"""),"")</f>
        <v/>
      </c>
    </row>
    <row r="931">
      <c r="B931" s="76" t="str">
        <f>IFERROR(__xludf.DUMMYFUNCTION("""COMPUTED_VALUE"""),"")</f>
        <v/>
      </c>
      <c r="C931" s="76" t="str">
        <f>IFERROR(__xludf.DUMMYFUNCTION("""COMPUTED_VALUE"""),"")</f>
        <v/>
      </c>
    </row>
    <row r="932">
      <c r="B932" s="76" t="str">
        <f>IFERROR(__xludf.DUMMYFUNCTION("""COMPUTED_VALUE"""),"")</f>
        <v/>
      </c>
      <c r="C932" s="76" t="str">
        <f>IFERROR(__xludf.DUMMYFUNCTION("""COMPUTED_VALUE"""),"")</f>
        <v/>
      </c>
    </row>
    <row r="933">
      <c r="B933" s="76" t="str">
        <f>IFERROR(__xludf.DUMMYFUNCTION("""COMPUTED_VALUE"""),"")</f>
        <v/>
      </c>
      <c r="C933" s="76" t="str">
        <f>IFERROR(__xludf.DUMMYFUNCTION("""COMPUTED_VALUE"""),"")</f>
        <v/>
      </c>
    </row>
    <row r="934">
      <c r="B934" s="76" t="str">
        <f>IFERROR(__xludf.DUMMYFUNCTION("""COMPUTED_VALUE"""),"")</f>
        <v/>
      </c>
      <c r="C934" s="76" t="str">
        <f>IFERROR(__xludf.DUMMYFUNCTION("""COMPUTED_VALUE"""),"")</f>
        <v/>
      </c>
    </row>
    <row r="935">
      <c r="B935" s="76" t="str">
        <f>IFERROR(__xludf.DUMMYFUNCTION("""COMPUTED_VALUE"""),"")</f>
        <v/>
      </c>
      <c r="C935" s="76" t="str">
        <f>IFERROR(__xludf.DUMMYFUNCTION("""COMPUTED_VALUE"""),"")</f>
        <v/>
      </c>
    </row>
    <row r="936">
      <c r="B936" s="76" t="str">
        <f>IFERROR(__xludf.DUMMYFUNCTION("""COMPUTED_VALUE"""),"")</f>
        <v/>
      </c>
      <c r="C936" s="76" t="str">
        <f>IFERROR(__xludf.DUMMYFUNCTION("""COMPUTED_VALUE"""),"")</f>
        <v/>
      </c>
    </row>
    <row r="937">
      <c r="B937" s="76" t="str">
        <f>IFERROR(__xludf.DUMMYFUNCTION("""COMPUTED_VALUE"""),"")</f>
        <v/>
      </c>
      <c r="C937" s="76" t="str">
        <f>IFERROR(__xludf.DUMMYFUNCTION("""COMPUTED_VALUE"""),"")</f>
        <v/>
      </c>
    </row>
    <row r="938">
      <c r="B938" s="76" t="str">
        <f>IFERROR(__xludf.DUMMYFUNCTION("""COMPUTED_VALUE"""),"")</f>
        <v/>
      </c>
      <c r="C938" s="76" t="str">
        <f>IFERROR(__xludf.DUMMYFUNCTION("""COMPUTED_VALUE"""),"")</f>
        <v/>
      </c>
    </row>
    <row r="939">
      <c r="B939" s="76" t="str">
        <f>IFERROR(__xludf.DUMMYFUNCTION("""COMPUTED_VALUE"""),"")</f>
        <v/>
      </c>
      <c r="C939" s="76" t="str">
        <f>IFERROR(__xludf.DUMMYFUNCTION("""COMPUTED_VALUE"""),"")</f>
        <v/>
      </c>
    </row>
    <row r="940">
      <c r="B940" s="76" t="str">
        <f>IFERROR(__xludf.DUMMYFUNCTION("""COMPUTED_VALUE"""),"")</f>
        <v/>
      </c>
      <c r="C940" s="76" t="str">
        <f>IFERROR(__xludf.DUMMYFUNCTION("""COMPUTED_VALUE"""),"")</f>
        <v/>
      </c>
    </row>
    <row r="941">
      <c r="B941" s="76" t="str">
        <f>IFERROR(__xludf.DUMMYFUNCTION("""COMPUTED_VALUE"""),"")</f>
        <v/>
      </c>
      <c r="C941" s="76" t="str">
        <f>IFERROR(__xludf.DUMMYFUNCTION("""COMPUTED_VALUE"""),"")</f>
        <v/>
      </c>
    </row>
    <row r="942">
      <c r="B942" s="76" t="str">
        <f>IFERROR(__xludf.DUMMYFUNCTION("""COMPUTED_VALUE"""),"")</f>
        <v/>
      </c>
      <c r="C942" s="76" t="str">
        <f>IFERROR(__xludf.DUMMYFUNCTION("""COMPUTED_VALUE"""),"")</f>
        <v/>
      </c>
    </row>
    <row r="943">
      <c r="B943" s="76" t="str">
        <f>IFERROR(__xludf.DUMMYFUNCTION("""COMPUTED_VALUE"""),"")</f>
        <v/>
      </c>
      <c r="C943" s="76" t="str">
        <f>IFERROR(__xludf.DUMMYFUNCTION("""COMPUTED_VALUE"""),"")</f>
        <v/>
      </c>
    </row>
    <row r="944">
      <c r="B944" s="76" t="str">
        <f>IFERROR(__xludf.DUMMYFUNCTION("""COMPUTED_VALUE"""),"")</f>
        <v/>
      </c>
      <c r="C944" s="76" t="str">
        <f>IFERROR(__xludf.DUMMYFUNCTION("""COMPUTED_VALUE"""),"")</f>
        <v/>
      </c>
    </row>
    <row r="945">
      <c r="B945" s="76" t="str">
        <f>IFERROR(__xludf.DUMMYFUNCTION("""COMPUTED_VALUE"""),"")</f>
        <v/>
      </c>
      <c r="C945" s="76" t="str">
        <f>IFERROR(__xludf.DUMMYFUNCTION("""COMPUTED_VALUE"""),"")</f>
        <v/>
      </c>
    </row>
    <row r="946">
      <c r="B946" s="76" t="str">
        <f>IFERROR(__xludf.DUMMYFUNCTION("""COMPUTED_VALUE"""),"")</f>
        <v/>
      </c>
      <c r="C946" s="76" t="str">
        <f>IFERROR(__xludf.DUMMYFUNCTION("""COMPUTED_VALUE"""),"")</f>
        <v/>
      </c>
    </row>
    <row r="947">
      <c r="B947" s="76" t="str">
        <f>IFERROR(__xludf.DUMMYFUNCTION("""COMPUTED_VALUE"""),"")</f>
        <v/>
      </c>
      <c r="C947" s="76" t="str">
        <f>IFERROR(__xludf.DUMMYFUNCTION("""COMPUTED_VALUE"""),"")</f>
        <v/>
      </c>
    </row>
    <row r="948">
      <c r="B948" s="76" t="str">
        <f>IFERROR(__xludf.DUMMYFUNCTION("""COMPUTED_VALUE"""),"")</f>
        <v/>
      </c>
      <c r="C948" s="76" t="str">
        <f>IFERROR(__xludf.DUMMYFUNCTION("""COMPUTED_VALUE"""),"")</f>
        <v/>
      </c>
    </row>
    <row r="949">
      <c r="B949" s="76" t="str">
        <f>IFERROR(__xludf.DUMMYFUNCTION("""COMPUTED_VALUE"""),"")</f>
        <v/>
      </c>
      <c r="C949" s="76" t="str">
        <f>IFERROR(__xludf.DUMMYFUNCTION("""COMPUTED_VALUE"""),"")</f>
        <v/>
      </c>
    </row>
    <row r="950">
      <c r="B950" s="76" t="str">
        <f>IFERROR(__xludf.DUMMYFUNCTION("""COMPUTED_VALUE"""),"")</f>
        <v/>
      </c>
      <c r="C950" s="76" t="str">
        <f>IFERROR(__xludf.DUMMYFUNCTION("""COMPUTED_VALUE"""),"")</f>
        <v/>
      </c>
    </row>
    <row r="951">
      <c r="B951" s="76" t="str">
        <f>IFERROR(__xludf.DUMMYFUNCTION("""COMPUTED_VALUE"""),"")</f>
        <v/>
      </c>
      <c r="C951" s="76" t="str">
        <f>IFERROR(__xludf.DUMMYFUNCTION("""COMPUTED_VALUE"""),"")</f>
        <v/>
      </c>
    </row>
    <row r="952">
      <c r="B952" s="76" t="str">
        <f>IFERROR(__xludf.DUMMYFUNCTION("""COMPUTED_VALUE"""),"")</f>
        <v/>
      </c>
      <c r="C952" s="76" t="str">
        <f>IFERROR(__xludf.DUMMYFUNCTION("""COMPUTED_VALUE"""),"")</f>
        <v/>
      </c>
    </row>
    <row r="953">
      <c r="B953" s="76" t="str">
        <f>IFERROR(__xludf.DUMMYFUNCTION("""COMPUTED_VALUE"""),"")</f>
        <v/>
      </c>
      <c r="C953" s="76" t="str">
        <f>IFERROR(__xludf.DUMMYFUNCTION("""COMPUTED_VALUE"""),"")</f>
        <v/>
      </c>
    </row>
    <row r="954">
      <c r="B954" s="76" t="str">
        <f>IFERROR(__xludf.DUMMYFUNCTION("""COMPUTED_VALUE"""),"")</f>
        <v/>
      </c>
      <c r="C954" s="76" t="str">
        <f>IFERROR(__xludf.DUMMYFUNCTION("""COMPUTED_VALUE"""),"")</f>
        <v/>
      </c>
    </row>
    <row r="955">
      <c r="B955" s="76" t="str">
        <f>IFERROR(__xludf.DUMMYFUNCTION("""COMPUTED_VALUE"""),"")</f>
        <v/>
      </c>
      <c r="C955" s="76" t="str">
        <f>IFERROR(__xludf.DUMMYFUNCTION("""COMPUTED_VALUE"""),"")</f>
        <v/>
      </c>
    </row>
    <row r="956">
      <c r="B956" s="76" t="str">
        <f>IFERROR(__xludf.DUMMYFUNCTION("""COMPUTED_VALUE"""),"")</f>
        <v/>
      </c>
      <c r="C956" s="76" t="str">
        <f>IFERROR(__xludf.DUMMYFUNCTION("""COMPUTED_VALUE"""),"")</f>
        <v/>
      </c>
    </row>
    <row r="957">
      <c r="B957" s="76" t="str">
        <f>IFERROR(__xludf.DUMMYFUNCTION("""COMPUTED_VALUE"""),"")</f>
        <v/>
      </c>
      <c r="C957" s="76" t="str">
        <f>IFERROR(__xludf.DUMMYFUNCTION("""COMPUTED_VALUE"""),"")</f>
        <v/>
      </c>
    </row>
    <row r="958">
      <c r="B958" s="76" t="str">
        <f>IFERROR(__xludf.DUMMYFUNCTION("""COMPUTED_VALUE"""),"")</f>
        <v/>
      </c>
      <c r="C958" s="76" t="str">
        <f>IFERROR(__xludf.DUMMYFUNCTION("""COMPUTED_VALUE"""),"")</f>
        <v/>
      </c>
    </row>
    <row r="959">
      <c r="B959" s="76" t="str">
        <f>IFERROR(__xludf.DUMMYFUNCTION("""COMPUTED_VALUE"""),"")</f>
        <v/>
      </c>
      <c r="C959" s="76" t="str">
        <f>IFERROR(__xludf.DUMMYFUNCTION("""COMPUTED_VALUE"""),"")</f>
        <v/>
      </c>
    </row>
    <row r="960">
      <c r="B960" s="76" t="str">
        <f>IFERROR(__xludf.DUMMYFUNCTION("""COMPUTED_VALUE"""),"")</f>
        <v/>
      </c>
      <c r="C960" s="76" t="str">
        <f>IFERROR(__xludf.DUMMYFUNCTION("""COMPUTED_VALUE"""),"")</f>
        <v/>
      </c>
    </row>
    <row r="961">
      <c r="B961" s="76" t="str">
        <f>IFERROR(__xludf.DUMMYFUNCTION("""COMPUTED_VALUE"""),"")</f>
        <v/>
      </c>
      <c r="C961" s="76" t="str">
        <f>IFERROR(__xludf.DUMMYFUNCTION("""COMPUTED_VALUE"""),"")</f>
        <v/>
      </c>
    </row>
    <row r="962">
      <c r="B962" s="76" t="str">
        <f>IFERROR(__xludf.DUMMYFUNCTION("""COMPUTED_VALUE"""),"")</f>
        <v/>
      </c>
      <c r="C962" s="76" t="str">
        <f>IFERROR(__xludf.DUMMYFUNCTION("""COMPUTED_VALUE"""),"")</f>
        <v/>
      </c>
    </row>
    <row r="963">
      <c r="B963" s="76" t="str">
        <f>IFERROR(__xludf.DUMMYFUNCTION("""COMPUTED_VALUE"""),"")</f>
        <v/>
      </c>
      <c r="C963" s="76" t="str">
        <f>IFERROR(__xludf.DUMMYFUNCTION("""COMPUTED_VALUE"""),"")</f>
        <v/>
      </c>
    </row>
    <row r="964">
      <c r="B964" s="76" t="str">
        <f>IFERROR(__xludf.DUMMYFUNCTION("""COMPUTED_VALUE"""),"")</f>
        <v/>
      </c>
      <c r="C964" s="76" t="str">
        <f>IFERROR(__xludf.DUMMYFUNCTION("""COMPUTED_VALUE"""),"")</f>
        <v/>
      </c>
    </row>
    <row r="965">
      <c r="B965" s="76" t="str">
        <f>IFERROR(__xludf.DUMMYFUNCTION("""COMPUTED_VALUE"""),"")</f>
        <v/>
      </c>
      <c r="C965" s="76" t="str">
        <f>IFERROR(__xludf.DUMMYFUNCTION("""COMPUTED_VALUE"""),"")</f>
        <v/>
      </c>
    </row>
    <row r="966">
      <c r="B966" s="76" t="str">
        <f>IFERROR(__xludf.DUMMYFUNCTION("""COMPUTED_VALUE"""),"")</f>
        <v/>
      </c>
      <c r="C966" s="76" t="str">
        <f>IFERROR(__xludf.DUMMYFUNCTION("""COMPUTED_VALUE"""),"")</f>
        <v/>
      </c>
    </row>
    <row r="967">
      <c r="B967" s="76" t="str">
        <f>IFERROR(__xludf.DUMMYFUNCTION("""COMPUTED_VALUE"""),"")</f>
        <v/>
      </c>
      <c r="C967" s="76" t="str">
        <f>IFERROR(__xludf.DUMMYFUNCTION("""COMPUTED_VALUE"""),"")</f>
        <v/>
      </c>
    </row>
    <row r="968">
      <c r="B968" s="76" t="str">
        <f>IFERROR(__xludf.DUMMYFUNCTION("""COMPUTED_VALUE"""),"")</f>
        <v/>
      </c>
      <c r="C968" s="76" t="str">
        <f>IFERROR(__xludf.DUMMYFUNCTION("""COMPUTED_VALUE"""),"")</f>
        <v/>
      </c>
    </row>
    <row r="969">
      <c r="B969" s="76" t="str">
        <f>IFERROR(__xludf.DUMMYFUNCTION("""COMPUTED_VALUE"""),"")</f>
        <v/>
      </c>
      <c r="C969" s="76" t="str">
        <f>IFERROR(__xludf.DUMMYFUNCTION("""COMPUTED_VALUE"""),"")</f>
        <v/>
      </c>
    </row>
    <row r="970">
      <c r="B970" s="76" t="str">
        <f>IFERROR(__xludf.DUMMYFUNCTION("""COMPUTED_VALUE"""),"")</f>
        <v/>
      </c>
      <c r="C970" s="76" t="str">
        <f>IFERROR(__xludf.DUMMYFUNCTION("""COMPUTED_VALUE"""),"")</f>
        <v/>
      </c>
    </row>
    <row r="971">
      <c r="B971" s="76" t="str">
        <f>IFERROR(__xludf.DUMMYFUNCTION("""COMPUTED_VALUE"""),"")</f>
        <v/>
      </c>
      <c r="C971" s="76" t="str">
        <f>IFERROR(__xludf.DUMMYFUNCTION("""COMPUTED_VALUE"""),"")</f>
        <v/>
      </c>
    </row>
    <row r="972">
      <c r="B972" s="76" t="str">
        <f>IFERROR(__xludf.DUMMYFUNCTION("""COMPUTED_VALUE"""),"")</f>
        <v/>
      </c>
      <c r="C972" s="76" t="str">
        <f>IFERROR(__xludf.DUMMYFUNCTION("""COMPUTED_VALUE"""),"")</f>
        <v/>
      </c>
    </row>
    <row r="973">
      <c r="B973" s="76" t="str">
        <f>IFERROR(__xludf.DUMMYFUNCTION("""COMPUTED_VALUE"""),"")</f>
        <v/>
      </c>
      <c r="C973" s="76" t="str">
        <f>IFERROR(__xludf.DUMMYFUNCTION("""COMPUTED_VALUE"""),"")</f>
        <v/>
      </c>
    </row>
    <row r="974">
      <c r="B974" s="76" t="str">
        <f>IFERROR(__xludf.DUMMYFUNCTION("""COMPUTED_VALUE"""),"")</f>
        <v/>
      </c>
      <c r="C974" s="76" t="str">
        <f>IFERROR(__xludf.DUMMYFUNCTION("""COMPUTED_VALUE"""),"")</f>
        <v/>
      </c>
    </row>
    <row r="975">
      <c r="B975" s="76" t="str">
        <f>IFERROR(__xludf.DUMMYFUNCTION("""COMPUTED_VALUE"""),"")</f>
        <v/>
      </c>
      <c r="C975" s="76" t="str">
        <f>IFERROR(__xludf.DUMMYFUNCTION("""COMPUTED_VALUE"""),"")</f>
        <v/>
      </c>
    </row>
    <row r="976">
      <c r="B976" s="76" t="str">
        <f>IFERROR(__xludf.DUMMYFUNCTION("""COMPUTED_VALUE"""),"")</f>
        <v/>
      </c>
      <c r="C976" s="76" t="str">
        <f>IFERROR(__xludf.DUMMYFUNCTION("""COMPUTED_VALUE"""),"")</f>
        <v/>
      </c>
    </row>
    <row r="977">
      <c r="B977" s="76" t="str">
        <f>IFERROR(__xludf.DUMMYFUNCTION("""COMPUTED_VALUE"""),"")</f>
        <v/>
      </c>
      <c r="C977" s="76" t="str">
        <f>IFERROR(__xludf.DUMMYFUNCTION("""COMPUTED_VALUE"""),"")</f>
        <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39.5"/>
    <col customWidth="1" min="2" max="2" width="33.13"/>
    <col customWidth="1" min="3" max="3" width="11.13"/>
    <col customWidth="1" min="4" max="4" width="25.63"/>
    <col customWidth="1" min="6" max="6" width="40.5"/>
    <col customWidth="1" min="7" max="7" width="15.63"/>
  </cols>
  <sheetData>
    <row r="1" ht="29.25" customHeight="1">
      <c r="A1" s="266" t="s">
        <v>2548</v>
      </c>
      <c r="B1" s="267" t="s">
        <v>2549</v>
      </c>
      <c r="C1" s="267" t="s">
        <v>4</v>
      </c>
      <c r="D1" s="267" t="s">
        <v>2546</v>
      </c>
      <c r="E1" s="268" t="s">
        <v>2550</v>
      </c>
      <c r="F1" s="269" t="s">
        <v>2551</v>
      </c>
      <c r="G1" s="270">
        <f>NOW()-0.05/24</f>
        <v>46276.44191</v>
      </c>
      <c r="H1" s="259"/>
      <c r="I1" s="271" t="s">
        <v>2552</v>
      </c>
      <c r="J1" s="259"/>
      <c r="K1" s="259"/>
      <c r="L1" s="259"/>
      <c r="M1" s="259"/>
      <c r="N1" s="259"/>
      <c r="O1" s="259"/>
      <c r="P1" s="259"/>
      <c r="Q1" s="259"/>
      <c r="R1" s="259"/>
      <c r="S1" s="259"/>
      <c r="T1" s="259"/>
      <c r="U1" s="259"/>
      <c r="V1" s="259"/>
      <c r="W1" s="259"/>
      <c r="X1" s="259"/>
      <c r="Y1" s="259"/>
      <c r="Z1" s="259"/>
    </row>
    <row r="2" ht="117.0" customHeight="1">
      <c r="A2" s="272" t="str">
        <f>IFERROR(__xludf.DUMMYFUNCTION("query({'STEP-DIR'!A4:D100;'STEP-DIR'!E4:H100;'STEP-DIR'!I4:L100;'STEP-DIR'!M4:P100; 'STEP-DIR'!Q4:T100},""select Col1,Col2,Col3 where Col2 is not null and Col3 &lt;= date '""&amp;TEXT(TODAY()+1,""yyyy-mm-dd"")&amp;""'"")"),"Link to the sheet:- https://tinyurl.com/2r2xrakx
Task:- Solution / Check data in database according to new logics
S.No.:- 5453
Requester Name:- CHINTU SINGH
Client Name:- IGU
Report name:- TR 
Product Name:- Smart-Exam
Type of issues:- Change in logic, Ch"&amp;"ange in design
Planned Date:- 2026-08-07")</f>
        <v>Link to the sheet:- https://tinyurl.com/2r2xrakx
Task:- Solution / Check data in database according to new logics
S.No.:- 5453
Requester Name:- CHINTU SINGH
Client Name:- IGU
Report name:- TR 
Product Name:- Smart-Exam
Type of issues:- Change in logic, Change in design
Planned Date:- 2026-08-07</v>
      </c>
      <c r="B2" s="273" t="str">
        <f>IFERROR(__xludf.DUMMYFUNCTION("""COMPUTED_VALUE"""),"EMP0237 Swarnendu Chakraborty")</f>
        <v>EMP0237 Swarnendu Chakraborty</v>
      </c>
      <c r="C2" s="274">
        <f>IFERROR(__xludf.DUMMYFUNCTION("""COMPUTED_VALUE"""),46241.0)</f>
        <v>46241</v>
      </c>
      <c r="D2" s="275" t="str">
        <f t="array" ref="D2:D100">ifna(vlookup($B$2:$B100,'Doer Name'!$A:$C,2,0),"")</f>
        <v>#REF!</v>
      </c>
      <c r="E2" s="275" t="str">
        <f t="array" ref="E2:E100">ifna(vlookup($B$2:$B100,'Doer Name'!$A:$C,3,0),"")</f>
        <v>#REF!</v>
      </c>
      <c r="F2" s="276" t="str">
        <f>IFERROR(__xludf.DUMMYFUNCTION("ArrayFormula(query({""Dear Sir/mam,
This is to inform you, your task is pending in FMS 148 Corrections/Bugs.Please click on the link below to review and update this task.:- ""&amp;char(10)&amp;"" ""&amp;char(10)&amp;{A2:A100},{B2:B100},{D2:D100}},""select Col1 where Col"&amp;"2 is not null and Col3 is not null""))"),"Dear Sir/mam,
This is to inform you, your task is pending in FMS 148 Corrections/Bugs.Please click on the link below to review and update this task.:- 
Link to the sheet:- https://tinyurl.com/2r2xrakx
Task:- Solution / Check data in database according "&amp;"to new logics
S.No.:- 5453
Requester Name:- CHINTU SINGH
Client Name:- IGU
Report name:- TR 
Product Name:- Smart-Exam
Type of issues:- Change in logic, Change in design
Planned Date:- 2026-08-07")</f>
        <v>Dear Sir/mam,
This is to inform you, your task is pending in FMS 148 Corrections/Bugs.Please click on the link below to review and update this task.:- 
Link to the sheet:- https://tinyurl.com/2r2xrakx
Task:- Solution / Check data in database according to new logics
S.No.:- 5453
Requester Name:- CHINTU SINGH
Client Name:- IGU
Report name:- TR 
Product Name:- Smart-Exam
Type of issues:- Change in logic, Change in design
Planned Date:- 2026-08-07</v>
      </c>
      <c r="G2" s="189"/>
      <c r="H2" s="189"/>
      <c r="I2" s="189"/>
      <c r="J2" s="189"/>
      <c r="K2" s="189"/>
      <c r="L2" s="189"/>
      <c r="M2" s="189"/>
      <c r="N2" s="189"/>
      <c r="O2" s="189"/>
      <c r="P2" s="189"/>
      <c r="Q2" s="189"/>
      <c r="R2" s="189"/>
      <c r="S2" s="189"/>
      <c r="T2" s="189"/>
      <c r="U2" s="189"/>
      <c r="V2" s="189"/>
      <c r="W2" s="189"/>
      <c r="X2" s="189"/>
      <c r="Y2" s="189"/>
      <c r="Z2" s="189"/>
    </row>
    <row r="3" ht="94.5" customHeight="1">
      <c r="A3" s="277" t="str">
        <f>IFERROR(__xludf.DUMMYFUNCTION("""COMPUTED_VALUE"""),"Link to the sheet:- https://tinyurl.com/2r2xrakx
Task:- Solution / Check data in database according to new logics
S.No.:- 5454
Requester Name:- CHINTU SINGH
Client Name:- IGU
Report name:- TR
Product Name:- Smart-Exam
Type of issues:- Change in logic, Cha"&amp;"nge in design
Planned Date:- 2026-08-07")</f>
        <v>Link to the sheet:- https://tinyurl.com/2r2xrakx
Task:- Solution / Check data in database according to new logics
S.No.:- 5454
Requester Name:- CHINTU SINGH
Client Name:- IGU
Report name:- TR
Product Name:- Smart-Exam
Type of issues:- Change in logic, Change in design
Planned Date:- 2026-08-07</v>
      </c>
      <c r="B3" s="277" t="str">
        <f>IFERROR(__xludf.DUMMYFUNCTION("""COMPUTED_VALUE"""),"EMP0237 Swarnendu Chakraborty")</f>
        <v>EMP0237 Swarnendu Chakraborty</v>
      </c>
      <c r="C3" s="278">
        <f>IFERROR(__xludf.DUMMYFUNCTION("""COMPUTED_VALUE"""),46241.0)</f>
        <v>46241</v>
      </c>
      <c r="D3" s="189" t="e">
        <v>#REF!</v>
      </c>
      <c r="E3" s="189" t="e">
        <v>#REF!</v>
      </c>
      <c r="F3" s="189" t="str">
        <f>IFERROR(__xludf.DUMMYFUNCTION("""COMPUTED_VALUE"""),"Dear Sir/mam,
This is to inform you, your task is pending in FMS 148 Corrections/Bugs.Please click on the link below to review and update this task.:- 
Link to the sheet:- https://tinyurl.com/2r2xrakx
Task:- Solution / Check data in database according "&amp;"to new logics
S.No.:- 5454
Requester Name:- CHINTU SINGH
Client Name:- IGU
Report name:- TR
Product Name:- Smart-Exam
Type of issues:- Change in logic, Change in design
Planned Date:- 2026-08-07")</f>
        <v>Dear Sir/mam,
This is to inform you, your task is pending in FMS 148 Corrections/Bugs.Please click on the link below to review and update this task.:- 
Link to the sheet:- https://tinyurl.com/2r2xrakx
Task:- Solution / Check data in database according to new logics
S.No.:- 5454
Requester Name:- CHINTU SINGH
Client Name:- IGU
Report name:- TR
Product Name:- Smart-Exam
Type of issues:- Change in logic, Change in design
Planned Date:- 2026-08-07</v>
      </c>
      <c r="G3" s="189"/>
      <c r="H3" s="189"/>
      <c r="I3" s="189"/>
      <c r="J3" s="189"/>
      <c r="K3" s="189"/>
      <c r="L3" s="189"/>
      <c r="M3" s="189"/>
      <c r="N3" s="189"/>
      <c r="O3" s="189"/>
      <c r="P3" s="189"/>
      <c r="Q3" s="189"/>
      <c r="R3" s="189"/>
      <c r="S3" s="189"/>
      <c r="T3" s="189"/>
      <c r="U3" s="189"/>
      <c r="V3" s="189"/>
      <c r="W3" s="189"/>
      <c r="X3" s="189"/>
      <c r="Y3" s="189"/>
      <c r="Z3" s="189"/>
    </row>
    <row r="4" ht="94.5" customHeight="1">
      <c r="A4" s="277" t="str">
        <f>IFERROR(__xludf.DUMMYFUNCTION("""COMPUTED_VALUE"""),"Link to the sheet:- https://tinyurl.com/2r2xrakx
Task:- Upload file, cross check and inform  to requester
S.No.:- 5342
Requester Name:- DHIRAJ KUMAR
Client Name:- CBLU
Report name:- Merit List
Product Name:- Smart-Exam
Type of issues:- Other changes
Plann"&amp;"ed Date:- 2026-07-10")</f>
        <v>Link to the sheet:- https://tinyurl.com/2r2xrakx
Task:- Upload file, cross check and inform  to requester
S.No.:- 5342
Requester Name:- DHIRAJ KUMAR
Client Name:- CBLU
Report name:- Merit List
Product Name:- Smart-Exam
Type of issues:- Other changes
Planned Date:- 2026-07-10</v>
      </c>
      <c r="B4" s="189" t="str">
        <f>IFERROR(__xludf.DUMMYFUNCTION("""COMPUTED_VALUE"""),"EMP0042 HULESHWAR KUMAR SAHU")</f>
        <v>EMP0042 HULESHWAR KUMAR SAHU</v>
      </c>
      <c r="C4" s="278">
        <f>IFERROR(__xludf.DUMMYFUNCTION("""COMPUTED_VALUE"""),46213.0)</f>
        <v>46213</v>
      </c>
      <c r="D4" s="189" t="e">
        <v>#REF!</v>
      </c>
      <c r="E4" s="189" t="e">
        <v>#REF!</v>
      </c>
      <c r="F4" s="189" t="str">
        <f>IFERROR(__xludf.DUMMYFUNCTION("""COMPUTED_VALUE"""),"Dear Sir/mam,
This is to inform you, your task is pending in FMS 148 Corrections/Bugs.Please click on the link below to review and update this task.:- 
Link to the sheet:- https://tinyurl.com/2r2xrakx
Task:- Upload file, cross check and inform  to requ"&amp;"ester
S.No.:- 5342
Requester Name:- DHIRAJ KUMAR
Client Name:- CBLU
Report name:- Merit List
Product Name:- Smart-Exam
Type of issues:- Other changes
Planned Date:- 2026-07-10")</f>
        <v>Dear Sir/mam,
This is to inform you, your task is pending in FMS 148 Corrections/Bugs.Please click on the link below to review and update this task.:- 
Link to the sheet:- https://tinyurl.com/2r2xrakx
Task:- Upload file, cross check and inform  to requester
S.No.:- 5342
Requester Name:- DHIRAJ KUMAR
Client Name:- CBLU
Report name:- Merit List
Product Name:- Smart-Exam
Type of issues:- Other changes
Planned Date:- 2026-07-10</v>
      </c>
      <c r="G4" s="189"/>
      <c r="H4" s="189"/>
      <c r="I4" s="189"/>
      <c r="J4" s="189"/>
      <c r="K4" s="189"/>
      <c r="L4" s="189"/>
      <c r="M4" s="189"/>
      <c r="N4" s="189"/>
      <c r="O4" s="189"/>
      <c r="P4" s="189"/>
      <c r="Q4" s="189"/>
      <c r="R4" s="189"/>
      <c r="S4" s="189"/>
      <c r="T4" s="189"/>
      <c r="U4" s="189"/>
      <c r="V4" s="189"/>
      <c r="W4" s="189"/>
      <c r="X4" s="189"/>
      <c r="Y4" s="189"/>
      <c r="Z4" s="189"/>
    </row>
    <row r="5" ht="94.5" customHeight="1">
      <c r="A5" s="277" t="str">
        <f>IFERROR(__xludf.DUMMYFUNCTION("""COMPUTED_VALUE"""),"Link to the sheet:- https://tinyurl.com/2r2xrakx
Task:- Upload file, cross check and inform  to requester
S.No.:- 5451
Requester Name:- HEMANT UNIYAL
Client Name:- VSU
Report name:- MARKSHEET
Product Name:- Smart-Exam
Type of issues:- Other changes
Planne"&amp;"d Date:- 2026-08-06")</f>
        <v>Link to the sheet:- https://tinyurl.com/2r2xrakx
Task:- Upload file, cross check and inform  to requester
S.No.:- 5451
Requester Name:- HEMANT UNIYAL
Client Name:- VSU
Report name:- MARKSHEET
Product Name:- Smart-Exam
Type of issues:- Other changes
Planned Date:- 2026-08-06</v>
      </c>
      <c r="B5" s="277" t="str">
        <f>IFERROR(__xludf.DUMMYFUNCTION("""COMPUTED_VALUE"""),"EMP0042 HULESHWAR KUMAR SAHU")</f>
        <v>EMP0042 HULESHWAR KUMAR SAHU</v>
      </c>
      <c r="C5" s="278">
        <f>IFERROR(__xludf.DUMMYFUNCTION("""COMPUTED_VALUE"""),46240.0)</f>
        <v>46240</v>
      </c>
      <c r="D5" s="189" t="e">
        <v>#REF!</v>
      </c>
      <c r="E5" s="189" t="e">
        <v>#REF!</v>
      </c>
      <c r="F5" s="189" t="str">
        <f>IFERROR(__xludf.DUMMYFUNCTION("""COMPUTED_VALUE"""),"Dear Sir/mam,
This is to inform you, your task is pending in FMS 148 Corrections/Bugs.Please click on the link below to review and update this task.:- 
Link to the sheet:- https://tinyurl.com/2r2xrakx
Task:- Upload file, cross check and inform  to requ"&amp;"ester
S.No.:- 5451
Requester Name:- HEMANT UNIYAL
Client Name:- VSU
Report name:- MARKSHEET
Product Name:- Smart-Exam
Type of issues:- Other changes
Planned Date:- 2026-08-06")</f>
        <v>Dear Sir/mam,
This is to inform you, your task is pending in FMS 148 Corrections/Bugs.Please click on the link below to review and update this task.:- 
Link to the sheet:- https://tinyurl.com/2r2xrakx
Task:- Upload file, cross check and inform  to requester
S.No.:- 5451
Requester Name:- HEMANT UNIYAL
Client Name:- VSU
Report name:- MARKSHEET
Product Name:- Smart-Exam
Type of issues:- Other changes
Planned Date:- 2026-08-06</v>
      </c>
      <c r="G5" s="189"/>
      <c r="H5" s="189"/>
      <c r="I5" s="189"/>
      <c r="J5" s="189"/>
      <c r="K5" s="189"/>
      <c r="L5" s="189"/>
      <c r="M5" s="189"/>
      <c r="N5" s="189"/>
      <c r="O5" s="189"/>
      <c r="P5" s="189"/>
      <c r="Q5" s="189"/>
      <c r="R5" s="189"/>
      <c r="S5" s="189"/>
      <c r="T5" s="189"/>
      <c r="U5" s="189"/>
      <c r="V5" s="189"/>
      <c r="W5" s="189"/>
      <c r="X5" s="189"/>
      <c r="Y5" s="189"/>
      <c r="Z5" s="189"/>
    </row>
    <row r="6" ht="94.5" customHeight="1">
      <c r="A6" s="277" t="str">
        <f>IFERROR(__xludf.DUMMYFUNCTION("""COMPUTED_VALUE"""),"Link to the sheet:- https://tinyurl.com/2r2xrakx
Task:- Upload file, cross check and inform  to requester
S.No.:- 5452
Requester Name:- Rohit Singh
Client Name:- SMKV
Report name:- Marks Sheet
Product Name:- Smart-Exam
Type of issues:- Report not download"&amp;"ing
Planned Date:- 2026-08-07")</f>
        <v>Link to the sheet:- https://tinyurl.com/2r2xrakx
Task:- Upload file, cross check and inform  to requester
S.No.:- 5452
Requester Name:- Rohit Singh
Client Name:- SMKV
Report name:- Marks Sheet
Product Name:- Smart-Exam
Type of issues:- Report not downloading
Planned Date:- 2026-08-07</v>
      </c>
      <c r="B6" s="277" t="str">
        <f>IFERROR(__xludf.DUMMYFUNCTION("""COMPUTED_VALUE"""),"EMP0042 HULESHWAR KUMAR SAHU")</f>
        <v>EMP0042 HULESHWAR KUMAR SAHU</v>
      </c>
      <c r="C6" s="278">
        <f>IFERROR(__xludf.DUMMYFUNCTION("""COMPUTED_VALUE"""),46241.0)</f>
        <v>46241</v>
      </c>
      <c r="D6" s="189" t="e">
        <v>#REF!</v>
      </c>
      <c r="E6" s="189" t="e">
        <v>#REF!</v>
      </c>
      <c r="F6" s="189" t="str">
        <f>IFERROR(__xludf.DUMMYFUNCTION("""COMPUTED_VALUE"""),"Dear Sir/mam,
This is to inform you, your task is pending in FMS 148 Corrections/Bugs.Please click on the link below to review and update this task.:- 
Link to the sheet:- https://tinyurl.com/2r2xrakx
Task:- Upload file, cross check and inform  to requ"&amp;"ester
S.No.:- 5452
Requester Name:- Rohit Singh
Client Name:- SMKV
Report name:- Marks Sheet
Product Name:- Smart-Exam
Type of issues:- Report not downloading
Planned Date:- 2026-08-07")</f>
        <v>Dear Sir/mam,
This is to inform you, your task is pending in FMS 148 Corrections/Bugs.Please click on the link below to review and update this task.:- 
Link to the sheet:- https://tinyurl.com/2r2xrakx
Task:- Upload file, cross check and inform  to requester
S.No.:- 5452
Requester Name:- Rohit Singh
Client Name:- SMKV
Report name:- Marks Sheet
Product Name:- Smart-Exam
Type of issues:- Report not downloading
Planned Date:- 2026-08-07</v>
      </c>
      <c r="G6" s="189"/>
      <c r="H6" s="189"/>
      <c r="I6" s="189"/>
      <c r="J6" s="189"/>
      <c r="K6" s="189"/>
      <c r="L6" s="189"/>
      <c r="M6" s="189"/>
      <c r="N6" s="189"/>
      <c r="O6" s="189"/>
      <c r="P6" s="189"/>
      <c r="Q6" s="189"/>
      <c r="R6" s="189"/>
      <c r="S6" s="189"/>
      <c r="T6" s="189"/>
      <c r="U6" s="189"/>
      <c r="V6" s="189"/>
      <c r="W6" s="189"/>
      <c r="X6" s="189"/>
      <c r="Y6" s="189"/>
      <c r="Z6" s="189"/>
    </row>
    <row r="7" ht="140.25" customHeight="1">
      <c r="A7" s="277" t="str">
        <f>IFERROR(__xludf.DUMMYFUNCTION("""COMPUTED_VALUE"""),"Link to the sheet:- https://tinyurl.com/2r2xrakx
Task:- Upload file, cross check and inform  to requester
S.No.:- 5453
Requester Name:- CHINTU SINGH
Client Name:- IGU
Report name:- TR 
Product Name:- Smart-Exam
Type of issues:- Change in logic, Change in "&amp;"design
Planned Date:- 2026-08-07")</f>
        <v>Link to the sheet:- https://tinyurl.com/2r2xrakx
Task:- Upload file, cross check and inform  to requester
S.No.:- 5453
Requester Name:- CHINTU SINGH
Client Name:- IGU
Report name:- TR 
Product Name:- Smart-Exam
Type of issues:- Change in logic, Change in design
Planned Date:- 2026-08-07</v>
      </c>
      <c r="B7" s="189" t="str">
        <f>IFERROR(__xludf.DUMMYFUNCTION("""COMPUTED_VALUE"""),"EMP0237 Swarnendu Chakraborty")</f>
        <v>EMP0237 Swarnendu Chakraborty</v>
      </c>
      <c r="C7" s="278">
        <f>IFERROR(__xludf.DUMMYFUNCTION("""COMPUTED_VALUE"""),46241.0)</f>
        <v>46241</v>
      </c>
      <c r="D7" s="189" t="e">
        <v>#REF!</v>
      </c>
      <c r="E7" s="189" t="e">
        <v>#REF!</v>
      </c>
      <c r="F7" s="189" t="str">
        <f>IFERROR(__xludf.DUMMYFUNCTION("""COMPUTED_VALUE"""),"Dear Sir/mam,
This is to inform you, your task is pending in FMS 148 Corrections/Bugs.Please click on the link below to review and update this task.:- 
Link to the sheet:- https://tinyurl.com/2r2xrakx
Task:- Upload file, cross check and inform  to requ"&amp;"ester
S.No.:- 5453
Requester Name:- CHINTU SINGH
Client Name:- IGU
Report name:- TR 
Product Name:- Smart-Exam
Type of issues:- Change in logic, Change in design
Planned Date:- 2026-08-07")</f>
        <v>Dear Sir/mam,
This is to inform you, your task is pending in FMS 148 Corrections/Bugs.Please click on the link below to review and update this task.:- 
Link to the sheet:- https://tinyurl.com/2r2xrakx
Task:- Upload file, cross check and inform  to requester
S.No.:- 5453
Requester Name:- CHINTU SINGH
Client Name:- IGU
Report name:- TR 
Product Name:- Smart-Exam
Type of issues:- Change in logic, Change in design
Planned Date:- 2026-08-07</v>
      </c>
      <c r="G7" s="189"/>
      <c r="H7" s="189"/>
      <c r="I7" s="189"/>
      <c r="J7" s="189"/>
      <c r="K7" s="189"/>
      <c r="L7" s="189"/>
      <c r="M7" s="189"/>
      <c r="N7" s="189"/>
      <c r="O7" s="189"/>
      <c r="P7" s="189"/>
      <c r="Q7" s="189"/>
      <c r="R7" s="189"/>
      <c r="S7" s="189"/>
      <c r="T7" s="189"/>
      <c r="U7" s="189"/>
      <c r="V7" s="189"/>
      <c r="W7" s="189"/>
      <c r="X7" s="189"/>
      <c r="Y7" s="189"/>
      <c r="Z7" s="189"/>
    </row>
    <row r="8" ht="121.5" customHeight="1">
      <c r="A8" s="277" t="str">
        <f>IFERROR(__xludf.DUMMYFUNCTION("""COMPUTED_VALUE"""),"Link to the sheet:- https://tinyurl.com/2r2xrakx
Task:- Upload file, cross check and inform  to requester
S.No.:- 5454
Requester Name:- CHINTU SINGH
Client Name:- IGU
Report name:- TR
Product Name:- Smart-Exam
Type of issues:- Change in logic, Change in d"&amp;"esign
Planned Date:- 2026-08-07")</f>
        <v>Link to the sheet:- https://tinyurl.com/2r2xrakx
Task:- Upload file, cross check and inform  to requester
S.No.:- 5454
Requester Name:- CHINTU SINGH
Client Name:- IGU
Report name:- TR
Product Name:- Smart-Exam
Type of issues:- Change in logic, Change in design
Planned Date:- 2026-08-07</v>
      </c>
      <c r="B8" s="277" t="str">
        <f>IFERROR(__xludf.DUMMYFUNCTION("""COMPUTED_VALUE"""),"EMP0237 Swarnendu Chakraborty")</f>
        <v>EMP0237 Swarnendu Chakraborty</v>
      </c>
      <c r="C8" s="278">
        <f>IFERROR(__xludf.DUMMYFUNCTION("""COMPUTED_VALUE"""),46241.0)</f>
        <v>46241</v>
      </c>
      <c r="D8" s="189" t="e">
        <v>#REF!</v>
      </c>
      <c r="E8" s="189" t="e">
        <v>#REF!</v>
      </c>
      <c r="F8" s="189" t="str">
        <f>IFERROR(__xludf.DUMMYFUNCTION("""COMPUTED_VALUE"""),"Dear Sir/mam,
This is to inform you, your task is pending in FMS 148 Corrections/Bugs.Please click on the link below to review and update this task.:- 
Link to the sheet:- https://tinyurl.com/2r2xrakx
Task:- Upload file, cross check and inform  to requ"&amp;"ester
S.No.:- 5454
Requester Name:- CHINTU SINGH
Client Name:- IGU
Report name:- TR
Product Name:- Smart-Exam
Type of issues:- Change in logic, Change in design
Planned Date:- 2026-08-07")</f>
        <v>Dear Sir/mam,
This is to inform you, your task is pending in FMS 148 Corrections/Bugs.Please click on the link below to review and update this task.:- 
Link to the sheet:- https://tinyurl.com/2r2xrakx
Task:- Upload file, cross check and inform  to requester
S.No.:- 5454
Requester Name:- CHINTU SINGH
Client Name:- IGU
Report name:- TR
Product Name:- Smart-Exam
Type of issues:- Change in logic, Change in design
Planned Date:- 2026-08-07</v>
      </c>
      <c r="G8" s="189"/>
      <c r="H8" s="189"/>
      <c r="I8" s="189"/>
      <c r="J8" s="189"/>
      <c r="K8" s="189"/>
      <c r="L8" s="189"/>
      <c r="M8" s="189"/>
      <c r="N8" s="189"/>
      <c r="O8" s="189"/>
      <c r="P8" s="189"/>
      <c r="Q8" s="189"/>
      <c r="R8" s="189"/>
      <c r="S8" s="189"/>
      <c r="T8" s="189"/>
      <c r="U8" s="189"/>
      <c r="V8" s="189"/>
      <c r="W8" s="189"/>
      <c r="X8" s="189"/>
      <c r="Y8" s="189"/>
      <c r="Z8" s="189"/>
    </row>
    <row r="9" ht="124.5" customHeight="1">
      <c r="A9" s="277"/>
      <c r="B9" s="277"/>
      <c r="C9" s="279"/>
      <c r="D9" s="189"/>
      <c r="E9" s="189"/>
      <c r="F9" s="189"/>
      <c r="G9" s="189"/>
      <c r="H9" s="189"/>
      <c r="I9" s="189"/>
      <c r="J9" s="189"/>
      <c r="K9" s="189"/>
      <c r="L9" s="189"/>
      <c r="M9" s="189"/>
      <c r="N9" s="189"/>
      <c r="O9" s="189"/>
      <c r="P9" s="189"/>
      <c r="Q9" s="189"/>
      <c r="R9" s="189"/>
      <c r="S9" s="189"/>
      <c r="T9" s="189"/>
      <c r="U9" s="189"/>
      <c r="V9" s="189"/>
      <c r="W9" s="189"/>
      <c r="X9" s="189"/>
      <c r="Y9" s="189"/>
      <c r="Z9" s="189"/>
    </row>
    <row r="10" ht="94.5" customHeight="1">
      <c r="A10" s="189"/>
      <c r="B10" s="189"/>
      <c r="C10" s="279"/>
      <c r="D10" s="189"/>
      <c r="E10" s="189"/>
      <c r="F10" s="189"/>
      <c r="G10" s="189"/>
      <c r="H10" s="189"/>
      <c r="I10" s="189"/>
      <c r="J10" s="189"/>
      <c r="K10" s="189"/>
      <c r="L10" s="189"/>
      <c r="M10" s="189"/>
      <c r="N10" s="189"/>
      <c r="O10" s="189"/>
      <c r="P10" s="189"/>
      <c r="Q10" s="189"/>
      <c r="R10" s="189"/>
      <c r="S10" s="189"/>
      <c r="T10" s="189"/>
      <c r="U10" s="189"/>
      <c r="V10" s="189"/>
      <c r="W10" s="189"/>
      <c r="X10" s="189"/>
      <c r="Y10" s="189"/>
      <c r="Z10" s="189"/>
    </row>
    <row r="11" ht="94.5" customHeight="1">
      <c r="A11" s="189"/>
      <c r="B11" s="189"/>
      <c r="C11" s="279"/>
      <c r="D11" s="189"/>
      <c r="E11" s="189"/>
      <c r="F11" s="189"/>
      <c r="G11" s="189"/>
      <c r="H11" s="189"/>
      <c r="I11" s="189"/>
      <c r="J11" s="189"/>
      <c r="K11" s="189"/>
      <c r="L11" s="189"/>
      <c r="M11" s="189"/>
      <c r="N11" s="189"/>
      <c r="O11" s="189"/>
      <c r="P11" s="189"/>
      <c r="Q11" s="189"/>
      <c r="R11" s="189"/>
      <c r="S11" s="189"/>
      <c r="T11" s="189"/>
      <c r="U11" s="189"/>
      <c r="V11" s="189"/>
      <c r="W11" s="189"/>
      <c r="X11" s="189"/>
      <c r="Y11" s="189"/>
      <c r="Z11" s="189"/>
    </row>
    <row r="12" ht="94.5" customHeight="1">
      <c r="A12" s="189"/>
      <c r="B12" s="189"/>
      <c r="C12" s="279"/>
      <c r="D12" s="189"/>
      <c r="E12" s="189"/>
      <c r="F12" s="189"/>
      <c r="G12" s="189"/>
      <c r="H12" s="189"/>
      <c r="I12" s="189"/>
      <c r="J12" s="189"/>
      <c r="K12" s="189"/>
      <c r="L12" s="189"/>
      <c r="M12" s="189"/>
      <c r="N12" s="189"/>
      <c r="O12" s="189"/>
      <c r="P12" s="189"/>
      <c r="Q12" s="189"/>
      <c r="R12" s="189"/>
      <c r="S12" s="189"/>
      <c r="T12" s="189"/>
      <c r="U12" s="189"/>
      <c r="V12" s="189"/>
      <c r="W12" s="189"/>
      <c r="X12" s="189"/>
      <c r="Y12" s="189"/>
      <c r="Z12" s="189"/>
    </row>
    <row r="13" ht="94.5" customHeight="1">
      <c r="A13" s="189"/>
      <c r="B13" s="189"/>
      <c r="C13" s="279"/>
      <c r="D13" s="189"/>
      <c r="E13" s="189"/>
      <c r="F13" s="189"/>
      <c r="G13" s="189"/>
      <c r="H13" s="189"/>
      <c r="I13" s="189"/>
      <c r="J13" s="189"/>
      <c r="K13" s="189"/>
      <c r="L13" s="189"/>
      <c r="M13" s="189"/>
      <c r="N13" s="189"/>
      <c r="O13" s="189"/>
      <c r="P13" s="189"/>
      <c r="Q13" s="189"/>
      <c r="R13" s="189"/>
      <c r="S13" s="189"/>
      <c r="T13" s="189"/>
      <c r="U13" s="189"/>
      <c r="V13" s="189"/>
      <c r="W13" s="189"/>
      <c r="X13" s="189"/>
      <c r="Y13" s="189"/>
      <c r="Z13" s="189"/>
    </row>
    <row r="14" ht="94.5" customHeight="1">
      <c r="A14" s="189"/>
      <c r="B14" s="189"/>
      <c r="C14" s="279"/>
      <c r="D14" s="189"/>
      <c r="E14" s="189"/>
      <c r="F14" s="189"/>
      <c r="G14" s="189"/>
      <c r="H14" s="189"/>
      <c r="I14" s="189"/>
      <c r="J14" s="189"/>
      <c r="K14" s="189"/>
      <c r="L14" s="189"/>
      <c r="M14" s="189"/>
      <c r="N14" s="189"/>
      <c r="O14" s="189"/>
      <c r="P14" s="189"/>
      <c r="Q14" s="189"/>
      <c r="R14" s="189"/>
      <c r="S14" s="189"/>
      <c r="T14" s="189"/>
      <c r="U14" s="189"/>
      <c r="V14" s="189"/>
      <c r="W14" s="189"/>
      <c r="X14" s="189"/>
      <c r="Y14" s="189"/>
      <c r="Z14" s="189"/>
    </row>
    <row r="15" ht="94.5" customHeight="1">
      <c r="A15" s="189"/>
      <c r="B15" s="189"/>
      <c r="C15" s="279"/>
      <c r="D15" s="189"/>
      <c r="E15" s="189"/>
      <c r="F15" s="189"/>
      <c r="G15" s="189"/>
      <c r="H15" s="189"/>
      <c r="I15" s="189"/>
      <c r="J15" s="189"/>
      <c r="K15" s="189"/>
      <c r="L15" s="189"/>
      <c r="M15" s="189"/>
      <c r="N15" s="189"/>
      <c r="O15" s="189"/>
      <c r="P15" s="189"/>
      <c r="Q15" s="189"/>
      <c r="R15" s="189"/>
      <c r="S15" s="189"/>
      <c r="T15" s="189"/>
      <c r="U15" s="189"/>
      <c r="V15" s="189"/>
      <c r="W15" s="189"/>
      <c r="X15" s="189"/>
      <c r="Y15" s="189"/>
      <c r="Z15" s="189"/>
    </row>
    <row r="16">
      <c r="A16" s="259"/>
      <c r="B16" s="259"/>
      <c r="C16" s="259"/>
      <c r="D16" s="259"/>
      <c r="E16" s="259"/>
      <c r="F16" s="259"/>
      <c r="G16" s="259"/>
      <c r="H16" s="259"/>
      <c r="I16" s="259"/>
      <c r="J16" s="259"/>
      <c r="K16" s="259"/>
      <c r="L16" s="259"/>
      <c r="M16" s="259"/>
      <c r="N16" s="259"/>
      <c r="O16" s="259"/>
      <c r="P16" s="259"/>
      <c r="Q16" s="259"/>
      <c r="R16" s="259"/>
      <c r="S16" s="259"/>
      <c r="T16" s="259"/>
      <c r="U16" s="259"/>
      <c r="V16" s="259"/>
      <c r="W16" s="259"/>
      <c r="X16" s="259"/>
      <c r="Y16" s="259"/>
      <c r="Z16" s="259"/>
    </row>
    <row r="17">
      <c r="A17" s="259"/>
      <c r="B17" s="259"/>
      <c r="C17" s="259"/>
      <c r="D17" s="259"/>
      <c r="E17" s="259"/>
      <c r="F17" s="259"/>
      <c r="G17" s="259"/>
      <c r="H17" s="259"/>
      <c r="I17" s="259"/>
      <c r="J17" s="259"/>
      <c r="K17" s="259"/>
      <c r="L17" s="259"/>
      <c r="M17" s="259"/>
      <c r="N17" s="259"/>
      <c r="O17" s="259"/>
      <c r="P17" s="259"/>
      <c r="Q17" s="259"/>
      <c r="R17" s="259"/>
      <c r="S17" s="259"/>
      <c r="T17" s="259"/>
      <c r="U17" s="259"/>
      <c r="V17" s="259"/>
      <c r="W17" s="259"/>
      <c r="X17" s="259"/>
      <c r="Y17" s="259"/>
      <c r="Z17" s="259"/>
    </row>
    <row r="18">
      <c r="A18" s="259"/>
      <c r="B18" s="259"/>
      <c r="C18" s="259"/>
      <c r="D18" s="259"/>
      <c r="E18" s="259"/>
      <c r="F18" s="259"/>
      <c r="G18" s="259"/>
      <c r="H18" s="259"/>
      <c r="I18" s="259"/>
      <c r="J18" s="259"/>
      <c r="K18" s="259"/>
      <c r="L18" s="259"/>
      <c r="M18" s="259"/>
      <c r="N18" s="259"/>
      <c r="O18" s="259"/>
      <c r="P18" s="259"/>
      <c r="Q18" s="259"/>
      <c r="R18" s="259"/>
      <c r="S18" s="259"/>
      <c r="T18" s="259"/>
      <c r="U18" s="259"/>
      <c r="V18" s="259"/>
      <c r="W18" s="259"/>
      <c r="X18" s="259"/>
      <c r="Y18" s="259"/>
      <c r="Z18" s="259"/>
    </row>
    <row r="19">
      <c r="A19" s="259"/>
      <c r="B19" s="259"/>
      <c r="C19" s="259"/>
      <c r="D19" s="259"/>
      <c r="E19" s="259"/>
      <c r="F19" s="259"/>
      <c r="G19" s="259"/>
      <c r="H19" s="259"/>
      <c r="I19" s="259"/>
      <c r="J19" s="259"/>
      <c r="K19" s="259"/>
      <c r="L19" s="259"/>
      <c r="M19" s="259"/>
      <c r="N19" s="259"/>
      <c r="O19" s="259"/>
      <c r="P19" s="259"/>
      <c r="Q19" s="259"/>
      <c r="R19" s="259"/>
      <c r="S19" s="259"/>
      <c r="T19" s="259"/>
      <c r="U19" s="259"/>
      <c r="V19" s="259"/>
      <c r="W19" s="259"/>
      <c r="X19" s="259"/>
      <c r="Y19" s="259"/>
      <c r="Z19" s="259"/>
    </row>
    <row r="20">
      <c r="A20" s="259"/>
      <c r="B20" s="259"/>
      <c r="C20" s="259"/>
      <c r="D20" s="259"/>
      <c r="E20" s="259"/>
      <c r="F20" s="259"/>
      <c r="G20" s="259"/>
      <c r="H20" s="259"/>
      <c r="I20" s="259"/>
      <c r="J20" s="259"/>
      <c r="K20" s="259"/>
      <c r="L20" s="259"/>
      <c r="M20" s="259"/>
      <c r="N20" s="259"/>
      <c r="O20" s="259"/>
      <c r="P20" s="259"/>
      <c r="Q20" s="259"/>
      <c r="R20" s="259"/>
      <c r="S20" s="259"/>
      <c r="T20" s="259"/>
      <c r="U20" s="259"/>
      <c r="V20" s="259"/>
      <c r="W20" s="259"/>
      <c r="X20" s="259"/>
      <c r="Y20" s="259"/>
      <c r="Z20" s="259"/>
    </row>
    <row r="21">
      <c r="A21" s="259"/>
      <c r="B21" s="259"/>
      <c r="C21" s="259"/>
      <c r="D21" s="259"/>
      <c r="E21" s="259"/>
      <c r="F21" s="259"/>
      <c r="G21" s="259"/>
      <c r="H21" s="259"/>
      <c r="I21" s="259"/>
      <c r="J21" s="259"/>
      <c r="K21" s="259"/>
      <c r="L21" s="259"/>
      <c r="M21" s="259"/>
      <c r="N21" s="259"/>
      <c r="O21" s="259"/>
      <c r="P21" s="259"/>
      <c r="Q21" s="259"/>
      <c r="R21" s="259"/>
      <c r="S21" s="259"/>
      <c r="T21" s="259"/>
      <c r="U21" s="259"/>
      <c r="V21" s="259"/>
      <c r="W21" s="259"/>
      <c r="X21" s="259"/>
      <c r="Y21" s="259"/>
      <c r="Z21" s="259"/>
    </row>
    <row r="22">
      <c r="A22" s="259"/>
      <c r="B22" s="259"/>
      <c r="C22" s="259"/>
      <c r="D22" s="259"/>
      <c r="E22" s="259"/>
      <c r="F22" s="259"/>
      <c r="G22" s="259"/>
      <c r="H22" s="259"/>
      <c r="I22" s="259"/>
      <c r="J22" s="259"/>
      <c r="K22" s="259"/>
      <c r="L22" s="259"/>
      <c r="M22" s="259"/>
      <c r="N22" s="259"/>
      <c r="O22" s="259"/>
      <c r="P22" s="259"/>
      <c r="Q22" s="259"/>
      <c r="R22" s="259"/>
      <c r="S22" s="259"/>
      <c r="T22" s="259"/>
      <c r="U22" s="259"/>
      <c r="V22" s="259"/>
      <c r="W22" s="259"/>
      <c r="X22" s="259"/>
      <c r="Y22" s="259"/>
      <c r="Z22" s="259"/>
    </row>
    <row r="23">
      <c r="A23" s="259"/>
      <c r="B23" s="259"/>
      <c r="C23" s="259"/>
      <c r="D23" s="259"/>
      <c r="E23" s="259"/>
      <c r="F23" s="259"/>
      <c r="G23" s="259"/>
      <c r="H23" s="259"/>
      <c r="I23" s="259"/>
      <c r="J23" s="259"/>
      <c r="K23" s="259"/>
      <c r="L23" s="259"/>
      <c r="M23" s="259"/>
      <c r="N23" s="259"/>
      <c r="O23" s="259"/>
      <c r="P23" s="259"/>
      <c r="Q23" s="259"/>
      <c r="R23" s="259"/>
      <c r="S23" s="259"/>
      <c r="T23" s="259"/>
      <c r="U23" s="259"/>
      <c r="V23" s="259"/>
      <c r="W23" s="259"/>
      <c r="X23" s="259"/>
      <c r="Y23" s="259"/>
      <c r="Z23" s="259"/>
    </row>
    <row r="24">
      <c r="A24" s="259"/>
      <c r="B24" s="259"/>
      <c r="C24" s="259"/>
      <c r="D24" s="259"/>
      <c r="E24" s="259"/>
      <c r="F24" s="259"/>
      <c r="G24" s="259"/>
      <c r="H24" s="259"/>
      <c r="I24" s="259"/>
      <c r="J24" s="259"/>
      <c r="K24" s="259"/>
      <c r="L24" s="259"/>
      <c r="M24" s="259"/>
      <c r="N24" s="259"/>
      <c r="O24" s="259"/>
      <c r="P24" s="259"/>
      <c r="Q24" s="259"/>
      <c r="R24" s="259"/>
      <c r="S24" s="259"/>
      <c r="T24" s="259"/>
      <c r="U24" s="259"/>
      <c r="V24" s="259"/>
      <c r="W24" s="259"/>
      <c r="X24" s="259"/>
      <c r="Y24" s="259"/>
      <c r="Z24" s="259"/>
    </row>
    <row r="25">
      <c r="A25" s="259"/>
      <c r="B25" s="259"/>
      <c r="C25" s="259"/>
      <c r="D25" s="259"/>
      <c r="E25" s="259"/>
      <c r="F25" s="259"/>
      <c r="G25" s="259"/>
      <c r="H25" s="259"/>
      <c r="I25" s="259"/>
      <c r="J25" s="259"/>
      <c r="K25" s="259"/>
      <c r="L25" s="259"/>
      <c r="M25" s="259"/>
      <c r="N25" s="259"/>
      <c r="O25" s="259"/>
      <c r="P25" s="259"/>
      <c r="Q25" s="259"/>
      <c r="R25" s="259"/>
      <c r="S25" s="259"/>
      <c r="T25" s="259"/>
      <c r="U25" s="259"/>
      <c r="V25" s="259"/>
      <c r="W25" s="259"/>
      <c r="X25" s="259"/>
      <c r="Y25" s="259"/>
      <c r="Z25" s="259"/>
    </row>
    <row r="26">
      <c r="A26" s="259"/>
      <c r="B26" s="259"/>
      <c r="C26" s="259"/>
      <c r="D26" s="259"/>
      <c r="E26" s="259"/>
      <c r="F26" s="259"/>
      <c r="G26" s="259"/>
      <c r="H26" s="259"/>
      <c r="I26" s="259"/>
      <c r="J26" s="259"/>
      <c r="K26" s="259"/>
      <c r="L26" s="259"/>
      <c r="M26" s="259"/>
      <c r="N26" s="259"/>
      <c r="O26" s="259"/>
      <c r="P26" s="259"/>
      <c r="Q26" s="259"/>
      <c r="R26" s="259"/>
      <c r="S26" s="259"/>
      <c r="T26" s="259"/>
      <c r="U26" s="259"/>
      <c r="V26" s="259"/>
      <c r="W26" s="259"/>
      <c r="X26" s="259"/>
      <c r="Y26" s="259"/>
      <c r="Z26" s="259"/>
    </row>
    <row r="27">
      <c r="A27" s="259"/>
      <c r="B27" s="259"/>
      <c r="C27" s="259"/>
      <c r="D27" s="259"/>
      <c r="E27" s="259"/>
      <c r="F27" s="259"/>
      <c r="G27" s="259"/>
      <c r="H27" s="259"/>
      <c r="I27" s="259"/>
      <c r="J27" s="259"/>
      <c r="K27" s="259"/>
      <c r="L27" s="259"/>
      <c r="M27" s="259"/>
      <c r="N27" s="259"/>
      <c r="O27" s="259"/>
      <c r="P27" s="259"/>
      <c r="Q27" s="259"/>
      <c r="R27" s="259"/>
      <c r="S27" s="259"/>
      <c r="T27" s="259"/>
      <c r="U27" s="259"/>
      <c r="V27" s="259"/>
      <c r="W27" s="259"/>
      <c r="X27" s="259"/>
      <c r="Y27" s="259"/>
      <c r="Z27" s="259"/>
    </row>
    <row r="28">
      <c r="A28" s="259"/>
      <c r="B28" s="259"/>
      <c r="C28" s="259"/>
      <c r="D28" s="259"/>
      <c r="E28" s="259"/>
      <c r="F28" s="259"/>
      <c r="G28" s="259"/>
      <c r="H28" s="259"/>
      <c r="I28" s="259"/>
      <c r="J28" s="259"/>
      <c r="K28" s="259"/>
      <c r="L28" s="259"/>
      <c r="M28" s="259"/>
      <c r="N28" s="259"/>
      <c r="O28" s="259"/>
      <c r="P28" s="259"/>
      <c r="Q28" s="259"/>
      <c r="R28" s="259"/>
      <c r="S28" s="259"/>
      <c r="T28" s="259"/>
      <c r="U28" s="259"/>
      <c r="V28" s="259"/>
      <c r="W28" s="259"/>
      <c r="X28" s="259"/>
      <c r="Y28" s="259"/>
      <c r="Z28" s="259"/>
    </row>
    <row r="29">
      <c r="A29" s="259"/>
      <c r="B29" s="259"/>
      <c r="C29" s="259"/>
      <c r="D29" s="259"/>
      <c r="E29" s="259"/>
      <c r="F29" s="259"/>
      <c r="G29" s="259"/>
      <c r="H29" s="259"/>
      <c r="I29" s="259"/>
      <c r="J29" s="259"/>
      <c r="K29" s="259"/>
      <c r="L29" s="259"/>
      <c r="M29" s="259"/>
      <c r="N29" s="259"/>
      <c r="O29" s="259"/>
      <c r="P29" s="259"/>
      <c r="Q29" s="259"/>
      <c r="R29" s="259"/>
      <c r="S29" s="259"/>
      <c r="T29" s="259"/>
      <c r="U29" s="259"/>
      <c r="V29" s="259"/>
      <c r="W29" s="259"/>
      <c r="X29" s="259"/>
      <c r="Y29" s="259"/>
      <c r="Z29" s="259"/>
    </row>
    <row r="30">
      <c r="A30" s="259"/>
      <c r="B30" s="259"/>
      <c r="C30" s="259"/>
      <c r="D30" s="259"/>
      <c r="E30" s="259"/>
      <c r="F30" s="259"/>
      <c r="G30" s="259"/>
      <c r="H30" s="259"/>
      <c r="I30" s="259"/>
      <c r="J30" s="259"/>
      <c r="K30" s="259"/>
      <c r="L30" s="259"/>
      <c r="M30" s="259"/>
      <c r="N30" s="259"/>
      <c r="O30" s="259"/>
      <c r="P30" s="259"/>
      <c r="Q30" s="259"/>
      <c r="R30" s="259"/>
      <c r="S30" s="259"/>
      <c r="T30" s="259"/>
      <c r="U30" s="259"/>
      <c r="V30" s="259"/>
      <c r="W30" s="259"/>
      <c r="X30" s="259"/>
      <c r="Y30" s="259"/>
      <c r="Z30" s="259"/>
    </row>
    <row r="31">
      <c r="A31" s="259"/>
      <c r="B31" s="259"/>
      <c r="C31" s="259"/>
      <c r="D31" s="259"/>
      <c r="E31" s="259"/>
      <c r="F31" s="259"/>
      <c r="G31" s="259"/>
      <c r="H31" s="259"/>
      <c r="I31" s="259"/>
      <c r="J31" s="259"/>
      <c r="K31" s="259"/>
      <c r="L31" s="259"/>
      <c r="M31" s="259"/>
      <c r="N31" s="259"/>
      <c r="O31" s="259"/>
      <c r="P31" s="259"/>
      <c r="Q31" s="259"/>
      <c r="R31" s="259"/>
      <c r="S31" s="259"/>
      <c r="T31" s="259"/>
      <c r="U31" s="259"/>
      <c r="V31" s="259"/>
      <c r="W31" s="259"/>
      <c r="X31" s="259"/>
      <c r="Y31" s="259"/>
      <c r="Z31" s="259"/>
    </row>
    <row r="32">
      <c r="A32" s="259"/>
      <c r="B32" s="259"/>
      <c r="C32" s="259"/>
      <c r="D32" s="259"/>
      <c r="E32" s="259"/>
      <c r="F32" s="259"/>
      <c r="G32" s="259"/>
      <c r="H32" s="259"/>
      <c r="I32" s="259"/>
      <c r="J32" s="259"/>
      <c r="K32" s="259"/>
      <c r="L32" s="259"/>
      <c r="M32" s="259"/>
      <c r="N32" s="259"/>
      <c r="O32" s="259"/>
      <c r="P32" s="259"/>
      <c r="Q32" s="259"/>
      <c r="R32" s="259"/>
      <c r="S32" s="259"/>
      <c r="T32" s="259"/>
      <c r="U32" s="259"/>
      <c r="V32" s="259"/>
      <c r="W32" s="259"/>
      <c r="X32" s="259"/>
      <c r="Y32" s="259"/>
      <c r="Z32" s="259"/>
    </row>
    <row r="33">
      <c r="A33" s="259"/>
      <c r="B33" s="259"/>
      <c r="C33" s="259"/>
      <c r="D33" s="259"/>
      <c r="E33" s="259"/>
      <c r="F33" s="259"/>
      <c r="G33" s="259"/>
      <c r="H33" s="259"/>
      <c r="I33" s="259"/>
      <c r="J33" s="259"/>
      <c r="K33" s="259"/>
      <c r="L33" s="259"/>
      <c r="M33" s="259"/>
      <c r="N33" s="259"/>
      <c r="O33" s="259"/>
      <c r="P33" s="259"/>
      <c r="Q33" s="259"/>
      <c r="R33" s="259"/>
      <c r="S33" s="259"/>
      <c r="T33" s="259"/>
      <c r="U33" s="259"/>
      <c r="V33" s="259"/>
      <c r="W33" s="259"/>
      <c r="X33" s="259"/>
      <c r="Y33" s="259"/>
      <c r="Z33" s="259"/>
    </row>
    <row r="34">
      <c r="A34" s="259"/>
      <c r="B34" s="259"/>
      <c r="C34" s="259"/>
      <c r="D34" s="259"/>
      <c r="E34" s="259"/>
      <c r="F34" s="259"/>
      <c r="G34" s="259"/>
      <c r="H34" s="259"/>
      <c r="I34" s="259"/>
      <c r="J34" s="259"/>
      <c r="K34" s="259"/>
      <c r="L34" s="259"/>
      <c r="M34" s="259"/>
      <c r="N34" s="259"/>
      <c r="O34" s="259"/>
      <c r="P34" s="259"/>
      <c r="Q34" s="259"/>
      <c r="R34" s="259"/>
      <c r="S34" s="259"/>
      <c r="T34" s="259"/>
      <c r="U34" s="259"/>
      <c r="V34" s="259"/>
      <c r="W34" s="259"/>
      <c r="X34" s="259"/>
      <c r="Y34" s="259"/>
      <c r="Z34" s="259"/>
    </row>
    <row r="35">
      <c r="A35" s="259"/>
      <c r="B35" s="259"/>
      <c r="C35" s="259"/>
      <c r="D35" s="259"/>
      <c r="E35" s="259"/>
      <c r="F35" s="259"/>
      <c r="G35" s="259"/>
      <c r="H35" s="259"/>
      <c r="I35" s="259"/>
      <c r="J35" s="259"/>
      <c r="K35" s="259"/>
      <c r="L35" s="259"/>
      <c r="M35" s="259"/>
      <c r="N35" s="259"/>
      <c r="O35" s="259"/>
      <c r="P35" s="259"/>
      <c r="Q35" s="259"/>
      <c r="R35" s="259"/>
      <c r="S35" s="259"/>
      <c r="T35" s="259"/>
      <c r="U35" s="259"/>
      <c r="V35" s="259"/>
      <c r="W35" s="259"/>
      <c r="X35" s="259"/>
      <c r="Y35" s="259"/>
      <c r="Z35" s="259"/>
    </row>
    <row r="36">
      <c r="A36" s="259"/>
      <c r="B36" s="259"/>
      <c r="C36" s="259"/>
      <c r="D36" s="259"/>
      <c r="E36" s="259"/>
      <c r="F36" s="259"/>
      <c r="G36" s="259"/>
      <c r="H36" s="259"/>
      <c r="I36" s="259"/>
      <c r="J36" s="259"/>
      <c r="K36" s="259"/>
      <c r="L36" s="259"/>
      <c r="M36" s="259"/>
      <c r="N36" s="259"/>
      <c r="O36" s="259"/>
      <c r="P36" s="259"/>
      <c r="Q36" s="259"/>
      <c r="R36" s="259"/>
      <c r="S36" s="259"/>
      <c r="T36" s="259"/>
      <c r="U36" s="259"/>
      <c r="V36" s="259"/>
      <c r="W36" s="259"/>
      <c r="X36" s="259"/>
      <c r="Y36" s="259"/>
      <c r="Z36" s="259"/>
    </row>
    <row r="37">
      <c r="A37" s="259"/>
      <c r="B37" s="259"/>
      <c r="C37" s="259"/>
      <c r="D37" s="259"/>
      <c r="E37" s="259"/>
      <c r="F37" s="259"/>
      <c r="G37" s="259"/>
      <c r="H37" s="259"/>
      <c r="I37" s="259"/>
      <c r="J37" s="259"/>
      <c r="K37" s="259"/>
      <c r="L37" s="259"/>
      <c r="M37" s="259"/>
      <c r="N37" s="259"/>
      <c r="O37" s="259"/>
      <c r="P37" s="259"/>
      <c r="Q37" s="259"/>
      <c r="R37" s="259"/>
      <c r="S37" s="259"/>
      <c r="T37" s="259"/>
      <c r="U37" s="259"/>
      <c r="V37" s="259"/>
      <c r="W37" s="259"/>
      <c r="X37" s="259"/>
      <c r="Y37" s="259"/>
      <c r="Z37" s="259"/>
    </row>
    <row r="38">
      <c r="A38" s="259"/>
      <c r="B38" s="259"/>
      <c r="C38" s="259"/>
      <c r="D38" s="259"/>
      <c r="E38" s="259"/>
      <c r="F38" s="259"/>
      <c r="G38" s="259"/>
      <c r="H38" s="259"/>
      <c r="I38" s="259"/>
      <c r="J38" s="259"/>
      <c r="K38" s="259"/>
      <c r="L38" s="259"/>
      <c r="M38" s="259"/>
      <c r="N38" s="259"/>
      <c r="O38" s="259"/>
      <c r="P38" s="259"/>
      <c r="Q38" s="259"/>
      <c r="R38" s="259"/>
      <c r="S38" s="259"/>
      <c r="T38" s="259"/>
      <c r="U38" s="259"/>
      <c r="V38" s="259"/>
      <c r="W38" s="259"/>
      <c r="X38" s="259"/>
      <c r="Y38" s="259"/>
      <c r="Z38" s="259"/>
    </row>
    <row r="39">
      <c r="A39" s="259"/>
      <c r="B39" s="259"/>
      <c r="C39" s="259"/>
      <c r="D39" s="259"/>
      <c r="E39" s="259"/>
      <c r="F39" s="259"/>
      <c r="G39" s="259"/>
      <c r="H39" s="259"/>
      <c r="I39" s="259"/>
      <c r="J39" s="259"/>
      <c r="K39" s="259"/>
      <c r="L39" s="259"/>
      <c r="M39" s="259"/>
      <c r="N39" s="259"/>
      <c r="O39" s="259"/>
      <c r="P39" s="259"/>
      <c r="Q39" s="259"/>
      <c r="R39" s="259"/>
      <c r="S39" s="259"/>
      <c r="T39" s="259"/>
      <c r="U39" s="259"/>
      <c r="V39" s="259"/>
      <c r="W39" s="259"/>
      <c r="X39" s="259"/>
      <c r="Y39" s="259"/>
      <c r="Z39" s="259"/>
    </row>
    <row r="40">
      <c r="A40" s="259"/>
      <c r="B40" s="259"/>
      <c r="C40" s="259"/>
      <c r="D40" s="259"/>
      <c r="E40" s="259"/>
      <c r="F40" s="259"/>
      <c r="G40" s="259"/>
      <c r="H40" s="259"/>
      <c r="I40" s="259"/>
      <c r="J40" s="259"/>
      <c r="K40" s="259"/>
      <c r="L40" s="259"/>
      <c r="M40" s="259"/>
      <c r="N40" s="259"/>
      <c r="O40" s="259"/>
      <c r="P40" s="259"/>
      <c r="Q40" s="259"/>
      <c r="R40" s="259"/>
      <c r="S40" s="259"/>
      <c r="T40" s="259"/>
      <c r="U40" s="259"/>
      <c r="V40" s="259"/>
      <c r="W40" s="259"/>
      <c r="X40" s="259"/>
      <c r="Y40" s="259"/>
      <c r="Z40" s="259"/>
    </row>
    <row r="41">
      <c r="A41" s="259"/>
      <c r="B41" s="259"/>
      <c r="C41" s="259"/>
      <c r="D41" s="259"/>
      <c r="E41" s="259"/>
      <c r="F41" s="259"/>
      <c r="G41" s="259"/>
      <c r="H41" s="259"/>
      <c r="I41" s="259"/>
      <c r="J41" s="259"/>
      <c r="K41" s="259"/>
      <c r="L41" s="259"/>
      <c r="M41" s="259"/>
      <c r="N41" s="259"/>
      <c r="O41" s="259"/>
      <c r="P41" s="259"/>
      <c r="Q41" s="259"/>
      <c r="R41" s="259"/>
      <c r="S41" s="259"/>
      <c r="T41" s="259"/>
      <c r="U41" s="259"/>
      <c r="V41" s="259"/>
      <c r="W41" s="259"/>
      <c r="X41" s="259"/>
      <c r="Y41" s="259"/>
      <c r="Z41" s="259"/>
    </row>
    <row r="42">
      <c r="A42" s="259"/>
      <c r="B42" s="259"/>
      <c r="C42" s="259"/>
      <c r="D42" s="259"/>
      <c r="E42" s="259"/>
      <c r="F42" s="259"/>
      <c r="G42" s="259"/>
      <c r="H42" s="259"/>
      <c r="I42" s="259"/>
      <c r="J42" s="259"/>
      <c r="K42" s="259"/>
      <c r="L42" s="259"/>
      <c r="M42" s="259"/>
      <c r="N42" s="259"/>
      <c r="O42" s="259"/>
      <c r="P42" s="259"/>
      <c r="Q42" s="259"/>
      <c r="R42" s="259"/>
      <c r="S42" s="259"/>
      <c r="T42" s="259"/>
      <c r="U42" s="259"/>
      <c r="V42" s="259"/>
      <c r="W42" s="259"/>
      <c r="X42" s="259"/>
      <c r="Y42" s="259"/>
      <c r="Z42" s="259"/>
    </row>
    <row r="43">
      <c r="A43" s="259"/>
      <c r="B43" s="259"/>
      <c r="C43" s="259"/>
      <c r="D43" s="259"/>
      <c r="E43" s="259"/>
      <c r="F43" s="259"/>
      <c r="G43" s="259"/>
      <c r="H43" s="259"/>
      <c r="I43" s="259"/>
      <c r="J43" s="259"/>
      <c r="K43" s="259"/>
      <c r="L43" s="259"/>
      <c r="M43" s="259"/>
      <c r="N43" s="259"/>
      <c r="O43" s="259"/>
      <c r="P43" s="259"/>
      <c r="Q43" s="259"/>
      <c r="R43" s="259"/>
      <c r="S43" s="259"/>
      <c r="T43" s="259"/>
      <c r="U43" s="259"/>
      <c r="V43" s="259"/>
      <c r="W43" s="259"/>
      <c r="X43" s="259"/>
      <c r="Y43" s="259"/>
      <c r="Z43" s="259"/>
    </row>
    <row r="44">
      <c r="A44" s="259"/>
      <c r="B44" s="259"/>
      <c r="C44" s="259"/>
      <c r="D44" s="259"/>
      <c r="E44" s="259"/>
      <c r="F44" s="259"/>
      <c r="G44" s="259"/>
      <c r="H44" s="259"/>
      <c r="I44" s="259"/>
      <c r="J44" s="259"/>
      <c r="K44" s="259"/>
      <c r="L44" s="259"/>
      <c r="M44" s="259"/>
      <c r="N44" s="259"/>
      <c r="O44" s="259"/>
      <c r="P44" s="259"/>
      <c r="Q44" s="259"/>
      <c r="R44" s="259"/>
      <c r="S44" s="259"/>
      <c r="T44" s="259"/>
      <c r="U44" s="259"/>
      <c r="V44" s="259"/>
      <c r="W44" s="259"/>
      <c r="X44" s="259"/>
      <c r="Y44" s="259"/>
      <c r="Z44" s="259"/>
    </row>
    <row r="45">
      <c r="A45" s="259"/>
      <c r="B45" s="259"/>
      <c r="C45" s="259"/>
      <c r="D45" s="259"/>
      <c r="E45" s="259"/>
      <c r="F45" s="259"/>
      <c r="G45" s="259"/>
      <c r="H45" s="259"/>
      <c r="I45" s="259"/>
      <c r="J45" s="259"/>
      <c r="K45" s="259"/>
      <c r="L45" s="259"/>
      <c r="M45" s="259"/>
      <c r="N45" s="259"/>
      <c r="O45" s="259"/>
      <c r="P45" s="259"/>
      <c r="Q45" s="259"/>
      <c r="R45" s="259"/>
      <c r="S45" s="259"/>
      <c r="T45" s="259"/>
      <c r="U45" s="259"/>
      <c r="V45" s="259"/>
      <c r="W45" s="259"/>
      <c r="X45" s="259"/>
      <c r="Y45" s="259"/>
      <c r="Z45" s="259"/>
    </row>
    <row r="46">
      <c r="A46" s="259"/>
      <c r="B46" s="259"/>
      <c r="C46" s="259"/>
      <c r="D46" s="259"/>
      <c r="E46" s="259"/>
      <c r="F46" s="259"/>
      <c r="G46" s="259"/>
      <c r="H46" s="259"/>
      <c r="I46" s="259"/>
      <c r="J46" s="259"/>
      <c r="K46" s="259"/>
      <c r="L46" s="259"/>
      <c r="M46" s="259"/>
      <c r="N46" s="259"/>
      <c r="O46" s="259"/>
      <c r="P46" s="259"/>
      <c r="Q46" s="259"/>
      <c r="R46" s="259"/>
      <c r="S46" s="259"/>
      <c r="T46" s="259"/>
      <c r="U46" s="259"/>
      <c r="V46" s="259"/>
      <c r="W46" s="259"/>
      <c r="X46" s="259"/>
      <c r="Y46" s="259"/>
      <c r="Z46" s="259"/>
    </row>
    <row r="47">
      <c r="A47" s="259"/>
      <c r="B47" s="259"/>
      <c r="C47" s="259"/>
      <c r="D47" s="259"/>
      <c r="E47" s="259"/>
      <c r="F47" s="259"/>
      <c r="G47" s="259"/>
      <c r="H47" s="259"/>
      <c r="I47" s="259"/>
      <c r="J47" s="259"/>
      <c r="K47" s="259"/>
      <c r="L47" s="259"/>
      <c r="M47" s="259"/>
      <c r="N47" s="259"/>
      <c r="O47" s="259"/>
      <c r="P47" s="259"/>
      <c r="Q47" s="259"/>
      <c r="R47" s="259"/>
      <c r="S47" s="259"/>
      <c r="T47" s="259"/>
      <c r="U47" s="259"/>
      <c r="V47" s="259"/>
      <c r="W47" s="259"/>
      <c r="X47" s="259"/>
      <c r="Y47" s="259"/>
      <c r="Z47" s="259"/>
    </row>
    <row r="48">
      <c r="A48" s="259"/>
      <c r="B48" s="259"/>
      <c r="C48" s="259"/>
      <c r="D48" s="259"/>
      <c r="E48" s="259"/>
      <c r="F48" s="259"/>
      <c r="G48" s="259"/>
      <c r="H48" s="259"/>
      <c r="I48" s="259"/>
      <c r="J48" s="259"/>
      <c r="K48" s="259"/>
      <c r="L48" s="259"/>
      <c r="M48" s="259"/>
      <c r="N48" s="259"/>
      <c r="O48" s="259"/>
      <c r="P48" s="259"/>
      <c r="Q48" s="259"/>
      <c r="R48" s="259"/>
      <c r="S48" s="259"/>
      <c r="T48" s="259"/>
      <c r="U48" s="259"/>
      <c r="V48" s="259"/>
      <c r="W48" s="259"/>
      <c r="X48" s="259"/>
      <c r="Y48" s="259"/>
      <c r="Z48" s="259"/>
    </row>
    <row r="49">
      <c r="A49" s="259"/>
      <c r="B49" s="259"/>
      <c r="C49" s="259"/>
      <c r="D49" s="259"/>
      <c r="E49" s="259"/>
      <c r="F49" s="259"/>
      <c r="G49" s="259"/>
      <c r="H49" s="259"/>
      <c r="I49" s="259"/>
      <c r="J49" s="259"/>
      <c r="K49" s="259"/>
      <c r="L49" s="259"/>
      <c r="M49" s="259"/>
      <c r="N49" s="259"/>
      <c r="O49" s="259"/>
      <c r="P49" s="259"/>
      <c r="Q49" s="259"/>
      <c r="R49" s="259"/>
      <c r="S49" s="259"/>
      <c r="T49" s="259"/>
      <c r="U49" s="259"/>
      <c r="V49" s="259"/>
      <c r="W49" s="259"/>
      <c r="X49" s="259"/>
      <c r="Y49" s="259"/>
      <c r="Z49" s="259"/>
    </row>
    <row r="50">
      <c r="A50" s="259"/>
      <c r="B50" s="259"/>
      <c r="C50" s="259"/>
      <c r="D50" s="259"/>
      <c r="E50" s="259"/>
      <c r="F50" s="259"/>
      <c r="G50" s="259"/>
      <c r="H50" s="259"/>
      <c r="I50" s="259"/>
      <c r="J50" s="259"/>
      <c r="K50" s="259"/>
      <c r="L50" s="259"/>
      <c r="M50" s="259"/>
      <c r="N50" s="259"/>
      <c r="O50" s="259"/>
      <c r="P50" s="259"/>
      <c r="Q50" s="259"/>
      <c r="R50" s="259"/>
      <c r="S50" s="259"/>
      <c r="T50" s="259"/>
      <c r="U50" s="259"/>
      <c r="V50" s="259"/>
      <c r="W50" s="259"/>
      <c r="X50" s="259"/>
      <c r="Y50" s="259"/>
      <c r="Z50" s="259"/>
    </row>
    <row r="51">
      <c r="A51" s="259"/>
      <c r="B51" s="259"/>
      <c r="C51" s="259"/>
      <c r="D51" s="259"/>
      <c r="E51" s="259"/>
      <c r="F51" s="259"/>
      <c r="G51" s="259"/>
      <c r="H51" s="259"/>
      <c r="I51" s="259"/>
      <c r="J51" s="259"/>
      <c r="K51" s="259"/>
      <c r="L51" s="259"/>
      <c r="M51" s="259"/>
      <c r="N51" s="259"/>
      <c r="O51" s="259"/>
      <c r="P51" s="259"/>
      <c r="Q51" s="259"/>
      <c r="R51" s="259"/>
      <c r="S51" s="259"/>
      <c r="T51" s="259"/>
      <c r="U51" s="259"/>
      <c r="V51" s="259"/>
      <c r="W51" s="259"/>
      <c r="X51" s="259"/>
      <c r="Y51" s="259"/>
      <c r="Z51" s="259"/>
    </row>
    <row r="52">
      <c r="A52" s="259"/>
      <c r="B52" s="259"/>
      <c r="C52" s="259"/>
      <c r="D52" s="259"/>
      <c r="E52" s="259"/>
      <c r="F52" s="259"/>
      <c r="G52" s="259"/>
      <c r="H52" s="259"/>
      <c r="I52" s="259"/>
      <c r="J52" s="259"/>
      <c r="K52" s="259"/>
      <c r="L52" s="259"/>
      <c r="M52" s="259"/>
      <c r="N52" s="259"/>
      <c r="O52" s="259"/>
      <c r="P52" s="259"/>
      <c r="Q52" s="259"/>
      <c r="R52" s="259"/>
      <c r="S52" s="259"/>
      <c r="T52" s="259"/>
      <c r="U52" s="259"/>
      <c r="V52" s="259"/>
      <c r="W52" s="259"/>
      <c r="X52" s="259"/>
      <c r="Y52" s="259"/>
      <c r="Z52" s="259"/>
    </row>
    <row r="53">
      <c r="A53" s="259"/>
      <c r="B53" s="259"/>
      <c r="C53" s="259"/>
      <c r="D53" s="259"/>
      <c r="E53" s="259"/>
      <c r="F53" s="259"/>
      <c r="G53" s="259"/>
      <c r="H53" s="259"/>
      <c r="I53" s="259"/>
      <c r="J53" s="259"/>
      <c r="K53" s="259"/>
      <c r="L53" s="259"/>
      <c r="M53" s="259"/>
      <c r="N53" s="259"/>
      <c r="O53" s="259"/>
      <c r="P53" s="259"/>
      <c r="Q53" s="259"/>
      <c r="R53" s="259"/>
      <c r="S53" s="259"/>
      <c r="T53" s="259"/>
      <c r="U53" s="259"/>
      <c r="V53" s="259"/>
      <c r="W53" s="259"/>
      <c r="X53" s="259"/>
      <c r="Y53" s="259"/>
      <c r="Z53" s="259"/>
    </row>
    <row r="54">
      <c r="A54" s="259"/>
      <c r="B54" s="259"/>
      <c r="C54" s="259"/>
      <c r="D54" s="259"/>
      <c r="E54" s="259"/>
      <c r="F54" s="259"/>
      <c r="G54" s="259"/>
      <c r="H54" s="259"/>
      <c r="I54" s="259"/>
      <c r="J54" s="259"/>
      <c r="K54" s="259"/>
      <c r="L54" s="259"/>
      <c r="M54" s="259"/>
      <c r="N54" s="259"/>
      <c r="O54" s="259"/>
      <c r="P54" s="259"/>
      <c r="Q54" s="259"/>
      <c r="R54" s="259"/>
      <c r="S54" s="259"/>
      <c r="T54" s="259"/>
      <c r="U54" s="259"/>
      <c r="V54" s="259"/>
      <c r="W54" s="259"/>
      <c r="X54" s="259"/>
      <c r="Y54" s="259"/>
      <c r="Z54" s="259"/>
    </row>
    <row r="55">
      <c r="A55" s="259"/>
      <c r="B55" s="259"/>
      <c r="C55" s="259"/>
      <c r="D55" s="259"/>
      <c r="E55" s="259"/>
      <c r="F55" s="259"/>
      <c r="G55" s="259"/>
      <c r="H55" s="259"/>
      <c r="I55" s="259"/>
      <c r="J55" s="259"/>
      <c r="K55" s="259"/>
      <c r="L55" s="259"/>
      <c r="M55" s="259"/>
      <c r="N55" s="259"/>
      <c r="O55" s="259"/>
      <c r="P55" s="259"/>
      <c r="Q55" s="259"/>
      <c r="R55" s="259"/>
      <c r="S55" s="259"/>
      <c r="T55" s="259"/>
      <c r="U55" s="259"/>
      <c r="V55" s="259"/>
      <c r="W55" s="259"/>
      <c r="X55" s="259"/>
      <c r="Y55" s="259"/>
      <c r="Z55" s="259"/>
    </row>
    <row r="56">
      <c r="A56" s="259"/>
      <c r="B56" s="259"/>
      <c r="C56" s="259"/>
      <c r="D56" s="259"/>
      <c r="E56" s="259"/>
      <c r="F56" s="259"/>
      <c r="G56" s="259"/>
      <c r="H56" s="259"/>
      <c r="I56" s="259"/>
      <c r="J56" s="259"/>
      <c r="K56" s="259"/>
      <c r="L56" s="259"/>
      <c r="M56" s="259"/>
      <c r="N56" s="259"/>
      <c r="O56" s="259"/>
      <c r="P56" s="259"/>
      <c r="Q56" s="259"/>
      <c r="R56" s="259"/>
      <c r="S56" s="259"/>
      <c r="T56" s="259"/>
      <c r="U56" s="259"/>
      <c r="V56" s="259"/>
      <c r="W56" s="259"/>
      <c r="X56" s="259"/>
      <c r="Y56" s="259"/>
      <c r="Z56" s="259"/>
    </row>
    <row r="57">
      <c r="A57" s="259"/>
      <c r="B57" s="259"/>
      <c r="C57" s="259"/>
      <c r="D57" s="259"/>
      <c r="E57" s="259"/>
      <c r="F57" s="259"/>
      <c r="G57" s="259"/>
      <c r="H57" s="259"/>
      <c r="I57" s="259"/>
      <c r="J57" s="259"/>
      <c r="K57" s="259"/>
      <c r="L57" s="259"/>
      <c r="M57" s="259"/>
      <c r="N57" s="259"/>
      <c r="O57" s="259"/>
      <c r="P57" s="259"/>
      <c r="Q57" s="259"/>
      <c r="R57" s="259"/>
      <c r="S57" s="259"/>
      <c r="T57" s="259"/>
      <c r="U57" s="259"/>
      <c r="V57" s="259"/>
      <c r="W57" s="259"/>
      <c r="X57" s="259"/>
      <c r="Y57" s="259"/>
      <c r="Z57" s="259"/>
    </row>
    <row r="58">
      <c r="A58" s="259"/>
      <c r="B58" s="259"/>
      <c r="C58" s="259"/>
      <c r="D58" s="259"/>
      <c r="E58" s="259"/>
      <c r="F58" s="259"/>
      <c r="G58" s="259"/>
      <c r="H58" s="259"/>
      <c r="I58" s="259"/>
      <c r="J58" s="259"/>
      <c r="K58" s="259"/>
      <c r="L58" s="259"/>
      <c r="M58" s="259"/>
      <c r="N58" s="259"/>
      <c r="O58" s="259"/>
      <c r="P58" s="259"/>
      <c r="Q58" s="259"/>
      <c r="R58" s="259"/>
      <c r="S58" s="259"/>
      <c r="T58" s="259"/>
      <c r="U58" s="259"/>
      <c r="V58" s="259"/>
      <c r="W58" s="259"/>
      <c r="X58" s="259"/>
      <c r="Y58" s="259"/>
      <c r="Z58" s="259"/>
    </row>
    <row r="59">
      <c r="A59" s="259"/>
      <c r="B59" s="259"/>
      <c r="C59" s="259"/>
      <c r="D59" s="259"/>
      <c r="E59" s="259"/>
      <c r="F59" s="259"/>
      <c r="G59" s="259"/>
      <c r="H59" s="259"/>
      <c r="I59" s="259"/>
      <c r="J59" s="259"/>
      <c r="K59" s="259"/>
      <c r="L59" s="259"/>
      <c r="M59" s="259"/>
      <c r="N59" s="259"/>
      <c r="O59" s="259"/>
      <c r="P59" s="259"/>
      <c r="Q59" s="259"/>
      <c r="R59" s="259"/>
      <c r="S59" s="259"/>
      <c r="T59" s="259"/>
      <c r="U59" s="259"/>
      <c r="V59" s="259"/>
      <c r="W59" s="259"/>
      <c r="X59" s="259"/>
      <c r="Y59" s="259"/>
      <c r="Z59" s="259"/>
    </row>
    <row r="60">
      <c r="A60" s="259"/>
      <c r="B60" s="259"/>
      <c r="C60" s="259"/>
      <c r="D60" s="259"/>
      <c r="E60" s="259"/>
      <c r="F60" s="259"/>
      <c r="G60" s="259"/>
      <c r="H60" s="259"/>
      <c r="I60" s="259"/>
      <c r="J60" s="259"/>
      <c r="K60" s="259"/>
      <c r="L60" s="259"/>
      <c r="M60" s="259"/>
      <c r="N60" s="259"/>
      <c r="O60" s="259"/>
      <c r="P60" s="259"/>
      <c r="Q60" s="259"/>
      <c r="R60" s="259"/>
      <c r="S60" s="259"/>
      <c r="T60" s="259"/>
      <c r="U60" s="259"/>
      <c r="V60" s="259"/>
      <c r="W60" s="259"/>
      <c r="X60" s="259"/>
      <c r="Y60" s="259"/>
      <c r="Z60" s="259"/>
    </row>
    <row r="61">
      <c r="A61" s="259"/>
      <c r="B61" s="259"/>
      <c r="C61" s="259"/>
      <c r="D61" s="259"/>
      <c r="E61" s="259"/>
      <c r="F61" s="259"/>
      <c r="G61" s="259"/>
      <c r="H61" s="259"/>
      <c r="I61" s="259"/>
      <c r="J61" s="259"/>
      <c r="K61" s="259"/>
      <c r="L61" s="259"/>
      <c r="M61" s="259"/>
      <c r="N61" s="259"/>
      <c r="O61" s="259"/>
      <c r="P61" s="259"/>
      <c r="Q61" s="259"/>
      <c r="R61" s="259"/>
      <c r="S61" s="259"/>
      <c r="T61" s="259"/>
      <c r="U61" s="259"/>
      <c r="V61" s="259"/>
      <c r="W61" s="259"/>
      <c r="X61" s="259"/>
      <c r="Y61" s="259"/>
      <c r="Z61" s="259"/>
    </row>
    <row r="62">
      <c r="A62" s="259"/>
      <c r="B62" s="259"/>
      <c r="C62" s="259"/>
      <c r="D62" s="259"/>
      <c r="E62" s="259"/>
      <c r="F62" s="259"/>
      <c r="G62" s="259"/>
      <c r="H62" s="259"/>
      <c r="I62" s="259"/>
      <c r="J62" s="259"/>
      <c r="K62" s="259"/>
      <c r="L62" s="259"/>
      <c r="M62" s="259"/>
      <c r="N62" s="259"/>
      <c r="O62" s="259"/>
      <c r="P62" s="259"/>
      <c r="Q62" s="259"/>
      <c r="R62" s="259"/>
      <c r="S62" s="259"/>
      <c r="T62" s="259"/>
      <c r="U62" s="259"/>
      <c r="V62" s="259"/>
      <c r="W62" s="259"/>
      <c r="X62" s="259"/>
      <c r="Y62" s="259"/>
      <c r="Z62" s="259"/>
    </row>
    <row r="63">
      <c r="A63" s="259"/>
      <c r="B63" s="259"/>
      <c r="C63" s="259"/>
      <c r="D63" s="259"/>
      <c r="E63" s="259"/>
      <c r="F63" s="259"/>
      <c r="G63" s="259"/>
      <c r="H63" s="259"/>
      <c r="I63" s="259"/>
      <c r="J63" s="259"/>
      <c r="K63" s="259"/>
      <c r="L63" s="259"/>
      <c r="M63" s="259"/>
      <c r="N63" s="259"/>
      <c r="O63" s="259"/>
      <c r="P63" s="259"/>
      <c r="Q63" s="259"/>
      <c r="R63" s="259"/>
      <c r="S63" s="259"/>
      <c r="T63" s="259"/>
      <c r="U63" s="259"/>
      <c r="V63" s="259"/>
      <c r="W63" s="259"/>
      <c r="X63" s="259"/>
      <c r="Y63" s="259"/>
      <c r="Z63" s="259"/>
    </row>
    <row r="64">
      <c r="A64" s="259"/>
      <c r="B64" s="259"/>
      <c r="C64" s="259"/>
      <c r="D64" s="259"/>
      <c r="E64" s="259"/>
      <c r="F64" s="259"/>
      <c r="G64" s="259"/>
      <c r="H64" s="259"/>
      <c r="I64" s="259"/>
      <c r="J64" s="259"/>
      <c r="K64" s="259"/>
      <c r="L64" s="259"/>
      <c r="M64" s="259"/>
      <c r="N64" s="259"/>
      <c r="O64" s="259"/>
      <c r="P64" s="259"/>
      <c r="Q64" s="259"/>
      <c r="R64" s="259"/>
      <c r="S64" s="259"/>
      <c r="T64" s="259"/>
      <c r="U64" s="259"/>
      <c r="V64" s="259"/>
      <c r="W64" s="259"/>
      <c r="X64" s="259"/>
      <c r="Y64" s="259"/>
      <c r="Z64" s="259"/>
    </row>
    <row r="65">
      <c r="A65" s="259"/>
      <c r="B65" s="259"/>
      <c r="C65" s="259"/>
      <c r="D65" s="259"/>
      <c r="E65" s="259"/>
      <c r="F65" s="259"/>
      <c r="G65" s="259"/>
      <c r="H65" s="259"/>
      <c r="I65" s="259"/>
      <c r="J65" s="259"/>
      <c r="K65" s="259"/>
      <c r="L65" s="259"/>
      <c r="M65" s="259"/>
      <c r="N65" s="259"/>
      <c r="O65" s="259"/>
      <c r="P65" s="259"/>
      <c r="Q65" s="259"/>
      <c r="R65" s="259"/>
      <c r="S65" s="259"/>
      <c r="T65" s="259"/>
      <c r="U65" s="259"/>
      <c r="V65" s="259"/>
      <c r="W65" s="259"/>
      <c r="X65" s="259"/>
      <c r="Y65" s="259"/>
      <c r="Z65" s="259"/>
    </row>
    <row r="66">
      <c r="A66" s="259"/>
      <c r="B66" s="259"/>
      <c r="C66" s="259"/>
      <c r="D66" s="259"/>
      <c r="E66" s="259"/>
      <c r="F66" s="259"/>
      <c r="G66" s="259"/>
      <c r="H66" s="259"/>
      <c r="I66" s="259"/>
      <c r="J66" s="259"/>
      <c r="K66" s="259"/>
      <c r="L66" s="259"/>
      <c r="M66" s="259"/>
      <c r="N66" s="259"/>
      <c r="O66" s="259"/>
      <c r="P66" s="259"/>
      <c r="Q66" s="259"/>
      <c r="R66" s="259"/>
      <c r="S66" s="259"/>
      <c r="T66" s="259"/>
      <c r="U66" s="259"/>
      <c r="V66" s="259"/>
      <c r="W66" s="259"/>
      <c r="X66" s="259"/>
      <c r="Y66" s="259"/>
      <c r="Z66" s="259"/>
    </row>
    <row r="67">
      <c r="A67" s="259"/>
      <c r="B67" s="259"/>
      <c r="C67" s="259"/>
      <c r="D67" s="259"/>
      <c r="E67" s="259"/>
      <c r="F67" s="259"/>
      <c r="G67" s="259"/>
      <c r="H67" s="259"/>
      <c r="I67" s="259"/>
      <c r="J67" s="259"/>
      <c r="K67" s="259"/>
      <c r="L67" s="259"/>
      <c r="M67" s="259"/>
      <c r="N67" s="259"/>
      <c r="O67" s="259"/>
      <c r="P67" s="259"/>
      <c r="Q67" s="259"/>
      <c r="R67" s="259"/>
      <c r="S67" s="259"/>
      <c r="T67" s="259"/>
      <c r="U67" s="259"/>
      <c r="V67" s="259"/>
      <c r="W67" s="259"/>
      <c r="X67" s="259"/>
      <c r="Y67" s="259"/>
      <c r="Z67" s="259"/>
    </row>
    <row r="68">
      <c r="A68" s="259"/>
      <c r="B68" s="259"/>
      <c r="C68" s="259"/>
      <c r="D68" s="259"/>
      <c r="E68" s="259"/>
      <c r="F68" s="259"/>
      <c r="G68" s="259"/>
      <c r="H68" s="259"/>
      <c r="I68" s="259"/>
      <c r="J68" s="259"/>
      <c r="K68" s="259"/>
      <c r="L68" s="259"/>
      <c r="M68" s="259"/>
      <c r="N68" s="259"/>
      <c r="O68" s="259"/>
      <c r="P68" s="259"/>
      <c r="Q68" s="259"/>
      <c r="R68" s="259"/>
      <c r="S68" s="259"/>
      <c r="T68" s="259"/>
      <c r="U68" s="259"/>
      <c r="V68" s="259"/>
      <c r="W68" s="259"/>
      <c r="X68" s="259"/>
      <c r="Y68" s="259"/>
      <c r="Z68" s="259"/>
    </row>
    <row r="69">
      <c r="A69" s="259"/>
      <c r="B69" s="259"/>
      <c r="C69" s="259"/>
      <c r="D69" s="259"/>
      <c r="E69" s="259"/>
      <c r="F69" s="259"/>
      <c r="G69" s="259"/>
      <c r="H69" s="259"/>
      <c r="I69" s="259"/>
      <c r="J69" s="259"/>
      <c r="K69" s="259"/>
      <c r="L69" s="259"/>
      <c r="M69" s="259"/>
      <c r="N69" s="259"/>
      <c r="O69" s="259"/>
      <c r="P69" s="259"/>
      <c r="Q69" s="259"/>
      <c r="R69" s="259"/>
      <c r="S69" s="259"/>
      <c r="T69" s="259"/>
      <c r="U69" s="259"/>
      <c r="V69" s="259"/>
      <c r="W69" s="259"/>
      <c r="X69" s="259"/>
      <c r="Y69" s="259"/>
      <c r="Z69" s="259"/>
    </row>
    <row r="70">
      <c r="A70" s="259"/>
      <c r="B70" s="259"/>
      <c r="C70" s="259"/>
      <c r="D70" s="259"/>
      <c r="E70" s="259"/>
      <c r="F70" s="259"/>
      <c r="G70" s="259"/>
      <c r="H70" s="259"/>
      <c r="I70" s="259"/>
      <c r="J70" s="259"/>
      <c r="K70" s="259"/>
      <c r="L70" s="259"/>
      <c r="M70" s="259"/>
      <c r="N70" s="259"/>
      <c r="O70" s="259"/>
      <c r="P70" s="259"/>
      <c r="Q70" s="259"/>
      <c r="R70" s="259"/>
      <c r="S70" s="259"/>
      <c r="T70" s="259"/>
      <c r="U70" s="259"/>
      <c r="V70" s="259"/>
      <c r="W70" s="259"/>
      <c r="X70" s="259"/>
      <c r="Y70" s="259"/>
      <c r="Z70" s="259"/>
    </row>
    <row r="71">
      <c r="A71" s="259"/>
      <c r="B71" s="259"/>
      <c r="C71" s="259"/>
      <c r="D71" s="259"/>
      <c r="E71" s="259"/>
      <c r="F71" s="259"/>
      <c r="G71" s="259"/>
      <c r="H71" s="259"/>
      <c r="I71" s="259"/>
      <c r="J71" s="259"/>
      <c r="K71" s="259"/>
      <c r="L71" s="259"/>
      <c r="M71" s="259"/>
      <c r="N71" s="259"/>
      <c r="O71" s="259"/>
      <c r="P71" s="259"/>
      <c r="Q71" s="259"/>
      <c r="R71" s="259"/>
      <c r="S71" s="259"/>
      <c r="T71" s="259"/>
      <c r="U71" s="259"/>
      <c r="V71" s="259"/>
      <c r="W71" s="259"/>
      <c r="X71" s="259"/>
      <c r="Y71" s="259"/>
      <c r="Z71" s="259"/>
    </row>
    <row r="72">
      <c r="A72" s="259"/>
      <c r="B72" s="259"/>
      <c r="C72" s="259"/>
      <c r="D72" s="259"/>
      <c r="E72" s="259"/>
      <c r="F72" s="259"/>
      <c r="G72" s="259"/>
      <c r="H72" s="259"/>
      <c r="I72" s="259"/>
      <c r="J72" s="259"/>
      <c r="K72" s="259"/>
      <c r="L72" s="259"/>
      <c r="M72" s="259"/>
      <c r="N72" s="259"/>
      <c r="O72" s="259"/>
      <c r="P72" s="259"/>
      <c r="Q72" s="259"/>
      <c r="R72" s="259"/>
      <c r="S72" s="259"/>
      <c r="T72" s="259"/>
      <c r="U72" s="259"/>
      <c r="V72" s="259"/>
      <c r="W72" s="259"/>
      <c r="X72" s="259"/>
      <c r="Y72" s="259"/>
      <c r="Z72" s="259"/>
    </row>
    <row r="73">
      <c r="A73" s="259"/>
      <c r="B73" s="259"/>
      <c r="C73" s="259"/>
      <c r="D73" s="259"/>
      <c r="E73" s="259"/>
      <c r="F73" s="259"/>
      <c r="G73" s="259"/>
      <c r="H73" s="259"/>
      <c r="I73" s="259"/>
      <c r="J73" s="259"/>
      <c r="K73" s="259"/>
      <c r="L73" s="259"/>
      <c r="M73" s="259"/>
      <c r="N73" s="259"/>
      <c r="O73" s="259"/>
      <c r="P73" s="259"/>
      <c r="Q73" s="259"/>
      <c r="R73" s="259"/>
      <c r="S73" s="259"/>
      <c r="T73" s="259"/>
      <c r="U73" s="259"/>
      <c r="V73" s="259"/>
      <c r="W73" s="259"/>
      <c r="X73" s="259"/>
      <c r="Y73" s="259"/>
      <c r="Z73" s="259"/>
    </row>
    <row r="74">
      <c r="A74" s="259"/>
      <c r="B74" s="259"/>
      <c r="C74" s="259"/>
      <c r="D74" s="259"/>
      <c r="E74" s="259"/>
      <c r="F74" s="259"/>
      <c r="G74" s="259"/>
      <c r="H74" s="259"/>
      <c r="I74" s="259"/>
      <c r="J74" s="259"/>
      <c r="K74" s="259"/>
      <c r="L74" s="259"/>
      <c r="M74" s="259"/>
      <c r="N74" s="259"/>
      <c r="O74" s="259"/>
      <c r="P74" s="259"/>
      <c r="Q74" s="259"/>
      <c r="R74" s="259"/>
      <c r="S74" s="259"/>
      <c r="T74" s="259"/>
      <c r="U74" s="259"/>
      <c r="V74" s="259"/>
      <c r="W74" s="259"/>
      <c r="X74" s="259"/>
      <c r="Y74" s="259"/>
      <c r="Z74" s="259"/>
    </row>
    <row r="75">
      <c r="A75" s="259"/>
      <c r="B75" s="259"/>
      <c r="C75" s="259"/>
      <c r="D75" s="259"/>
      <c r="E75" s="259"/>
      <c r="F75" s="259"/>
      <c r="G75" s="259"/>
      <c r="H75" s="259"/>
      <c r="I75" s="259"/>
      <c r="J75" s="259"/>
      <c r="K75" s="259"/>
      <c r="L75" s="259"/>
      <c r="M75" s="259"/>
      <c r="N75" s="259"/>
      <c r="O75" s="259"/>
      <c r="P75" s="259"/>
      <c r="Q75" s="259"/>
      <c r="R75" s="259"/>
      <c r="S75" s="259"/>
      <c r="T75" s="259"/>
      <c r="U75" s="259"/>
      <c r="V75" s="259"/>
      <c r="W75" s="259"/>
      <c r="X75" s="259"/>
      <c r="Y75" s="259"/>
      <c r="Z75" s="259"/>
    </row>
    <row r="76">
      <c r="A76" s="259"/>
      <c r="B76" s="259"/>
      <c r="C76" s="259"/>
      <c r="D76" s="259"/>
      <c r="E76" s="259"/>
      <c r="F76" s="259"/>
      <c r="G76" s="259"/>
      <c r="H76" s="259"/>
      <c r="I76" s="259"/>
      <c r="J76" s="259"/>
      <c r="K76" s="259"/>
      <c r="L76" s="259"/>
      <c r="M76" s="259"/>
      <c r="N76" s="259"/>
      <c r="O76" s="259"/>
      <c r="P76" s="259"/>
      <c r="Q76" s="259"/>
      <c r="R76" s="259"/>
      <c r="S76" s="259"/>
      <c r="T76" s="259"/>
      <c r="U76" s="259"/>
      <c r="V76" s="259"/>
      <c r="W76" s="259"/>
      <c r="X76" s="259"/>
      <c r="Y76" s="259"/>
      <c r="Z76" s="259"/>
    </row>
    <row r="77">
      <c r="A77" s="259"/>
      <c r="B77" s="259"/>
      <c r="C77" s="259"/>
      <c r="D77" s="259"/>
      <c r="E77" s="259"/>
      <c r="F77" s="259"/>
      <c r="G77" s="259"/>
      <c r="H77" s="259"/>
      <c r="I77" s="259"/>
      <c r="J77" s="259"/>
      <c r="K77" s="259"/>
      <c r="L77" s="259"/>
      <c r="M77" s="259"/>
      <c r="N77" s="259"/>
      <c r="O77" s="259"/>
      <c r="P77" s="259"/>
      <c r="Q77" s="259"/>
      <c r="R77" s="259"/>
      <c r="S77" s="259"/>
      <c r="T77" s="259"/>
      <c r="U77" s="259"/>
      <c r="V77" s="259"/>
      <c r="W77" s="259"/>
      <c r="X77" s="259"/>
      <c r="Y77" s="259"/>
      <c r="Z77" s="259"/>
    </row>
    <row r="78">
      <c r="A78" s="259"/>
      <c r="B78" s="259"/>
      <c r="C78" s="259"/>
      <c r="D78" s="259"/>
      <c r="E78" s="259"/>
      <c r="F78" s="259"/>
      <c r="G78" s="259"/>
      <c r="H78" s="259"/>
      <c r="I78" s="259"/>
      <c r="J78" s="259"/>
      <c r="K78" s="259"/>
      <c r="L78" s="259"/>
      <c r="M78" s="259"/>
      <c r="N78" s="259"/>
      <c r="O78" s="259"/>
      <c r="P78" s="259"/>
      <c r="Q78" s="259"/>
      <c r="R78" s="259"/>
      <c r="S78" s="259"/>
      <c r="T78" s="259"/>
      <c r="U78" s="259"/>
      <c r="V78" s="259"/>
      <c r="W78" s="259"/>
      <c r="X78" s="259"/>
      <c r="Y78" s="259"/>
      <c r="Z78" s="259"/>
    </row>
    <row r="79">
      <c r="A79" s="259"/>
      <c r="B79" s="259"/>
      <c r="C79" s="259"/>
      <c r="D79" s="259"/>
      <c r="E79" s="259"/>
      <c r="F79" s="259"/>
      <c r="G79" s="259"/>
      <c r="H79" s="259"/>
      <c r="I79" s="259"/>
      <c r="J79" s="259"/>
      <c r="K79" s="259"/>
      <c r="L79" s="259"/>
      <c r="M79" s="259"/>
      <c r="N79" s="259"/>
      <c r="O79" s="259"/>
      <c r="P79" s="259"/>
      <c r="Q79" s="259"/>
      <c r="R79" s="259"/>
      <c r="S79" s="259"/>
      <c r="T79" s="259"/>
      <c r="U79" s="259"/>
      <c r="V79" s="259"/>
      <c r="W79" s="259"/>
      <c r="X79" s="259"/>
      <c r="Y79" s="259"/>
      <c r="Z79" s="259"/>
    </row>
    <row r="80">
      <c r="A80" s="259"/>
      <c r="B80" s="259"/>
      <c r="C80" s="259"/>
      <c r="D80" s="259"/>
      <c r="E80" s="259"/>
      <c r="F80" s="259"/>
      <c r="G80" s="259"/>
      <c r="H80" s="259"/>
      <c r="I80" s="259"/>
      <c r="J80" s="259"/>
      <c r="K80" s="259"/>
      <c r="L80" s="259"/>
      <c r="M80" s="259"/>
      <c r="N80" s="259"/>
      <c r="O80" s="259"/>
      <c r="P80" s="259"/>
      <c r="Q80" s="259"/>
      <c r="R80" s="259"/>
      <c r="S80" s="259"/>
      <c r="T80" s="259"/>
      <c r="U80" s="259"/>
      <c r="V80" s="259"/>
      <c r="W80" s="259"/>
      <c r="X80" s="259"/>
      <c r="Y80" s="259"/>
      <c r="Z80" s="259"/>
    </row>
    <row r="81">
      <c r="A81" s="259"/>
      <c r="B81" s="259"/>
      <c r="C81" s="259"/>
      <c r="D81" s="259"/>
      <c r="E81" s="259"/>
      <c r="F81" s="259"/>
      <c r="G81" s="259"/>
      <c r="H81" s="259"/>
      <c r="I81" s="259"/>
      <c r="J81" s="259"/>
      <c r="K81" s="259"/>
      <c r="L81" s="259"/>
      <c r="M81" s="259"/>
      <c r="N81" s="259"/>
      <c r="O81" s="259"/>
      <c r="P81" s="259"/>
      <c r="Q81" s="259"/>
      <c r="R81" s="259"/>
      <c r="S81" s="259"/>
      <c r="T81" s="259"/>
      <c r="U81" s="259"/>
      <c r="V81" s="259"/>
      <c r="W81" s="259"/>
      <c r="X81" s="259"/>
      <c r="Y81" s="259"/>
      <c r="Z81" s="259"/>
    </row>
    <row r="82">
      <c r="A82" s="259"/>
      <c r="B82" s="259"/>
      <c r="C82" s="259"/>
      <c r="D82" s="259"/>
      <c r="E82" s="259"/>
      <c r="F82" s="259"/>
      <c r="G82" s="259"/>
      <c r="H82" s="259"/>
      <c r="I82" s="259"/>
      <c r="J82" s="259"/>
      <c r="K82" s="259"/>
      <c r="L82" s="259"/>
      <c r="M82" s="259"/>
      <c r="N82" s="259"/>
      <c r="O82" s="259"/>
      <c r="P82" s="259"/>
      <c r="Q82" s="259"/>
      <c r="R82" s="259"/>
      <c r="S82" s="259"/>
      <c r="T82" s="259"/>
      <c r="U82" s="259"/>
      <c r="V82" s="259"/>
      <c r="W82" s="259"/>
      <c r="X82" s="259"/>
      <c r="Y82" s="259"/>
      <c r="Z82" s="259"/>
    </row>
    <row r="83">
      <c r="A83" s="259"/>
      <c r="B83" s="259"/>
      <c r="C83" s="259"/>
      <c r="D83" s="259"/>
      <c r="E83" s="259"/>
      <c r="F83" s="259"/>
      <c r="G83" s="259"/>
      <c r="H83" s="259"/>
      <c r="I83" s="259"/>
      <c r="J83" s="259"/>
      <c r="K83" s="259"/>
      <c r="L83" s="259"/>
      <c r="M83" s="259"/>
      <c r="N83" s="259"/>
      <c r="O83" s="259"/>
      <c r="P83" s="259"/>
      <c r="Q83" s="259"/>
      <c r="R83" s="259"/>
      <c r="S83" s="259"/>
      <c r="T83" s="259"/>
      <c r="U83" s="259"/>
      <c r="V83" s="259"/>
      <c r="W83" s="259"/>
      <c r="X83" s="259"/>
      <c r="Y83" s="259"/>
      <c r="Z83" s="259"/>
    </row>
    <row r="84">
      <c r="A84" s="259"/>
      <c r="B84" s="259"/>
      <c r="C84" s="259"/>
      <c r="D84" s="259"/>
      <c r="E84" s="259"/>
      <c r="F84" s="259"/>
      <c r="G84" s="259"/>
      <c r="H84" s="259"/>
      <c r="I84" s="259"/>
      <c r="J84" s="259"/>
      <c r="K84" s="259"/>
      <c r="L84" s="259"/>
      <c r="M84" s="259"/>
      <c r="N84" s="259"/>
      <c r="O84" s="259"/>
      <c r="P84" s="259"/>
      <c r="Q84" s="259"/>
      <c r="R84" s="259"/>
      <c r="S84" s="259"/>
      <c r="T84" s="259"/>
      <c r="U84" s="259"/>
      <c r="V84" s="259"/>
      <c r="W84" s="259"/>
      <c r="X84" s="259"/>
      <c r="Y84" s="259"/>
      <c r="Z84" s="259"/>
    </row>
    <row r="85">
      <c r="A85" s="259"/>
      <c r="B85" s="259"/>
      <c r="C85" s="259"/>
      <c r="D85" s="259"/>
      <c r="E85" s="259"/>
      <c r="F85" s="259"/>
      <c r="G85" s="259"/>
      <c r="H85" s="259"/>
      <c r="I85" s="259"/>
      <c r="J85" s="259"/>
      <c r="K85" s="259"/>
      <c r="L85" s="259"/>
      <c r="M85" s="259"/>
      <c r="N85" s="259"/>
      <c r="O85" s="259"/>
      <c r="P85" s="259"/>
      <c r="Q85" s="259"/>
      <c r="R85" s="259"/>
      <c r="S85" s="259"/>
      <c r="T85" s="259"/>
      <c r="U85" s="259"/>
      <c r="V85" s="259"/>
      <c r="W85" s="259"/>
      <c r="X85" s="259"/>
      <c r="Y85" s="259"/>
      <c r="Z85" s="259"/>
    </row>
    <row r="86">
      <c r="A86" s="259"/>
      <c r="B86" s="259"/>
      <c r="C86" s="259"/>
      <c r="D86" s="259"/>
      <c r="E86" s="259"/>
      <c r="F86" s="259"/>
      <c r="G86" s="259"/>
      <c r="H86" s="259"/>
      <c r="I86" s="259"/>
      <c r="J86" s="259"/>
      <c r="K86" s="259"/>
      <c r="L86" s="259"/>
      <c r="M86" s="259"/>
      <c r="N86" s="259"/>
      <c r="O86" s="259"/>
      <c r="P86" s="259"/>
      <c r="Q86" s="259"/>
      <c r="R86" s="259"/>
      <c r="S86" s="259"/>
      <c r="T86" s="259"/>
      <c r="U86" s="259"/>
      <c r="V86" s="259"/>
      <c r="W86" s="259"/>
      <c r="X86" s="259"/>
      <c r="Y86" s="259"/>
      <c r="Z86" s="259"/>
    </row>
    <row r="87">
      <c r="A87" s="259"/>
      <c r="B87" s="259"/>
      <c r="C87" s="259"/>
      <c r="D87" s="259"/>
      <c r="E87" s="259"/>
      <c r="F87" s="259"/>
      <c r="G87" s="259"/>
      <c r="H87" s="259"/>
      <c r="I87" s="259"/>
      <c r="J87" s="259"/>
      <c r="K87" s="259"/>
      <c r="L87" s="259"/>
      <c r="M87" s="259"/>
      <c r="N87" s="259"/>
      <c r="O87" s="259"/>
      <c r="P87" s="259"/>
      <c r="Q87" s="259"/>
      <c r="R87" s="259"/>
      <c r="S87" s="259"/>
      <c r="T87" s="259"/>
      <c r="U87" s="259"/>
      <c r="V87" s="259"/>
      <c r="W87" s="259"/>
      <c r="X87" s="259"/>
      <c r="Y87" s="259"/>
      <c r="Z87" s="259"/>
    </row>
    <row r="88">
      <c r="A88" s="259"/>
      <c r="B88" s="259"/>
      <c r="C88" s="259"/>
      <c r="D88" s="259"/>
      <c r="E88" s="259"/>
      <c r="F88" s="259"/>
      <c r="G88" s="259"/>
      <c r="H88" s="259"/>
      <c r="I88" s="259"/>
      <c r="J88" s="259"/>
      <c r="K88" s="259"/>
      <c r="L88" s="259"/>
      <c r="M88" s="259"/>
      <c r="N88" s="259"/>
      <c r="O88" s="259"/>
      <c r="P88" s="259"/>
      <c r="Q88" s="259"/>
      <c r="R88" s="259"/>
      <c r="S88" s="259"/>
      <c r="T88" s="259"/>
      <c r="U88" s="259"/>
      <c r="V88" s="259"/>
      <c r="W88" s="259"/>
      <c r="X88" s="259"/>
      <c r="Y88" s="259"/>
      <c r="Z88" s="259"/>
    </row>
    <row r="89">
      <c r="A89" s="259"/>
      <c r="B89" s="259"/>
      <c r="C89" s="259"/>
      <c r="D89" s="259"/>
      <c r="E89" s="259"/>
      <c r="F89" s="259"/>
      <c r="G89" s="259"/>
      <c r="H89" s="259"/>
      <c r="I89" s="259"/>
      <c r="J89" s="259"/>
      <c r="K89" s="259"/>
      <c r="L89" s="259"/>
      <c r="M89" s="259"/>
      <c r="N89" s="259"/>
      <c r="O89" s="259"/>
      <c r="P89" s="259"/>
      <c r="Q89" s="259"/>
      <c r="R89" s="259"/>
      <c r="S89" s="259"/>
      <c r="T89" s="259"/>
      <c r="U89" s="259"/>
      <c r="V89" s="259"/>
      <c r="W89" s="259"/>
      <c r="X89" s="259"/>
      <c r="Y89" s="259"/>
      <c r="Z89" s="259"/>
    </row>
    <row r="90">
      <c r="A90" s="259"/>
      <c r="B90" s="259"/>
      <c r="C90" s="259"/>
      <c r="D90" s="259"/>
      <c r="E90" s="259"/>
      <c r="F90" s="259"/>
      <c r="G90" s="259"/>
      <c r="H90" s="259"/>
      <c r="I90" s="259"/>
      <c r="J90" s="259"/>
      <c r="K90" s="259"/>
      <c r="L90" s="259"/>
      <c r="M90" s="259"/>
      <c r="N90" s="259"/>
      <c r="O90" s="259"/>
      <c r="P90" s="259"/>
      <c r="Q90" s="259"/>
      <c r="R90" s="259"/>
      <c r="S90" s="259"/>
      <c r="T90" s="259"/>
      <c r="U90" s="259"/>
      <c r="V90" s="259"/>
      <c r="W90" s="259"/>
      <c r="X90" s="259"/>
      <c r="Y90" s="259"/>
      <c r="Z90" s="259"/>
    </row>
    <row r="91">
      <c r="A91" s="259"/>
      <c r="B91" s="259"/>
      <c r="C91" s="259"/>
      <c r="D91" s="259"/>
      <c r="E91" s="259"/>
      <c r="F91" s="259"/>
      <c r="G91" s="259"/>
      <c r="H91" s="259"/>
      <c r="I91" s="259"/>
      <c r="J91" s="259"/>
      <c r="K91" s="259"/>
      <c r="L91" s="259"/>
      <c r="M91" s="259"/>
      <c r="N91" s="259"/>
      <c r="O91" s="259"/>
      <c r="P91" s="259"/>
      <c r="Q91" s="259"/>
      <c r="R91" s="259"/>
      <c r="S91" s="259"/>
      <c r="T91" s="259"/>
      <c r="U91" s="259"/>
      <c r="V91" s="259"/>
      <c r="W91" s="259"/>
      <c r="X91" s="259"/>
      <c r="Y91" s="259"/>
      <c r="Z91" s="259"/>
    </row>
    <row r="92">
      <c r="A92" s="259"/>
      <c r="B92" s="259"/>
      <c r="C92" s="259"/>
      <c r="D92" s="259"/>
      <c r="E92" s="259"/>
      <c r="F92" s="259"/>
      <c r="G92" s="259"/>
      <c r="H92" s="259"/>
      <c r="I92" s="259"/>
      <c r="J92" s="259"/>
      <c r="K92" s="259"/>
      <c r="L92" s="259"/>
      <c r="M92" s="259"/>
      <c r="N92" s="259"/>
      <c r="O92" s="259"/>
      <c r="P92" s="259"/>
      <c r="Q92" s="259"/>
      <c r="R92" s="259"/>
      <c r="S92" s="259"/>
      <c r="T92" s="259"/>
      <c r="U92" s="259"/>
      <c r="V92" s="259"/>
      <c r="W92" s="259"/>
      <c r="X92" s="259"/>
      <c r="Y92" s="259"/>
      <c r="Z92" s="259"/>
    </row>
    <row r="93">
      <c r="A93" s="259"/>
      <c r="B93" s="259"/>
      <c r="C93" s="259"/>
      <c r="D93" s="259"/>
      <c r="E93" s="259"/>
      <c r="F93" s="259"/>
      <c r="G93" s="259"/>
      <c r="H93" s="259"/>
      <c r="I93" s="259"/>
      <c r="J93" s="259"/>
      <c r="K93" s="259"/>
      <c r="L93" s="259"/>
      <c r="M93" s="259"/>
      <c r="N93" s="259"/>
      <c r="O93" s="259"/>
      <c r="P93" s="259"/>
      <c r="Q93" s="259"/>
      <c r="R93" s="259"/>
      <c r="S93" s="259"/>
      <c r="T93" s="259"/>
      <c r="U93" s="259"/>
      <c r="V93" s="259"/>
      <c r="W93" s="259"/>
      <c r="X93" s="259"/>
      <c r="Y93" s="259"/>
      <c r="Z93" s="259"/>
    </row>
    <row r="94">
      <c r="A94" s="259"/>
      <c r="B94" s="259"/>
      <c r="C94" s="259"/>
      <c r="D94" s="259"/>
      <c r="E94" s="259"/>
      <c r="F94" s="259"/>
      <c r="G94" s="259"/>
      <c r="H94" s="259"/>
      <c r="I94" s="259"/>
      <c r="J94" s="259"/>
      <c r="K94" s="259"/>
      <c r="L94" s="259"/>
      <c r="M94" s="259"/>
      <c r="N94" s="259"/>
      <c r="O94" s="259"/>
      <c r="P94" s="259"/>
      <c r="Q94" s="259"/>
      <c r="R94" s="259"/>
      <c r="S94" s="259"/>
      <c r="T94" s="259"/>
      <c r="U94" s="259"/>
      <c r="V94" s="259"/>
      <c r="W94" s="259"/>
      <c r="X94" s="259"/>
      <c r="Y94" s="259"/>
      <c r="Z94" s="259"/>
    </row>
    <row r="95">
      <c r="A95" s="259"/>
      <c r="B95" s="259"/>
      <c r="C95" s="259"/>
      <c r="D95" s="259"/>
      <c r="E95" s="259"/>
      <c r="F95" s="259"/>
      <c r="G95" s="259"/>
      <c r="H95" s="259"/>
      <c r="I95" s="259"/>
      <c r="J95" s="259"/>
      <c r="K95" s="259"/>
      <c r="L95" s="259"/>
      <c r="M95" s="259"/>
      <c r="N95" s="259"/>
      <c r="O95" s="259"/>
      <c r="P95" s="259"/>
      <c r="Q95" s="259"/>
      <c r="R95" s="259"/>
      <c r="S95" s="259"/>
      <c r="T95" s="259"/>
      <c r="U95" s="259"/>
      <c r="V95" s="259"/>
      <c r="W95" s="259"/>
      <c r="X95" s="259"/>
      <c r="Y95" s="259"/>
      <c r="Z95" s="259"/>
    </row>
    <row r="96">
      <c r="A96" s="259"/>
      <c r="B96" s="259"/>
      <c r="C96" s="259"/>
      <c r="D96" s="259"/>
      <c r="E96" s="259"/>
      <c r="F96" s="259"/>
      <c r="G96" s="259"/>
      <c r="H96" s="259"/>
      <c r="I96" s="259"/>
      <c r="J96" s="259"/>
      <c r="K96" s="259"/>
      <c r="L96" s="259"/>
      <c r="M96" s="259"/>
      <c r="N96" s="259"/>
      <c r="O96" s="259"/>
      <c r="P96" s="259"/>
      <c r="Q96" s="259"/>
      <c r="R96" s="259"/>
      <c r="S96" s="259"/>
      <c r="T96" s="259"/>
      <c r="U96" s="259"/>
      <c r="V96" s="259"/>
      <c r="W96" s="259"/>
      <c r="X96" s="259"/>
      <c r="Y96" s="259"/>
      <c r="Z96" s="259"/>
    </row>
    <row r="97">
      <c r="A97" s="259"/>
      <c r="B97" s="259"/>
      <c r="C97" s="259"/>
      <c r="D97" s="259"/>
      <c r="E97" s="259"/>
      <c r="F97" s="259"/>
      <c r="G97" s="259"/>
      <c r="H97" s="259"/>
      <c r="I97" s="259"/>
      <c r="J97" s="259"/>
      <c r="K97" s="259"/>
      <c r="L97" s="259"/>
      <c r="M97" s="259"/>
      <c r="N97" s="259"/>
      <c r="O97" s="259"/>
      <c r="P97" s="259"/>
      <c r="Q97" s="259"/>
      <c r="R97" s="259"/>
      <c r="S97" s="259"/>
      <c r="T97" s="259"/>
      <c r="U97" s="259"/>
      <c r="V97" s="259"/>
      <c r="W97" s="259"/>
      <c r="X97" s="259"/>
      <c r="Y97" s="259"/>
      <c r="Z97" s="259"/>
    </row>
    <row r="98">
      <c r="A98" s="259"/>
      <c r="B98" s="259"/>
      <c r="C98" s="259"/>
      <c r="D98" s="259"/>
      <c r="E98" s="259"/>
      <c r="F98" s="259"/>
      <c r="G98" s="259"/>
      <c r="H98" s="259"/>
      <c r="I98" s="259"/>
      <c r="J98" s="259"/>
      <c r="K98" s="259"/>
      <c r="L98" s="259"/>
      <c r="M98" s="259"/>
      <c r="N98" s="259"/>
      <c r="O98" s="259"/>
      <c r="P98" s="259"/>
      <c r="Q98" s="259"/>
      <c r="R98" s="259"/>
      <c r="S98" s="259"/>
      <c r="T98" s="259"/>
      <c r="U98" s="259"/>
      <c r="V98" s="259"/>
      <c r="W98" s="259"/>
      <c r="X98" s="259"/>
      <c r="Y98" s="259"/>
      <c r="Z98" s="259"/>
    </row>
    <row r="99">
      <c r="A99" s="259"/>
      <c r="B99" s="259"/>
      <c r="C99" s="259"/>
      <c r="D99" s="259"/>
      <c r="E99" s="259"/>
      <c r="F99" s="259"/>
      <c r="G99" s="259"/>
      <c r="H99" s="259"/>
      <c r="I99" s="259"/>
      <c r="J99" s="259"/>
      <c r="K99" s="259"/>
      <c r="L99" s="259"/>
      <c r="M99" s="259"/>
      <c r="N99" s="259"/>
      <c r="O99" s="259"/>
      <c r="P99" s="259"/>
      <c r="Q99" s="259"/>
      <c r="R99" s="259"/>
      <c r="S99" s="259"/>
      <c r="T99" s="259"/>
      <c r="U99" s="259"/>
      <c r="V99" s="259"/>
      <c r="W99" s="259"/>
      <c r="X99" s="259"/>
      <c r="Y99" s="259"/>
      <c r="Z99" s="259"/>
    </row>
    <row r="100">
      <c r="A100" s="259"/>
      <c r="B100" s="259"/>
      <c r="C100" s="259"/>
      <c r="D100" s="259"/>
      <c r="E100" s="259"/>
      <c r="F100" s="259"/>
      <c r="G100" s="259"/>
      <c r="H100" s="259"/>
      <c r="I100" s="259"/>
      <c r="J100" s="259"/>
      <c r="K100" s="259"/>
      <c r="L100" s="259"/>
      <c r="M100" s="259"/>
      <c r="N100" s="259"/>
      <c r="O100" s="259"/>
      <c r="P100" s="259"/>
      <c r="Q100" s="259"/>
      <c r="R100" s="259"/>
      <c r="S100" s="259"/>
      <c r="T100" s="259"/>
      <c r="U100" s="259"/>
      <c r="V100" s="259"/>
      <c r="W100" s="259"/>
      <c r="X100" s="259"/>
      <c r="Y100" s="259"/>
      <c r="Z100" s="259"/>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1" width="10.75"/>
    <col customWidth="1" min="2" max="2" width="17.75"/>
    <col customWidth="1" min="3" max="3" width="6.75"/>
    <col customWidth="1" min="4" max="4" width="23.38"/>
    <col customWidth="1" min="5" max="6" width="16.25"/>
    <col customWidth="1" min="7" max="7" width="11.38"/>
    <col customWidth="1" min="8" max="8" width="9.0"/>
    <col customWidth="1" min="9" max="9" width="25.13"/>
    <col customWidth="1" min="10" max="10" width="20.88"/>
  </cols>
  <sheetData>
    <row r="1">
      <c r="A1" s="280" t="s">
        <v>2553</v>
      </c>
      <c r="B1" s="280" t="s">
        <v>1</v>
      </c>
      <c r="C1" s="280" t="s">
        <v>2</v>
      </c>
      <c r="D1" s="281" t="s">
        <v>2548</v>
      </c>
      <c r="E1" s="280" t="s">
        <v>4</v>
      </c>
      <c r="F1" s="282" t="s">
        <v>5</v>
      </c>
      <c r="G1" s="282" t="s">
        <v>6</v>
      </c>
      <c r="H1" s="283" t="s">
        <v>319</v>
      </c>
      <c r="I1" s="284" t="s">
        <v>8</v>
      </c>
      <c r="J1" s="284" t="s">
        <v>2481</v>
      </c>
      <c r="K1" s="150"/>
      <c r="L1" s="150"/>
      <c r="M1" s="150"/>
      <c r="N1" s="150"/>
      <c r="O1" s="150"/>
      <c r="P1" s="150"/>
      <c r="Q1" s="150"/>
      <c r="R1" s="150"/>
      <c r="S1" s="150"/>
      <c r="T1" s="150"/>
      <c r="U1" s="150"/>
      <c r="V1" s="150"/>
      <c r="W1" s="150"/>
      <c r="X1" s="150"/>
      <c r="Y1" s="150"/>
      <c r="Z1" s="150"/>
      <c r="AA1" s="150"/>
    </row>
    <row r="2">
      <c r="A2" s="150" t="str">
        <f>IF(B2="","",MIS!$A$3)</f>
        <v/>
      </c>
      <c r="B2" s="259" t="str">
        <f>IFERROR(__xludf.DUMMYFUNCTION("ifna(FILTER({'MIS0'!A3:C1001,'MIS0'!E3:I1001}, ('MIS0'!F3:F1001 = """") + ('MIS0'!H3:H1001 &lt; 0))
)"),"")</f>
        <v/>
      </c>
      <c r="C2" s="150"/>
      <c r="D2" s="285"/>
      <c r="E2" s="259"/>
      <c r="F2" s="259"/>
      <c r="G2" s="150"/>
      <c r="H2" s="286"/>
      <c r="I2" s="150"/>
      <c r="J2" s="150" t="str">
        <f>IF(B2="","",MIS!$K$3)</f>
        <v/>
      </c>
      <c r="K2" s="259"/>
      <c r="L2" s="259"/>
      <c r="M2" s="259"/>
      <c r="N2" s="259"/>
      <c r="O2" s="259"/>
      <c r="P2" s="259"/>
      <c r="Q2" s="259"/>
      <c r="R2" s="259"/>
      <c r="S2" s="259"/>
      <c r="T2" s="259"/>
      <c r="U2" s="259"/>
      <c r="V2" s="259"/>
      <c r="W2" s="259"/>
      <c r="X2" s="259"/>
      <c r="Y2" s="259"/>
      <c r="Z2" s="259"/>
      <c r="AA2" s="259"/>
    </row>
    <row r="3">
      <c r="A3" s="150" t="str">
        <f>IF(B3="","",MIS!$A$3)</f>
        <v/>
      </c>
      <c r="B3" s="259"/>
      <c r="C3" s="150"/>
      <c r="D3" s="285"/>
      <c r="E3" s="259"/>
      <c r="F3" s="259"/>
      <c r="G3" s="150"/>
      <c r="H3" s="286"/>
      <c r="I3" s="150"/>
      <c r="J3" s="150" t="str">
        <f>IF(B3="","",MIS!$K$3)</f>
        <v/>
      </c>
      <c r="K3" s="259"/>
      <c r="L3" s="259"/>
      <c r="M3" s="259"/>
      <c r="N3" s="259"/>
      <c r="O3" s="259"/>
      <c r="P3" s="259"/>
      <c r="Q3" s="259"/>
      <c r="R3" s="259"/>
      <c r="S3" s="259"/>
      <c r="T3" s="259"/>
      <c r="U3" s="259"/>
      <c r="V3" s="259"/>
      <c r="W3" s="259"/>
      <c r="X3" s="259"/>
      <c r="Y3" s="259"/>
      <c r="Z3" s="259"/>
      <c r="AA3" s="259"/>
    </row>
    <row r="4">
      <c r="A4" s="150" t="str">
        <f>IF(B4="","",MIS!$A$3)</f>
        <v/>
      </c>
      <c r="B4" s="259"/>
      <c r="C4" s="150"/>
      <c r="D4" s="285"/>
      <c r="E4" s="259"/>
      <c r="F4" s="259"/>
      <c r="G4" s="150"/>
      <c r="H4" s="286"/>
      <c r="I4" s="150"/>
      <c r="J4" s="150" t="str">
        <f>IF(B4="","",MIS!$K$3)</f>
        <v/>
      </c>
      <c r="K4" s="259"/>
      <c r="L4" s="259"/>
      <c r="M4" s="259"/>
      <c r="N4" s="259"/>
      <c r="O4" s="259"/>
      <c r="P4" s="259"/>
      <c r="Q4" s="259"/>
      <c r="R4" s="259"/>
      <c r="S4" s="259"/>
      <c r="T4" s="259"/>
      <c r="U4" s="259"/>
      <c r="V4" s="259"/>
      <c r="W4" s="259"/>
      <c r="X4" s="259"/>
      <c r="Y4" s="259"/>
      <c r="Z4" s="259"/>
      <c r="AA4" s="259"/>
    </row>
    <row r="5">
      <c r="A5" s="150" t="str">
        <f>IF(B5="","",MIS!$A$3)</f>
        <v/>
      </c>
      <c r="B5" s="259"/>
      <c r="C5" s="150"/>
      <c r="D5" s="285"/>
      <c r="E5" s="259"/>
      <c r="F5" s="259"/>
      <c r="G5" s="150"/>
      <c r="H5" s="286"/>
      <c r="I5" s="150"/>
      <c r="J5" s="150" t="str">
        <f>IF(B5="","",MIS!$K$3)</f>
        <v/>
      </c>
      <c r="K5" s="259"/>
      <c r="L5" s="259"/>
      <c r="M5" s="259"/>
      <c r="N5" s="259"/>
      <c r="O5" s="259"/>
      <c r="P5" s="259"/>
      <c r="Q5" s="259"/>
      <c r="R5" s="259"/>
      <c r="S5" s="259"/>
      <c r="T5" s="259"/>
      <c r="U5" s="259"/>
      <c r="V5" s="259"/>
      <c r="W5" s="259"/>
      <c r="X5" s="259"/>
      <c r="Y5" s="259"/>
      <c r="Z5" s="259"/>
      <c r="AA5" s="259"/>
    </row>
    <row r="6">
      <c r="A6" s="150" t="str">
        <f>IF(B6="","",MIS!$A$3)</f>
        <v/>
      </c>
      <c r="B6" s="259"/>
      <c r="C6" s="150"/>
      <c r="D6" s="285"/>
      <c r="E6" s="259"/>
      <c r="F6" s="259"/>
      <c r="G6" s="150"/>
      <c r="H6" s="286"/>
      <c r="I6" s="150"/>
      <c r="J6" s="150" t="str">
        <f>IF(B6="","",MIS!$K$3)</f>
        <v/>
      </c>
      <c r="K6" s="259"/>
      <c r="L6" s="259"/>
      <c r="M6" s="259"/>
      <c r="N6" s="259"/>
      <c r="O6" s="259"/>
      <c r="P6" s="259"/>
      <c r="Q6" s="259"/>
      <c r="R6" s="259"/>
      <c r="S6" s="259"/>
      <c r="T6" s="259"/>
      <c r="U6" s="259"/>
      <c r="V6" s="259"/>
      <c r="W6" s="259"/>
      <c r="X6" s="259"/>
      <c r="Y6" s="259"/>
      <c r="Z6" s="259"/>
      <c r="AA6" s="259"/>
    </row>
    <row r="7">
      <c r="A7" s="150" t="str">
        <f>IF(B7="","",MIS!$A$3)</f>
        <v/>
      </c>
      <c r="B7" s="259"/>
      <c r="C7" s="150"/>
      <c r="D7" s="285"/>
      <c r="E7" s="259"/>
      <c r="F7" s="259"/>
      <c r="G7" s="150"/>
      <c r="H7" s="286"/>
      <c r="I7" s="150"/>
      <c r="J7" s="150" t="str">
        <f>IF(B7="","",MIS!$K$3)</f>
        <v/>
      </c>
      <c r="K7" s="259"/>
      <c r="L7" s="259"/>
      <c r="M7" s="259"/>
      <c r="N7" s="259"/>
      <c r="O7" s="259"/>
      <c r="P7" s="259"/>
      <c r="Q7" s="259"/>
      <c r="R7" s="259"/>
      <c r="S7" s="259"/>
      <c r="T7" s="259"/>
      <c r="U7" s="259"/>
      <c r="V7" s="259"/>
      <c r="W7" s="259"/>
      <c r="X7" s="259"/>
      <c r="Y7" s="259"/>
      <c r="Z7" s="259"/>
      <c r="AA7" s="259"/>
    </row>
    <row r="8">
      <c r="A8" s="150" t="str">
        <f>IF(B8="","",MIS!$A$3)</f>
        <v/>
      </c>
      <c r="B8" s="259"/>
      <c r="C8" s="150"/>
      <c r="D8" s="285"/>
      <c r="E8" s="259"/>
      <c r="F8" s="259"/>
      <c r="G8" s="150"/>
      <c r="H8" s="286"/>
      <c r="I8" s="150"/>
      <c r="J8" s="150" t="str">
        <f>IF(B8="","",MIS!$K$3)</f>
        <v/>
      </c>
      <c r="K8" s="259"/>
      <c r="L8" s="259"/>
      <c r="M8" s="259"/>
      <c r="N8" s="259"/>
      <c r="O8" s="259"/>
      <c r="P8" s="259"/>
      <c r="Q8" s="259"/>
      <c r="R8" s="259"/>
      <c r="S8" s="259"/>
      <c r="T8" s="259"/>
      <c r="U8" s="259"/>
      <c r="V8" s="259"/>
      <c r="W8" s="259"/>
      <c r="X8" s="259"/>
      <c r="Y8" s="259"/>
      <c r="Z8" s="259"/>
      <c r="AA8" s="259"/>
    </row>
    <row r="9">
      <c r="A9" s="150" t="str">
        <f>IF(B9="","",MIS!$A$3)</f>
        <v/>
      </c>
      <c r="B9" s="259"/>
      <c r="C9" s="150"/>
      <c r="D9" s="285"/>
      <c r="E9" s="259"/>
      <c r="F9" s="259"/>
      <c r="G9" s="150"/>
      <c r="H9" s="286"/>
      <c r="I9" s="150"/>
      <c r="J9" s="150" t="str">
        <f>IF(B9="","",MIS!$K$3)</f>
        <v/>
      </c>
      <c r="K9" s="259"/>
      <c r="L9" s="259"/>
      <c r="M9" s="259"/>
      <c r="N9" s="259"/>
      <c r="O9" s="259"/>
      <c r="P9" s="259"/>
      <c r="Q9" s="259"/>
      <c r="R9" s="259"/>
      <c r="S9" s="259"/>
      <c r="T9" s="259"/>
      <c r="U9" s="259"/>
      <c r="V9" s="259"/>
      <c r="W9" s="259"/>
      <c r="X9" s="259"/>
      <c r="Y9" s="259"/>
      <c r="Z9" s="259"/>
      <c r="AA9" s="259"/>
    </row>
    <row r="10">
      <c r="A10" s="150" t="str">
        <f>IF(B10="","",MIS!$A$3)</f>
        <v/>
      </c>
      <c r="B10" s="259"/>
      <c r="C10" s="150"/>
      <c r="D10" s="285"/>
      <c r="E10" s="259"/>
      <c r="F10" s="259"/>
      <c r="G10" s="150"/>
      <c r="H10" s="286"/>
      <c r="I10" s="150"/>
      <c r="J10" s="150" t="str">
        <f>IF(B10="","",MIS!$K$3)</f>
        <v/>
      </c>
      <c r="K10" s="259"/>
      <c r="L10" s="259"/>
      <c r="M10" s="259"/>
      <c r="N10" s="259"/>
      <c r="O10" s="259"/>
      <c r="P10" s="259"/>
      <c r="Q10" s="259"/>
      <c r="R10" s="259"/>
      <c r="S10" s="259"/>
      <c r="T10" s="259"/>
      <c r="U10" s="259"/>
      <c r="V10" s="259"/>
      <c r="W10" s="259"/>
      <c r="X10" s="259"/>
      <c r="Y10" s="259"/>
      <c r="Z10" s="259"/>
      <c r="AA10" s="259"/>
    </row>
    <row r="11">
      <c r="A11" s="150" t="str">
        <f>IF(B11="","",MIS!$A$3)</f>
        <v/>
      </c>
      <c r="B11" s="259"/>
      <c r="C11" s="150"/>
      <c r="D11" s="285"/>
      <c r="E11" s="259"/>
      <c r="F11" s="259"/>
      <c r="G11" s="150"/>
      <c r="H11" s="286"/>
      <c r="I11" s="150"/>
      <c r="J11" s="150" t="str">
        <f>IF(B11="","",MIS!$K$3)</f>
        <v/>
      </c>
      <c r="K11" s="259"/>
      <c r="L11" s="259"/>
      <c r="M11" s="259"/>
      <c r="N11" s="259"/>
      <c r="O11" s="259"/>
      <c r="P11" s="259"/>
      <c r="Q11" s="259"/>
      <c r="R11" s="259"/>
      <c r="S11" s="259"/>
      <c r="T11" s="259"/>
      <c r="U11" s="259"/>
      <c r="V11" s="259"/>
      <c r="W11" s="259"/>
      <c r="X11" s="259"/>
      <c r="Y11" s="259"/>
      <c r="Z11" s="259"/>
      <c r="AA11" s="259"/>
    </row>
    <row r="12">
      <c r="A12" s="150" t="str">
        <f>IF(B12="","",MIS!$A$3)</f>
        <v/>
      </c>
      <c r="B12" s="259"/>
      <c r="C12" s="150"/>
      <c r="D12" s="285"/>
      <c r="E12" s="259"/>
      <c r="F12" s="259"/>
      <c r="G12" s="150"/>
      <c r="H12" s="286"/>
      <c r="I12" s="150"/>
      <c r="J12" s="150" t="str">
        <f>IF(B12="","",MIS!$K$3)</f>
        <v/>
      </c>
      <c r="K12" s="259"/>
      <c r="L12" s="259"/>
      <c r="M12" s="259"/>
      <c r="N12" s="259"/>
      <c r="O12" s="259"/>
      <c r="P12" s="259"/>
      <c r="Q12" s="259"/>
      <c r="R12" s="259"/>
      <c r="S12" s="259"/>
      <c r="T12" s="259"/>
      <c r="U12" s="259"/>
      <c r="V12" s="259"/>
      <c r="W12" s="259"/>
      <c r="X12" s="259"/>
      <c r="Y12" s="259"/>
      <c r="Z12" s="259"/>
      <c r="AA12" s="259"/>
    </row>
    <row r="13">
      <c r="A13" s="150" t="str">
        <f>IF(B13="","",MIS!$A$3)</f>
        <v/>
      </c>
      <c r="B13" s="259"/>
      <c r="C13" s="150"/>
      <c r="D13" s="285"/>
      <c r="E13" s="259"/>
      <c r="F13" s="259"/>
      <c r="G13" s="150"/>
      <c r="H13" s="286"/>
      <c r="I13" s="150"/>
      <c r="J13" s="150" t="str">
        <f>IF(B13="","",MIS!$K$3)</f>
        <v/>
      </c>
      <c r="K13" s="259"/>
      <c r="L13" s="259"/>
      <c r="M13" s="259"/>
      <c r="N13" s="259"/>
      <c r="O13" s="259"/>
      <c r="P13" s="259"/>
      <c r="Q13" s="259"/>
      <c r="R13" s="259"/>
      <c r="S13" s="259"/>
      <c r="T13" s="259"/>
      <c r="U13" s="259"/>
      <c r="V13" s="259"/>
      <c r="W13" s="259"/>
      <c r="X13" s="259"/>
      <c r="Y13" s="259"/>
      <c r="Z13" s="259"/>
      <c r="AA13" s="259"/>
    </row>
    <row r="14">
      <c r="A14" s="150" t="str">
        <f>IF(B14="","",MIS!$A$3)</f>
        <v/>
      </c>
      <c r="B14" s="259"/>
      <c r="C14" s="150"/>
      <c r="D14" s="285"/>
      <c r="E14" s="259"/>
      <c r="F14" s="259"/>
      <c r="G14" s="150"/>
      <c r="H14" s="286"/>
      <c r="I14" s="150"/>
      <c r="J14" s="150" t="str">
        <f>IF(B14="","",MIS!$K$3)</f>
        <v/>
      </c>
      <c r="K14" s="259"/>
      <c r="L14" s="259"/>
      <c r="M14" s="259"/>
      <c r="N14" s="259"/>
      <c r="O14" s="259"/>
      <c r="P14" s="259"/>
      <c r="Q14" s="259"/>
      <c r="R14" s="259"/>
      <c r="S14" s="259"/>
      <c r="T14" s="259"/>
      <c r="U14" s="259"/>
      <c r="V14" s="259"/>
      <c r="W14" s="259"/>
      <c r="X14" s="259"/>
      <c r="Y14" s="259"/>
      <c r="Z14" s="259"/>
      <c r="AA14" s="259"/>
    </row>
    <row r="15">
      <c r="A15" s="150" t="str">
        <f>IF(B15="","",MIS!$A$3)</f>
        <v/>
      </c>
      <c r="B15" s="259"/>
      <c r="C15" s="150"/>
      <c r="D15" s="285"/>
      <c r="E15" s="259"/>
      <c r="F15" s="259"/>
      <c r="G15" s="150"/>
      <c r="H15" s="286"/>
      <c r="I15" s="150"/>
      <c r="J15" s="150" t="str">
        <f>IF(B15="","",MIS!$K$3)</f>
        <v/>
      </c>
      <c r="K15" s="259"/>
      <c r="L15" s="259"/>
      <c r="M15" s="259"/>
      <c r="N15" s="259"/>
      <c r="O15" s="259"/>
      <c r="P15" s="259"/>
      <c r="Q15" s="259"/>
      <c r="R15" s="259"/>
      <c r="S15" s="259"/>
      <c r="T15" s="259"/>
      <c r="U15" s="259"/>
      <c r="V15" s="259"/>
      <c r="W15" s="259"/>
      <c r="X15" s="259"/>
      <c r="Y15" s="259"/>
      <c r="Z15" s="259"/>
      <c r="AA15" s="259"/>
    </row>
    <row r="16">
      <c r="A16" s="150" t="str">
        <f>IF(B16="","",MIS!$A$3)</f>
        <v/>
      </c>
      <c r="B16" s="259"/>
      <c r="C16" s="150"/>
      <c r="D16" s="285"/>
      <c r="E16" s="259"/>
      <c r="F16" s="259"/>
      <c r="G16" s="150"/>
      <c r="H16" s="286"/>
      <c r="I16" s="150"/>
      <c r="J16" s="150" t="str">
        <f>IF(B16="","",MIS!$K$3)</f>
        <v/>
      </c>
      <c r="K16" s="259"/>
      <c r="L16" s="259"/>
      <c r="M16" s="259"/>
      <c r="N16" s="259"/>
      <c r="O16" s="259"/>
      <c r="P16" s="259"/>
      <c r="Q16" s="259"/>
      <c r="R16" s="259"/>
      <c r="S16" s="259"/>
      <c r="T16" s="259"/>
      <c r="U16" s="259"/>
      <c r="V16" s="259"/>
      <c r="W16" s="259"/>
      <c r="X16" s="259"/>
      <c r="Y16" s="259"/>
      <c r="Z16" s="259"/>
      <c r="AA16" s="259"/>
    </row>
    <row r="17">
      <c r="A17" s="150" t="str">
        <f>IF(B17="","",MIS!$A$3)</f>
        <v/>
      </c>
      <c r="B17" s="259"/>
      <c r="C17" s="150"/>
      <c r="D17" s="285"/>
      <c r="E17" s="259"/>
      <c r="F17" s="259"/>
      <c r="G17" s="150"/>
      <c r="H17" s="286"/>
      <c r="I17" s="150"/>
      <c r="J17" s="150" t="str">
        <f>IF(B17="","",MIS!$K$3)</f>
        <v/>
      </c>
      <c r="K17" s="259"/>
      <c r="L17" s="259"/>
      <c r="M17" s="259"/>
      <c r="N17" s="259"/>
      <c r="O17" s="259"/>
      <c r="P17" s="259"/>
      <c r="Q17" s="259"/>
      <c r="R17" s="259"/>
      <c r="S17" s="259"/>
      <c r="T17" s="259"/>
      <c r="U17" s="259"/>
      <c r="V17" s="259"/>
      <c r="W17" s="259"/>
      <c r="X17" s="259"/>
      <c r="Y17" s="259"/>
      <c r="Z17" s="259"/>
      <c r="AA17" s="259"/>
    </row>
    <row r="18">
      <c r="A18" s="150" t="str">
        <f>IF(B18="","",MIS!$A$3)</f>
        <v/>
      </c>
      <c r="B18" s="76"/>
      <c r="C18" s="82"/>
      <c r="D18" s="195"/>
      <c r="E18" s="76"/>
      <c r="F18" s="76"/>
      <c r="G18" s="82"/>
      <c r="H18" s="287"/>
      <c r="I18" s="82"/>
      <c r="J18" s="150" t="str">
        <f>IF(B18="","",MIS!$K$3)</f>
        <v/>
      </c>
    </row>
    <row r="19">
      <c r="A19" s="150" t="str">
        <f>IF(B19="","",MIS!$A$3)</f>
        <v/>
      </c>
      <c r="B19" s="76"/>
      <c r="C19" s="82"/>
      <c r="D19" s="195"/>
      <c r="E19" s="76"/>
      <c r="F19" s="76"/>
      <c r="G19" s="82"/>
      <c r="H19" s="287"/>
      <c r="I19" s="82"/>
      <c r="J19" s="150" t="str">
        <f>IF(B19="","",MIS!$K$3)</f>
        <v/>
      </c>
    </row>
    <row r="20">
      <c r="A20" s="150" t="str">
        <f>IF(B20="","",MIS!$A$3)</f>
        <v/>
      </c>
      <c r="B20" s="76"/>
      <c r="C20" s="82"/>
      <c r="D20" s="195"/>
      <c r="E20" s="76"/>
      <c r="F20" s="76"/>
      <c r="G20" s="82"/>
      <c r="H20" s="287"/>
      <c r="I20" s="82"/>
      <c r="J20" s="150" t="str">
        <f>IF(B20="","",MIS!$K$3)</f>
        <v/>
      </c>
    </row>
    <row r="21">
      <c r="A21" s="150" t="str">
        <f>IF(B21="","",MIS!$A$3)</f>
        <v/>
      </c>
      <c r="B21" s="76"/>
      <c r="C21" s="82"/>
      <c r="D21" s="195"/>
      <c r="E21" s="76"/>
      <c r="F21" s="76"/>
      <c r="G21" s="82"/>
      <c r="H21" s="287"/>
      <c r="I21" s="82"/>
      <c r="J21" s="150" t="str">
        <f>IF(B21="","",MIS!$K$3)</f>
        <v/>
      </c>
    </row>
    <row r="22">
      <c r="A22" s="150" t="str">
        <f>IF(B22="","",MIS!$A$3)</f>
        <v/>
      </c>
      <c r="B22" s="76"/>
      <c r="C22" s="82"/>
      <c r="D22" s="195"/>
      <c r="E22" s="76"/>
      <c r="F22" s="76"/>
      <c r="G22" s="82"/>
      <c r="H22" s="287"/>
      <c r="I22" s="82"/>
      <c r="J22" s="150" t="str">
        <f>IF(B22="","",MIS!$K$3)</f>
        <v/>
      </c>
    </row>
    <row r="23">
      <c r="A23" s="150" t="str">
        <f>IF(B23="","",MIS!$A$3)</f>
        <v/>
      </c>
      <c r="B23" s="76"/>
      <c r="C23" s="82"/>
      <c r="D23" s="195"/>
      <c r="E23" s="76"/>
      <c r="F23" s="76"/>
      <c r="G23" s="82"/>
      <c r="H23" s="287"/>
      <c r="I23" s="82"/>
      <c r="J23" s="150" t="str">
        <f>IF(B23="","",MIS!$K$3)</f>
        <v/>
      </c>
    </row>
    <row r="24">
      <c r="A24" s="150" t="str">
        <f>IF(B24="","",MIS!$A$3)</f>
        <v/>
      </c>
      <c r="B24" s="76"/>
      <c r="C24" s="82"/>
      <c r="D24" s="195"/>
      <c r="E24" s="76"/>
      <c r="F24" s="76"/>
      <c r="G24" s="82"/>
      <c r="H24" s="287"/>
      <c r="I24" s="82"/>
      <c r="J24" s="150" t="str">
        <f>IF(B24="","",MIS!$K$3)</f>
        <v/>
      </c>
    </row>
    <row r="25">
      <c r="A25" s="150" t="str">
        <f>IF(B25="","",MIS!$A$3)</f>
        <v/>
      </c>
      <c r="B25" s="76"/>
      <c r="C25" s="82"/>
      <c r="D25" s="195"/>
      <c r="E25" s="76"/>
      <c r="F25" s="76"/>
      <c r="G25" s="82"/>
      <c r="H25" s="287"/>
      <c r="I25" s="82"/>
      <c r="J25" s="150" t="str">
        <f>IF(B25="","",MIS!$K$3)</f>
        <v/>
      </c>
    </row>
    <row r="26">
      <c r="A26" s="150" t="str">
        <f>IF(B26="","",MIS!$A$3)</f>
        <v/>
      </c>
      <c r="B26" s="76"/>
      <c r="C26" s="82"/>
      <c r="D26" s="195"/>
      <c r="E26" s="76"/>
      <c r="F26" s="76"/>
      <c r="G26" s="82"/>
      <c r="H26" s="287"/>
      <c r="I26" s="82"/>
      <c r="J26" s="150" t="str">
        <f>IF(B26="","",MIS!$K$3)</f>
        <v/>
      </c>
    </row>
    <row r="27">
      <c r="A27" s="150" t="str">
        <f>IF(B27="","",MIS!$A$3)</f>
        <v/>
      </c>
      <c r="B27" s="76"/>
      <c r="C27" s="82"/>
      <c r="D27" s="195"/>
      <c r="E27" s="76"/>
      <c r="F27" s="76"/>
      <c r="G27" s="82"/>
      <c r="H27" s="287"/>
      <c r="I27" s="82"/>
      <c r="J27" s="150" t="str">
        <f>IF(B27="","",MIS!$K$3)</f>
        <v/>
      </c>
    </row>
    <row r="28">
      <c r="A28" s="150" t="str">
        <f>IF(B28="","",MIS!$A$3)</f>
        <v/>
      </c>
      <c r="B28" s="76"/>
      <c r="C28" s="82"/>
      <c r="D28" s="195"/>
      <c r="E28" s="76"/>
      <c r="F28" s="76"/>
      <c r="G28" s="82"/>
      <c r="H28" s="287"/>
      <c r="I28" s="82"/>
      <c r="J28" s="150" t="str">
        <f>IF(B28="","",MIS!$K$3)</f>
        <v/>
      </c>
    </row>
    <row r="29">
      <c r="A29" s="150" t="str">
        <f>IF(B29="","",MIS!$A$3)</f>
        <v/>
      </c>
      <c r="B29" s="76"/>
      <c r="C29" s="82"/>
      <c r="D29" s="195"/>
      <c r="E29" s="76"/>
      <c r="F29" s="76"/>
      <c r="G29" s="82"/>
      <c r="H29" s="287"/>
      <c r="I29" s="82"/>
      <c r="J29" s="150" t="str">
        <f>IF(B29="","",MIS!$K$3)</f>
        <v/>
      </c>
    </row>
    <row r="30">
      <c r="A30" s="150" t="str">
        <f>IF(B30="","",MIS!$A$3)</f>
        <v/>
      </c>
      <c r="B30" s="76"/>
      <c r="C30" s="82"/>
      <c r="D30" s="195"/>
      <c r="E30" s="76"/>
      <c r="F30" s="76"/>
      <c r="G30" s="82"/>
      <c r="H30" s="287"/>
      <c r="I30" s="82"/>
      <c r="J30" s="150" t="str">
        <f>IF(B30="","",MIS!$K$3)</f>
        <v/>
      </c>
    </row>
    <row r="31">
      <c r="A31" s="150" t="str">
        <f>IF(B31="","",MIS!$A$3)</f>
        <v/>
      </c>
      <c r="B31" s="76"/>
      <c r="C31" s="82"/>
      <c r="D31" s="195"/>
      <c r="E31" s="76"/>
      <c r="F31" s="76"/>
      <c r="G31" s="82"/>
      <c r="H31" s="287"/>
      <c r="I31" s="82"/>
      <c r="J31" s="150" t="str">
        <f>IF(B31="","",MIS!$K$3)</f>
        <v/>
      </c>
    </row>
    <row r="32">
      <c r="A32" s="150" t="str">
        <f>IF(B32="","",MIS!$A$3)</f>
        <v/>
      </c>
      <c r="B32" s="76"/>
      <c r="C32" s="82"/>
      <c r="D32" s="195"/>
      <c r="E32" s="76"/>
      <c r="F32" s="76"/>
      <c r="G32" s="82"/>
      <c r="H32" s="287"/>
      <c r="I32" s="82"/>
      <c r="J32" s="150" t="str">
        <f>IF(B32="","",MIS!$K$3)</f>
        <v/>
      </c>
    </row>
    <row r="33">
      <c r="A33" s="150" t="str">
        <f>IF(B33="","",MIS!$A$3)</f>
        <v/>
      </c>
      <c r="B33" s="76"/>
      <c r="C33" s="82"/>
      <c r="D33" s="195"/>
      <c r="E33" s="76"/>
      <c r="F33" s="76"/>
      <c r="G33" s="82"/>
      <c r="H33" s="287"/>
      <c r="I33" s="82"/>
      <c r="J33" s="150" t="str">
        <f>IF(B33="","",MIS!$K$3)</f>
        <v/>
      </c>
    </row>
    <row r="34">
      <c r="A34" s="150" t="str">
        <f>IF(B34="","",MIS!$A$3)</f>
        <v/>
      </c>
      <c r="B34" s="76"/>
      <c r="C34" s="82"/>
      <c r="D34" s="195"/>
      <c r="E34" s="76"/>
      <c r="F34" s="76"/>
      <c r="G34" s="82"/>
      <c r="H34" s="287"/>
      <c r="I34" s="82"/>
      <c r="J34" s="150" t="str">
        <f>IF(B34="","",MIS!$K$3)</f>
        <v/>
      </c>
    </row>
    <row r="35">
      <c r="A35" s="150" t="str">
        <f>IF(B35="","",MIS!$A$3)</f>
        <v/>
      </c>
      <c r="B35" s="76"/>
      <c r="C35" s="82"/>
      <c r="D35" s="195"/>
      <c r="E35" s="76"/>
      <c r="F35" s="76"/>
      <c r="G35" s="82"/>
      <c r="H35" s="287"/>
      <c r="I35" s="82"/>
      <c r="J35" s="150" t="str">
        <f>IF(B35="","",MIS!$K$3)</f>
        <v/>
      </c>
    </row>
    <row r="36">
      <c r="A36" s="150" t="str">
        <f>IF(B36="","",MIS!$A$3)</f>
        <v/>
      </c>
      <c r="B36" s="76"/>
      <c r="C36" s="82"/>
      <c r="D36" s="195"/>
      <c r="E36" s="76"/>
      <c r="F36" s="76"/>
      <c r="G36" s="82"/>
      <c r="H36" s="287"/>
      <c r="I36" s="82"/>
      <c r="J36" s="150" t="str">
        <f>IF(B36="","",MIS!$K$3)</f>
        <v/>
      </c>
    </row>
    <row r="37">
      <c r="A37" s="150" t="str">
        <f>IF(B37="","",MIS!$A$3)</f>
        <v/>
      </c>
      <c r="B37" s="76"/>
      <c r="C37" s="82"/>
      <c r="D37" s="195"/>
      <c r="E37" s="76"/>
      <c r="F37" s="76"/>
      <c r="G37" s="82"/>
      <c r="H37" s="287"/>
      <c r="I37" s="82"/>
      <c r="J37" s="150" t="str">
        <f>IF(B37="","",MIS!$K$3)</f>
        <v/>
      </c>
    </row>
    <row r="38">
      <c r="A38" s="82"/>
      <c r="B38" s="76"/>
      <c r="C38" s="82"/>
      <c r="D38" s="195"/>
      <c r="E38" s="76"/>
      <c r="F38" s="76"/>
      <c r="G38" s="82"/>
      <c r="H38" s="287"/>
      <c r="I38" s="82"/>
      <c r="J38" s="82"/>
    </row>
    <row r="39">
      <c r="A39" s="82"/>
      <c r="B39" s="76"/>
      <c r="C39" s="82"/>
      <c r="D39" s="195"/>
      <c r="E39" s="76"/>
      <c r="F39" s="76"/>
      <c r="G39" s="82"/>
      <c r="H39" s="287"/>
      <c r="I39" s="82"/>
      <c r="J39" s="82"/>
    </row>
    <row r="40">
      <c r="A40" s="82"/>
      <c r="B40" s="76"/>
      <c r="C40" s="82"/>
      <c r="D40" s="195"/>
      <c r="E40" s="76"/>
      <c r="F40" s="76"/>
      <c r="G40" s="82"/>
      <c r="H40" s="287"/>
      <c r="I40" s="82"/>
      <c r="J40" s="82"/>
    </row>
    <row r="41">
      <c r="A41" s="82"/>
      <c r="B41" s="76"/>
      <c r="C41" s="82"/>
      <c r="D41" s="195"/>
      <c r="E41" s="76"/>
      <c r="F41" s="76"/>
      <c r="G41" s="82"/>
      <c r="H41" s="287"/>
      <c r="I41" s="82"/>
      <c r="J41" s="82"/>
    </row>
    <row r="42">
      <c r="A42" s="82"/>
      <c r="B42" s="76"/>
      <c r="C42" s="82"/>
      <c r="D42" s="195"/>
      <c r="E42" s="76"/>
      <c r="F42" s="76"/>
      <c r="G42" s="82"/>
      <c r="H42" s="287"/>
      <c r="I42" s="82"/>
      <c r="J42" s="82"/>
    </row>
    <row r="43">
      <c r="A43" s="82"/>
      <c r="B43" s="76"/>
      <c r="C43" s="82"/>
      <c r="D43" s="195"/>
      <c r="E43" s="76"/>
      <c r="F43" s="76"/>
      <c r="G43" s="82"/>
      <c r="H43" s="287"/>
      <c r="I43" s="82"/>
      <c r="J43" s="82"/>
    </row>
    <row r="44">
      <c r="A44" s="82"/>
      <c r="B44" s="76"/>
      <c r="C44" s="82"/>
      <c r="D44" s="195"/>
      <c r="E44" s="76"/>
      <c r="F44" s="76"/>
      <c r="G44" s="82"/>
      <c r="H44" s="287"/>
      <c r="I44" s="82"/>
      <c r="J44" s="82"/>
    </row>
    <row r="45">
      <c r="A45" s="82"/>
      <c r="B45" s="76"/>
      <c r="C45" s="82"/>
      <c r="D45" s="195"/>
      <c r="E45" s="76"/>
      <c r="F45" s="76"/>
      <c r="G45" s="82"/>
      <c r="H45" s="287"/>
      <c r="I45" s="82"/>
      <c r="J45" s="82"/>
    </row>
    <row r="46">
      <c r="A46" s="82"/>
      <c r="B46" s="76"/>
      <c r="C46" s="82"/>
      <c r="D46" s="195"/>
      <c r="E46" s="76"/>
      <c r="F46" s="76"/>
      <c r="G46" s="82"/>
      <c r="H46" s="287"/>
      <c r="I46" s="82"/>
      <c r="J46" s="82"/>
    </row>
    <row r="47">
      <c r="A47" s="82"/>
      <c r="B47" s="76"/>
      <c r="C47" s="82"/>
      <c r="D47" s="195"/>
      <c r="E47" s="76"/>
      <c r="F47" s="76"/>
      <c r="G47" s="82"/>
      <c r="H47" s="287"/>
      <c r="I47" s="82"/>
      <c r="J47" s="82"/>
    </row>
    <row r="48">
      <c r="A48" s="82"/>
      <c r="B48" s="76"/>
      <c r="C48" s="82"/>
      <c r="D48" s="195"/>
      <c r="E48" s="76"/>
      <c r="F48" s="76"/>
      <c r="G48" s="82"/>
      <c r="H48" s="287"/>
      <c r="I48" s="82"/>
      <c r="J48" s="82"/>
    </row>
    <row r="49">
      <c r="A49" s="82"/>
      <c r="B49" s="76"/>
      <c r="C49" s="82"/>
      <c r="D49" s="195"/>
      <c r="E49" s="76"/>
      <c r="F49" s="76"/>
      <c r="G49" s="82"/>
      <c r="H49" s="287"/>
      <c r="I49" s="82"/>
      <c r="J49" s="82"/>
    </row>
    <row r="50">
      <c r="A50" s="82"/>
      <c r="B50" s="76"/>
      <c r="C50" s="82"/>
      <c r="D50" s="195"/>
      <c r="E50" s="76"/>
      <c r="F50" s="76"/>
      <c r="G50" s="82"/>
      <c r="H50" s="287"/>
      <c r="I50" s="82"/>
      <c r="J50" s="82"/>
    </row>
    <row r="51">
      <c r="A51" s="82"/>
      <c r="B51" s="76"/>
      <c r="C51" s="82"/>
      <c r="D51" s="195"/>
      <c r="E51" s="76"/>
      <c r="F51" s="76"/>
      <c r="G51" s="82"/>
      <c r="H51" s="287"/>
      <c r="I51" s="82"/>
      <c r="J51" s="82"/>
    </row>
    <row r="52">
      <c r="A52" s="82"/>
      <c r="B52" s="76"/>
      <c r="C52" s="82"/>
      <c r="D52" s="195"/>
      <c r="E52" s="76"/>
      <c r="F52" s="76"/>
      <c r="G52" s="82"/>
      <c r="H52" s="287"/>
      <c r="I52" s="82"/>
      <c r="J52" s="82"/>
    </row>
    <row r="53">
      <c r="A53" s="82"/>
      <c r="B53" s="76"/>
      <c r="C53" s="82"/>
      <c r="D53" s="195"/>
      <c r="E53" s="76"/>
      <c r="F53" s="76"/>
      <c r="G53" s="82"/>
      <c r="H53" s="287"/>
      <c r="I53" s="82"/>
      <c r="J53" s="82"/>
    </row>
    <row r="54">
      <c r="A54" s="82"/>
      <c r="B54" s="76"/>
      <c r="C54" s="82"/>
      <c r="D54" s="195"/>
      <c r="E54" s="76"/>
      <c r="F54" s="76"/>
      <c r="G54" s="82"/>
      <c r="H54" s="287"/>
      <c r="I54" s="82"/>
      <c r="J54" s="82"/>
    </row>
    <row r="55">
      <c r="A55" s="82"/>
      <c r="B55" s="76"/>
      <c r="C55" s="82"/>
      <c r="D55" s="195"/>
      <c r="E55" s="76"/>
      <c r="F55" s="76"/>
      <c r="G55" s="82"/>
      <c r="H55" s="287"/>
      <c r="I55" s="82"/>
      <c r="J55" s="82"/>
    </row>
    <row r="56">
      <c r="A56" s="82"/>
      <c r="B56" s="76"/>
      <c r="C56" s="82"/>
      <c r="D56" s="195"/>
      <c r="E56" s="76"/>
      <c r="F56" s="76"/>
      <c r="G56" s="82"/>
      <c r="H56" s="287"/>
      <c r="I56" s="82"/>
      <c r="J56" s="82"/>
    </row>
    <row r="57">
      <c r="A57" s="82"/>
      <c r="B57" s="76"/>
      <c r="C57" s="82"/>
      <c r="D57" s="195"/>
      <c r="E57" s="76"/>
      <c r="F57" s="76"/>
      <c r="G57" s="82"/>
      <c r="H57" s="287"/>
      <c r="I57" s="82"/>
      <c r="J57" s="82"/>
    </row>
    <row r="58">
      <c r="A58" s="82"/>
      <c r="B58" s="76"/>
      <c r="C58" s="82"/>
      <c r="D58" s="195"/>
      <c r="E58" s="76"/>
      <c r="F58" s="76"/>
      <c r="G58" s="82"/>
      <c r="H58" s="287"/>
      <c r="I58" s="82"/>
      <c r="J58" s="82"/>
    </row>
    <row r="59">
      <c r="A59" s="82"/>
      <c r="B59" s="76"/>
      <c r="C59" s="82"/>
      <c r="D59" s="195"/>
      <c r="E59" s="76"/>
      <c r="F59" s="76"/>
      <c r="G59" s="82"/>
      <c r="H59" s="287"/>
      <c r="I59" s="82"/>
      <c r="J59" s="82"/>
    </row>
    <row r="60">
      <c r="A60" s="82"/>
      <c r="B60" s="76"/>
      <c r="C60" s="82"/>
      <c r="D60" s="195"/>
      <c r="E60" s="76"/>
      <c r="F60" s="76"/>
      <c r="G60" s="82"/>
      <c r="H60" s="287"/>
      <c r="I60" s="82"/>
      <c r="J60" s="82"/>
    </row>
    <row r="61">
      <c r="A61" s="82"/>
      <c r="B61" s="76"/>
      <c r="C61" s="82"/>
      <c r="D61" s="195"/>
      <c r="E61" s="76"/>
      <c r="F61" s="76"/>
      <c r="G61" s="82"/>
      <c r="H61" s="287"/>
      <c r="I61" s="82"/>
      <c r="J61" s="82"/>
    </row>
    <row r="62">
      <c r="A62" s="82"/>
      <c r="B62" s="76"/>
      <c r="C62" s="82"/>
      <c r="D62" s="195"/>
      <c r="E62" s="76"/>
      <c r="F62" s="76"/>
      <c r="G62" s="82"/>
      <c r="H62" s="287"/>
      <c r="I62" s="82"/>
      <c r="J62" s="82"/>
    </row>
    <row r="63">
      <c r="A63" s="82"/>
      <c r="B63" s="76"/>
      <c r="C63" s="82"/>
      <c r="D63" s="195"/>
      <c r="E63" s="76"/>
      <c r="F63" s="76"/>
      <c r="G63" s="82"/>
      <c r="H63" s="287"/>
      <c r="I63" s="82"/>
      <c r="J63" s="82"/>
    </row>
    <row r="64">
      <c r="A64" s="82"/>
      <c r="B64" s="76"/>
      <c r="C64" s="82"/>
      <c r="D64" s="195"/>
      <c r="E64" s="76"/>
      <c r="F64" s="76"/>
      <c r="G64" s="82"/>
      <c r="H64" s="287"/>
      <c r="I64" s="82"/>
      <c r="J64" s="82"/>
    </row>
    <row r="65">
      <c r="A65" s="82"/>
      <c r="B65" s="76"/>
      <c r="C65" s="82"/>
      <c r="D65" s="195"/>
      <c r="E65" s="76"/>
      <c r="F65" s="76"/>
      <c r="G65" s="82"/>
      <c r="H65" s="287"/>
      <c r="I65" s="82"/>
      <c r="J65" s="82"/>
    </row>
    <row r="66">
      <c r="A66" s="82"/>
      <c r="B66" s="76"/>
      <c r="C66" s="82"/>
      <c r="D66" s="195"/>
      <c r="E66" s="76"/>
      <c r="F66" s="76"/>
      <c r="G66" s="82"/>
      <c r="H66" s="287"/>
      <c r="I66" s="82"/>
      <c r="J66" s="82"/>
    </row>
    <row r="67">
      <c r="A67" s="82"/>
      <c r="B67" s="76"/>
      <c r="C67" s="82"/>
      <c r="D67" s="195"/>
      <c r="E67" s="76"/>
      <c r="F67" s="76"/>
      <c r="G67" s="82"/>
      <c r="H67" s="287"/>
      <c r="I67" s="82"/>
      <c r="J67" s="82"/>
    </row>
    <row r="68">
      <c r="A68" s="82"/>
      <c r="B68" s="76"/>
      <c r="C68" s="82"/>
      <c r="D68" s="195"/>
      <c r="E68" s="76"/>
      <c r="F68" s="76"/>
      <c r="G68" s="82"/>
      <c r="H68" s="287"/>
      <c r="I68" s="82"/>
      <c r="J68" s="82"/>
    </row>
    <row r="69">
      <c r="A69" s="82"/>
      <c r="B69" s="76"/>
      <c r="C69" s="82"/>
      <c r="D69" s="195"/>
      <c r="E69" s="76"/>
      <c r="F69" s="76"/>
      <c r="G69" s="82"/>
      <c r="H69" s="287"/>
      <c r="I69" s="82"/>
      <c r="J69" s="82"/>
    </row>
    <row r="70">
      <c r="A70" s="82"/>
      <c r="B70" s="76"/>
      <c r="C70" s="82"/>
      <c r="D70" s="195"/>
      <c r="E70" s="76"/>
      <c r="F70" s="76"/>
      <c r="G70" s="82"/>
      <c r="H70" s="287"/>
      <c r="I70" s="82"/>
      <c r="J70" s="82"/>
    </row>
    <row r="71">
      <c r="A71" s="82"/>
      <c r="B71" s="76"/>
      <c r="C71" s="82"/>
      <c r="D71" s="195"/>
      <c r="E71" s="76"/>
      <c r="F71" s="76"/>
      <c r="G71" s="82"/>
      <c r="H71" s="287"/>
      <c r="I71" s="82"/>
      <c r="J71" s="82"/>
    </row>
    <row r="72">
      <c r="A72" s="82"/>
      <c r="B72" s="76"/>
      <c r="C72" s="82"/>
      <c r="D72" s="195"/>
      <c r="E72" s="76"/>
      <c r="F72" s="76"/>
      <c r="G72" s="82"/>
      <c r="H72" s="287"/>
      <c r="I72" s="82"/>
      <c r="J72" s="82"/>
    </row>
    <row r="73">
      <c r="A73" s="82"/>
      <c r="B73" s="76"/>
      <c r="C73" s="82"/>
      <c r="D73" s="195"/>
      <c r="E73" s="76"/>
      <c r="F73" s="76"/>
      <c r="G73" s="82"/>
      <c r="H73" s="287"/>
      <c r="I73" s="82"/>
      <c r="J73" s="82"/>
    </row>
    <row r="74">
      <c r="A74" s="82"/>
      <c r="B74" s="76"/>
      <c r="C74" s="82"/>
      <c r="D74" s="195"/>
      <c r="E74" s="76"/>
      <c r="F74" s="76"/>
      <c r="G74" s="82"/>
      <c r="H74" s="287"/>
      <c r="I74" s="82"/>
      <c r="J74" s="82"/>
    </row>
    <row r="75">
      <c r="A75" s="82"/>
      <c r="B75" s="76"/>
      <c r="C75" s="82"/>
      <c r="D75" s="195"/>
      <c r="E75" s="76"/>
      <c r="F75" s="76"/>
      <c r="G75" s="82"/>
      <c r="H75" s="287"/>
      <c r="I75" s="82"/>
      <c r="J75" s="82"/>
    </row>
    <row r="76">
      <c r="A76" s="82"/>
      <c r="B76" s="76"/>
      <c r="C76" s="82"/>
      <c r="D76" s="195"/>
      <c r="E76" s="76"/>
      <c r="F76" s="76"/>
      <c r="G76" s="82"/>
      <c r="H76" s="287"/>
      <c r="I76" s="82"/>
      <c r="J76" s="82"/>
    </row>
    <row r="77">
      <c r="A77" s="82"/>
      <c r="B77" s="76"/>
      <c r="C77" s="82"/>
      <c r="D77" s="195"/>
      <c r="E77" s="76"/>
      <c r="F77" s="76"/>
      <c r="G77" s="82"/>
      <c r="H77" s="287"/>
      <c r="I77" s="82"/>
      <c r="J77" s="82"/>
    </row>
    <row r="78">
      <c r="A78" s="82"/>
      <c r="B78" s="76"/>
      <c r="C78" s="82"/>
      <c r="D78" s="195"/>
      <c r="E78" s="76"/>
      <c r="F78" s="76"/>
      <c r="G78" s="82"/>
      <c r="H78" s="287"/>
      <c r="I78" s="82"/>
      <c r="J78" s="82"/>
    </row>
    <row r="79">
      <c r="A79" s="82"/>
      <c r="B79" s="76"/>
      <c r="C79" s="82"/>
      <c r="D79" s="195"/>
      <c r="E79" s="76"/>
      <c r="F79" s="76"/>
      <c r="G79" s="82"/>
      <c r="H79" s="287"/>
      <c r="I79" s="82"/>
      <c r="J79" s="82"/>
    </row>
    <row r="80">
      <c r="A80" s="82"/>
      <c r="B80" s="76"/>
      <c r="C80" s="82"/>
      <c r="D80" s="195"/>
      <c r="E80" s="76"/>
      <c r="F80" s="76"/>
      <c r="G80" s="82"/>
      <c r="H80" s="287"/>
      <c r="I80" s="82"/>
      <c r="J80" s="82"/>
    </row>
    <row r="81">
      <c r="A81" s="82"/>
      <c r="B81" s="76"/>
      <c r="C81" s="82"/>
      <c r="D81" s="195"/>
      <c r="E81" s="76"/>
      <c r="F81" s="76"/>
      <c r="G81" s="82"/>
      <c r="H81" s="287"/>
      <c r="I81" s="82"/>
      <c r="J81" s="82"/>
    </row>
    <row r="82">
      <c r="A82" s="82"/>
      <c r="B82" s="76"/>
      <c r="C82" s="82"/>
      <c r="D82" s="195"/>
      <c r="E82" s="76"/>
      <c r="F82" s="76"/>
      <c r="G82" s="82"/>
      <c r="H82" s="287"/>
      <c r="I82" s="82"/>
      <c r="J82" s="82"/>
    </row>
    <row r="83">
      <c r="A83" s="82"/>
      <c r="B83" s="76"/>
      <c r="C83" s="82"/>
      <c r="D83" s="195"/>
      <c r="E83" s="76"/>
      <c r="F83" s="76"/>
      <c r="G83" s="82"/>
      <c r="H83" s="287"/>
      <c r="I83" s="82"/>
      <c r="J83" s="82"/>
    </row>
    <row r="84">
      <c r="A84" s="82"/>
      <c r="B84" s="76"/>
      <c r="C84" s="82"/>
      <c r="D84" s="195"/>
      <c r="E84" s="76"/>
      <c r="F84" s="76"/>
      <c r="G84" s="82"/>
      <c r="H84" s="287"/>
      <c r="I84" s="82"/>
      <c r="J84" s="82"/>
    </row>
    <row r="85">
      <c r="A85" s="82"/>
      <c r="B85" s="76"/>
      <c r="C85" s="82"/>
      <c r="D85" s="195"/>
      <c r="E85" s="76"/>
      <c r="F85" s="76"/>
      <c r="G85" s="82"/>
      <c r="H85" s="287"/>
      <c r="I85" s="82"/>
      <c r="J85" s="82"/>
    </row>
    <row r="86">
      <c r="A86" s="82"/>
      <c r="B86" s="76"/>
      <c r="C86" s="82"/>
      <c r="D86" s="195"/>
      <c r="E86" s="76"/>
      <c r="F86" s="76"/>
      <c r="G86" s="82"/>
      <c r="H86" s="287"/>
      <c r="I86" s="82"/>
      <c r="J86" s="82"/>
    </row>
    <row r="87">
      <c r="A87" s="82"/>
      <c r="B87" s="76"/>
      <c r="C87" s="82"/>
      <c r="D87" s="195"/>
      <c r="E87" s="76"/>
      <c r="F87" s="76"/>
      <c r="G87" s="82"/>
      <c r="H87" s="287"/>
      <c r="I87" s="82"/>
      <c r="J87" s="82"/>
    </row>
    <row r="88">
      <c r="A88" s="82"/>
      <c r="B88" s="76"/>
      <c r="C88" s="82"/>
      <c r="D88" s="195"/>
      <c r="E88" s="76"/>
      <c r="F88" s="76"/>
      <c r="G88" s="82"/>
      <c r="H88" s="287"/>
      <c r="I88" s="82"/>
      <c r="J88" s="82"/>
    </row>
    <row r="89">
      <c r="A89" s="82"/>
      <c r="B89" s="76"/>
      <c r="C89" s="82"/>
      <c r="D89" s="195"/>
      <c r="E89" s="76"/>
      <c r="F89" s="76"/>
      <c r="G89" s="82"/>
      <c r="H89" s="287"/>
      <c r="I89" s="82"/>
      <c r="J89" s="82"/>
    </row>
    <row r="90">
      <c r="A90" s="82"/>
      <c r="B90" s="76"/>
      <c r="C90" s="82"/>
      <c r="D90" s="195"/>
      <c r="E90" s="76"/>
      <c r="F90" s="76"/>
      <c r="G90" s="82"/>
      <c r="H90" s="287"/>
      <c r="I90" s="82"/>
      <c r="J90" s="82"/>
    </row>
    <row r="91">
      <c r="A91" s="82"/>
      <c r="B91" s="76"/>
      <c r="C91" s="82"/>
      <c r="D91" s="195"/>
      <c r="E91" s="76"/>
      <c r="F91" s="76"/>
      <c r="G91" s="82"/>
      <c r="H91" s="287"/>
      <c r="I91" s="82"/>
      <c r="J91" s="82"/>
    </row>
    <row r="92">
      <c r="A92" s="82"/>
      <c r="B92" s="76"/>
      <c r="C92" s="82"/>
      <c r="D92" s="195"/>
      <c r="E92" s="76"/>
      <c r="F92" s="76"/>
      <c r="G92" s="82"/>
      <c r="H92" s="287"/>
      <c r="I92" s="82"/>
      <c r="J92" s="82"/>
    </row>
    <row r="93">
      <c r="A93" s="82"/>
      <c r="B93" s="76"/>
      <c r="C93" s="82"/>
      <c r="D93" s="195"/>
      <c r="E93" s="76"/>
      <c r="F93" s="76"/>
      <c r="G93" s="82"/>
      <c r="H93" s="287"/>
      <c r="I93" s="82"/>
      <c r="J93" s="82"/>
    </row>
    <row r="94">
      <c r="A94" s="82"/>
      <c r="B94" s="76"/>
      <c r="C94" s="82"/>
      <c r="D94" s="195"/>
      <c r="E94" s="76"/>
      <c r="F94" s="76"/>
      <c r="G94" s="82"/>
      <c r="H94" s="287"/>
      <c r="I94" s="82"/>
      <c r="J94" s="82"/>
    </row>
    <row r="95">
      <c r="A95" s="82"/>
      <c r="B95" s="76"/>
      <c r="C95" s="82"/>
      <c r="D95" s="195"/>
      <c r="E95" s="76"/>
      <c r="F95" s="76"/>
      <c r="G95" s="82"/>
      <c r="H95" s="287"/>
      <c r="I95" s="82"/>
      <c r="J95" s="82"/>
    </row>
    <row r="96">
      <c r="A96" s="82"/>
      <c r="B96" s="76"/>
      <c r="C96" s="82"/>
      <c r="D96" s="195"/>
      <c r="E96" s="76"/>
      <c r="F96" s="76"/>
      <c r="G96" s="82"/>
      <c r="H96" s="287"/>
      <c r="I96" s="82"/>
      <c r="J96" s="82"/>
    </row>
    <row r="97">
      <c r="A97" s="82"/>
      <c r="B97" s="76"/>
      <c r="C97" s="82"/>
      <c r="D97" s="195"/>
      <c r="E97" s="76"/>
      <c r="F97" s="76"/>
      <c r="G97" s="82"/>
      <c r="H97" s="287"/>
      <c r="I97" s="82"/>
      <c r="J97" s="82"/>
    </row>
    <row r="98">
      <c r="A98" s="82"/>
      <c r="B98" s="76"/>
      <c r="C98" s="82"/>
      <c r="D98" s="195"/>
      <c r="E98" s="76"/>
      <c r="F98" s="76"/>
      <c r="G98" s="82"/>
      <c r="H98" s="287"/>
      <c r="I98" s="82"/>
      <c r="J98" s="82"/>
    </row>
    <row r="99">
      <c r="A99" s="82"/>
      <c r="B99" s="76"/>
      <c r="C99" s="82"/>
      <c r="D99" s="195"/>
      <c r="E99" s="76"/>
      <c r="F99" s="76"/>
      <c r="G99" s="82"/>
      <c r="H99" s="287"/>
      <c r="I99" s="82"/>
      <c r="J99" s="82"/>
    </row>
    <row r="100">
      <c r="A100" s="82"/>
      <c r="B100" s="76"/>
      <c r="C100" s="82"/>
      <c r="D100" s="195"/>
      <c r="E100" s="76"/>
      <c r="F100" s="76"/>
      <c r="G100" s="82"/>
      <c r="H100" s="287"/>
      <c r="I100" s="82"/>
      <c r="J100" s="82"/>
    </row>
    <row r="101">
      <c r="A101" s="82"/>
      <c r="B101" s="76"/>
      <c r="C101" s="82"/>
      <c r="D101" s="195"/>
      <c r="E101" s="76"/>
      <c r="F101" s="76"/>
      <c r="G101" s="82"/>
      <c r="H101" s="287"/>
      <c r="I101" s="82"/>
      <c r="J101" s="82"/>
    </row>
    <row r="102">
      <c r="A102" s="82"/>
      <c r="B102" s="76"/>
      <c r="C102" s="82"/>
      <c r="D102" s="195"/>
      <c r="E102" s="76"/>
      <c r="F102" s="76"/>
      <c r="G102" s="82"/>
      <c r="H102" s="287"/>
      <c r="I102" s="82"/>
      <c r="J102" s="82"/>
    </row>
    <row r="103">
      <c r="A103" s="82"/>
      <c r="B103" s="76"/>
      <c r="C103" s="82"/>
      <c r="D103" s="195"/>
      <c r="E103" s="76"/>
      <c r="F103" s="76"/>
      <c r="G103" s="82"/>
      <c r="H103" s="287"/>
      <c r="I103" s="82"/>
      <c r="J103" s="82"/>
    </row>
    <row r="104">
      <c r="A104" s="82"/>
      <c r="B104" s="76"/>
      <c r="C104" s="82"/>
      <c r="D104" s="195"/>
      <c r="E104" s="76"/>
      <c r="F104" s="76"/>
      <c r="G104" s="82"/>
      <c r="H104" s="287"/>
      <c r="I104" s="82"/>
      <c r="J104" s="82"/>
    </row>
    <row r="105">
      <c r="A105" s="82"/>
      <c r="B105" s="76"/>
      <c r="C105" s="82"/>
      <c r="D105" s="195"/>
      <c r="E105" s="76"/>
      <c r="F105" s="76"/>
      <c r="G105" s="82"/>
      <c r="H105" s="287"/>
      <c r="I105" s="82"/>
      <c r="J105" s="82"/>
    </row>
    <row r="106">
      <c r="A106" s="82"/>
      <c r="B106" s="76"/>
      <c r="C106" s="82"/>
      <c r="D106" s="195"/>
      <c r="E106" s="76"/>
      <c r="F106" s="76"/>
      <c r="G106" s="82"/>
      <c r="H106" s="287"/>
      <c r="I106" s="82"/>
      <c r="J106" s="82"/>
    </row>
    <row r="107">
      <c r="A107" s="82"/>
      <c r="B107" s="76"/>
      <c r="C107" s="82"/>
      <c r="D107" s="195"/>
      <c r="E107" s="76"/>
      <c r="F107" s="76"/>
      <c r="G107" s="82"/>
      <c r="H107" s="287"/>
      <c r="I107" s="82"/>
      <c r="J107" s="82"/>
    </row>
    <row r="108">
      <c r="A108" s="82"/>
      <c r="B108" s="76"/>
      <c r="C108" s="82"/>
      <c r="D108" s="195"/>
      <c r="E108" s="76"/>
      <c r="F108" s="76"/>
      <c r="G108" s="82"/>
      <c r="H108" s="287"/>
      <c r="I108" s="82"/>
      <c r="J108" s="82"/>
    </row>
    <row r="109">
      <c r="A109" s="82"/>
      <c r="B109" s="76"/>
      <c r="C109" s="82"/>
      <c r="D109" s="195"/>
      <c r="E109" s="76"/>
      <c r="F109" s="76"/>
      <c r="G109" s="82"/>
      <c r="H109" s="287"/>
      <c r="I109" s="82"/>
      <c r="J109" s="82"/>
    </row>
    <row r="110">
      <c r="A110" s="82"/>
      <c r="B110" s="76"/>
      <c r="C110" s="82"/>
      <c r="D110" s="195"/>
      <c r="E110" s="76"/>
      <c r="F110" s="76"/>
      <c r="G110" s="82"/>
      <c r="H110" s="287"/>
      <c r="I110" s="82"/>
      <c r="J110" s="82"/>
    </row>
    <row r="111">
      <c r="A111" s="82"/>
      <c r="B111" s="76"/>
      <c r="C111" s="82"/>
      <c r="D111" s="195"/>
      <c r="E111" s="76"/>
      <c r="F111" s="76"/>
      <c r="G111" s="82"/>
      <c r="H111" s="287"/>
      <c r="I111" s="82"/>
      <c r="J111" s="82"/>
    </row>
    <row r="112">
      <c r="A112" s="82"/>
      <c r="B112" s="76"/>
      <c r="C112" s="82"/>
      <c r="D112" s="195"/>
      <c r="E112" s="76"/>
      <c r="F112" s="76"/>
      <c r="G112" s="82"/>
      <c r="H112" s="287"/>
      <c r="I112" s="82"/>
      <c r="J112" s="82"/>
    </row>
    <row r="113">
      <c r="A113" s="82"/>
      <c r="B113" s="76"/>
      <c r="C113" s="82"/>
      <c r="D113" s="195"/>
      <c r="E113" s="76"/>
      <c r="F113" s="76"/>
      <c r="G113" s="82"/>
      <c r="H113" s="287"/>
      <c r="I113" s="82"/>
      <c r="J113" s="82"/>
    </row>
    <row r="114">
      <c r="A114" s="82"/>
      <c r="B114" s="76"/>
      <c r="C114" s="82"/>
      <c r="D114" s="195"/>
      <c r="E114" s="76"/>
      <c r="F114" s="76"/>
      <c r="G114" s="82"/>
      <c r="H114" s="287"/>
      <c r="I114" s="82"/>
      <c r="J114" s="82"/>
    </row>
    <row r="115">
      <c r="A115" s="82"/>
      <c r="B115" s="76"/>
      <c r="C115" s="82"/>
      <c r="D115" s="195"/>
      <c r="E115" s="76"/>
      <c r="F115" s="76"/>
      <c r="G115" s="82"/>
      <c r="H115" s="287"/>
      <c r="I115" s="82"/>
      <c r="J115" s="82"/>
    </row>
    <row r="116">
      <c r="A116" s="82"/>
      <c r="B116" s="76"/>
      <c r="C116" s="82"/>
      <c r="D116" s="195"/>
      <c r="E116" s="76"/>
      <c r="F116" s="76"/>
      <c r="G116" s="82"/>
      <c r="H116" s="287"/>
      <c r="I116" s="82"/>
      <c r="J116" s="82"/>
    </row>
    <row r="117">
      <c r="A117" s="82"/>
      <c r="B117" s="76"/>
      <c r="C117" s="82"/>
      <c r="D117" s="195"/>
      <c r="E117" s="76"/>
      <c r="F117" s="76"/>
      <c r="G117" s="82"/>
      <c r="H117" s="287"/>
      <c r="I117" s="82"/>
      <c r="J117" s="82"/>
    </row>
    <row r="118">
      <c r="A118" s="82"/>
      <c r="B118" s="76"/>
      <c r="C118" s="82"/>
      <c r="D118" s="195"/>
      <c r="E118" s="76"/>
      <c r="F118" s="76"/>
      <c r="G118" s="82"/>
      <c r="H118" s="287"/>
      <c r="I118" s="82"/>
      <c r="J118" s="82"/>
    </row>
    <row r="119">
      <c r="A119" s="82"/>
      <c r="B119" s="76"/>
      <c r="C119" s="82"/>
      <c r="D119" s="195"/>
      <c r="E119" s="76"/>
      <c r="F119" s="76"/>
      <c r="G119" s="82"/>
      <c r="H119" s="287"/>
      <c r="I119" s="82"/>
      <c r="J119" s="82"/>
    </row>
    <row r="120">
      <c r="A120" s="82"/>
      <c r="B120" s="76"/>
      <c r="C120" s="82"/>
      <c r="D120" s="195"/>
      <c r="E120" s="76"/>
      <c r="F120" s="76"/>
      <c r="G120" s="82"/>
      <c r="H120" s="287"/>
      <c r="I120" s="82"/>
      <c r="J120" s="82"/>
    </row>
    <row r="121">
      <c r="A121" s="82"/>
      <c r="B121" s="76"/>
      <c r="C121" s="82"/>
      <c r="D121" s="195"/>
      <c r="E121" s="76"/>
      <c r="F121" s="76"/>
      <c r="G121" s="82"/>
      <c r="H121" s="287"/>
      <c r="I121" s="82"/>
      <c r="J121" s="82"/>
    </row>
    <row r="122">
      <c r="A122" s="82"/>
      <c r="B122" s="76"/>
      <c r="C122" s="82"/>
      <c r="D122" s="195"/>
      <c r="E122" s="76"/>
      <c r="F122" s="76"/>
      <c r="G122" s="82"/>
      <c r="H122" s="287"/>
      <c r="I122" s="82"/>
      <c r="J122" s="82"/>
    </row>
    <row r="123">
      <c r="A123" s="82"/>
      <c r="B123" s="76"/>
      <c r="C123" s="82"/>
      <c r="D123" s="195"/>
      <c r="E123" s="76"/>
      <c r="F123" s="76"/>
      <c r="G123" s="82"/>
      <c r="H123" s="287"/>
      <c r="I123" s="82"/>
      <c r="J123" s="82"/>
    </row>
    <row r="124">
      <c r="A124" s="82"/>
      <c r="B124" s="76"/>
      <c r="C124" s="82"/>
      <c r="D124" s="195"/>
      <c r="E124" s="76"/>
      <c r="F124" s="76"/>
      <c r="G124" s="82"/>
      <c r="H124" s="287"/>
      <c r="I124" s="82"/>
      <c r="J124" s="82"/>
    </row>
    <row r="125">
      <c r="A125" s="82"/>
      <c r="B125" s="76"/>
      <c r="C125" s="82"/>
      <c r="D125" s="195"/>
      <c r="E125" s="76"/>
      <c r="F125" s="76"/>
      <c r="G125" s="82"/>
      <c r="H125" s="287"/>
      <c r="I125" s="82"/>
      <c r="J125" s="82"/>
    </row>
    <row r="126">
      <c r="A126" s="82"/>
      <c r="B126" s="76"/>
      <c r="C126" s="82"/>
      <c r="D126" s="195"/>
      <c r="E126" s="76"/>
      <c r="F126" s="76"/>
      <c r="G126" s="82"/>
      <c r="H126" s="287"/>
      <c r="I126" s="82"/>
      <c r="J126" s="82"/>
    </row>
    <row r="127">
      <c r="A127" s="82"/>
      <c r="B127" s="76"/>
      <c r="C127" s="82"/>
      <c r="D127" s="195"/>
      <c r="E127" s="76"/>
      <c r="F127" s="76"/>
      <c r="G127" s="82"/>
      <c r="H127" s="287"/>
      <c r="I127" s="82"/>
      <c r="J127" s="82"/>
    </row>
    <row r="128">
      <c r="A128" s="82"/>
      <c r="B128" s="76"/>
      <c r="C128" s="82"/>
      <c r="D128" s="195"/>
      <c r="E128" s="76"/>
      <c r="F128" s="76"/>
      <c r="G128" s="82"/>
      <c r="H128" s="287"/>
      <c r="I128" s="82"/>
      <c r="J128" s="82"/>
    </row>
    <row r="129">
      <c r="A129" s="82"/>
      <c r="B129" s="76"/>
      <c r="C129" s="82"/>
      <c r="D129" s="195"/>
      <c r="E129" s="76"/>
      <c r="F129" s="76"/>
      <c r="G129" s="82"/>
      <c r="H129" s="287"/>
      <c r="I129" s="82"/>
      <c r="J129" s="82"/>
    </row>
    <row r="130">
      <c r="A130" s="82"/>
      <c r="B130" s="76"/>
      <c r="C130" s="82"/>
      <c r="D130" s="195"/>
      <c r="E130" s="76"/>
      <c r="F130" s="76"/>
      <c r="G130" s="82"/>
      <c r="H130" s="287"/>
      <c r="I130" s="82"/>
      <c r="J130" s="82"/>
    </row>
    <row r="131">
      <c r="A131" s="82"/>
      <c r="B131" s="76"/>
      <c r="C131" s="82"/>
      <c r="D131" s="195"/>
      <c r="E131" s="76"/>
      <c r="F131" s="76"/>
      <c r="G131" s="82"/>
      <c r="H131" s="287"/>
      <c r="I131" s="82"/>
      <c r="J131" s="82"/>
    </row>
    <row r="132">
      <c r="A132" s="82"/>
      <c r="B132" s="76"/>
      <c r="C132" s="82"/>
      <c r="D132" s="195"/>
      <c r="E132" s="76"/>
      <c r="F132" s="76"/>
      <c r="G132" s="82"/>
      <c r="H132" s="287"/>
      <c r="I132" s="82"/>
      <c r="J132" s="82"/>
    </row>
    <row r="133">
      <c r="A133" s="82"/>
      <c r="B133" s="76"/>
      <c r="C133" s="82"/>
      <c r="D133" s="195"/>
      <c r="E133" s="76"/>
      <c r="F133" s="76"/>
      <c r="G133" s="82"/>
      <c r="H133" s="287"/>
      <c r="I133" s="82"/>
      <c r="J133" s="82"/>
    </row>
    <row r="134">
      <c r="A134" s="82"/>
      <c r="B134" s="76"/>
      <c r="C134" s="82"/>
      <c r="D134" s="195"/>
      <c r="E134" s="76"/>
      <c r="F134" s="76"/>
      <c r="G134" s="82"/>
      <c r="H134" s="287"/>
      <c r="I134" s="82"/>
      <c r="J134" s="82"/>
    </row>
    <row r="135">
      <c r="A135" s="82"/>
      <c r="B135" s="76"/>
      <c r="C135" s="82"/>
      <c r="D135" s="195"/>
      <c r="E135" s="76"/>
      <c r="F135" s="76"/>
      <c r="G135" s="82"/>
      <c r="H135" s="287"/>
      <c r="I135" s="82"/>
      <c r="J135" s="82"/>
    </row>
    <row r="136">
      <c r="A136" s="82"/>
      <c r="B136" s="76"/>
      <c r="C136" s="82"/>
      <c r="D136" s="195"/>
      <c r="E136" s="76"/>
      <c r="F136" s="76"/>
      <c r="G136" s="82"/>
      <c r="H136" s="287"/>
      <c r="I136" s="82"/>
      <c r="J136" s="82"/>
    </row>
    <row r="137">
      <c r="A137" s="82"/>
      <c r="B137" s="76"/>
      <c r="C137" s="82"/>
      <c r="D137" s="195"/>
      <c r="E137" s="76"/>
      <c r="F137" s="76"/>
      <c r="G137" s="82"/>
      <c r="H137" s="287"/>
      <c r="I137" s="82"/>
      <c r="J137" s="82"/>
    </row>
    <row r="138">
      <c r="A138" s="82"/>
      <c r="B138" s="76"/>
      <c r="C138" s="82"/>
      <c r="D138" s="195"/>
      <c r="E138" s="76"/>
      <c r="F138" s="76"/>
      <c r="G138" s="82"/>
      <c r="H138" s="287"/>
      <c r="I138" s="82"/>
      <c r="J138" s="82"/>
    </row>
    <row r="139">
      <c r="A139" s="82"/>
      <c r="B139" s="76"/>
      <c r="C139" s="82"/>
      <c r="D139" s="195"/>
      <c r="E139" s="76"/>
      <c r="F139" s="76"/>
      <c r="G139" s="82"/>
      <c r="H139" s="287"/>
      <c r="I139" s="82"/>
      <c r="J139" s="82"/>
    </row>
    <row r="140">
      <c r="A140" s="82"/>
      <c r="B140" s="76"/>
      <c r="C140" s="82"/>
      <c r="D140" s="195"/>
      <c r="E140" s="76"/>
      <c r="F140" s="76"/>
      <c r="G140" s="82"/>
      <c r="H140" s="287"/>
      <c r="I140" s="82"/>
      <c r="J140" s="82"/>
    </row>
    <row r="141">
      <c r="A141" s="82"/>
      <c r="B141" s="76"/>
      <c r="C141" s="82"/>
      <c r="D141" s="195"/>
      <c r="E141" s="76"/>
      <c r="F141" s="76"/>
      <c r="G141" s="82"/>
      <c r="H141" s="287"/>
      <c r="I141" s="82"/>
      <c r="J141" s="82"/>
    </row>
    <row r="142">
      <c r="A142" s="82"/>
      <c r="B142" s="76"/>
      <c r="C142" s="82"/>
      <c r="D142" s="195"/>
      <c r="E142" s="76"/>
      <c r="F142" s="76"/>
      <c r="G142" s="82"/>
      <c r="H142" s="287"/>
      <c r="I142" s="82"/>
      <c r="J142" s="82"/>
    </row>
    <row r="143">
      <c r="A143" s="82"/>
      <c r="B143" s="76"/>
      <c r="C143" s="82"/>
      <c r="D143" s="195"/>
      <c r="E143" s="76"/>
      <c r="F143" s="76"/>
      <c r="G143" s="82"/>
      <c r="H143" s="287"/>
      <c r="I143" s="82"/>
      <c r="J143" s="82"/>
    </row>
    <row r="144">
      <c r="A144" s="82"/>
      <c r="B144" s="76"/>
      <c r="C144" s="82"/>
      <c r="D144" s="195"/>
      <c r="E144" s="76"/>
      <c r="F144" s="76"/>
      <c r="G144" s="82"/>
      <c r="H144" s="287"/>
      <c r="I144" s="82"/>
      <c r="J144" s="82"/>
    </row>
    <row r="145">
      <c r="A145" s="82"/>
      <c r="B145" s="76"/>
      <c r="C145" s="82"/>
      <c r="D145" s="195"/>
      <c r="E145" s="76"/>
      <c r="F145" s="76"/>
      <c r="G145" s="82"/>
      <c r="H145" s="287"/>
      <c r="I145" s="82"/>
      <c r="J145" s="82"/>
    </row>
    <row r="146">
      <c r="A146" s="82"/>
      <c r="B146" s="76"/>
      <c r="C146" s="82"/>
      <c r="D146" s="195"/>
      <c r="E146" s="76"/>
      <c r="F146" s="76"/>
      <c r="G146" s="82"/>
      <c r="H146" s="287"/>
      <c r="I146" s="82"/>
      <c r="J146" s="82"/>
    </row>
    <row r="147">
      <c r="A147" s="82"/>
      <c r="B147" s="76"/>
      <c r="C147" s="82"/>
      <c r="D147" s="195"/>
      <c r="E147" s="76"/>
      <c r="F147" s="76"/>
      <c r="G147" s="82"/>
      <c r="H147" s="287"/>
      <c r="I147" s="82"/>
      <c r="J147" s="82"/>
    </row>
    <row r="148">
      <c r="A148" s="82"/>
      <c r="B148" s="76"/>
      <c r="C148" s="82"/>
      <c r="D148" s="195"/>
      <c r="E148" s="76"/>
      <c r="F148" s="76"/>
      <c r="G148" s="82"/>
      <c r="H148" s="287"/>
      <c r="I148" s="82"/>
      <c r="J148" s="82"/>
    </row>
    <row r="149">
      <c r="A149" s="82"/>
      <c r="B149" s="76"/>
      <c r="C149" s="82"/>
      <c r="D149" s="195"/>
      <c r="E149" s="76"/>
      <c r="F149" s="76"/>
      <c r="G149" s="82"/>
      <c r="H149" s="287"/>
      <c r="I149" s="82"/>
      <c r="J149" s="82"/>
    </row>
    <row r="150">
      <c r="A150" s="82"/>
      <c r="B150" s="76"/>
      <c r="C150" s="82"/>
      <c r="D150" s="195"/>
      <c r="E150" s="76"/>
      <c r="F150" s="76"/>
      <c r="G150" s="82"/>
      <c r="H150" s="287"/>
      <c r="I150" s="82"/>
      <c r="J150" s="82"/>
    </row>
    <row r="151">
      <c r="A151" s="82"/>
      <c r="B151" s="76"/>
      <c r="C151" s="82"/>
      <c r="D151" s="195"/>
      <c r="E151" s="76"/>
      <c r="F151" s="76"/>
      <c r="G151" s="82"/>
      <c r="H151" s="287"/>
      <c r="I151" s="82"/>
      <c r="J151" s="82"/>
    </row>
    <row r="152">
      <c r="A152" s="82"/>
      <c r="B152" s="76"/>
      <c r="C152" s="82"/>
      <c r="D152" s="195"/>
      <c r="E152" s="76"/>
      <c r="F152" s="76"/>
      <c r="G152" s="82"/>
      <c r="H152" s="287"/>
      <c r="I152" s="82"/>
      <c r="J152" s="82"/>
    </row>
    <row r="153">
      <c r="A153" s="82"/>
      <c r="B153" s="76"/>
      <c r="C153" s="82"/>
      <c r="D153" s="195"/>
      <c r="E153" s="76"/>
      <c r="F153" s="76"/>
      <c r="G153" s="82"/>
      <c r="H153" s="287"/>
      <c r="I153" s="82"/>
      <c r="J153" s="82"/>
    </row>
    <row r="154">
      <c r="A154" s="82"/>
      <c r="B154" s="76"/>
      <c r="C154" s="82"/>
      <c r="D154" s="195"/>
      <c r="E154" s="76"/>
      <c r="F154" s="76"/>
      <c r="G154" s="82"/>
      <c r="H154" s="287"/>
      <c r="I154" s="82"/>
      <c r="J154" s="82"/>
    </row>
    <row r="155">
      <c r="A155" s="82"/>
      <c r="B155" s="76"/>
      <c r="C155" s="82"/>
      <c r="D155" s="195"/>
      <c r="E155" s="76"/>
      <c r="F155" s="76"/>
      <c r="G155" s="82"/>
      <c r="H155" s="287"/>
      <c r="I155" s="82"/>
      <c r="J155" s="82"/>
    </row>
    <row r="156">
      <c r="A156" s="82"/>
      <c r="B156" s="76"/>
      <c r="C156" s="82"/>
      <c r="D156" s="195"/>
      <c r="E156" s="76"/>
      <c r="F156" s="76"/>
      <c r="G156" s="82"/>
      <c r="H156" s="287"/>
      <c r="I156" s="82"/>
      <c r="J156" s="82"/>
    </row>
    <row r="157">
      <c r="A157" s="82"/>
      <c r="B157" s="76"/>
      <c r="C157" s="82"/>
      <c r="D157" s="195"/>
      <c r="E157" s="76"/>
      <c r="F157" s="76"/>
      <c r="G157" s="82"/>
      <c r="H157" s="287"/>
      <c r="I157" s="82"/>
      <c r="J157" s="82"/>
    </row>
    <row r="158">
      <c r="A158" s="82"/>
      <c r="B158" s="76"/>
      <c r="C158" s="82"/>
      <c r="D158" s="195"/>
      <c r="E158" s="76"/>
      <c r="F158" s="76"/>
      <c r="G158" s="82"/>
      <c r="H158" s="287"/>
      <c r="I158" s="82"/>
      <c r="J158" s="82"/>
    </row>
    <row r="159">
      <c r="A159" s="82"/>
      <c r="B159" s="76"/>
      <c r="C159" s="82"/>
      <c r="D159" s="195"/>
      <c r="E159" s="76"/>
      <c r="F159" s="76"/>
      <c r="G159" s="82"/>
      <c r="H159" s="287"/>
      <c r="I159" s="82"/>
      <c r="J159" s="82"/>
    </row>
    <row r="160">
      <c r="A160" s="82"/>
      <c r="B160" s="76"/>
      <c r="C160" s="82"/>
      <c r="D160" s="195"/>
      <c r="E160" s="76"/>
      <c r="F160" s="76"/>
      <c r="G160" s="82"/>
      <c r="H160" s="287"/>
      <c r="I160" s="82"/>
      <c r="J160" s="82"/>
    </row>
    <row r="161">
      <c r="A161" s="82"/>
      <c r="B161" s="76"/>
      <c r="C161" s="82"/>
      <c r="D161" s="195"/>
      <c r="E161" s="76"/>
      <c r="F161" s="76"/>
      <c r="G161" s="82"/>
      <c r="H161" s="287"/>
      <c r="I161" s="82"/>
      <c r="J161" s="82"/>
    </row>
    <row r="162">
      <c r="A162" s="82"/>
      <c r="B162" s="76"/>
      <c r="C162" s="82"/>
      <c r="D162" s="195"/>
      <c r="E162" s="76"/>
      <c r="F162" s="76"/>
      <c r="G162" s="82"/>
      <c r="H162" s="287"/>
      <c r="I162" s="82"/>
      <c r="J162" s="82"/>
    </row>
    <row r="163">
      <c r="A163" s="82"/>
      <c r="B163" s="76"/>
      <c r="C163" s="82"/>
      <c r="D163" s="195"/>
      <c r="E163" s="76"/>
      <c r="F163" s="76"/>
      <c r="G163" s="82"/>
      <c r="H163" s="287"/>
      <c r="I163" s="82"/>
      <c r="J163" s="82"/>
    </row>
    <row r="164">
      <c r="A164" s="82"/>
      <c r="B164" s="76"/>
      <c r="C164" s="82"/>
      <c r="D164" s="195"/>
      <c r="E164" s="76"/>
      <c r="F164" s="76"/>
      <c r="G164" s="82"/>
      <c r="H164" s="287"/>
      <c r="I164" s="82"/>
      <c r="J164" s="82"/>
    </row>
    <row r="165">
      <c r="A165" s="82"/>
      <c r="B165" s="76"/>
      <c r="C165" s="82"/>
      <c r="D165" s="195"/>
      <c r="E165" s="76"/>
      <c r="F165" s="76"/>
      <c r="G165" s="82"/>
      <c r="H165" s="287"/>
      <c r="I165" s="82"/>
      <c r="J165" s="82"/>
    </row>
    <row r="166">
      <c r="A166" s="82"/>
      <c r="B166" s="76"/>
      <c r="C166" s="82"/>
      <c r="D166" s="195"/>
      <c r="E166" s="76"/>
      <c r="F166" s="76"/>
      <c r="G166" s="82"/>
      <c r="H166" s="287"/>
      <c r="I166" s="82"/>
      <c r="J166" s="82"/>
    </row>
    <row r="167">
      <c r="A167" s="82"/>
      <c r="B167" s="76"/>
      <c r="C167" s="82"/>
      <c r="D167" s="195"/>
      <c r="E167" s="76"/>
      <c r="F167" s="76"/>
      <c r="G167" s="82"/>
      <c r="H167" s="287"/>
      <c r="I167" s="82"/>
      <c r="J167" s="82"/>
    </row>
    <row r="168">
      <c r="A168" s="82"/>
      <c r="B168" s="76"/>
      <c r="C168" s="82"/>
      <c r="D168" s="195"/>
      <c r="E168" s="76"/>
      <c r="F168" s="76"/>
      <c r="G168" s="82"/>
      <c r="H168" s="287"/>
      <c r="I168" s="82"/>
      <c r="J168" s="82"/>
    </row>
    <row r="169">
      <c r="A169" s="82"/>
      <c r="B169" s="76"/>
      <c r="C169" s="82"/>
      <c r="D169" s="195"/>
      <c r="E169" s="76"/>
      <c r="F169" s="76"/>
      <c r="G169" s="82"/>
      <c r="H169" s="287"/>
      <c r="I169" s="82"/>
      <c r="J169" s="82"/>
    </row>
    <row r="170">
      <c r="A170" s="82"/>
      <c r="B170" s="76"/>
      <c r="C170" s="82"/>
      <c r="D170" s="195"/>
      <c r="E170" s="76"/>
      <c r="F170" s="76"/>
      <c r="G170" s="82"/>
      <c r="H170" s="287"/>
      <c r="I170" s="82"/>
      <c r="J170" s="82"/>
    </row>
    <row r="171">
      <c r="A171" s="82"/>
      <c r="B171" s="76"/>
      <c r="C171" s="82"/>
      <c r="D171" s="195"/>
      <c r="E171" s="76"/>
      <c r="F171" s="76"/>
      <c r="G171" s="82"/>
      <c r="H171" s="287"/>
      <c r="I171" s="82"/>
      <c r="J171" s="82"/>
    </row>
    <row r="172">
      <c r="A172" s="82"/>
      <c r="B172" s="76"/>
      <c r="C172" s="82"/>
      <c r="D172" s="195"/>
      <c r="E172" s="76"/>
      <c r="F172" s="76"/>
      <c r="G172" s="82"/>
      <c r="H172" s="287"/>
      <c r="I172" s="82"/>
      <c r="J172" s="82"/>
    </row>
    <row r="173">
      <c r="A173" s="82"/>
      <c r="B173" s="76"/>
      <c r="C173" s="82"/>
      <c r="D173" s="195"/>
      <c r="E173" s="76"/>
      <c r="F173" s="76"/>
      <c r="G173" s="82"/>
      <c r="H173" s="287"/>
      <c r="I173" s="82"/>
      <c r="J173" s="82"/>
    </row>
    <row r="174">
      <c r="A174" s="82"/>
      <c r="B174" s="76"/>
      <c r="C174" s="82"/>
      <c r="D174" s="195"/>
      <c r="E174" s="76"/>
      <c r="F174" s="76"/>
      <c r="G174" s="82"/>
      <c r="H174" s="287"/>
      <c r="I174" s="82"/>
      <c r="J174" s="82"/>
    </row>
    <row r="175">
      <c r="A175" s="82"/>
      <c r="B175" s="76"/>
      <c r="C175" s="82"/>
      <c r="D175" s="195"/>
      <c r="E175" s="76"/>
      <c r="F175" s="76"/>
      <c r="G175" s="82"/>
      <c r="H175" s="287"/>
      <c r="I175" s="82"/>
      <c r="J175" s="82"/>
    </row>
    <row r="176">
      <c r="A176" s="82"/>
      <c r="B176" s="76"/>
      <c r="C176" s="82"/>
      <c r="D176" s="195"/>
      <c r="E176" s="76"/>
      <c r="F176" s="76"/>
      <c r="G176" s="82"/>
      <c r="H176" s="287"/>
      <c r="I176" s="82"/>
      <c r="J176" s="82"/>
    </row>
    <row r="177">
      <c r="A177" s="82"/>
      <c r="B177" s="76"/>
      <c r="C177" s="82"/>
      <c r="D177" s="195"/>
      <c r="E177" s="76"/>
      <c r="F177" s="76"/>
      <c r="G177" s="82"/>
      <c r="H177" s="287"/>
      <c r="I177" s="82"/>
      <c r="J177" s="82"/>
    </row>
    <row r="178">
      <c r="A178" s="82"/>
      <c r="B178" s="76"/>
      <c r="C178" s="82"/>
      <c r="D178" s="195"/>
      <c r="E178" s="76"/>
      <c r="F178" s="76"/>
      <c r="G178" s="82"/>
      <c r="H178" s="287"/>
      <c r="I178" s="82"/>
      <c r="J178" s="82"/>
    </row>
    <row r="179">
      <c r="A179" s="82"/>
      <c r="B179" s="76"/>
      <c r="C179" s="82"/>
      <c r="D179" s="195"/>
      <c r="E179" s="76"/>
      <c r="F179" s="76"/>
      <c r="G179" s="82"/>
      <c r="H179" s="287"/>
      <c r="I179" s="82"/>
      <c r="J179" s="82"/>
    </row>
    <row r="180">
      <c r="A180" s="82"/>
      <c r="B180" s="76"/>
      <c r="C180" s="82"/>
      <c r="D180" s="195"/>
      <c r="E180" s="76"/>
      <c r="F180" s="76"/>
      <c r="G180" s="82"/>
      <c r="H180" s="287"/>
      <c r="I180" s="82"/>
      <c r="J180" s="82"/>
    </row>
    <row r="181">
      <c r="A181" s="82"/>
      <c r="B181" s="76"/>
      <c r="C181" s="82"/>
      <c r="D181" s="195"/>
      <c r="E181" s="76"/>
      <c r="F181" s="76"/>
      <c r="G181" s="82"/>
      <c r="H181" s="287"/>
      <c r="I181" s="82"/>
      <c r="J181" s="82"/>
    </row>
    <row r="182">
      <c r="A182" s="82"/>
      <c r="B182" s="76"/>
      <c r="C182" s="82"/>
      <c r="D182" s="195"/>
      <c r="E182" s="76"/>
      <c r="F182" s="76"/>
      <c r="G182" s="82"/>
      <c r="H182" s="287"/>
      <c r="I182" s="82"/>
      <c r="J182" s="82"/>
    </row>
    <row r="183">
      <c r="A183" s="82"/>
      <c r="B183" s="76"/>
      <c r="C183" s="82"/>
      <c r="D183" s="195"/>
      <c r="E183" s="76"/>
      <c r="F183" s="76"/>
      <c r="G183" s="82"/>
      <c r="H183" s="287"/>
      <c r="I183" s="82"/>
      <c r="J183" s="82"/>
    </row>
    <row r="184">
      <c r="A184" s="82"/>
      <c r="B184" s="76"/>
      <c r="C184" s="82"/>
      <c r="D184" s="195"/>
      <c r="E184" s="76"/>
      <c r="F184" s="76"/>
      <c r="G184" s="82"/>
      <c r="H184" s="287"/>
      <c r="I184" s="82"/>
      <c r="J184" s="82"/>
    </row>
    <row r="185">
      <c r="A185" s="82"/>
      <c r="B185" s="76"/>
      <c r="C185" s="82"/>
      <c r="D185" s="195"/>
      <c r="E185" s="76"/>
      <c r="F185" s="76"/>
      <c r="G185" s="82"/>
      <c r="H185" s="287"/>
      <c r="I185" s="82"/>
      <c r="J185" s="82"/>
    </row>
    <row r="186">
      <c r="A186" s="82"/>
      <c r="B186" s="76"/>
      <c r="C186" s="82"/>
      <c r="D186" s="195"/>
      <c r="E186" s="76"/>
      <c r="F186" s="76"/>
      <c r="G186" s="82"/>
      <c r="H186" s="287"/>
      <c r="I186" s="82"/>
      <c r="J186" s="82"/>
    </row>
    <row r="187">
      <c r="A187" s="82"/>
      <c r="B187" s="76"/>
      <c r="C187" s="82"/>
      <c r="D187" s="195"/>
      <c r="E187" s="76"/>
      <c r="F187" s="76"/>
      <c r="G187" s="82"/>
      <c r="H187" s="287"/>
      <c r="I187" s="82"/>
      <c r="J187" s="82"/>
    </row>
    <row r="188">
      <c r="A188" s="82"/>
      <c r="B188" s="76"/>
      <c r="C188" s="82"/>
      <c r="D188" s="195"/>
      <c r="E188" s="76"/>
      <c r="F188" s="76"/>
      <c r="G188" s="82"/>
      <c r="H188" s="287"/>
      <c r="I188" s="82"/>
      <c r="J188" s="82"/>
    </row>
    <row r="189">
      <c r="A189" s="82"/>
      <c r="B189" s="76"/>
      <c r="C189" s="82"/>
      <c r="D189" s="195"/>
      <c r="E189" s="76"/>
      <c r="F189" s="76"/>
      <c r="G189" s="82"/>
      <c r="H189" s="287"/>
      <c r="I189" s="82"/>
      <c r="J189" s="82"/>
    </row>
    <row r="190">
      <c r="A190" s="82"/>
      <c r="B190" s="76"/>
      <c r="C190" s="82"/>
      <c r="D190" s="195"/>
      <c r="E190" s="76"/>
      <c r="F190" s="76"/>
      <c r="G190" s="82"/>
      <c r="H190" s="287"/>
      <c r="I190" s="82"/>
      <c r="J190" s="82"/>
    </row>
    <row r="191">
      <c r="A191" s="82"/>
      <c r="B191" s="76"/>
      <c r="C191" s="82"/>
      <c r="D191" s="195"/>
      <c r="E191" s="76"/>
      <c r="F191" s="76"/>
      <c r="G191" s="82"/>
      <c r="H191" s="287"/>
      <c r="I191" s="82"/>
      <c r="J191" s="82"/>
    </row>
    <row r="192">
      <c r="A192" s="82"/>
      <c r="B192" s="76"/>
      <c r="C192" s="82"/>
      <c r="D192" s="195"/>
      <c r="E192" s="76"/>
      <c r="F192" s="76"/>
      <c r="G192" s="82"/>
      <c r="H192" s="287"/>
      <c r="I192" s="82"/>
      <c r="J192" s="82"/>
    </row>
    <row r="193">
      <c r="A193" s="82"/>
      <c r="B193" s="76"/>
      <c r="C193" s="82"/>
      <c r="D193" s="195"/>
      <c r="E193" s="76"/>
      <c r="F193" s="76"/>
      <c r="G193" s="82"/>
      <c r="H193" s="287"/>
      <c r="I193" s="82"/>
      <c r="J193" s="82"/>
    </row>
    <row r="194">
      <c r="A194" s="82"/>
      <c r="B194" s="76"/>
      <c r="C194" s="82"/>
      <c r="D194" s="195"/>
      <c r="E194" s="76"/>
      <c r="F194" s="76"/>
      <c r="G194" s="82"/>
      <c r="H194" s="287"/>
      <c r="I194" s="82"/>
      <c r="J194" s="82"/>
    </row>
    <row r="195">
      <c r="A195" s="82"/>
      <c r="B195" s="76"/>
      <c r="C195" s="82"/>
      <c r="D195" s="195"/>
      <c r="E195" s="76"/>
      <c r="F195" s="76"/>
      <c r="G195" s="82"/>
      <c r="H195" s="287"/>
      <c r="I195" s="82"/>
      <c r="J195" s="82"/>
    </row>
    <row r="196">
      <c r="A196" s="82"/>
      <c r="B196" s="76"/>
      <c r="C196" s="82"/>
      <c r="D196" s="195"/>
      <c r="E196" s="76"/>
      <c r="F196" s="76"/>
      <c r="G196" s="82"/>
      <c r="H196" s="287"/>
      <c r="I196" s="82"/>
      <c r="J196" s="82"/>
    </row>
    <row r="197">
      <c r="A197" s="82"/>
      <c r="B197" s="76"/>
      <c r="C197" s="82"/>
      <c r="D197" s="195"/>
      <c r="E197" s="76"/>
      <c r="F197" s="76"/>
      <c r="G197" s="82"/>
      <c r="H197" s="287"/>
      <c r="I197" s="82"/>
      <c r="J197" s="82"/>
    </row>
    <row r="198">
      <c r="A198" s="82"/>
      <c r="B198" s="76"/>
      <c r="C198" s="82"/>
      <c r="D198" s="195"/>
      <c r="E198" s="76"/>
      <c r="F198" s="76"/>
      <c r="G198" s="82"/>
      <c r="H198" s="287"/>
      <c r="I198" s="82"/>
      <c r="J198" s="82"/>
    </row>
    <row r="199">
      <c r="A199" s="82"/>
      <c r="B199" s="76"/>
      <c r="C199" s="82"/>
      <c r="D199" s="195"/>
      <c r="E199" s="76"/>
      <c r="F199" s="76"/>
      <c r="G199" s="82"/>
      <c r="H199" s="287"/>
      <c r="I199" s="82"/>
      <c r="J199" s="82"/>
    </row>
    <row r="200">
      <c r="A200" s="82"/>
      <c r="B200" s="76"/>
      <c r="C200" s="82"/>
      <c r="D200" s="195"/>
      <c r="E200" s="76"/>
      <c r="F200" s="76"/>
      <c r="G200" s="82"/>
      <c r="H200" s="287"/>
      <c r="I200" s="82"/>
      <c r="J200" s="82"/>
    </row>
    <row r="201">
      <c r="A201" s="82"/>
      <c r="B201" s="76"/>
      <c r="C201" s="82"/>
      <c r="D201" s="195"/>
      <c r="E201" s="76"/>
      <c r="F201" s="76"/>
      <c r="G201" s="82"/>
      <c r="H201" s="287"/>
      <c r="I201" s="82"/>
      <c r="J201" s="82"/>
    </row>
    <row r="202">
      <c r="A202" s="82"/>
      <c r="B202" s="76"/>
      <c r="C202" s="82"/>
      <c r="D202" s="195"/>
      <c r="E202" s="76"/>
      <c r="F202" s="76"/>
      <c r="G202" s="82"/>
      <c r="H202" s="287"/>
      <c r="I202" s="82"/>
      <c r="J202" s="82"/>
    </row>
    <row r="203">
      <c r="A203" s="82"/>
      <c r="B203" s="76"/>
      <c r="C203" s="82"/>
      <c r="D203" s="195"/>
      <c r="E203" s="76"/>
      <c r="F203" s="76"/>
      <c r="G203" s="82"/>
      <c r="H203" s="287"/>
      <c r="I203" s="82"/>
      <c r="J203" s="82"/>
    </row>
    <row r="204">
      <c r="A204" s="82"/>
      <c r="B204" s="76"/>
      <c r="C204" s="82"/>
      <c r="D204" s="195"/>
      <c r="E204" s="76"/>
      <c r="F204" s="76"/>
      <c r="G204" s="82"/>
      <c r="H204" s="287"/>
      <c r="I204" s="82"/>
      <c r="J204" s="82"/>
    </row>
    <row r="205">
      <c r="A205" s="82"/>
      <c r="B205" s="76"/>
      <c r="C205" s="82"/>
      <c r="D205" s="195"/>
      <c r="E205" s="76"/>
      <c r="F205" s="76"/>
      <c r="G205" s="82"/>
      <c r="H205" s="287"/>
      <c r="I205" s="82"/>
      <c r="J205" s="82"/>
    </row>
    <row r="206">
      <c r="A206" s="82"/>
      <c r="B206" s="76"/>
      <c r="C206" s="82"/>
      <c r="D206" s="195"/>
      <c r="E206" s="76"/>
      <c r="F206" s="76"/>
      <c r="G206" s="82"/>
      <c r="H206" s="287"/>
      <c r="I206" s="82"/>
      <c r="J206" s="82"/>
    </row>
    <row r="207">
      <c r="A207" s="82"/>
      <c r="B207" s="76"/>
      <c r="C207" s="82"/>
      <c r="D207" s="195"/>
      <c r="E207" s="76"/>
      <c r="F207" s="76"/>
      <c r="G207" s="82"/>
      <c r="H207" s="287"/>
      <c r="I207" s="82"/>
      <c r="J207" s="82"/>
    </row>
    <row r="208">
      <c r="A208" s="82"/>
      <c r="B208" s="76"/>
      <c r="C208" s="82"/>
      <c r="D208" s="195"/>
      <c r="E208" s="76"/>
      <c r="F208" s="76"/>
      <c r="G208" s="82"/>
      <c r="H208" s="287"/>
      <c r="I208" s="82"/>
      <c r="J208" s="82"/>
    </row>
    <row r="209">
      <c r="A209" s="82"/>
      <c r="B209" s="76"/>
      <c r="C209" s="82"/>
      <c r="D209" s="195"/>
      <c r="E209" s="76"/>
      <c r="F209" s="76"/>
      <c r="G209" s="82"/>
      <c r="H209" s="287"/>
      <c r="I209" s="82"/>
      <c r="J209" s="82"/>
    </row>
    <row r="210">
      <c r="A210" s="82"/>
      <c r="B210" s="76"/>
      <c r="C210" s="82"/>
      <c r="D210" s="195"/>
      <c r="E210" s="76"/>
      <c r="F210" s="76"/>
      <c r="G210" s="82"/>
      <c r="H210" s="287"/>
      <c r="I210" s="82"/>
      <c r="J210" s="82"/>
    </row>
    <row r="211">
      <c r="A211" s="82"/>
      <c r="B211" s="76"/>
      <c r="C211" s="82"/>
      <c r="D211" s="195"/>
      <c r="E211" s="76"/>
      <c r="F211" s="76"/>
      <c r="G211" s="82"/>
      <c r="H211" s="287"/>
      <c r="I211" s="82"/>
      <c r="J211" s="82"/>
    </row>
    <row r="212">
      <c r="A212" s="82"/>
      <c r="B212" s="76"/>
      <c r="C212" s="82"/>
      <c r="D212" s="195"/>
      <c r="E212" s="76"/>
      <c r="F212" s="76"/>
      <c r="G212" s="82"/>
      <c r="H212" s="287"/>
      <c r="I212" s="82"/>
      <c r="J212" s="82"/>
    </row>
    <row r="213">
      <c r="A213" s="82"/>
      <c r="B213" s="76"/>
      <c r="C213" s="82"/>
      <c r="D213" s="195"/>
      <c r="E213" s="76"/>
      <c r="F213" s="76"/>
      <c r="G213" s="82"/>
      <c r="H213" s="287"/>
      <c r="I213" s="82"/>
      <c r="J213" s="82"/>
    </row>
    <row r="214">
      <c r="A214" s="82"/>
      <c r="B214" s="76"/>
      <c r="C214" s="82"/>
      <c r="D214" s="195"/>
      <c r="E214" s="76"/>
      <c r="F214" s="76"/>
      <c r="G214" s="82"/>
      <c r="H214" s="287"/>
      <c r="I214" s="82"/>
      <c r="J214" s="82"/>
    </row>
    <row r="215">
      <c r="A215" s="82"/>
      <c r="B215" s="76"/>
      <c r="C215" s="82"/>
      <c r="D215" s="195"/>
      <c r="E215" s="76"/>
      <c r="F215" s="76"/>
      <c r="G215" s="82"/>
      <c r="H215" s="287"/>
      <c r="I215" s="82"/>
      <c r="J215" s="82"/>
    </row>
    <row r="216">
      <c r="A216" s="82"/>
      <c r="B216" s="76"/>
      <c r="C216" s="82"/>
      <c r="D216" s="195"/>
      <c r="E216" s="76"/>
      <c r="F216" s="76"/>
      <c r="G216" s="82"/>
      <c r="H216" s="287"/>
      <c r="I216" s="82"/>
      <c r="J216" s="82"/>
    </row>
    <row r="217">
      <c r="A217" s="82"/>
      <c r="B217" s="76"/>
      <c r="C217" s="82"/>
      <c r="D217" s="195"/>
      <c r="E217" s="76"/>
      <c r="F217" s="76"/>
      <c r="G217" s="82"/>
      <c r="H217" s="287"/>
      <c r="I217" s="82"/>
      <c r="J217" s="82"/>
    </row>
    <row r="218">
      <c r="A218" s="82"/>
      <c r="B218" s="76"/>
      <c r="C218" s="82"/>
      <c r="D218" s="195"/>
      <c r="E218" s="76"/>
      <c r="F218" s="76"/>
      <c r="G218" s="82"/>
      <c r="H218" s="287"/>
      <c r="I218" s="82"/>
      <c r="J218" s="82"/>
    </row>
    <row r="219">
      <c r="A219" s="82"/>
      <c r="B219" s="76"/>
      <c r="C219" s="82"/>
      <c r="D219" s="195"/>
      <c r="E219" s="76"/>
      <c r="F219" s="76"/>
      <c r="G219" s="82"/>
      <c r="H219" s="287"/>
      <c r="I219" s="82"/>
      <c r="J219" s="82"/>
    </row>
    <row r="220">
      <c r="A220" s="82"/>
      <c r="B220" s="76"/>
      <c r="C220" s="82"/>
      <c r="D220" s="195"/>
      <c r="E220" s="76"/>
      <c r="F220" s="76"/>
      <c r="G220" s="82"/>
      <c r="H220" s="287"/>
      <c r="I220" s="82"/>
      <c r="J220" s="82"/>
    </row>
    <row r="221">
      <c r="A221" s="82"/>
      <c r="B221" s="76"/>
      <c r="C221" s="82"/>
      <c r="D221" s="195"/>
      <c r="E221" s="76"/>
      <c r="F221" s="76"/>
      <c r="G221" s="82"/>
      <c r="H221" s="287"/>
      <c r="I221" s="82"/>
      <c r="J221" s="82"/>
    </row>
    <row r="222">
      <c r="A222" s="82"/>
      <c r="B222" s="76"/>
      <c r="C222" s="82"/>
      <c r="D222" s="195"/>
      <c r="E222" s="76"/>
      <c r="F222" s="76"/>
      <c r="G222" s="82"/>
      <c r="H222" s="287"/>
      <c r="I222" s="82"/>
      <c r="J222" s="82"/>
    </row>
    <row r="223">
      <c r="A223" s="82"/>
      <c r="B223" s="76"/>
      <c r="C223" s="82"/>
      <c r="D223" s="195"/>
      <c r="E223" s="76"/>
      <c r="F223" s="76"/>
      <c r="G223" s="82"/>
      <c r="H223" s="287"/>
      <c r="I223" s="82"/>
      <c r="J223" s="82"/>
    </row>
    <row r="224">
      <c r="A224" s="82"/>
      <c r="B224" s="76"/>
      <c r="C224" s="82"/>
      <c r="D224" s="195"/>
      <c r="E224" s="76"/>
      <c r="F224" s="76"/>
      <c r="G224" s="82"/>
      <c r="H224" s="287"/>
      <c r="I224" s="82"/>
      <c r="J224" s="82"/>
    </row>
    <row r="225">
      <c r="A225" s="82"/>
      <c r="B225" s="76"/>
      <c r="C225" s="82"/>
      <c r="D225" s="195"/>
      <c r="E225" s="76"/>
      <c r="F225" s="76"/>
      <c r="G225" s="82"/>
      <c r="H225" s="287"/>
      <c r="I225" s="82"/>
      <c r="J225" s="82"/>
    </row>
    <row r="226">
      <c r="A226" s="82"/>
      <c r="B226" s="76"/>
      <c r="C226" s="82"/>
      <c r="D226" s="195"/>
      <c r="E226" s="76"/>
      <c r="F226" s="76"/>
      <c r="G226" s="82"/>
      <c r="H226" s="287"/>
      <c r="I226" s="82"/>
      <c r="J226" s="82"/>
    </row>
    <row r="227">
      <c r="A227" s="82"/>
      <c r="B227" s="76"/>
      <c r="C227" s="82"/>
      <c r="D227" s="195"/>
      <c r="E227" s="76"/>
      <c r="F227" s="76"/>
      <c r="G227" s="82"/>
      <c r="H227" s="287"/>
      <c r="I227" s="82"/>
      <c r="J227" s="82"/>
    </row>
    <row r="228">
      <c r="A228" s="82"/>
      <c r="B228" s="76"/>
      <c r="C228" s="82"/>
      <c r="D228" s="195"/>
      <c r="E228" s="76"/>
      <c r="F228" s="76"/>
      <c r="G228" s="82"/>
      <c r="H228" s="287"/>
      <c r="I228" s="82"/>
      <c r="J228" s="82"/>
    </row>
    <row r="229">
      <c r="A229" s="82"/>
      <c r="B229" s="76"/>
      <c r="C229" s="82"/>
      <c r="D229" s="195"/>
      <c r="E229" s="76"/>
      <c r="F229" s="76"/>
      <c r="G229" s="82"/>
      <c r="H229" s="287"/>
      <c r="I229" s="82"/>
      <c r="J229" s="82"/>
    </row>
    <row r="230">
      <c r="A230" s="82"/>
      <c r="B230" s="76"/>
      <c r="C230" s="82"/>
      <c r="D230" s="195"/>
      <c r="E230" s="76"/>
      <c r="F230" s="76"/>
      <c r="G230" s="82"/>
      <c r="H230" s="287"/>
      <c r="I230" s="82"/>
      <c r="J230" s="82"/>
    </row>
    <row r="231">
      <c r="A231" s="82"/>
      <c r="B231" s="76"/>
      <c r="C231" s="82"/>
      <c r="D231" s="195"/>
      <c r="E231" s="76"/>
      <c r="F231" s="76"/>
      <c r="G231" s="82"/>
      <c r="H231" s="287"/>
      <c r="I231" s="82"/>
      <c r="J231" s="82"/>
    </row>
    <row r="232">
      <c r="A232" s="82"/>
      <c r="B232" s="76"/>
      <c r="C232" s="82"/>
      <c r="D232" s="195"/>
      <c r="E232" s="76"/>
      <c r="F232" s="76"/>
      <c r="G232" s="82"/>
      <c r="H232" s="287"/>
      <c r="I232" s="82"/>
      <c r="J232" s="82"/>
    </row>
    <row r="233">
      <c r="A233" s="82"/>
      <c r="B233" s="76"/>
      <c r="C233" s="82"/>
      <c r="D233" s="195"/>
      <c r="E233" s="76"/>
      <c r="F233" s="76"/>
      <c r="G233" s="82"/>
      <c r="H233" s="287"/>
      <c r="I233" s="82"/>
      <c r="J233" s="82"/>
    </row>
    <row r="234">
      <c r="A234" s="82"/>
      <c r="B234" s="76"/>
      <c r="C234" s="82"/>
      <c r="D234" s="195"/>
      <c r="E234" s="76"/>
      <c r="F234" s="76"/>
      <c r="G234" s="82"/>
      <c r="H234" s="287"/>
      <c r="I234" s="82"/>
      <c r="J234" s="82"/>
    </row>
    <row r="235">
      <c r="A235" s="82"/>
      <c r="B235" s="76"/>
      <c r="C235" s="82"/>
      <c r="D235" s="195"/>
      <c r="E235" s="76"/>
      <c r="F235" s="76"/>
      <c r="G235" s="82"/>
      <c r="H235" s="287"/>
      <c r="I235" s="82"/>
      <c r="J235" s="82"/>
    </row>
    <row r="236">
      <c r="A236" s="82"/>
      <c r="B236" s="76"/>
      <c r="C236" s="82"/>
      <c r="D236" s="195"/>
      <c r="E236" s="76"/>
      <c r="F236" s="76"/>
      <c r="G236" s="82"/>
      <c r="H236" s="287"/>
      <c r="I236" s="82"/>
      <c r="J236" s="82"/>
    </row>
    <row r="237">
      <c r="A237" s="82"/>
      <c r="B237" s="76"/>
      <c r="C237" s="82"/>
      <c r="D237" s="195"/>
      <c r="E237" s="76"/>
      <c r="F237" s="76"/>
      <c r="G237" s="82"/>
      <c r="H237" s="287"/>
      <c r="I237" s="82"/>
      <c r="J237" s="82"/>
    </row>
    <row r="238">
      <c r="A238" s="82"/>
      <c r="B238" s="76"/>
      <c r="C238" s="82"/>
      <c r="D238" s="195"/>
      <c r="E238" s="76"/>
      <c r="F238" s="76"/>
      <c r="G238" s="82"/>
      <c r="H238" s="287"/>
      <c r="I238" s="82"/>
      <c r="J238" s="82"/>
    </row>
    <row r="239">
      <c r="A239" s="82"/>
      <c r="B239" s="76"/>
      <c r="C239" s="82"/>
      <c r="D239" s="195"/>
      <c r="E239" s="76"/>
      <c r="F239" s="76"/>
      <c r="G239" s="82"/>
      <c r="H239" s="287"/>
      <c r="I239" s="82"/>
      <c r="J239" s="82"/>
    </row>
    <row r="240">
      <c r="A240" s="82"/>
      <c r="B240" s="76"/>
      <c r="C240" s="82"/>
      <c r="D240" s="195"/>
      <c r="E240" s="76"/>
      <c r="F240" s="76"/>
      <c r="G240" s="82"/>
      <c r="H240" s="287"/>
      <c r="I240" s="82"/>
      <c r="J240" s="82"/>
    </row>
    <row r="241">
      <c r="A241" s="82"/>
      <c r="B241" s="76"/>
      <c r="C241" s="82"/>
      <c r="D241" s="195"/>
      <c r="E241" s="76"/>
      <c r="F241" s="76"/>
      <c r="G241" s="82"/>
      <c r="H241" s="287"/>
      <c r="I241" s="82"/>
      <c r="J241" s="82"/>
    </row>
    <row r="242">
      <c r="A242" s="82"/>
      <c r="B242" s="76"/>
      <c r="C242" s="82"/>
      <c r="D242" s="195"/>
      <c r="E242" s="76"/>
      <c r="F242" s="76"/>
      <c r="G242" s="82"/>
      <c r="H242" s="287"/>
      <c r="I242" s="82"/>
      <c r="J242" s="82"/>
    </row>
    <row r="243">
      <c r="A243" s="82"/>
      <c r="B243" s="76"/>
      <c r="C243" s="82"/>
      <c r="D243" s="195"/>
      <c r="E243" s="76"/>
      <c r="F243" s="76"/>
      <c r="G243" s="82"/>
      <c r="H243" s="287"/>
      <c r="I243" s="82"/>
      <c r="J243" s="82"/>
    </row>
    <row r="244">
      <c r="A244" s="82"/>
      <c r="B244" s="76"/>
      <c r="C244" s="82"/>
      <c r="D244" s="195"/>
      <c r="E244" s="76"/>
      <c r="F244" s="76"/>
      <c r="G244" s="82"/>
      <c r="H244" s="287"/>
      <c r="I244" s="82"/>
      <c r="J244" s="82"/>
    </row>
    <row r="245">
      <c r="A245" s="82"/>
      <c r="B245" s="76"/>
      <c r="C245" s="82"/>
      <c r="D245" s="195"/>
      <c r="E245" s="76"/>
      <c r="F245" s="76"/>
      <c r="G245" s="82"/>
      <c r="H245" s="287"/>
      <c r="I245" s="82"/>
      <c r="J245" s="82"/>
    </row>
    <row r="246">
      <c r="A246" s="82"/>
      <c r="B246" s="76"/>
      <c r="C246" s="82"/>
      <c r="D246" s="195"/>
      <c r="E246" s="76"/>
      <c r="F246" s="76"/>
      <c r="G246" s="82"/>
      <c r="H246" s="287"/>
      <c r="I246" s="82"/>
      <c r="J246" s="82"/>
    </row>
    <row r="247">
      <c r="A247" s="82"/>
      <c r="B247" s="76"/>
      <c r="C247" s="82"/>
      <c r="D247" s="195"/>
      <c r="E247" s="76"/>
      <c r="F247" s="76"/>
      <c r="G247" s="82"/>
      <c r="H247" s="287"/>
      <c r="I247" s="82"/>
      <c r="J247" s="82"/>
    </row>
    <row r="248">
      <c r="A248" s="82"/>
      <c r="B248" s="76"/>
      <c r="C248" s="82"/>
      <c r="D248" s="195"/>
      <c r="E248" s="76"/>
      <c r="F248" s="76"/>
      <c r="G248" s="82"/>
      <c r="H248" s="287"/>
      <c r="I248" s="82"/>
      <c r="J248" s="82"/>
    </row>
    <row r="249">
      <c r="A249" s="82"/>
      <c r="B249" s="76"/>
      <c r="C249" s="82"/>
      <c r="D249" s="195"/>
      <c r="E249" s="76"/>
      <c r="F249" s="76"/>
      <c r="G249" s="82"/>
      <c r="H249" s="287"/>
      <c r="I249" s="82"/>
      <c r="J249" s="82"/>
    </row>
    <row r="250">
      <c r="A250" s="82"/>
      <c r="B250" s="76"/>
      <c r="C250" s="82"/>
      <c r="D250" s="195"/>
      <c r="E250" s="76"/>
      <c r="F250" s="76"/>
      <c r="G250" s="82"/>
      <c r="H250" s="287"/>
      <c r="I250" s="82"/>
      <c r="J250" s="82"/>
    </row>
    <row r="251">
      <c r="A251" s="82"/>
      <c r="B251" s="76"/>
      <c r="C251" s="82"/>
      <c r="D251" s="195"/>
      <c r="E251" s="76"/>
      <c r="F251" s="76"/>
      <c r="G251" s="82"/>
      <c r="H251" s="287"/>
      <c r="I251" s="82"/>
      <c r="J251" s="82"/>
    </row>
    <row r="252">
      <c r="A252" s="82"/>
      <c r="B252" s="76"/>
      <c r="C252" s="82"/>
      <c r="D252" s="195"/>
      <c r="E252" s="76"/>
      <c r="F252" s="76"/>
      <c r="G252" s="82"/>
      <c r="H252" s="287"/>
      <c r="I252" s="82"/>
      <c r="J252" s="82"/>
    </row>
    <row r="253">
      <c r="A253" s="82"/>
      <c r="B253" s="76"/>
      <c r="C253" s="82"/>
      <c r="D253" s="195"/>
      <c r="E253" s="76"/>
      <c r="F253" s="76"/>
      <c r="G253" s="82"/>
      <c r="H253" s="287"/>
      <c r="I253" s="82"/>
      <c r="J253" s="82"/>
    </row>
    <row r="254">
      <c r="A254" s="82"/>
      <c r="B254" s="76"/>
      <c r="C254" s="82"/>
      <c r="D254" s="195"/>
      <c r="E254" s="76"/>
      <c r="F254" s="76"/>
      <c r="G254" s="82"/>
      <c r="H254" s="287"/>
      <c r="I254" s="82"/>
      <c r="J254" s="82"/>
    </row>
    <row r="255">
      <c r="A255" s="82"/>
      <c r="B255" s="76"/>
      <c r="C255" s="82"/>
      <c r="D255" s="195"/>
      <c r="E255" s="76"/>
      <c r="F255" s="76"/>
      <c r="G255" s="82"/>
      <c r="H255" s="287"/>
      <c r="I255" s="82"/>
      <c r="J255" s="82"/>
    </row>
    <row r="256">
      <c r="A256" s="82"/>
      <c r="B256" s="76"/>
      <c r="C256" s="82"/>
      <c r="D256" s="195"/>
      <c r="E256" s="76"/>
      <c r="F256" s="76"/>
      <c r="G256" s="82"/>
      <c r="H256" s="287"/>
      <c r="I256" s="82"/>
      <c r="J256" s="82"/>
    </row>
    <row r="257">
      <c r="A257" s="82"/>
      <c r="B257" s="76"/>
      <c r="C257" s="82"/>
      <c r="D257" s="195"/>
      <c r="E257" s="76"/>
      <c r="F257" s="76"/>
      <c r="G257" s="82"/>
      <c r="H257" s="287"/>
      <c r="I257" s="82"/>
      <c r="J257" s="82"/>
    </row>
    <row r="258">
      <c r="A258" s="82"/>
      <c r="B258" s="76"/>
      <c r="C258" s="82"/>
      <c r="D258" s="195"/>
      <c r="E258" s="76"/>
      <c r="F258" s="76"/>
      <c r="G258" s="82"/>
      <c r="H258" s="287"/>
      <c r="I258" s="82"/>
      <c r="J258" s="82"/>
    </row>
    <row r="259">
      <c r="A259" s="82"/>
      <c r="B259" s="76"/>
      <c r="C259" s="82"/>
      <c r="D259" s="195"/>
      <c r="E259" s="76"/>
      <c r="F259" s="76"/>
      <c r="G259" s="82"/>
      <c r="H259" s="287"/>
      <c r="I259" s="82"/>
      <c r="J259" s="82"/>
    </row>
    <row r="260">
      <c r="A260" s="82"/>
      <c r="B260" s="76"/>
      <c r="C260" s="82"/>
      <c r="D260" s="195"/>
      <c r="E260" s="76"/>
      <c r="F260" s="76"/>
      <c r="G260" s="82"/>
      <c r="H260" s="287"/>
      <c r="I260" s="82"/>
      <c r="J260" s="82"/>
    </row>
    <row r="261">
      <c r="A261" s="82"/>
      <c r="B261" s="76"/>
      <c r="C261" s="82"/>
      <c r="D261" s="195"/>
      <c r="E261" s="76"/>
      <c r="F261" s="76"/>
      <c r="G261" s="82"/>
      <c r="H261" s="287"/>
      <c r="I261" s="82"/>
      <c r="J261" s="82"/>
    </row>
    <row r="262">
      <c r="A262" s="82"/>
      <c r="B262" s="76"/>
      <c r="C262" s="82"/>
      <c r="D262" s="195"/>
      <c r="E262" s="76"/>
      <c r="F262" s="76"/>
      <c r="G262" s="82"/>
      <c r="H262" s="287"/>
      <c r="I262" s="82"/>
      <c r="J262" s="82"/>
    </row>
    <row r="263">
      <c r="A263" s="82"/>
      <c r="B263" s="76"/>
      <c r="C263" s="82"/>
      <c r="D263" s="195"/>
      <c r="E263" s="76"/>
      <c r="F263" s="76"/>
      <c r="G263" s="82"/>
      <c r="H263" s="287"/>
      <c r="I263" s="82"/>
      <c r="J263" s="82"/>
    </row>
    <row r="264">
      <c r="A264" s="82"/>
      <c r="B264" s="76"/>
      <c r="C264" s="82"/>
      <c r="D264" s="195"/>
      <c r="E264" s="76"/>
      <c r="F264" s="76"/>
      <c r="G264" s="82"/>
      <c r="H264" s="287"/>
      <c r="I264" s="82"/>
      <c r="J264" s="82"/>
    </row>
    <row r="265">
      <c r="A265" s="82"/>
      <c r="B265" s="76"/>
      <c r="C265" s="82"/>
      <c r="D265" s="195"/>
      <c r="E265" s="76"/>
      <c r="F265" s="76"/>
      <c r="G265" s="82"/>
      <c r="H265" s="287"/>
      <c r="I265" s="82"/>
      <c r="J265" s="82"/>
    </row>
    <row r="266">
      <c r="A266" s="82"/>
      <c r="B266" s="76"/>
      <c r="C266" s="82"/>
      <c r="D266" s="195"/>
      <c r="E266" s="76"/>
      <c r="F266" s="76"/>
      <c r="G266" s="82"/>
      <c r="H266" s="287"/>
      <c r="I266" s="82"/>
      <c r="J266" s="82"/>
    </row>
    <row r="267">
      <c r="A267" s="82"/>
      <c r="B267" s="76"/>
      <c r="C267" s="82"/>
      <c r="D267" s="195"/>
      <c r="E267" s="76"/>
      <c r="F267" s="76"/>
      <c r="G267" s="82"/>
      <c r="H267" s="287"/>
      <c r="I267" s="82"/>
      <c r="J267" s="82"/>
    </row>
    <row r="268">
      <c r="A268" s="82"/>
      <c r="B268" s="76"/>
      <c r="C268" s="82"/>
      <c r="D268" s="195"/>
      <c r="E268" s="76"/>
      <c r="F268" s="76"/>
      <c r="G268" s="82"/>
      <c r="H268" s="287"/>
      <c r="I268" s="82"/>
      <c r="J268" s="82"/>
    </row>
    <row r="269">
      <c r="A269" s="82"/>
      <c r="B269" s="76"/>
      <c r="C269" s="82"/>
      <c r="D269" s="195"/>
      <c r="E269" s="76"/>
      <c r="F269" s="76"/>
      <c r="G269" s="82"/>
      <c r="H269" s="287"/>
      <c r="I269" s="82"/>
      <c r="J269" s="82"/>
    </row>
    <row r="270">
      <c r="A270" s="82"/>
      <c r="B270" s="76"/>
      <c r="C270" s="82"/>
      <c r="D270" s="195"/>
      <c r="E270" s="76"/>
      <c r="F270" s="76"/>
      <c r="G270" s="82"/>
      <c r="H270" s="287"/>
      <c r="I270" s="82"/>
      <c r="J270" s="82"/>
    </row>
    <row r="271">
      <c r="A271" s="82"/>
      <c r="B271" s="76"/>
      <c r="C271" s="82"/>
      <c r="D271" s="195"/>
      <c r="E271" s="76"/>
      <c r="F271" s="76"/>
      <c r="G271" s="82"/>
      <c r="H271" s="287"/>
      <c r="I271" s="82"/>
      <c r="J271" s="82"/>
    </row>
    <row r="272">
      <c r="A272" s="82"/>
      <c r="B272" s="76"/>
      <c r="C272" s="82"/>
      <c r="D272" s="195"/>
      <c r="E272" s="76"/>
      <c r="F272" s="76"/>
      <c r="G272" s="82"/>
      <c r="H272" s="287"/>
      <c r="I272" s="82"/>
      <c r="J272" s="82"/>
    </row>
    <row r="273">
      <c r="A273" s="82"/>
      <c r="B273" s="76"/>
      <c r="C273" s="82"/>
      <c r="D273" s="195"/>
      <c r="E273" s="76"/>
      <c r="F273" s="76"/>
      <c r="G273" s="82"/>
      <c r="H273" s="287"/>
      <c r="I273" s="82"/>
      <c r="J273" s="82"/>
    </row>
    <row r="274">
      <c r="A274" s="82"/>
      <c r="B274" s="76"/>
      <c r="C274" s="82"/>
      <c r="D274" s="195"/>
      <c r="E274" s="76"/>
      <c r="F274" s="76"/>
      <c r="G274" s="82"/>
      <c r="H274" s="287"/>
      <c r="I274" s="82"/>
      <c r="J274" s="82"/>
    </row>
    <row r="275">
      <c r="A275" s="82"/>
      <c r="B275" s="76"/>
      <c r="C275" s="82"/>
      <c r="D275" s="195"/>
      <c r="E275" s="76"/>
      <c r="F275" s="76"/>
      <c r="G275" s="82"/>
      <c r="H275" s="287"/>
      <c r="I275" s="82"/>
      <c r="J275" s="82"/>
    </row>
    <row r="276">
      <c r="A276" s="82"/>
      <c r="B276" s="76"/>
      <c r="C276" s="82"/>
      <c r="D276" s="195"/>
      <c r="E276" s="76"/>
      <c r="F276" s="76"/>
      <c r="G276" s="82"/>
      <c r="H276" s="287"/>
      <c r="I276" s="82"/>
      <c r="J276" s="82"/>
    </row>
    <row r="277">
      <c r="A277" s="82"/>
      <c r="B277" s="76"/>
      <c r="C277" s="82"/>
      <c r="D277" s="195"/>
      <c r="E277" s="76"/>
      <c r="F277" s="76"/>
      <c r="G277" s="82"/>
      <c r="H277" s="287"/>
      <c r="I277" s="82"/>
      <c r="J277" s="82"/>
    </row>
    <row r="278">
      <c r="A278" s="82"/>
      <c r="B278" s="76"/>
      <c r="C278" s="82"/>
      <c r="D278" s="195"/>
      <c r="E278" s="76"/>
      <c r="F278" s="76"/>
      <c r="G278" s="82"/>
      <c r="H278" s="287"/>
      <c r="I278" s="82"/>
      <c r="J278" s="82"/>
    </row>
    <row r="279">
      <c r="A279" s="82"/>
      <c r="B279" s="76"/>
      <c r="C279" s="82"/>
      <c r="D279" s="195"/>
      <c r="E279" s="76"/>
      <c r="F279" s="76"/>
      <c r="G279" s="82"/>
      <c r="H279" s="287"/>
      <c r="I279" s="82"/>
      <c r="J279" s="82"/>
    </row>
    <row r="280">
      <c r="A280" s="82"/>
      <c r="B280" s="76"/>
      <c r="C280" s="82"/>
      <c r="D280" s="195"/>
      <c r="E280" s="76"/>
      <c r="F280" s="76"/>
      <c r="G280" s="82"/>
      <c r="H280" s="287"/>
      <c r="I280" s="82"/>
      <c r="J280" s="82"/>
    </row>
    <row r="281">
      <c r="A281" s="82"/>
      <c r="B281" s="76"/>
      <c r="C281" s="82"/>
      <c r="D281" s="195"/>
      <c r="E281" s="76"/>
      <c r="F281" s="76"/>
      <c r="G281" s="82"/>
      <c r="H281" s="287"/>
      <c r="I281" s="82"/>
      <c r="J281" s="82"/>
    </row>
    <row r="282">
      <c r="A282" s="82"/>
      <c r="B282" s="76"/>
      <c r="C282" s="82"/>
      <c r="D282" s="195"/>
      <c r="E282" s="76"/>
      <c r="F282" s="76"/>
      <c r="G282" s="82"/>
      <c r="H282" s="287"/>
      <c r="I282" s="82"/>
      <c r="J282" s="82"/>
    </row>
    <row r="283">
      <c r="A283" s="82"/>
      <c r="B283" s="76"/>
      <c r="C283" s="82"/>
      <c r="D283" s="195"/>
      <c r="E283" s="76"/>
      <c r="F283" s="76"/>
      <c r="G283" s="82"/>
      <c r="H283" s="287"/>
      <c r="I283" s="82"/>
      <c r="J283" s="82"/>
    </row>
    <row r="284">
      <c r="A284" s="82"/>
      <c r="B284" s="76"/>
      <c r="C284" s="82"/>
      <c r="D284" s="195"/>
      <c r="E284" s="76"/>
      <c r="F284" s="76"/>
      <c r="G284" s="82"/>
      <c r="H284" s="287"/>
      <c r="I284" s="82"/>
      <c r="J284" s="82"/>
    </row>
    <row r="285">
      <c r="A285" s="82"/>
      <c r="B285" s="76"/>
      <c r="C285" s="82"/>
      <c r="D285" s="195"/>
      <c r="E285" s="76"/>
      <c r="F285" s="76"/>
      <c r="G285" s="82"/>
      <c r="H285" s="287"/>
      <c r="I285" s="82"/>
      <c r="J285" s="82"/>
    </row>
    <row r="286">
      <c r="A286" s="82"/>
      <c r="B286" s="76"/>
      <c r="C286" s="82"/>
      <c r="D286" s="195"/>
      <c r="E286" s="76"/>
      <c r="F286" s="76"/>
      <c r="G286" s="82"/>
      <c r="H286" s="287"/>
      <c r="I286" s="82"/>
      <c r="J286" s="82"/>
    </row>
    <row r="287">
      <c r="A287" s="82"/>
      <c r="B287" s="76"/>
      <c r="C287" s="82"/>
      <c r="D287" s="195"/>
      <c r="E287" s="76"/>
      <c r="F287" s="76"/>
      <c r="G287" s="82"/>
      <c r="H287" s="287"/>
      <c r="I287" s="82"/>
      <c r="J287" s="82"/>
    </row>
    <row r="288">
      <c r="A288" s="82"/>
      <c r="B288" s="76"/>
      <c r="C288" s="82"/>
      <c r="D288" s="195"/>
      <c r="E288" s="76"/>
      <c r="F288" s="76"/>
      <c r="G288" s="82"/>
      <c r="H288" s="287"/>
      <c r="I288" s="82"/>
      <c r="J288" s="82"/>
    </row>
    <row r="289">
      <c r="A289" s="82"/>
      <c r="B289" s="76"/>
      <c r="C289" s="82"/>
      <c r="D289" s="195"/>
      <c r="E289" s="76"/>
      <c r="F289" s="76"/>
      <c r="G289" s="82"/>
      <c r="H289" s="287"/>
      <c r="I289" s="82"/>
      <c r="J289" s="82"/>
    </row>
    <row r="290">
      <c r="A290" s="82"/>
      <c r="B290" s="76"/>
      <c r="C290" s="82"/>
      <c r="D290" s="195"/>
      <c r="E290" s="76"/>
      <c r="F290" s="76"/>
      <c r="G290" s="82"/>
      <c r="H290" s="287"/>
      <c r="I290" s="82"/>
      <c r="J290" s="82"/>
    </row>
    <row r="291">
      <c r="A291" s="82"/>
      <c r="B291" s="76"/>
      <c r="C291" s="82"/>
      <c r="D291" s="195"/>
      <c r="E291" s="76"/>
      <c r="F291" s="76"/>
      <c r="G291" s="82"/>
      <c r="H291" s="287"/>
      <c r="I291" s="82"/>
      <c r="J291" s="82"/>
    </row>
    <row r="292">
      <c r="A292" s="82"/>
      <c r="B292" s="76"/>
      <c r="C292" s="82"/>
      <c r="D292" s="195"/>
      <c r="E292" s="76"/>
      <c r="F292" s="76"/>
      <c r="G292" s="82"/>
      <c r="H292" s="287"/>
      <c r="I292" s="82"/>
      <c r="J292" s="82"/>
    </row>
    <row r="293">
      <c r="A293" s="82"/>
      <c r="B293" s="76"/>
      <c r="C293" s="82"/>
      <c r="D293" s="195"/>
      <c r="E293" s="76"/>
      <c r="F293" s="76"/>
      <c r="G293" s="82"/>
      <c r="H293" s="287"/>
      <c r="I293" s="82"/>
      <c r="J293" s="82"/>
    </row>
    <row r="294">
      <c r="A294" s="82"/>
      <c r="B294" s="76"/>
      <c r="C294" s="82"/>
      <c r="D294" s="195"/>
      <c r="E294" s="76"/>
      <c r="F294" s="76"/>
      <c r="G294" s="82"/>
      <c r="H294" s="287"/>
      <c r="I294" s="82"/>
      <c r="J294" s="82"/>
    </row>
    <row r="295">
      <c r="A295" s="82"/>
      <c r="B295" s="76"/>
      <c r="C295" s="82"/>
      <c r="D295" s="195"/>
      <c r="E295" s="76"/>
      <c r="F295" s="76"/>
      <c r="G295" s="82"/>
      <c r="H295" s="287"/>
      <c r="I295" s="82"/>
      <c r="J295" s="82"/>
    </row>
    <row r="296">
      <c r="A296" s="82"/>
      <c r="B296" s="76"/>
      <c r="C296" s="82"/>
      <c r="D296" s="195"/>
      <c r="E296" s="76"/>
      <c r="F296" s="76"/>
      <c r="G296" s="82"/>
      <c r="H296" s="287"/>
      <c r="I296" s="82"/>
      <c r="J296" s="82"/>
    </row>
    <row r="297">
      <c r="A297" s="82"/>
      <c r="B297" s="76"/>
      <c r="C297" s="82"/>
      <c r="D297" s="195"/>
      <c r="E297" s="76"/>
      <c r="F297" s="76"/>
      <c r="G297" s="82"/>
      <c r="H297" s="287"/>
      <c r="I297" s="82"/>
      <c r="J297" s="82"/>
    </row>
    <row r="298">
      <c r="A298" s="82"/>
      <c r="B298" s="76"/>
      <c r="C298" s="82"/>
      <c r="D298" s="195"/>
      <c r="E298" s="76"/>
      <c r="F298" s="76"/>
      <c r="G298" s="82"/>
      <c r="H298" s="287"/>
      <c r="I298" s="82"/>
      <c r="J298" s="82"/>
    </row>
    <row r="299">
      <c r="A299" s="82"/>
      <c r="B299" s="76"/>
      <c r="C299" s="82"/>
      <c r="D299" s="195"/>
      <c r="E299" s="76"/>
      <c r="F299" s="76"/>
      <c r="G299" s="82"/>
      <c r="H299" s="287"/>
      <c r="I299" s="82"/>
      <c r="J299" s="82"/>
    </row>
    <row r="300">
      <c r="A300" s="82"/>
      <c r="B300" s="76"/>
      <c r="C300" s="82"/>
      <c r="D300" s="195"/>
      <c r="E300" s="76"/>
      <c r="F300" s="76"/>
      <c r="G300" s="82"/>
      <c r="H300" s="287"/>
      <c r="I300" s="82"/>
      <c r="J300" s="82"/>
    </row>
    <row r="301">
      <c r="A301" s="82"/>
      <c r="B301" s="76"/>
      <c r="C301" s="82"/>
      <c r="D301" s="195"/>
      <c r="E301" s="76"/>
      <c r="F301" s="76"/>
      <c r="G301" s="82"/>
      <c r="H301" s="287"/>
      <c r="I301" s="82"/>
      <c r="J301" s="82"/>
    </row>
    <row r="302">
      <c r="A302" s="82"/>
      <c r="B302" s="76"/>
      <c r="C302" s="82"/>
      <c r="D302" s="195"/>
      <c r="E302" s="76"/>
      <c r="F302" s="76"/>
      <c r="G302" s="82"/>
      <c r="H302" s="287"/>
      <c r="I302" s="82"/>
      <c r="J302" s="82"/>
    </row>
    <row r="303">
      <c r="A303" s="82"/>
      <c r="B303" s="76"/>
      <c r="C303" s="82"/>
      <c r="D303" s="195"/>
      <c r="E303" s="76"/>
      <c r="F303" s="76"/>
      <c r="G303" s="82"/>
      <c r="H303" s="287"/>
      <c r="I303" s="82"/>
      <c r="J303" s="82"/>
    </row>
    <row r="304">
      <c r="A304" s="82"/>
      <c r="B304" s="76"/>
      <c r="C304" s="82"/>
      <c r="D304" s="195"/>
      <c r="E304" s="76"/>
      <c r="F304" s="76"/>
      <c r="G304" s="82"/>
      <c r="H304" s="287"/>
      <c r="I304" s="82"/>
      <c r="J304" s="82"/>
    </row>
    <row r="305">
      <c r="A305" s="82"/>
      <c r="B305" s="76"/>
      <c r="C305" s="82"/>
      <c r="D305" s="195"/>
      <c r="E305" s="76"/>
      <c r="F305" s="76"/>
      <c r="G305" s="82"/>
      <c r="H305" s="287"/>
      <c r="I305" s="82"/>
      <c r="J305" s="82"/>
    </row>
    <row r="306">
      <c r="A306" s="82"/>
      <c r="B306" s="76"/>
      <c r="C306" s="82"/>
      <c r="D306" s="195"/>
      <c r="E306" s="76"/>
      <c r="F306" s="76"/>
      <c r="G306" s="82"/>
      <c r="H306" s="287"/>
      <c r="I306" s="82"/>
      <c r="J306" s="82"/>
    </row>
    <row r="307">
      <c r="A307" s="82"/>
      <c r="B307" s="76"/>
      <c r="C307" s="82"/>
      <c r="D307" s="195"/>
      <c r="E307" s="76"/>
      <c r="F307" s="76"/>
      <c r="G307" s="82"/>
      <c r="H307" s="287"/>
      <c r="I307" s="82"/>
      <c r="J307" s="82"/>
    </row>
    <row r="308">
      <c r="A308" s="82"/>
      <c r="B308" s="76"/>
      <c r="C308" s="82"/>
      <c r="D308" s="195"/>
      <c r="E308" s="76"/>
      <c r="F308" s="76"/>
      <c r="G308" s="82"/>
      <c r="H308" s="287"/>
      <c r="I308" s="82"/>
      <c r="J308" s="82"/>
    </row>
    <row r="309">
      <c r="A309" s="82"/>
      <c r="B309" s="76"/>
      <c r="C309" s="82"/>
      <c r="D309" s="195"/>
      <c r="E309" s="76"/>
      <c r="F309" s="76"/>
      <c r="G309" s="82"/>
      <c r="H309" s="287"/>
      <c r="I309" s="82"/>
      <c r="J309" s="82"/>
    </row>
    <row r="310">
      <c r="A310" s="82"/>
      <c r="B310" s="76"/>
      <c r="C310" s="82"/>
      <c r="D310" s="195"/>
      <c r="E310" s="76"/>
      <c r="F310" s="76"/>
      <c r="G310" s="82"/>
      <c r="H310" s="287"/>
      <c r="I310" s="82"/>
      <c r="J310" s="82"/>
    </row>
    <row r="311">
      <c r="A311" s="82"/>
      <c r="B311" s="76"/>
      <c r="C311" s="82"/>
      <c r="D311" s="195"/>
      <c r="E311" s="76"/>
      <c r="F311" s="76"/>
      <c r="G311" s="82"/>
      <c r="H311" s="287"/>
      <c r="I311" s="82"/>
      <c r="J311" s="82"/>
    </row>
    <row r="312">
      <c r="A312" s="82"/>
      <c r="B312" s="76"/>
      <c r="C312" s="82"/>
      <c r="D312" s="195"/>
      <c r="E312" s="76"/>
      <c r="F312" s="76"/>
      <c r="G312" s="82"/>
      <c r="H312" s="287"/>
      <c r="I312" s="82"/>
      <c r="J312" s="82"/>
    </row>
    <row r="313">
      <c r="A313" s="82"/>
      <c r="B313" s="76"/>
      <c r="C313" s="82"/>
      <c r="D313" s="195"/>
      <c r="E313" s="76"/>
      <c r="F313" s="76"/>
      <c r="G313" s="82"/>
      <c r="H313" s="287"/>
      <c r="I313" s="82"/>
      <c r="J313" s="82"/>
    </row>
    <row r="314">
      <c r="A314" s="82"/>
      <c r="B314" s="76"/>
      <c r="C314" s="82"/>
      <c r="D314" s="195"/>
      <c r="E314" s="76"/>
      <c r="F314" s="76"/>
      <c r="G314" s="82"/>
      <c r="H314" s="287"/>
      <c r="I314" s="82"/>
      <c r="J314" s="82"/>
    </row>
    <row r="315">
      <c r="A315" s="82"/>
      <c r="B315" s="76"/>
      <c r="C315" s="82"/>
      <c r="D315" s="195"/>
      <c r="E315" s="76"/>
      <c r="F315" s="76"/>
      <c r="G315" s="82"/>
      <c r="H315" s="287"/>
      <c r="I315" s="82"/>
      <c r="J315" s="82"/>
    </row>
    <row r="316">
      <c r="A316" s="82"/>
      <c r="B316" s="76"/>
      <c r="C316" s="82"/>
      <c r="D316" s="195"/>
      <c r="E316" s="76"/>
      <c r="F316" s="76"/>
      <c r="G316" s="82"/>
      <c r="H316" s="287"/>
      <c r="I316" s="82"/>
      <c r="J316" s="82"/>
    </row>
    <row r="317">
      <c r="A317" s="82"/>
      <c r="B317" s="76"/>
      <c r="C317" s="82"/>
      <c r="D317" s="195"/>
      <c r="E317" s="76"/>
      <c r="F317" s="76"/>
      <c r="G317" s="82"/>
      <c r="H317" s="287"/>
      <c r="I317" s="82"/>
      <c r="J317" s="82"/>
    </row>
    <row r="318">
      <c r="A318" s="82"/>
      <c r="B318" s="76"/>
      <c r="C318" s="82"/>
      <c r="D318" s="195"/>
      <c r="E318" s="76"/>
      <c r="F318" s="76"/>
      <c r="G318" s="82"/>
      <c r="H318" s="287"/>
      <c r="I318" s="82"/>
      <c r="J318" s="82"/>
    </row>
    <row r="319">
      <c r="A319" s="82"/>
      <c r="B319" s="76"/>
      <c r="C319" s="82"/>
      <c r="D319" s="195"/>
      <c r="E319" s="76"/>
      <c r="F319" s="76"/>
      <c r="G319" s="82"/>
      <c r="H319" s="287"/>
      <c r="I319" s="82"/>
      <c r="J319" s="82"/>
    </row>
    <row r="320">
      <c r="A320" s="82"/>
      <c r="B320" s="76"/>
      <c r="C320" s="82"/>
      <c r="D320" s="195"/>
      <c r="E320" s="76"/>
      <c r="F320" s="76"/>
      <c r="G320" s="82"/>
      <c r="H320" s="287"/>
      <c r="I320" s="82"/>
      <c r="J320" s="82"/>
    </row>
    <row r="321">
      <c r="A321" s="82"/>
      <c r="B321" s="76"/>
      <c r="C321" s="82"/>
      <c r="D321" s="195"/>
      <c r="E321" s="76"/>
      <c r="F321" s="76"/>
      <c r="G321" s="82"/>
      <c r="H321" s="287"/>
      <c r="I321" s="82"/>
      <c r="J321" s="82"/>
    </row>
    <row r="322">
      <c r="A322" s="82"/>
      <c r="B322" s="76"/>
      <c r="C322" s="82"/>
      <c r="D322" s="195"/>
      <c r="E322" s="76"/>
      <c r="F322" s="76"/>
      <c r="G322" s="82"/>
      <c r="H322" s="287"/>
      <c r="I322" s="82"/>
      <c r="J322" s="82"/>
    </row>
    <row r="323">
      <c r="A323" s="82"/>
      <c r="B323" s="76"/>
      <c r="C323" s="82"/>
      <c r="D323" s="195"/>
      <c r="E323" s="76"/>
      <c r="F323" s="76"/>
      <c r="G323" s="82"/>
      <c r="H323" s="287"/>
      <c r="I323" s="82"/>
      <c r="J323" s="82"/>
    </row>
    <row r="324">
      <c r="A324" s="82"/>
      <c r="B324" s="76"/>
      <c r="C324" s="82"/>
      <c r="D324" s="195"/>
      <c r="E324" s="76"/>
      <c r="F324" s="76"/>
      <c r="G324" s="82"/>
      <c r="H324" s="287"/>
      <c r="I324" s="82"/>
      <c r="J324" s="82"/>
    </row>
    <row r="325">
      <c r="A325" s="82"/>
      <c r="B325" s="76"/>
      <c r="C325" s="82"/>
      <c r="D325" s="195"/>
      <c r="E325" s="76"/>
      <c r="F325" s="76"/>
      <c r="G325" s="82"/>
      <c r="H325" s="287"/>
      <c r="I325" s="82"/>
      <c r="J325" s="82"/>
    </row>
    <row r="326">
      <c r="A326" s="82"/>
      <c r="B326" s="76"/>
      <c r="C326" s="82"/>
      <c r="D326" s="195"/>
      <c r="E326" s="76"/>
      <c r="F326" s="76"/>
      <c r="G326" s="82"/>
      <c r="H326" s="287"/>
      <c r="I326" s="82"/>
      <c r="J326" s="82"/>
    </row>
    <row r="327">
      <c r="A327" s="82"/>
      <c r="B327" s="76"/>
      <c r="C327" s="82"/>
      <c r="D327" s="195"/>
      <c r="E327" s="76"/>
      <c r="F327" s="76"/>
      <c r="G327" s="82"/>
      <c r="H327" s="287"/>
      <c r="I327" s="82"/>
      <c r="J327" s="82"/>
    </row>
    <row r="328">
      <c r="A328" s="82"/>
      <c r="B328" s="76"/>
      <c r="C328" s="82"/>
      <c r="D328" s="195"/>
      <c r="E328" s="76"/>
      <c r="F328" s="76"/>
      <c r="G328" s="82"/>
      <c r="H328" s="287"/>
      <c r="I328" s="82"/>
      <c r="J328" s="82"/>
    </row>
    <row r="329">
      <c r="A329" s="82"/>
      <c r="B329" s="76"/>
      <c r="C329" s="82"/>
      <c r="D329" s="195"/>
      <c r="E329" s="76"/>
      <c r="F329" s="76"/>
      <c r="G329" s="82"/>
      <c r="H329" s="287"/>
      <c r="I329" s="82"/>
      <c r="J329" s="82"/>
    </row>
    <row r="330">
      <c r="A330" s="82"/>
      <c r="B330" s="76"/>
      <c r="C330" s="82"/>
      <c r="D330" s="195"/>
      <c r="E330" s="76"/>
      <c r="F330" s="76"/>
      <c r="G330" s="82"/>
      <c r="H330" s="287"/>
      <c r="I330" s="82"/>
      <c r="J330" s="82"/>
    </row>
    <row r="331">
      <c r="A331" s="82"/>
      <c r="B331" s="76"/>
      <c r="C331" s="82"/>
      <c r="D331" s="195"/>
      <c r="E331" s="76"/>
      <c r="F331" s="76"/>
      <c r="G331" s="82"/>
      <c r="H331" s="287"/>
      <c r="I331" s="82"/>
      <c r="J331" s="82"/>
    </row>
    <row r="332">
      <c r="A332" s="82"/>
      <c r="B332" s="76"/>
      <c r="C332" s="82"/>
      <c r="D332" s="195"/>
      <c r="E332" s="76"/>
      <c r="F332" s="76"/>
      <c r="G332" s="82"/>
      <c r="H332" s="287"/>
      <c r="I332" s="82"/>
      <c r="J332" s="82"/>
    </row>
    <row r="333">
      <c r="A333" s="82"/>
      <c r="B333" s="76"/>
      <c r="C333" s="82"/>
      <c r="D333" s="195"/>
      <c r="E333" s="76"/>
      <c r="F333" s="76"/>
      <c r="G333" s="82"/>
      <c r="H333" s="287"/>
      <c r="I333" s="82"/>
      <c r="J333" s="82"/>
    </row>
    <row r="334">
      <c r="A334" s="82"/>
      <c r="B334" s="76"/>
      <c r="C334" s="82"/>
      <c r="D334" s="195"/>
      <c r="E334" s="76"/>
      <c r="F334" s="76"/>
      <c r="G334" s="82"/>
      <c r="H334" s="287"/>
      <c r="I334" s="82"/>
      <c r="J334" s="82"/>
    </row>
    <row r="335">
      <c r="A335" s="82"/>
      <c r="B335" s="76"/>
      <c r="C335" s="82"/>
      <c r="D335" s="195"/>
      <c r="E335" s="76"/>
      <c r="F335" s="76"/>
      <c r="G335" s="82"/>
      <c r="H335" s="287"/>
      <c r="I335" s="82"/>
      <c r="J335" s="82"/>
    </row>
    <row r="336">
      <c r="A336" s="82"/>
      <c r="B336" s="76"/>
      <c r="C336" s="82"/>
      <c r="D336" s="195"/>
      <c r="E336" s="76"/>
      <c r="F336" s="76"/>
      <c r="G336" s="82"/>
      <c r="H336" s="287"/>
      <c r="I336" s="82"/>
      <c r="J336" s="82"/>
    </row>
    <row r="337">
      <c r="A337" s="82"/>
      <c r="B337" s="76"/>
      <c r="C337" s="82"/>
      <c r="D337" s="195"/>
      <c r="E337" s="76"/>
      <c r="F337" s="76"/>
      <c r="G337" s="82"/>
      <c r="H337" s="287"/>
      <c r="I337" s="82"/>
      <c r="J337" s="82"/>
    </row>
    <row r="338">
      <c r="A338" s="82"/>
      <c r="B338" s="76"/>
      <c r="C338" s="82"/>
      <c r="D338" s="195"/>
      <c r="E338" s="76"/>
      <c r="F338" s="76"/>
      <c r="G338" s="82"/>
      <c r="H338" s="287"/>
      <c r="I338" s="82"/>
      <c r="J338" s="82"/>
    </row>
    <row r="339">
      <c r="A339" s="82"/>
      <c r="B339" s="76"/>
      <c r="C339" s="82"/>
      <c r="D339" s="195"/>
      <c r="E339" s="76"/>
      <c r="F339" s="76"/>
      <c r="G339" s="82"/>
      <c r="H339" s="287"/>
      <c r="I339" s="82"/>
      <c r="J339" s="82"/>
    </row>
    <row r="340">
      <c r="A340" s="82"/>
      <c r="B340" s="76"/>
      <c r="C340" s="82"/>
      <c r="D340" s="195"/>
      <c r="E340" s="76"/>
      <c r="F340" s="76"/>
      <c r="G340" s="82"/>
      <c r="H340" s="287"/>
      <c r="I340" s="82"/>
      <c r="J340" s="82"/>
    </row>
    <row r="341">
      <c r="A341" s="82"/>
      <c r="B341" s="76"/>
      <c r="C341" s="82"/>
      <c r="D341" s="195"/>
      <c r="E341" s="76"/>
      <c r="F341" s="76"/>
      <c r="G341" s="82"/>
      <c r="H341" s="287"/>
      <c r="I341" s="82"/>
      <c r="J341" s="82"/>
    </row>
    <row r="342">
      <c r="A342" s="82"/>
      <c r="B342" s="76"/>
      <c r="C342" s="82"/>
      <c r="D342" s="195"/>
      <c r="E342" s="76"/>
      <c r="F342" s="76"/>
      <c r="G342" s="82"/>
      <c r="H342" s="287"/>
      <c r="I342" s="82"/>
      <c r="J342" s="82"/>
    </row>
    <row r="343">
      <c r="A343" s="82"/>
      <c r="B343" s="76"/>
      <c r="C343" s="82"/>
      <c r="D343" s="195"/>
      <c r="E343" s="76"/>
      <c r="F343" s="76"/>
      <c r="G343" s="82"/>
      <c r="H343" s="287"/>
      <c r="I343" s="82"/>
      <c r="J343" s="82"/>
    </row>
    <row r="344">
      <c r="A344" s="82"/>
      <c r="B344" s="76"/>
      <c r="C344" s="82"/>
      <c r="D344" s="195"/>
      <c r="E344" s="76"/>
      <c r="F344" s="76"/>
      <c r="G344" s="82"/>
      <c r="H344" s="287"/>
      <c r="I344" s="82"/>
      <c r="J344" s="82"/>
    </row>
    <row r="345">
      <c r="A345" s="82"/>
      <c r="B345" s="76"/>
      <c r="C345" s="82"/>
      <c r="D345" s="195"/>
      <c r="E345" s="76"/>
      <c r="F345" s="76"/>
      <c r="G345" s="82"/>
      <c r="H345" s="287"/>
      <c r="I345" s="82"/>
      <c r="J345" s="82"/>
    </row>
    <row r="346">
      <c r="A346" s="82"/>
      <c r="B346" s="76"/>
      <c r="C346" s="82"/>
      <c r="D346" s="195"/>
      <c r="E346" s="76"/>
      <c r="F346" s="76"/>
      <c r="G346" s="82"/>
      <c r="H346" s="287"/>
      <c r="I346" s="82"/>
      <c r="J346" s="82"/>
    </row>
    <row r="347">
      <c r="A347" s="82"/>
      <c r="B347" s="76"/>
      <c r="C347" s="82"/>
      <c r="D347" s="195"/>
      <c r="E347" s="76"/>
      <c r="F347" s="76"/>
      <c r="G347" s="82"/>
      <c r="H347" s="287"/>
      <c r="I347" s="82"/>
      <c r="J347" s="82"/>
    </row>
    <row r="348">
      <c r="A348" s="82"/>
      <c r="B348" s="76"/>
      <c r="C348" s="82"/>
      <c r="D348" s="195"/>
      <c r="E348" s="76"/>
      <c r="F348" s="76"/>
      <c r="G348" s="82"/>
      <c r="H348" s="287"/>
      <c r="I348" s="82"/>
      <c r="J348" s="82"/>
    </row>
    <row r="349">
      <c r="A349" s="82"/>
      <c r="B349" s="76"/>
      <c r="C349" s="82"/>
      <c r="D349" s="195"/>
      <c r="E349" s="76"/>
      <c r="F349" s="76"/>
      <c r="G349" s="82"/>
      <c r="H349" s="287"/>
      <c r="I349" s="82"/>
      <c r="J349" s="82"/>
    </row>
    <row r="350">
      <c r="A350" s="82"/>
      <c r="B350" s="76"/>
      <c r="C350" s="82"/>
      <c r="D350" s="195"/>
      <c r="E350" s="76"/>
      <c r="F350" s="76"/>
      <c r="G350" s="82"/>
      <c r="H350" s="287"/>
      <c r="I350" s="82"/>
      <c r="J350" s="82"/>
    </row>
    <row r="351">
      <c r="A351" s="82"/>
      <c r="B351" s="76"/>
      <c r="C351" s="82"/>
      <c r="D351" s="195"/>
      <c r="E351" s="76"/>
      <c r="F351" s="76"/>
      <c r="G351" s="82"/>
      <c r="H351" s="287"/>
      <c r="I351" s="82"/>
      <c r="J351" s="82"/>
    </row>
    <row r="352">
      <c r="A352" s="82"/>
      <c r="B352" s="76"/>
      <c r="C352" s="82"/>
      <c r="D352" s="195"/>
      <c r="E352" s="76"/>
      <c r="F352" s="76"/>
      <c r="G352" s="82"/>
      <c r="H352" s="287"/>
      <c r="I352" s="82"/>
      <c r="J352" s="82"/>
    </row>
    <row r="353">
      <c r="A353" s="82"/>
      <c r="B353" s="76"/>
      <c r="C353" s="82"/>
      <c r="D353" s="195"/>
      <c r="E353" s="76"/>
      <c r="F353" s="76"/>
      <c r="G353" s="82"/>
      <c r="H353" s="287"/>
      <c r="I353" s="82"/>
      <c r="J353" s="82"/>
    </row>
    <row r="354">
      <c r="A354" s="82"/>
      <c r="B354" s="76"/>
      <c r="C354" s="82"/>
      <c r="D354" s="195"/>
      <c r="E354" s="76"/>
      <c r="F354" s="76"/>
      <c r="G354" s="82"/>
      <c r="H354" s="287"/>
      <c r="I354" s="82"/>
      <c r="J354" s="82"/>
    </row>
    <row r="355">
      <c r="A355" s="82"/>
      <c r="B355" s="76"/>
      <c r="C355" s="82"/>
      <c r="D355" s="195"/>
      <c r="E355" s="76"/>
      <c r="F355" s="76"/>
      <c r="G355" s="82"/>
      <c r="H355" s="287"/>
      <c r="I355" s="82"/>
      <c r="J355" s="82"/>
    </row>
    <row r="356">
      <c r="A356" s="82"/>
      <c r="B356" s="76"/>
      <c r="C356" s="82"/>
      <c r="D356" s="195"/>
      <c r="E356" s="76"/>
      <c r="F356" s="76"/>
      <c r="G356" s="82"/>
      <c r="H356" s="287"/>
      <c r="I356" s="82"/>
      <c r="J356" s="82"/>
    </row>
    <row r="357">
      <c r="A357" s="82"/>
      <c r="B357" s="76"/>
      <c r="C357" s="82"/>
      <c r="D357" s="195"/>
      <c r="E357" s="76"/>
      <c r="F357" s="76"/>
      <c r="G357" s="82"/>
      <c r="H357" s="287"/>
      <c r="I357" s="82"/>
      <c r="J357" s="82"/>
    </row>
    <row r="358">
      <c r="A358" s="82"/>
      <c r="B358" s="76"/>
      <c r="C358" s="82"/>
      <c r="D358" s="195"/>
      <c r="E358" s="76"/>
      <c r="F358" s="76"/>
      <c r="G358" s="82"/>
      <c r="H358" s="287"/>
      <c r="I358" s="82"/>
      <c r="J358" s="82"/>
    </row>
    <row r="359">
      <c r="A359" s="82"/>
      <c r="B359" s="76"/>
      <c r="C359" s="82"/>
      <c r="D359" s="195"/>
      <c r="E359" s="76"/>
      <c r="F359" s="76"/>
      <c r="G359" s="82"/>
      <c r="H359" s="287"/>
      <c r="I359" s="82"/>
      <c r="J359" s="82"/>
    </row>
    <row r="360">
      <c r="A360" s="82"/>
      <c r="B360" s="76"/>
      <c r="C360" s="82"/>
      <c r="D360" s="195"/>
      <c r="E360" s="76"/>
      <c r="F360" s="76"/>
      <c r="G360" s="82"/>
      <c r="H360" s="287"/>
      <c r="I360" s="82"/>
      <c r="J360" s="82"/>
    </row>
    <row r="361">
      <c r="A361" s="82"/>
      <c r="B361" s="76"/>
      <c r="C361" s="82"/>
      <c r="D361" s="195"/>
      <c r="E361" s="76"/>
      <c r="F361" s="76"/>
      <c r="G361" s="82"/>
      <c r="H361" s="287"/>
      <c r="I361" s="82"/>
      <c r="J361" s="82"/>
    </row>
    <row r="362">
      <c r="A362" s="82"/>
      <c r="B362" s="76"/>
      <c r="C362" s="82"/>
      <c r="D362" s="195"/>
      <c r="E362" s="76"/>
      <c r="F362" s="76"/>
      <c r="G362" s="82"/>
      <c r="H362" s="287"/>
      <c r="I362" s="82"/>
      <c r="J362" s="82"/>
    </row>
    <row r="363">
      <c r="A363" s="82"/>
      <c r="B363" s="76"/>
      <c r="C363" s="82"/>
      <c r="D363" s="195"/>
      <c r="E363" s="76"/>
      <c r="F363" s="76"/>
      <c r="G363" s="82"/>
      <c r="H363" s="287"/>
      <c r="I363" s="82"/>
      <c r="J363" s="82"/>
    </row>
    <row r="364">
      <c r="A364" s="82"/>
      <c r="B364" s="76"/>
      <c r="C364" s="82"/>
      <c r="D364" s="195"/>
      <c r="E364" s="76"/>
      <c r="F364" s="76"/>
      <c r="G364" s="82"/>
      <c r="H364" s="287"/>
      <c r="I364" s="82"/>
      <c r="J364" s="82"/>
    </row>
    <row r="365">
      <c r="A365" s="82"/>
      <c r="B365" s="76"/>
      <c r="C365" s="82"/>
      <c r="D365" s="195"/>
      <c r="E365" s="76"/>
      <c r="F365" s="76"/>
      <c r="G365" s="82"/>
      <c r="H365" s="287"/>
      <c r="I365" s="82"/>
      <c r="J365" s="82"/>
    </row>
    <row r="366">
      <c r="A366" s="82"/>
      <c r="B366" s="76"/>
      <c r="C366" s="82"/>
      <c r="D366" s="195"/>
      <c r="E366" s="76"/>
      <c r="F366" s="76"/>
      <c r="G366" s="82"/>
      <c r="H366" s="287"/>
      <c r="I366" s="82"/>
      <c r="J366" s="82"/>
    </row>
    <row r="367">
      <c r="A367" s="82"/>
      <c r="B367" s="76"/>
      <c r="C367" s="82"/>
      <c r="D367" s="195"/>
      <c r="E367" s="76"/>
      <c r="F367" s="76"/>
      <c r="G367" s="82"/>
      <c r="H367" s="287"/>
      <c r="I367" s="82"/>
      <c r="J367" s="82"/>
    </row>
    <row r="368">
      <c r="A368" s="82"/>
      <c r="B368" s="76"/>
      <c r="C368" s="82"/>
      <c r="D368" s="195"/>
      <c r="E368" s="76"/>
      <c r="F368" s="76"/>
      <c r="G368" s="82"/>
      <c r="H368" s="287"/>
      <c r="I368" s="82"/>
      <c r="J368" s="82"/>
    </row>
    <row r="369">
      <c r="A369" s="82"/>
      <c r="B369" s="76"/>
      <c r="C369" s="82"/>
      <c r="D369" s="195"/>
      <c r="E369" s="76"/>
      <c r="F369" s="76"/>
      <c r="G369" s="82"/>
      <c r="H369" s="287"/>
      <c r="I369" s="82"/>
      <c r="J369" s="82"/>
    </row>
    <row r="370">
      <c r="A370" s="82"/>
      <c r="B370" s="76"/>
      <c r="C370" s="82"/>
      <c r="D370" s="195"/>
      <c r="E370" s="76"/>
      <c r="F370" s="76"/>
      <c r="G370" s="82"/>
      <c r="H370" s="287"/>
      <c r="I370" s="82"/>
      <c r="J370" s="82"/>
    </row>
    <row r="371">
      <c r="A371" s="82"/>
      <c r="B371" s="76"/>
      <c r="C371" s="82"/>
      <c r="D371" s="195"/>
      <c r="E371" s="76"/>
      <c r="F371" s="76"/>
      <c r="G371" s="82"/>
      <c r="H371" s="287"/>
      <c r="I371" s="82"/>
      <c r="J371" s="82"/>
    </row>
    <row r="372">
      <c r="A372" s="82"/>
      <c r="B372" s="76"/>
      <c r="C372" s="82"/>
      <c r="D372" s="195"/>
      <c r="E372" s="76"/>
      <c r="F372" s="76"/>
      <c r="G372" s="82"/>
      <c r="H372" s="287"/>
      <c r="I372" s="82"/>
      <c r="J372" s="82"/>
    </row>
    <row r="373">
      <c r="A373" s="82"/>
      <c r="B373" s="76"/>
      <c r="C373" s="82"/>
      <c r="D373" s="195"/>
      <c r="E373" s="76"/>
      <c r="F373" s="76"/>
      <c r="G373" s="82"/>
      <c r="H373" s="287"/>
      <c r="I373" s="82"/>
      <c r="J373" s="82"/>
    </row>
    <row r="374">
      <c r="A374" s="82"/>
      <c r="B374" s="76"/>
      <c r="C374" s="82"/>
      <c r="D374" s="195"/>
      <c r="E374" s="76"/>
      <c r="F374" s="76"/>
      <c r="G374" s="82"/>
      <c r="H374" s="287"/>
      <c r="I374" s="82"/>
      <c r="J374" s="82"/>
    </row>
    <row r="375">
      <c r="A375" s="82"/>
      <c r="B375" s="76"/>
      <c r="C375" s="82"/>
      <c r="D375" s="195"/>
      <c r="E375" s="76"/>
      <c r="F375" s="76"/>
      <c r="G375" s="82"/>
      <c r="H375" s="287"/>
      <c r="I375" s="82"/>
      <c r="J375" s="82"/>
    </row>
    <row r="376">
      <c r="A376" s="82"/>
      <c r="B376" s="76"/>
      <c r="C376" s="82"/>
      <c r="D376" s="195"/>
      <c r="E376" s="76"/>
      <c r="F376" s="76"/>
      <c r="G376" s="82"/>
      <c r="H376" s="287"/>
      <c r="I376" s="82"/>
      <c r="J376" s="82"/>
    </row>
    <row r="377">
      <c r="A377" s="82"/>
      <c r="B377" s="76"/>
      <c r="C377" s="82"/>
      <c r="D377" s="195"/>
      <c r="E377" s="76"/>
      <c r="F377" s="76"/>
      <c r="G377" s="82"/>
      <c r="H377" s="287"/>
      <c r="I377" s="82"/>
      <c r="J377" s="82"/>
    </row>
    <row r="378">
      <c r="A378" s="82"/>
      <c r="B378" s="76"/>
      <c r="C378" s="82"/>
      <c r="D378" s="195"/>
      <c r="E378" s="76"/>
      <c r="F378" s="76"/>
      <c r="G378" s="82"/>
      <c r="H378" s="287"/>
      <c r="I378" s="82"/>
      <c r="J378" s="82"/>
    </row>
    <row r="379">
      <c r="A379" s="82"/>
      <c r="B379" s="76"/>
      <c r="C379" s="82"/>
      <c r="D379" s="195"/>
      <c r="E379" s="76"/>
      <c r="F379" s="76"/>
      <c r="G379" s="82"/>
      <c r="H379" s="287"/>
      <c r="I379" s="82"/>
      <c r="J379" s="82"/>
    </row>
    <row r="380">
      <c r="A380" s="82"/>
      <c r="B380" s="76"/>
      <c r="C380" s="82"/>
      <c r="D380" s="195"/>
      <c r="E380" s="76"/>
      <c r="F380" s="76"/>
      <c r="G380" s="82"/>
      <c r="H380" s="287"/>
      <c r="I380" s="82"/>
      <c r="J380" s="82"/>
    </row>
    <row r="381">
      <c r="A381" s="82"/>
      <c r="B381" s="76"/>
      <c r="C381" s="82"/>
      <c r="D381" s="195"/>
      <c r="E381" s="76"/>
      <c r="F381" s="76"/>
      <c r="G381" s="82"/>
      <c r="H381" s="287"/>
      <c r="I381" s="82"/>
      <c r="J381" s="82"/>
    </row>
    <row r="382">
      <c r="A382" s="82"/>
      <c r="B382" s="76"/>
      <c r="C382" s="82"/>
      <c r="D382" s="195"/>
      <c r="E382" s="76"/>
      <c r="F382" s="76"/>
      <c r="G382" s="82"/>
      <c r="H382" s="287"/>
      <c r="I382" s="82"/>
      <c r="J382" s="82"/>
    </row>
    <row r="383">
      <c r="A383" s="82"/>
      <c r="B383" s="76"/>
      <c r="C383" s="82"/>
      <c r="D383" s="195"/>
      <c r="E383" s="76"/>
      <c r="F383" s="76"/>
      <c r="G383" s="82"/>
      <c r="H383" s="287"/>
      <c r="I383" s="82"/>
      <c r="J383" s="82"/>
    </row>
    <row r="384">
      <c r="A384" s="82"/>
      <c r="B384" s="76"/>
      <c r="C384" s="82"/>
      <c r="D384" s="195"/>
      <c r="E384" s="76"/>
      <c r="F384" s="76"/>
      <c r="G384" s="82"/>
      <c r="H384" s="287"/>
      <c r="I384" s="82"/>
      <c r="J384" s="82"/>
    </row>
    <row r="385">
      <c r="A385" s="82"/>
      <c r="B385" s="76"/>
      <c r="C385" s="82"/>
      <c r="D385" s="195"/>
      <c r="E385" s="76"/>
      <c r="F385" s="76"/>
      <c r="G385" s="82"/>
      <c r="H385" s="287"/>
      <c r="I385" s="82"/>
      <c r="J385" s="82"/>
    </row>
    <row r="386">
      <c r="A386" s="82"/>
      <c r="B386" s="76"/>
      <c r="C386" s="82"/>
      <c r="D386" s="195"/>
      <c r="E386" s="76"/>
      <c r="F386" s="76"/>
      <c r="G386" s="82"/>
      <c r="H386" s="287"/>
      <c r="I386" s="82"/>
      <c r="J386" s="82"/>
    </row>
    <row r="387">
      <c r="A387" s="82"/>
      <c r="B387" s="76"/>
      <c r="C387" s="82"/>
      <c r="D387" s="195"/>
      <c r="E387" s="76"/>
      <c r="F387" s="76"/>
      <c r="G387" s="82"/>
      <c r="H387" s="287"/>
      <c r="I387" s="82"/>
      <c r="J387" s="82"/>
    </row>
    <row r="388">
      <c r="A388" s="82"/>
      <c r="B388" s="76"/>
      <c r="C388" s="82"/>
      <c r="D388" s="195"/>
      <c r="E388" s="76"/>
      <c r="F388" s="76"/>
      <c r="G388" s="82"/>
      <c r="H388" s="287"/>
      <c r="I388" s="82"/>
      <c r="J388" s="82"/>
    </row>
    <row r="389">
      <c r="A389" s="82"/>
      <c r="B389" s="76"/>
      <c r="C389" s="82"/>
      <c r="D389" s="195"/>
      <c r="E389" s="76"/>
      <c r="F389" s="76"/>
      <c r="G389" s="82"/>
      <c r="H389" s="287"/>
      <c r="I389" s="82"/>
      <c r="J389" s="82"/>
    </row>
    <row r="390">
      <c r="A390" s="82"/>
      <c r="B390" s="76"/>
      <c r="C390" s="82"/>
      <c r="D390" s="195"/>
      <c r="E390" s="76"/>
      <c r="F390" s="76"/>
      <c r="G390" s="82"/>
      <c r="H390" s="287"/>
      <c r="I390" s="82"/>
      <c r="J390" s="82"/>
    </row>
    <row r="391">
      <c r="A391" s="82"/>
      <c r="B391" s="76"/>
      <c r="C391" s="82"/>
      <c r="D391" s="195"/>
      <c r="E391" s="76"/>
      <c r="F391" s="76"/>
      <c r="G391" s="82"/>
      <c r="H391" s="287"/>
      <c r="I391" s="82"/>
      <c r="J391" s="82"/>
    </row>
    <row r="392">
      <c r="A392" s="82"/>
      <c r="B392" s="76"/>
      <c r="C392" s="82"/>
      <c r="D392" s="195"/>
      <c r="E392" s="76"/>
      <c r="F392" s="76"/>
      <c r="G392" s="82"/>
      <c r="H392" s="287"/>
      <c r="I392" s="82"/>
      <c r="J392" s="82"/>
    </row>
    <row r="393">
      <c r="A393" s="82"/>
      <c r="B393" s="76"/>
      <c r="C393" s="82"/>
      <c r="D393" s="195"/>
      <c r="E393" s="76"/>
      <c r="F393" s="76"/>
      <c r="G393" s="82"/>
      <c r="H393" s="287"/>
      <c r="I393" s="82"/>
      <c r="J393" s="82"/>
    </row>
    <row r="394">
      <c r="A394" s="82"/>
      <c r="B394" s="76"/>
      <c r="C394" s="82"/>
      <c r="D394" s="195"/>
      <c r="E394" s="76"/>
      <c r="F394" s="76"/>
      <c r="G394" s="82"/>
      <c r="H394" s="287"/>
      <c r="I394" s="82"/>
      <c r="J394" s="82"/>
    </row>
    <row r="395">
      <c r="A395" s="82"/>
      <c r="B395" s="76"/>
      <c r="C395" s="82"/>
      <c r="D395" s="195"/>
      <c r="E395" s="76"/>
      <c r="F395" s="76"/>
      <c r="G395" s="82"/>
      <c r="H395" s="287"/>
      <c r="I395" s="82"/>
      <c r="J395" s="82"/>
    </row>
    <row r="396">
      <c r="A396" s="82"/>
      <c r="B396" s="76"/>
      <c r="C396" s="82"/>
      <c r="D396" s="195"/>
      <c r="E396" s="76"/>
      <c r="F396" s="76"/>
      <c r="G396" s="82"/>
      <c r="H396" s="287"/>
      <c r="I396" s="82"/>
      <c r="J396" s="82"/>
    </row>
    <row r="397">
      <c r="A397" s="82"/>
      <c r="B397" s="76"/>
      <c r="C397" s="82"/>
      <c r="D397" s="195"/>
      <c r="E397" s="76"/>
      <c r="F397" s="76"/>
      <c r="G397" s="82"/>
      <c r="H397" s="287"/>
      <c r="I397" s="82"/>
      <c r="J397" s="82"/>
    </row>
    <row r="398">
      <c r="A398" s="82"/>
      <c r="B398" s="76"/>
      <c r="C398" s="82"/>
      <c r="D398" s="195"/>
      <c r="E398" s="76"/>
      <c r="F398" s="76"/>
      <c r="G398" s="82"/>
      <c r="H398" s="287"/>
      <c r="I398" s="82"/>
      <c r="J398" s="82"/>
    </row>
    <row r="399">
      <c r="A399" s="82"/>
      <c r="B399" s="76"/>
      <c r="C399" s="82"/>
      <c r="D399" s="195"/>
      <c r="E399" s="76"/>
      <c r="F399" s="76"/>
      <c r="G399" s="82"/>
      <c r="H399" s="287"/>
      <c r="I399" s="82"/>
      <c r="J399" s="82"/>
    </row>
    <row r="400">
      <c r="A400" s="82"/>
      <c r="B400" s="76"/>
      <c r="C400" s="82"/>
      <c r="D400" s="195"/>
      <c r="E400" s="76"/>
      <c r="F400" s="76"/>
      <c r="G400" s="82"/>
      <c r="H400" s="287"/>
      <c r="I400" s="82"/>
      <c r="J400" s="82"/>
    </row>
    <row r="401">
      <c r="A401" s="82"/>
      <c r="B401" s="76"/>
      <c r="C401" s="82"/>
      <c r="D401" s="195"/>
      <c r="E401" s="76"/>
      <c r="F401" s="76"/>
      <c r="G401" s="82"/>
      <c r="H401" s="287"/>
      <c r="I401" s="82"/>
      <c r="J401" s="82"/>
    </row>
    <row r="402">
      <c r="A402" s="82"/>
      <c r="B402" s="76"/>
      <c r="C402" s="82"/>
      <c r="D402" s="195"/>
      <c r="E402" s="76"/>
      <c r="F402" s="76"/>
      <c r="G402" s="82"/>
      <c r="H402" s="287"/>
      <c r="I402" s="82"/>
      <c r="J402" s="82"/>
    </row>
    <row r="403">
      <c r="A403" s="82"/>
      <c r="B403" s="76"/>
      <c r="C403" s="82"/>
      <c r="D403" s="195"/>
      <c r="E403" s="76"/>
      <c r="F403" s="76"/>
      <c r="G403" s="82"/>
      <c r="H403" s="287"/>
      <c r="I403" s="82"/>
      <c r="J403" s="82"/>
    </row>
    <row r="404">
      <c r="A404" s="82"/>
      <c r="B404" s="76"/>
      <c r="C404" s="82"/>
      <c r="D404" s="195"/>
      <c r="E404" s="76"/>
      <c r="F404" s="76"/>
      <c r="G404" s="82"/>
      <c r="H404" s="287"/>
      <c r="I404" s="82"/>
      <c r="J404" s="82"/>
    </row>
    <row r="405">
      <c r="A405" s="82"/>
      <c r="B405" s="76"/>
      <c r="C405" s="82"/>
      <c r="D405" s="195"/>
      <c r="E405" s="76"/>
      <c r="F405" s="76"/>
      <c r="G405" s="82"/>
      <c r="H405" s="287"/>
      <c r="I405" s="82"/>
      <c r="J405" s="82"/>
    </row>
    <row r="406">
      <c r="A406" s="82"/>
      <c r="B406" s="76"/>
      <c r="C406" s="82"/>
      <c r="D406" s="195"/>
      <c r="E406" s="76"/>
      <c r="F406" s="76"/>
      <c r="G406" s="82"/>
      <c r="H406" s="287"/>
      <c r="I406" s="82"/>
      <c r="J406" s="82"/>
    </row>
    <row r="407">
      <c r="A407" s="82"/>
      <c r="B407" s="76"/>
      <c r="C407" s="82"/>
      <c r="D407" s="195"/>
      <c r="E407" s="76"/>
      <c r="F407" s="76"/>
      <c r="G407" s="82"/>
      <c r="H407" s="287"/>
      <c r="I407" s="82"/>
      <c r="J407" s="82"/>
    </row>
    <row r="408">
      <c r="A408" s="82"/>
      <c r="B408" s="76"/>
      <c r="C408" s="82"/>
      <c r="D408" s="195"/>
      <c r="E408" s="76"/>
      <c r="F408" s="76"/>
      <c r="G408" s="82"/>
      <c r="H408" s="287"/>
      <c r="I408" s="82"/>
      <c r="J408" s="82"/>
    </row>
    <row r="409">
      <c r="A409" s="82"/>
      <c r="B409" s="76"/>
      <c r="C409" s="82"/>
      <c r="D409" s="195"/>
      <c r="E409" s="76"/>
      <c r="F409" s="76"/>
      <c r="G409" s="82"/>
      <c r="H409" s="287"/>
      <c r="I409" s="82"/>
      <c r="J409" s="82"/>
    </row>
    <row r="410">
      <c r="A410" s="82"/>
      <c r="B410" s="76"/>
      <c r="C410" s="82"/>
      <c r="D410" s="195"/>
      <c r="E410" s="76"/>
      <c r="F410" s="76"/>
      <c r="G410" s="82"/>
      <c r="H410" s="287"/>
      <c r="I410" s="82"/>
      <c r="J410" s="82"/>
    </row>
    <row r="411">
      <c r="A411" s="82"/>
      <c r="B411" s="76"/>
      <c r="C411" s="82"/>
      <c r="D411" s="195"/>
      <c r="E411" s="76"/>
      <c r="F411" s="76"/>
      <c r="G411" s="82"/>
      <c r="H411" s="287"/>
      <c r="I411" s="82"/>
      <c r="J411" s="82"/>
    </row>
    <row r="412">
      <c r="A412" s="82"/>
      <c r="B412" s="76"/>
      <c r="C412" s="82"/>
      <c r="D412" s="195"/>
      <c r="E412" s="76"/>
      <c r="F412" s="76"/>
      <c r="G412" s="82"/>
      <c r="H412" s="287"/>
      <c r="I412" s="82"/>
      <c r="J412" s="82"/>
    </row>
    <row r="413">
      <c r="A413" s="82"/>
      <c r="B413" s="76"/>
      <c r="C413" s="82"/>
      <c r="D413" s="195"/>
      <c r="E413" s="76"/>
      <c r="F413" s="76"/>
      <c r="G413" s="82"/>
      <c r="H413" s="287"/>
      <c r="I413" s="82"/>
      <c r="J413" s="82"/>
    </row>
    <row r="414">
      <c r="A414" s="82"/>
      <c r="B414" s="76"/>
      <c r="C414" s="82"/>
      <c r="D414" s="195"/>
      <c r="E414" s="76"/>
      <c r="F414" s="76"/>
      <c r="G414" s="82"/>
      <c r="H414" s="287"/>
      <c r="I414" s="82"/>
      <c r="J414" s="82"/>
    </row>
    <row r="415">
      <c r="A415" s="82"/>
      <c r="B415" s="76"/>
      <c r="C415" s="82"/>
      <c r="D415" s="195"/>
      <c r="E415" s="76"/>
      <c r="F415" s="76"/>
      <c r="G415" s="82"/>
      <c r="H415" s="287"/>
      <c r="I415" s="82"/>
      <c r="J415" s="82"/>
    </row>
    <row r="416">
      <c r="A416" s="82"/>
      <c r="B416" s="76"/>
      <c r="C416" s="82"/>
      <c r="D416" s="195"/>
      <c r="E416" s="76"/>
      <c r="F416" s="76"/>
      <c r="G416" s="82"/>
      <c r="H416" s="287"/>
      <c r="I416" s="82"/>
      <c r="J416" s="82"/>
    </row>
    <row r="417">
      <c r="A417" s="82"/>
      <c r="B417" s="76"/>
      <c r="C417" s="82"/>
      <c r="D417" s="195"/>
      <c r="E417" s="76"/>
      <c r="F417" s="76"/>
      <c r="G417" s="82"/>
      <c r="H417" s="287"/>
      <c r="I417" s="82"/>
      <c r="J417" s="82"/>
    </row>
    <row r="418">
      <c r="A418" s="82"/>
      <c r="B418" s="76"/>
      <c r="C418" s="82"/>
      <c r="D418" s="195"/>
      <c r="E418" s="76"/>
      <c r="F418" s="76"/>
      <c r="G418" s="82"/>
      <c r="H418" s="287"/>
      <c r="I418" s="82"/>
      <c r="J418" s="82"/>
    </row>
    <row r="419">
      <c r="A419" s="82"/>
      <c r="B419" s="76"/>
      <c r="C419" s="82"/>
      <c r="D419" s="195"/>
      <c r="E419" s="76"/>
      <c r="F419" s="76"/>
      <c r="G419" s="82"/>
      <c r="H419" s="287"/>
      <c r="I419" s="82"/>
      <c r="J419" s="82"/>
    </row>
    <row r="420">
      <c r="A420" s="82"/>
      <c r="B420" s="76"/>
      <c r="C420" s="82"/>
      <c r="D420" s="195"/>
      <c r="E420" s="76"/>
      <c r="F420" s="76"/>
      <c r="G420" s="82"/>
      <c r="H420" s="287"/>
      <c r="I420" s="82"/>
      <c r="J420" s="82"/>
    </row>
    <row r="421">
      <c r="A421" s="82"/>
      <c r="B421" s="76"/>
      <c r="C421" s="82"/>
      <c r="D421" s="195"/>
      <c r="E421" s="76"/>
      <c r="F421" s="76"/>
      <c r="G421" s="82"/>
      <c r="H421" s="287"/>
      <c r="I421" s="82"/>
      <c r="J421" s="82"/>
    </row>
    <row r="422">
      <c r="A422" s="82"/>
      <c r="B422" s="76"/>
      <c r="C422" s="82"/>
      <c r="D422" s="195"/>
      <c r="E422" s="76"/>
      <c r="F422" s="76"/>
      <c r="G422" s="82"/>
      <c r="H422" s="287"/>
      <c r="I422" s="82"/>
      <c r="J422" s="82"/>
    </row>
    <row r="423">
      <c r="A423" s="82"/>
      <c r="B423" s="76"/>
      <c r="C423" s="82"/>
      <c r="D423" s="195"/>
      <c r="E423" s="76"/>
      <c r="F423" s="76"/>
      <c r="G423" s="82"/>
      <c r="H423" s="287"/>
      <c r="I423" s="82"/>
      <c r="J423" s="82"/>
    </row>
    <row r="424">
      <c r="A424" s="82"/>
      <c r="B424" s="76"/>
      <c r="C424" s="82"/>
      <c r="D424" s="195"/>
      <c r="E424" s="76"/>
      <c r="F424" s="76"/>
      <c r="G424" s="82"/>
      <c r="H424" s="287"/>
      <c r="I424" s="82"/>
      <c r="J424" s="82"/>
    </row>
    <row r="425">
      <c r="A425" s="82"/>
      <c r="B425" s="76"/>
      <c r="C425" s="82"/>
      <c r="D425" s="195"/>
      <c r="E425" s="76"/>
      <c r="F425" s="76"/>
      <c r="G425" s="82"/>
      <c r="H425" s="287"/>
      <c r="I425" s="82"/>
      <c r="J425" s="82"/>
    </row>
    <row r="426">
      <c r="A426" s="82"/>
      <c r="B426" s="76"/>
      <c r="C426" s="82"/>
      <c r="D426" s="195"/>
      <c r="E426" s="76"/>
      <c r="F426" s="76"/>
      <c r="G426" s="82"/>
      <c r="H426" s="287"/>
      <c r="I426" s="82"/>
      <c r="J426" s="82"/>
    </row>
    <row r="427">
      <c r="A427" s="82"/>
      <c r="B427" s="76"/>
      <c r="C427" s="82"/>
      <c r="D427" s="195"/>
      <c r="E427" s="76"/>
      <c r="F427" s="76"/>
      <c r="G427" s="82"/>
      <c r="H427" s="287"/>
      <c r="I427" s="82"/>
      <c r="J427" s="82"/>
    </row>
    <row r="428">
      <c r="A428" s="82"/>
      <c r="B428" s="76"/>
      <c r="C428" s="82"/>
      <c r="D428" s="195"/>
      <c r="E428" s="76"/>
      <c r="F428" s="76"/>
      <c r="G428" s="82"/>
      <c r="H428" s="287"/>
      <c r="I428" s="82"/>
      <c r="J428" s="82"/>
    </row>
    <row r="429">
      <c r="A429" s="82"/>
      <c r="B429" s="76"/>
      <c r="C429" s="82"/>
      <c r="D429" s="195"/>
      <c r="E429" s="76"/>
      <c r="F429" s="76"/>
      <c r="G429" s="82"/>
      <c r="H429" s="287"/>
      <c r="I429" s="82"/>
      <c r="J429" s="82"/>
    </row>
    <row r="430">
      <c r="A430" s="82"/>
      <c r="B430" s="76"/>
      <c r="C430" s="82"/>
      <c r="D430" s="195"/>
      <c r="E430" s="76"/>
      <c r="F430" s="76"/>
      <c r="G430" s="82"/>
      <c r="H430" s="287"/>
      <c r="I430" s="82"/>
      <c r="J430" s="82"/>
    </row>
    <row r="431">
      <c r="A431" s="82"/>
      <c r="B431" s="76"/>
      <c r="C431" s="82"/>
      <c r="D431" s="195"/>
      <c r="E431" s="76"/>
      <c r="F431" s="76"/>
      <c r="G431" s="82"/>
      <c r="H431" s="287"/>
      <c r="I431" s="82"/>
      <c r="J431" s="82"/>
    </row>
    <row r="432">
      <c r="A432" s="82"/>
      <c r="B432" s="76"/>
      <c r="C432" s="82"/>
      <c r="D432" s="195"/>
      <c r="E432" s="76"/>
      <c r="F432" s="76"/>
      <c r="G432" s="82"/>
      <c r="H432" s="287"/>
      <c r="I432" s="82"/>
      <c r="J432" s="82"/>
    </row>
    <row r="433">
      <c r="A433" s="82"/>
      <c r="B433" s="76"/>
      <c r="C433" s="82"/>
      <c r="D433" s="195"/>
      <c r="E433" s="76"/>
      <c r="F433" s="76"/>
      <c r="G433" s="82"/>
      <c r="H433" s="287"/>
      <c r="I433" s="82"/>
      <c r="J433" s="82"/>
    </row>
    <row r="434">
      <c r="A434" s="82"/>
      <c r="B434" s="76"/>
      <c r="C434" s="82"/>
      <c r="D434" s="195"/>
      <c r="E434" s="76"/>
      <c r="F434" s="76"/>
      <c r="G434" s="82"/>
      <c r="H434" s="287"/>
      <c r="I434" s="82"/>
      <c r="J434" s="82"/>
    </row>
    <row r="435">
      <c r="A435" s="82"/>
      <c r="B435" s="76"/>
      <c r="C435" s="82"/>
      <c r="D435" s="195"/>
      <c r="E435" s="76"/>
      <c r="F435" s="76"/>
      <c r="G435" s="82"/>
      <c r="H435" s="287"/>
      <c r="I435" s="82"/>
      <c r="J435" s="82"/>
    </row>
    <row r="436">
      <c r="A436" s="82"/>
      <c r="B436" s="76"/>
      <c r="C436" s="82"/>
      <c r="D436" s="195"/>
      <c r="E436" s="76"/>
      <c r="F436" s="76"/>
      <c r="G436" s="82"/>
      <c r="H436" s="287"/>
      <c r="I436" s="82"/>
      <c r="J436" s="82"/>
    </row>
    <row r="437">
      <c r="A437" s="82"/>
      <c r="B437" s="76"/>
      <c r="C437" s="82"/>
      <c r="D437" s="195"/>
      <c r="E437" s="76"/>
      <c r="F437" s="76"/>
      <c r="G437" s="82"/>
      <c r="H437" s="287"/>
      <c r="I437" s="82"/>
      <c r="J437" s="82"/>
    </row>
    <row r="438">
      <c r="A438" s="82"/>
      <c r="B438" s="76"/>
      <c r="C438" s="82"/>
      <c r="D438" s="195"/>
      <c r="E438" s="76"/>
      <c r="F438" s="76"/>
      <c r="G438" s="82"/>
      <c r="H438" s="287"/>
      <c r="I438" s="82"/>
      <c r="J438" s="82"/>
    </row>
    <row r="439">
      <c r="A439" s="82"/>
      <c r="B439" s="76"/>
      <c r="C439" s="82"/>
      <c r="D439" s="195"/>
      <c r="E439" s="76"/>
      <c r="F439" s="76"/>
      <c r="G439" s="82"/>
      <c r="H439" s="287"/>
      <c r="I439" s="82"/>
      <c r="J439" s="82"/>
    </row>
    <row r="440">
      <c r="A440" s="82"/>
      <c r="B440" s="76"/>
      <c r="C440" s="82"/>
      <c r="D440" s="195"/>
      <c r="E440" s="76"/>
      <c r="F440" s="76"/>
      <c r="G440" s="82"/>
      <c r="H440" s="287"/>
      <c r="I440" s="82"/>
      <c r="J440" s="82"/>
    </row>
    <row r="441">
      <c r="A441" s="82"/>
      <c r="B441" s="76"/>
      <c r="C441" s="82"/>
      <c r="D441" s="195"/>
      <c r="E441" s="76"/>
      <c r="F441" s="76"/>
      <c r="G441" s="82"/>
      <c r="H441" s="287"/>
      <c r="I441" s="82"/>
      <c r="J441" s="82"/>
    </row>
    <row r="442">
      <c r="A442" s="82"/>
      <c r="B442" s="76"/>
      <c r="C442" s="82"/>
      <c r="D442" s="195"/>
      <c r="E442" s="76"/>
      <c r="F442" s="76"/>
      <c r="G442" s="82"/>
      <c r="H442" s="287"/>
      <c r="I442" s="82"/>
      <c r="J442" s="82"/>
    </row>
    <row r="443">
      <c r="A443" s="82"/>
      <c r="B443" s="76"/>
      <c r="C443" s="82"/>
      <c r="D443" s="195"/>
      <c r="E443" s="76"/>
      <c r="F443" s="76"/>
      <c r="G443" s="82"/>
      <c r="H443" s="287"/>
      <c r="I443" s="82"/>
      <c r="J443" s="82"/>
    </row>
    <row r="444">
      <c r="A444" s="82"/>
      <c r="B444" s="76"/>
      <c r="C444" s="82"/>
      <c r="D444" s="195"/>
      <c r="E444" s="76"/>
      <c r="F444" s="76"/>
      <c r="G444" s="82"/>
      <c r="H444" s="287"/>
      <c r="I444" s="82"/>
      <c r="J444" s="82"/>
    </row>
    <row r="445">
      <c r="A445" s="82"/>
      <c r="B445" s="76"/>
      <c r="C445" s="82"/>
      <c r="D445" s="195"/>
      <c r="E445" s="76"/>
      <c r="F445" s="76"/>
      <c r="G445" s="82"/>
      <c r="H445" s="287"/>
      <c r="I445" s="82"/>
      <c r="J445" s="82"/>
    </row>
    <row r="446">
      <c r="A446" s="82"/>
      <c r="B446" s="76"/>
      <c r="C446" s="82"/>
      <c r="D446" s="195"/>
      <c r="E446" s="76"/>
      <c r="F446" s="76"/>
      <c r="G446" s="82"/>
      <c r="H446" s="287"/>
      <c r="I446" s="82"/>
      <c r="J446" s="82"/>
    </row>
    <row r="447">
      <c r="A447" s="82"/>
      <c r="B447" s="76"/>
      <c r="C447" s="82"/>
      <c r="D447" s="195"/>
      <c r="E447" s="76"/>
      <c r="F447" s="76"/>
      <c r="G447" s="82"/>
      <c r="H447" s="287"/>
      <c r="I447" s="82"/>
      <c r="J447" s="82"/>
    </row>
    <row r="448">
      <c r="A448" s="82"/>
      <c r="B448" s="76"/>
      <c r="C448" s="82"/>
      <c r="D448" s="195"/>
      <c r="E448" s="76"/>
      <c r="F448" s="76"/>
      <c r="G448" s="82"/>
      <c r="H448" s="287"/>
      <c r="I448" s="82"/>
      <c r="J448" s="82"/>
    </row>
    <row r="449">
      <c r="A449" s="82"/>
      <c r="B449" s="76"/>
      <c r="C449" s="82"/>
      <c r="D449" s="195"/>
      <c r="E449" s="76"/>
      <c r="F449" s="76"/>
      <c r="G449" s="82"/>
      <c r="H449" s="287"/>
      <c r="I449" s="82"/>
      <c r="J449" s="82"/>
    </row>
    <row r="450">
      <c r="A450" s="82"/>
      <c r="B450" s="76"/>
      <c r="C450" s="82"/>
      <c r="D450" s="195"/>
      <c r="E450" s="76"/>
      <c r="F450" s="76"/>
      <c r="G450" s="82"/>
      <c r="H450" s="287"/>
      <c r="I450" s="82"/>
      <c r="J450" s="82"/>
    </row>
    <row r="451">
      <c r="A451" s="82"/>
      <c r="B451" s="76"/>
      <c r="C451" s="82"/>
      <c r="D451" s="195"/>
      <c r="E451" s="76"/>
      <c r="F451" s="76"/>
      <c r="G451" s="82"/>
      <c r="H451" s="287"/>
      <c r="I451" s="82"/>
      <c r="J451" s="82"/>
    </row>
    <row r="452">
      <c r="A452" s="82"/>
      <c r="B452" s="76"/>
      <c r="C452" s="82"/>
      <c r="D452" s="195"/>
      <c r="E452" s="76"/>
      <c r="F452" s="76"/>
      <c r="G452" s="82"/>
      <c r="H452" s="287"/>
      <c r="I452" s="82"/>
      <c r="J452" s="82"/>
    </row>
    <row r="453">
      <c r="A453" s="82"/>
      <c r="B453" s="76"/>
      <c r="C453" s="82"/>
      <c r="D453" s="195"/>
      <c r="E453" s="76"/>
      <c r="F453" s="76"/>
      <c r="G453" s="82"/>
      <c r="H453" s="287"/>
      <c r="I453" s="82"/>
      <c r="J453" s="82"/>
    </row>
    <row r="454">
      <c r="A454" s="82"/>
      <c r="B454" s="76"/>
      <c r="C454" s="82"/>
      <c r="D454" s="195"/>
      <c r="E454" s="76"/>
      <c r="F454" s="76"/>
      <c r="G454" s="82"/>
      <c r="H454" s="287"/>
      <c r="I454" s="82"/>
      <c r="J454" s="82"/>
    </row>
    <row r="455">
      <c r="A455" s="82"/>
      <c r="B455" s="76"/>
      <c r="C455" s="82"/>
      <c r="D455" s="195"/>
      <c r="E455" s="76"/>
      <c r="F455" s="76"/>
      <c r="G455" s="82"/>
      <c r="H455" s="287"/>
      <c r="I455" s="82"/>
      <c r="J455" s="82"/>
    </row>
    <row r="456">
      <c r="A456" s="82"/>
      <c r="B456" s="76"/>
      <c r="C456" s="82"/>
      <c r="D456" s="195"/>
      <c r="E456" s="76"/>
      <c r="F456" s="76"/>
      <c r="G456" s="82"/>
      <c r="H456" s="287"/>
      <c r="I456" s="82"/>
      <c r="J456" s="82"/>
    </row>
    <row r="457">
      <c r="A457" s="82"/>
      <c r="B457" s="76"/>
      <c r="C457" s="82"/>
      <c r="D457" s="195"/>
      <c r="E457" s="76"/>
      <c r="F457" s="76"/>
      <c r="G457" s="82"/>
      <c r="H457" s="287"/>
      <c r="I457" s="82"/>
      <c r="J457" s="82"/>
    </row>
    <row r="458">
      <c r="A458" s="82"/>
      <c r="B458" s="76"/>
      <c r="C458" s="82"/>
      <c r="D458" s="195"/>
      <c r="E458" s="76"/>
      <c r="F458" s="76"/>
      <c r="G458" s="82"/>
      <c r="H458" s="287"/>
      <c r="I458" s="82"/>
      <c r="J458" s="82"/>
    </row>
    <row r="459">
      <c r="A459" s="82"/>
      <c r="B459" s="76"/>
      <c r="C459" s="82"/>
      <c r="D459" s="195"/>
      <c r="E459" s="76"/>
      <c r="F459" s="76"/>
      <c r="G459" s="82"/>
      <c r="H459" s="287"/>
      <c r="I459" s="82"/>
      <c r="J459" s="82"/>
    </row>
    <row r="460">
      <c r="A460" s="82"/>
      <c r="B460" s="76"/>
      <c r="C460" s="82"/>
      <c r="D460" s="195"/>
      <c r="E460" s="76"/>
      <c r="F460" s="76"/>
      <c r="G460" s="82"/>
      <c r="H460" s="287"/>
      <c r="I460" s="82"/>
      <c r="J460" s="82"/>
    </row>
    <row r="461">
      <c r="A461" s="82"/>
      <c r="B461" s="76"/>
      <c r="C461" s="82"/>
      <c r="D461" s="195"/>
      <c r="E461" s="76"/>
      <c r="F461" s="76"/>
      <c r="G461" s="82"/>
      <c r="H461" s="287"/>
      <c r="I461" s="82"/>
      <c r="J461" s="82"/>
    </row>
    <row r="462">
      <c r="A462" s="82"/>
      <c r="B462" s="76"/>
      <c r="C462" s="82"/>
      <c r="D462" s="195"/>
      <c r="E462" s="76"/>
      <c r="F462" s="76"/>
      <c r="G462" s="82"/>
      <c r="H462" s="287"/>
      <c r="I462" s="82"/>
      <c r="J462" s="82"/>
    </row>
    <row r="463">
      <c r="A463" s="82"/>
      <c r="B463" s="76"/>
      <c r="C463" s="82"/>
      <c r="D463" s="195"/>
      <c r="E463" s="76"/>
      <c r="F463" s="76"/>
      <c r="G463" s="82"/>
      <c r="H463" s="287"/>
      <c r="I463" s="82"/>
      <c r="J463" s="82"/>
    </row>
    <row r="464">
      <c r="A464" s="82"/>
      <c r="B464" s="76"/>
      <c r="C464" s="82"/>
      <c r="D464" s="195"/>
      <c r="E464" s="76"/>
      <c r="F464" s="76"/>
      <c r="G464" s="82"/>
      <c r="H464" s="287"/>
      <c r="I464" s="82"/>
      <c r="J464" s="82"/>
    </row>
    <row r="465">
      <c r="A465" s="82"/>
      <c r="B465" s="76"/>
      <c r="C465" s="82"/>
      <c r="D465" s="195"/>
      <c r="E465" s="76"/>
      <c r="F465" s="76"/>
      <c r="G465" s="82"/>
      <c r="H465" s="287"/>
      <c r="I465" s="82"/>
      <c r="J465" s="82"/>
    </row>
    <row r="466">
      <c r="A466" s="82"/>
      <c r="B466" s="76"/>
      <c r="C466" s="82"/>
      <c r="D466" s="195"/>
      <c r="E466" s="76"/>
      <c r="F466" s="76"/>
      <c r="G466" s="82"/>
      <c r="H466" s="287"/>
      <c r="I466" s="82"/>
      <c r="J466" s="82"/>
    </row>
    <row r="467">
      <c r="A467" s="82"/>
      <c r="B467" s="76"/>
      <c r="C467" s="82"/>
      <c r="D467" s="195"/>
      <c r="E467" s="76"/>
      <c r="F467" s="76"/>
      <c r="G467" s="82"/>
      <c r="H467" s="287"/>
      <c r="I467" s="82"/>
      <c r="J467" s="82"/>
    </row>
    <row r="468">
      <c r="A468" s="82"/>
      <c r="B468" s="76"/>
      <c r="C468" s="82"/>
      <c r="D468" s="195"/>
      <c r="E468" s="76"/>
      <c r="F468" s="76"/>
      <c r="G468" s="82"/>
      <c r="H468" s="287"/>
      <c r="I468" s="82"/>
      <c r="J468" s="82"/>
    </row>
    <row r="469">
      <c r="A469" s="82"/>
      <c r="B469" s="76"/>
      <c r="C469" s="82"/>
      <c r="D469" s="195"/>
      <c r="E469" s="76"/>
      <c r="F469" s="76"/>
      <c r="G469" s="82"/>
      <c r="H469" s="287"/>
      <c r="I469" s="82"/>
      <c r="J469" s="82"/>
    </row>
    <row r="470">
      <c r="A470" s="82"/>
      <c r="B470" s="76"/>
      <c r="C470" s="82"/>
      <c r="D470" s="195"/>
      <c r="E470" s="76"/>
      <c r="F470" s="76"/>
      <c r="G470" s="82"/>
      <c r="H470" s="287"/>
      <c r="I470" s="82"/>
      <c r="J470" s="82"/>
    </row>
    <row r="471">
      <c r="A471" s="82"/>
      <c r="B471" s="76"/>
      <c r="C471" s="82"/>
      <c r="D471" s="195"/>
      <c r="E471" s="76"/>
      <c r="F471" s="76"/>
      <c r="G471" s="82"/>
      <c r="H471" s="287"/>
      <c r="I471" s="82"/>
      <c r="J471" s="82"/>
    </row>
    <row r="472">
      <c r="A472" s="82"/>
      <c r="B472" s="76"/>
      <c r="C472" s="82"/>
      <c r="D472" s="195"/>
      <c r="E472" s="76"/>
      <c r="F472" s="76"/>
      <c r="G472" s="82"/>
      <c r="H472" s="287"/>
      <c r="I472" s="82"/>
      <c r="J472" s="82"/>
    </row>
    <row r="473">
      <c r="A473" s="82"/>
      <c r="B473" s="76"/>
      <c r="C473" s="82"/>
      <c r="D473" s="195"/>
      <c r="E473" s="76"/>
      <c r="F473" s="76"/>
      <c r="G473" s="82"/>
      <c r="H473" s="287"/>
      <c r="I473" s="82"/>
      <c r="J473" s="82"/>
    </row>
    <row r="474">
      <c r="A474" s="82"/>
      <c r="B474" s="76"/>
      <c r="C474" s="82"/>
      <c r="D474" s="195"/>
      <c r="E474" s="76"/>
      <c r="F474" s="76"/>
      <c r="G474" s="82"/>
      <c r="H474" s="287"/>
      <c r="I474" s="82"/>
      <c r="J474" s="82"/>
    </row>
    <row r="475">
      <c r="A475" s="82"/>
      <c r="B475" s="76"/>
      <c r="C475" s="82"/>
      <c r="D475" s="195"/>
      <c r="E475" s="76"/>
      <c r="F475" s="76"/>
      <c r="G475" s="82"/>
      <c r="H475" s="287"/>
      <c r="I475" s="82"/>
      <c r="J475" s="82"/>
    </row>
    <row r="476">
      <c r="A476" s="82"/>
      <c r="B476" s="76"/>
      <c r="C476" s="82"/>
      <c r="D476" s="195"/>
      <c r="E476" s="76"/>
      <c r="F476" s="76"/>
      <c r="G476" s="82"/>
      <c r="H476" s="287"/>
      <c r="I476" s="82"/>
      <c r="J476" s="82"/>
    </row>
    <row r="477">
      <c r="A477" s="82"/>
      <c r="B477" s="76"/>
      <c r="C477" s="82"/>
      <c r="D477" s="195"/>
      <c r="E477" s="76"/>
      <c r="F477" s="76"/>
      <c r="G477" s="82"/>
      <c r="H477" s="287"/>
      <c r="I477" s="82"/>
      <c r="J477" s="82"/>
    </row>
    <row r="478">
      <c r="A478" s="82"/>
      <c r="B478" s="76"/>
      <c r="C478" s="82"/>
      <c r="D478" s="195"/>
      <c r="E478" s="76"/>
      <c r="F478" s="76"/>
      <c r="G478" s="82"/>
      <c r="H478" s="287"/>
      <c r="I478" s="82"/>
      <c r="J478" s="82"/>
    </row>
    <row r="479">
      <c r="A479" s="82"/>
      <c r="B479" s="76"/>
      <c r="C479" s="82"/>
      <c r="D479" s="195"/>
      <c r="E479" s="76"/>
      <c r="F479" s="76"/>
      <c r="G479" s="82"/>
      <c r="H479" s="287"/>
      <c r="I479" s="82"/>
      <c r="J479" s="82"/>
    </row>
    <row r="480">
      <c r="A480" s="82"/>
      <c r="B480" s="76"/>
      <c r="C480" s="82"/>
      <c r="D480" s="195"/>
      <c r="E480" s="76"/>
      <c r="F480" s="76"/>
      <c r="G480" s="82"/>
      <c r="H480" s="287"/>
      <c r="I480" s="82"/>
      <c r="J480" s="82"/>
    </row>
    <row r="481">
      <c r="A481" s="82"/>
      <c r="B481" s="76"/>
      <c r="C481" s="82"/>
      <c r="D481" s="195"/>
      <c r="E481" s="76"/>
      <c r="F481" s="76"/>
      <c r="G481" s="82"/>
      <c r="H481" s="287"/>
      <c r="I481" s="82"/>
      <c r="J481" s="82"/>
    </row>
    <row r="482">
      <c r="A482" s="82"/>
      <c r="B482" s="76"/>
      <c r="C482" s="82"/>
      <c r="D482" s="195"/>
      <c r="E482" s="76"/>
      <c r="F482" s="76"/>
      <c r="G482" s="82"/>
      <c r="H482" s="287"/>
      <c r="I482" s="82"/>
      <c r="J482" s="82"/>
    </row>
    <row r="483">
      <c r="A483" s="82"/>
      <c r="B483" s="76"/>
      <c r="C483" s="82"/>
      <c r="D483" s="195"/>
      <c r="E483" s="76"/>
      <c r="F483" s="76"/>
      <c r="G483" s="82"/>
      <c r="H483" s="287"/>
      <c r="I483" s="82"/>
      <c r="J483" s="82"/>
    </row>
    <row r="484">
      <c r="A484" s="82"/>
      <c r="B484" s="76"/>
      <c r="C484" s="82"/>
      <c r="D484" s="195"/>
      <c r="E484" s="76"/>
      <c r="F484" s="76"/>
      <c r="G484" s="82"/>
      <c r="H484" s="287"/>
      <c r="I484" s="82"/>
      <c r="J484" s="82"/>
    </row>
    <row r="485">
      <c r="A485" s="82"/>
      <c r="B485" s="76"/>
      <c r="C485" s="82"/>
      <c r="D485" s="195"/>
      <c r="E485" s="76"/>
      <c r="F485" s="76"/>
      <c r="G485" s="82"/>
      <c r="H485" s="287"/>
      <c r="I485" s="82"/>
      <c r="J485" s="82"/>
    </row>
    <row r="486">
      <c r="A486" s="82"/>
      <c r="B486" s="76"/>
      <c r="C486" s="82"/>
      <c r="D486" s="195"/>
      <c r="E486" s="76"/>
      <c r="F486" s="76"/>
      <c r="G486" s="82"/>
      <c r="H486" s="287"/>
      <c r="I486" s="82"/>
      <c r="J486" s="82"/>
    </row>
    <row r="487">
      <c r="A487" s="82"/>
      <c r="B487" s="76"/>
      <c r="C487" s="82"/>
      <c r="D487" s="195"/>
      <c r="E487" s="76"/>
      <c r="F487" s="76"/>
      <c r="G487" s="82"/>
      <c r="H487" s="287"/>
      <c r="I487" s="82"/>
      <c r="J487" s="82"/>
    </row>
    <row r="488">
      <c r="A488" s="82"/>
      <c r="B488" s="76"/>
      <c r="C488" s="82"/>
      <c r="D488" s="195"/>
      <c r="E488" s="76"/>
      <c r="F488" s="76"/>
      <c r="G488" s="82"/>
      <c r="H488" s="287"/>
      <c r="I488" s="82"/>
      <c r="J488" s="82"/>
    </row>
    <row r="489">
      <c r="A489" s="82"/>
      <c r="B489" s="76"/>
      <c r="C489" s="82"/>
      <c r="D489" s="195"/>
      <c r="E489" s="76"/>
      <c r="F489" s="76"/>
      <c r="G489" s="82"/>
      <c r="H489" s="287"/>
      <c r="I489" s="82"/>
      <c r="J489" s="82"/>
    </row>
    <row r="490">
      <c r="A490" s="82"/>
      <c r="B490" s="76"/>
      <c r="C490" s="82"/>
      <c r="D490" s="195"/>
      <c r="E490" s="76"/>
      <c r="F490" s="76"/>
      <c r="G490" s="82"/>
      <c r="H490" s="287"/>
      <c r="I490" s="82"/>
      <c r="J490" s="82"/>
    </row>
    <row r="491">
      <c r="A491" s="82"/>
      <c r="B491" s="76"/>
      <c r="C491" s="82"/>
      <c r="D491" s="195"/>
      <c r="E491" s="76"/>
      <c r="F491" s="76"/>
      <c r="G491" s="82"/>
      <c r="H491" s="287"/>
      <c r="I491" s="82"/>
      <c r="J491" s="82"/>
    </row>
    <row r="492">
      <c r="A492" s="82"/>
      <c r="B492" s="76"/>
      <c r="C492" s="82"/>
      <c r="D492" s="195"/>
      <c r="E492" s="76"/>
      <c r="F492" s="76"/>
      <c r="G492" s="82"/>
      <c r="H492" s="287"/>
      <c r="I492" s="82"/>
      <c r="J492" s="82"/>
    </row>
    <row r="493">
      <c r="A493" s="82"/>
      <c r="B493" s="76"/>
      <c r="C493" s="82"/>
      <c r="D493" s="195"/>
      <c r="E493" s="76"/>
      <c r="F493" s="76"/>
      <c r="G493" s="82"/>
      <c r="H493" s="287"/>
      <c r="I493" s="82"/>
      <c r="J493" s="82"/>
    </row>
    <row r="494">
      <c r="A494" s="82"/>
      <c r="B494" s="76"/>
      <c r="C494" s="82"/>
      <c r="D494" s="195"/>
      <c r="E494" s="76"/>
      <c r="F494" s="76"/>
      <c r="G494" s="82"/>
      <c r="H494" s="287"/>
      <c r="I494" s="82"/>
      <c r="J494" s="82"/>
    </row>
    <row r="495">
      <c r="A495" s="82"/>
      <c r="B495" s="76"/>
      <c r="C495" s="82"/>
      <c r="D495" s="195"/>
      <c r="E495" s="76"/>
      <c r="F495" s="76"/>
      <c r="G495" s="82"/>
      <c r="H495" s="287"/>
      <c r="I495" s="82"/>
      <c r="J495" s="82"/>
    </row>
    <row r="496">
      <c r="A496" s="82"/>
      <c r="B496" s="76"/>
      <c r="C496" s="82"/>
      <c r="D496" s="195"/>
      <c r="E496" s="76"/>
      <c r="F496" s="76"/>
      <c r="G496" s="82"/>
      <c r="H496" s="287"/>
      <c r="I496" s="82"/>
      <c r="J496" s="82"/>
    </row>
    <row r="497">
      <c r="A497" s="82"/>
      <c r="B497" s="76"/>
      <c r="C497" s="82"/>
      <c r="D497" s="195"/>
      <c r="E497" s="76"/>
      <c r="F497" s="76"/>
      <c r="G497" s="82"/>
      <c r="H497" s="287"/>
      <c r="I497" s="82"/>
      <c r="J497" s="82"/>
    </row>
    <row r="498">
      <c r="A498" s="82"/>
      <c r="B498" s="76"/>
      <c r="C498" s="82"/>
      <c r="D498" s="195"/>
      <c r="E498" s="76"/>
      <c r="F498" s="76"/>
      <c r="G498" s="82"/>
      <c r="H498" s="287"/>
      <c r="I498" s="82"/>
      <c r="J498" s="82"/>
    </row>
    <row r="499">
      <c r="A499" s="82"/>
      <c r="B499" s="76"/>
      <c r="C499" s="82"/>
      <c r="D499" s="195"/>
      <c r="E499" s="76"/>
      <c r="F499" s="76"/>
      <c r="G499" s="82"/>
      <c r="H499" s="287"/>
      <c r="I499" s="82"/>
      <c r="J499" s="82"/>
    </row>
    <row r="500">
      <c r="A500" s="82"/>
      <c r="B500" s="76"/>
      <c r="C500" s="82"/>
      <c r="D500" s="195"/>
      <c r="E500" s="76"/>
      <c r="F500" s="76"/>
      <c r="G500" s="82"/>
      <c r="H500" s="287"/>
      <c r="I500" s="82"/>
      <c r="J500" s="82"/>
    </row>
    <row r="501">
      <c r="A501" s="82"/>
      <c r="B501" s="76"/>
      <c r="C501" s="82"/>
      <c r="D501" s="195"/>
      <c r="E501" s="76"/>
      <c r="F501" s="76"/>
      <c r="G501" s="82"/>
      <c r="H501" s="287"/>
      <c r="I501" s="82"/>
      <c r="J501" s="82"/>
    </row>
    <row r="502">
      <c r="A502" s="82"/>
      <c r="B502" s="76"/>
      <c r="C502" s="82"/>
      <c r="D502" s="195"/>
      <c r="E502" s="76"/>
      <c r="F502" s="76"/>
      <c r="G502" s="82"/>
      <c r="H502" s="287"/>
      <c r="I502" s="82"/>
      <c r="J502" s="82"/>
    </row>
    <row r="503">
      <c r="A503" s="82"/>
      <c r="B503" s="76"/>
      <c r="C503" s="82"/>
      <c r="D503" s="195"/>
      <c r="E503" s="76"/>
      <c r="F503" s="76"/>
      <c r="G503" s="82"/>
      <c r="H503" s="287"/>
      <c r="I503" s="82"/>
      <c r="J503" s="82"/>
    </row>
    <row r="504">
      <c r="A504" s="82"/>
      <c r="B504" s="76"/>
      <c r="C504" s="82"/>
      <c r="D504" s="195"/>
      <c r="E504" s="76"/>
      <c r="F504" s="76"/>
      <c r="G504" s="82"/>
      <c r="H504" s="287"/>
      <c r="I504" s="82"/>
      <c r="J504" s="82"/>
    </row>
    <row r="505">
      <c r="A505" s="82"/>
      <c r="B505" s="76"/>
      <c r="C505" s="82"/>
      <c r="D505" s="195"/>
      <c r="E505" s="76"/>
      <c r="F505" s="76"/>
      <c r="G505" s="82"/>
      <c r="H505" s="287"/>
      <c r="I505" s="82"/>
      <c r="J505" s="82"/>
    </row>
    <row r="506">
      <c r="A506" s="82"/>
      <c r="B506" s="76"/>
      <c r="C506" s="82"/>
      <c r="D506" s="195"/>
      <c r="E506" s="76"/>
      <c r="F506" s="76"/>
      <c r="G506" s="82"/>
      <c r="H506" s="287"/>
      <c r="I506" s="82"/>
      <c r="J506" s="82"/>
    </row>
    <row r="507">
      <c r="A507" s="82"/>
      <c r="B507" s="76"/>
      <c r="C507" s="82"/>
      <c r="D507" s="195"/>
      <c r="E507" s="76"/>
      <c r="F507" s="76"/>
      <c r="G507" s="82"/>
      <c r="H507" s="287"/>
      <c r="I507" s="82"/>
      <c r="J507" s="82"/>
    </row>
    <row r="508">
      <c r="A508" s="82"/>
      <c r="B508" s="76"/>
      <c r="C508" s="82"/>
      <c r="D508" s="195"/>
      <c r="E508" s="76"/>
      <c r="F508" s="76"/>
      <c r="G508" s="82"/>
      <c r="H508" s="287"/>
      <c r="I508" s="82"/>
      <c r="J508" s="82"/>
    </row>
    <row r="509">
      <c r="A509" s="82"/>
      <c r="B509" s="76"/>
      <c r="C509" s="82"/>
      <c r="D509" s="195"/>
      <c r="E509" s="76"/>
      <c r="F509" s="76"/>
      <c r="G509" s="82"/>
      <c r="H509" s="287"/>
      <c r="I509" s="82"/>
      <c r="J509" s="82"/>
    </row>
    <row r="510">
      <c r="A510" s="82"/>
      <c r="B510" s="76"/>
      <c r="C510" s="82"/>
      <c r="D510" s="195"/>
      <c r="E510" s="76"/>
      <c r="F510" s="76"/>
      <c r="G510" s="82"/>
      <c r="H510" s="287"/>
      <c r="I510" s="82"/>
      <c r="J510" s="82"/>
    </row>
    <row r="511">
      <c r="A511" s="82"/>
      <c r="B511" s="76"/>
      <c r="C511" s="82"/>
      <c r="D511" s="195"/>
      <c r="E511" s="76"/>
      <c r="F511" s="76"/>
      <c r="G511" s="82"/>
      <c r="H511" s="287"/>
      <c r="I511" s="82"/>
      <c r="J511" s="82"/>
    </row>
    <row r="512">
      <c r="A512" s="82"/>
      <c r="B512" s="76"/>
      <c r="C512" s="82"/>
      <c r="D512" s="195"/>
      <c r="E512" s="76"/>
      <c r="F512" s="76"/>
      <c r="G512" s="82"/>
      <c r="H512" s="287"/>
      <c r="I512" s="82"/>
      <c r="J512" s="82"/>
    </row>
    <row r="513">
      <c r="A513" s="82"/>
      <c r="B513" s="76"/>
      <c r="C513" s="82"/>
      <c r="D513" s="195"/>
      <c r="E513" s="76"/>
      <c r="F513" s="76"/>
      <c r="G513" s="82"/>
      <c r="H513" s="287"/>
      <c r="I513" s="82"/>
      <c r="J513" s="82"/>
    </row>
    <row r="514">
      <c r="A514" s="82"/>
      <c r="B514" s="76"/>
      <c r="C514" s="82"/>
      <c r="D514" s="195"/>
      <c r="E514" s="76"/>
      <c r="F514" s="76"/>
      <c r="G514" s="82"/>
      <c r="H514" s="287"/>
      <c r="I514" s="82"/>
      <c r="J514" s="82"/>
    </row>
    <row r="515">
      <c r="A515" s="82"/>
      <c r="B515" s="76"/>
      <c r="C515" s="82"/>
      <c r="D515" s="195"/>
      <c r="E515" s="76"/>
      <c r="F515" s="76"/>
      <c r="G515" s="82"/>
      <c r="H515" s="287"/>
      <c r="I515" s="82"/>
      <c r="J515" s="82"/>
    </row>
    <row r="516">
      <c r="A516" s="82"/>
      <c r="B516" s="76"/>
      <c r="C516" s="82"/>
      <c r="D516" s="195"/>
      <c r="E516" s="76"/>
      <c r="F516" s="76"/>
      <c r="G516" s="82"/>
      <c r="H516" s="287"/>
      <c r="I516" s="82"/>
      <c r="J516" s="82"/>
    </row>
    <row r="517">
      <c r="A517" s="82"/>
      <c r="B517" s="76"/>
      <c r="C517" s="82"/>
      <c r="D517" s="195"/>
      <c r="E517" s="76"/>
      <c r="F517" s="76"/>
      <c r="G517" s="82"/>
      <c r="H517" s="287"/>
      <c r="I517" s="82"/>
      <c r="J517" s="82"/>
    </row>
    <row r="518">
      <c r="A518" s="82"/>
      <c r="B518" s="76"/>
      <c r="C518" s="82"/>
      <c r="D518" s="195"/>
      <c r="E518" s="76"/>
      <c r="F518" s="76"/>
      <c r="G518" s="82"/>
      <c r="H518" s="287"/>
      <c r="I518" s="82"/>
      <c r="J518" s="82"/>
    </row>
    <row r="519">
      <c r="A519" s="82"/>
      <c r="B519" s="76"/>
      <c r="C519" s="82"/>
      <c r="D519" s="195"/>
      <c r="E519" s="76"/>
      <c r="F519" s="76"/>
      <c r="G519" s="82"/>
      <c r="H519" s="287"/>
      <c r="I519" s="82"/>
      <c r="J519" s="82"/>
    </row>
    <row r="520">
      <c r="A520" s="82"/>
      <c r="B520" s="76"/>
      <c r="C520" s="82"/>
      <c r="D520" s="195"/>
      <c r="E520" s="76"/>
      <c r="F520" s="76"/>
      <c r="G520" s="82"/>
      <c r="H520" s="287"/>
      <c r="I520" s="82"/>
      <c r="J520" s="82"/>
    </row>
    <row r="521">
      <c r="A521" s="82"/>
      <c r="B521" s="76"/>
      <c r="C521" s="82"/>
      <c r="D521" s="195"/>
      <c r="E521" s="76"/>
      <c r="F521" s="76"/>
      <c r="G521" s="82"/>
      <c r="H521" s="287"/>
      <c r="I521" s="82"/>
      <c r="J521" s="82"/>
    </row>
    <row r="522">
      <c r="A522" s="82"/>
      <c r="B522" s="76"/>
      <c r="C522" s="82"/>
      <c r="D522" s="195"/>
      <c r="E522" s="76"/>
      <c r="F522" s="76"/>
      <c r="G522" s="82"/>
      <c r="H522" s="287"/>
      <c r="I522" s="82"/>
      <c r="J522" s="82"/>
    </row>
    <row r="523">
      <c r="A523" s="82"/>
      <c r="B523" s="76"/>
      <c r="C523" s="82"/>
      <c r="D523" s="195"/>
      <c r="E523" s="76"/>
      <c r="F523" s="76"/>
      <c r="G523" s="82"/>
      <c r="H523" s="287"/>
      <c r="I523" s="82"/>
      <c r="J523" s="82"/>
    </row>
    <row r="524">
      <c r="A524" s="82"/>
      <c r="B524" s="76"/>
      <c r="C524" s="82"/>
      <c r="D524" s="195"/>
      <c r="E524" s="76"/>
      <c r="F524" s="76"/>
      <c r="G524" s="82"/>
      <c r="H524" s="287"/>
      <c r="I524" s="82"/>
      <c r="J524" s="82"/>
    </row>
    <row r="525">
      <c r="A525" s="82"/>
      <c r="B525" s="76"/>
      <c r="C525" s="82"/>
      <c r="D525" s="195"/>
      <c r="E525" s="76"/>
      <c r="F525" s="76"/>
      <c r="G525" s="82"/>
      <c r="H525" s="287"/>
      <c r="I525" s="82"/>
      <c r="J525" s="82"/>
    </row>
    <row r="526">
      <c r="A526" s="82"/>
      <c r="B526" s="76"/>
      <c r="C526" s="82"/>
      <c r="D526" s="195"/>
      <c r="E526" s="76"/>
      <c r="F526" s="76"/>
      <c r="G526" s="82"/>
      <c r="H526" s="287"/>
      <c r="I526" s="82"/>
      <c r="J526" s="82"/>
    </row>
    <row r="527">
      <c r="A527" s="82"/>
      <c r="B527" s="76"/>
      <c r="C527" s="82"/>
      <c r="D527" s="195"/>
      <c r="E527" s="76"/>
      <c r="F527" s="76"/>
      <c r="G527" s="82"/>
      <c r="H527" s="287"/>
      <c r="I527" s="82"/>
      <c r="J527" s="82"/>
    </row>
    <row r="528">
      <c r="A528" s="82"/>
      <c r="B528" s="76"/>
      <c r="C528" s="82"/>
      <c r="D528" s="195"/>
      <c r="E528" s="76"/>
      <c r="F528" s="76"/>
      <c r="G528" s="82"/>
      <c r="H528" s="287"/>
      <c r="I528" s="82"/>
      <c r="J528" s="82"/>
    </row>
    <row r="529">
      <c r="A529" s="82"/>
      <c r="B529" s="76"/>
      <c r="C529" s="82"/>
      <c r="D529" s="195"/>
      <c r="E529" s="76"/>
      <c r="F529" s="76"/>
      <c r="G529" s="82"/>
      <c r="H529" s="287"/>
      <c r="I529" s="82"/>
      <c r="J529" s="82"/>
    </row>
    <row r="530">
      <c r="A530" s="82"/>
      <c r="B530" s="76"/>
      <c r="C530" s="82"/>
      <c r="D530" s="195"/>
      <c r="E530" s="76"/>
      <c r="F530" s="76"/>
      <c r="G530" s="82"/>
      <c r="H530" s="287"/>
      <c r="I530" s="82"/>
      <c r="J530" s="82"/>
    </row>
    <row r="531">
      <c r="A531" s="82"/>
      <c r="B531" s="76"/>
      <c r="C531" s="82"/>
      <c r="D531" s="195"/>
      <c r="E531" s="76"/>
      <c r="F531" s="76"/>
      <c r="G531" s="82"/>
      <c r="H531" s="287"/>
      <c r="I531" s="82"/>
      <c r="J531" s="82"/>
    </row>
    <row r="532">
      <c r="A532" s="82"/>
      <c r="B532" s="76"/>
      <c r="C532" s="82"/>
      <c r="D532" s="195"/>
      <c r="E532" s="76"/>
      <c r="F532" s="76"/>
      <c r="G532" s="82"/>
      <c r="H532" s="287"/>
      <c r="I532" s="82"/>
      <c r="J532" s="82"/>
    </row>
    <row r="533">
      <c r="A533" s="82"/>
      <c r="B533" s="76"/>
      <c r="C533" s="82"/>
      <c r="D533" s="195"/>
      <c r="E533" s="76"/>
      <c r="F533" s="76"/>
      <c r="G533" s="82"/>
      <c r="H533" s="287"/>
      <c r="I533" s="82"/>
      <c r="J533" s="82"/>
    </row>
    <row r="534">
      <c r="A534" s="82"/>
      <c r="B534" s="76"/>
      <c r="C534" s="82"/>
      <c r="D534" s="195"/>
      <c r="E534" s="76"/>
      <c r="F534" s="76"/>
      <c r="G534" s="82"/>
      <c r="H534" s="287"/>
      <c r="I534" s="82"/>
      <c r="J534" s="82"/>
    </row>
    <row r="535">
      <c r="A535" s="82"/>
      <c r="B535" s="76"/>
      <c r="C535" s="82"/>
      <c r="D535" s="195"/>
      <c r="E535" s="76"/>
      <c r="F535" s="76"/>
      <c r="G535" s="82"/>
      <c r="H535" s="287"/>
      <c r="I535" s="82"/>
      <c r="J535" s="82"/>
    </row>
    <row r="536">
      <c r="A536" s="82"/>
      <c r="B536" s="76"/>
      <c r="C536" s="82"/>
      <c r="D536" s="195"/>
      <c r="E536" s="76"/>
      <c r="F536" s="76"/>
      <c r="G536" s="82"/>
      <c r="H536" s="287"/>
      <c r="I536" s="82"/>
      <c r="J536" s="82"/>
    </row>
    <row r="537">
      <c r="A537" s="82"/>
      <c r="B537" s="76"/>
      <c r="C537" s="82"/>
      <c r="D537" s="195"/>
      <c r="E537" s="76"/>
      <c r="F537" s="76"/>
      <c r="G537" s="82"/>
      <c r="H537" s="287"/>
      <c r="I537" s="82"/>
      <c r="J537" s="82"/>
    </row>
    <row r="538">
      <c r="A538" s="82"/>
      <c r="B538" s="76"/>
      <c r="C538" s="82"/>
      <c r="D538" s="195"/>
      <c r="E538" s="76"/>
      <c r="F538" s="76"/>
      <c r="G538" s="82"/>
      <c r="H538" s="287"/>
      <c r="I538" s="82"/>
      <c r="J538" s="82"/>
    </row>
    <row r="539">
      <c r="A539" s="82"/>
      <c r="B539" s="76"/>
      <c r="C539" s="82"/>
      <c r="D539" s="195"/>
      <c r="E539" s="76"/>
      <c r="F539" s="76"/>
      <c r="G539" s="82"/>
      <c r="H539" s="287"/>
      <c r="I539" s="82"/>
      <c r="J539" s="82"/>
    </row>
    <row r="540">
      <c r="A540" s="82"/>
      <c r="B540" s="76"/>
      <c r="C540" s="82"/>
      <c r="D540" s="195"/>
      <c r="E540" s="76"/>
      <c r="F540" s="76"/>
      <c r="G540" s="82"/>
      <c r="H540" s="287"/>
      <c r="I540" s="82"/>
      <c r="J540" s="82"/>
    </row>
    <row r="541">
      <c r="A541" s="82"/>
      <c r="B541" s="76"/>
      <c r="C541" s="82"/>
      <c r="D541" s="195"/>
      <c r="E541" s="76"/>
      <c r="F541" s="76"/>
      <c r="G541" s="82"/>
      <c r="H541" s="287"/>
      <c r="I541" s="82"/>
      <c r="J541" s="82"/>
    </row>
    <row r="542">
      <c r="A542" s="82"/>
      <c r="B542" s="76"/>
      <c r="C542" s="82"/>
      <c r="D542" s="195"/>
      <c r="E542" s="76"/>
      <c r="F542" s="76"/>
      <c r="G542" s="82"/>
      <c r="H542" s="287"/>
      <c r="I542" s="82"/>
      <c r="J542" s="82"/>
    </row>
    <row r="543">
      <c r="A543" s="82"/>
      <c r="B543" s="76"/>
      <c r="C543" s="82"/>
      <c r="D543" s="195"/>
      <c r="E543" s="76"/>
      <c r="F543" s="76"/>
      <c r="G543" s="82"/>
      <c r="H543" s="287"/>
      <c r="I543" s="82"/>
      <c r="J543" s="82"/>
    </row>
    <row r="544">
      <c r="A544" s="82"/>
      <c r="B544" s="76"/>
      <c r="C544" s="82"/>
      <c r="D544" s="195"/>
      <c r="E544" s="76"/>
      <c r="F544" s="76"/>
      <c r="G544" s="82"/>
      <c r="H544" s="287"/>
      <c r="I544" s="82"/>
      <c r="J544" s="82"/>
    </row>
    <row r="545">
      <c r="A545" s="82"/>
      <c r="B545" s="76"/>
      <c r="C545" s="82"/>
      <c r="D545" s="195"/>
      <c r="E545" s="76"/>
      <c r="F545" s="76"/>
      <c r="G545" s="82"/>
      <c r="H545" s="287"/>
      <c r="I545" s="82"/>
      <c r="J545" s="82"/>
    </row>
    <row r="546">
      <c r="A546" s="82"/>
      <c r="B546" s="76"/>
      <c r="C546" s="82"/>
      <c r="D546" s="195"/>
      <c r="E546" s="76"/>
      <c r="F546" s="76"/>
      <c r="G546" s="82"/>
      <c r="H546" s="287"/>
      <c r="I546" s="82"/>
      <c r="J546" s="82"/>
    </row>
    <row r="547">
      <c r="A547" s="82"/>
      <c r="B547" s="76"/>
      <c r="C547" s="82"/>
      <c r="D547" s="195"/>
      <c r="E547" s="76"/>
      <c r="F547" s="76"/>
      <c r="G547" s="82"/>
      <c r="H547" s="287"/>
      <c r="I547" s="82"/>
      <c r="J547" s="82"/>
    </row>
    <row r="548">
      <c r="A548" s="82"/>
      <c r="B548" s="76"/>
      <c r="C548" s="82"/>
      <c r="D548" s="195"/>
      <c r="E548" s="76"/>
      <c r="F548" s="76"/>
      <c r="G548" s="82"/>
      <c r="H548" s="287"/>
      <c r="I548" s="82"/>
      <c r="J548" s="82"/>
    </row>
    <row r="549">
      <c r="A549" s="82"/>
      <c r="B549" s="76"/>
      <c r="C549" s="82"/>
      <c r="D549" s="195"/>
      <c r="E549" s="76"/>
      <c r="F549" s="76"/>
      <c r="G549" s="82"/>
      <c r="H549" s="287"/>
      <c r="I549" s="82"/>
      <c r="J549" s="82"/>
    </row>
    <row r="550">
      <c r="A550" s="82"/>
      <c r="B550" s="76"/>
      <c r="C550" s="82"/>
      <c r="D550" s="195"/>
      <c r="E550" s="76"/>
      <c r="F550" s="76"/>
      <c r="G550" s="82"/>
      <c r="H550" s="287"/>
      <c r="I550" s="82"/>
      <c r="J550" s="82"/>
    </row>
    <row r="551">
      <c r="A551" s="82"/>
      <c r="B551" s="76"/>
      <c r="C551" s="82"/>
      <c r="D551" s="195"/>
      <c r="E551" s="76"/>
      <c r="F551" s="76"/>
      <c r="G551" s="82"/>
      <c r="H551" s="287"/>
      <c r="I551" s="82"/>
      <c r="J551" s="82"/>
    </row>
    <row r="552">
      <c r="A552" s="82"/>
      <c r="B552" s="76"/>
      <c r="C552" s="82"/>
      <c r="D552" s="195"/>
      <c r="E552" s="76"/>
      <c r="F552" s="76"/>
      <c r="G552" s="82"/>
      <c r="H552" s="287"/>
      <c r="I552" s="82"/>
      <c r="J552" s="82"/>
    </row>
    <row r="553">
      <c r="A553" s="82"/>
      <c r="B553" s="76"/>
      <c r="C553" s="82"/>
      <c r="D553" s="195"/>
      <c r="E553" s="76"/>
      <c r="F553" s="76"/>
      <c r="G553" s="82"/>
      <c r="H553" s="287"/>
      <c r="I553" s="82"/>
      <c r="J553" s="82"/>
    </row>
    <row r="554">
      <c r="A554" s="82"/>
      <c r="B554" s="76"/>
      <c r="C554" s="82"/>
      <c r="D554" s="195"/>
      <c r="E554" s="76"/>
      <c r="F554" s="76"/>
      <c r="G554" s="82"/>
      <c r="H554" s="287"/>
      <c r="I554" s="82"/>
      <c r="J554" s="82"/>
    </row>
    <row r="555">
      <c r="A555" s="82"/>
      <c r="B555" s="76"/>
      <c r="C555" s="82"/>
      <c r="D555" s="195"/>
      <c r="E555" s="76"/>
      <c r="F555" s="76"/>
      <c r="G555" s="82"/>
      <c r="H555" s="287"/>
      <c r="I555" s="82"/>
      <c r="J555" s="82"/>
    </row>
    <row r="556">
      <c r="A556" s="82"/>
      <c r="B556" s="76"/>
      <c r="C556" s="82"/>
      <c r="D556" s="195"/>
      <c r="E556" s="76"/>
      <c r="F556" s="76"/>
      <c r="G556" s="82"/>
      <c r="H556" s="287"/>
      <c r="I556" s="82"/>
      <c r="J556" s="82"/>
    </row>
    <row r="557">
      <c r="A557" s="82"/>
      <c r="B557" s="76"/>
      <c r="C557" s="82"/>
      <c r="D557" s="195"/>
      <c r="E557" s="76"/>
      <c r="F557" s="76"/>
      <c r="G557" s="82"/>
      <c r="H557" s="287"/>
      <c r="I557" s="82"/>
      <c r="J557" s="82"/>
    </row>
    <row r="558">
      <c r="A558" s="82"/>
      <c r="B558" s="76"/>
      <c r="C558" s="82"/>
      <c r="D558" s="195"/>
      <c r="E558" s="76"/>
      <c r="F558" s="76"/>
      <c r="G558" s="82"/>
      <c r="H558" s="287"/>
      <c r="I558" s="82"/>
      <c r="J558" s="82"/>
    </row>
    <row r="559">
      <c r="A559" s="82"/>
      <c r="B559" s="76"/>
      <c r="C559" s="82"/>
      <c r="D559" s="195"/>
      <c r="E559" s="76"/>
      <c r="F559" s="76"/>
      <c r="G559" s="82"/>
      <c r="H559" s="287"/>
      <c r="I559" s="82"/>
      <c r="J559" s="82"/>
    </row>
    <row r="560">
      <c r="A560" s="82"/>
      <c r="B560" s="76"/>
      <c r="C560" s="82"/>
      <c r="D560" s="195"/>
      <c r="E560" s="76"/>
      <c r="F560" s="76"/>
      <c r="G560" s="82"/>
      <c r="H560" s="287"/>
      <c r="I560" s="82"/>
      <c r="J560" s="82"/>
    </row>
    <row r="561">
      <c r="A561" s="82"/>
      <c r="B561" s="76"/>
      <c r="C561" s="82"/>
      <c r="D561" s="195"/>
      <c r="E561" s="76"/>
      <c r="F561" s="76"/>
      <c r="G561" s="82"/>
      <c r="H561" s="287"/>
      <c r="I561" s="82"/>
      <c r="J561" s="82"/>
    </row>
    <row r="562">
      <c r="A562" s="82"/>
      <c r="B562" s="76"/>
      <c r="C562" s="82"/>
      <c r="D562" s="195"/>
      <c r="E562" s="76"/>
      <c r="F562" s="76"/>
      <c r="G562" s="82"/>
      <c r="H562" s="287"/>
      <c r="I562" s="82"/>
      <c r="J562" s="82"/>
    </row>
    <row r="563">
      <c r="A563" s="82"/>
      <c r="B563" s="76"/>
      <c r="C563" s="82"/>
      <c r="D563" s="195"/>
      <c r="E563" s="76"/>
      <c r="F563" s="76"/>
      <c r="G563" s="82"/>
      <c r="H563" s="287"/>
      <c r="I563" s="82"/>
      <c r="J563" s="82"/>
    </row>
    <row r="564">
      <c r="A564" s="82"/>
      <c r="B564" s="76"/>
      <c r="C564" s="82"/>
      <c r="D564" s="195"/>
      <c r="E564" s="76"/>
      <c r="F564" s="76"/>
      <c r="G564" s="82"/>
      <c r="H564" s="287"/>
      <c r="I564" s="82"/>
      <c r="J564" s="82"/>
    </row>
    <row r="565">
      <c r="A565" s="82"/>
      <c r="B565" s="76"/>
      <c r="C565" s="82"/>
      <c r="D565" s="195"/>
      <c r="E565" s="76"/>
      <c r="F565" s="76"/>
      <c r="G565" s="82"/>
      <c r="H565" s="287"/>
      <c r="I565" s="82"/>
      <c r="J565" s="82"/>
    </row>
    <row r="566">
      <c r="A566" s="82"/>
      <c r="B566" s="76"/>
      <c r="C566" s="82"/>
      <c r="D566" s="195"/>
      <c r="E566" s="76"/>
      <c r="F566" s="76"/>
      <c r="G566" s="82"/>
      <c r="H566" s="287"/>
      <c r="I566" s="82"/>
      <c r="J566" s="82"/>
    </row>
    <row r="567">
      <c r="A567" s="82"/>
      <c r="B567" s="76"/>
      <c r="C567" s="82"/>
      <c r="D567" s="195"/>
      <c r="E567" s="76"/>
      <c r="F567" s="76"/>
      <c r="G567" s="82"/>
      <c r="H567" s="287"/>
      <c r="I567" s="82"/>
      <c r="J567" s="82"/>
    </row>
    <row r="568">
      <c r="A568" s="82"/>
      <c r="B568" s="76"/>
      <c r="C568" s="82"/>
      <c r="D568" s="195"/>
      <c r="E568" s="76"/>
      <c r="F568" s="76"/>
      <c r="G568" s="82"/>
      <c r="H568" s="287"/>
      <c r="I568" s="82"/>
      <c r="J568" s="82"/>
    </row>
    <row r="569">
      <c r="A569" s="82"/>
      <c r="B569" s="76"/>
      <c r="C569" s="82"/>
      <c r="D569" s="195"/>
      <c r="E569" s="76"/>
      <c r="F569" s="76"/>
      <c r="G569" s="82"/>
      <c r="H569" s="287"/>
      <c r="I569" s="82"/>
      <c r="J569" s="82"/>
    </row>
    <row r="570">
      <c r="A570" s="82"/>
      <c r="B570" s="76"/>
      <c r="C570" s="82"/>
      <c r="D570" s="195"/>
      <c r="E570" s="76"/>
      <c r="F570" s="76"/>
      <c r="G570" s="82"/>
      <c r="H570" s="287"/>
      <c r="I570" s="82"/>
      <c r="J570" s="82"/>
    </row>
    <row r="571">
      <c r="A571" s="82"/>
      <c r="B571" s="76"/>
      <c r="C571" s="82"/>
      <c r="D571" s="195"/>
      <c r="E571" s="76"/>
      <c r="F571" s="76"/>
      <c r="G571" s="82"/>
      <c r="H571" s="287"/>
      <c r="I571" s="82"/>
      <c r="J571" s="82"/>
    </row>
    <row r="572">
      <c r="A572" s="82"/>
      <c r="B572" s="76"/>
      <c r="C572" s="82"/>
      <c r="D572" s="195"/>
      <c r="E572" s="76"/>
      <c r="F572" s="76"/>
      <c r="G572" s="82"/>
      <c r="H572" s="287"/>
      <c r="I572" s="82"/>
      <c r="J572" s="82"/>
    </row>
    <row r="573">
      <c r="A573" s="82"/>
      <c r="B573" s="76"/>
      <c r="C573" s="82"/>
      <c r="D573" s="195"/>
      <c r="E573" s="76"/>
      <c r="F573" s="76"/>
      <c r="G573" s="82"/>
      <c r="H573" s="287"/>
      <c r="I573" s="82"/>
      <c r="J573" s="82"/>
    </row>
    <row r="574">
      <c r="A574" s="82"/>
      <c r="B574" s="76"/>
      <c r="C574" s="82"/>
      <c r="D574" s="195"/>
      <c r="E574" s="76"/>
      <c r="F574" s="76"/>
      <c r="G574" s="82"/>
      <c r="H574" s="287"/>
      <c r="I574" s="82"/>
      <c r="J574" s="82"/>
    </row>
    <row r="575">
      <c r="A575" s="82"/>
      <c r="B575" s="76"/>
      <c r="C575" s="82"/>
      <c r="D575" s="195"/>
      <c r="E575" s="76"/>
      <c r="F575" s="76"/>
      <c r="G575" s="82"/>
      <c r="H575" s="287"/>
      <c r="I575" s="82"/>
      <c r="J575" s="82"/>
    </row>
    <row r="576">
      <c r="A576" s="82"/>
      <c r="B576" s="76"/>
      <c r="C576" s="82"/>
      <c r="D576" s="195"/>
      <c r="E576" s="76"/>
      <c r="F576" s="76"/>
      <c r="G576" s="82"/>
      <c r="H576" s="287"/>
      <c r="I576" s="82"/>
      <c r="J576" s="82"/>
    </row>
    <row r="577">
      <c r="A577" s="82"/>
      <c r="B577" s="76"/>
      <c r="C577" s="82"/>
      <c r="D577" s="195"/>
      <c r="E577" s="76"/>
      <c r="F577" s="76"/>
      <c r="G577" s="82"/>
      <c r="H577" s="287"/>
      <c r="I577" s="82"/>
      <c r="J577" s="82"/>
    </row>
    <row r="578">
      <c r="A578" s="82"/>
      <c r="B578" s="76"/>
      <c r="C578" s="82"/>
      <c r="D578" s="195"/>
      <c r="E578" s="76"/>
      <c r="F578" s="76"/>
      <c r="G578" s="82"/>
      <c r="H578" s="287"/>
      <c r="I578" s="82"/>
      <c r="J578" s="82"/>
    </row>
    <row r="579">
      <c r="A579" s="82"/>
      <c r="B579" s="76"/>
      <c r="C579" s="82"/>
      <c r="D579" s="195"/>
      <c r="E579" s="76"/>
      <c r="F579" s="76"/>
      <c r="G579" s="82"/>
      <c r="H579" s="287"/>
      <c r="I579" s="82"/>
      <c r="J579" s="82"/>
    </row>
    <row r="580">
      <c r="A580" s="82"/>
      <c r="B580" s="76"/>
      <c r="C580" s="82"/>
      <c r="D580" s="195"/>
      <c r="E580" s="76"/>
      <c r="F580" s="76"/>
      <c r="G580" s="82"/>
      <c r="H580" s="287"/>
      <c r="I580" s="82"/>
      <c r="J580" s="82"/>
    </row>
    <row r="581">
      <c r="A581" s="82"/>
      <c r="B581" s="76"/>
      <c r="C581" s="82"/>
      <c r="D581" s="195"/>
      <c r="E581" s="76"/>
      <c r="F581" s="76"/>
      <c r="G581" s="82"/>
      <c r="H581" s="287"/>
      <c r="I581" s="82"/>
      <c r="J581" s="82"/>
    </row>
    <row r="582">
      <c r="A582" s="82"/>
      <c r="B582" s="76"/>
      <c r="C582" s="82"/>
      <c r="D582" s="195"/>
      <c r="E582" s="76"/>
      <c r="F582" s="76"/>
      <c r="G582" s="82"/>
      <c r="H582" s="287"/>
      <c r="I582" s="82"/>
      <c r="J582" s="82"/>
    </row>
    <row r="583">
      <c r="A583" s="82"/>
      <c r="B583" s="76"/>
      <c r="C583" s="82"/>
      <c r="D583" s="195"/>
      <c r="E583" s="76"/>
      <c r="F583" s="76"/>
      <c r="G583" s="82"/>
      <c r="H583" s="287"/>
      <c r="I583" s="82"/>
      <c r="J583" s="82"/>
    </row>
    <row r="584">
      <c r="A584" s="82"/>
      <c r="B584" s="76"/>
      <c r="C584" s="82"/>
      <c r="D584" s="195"/>
      <c r="E584" s="76"/>
      <c r="F584" s="76"/>
      <c r="G584" s="82"/>
      <c r="H584" s="287"/>
      <c r="I584" s="82"/>
      <c r="J584" s="82"/>
    </row>
    <row r="585">
      <c r="A585" s="82"/>
      <c r="B585" s="76"/>
      <c r="C585" s="82"/>
      <c r="D585" s="195"/>
      <c r="E585" s="76"/>
      <c r="F585" s="76"/>
      <c r="G585" s="82"/>
      <c r="H585" s="287"/>
      <c r="I585" s="82"/>
      <c r="J585" s="82"/>
    </row>
    <row r="586">
      <c r="A586" s="82"/>
      <c r="B586" s="76"/>
      <c r="C586" s="82"/>
      <c r="D586" s="195"/>
      <c r="E586" s="76"/>
      <c r="F586" s="76"/>
      <c r="G586" s="82"/>
      <c r="H586" s="287"/>
      <c r="I586" s="82"/>
      <c r="J586" s="82"/>
    </row>
    <row r="587">
      <c r="A587" s="82"/>
      <c r="B587" s="76"/>
      <c r="C587" s="82"/>
      <c r="D587" s="195"/>
      <c r="E587" s="76"/>
      <c r="F587" s="76"/>
      <c r="G587" s="82"/>
      <c r="H587" s="287"/>
      <c r="I587" s="82"/>
      <c r="J587" s="82"/>
    </row>
    <row r="588">
      <c r="A588" s="82"/>
      <c r="B588" s="76"/>
      <c r="C588" s="82"/>
      <c r="D588" s="195"/>
      <c r="E588" s="76"/>
      <c r="F588" s="76"/>
      <c r="G588" s="82"/>
      <c r="H588" s="287"/>
      <c r="I588" s="82"/>
      <c r="J588" s="82"/>
    </row>
    <row r="589">
      <c r="A589" s="82"/>
      <c r="B589" s="76"/>
      <c r="C589" s="82"/>
      <c r="D589" s="195"/>
      <c r="E589" s="76"/>
      <c r="F589" s="76"/>
      <c r="G589" s="82"/>
      <c r="H589" s="287"/>
      <c r="I589" s="82"/>
      <c r="J589" s="82"/>
    </row>
    <row r="590">
      <c r="A590" s="82"/>
      <c r="B590" s="76"/>
      <c r="C590" s="82"/>
      <c r="D590" s="195"/>
      <c r="E590" s="76"/>
      <c r="F590" s="76"/>
      <c r="G590" s="82"/>
      <c r="H590" s="287"/>
      <c r="I590" s="82"/>
      <c r="J590" s="82"/>
    </row>
    <row r="591">
      <c r="A591" s="82"/>
      <c r="B591" s="76"/>
      <c r="C591" s="82"/>
      <c r="D591" s="195"/>
      <c r="E591" s="76"/>
      <c r="F591" s="76"/>
      <c r="G591" s="82"/>
      <c r="H591" s="287"/>
      <c r="I591" s="82"/>
      <c r="J591" s="82"/>
    </row>
    <row r="592">
      <c r="A592" s="82"/>
      <c r="B592" s="76"/>
      <c r="C592" s="82"/>
      <c r="D592" s="195"/>
      <c r="E592" s="76"/>
      <c r="F592" s="76"/>
      <c r="G592" s="82"/>
      <c r="H592" s="287"/>
      <c r="I592" s="82"/>
      <c r="J592" s="82"/>
    </row>
    <row r="593">
      <c r="A593" s="82"/>
      <c r="B593" s="76"/>
      <c r="C593" s="82"/>
      <c r="D593" s="195"/>
      <c r="E593" s="76"/>
      <c r="F593" s="76"/>
      <c r="G593" s="82"/>
      <c r="H593" s="287"/>
      <c r="I593" s="82"/>
      <c r="J593" s="82"/>
    </row>
    <row r="594">
      <c r="A594" s="82"/>
      <c r="B594" s="76"/>
      <c r="C594" s="82"/>
      <c r="D594" s="195"/>
      <c r="E594" s="76"/>
      <c r="F594" s="76"/>
      <c r="G594" s="82"/>
      <c r="H594" s="287"/>
      <c r="I594" s="82"/>
      <c r="J594" s="82"/>
    </row>
    <row r="595">
      <c r="A595" s="82"/>
      <c r="B595" s="76"/>
      <c r="C595" s="82"/>
      <c r="D595" s="195"/>
      <c r="E595" s="76"/>
      <c r="F595" s="76"/>
      <c r="G595" s="82"/>
      <c r="H595" s="287"/>
      <c r="I595" s="82"/>
      <c r="J595" s="82"/>
    </row>
    <row r="596">
      <c r="A596" s="82"/>
      <c r="B596" s="76"/>
      <c r="C596" s="82"/>
      <c r="D596" s="195"/>
      <c r="E596" s="76"/>
      <c r="F596" s="76"/>
      <c r="G596" s="82"/>
      <c r="H596" s="287"/>
      <c r="I596" s="82"/>
      <c r="J596" s="82"/>
    </row>
    <row r="597">
      <c r="A597" s="82"/>
      <c r="B597" s="76"/>
      <c r="C597" s="82"/>
      <c r="D597" s="195"/>
      <c r="E597" s="76"/>
      <c r="F597" s="76"/>
      <c r="G597" s="82"/>
      <c r="H597" s="287"/>
      <c r="I597" s="82"/>
      <c r="J597" s="82"/>
    </row>
    <row r="598">
      <c r="A598" s="82"/>
      <c r="B598" s="76"/>
      <c r="C598" s="82"/>
      <c r="D598" s="195"/>
      <c r="E598" s="76"/>
      <c r="F598" s="76"/>
      <c r="G598" s="82"/>
      <c r="H598" s="287"/>
      <c r="I598" s="82"/>
      <c r="J598" s="82"/>
    </row>
    <row r="599">
      <c r="A599" s="82"/>
      <c r="B599" s="76"/>
      <c r="C599" s="82"/>
      <c r="D599" s="195"/>
      <c r="E599" s="76"/>
      <c r="F599" s="76"/>
      <c r="G599" s="82"/>
      <c r="H599" s="287"/>
      <c r="I599" s="82"/>
      <c r="J599" s="82"/>
    </row>
    <row r="600">
      <c r="A600" s="82"/>
      <c r="B600" s="76"/>
      <c r="C600" s="82"/>
      <c r="D600" s="195"/>
      <c r="E600" s="76"/>
      <c r="F600" s="76"/>
      <c r="G600" s="82"/>
      <c r="H600" s="287"/>
      <c r="I600" s="82"/>
      <c r="J600" s="82"/>
    </row>
    <row r="601">
      <c r="A601" s="82"/>
      <c r="B601" s="76"/>
      <c r="C601" s="82"/>
      <c r="D601" s="195"/>
      <c r="E601" s="76"/>
      <c r="F601" s="76"/>
      <c r="G601" s="82"/>
      <c r="H601" s="287"/>
      <c r="I601" s="82"/>
      <c r="J601" s="82"/>
    </row>
    <row r="602">
      <c r="A602" s="82"/>
      <c r="B602" s="76"/>
      <c r="C602" s="82"/>
      <c r="D602" s="195"/>
      <c r="E602" s="76"/>
      <c r="F602" s="76"/>
      <c r="G602" s="82"/>
      <c r="H602" s="287"/>
      <c r="I602" s="82"/>
      <c r="J602" s="82"/>
    </row>
    <row r="603">
      <c r="A603" s="82"/>
      <c r="B603" s="76"/>
      <c r="C603" s="82"/>
      <c r="D603" s="195"/>
      <c r="E603" s="76"/>
      <c r="F603" s="76"/>
      <c r="G603" s="82"/>
      <c r="H603" s="287"/>
      <c r="I603" s="82"/>
      <c r="J603" s="82"/>
    </row>
    <row r="604">
      <c r="A604" s="82"/>
      <c r="B604" s="76"/>
      <c r="C604" s="82"/>
      <c r="D604" s="195"/>
      <c r="E604" s="76"/>
      <c r="F604" s="76"/>
      <c r="G604" s="82"/>
      <c r="H604" s="287"/>
      <c r="I604" s="82"/>
      <c r="J604" s="82"/>
    </row>
    <row r="605">
      <c r="A605" s="82"/>
      <c r="B605" s="76"/>
      <c r="C605" s="82"/>
      <c r="D605" s="195"/>
      <c r="E605" s="76"/>
      <c r="F605" s="76"/>
      <c r="G605" s="82"/>
      <c r="H605" s="287"/>
      <c r="I605" s="82"/>
      <c r="J605" s="82"/>
    </row>
    <row r="606">
      <c r="A606" s="82"/>
      <c r="B606" s="76"/>
      <c r="C606" s="82"/>
      <c r="D606" s="195"/>
      <c r="E606" s="76"/>
      <c r="F606" s="76"/>
      <c r="G606" s="82"/>
      <c r="H606" s="287"/>
      <c r="I606" s="82"/>
      <c r="J606" s="82"/>
    </row>
    <row r="607">
      <c r="A607" s="82"/>
      <c r="B607" s="76"/>
      <c r="C607" s="82"/>
      <c r="D607" s="195"/>
      <c r="E607" s="76"/>
      <c r="F607" s="76"/>
      <c r="G607" s="82"/>
      <c r="H607" s="287"/>
      <c r="I607" s="82"/>
      <c r="J607" s="82"/>
    </row>
    <row r="608">
      <c r="A608" s="82"/>
      <c r="B608" s="76"/>
      <c r="C608" s="82"/>
      <c r="D608" s="195"/>
      <c r="E608" s="76"/>
      <c r="F608" s="76"/>
      <c r="G608" s="82"/>
      <c r="H608" s="287"/>
      <c r="I608" s="82"/>
      <c r="J608" s="82"/>
    </row>
    <row r="609">
      <c r="A609" s="82"/>
      <c r="B609" s="76"/>
      <c r="C609" s="82"/>
      <c r="D609" s="195"/>
      <c r="E609" s="76"/>
      <c r="F609" s="76"/>
      <c r="G609" s="82"/>
      <c r="H609" s="287"/>
      <c r="I609" s="82"/>
      <c r="J609" s="82"/>
    </row>
    <row r="610">
      <c r="A610" s="82"/>
      <c r="B610" s="76"/>
      <c r="C610" s="82"/>
      <c r="D610" s="195"/>
      <c r="E610" s="76"/>
      <c r="F610" s="76"/>
      <c r="G610" s="82"/>
      <c r="H610" s="287"/>
      <c r="I610" s="82"/>
      <c r="J610" s="82"/>
    </row>
    <row r="611">
      <c r="A611" s="82"/>
      <c r="B611" s="76"/>
      <c r="C611" s="82"/>
      <c r="D611" s="195"/>
      <c r="E611" s="76"/>
      <c r="F611" s="76"/>
      <c r="G611" s="82"/>
      <c r="H611" s="287"/>
      <c r="I611" s="82"/>
      <c r="J611" s="82"/>
    </row>
    <row r="612">
      <c r="A612" s="82"/>
      <c r="B612" s="76"/>
      <c r="C612" s="82"/>
      <c r="D612" s="195"/>
      <c r="E612" s="76"/>
      <c r="F612" s="76"/>
      <c r="G612" s="82"/>
      <c r="H612" s="287"/>
      <c r="I612" s="82"/>
      <c r="J612" s="82"/>
    </row>
    <row r="613">
      <c r="A613" s="82"/>
      <c r="B613" s="76"/>
      <c r="C613" s="82"/>
      <c r="D613" s="195"/>
      <c r="E613" s="76"/>
      <c r="F613" s="76"/>
      <c r="G613" s="82"/>
      <c r="H613" s="287"/>
      <c r="I613" s="82"/>
      <c r="J613" s="82"/>
    </row>
    <row r="614">
      <c r="A614" s="82"/>
      <c r="B614" s="76"/>
      <c r="C614" s="82"/>
      <c r="D614" s="195"/>
      <c r="E614" s="76"/>
      <c r="F614" s="76"/>
      <c r="G614" s="82"/>
      <c r="H614" s="287"/>
      <c r="I614" s="82"/>
      <c r="J614" s="82"/>
    </row>
    <row r="615">
      <c r="A615" s="82"/>
      <c r="B615" s="76"/>
      <c r="C615" s="82"/>
      <c r="D615" s="195"/>
      <c r="E615" s="76"/>
      <c r="F615" s="76"/>
      <c r="G615" s="82"/>
      <c r="H615" s="287"/>
      <c r="I615" s="82"/>
      <c r="J615" s="82"/>
    </row>
    <row r="616">
      <c r="A616" s="82"/>
      <c r="B616" s="76"/>
      <c r="C616" s="82"/>
      <c r="D616" s="195"/>
      <c r="E616" s="76"/>
      <c r="F616" s="76"/>
      <c r="G616" s="82"/>
      <c r="H616" s="287"/>
      <c r="I616" s="82"/>
      <c r="J616" s="82"/>
    </row>
    <row r="617">
      <c r="A617" s="82"/>
      <c r="B617" s="76"/>
      <c r="C617" s="82"/>
      <c r="D617" s="195"/>
      <c r="E617" s="76"/>
      <c r="F617" s="76"/>
      <c r="G617" s="82"/>
      <c r="H617" s="287"/>
      <c r="I617" s="82"/>
      <c r="J617" s="82"/>
    </row>
    <row r="618">
      <c r="A618" s="82"/>
      <c r="B618" s="76"/>
      <c r="C618" s="82"/>
      <c r="D618" s="195"/>
      <c r="E618" s="76"/>
      <c r="F618" s="76"/>
      <c r="G618" s="82"/>
      <c r="H618" s="287"/>
      <c r="I618" s="82"/>
      <c r="J618" s="82"/>
    </row>
    <row r="619">
      <c r="A619" s="82"/>
      <c r="B619" s="76"/>
      <c r="C619" s="82"/>
      <c r="D619" s="195"/>
      <c r="E619" s="76"/>
      <c r="F619" s="76"/>
      <c r="G619" s="82"/>
      <c r="H619" s="287"/>
      <c r="I619" s="82"/>
      <c r="J619" s="82"/>
    </row>
    <row r="620">
      <c r="A620" s="82"/>
      <c r="B620" s="76"/>
      <c r="C620" s="82"/>
      <c r="D620" s="195"/>
      <c r="E620" s="76"/>
      <c r="F620" s="76"/>
      <c r="G620" s="82"/>
      <c r="H620" s="287"/>
      <c r="I620" s="82"/>
      <c r="J620" s="82"/>
    </row>
    <row r="621">
      <c r="A621" s="82"/>
      <c r="B621" s="76"/>
      <c r="C621" s="82"/>
      <c r="D621" s="195"/>
      <c r="E621" s="76"/>
      <c r="F621" s="76"/>
      <c r="G621" s="82"/>
      <c r="H621" s="287"/>
      <c r="I621" s="82"/>
      <c r="J621" s="82"/>
    </row>
    <row r="622">
      <c r="A622" s="82"/>
      <c r="B622" s="76"/>
      <c r="C622" s="82"/>
      <c r="D622" s="195"/>
      <c r="E622" s="76"/>
      <c r="F622" s="76"/>
      <c r="G622" s="82"/>
      <c r="H622" s="287"/>
      <c r="I622" s="82"/>
      <c r="J622" s="82"/>
    </row>
    <row r="623">
      <c r="A623" s="82"/>
      <c r="B623" s="76"/>
      <c r="C623" s="82"/>
      <c r="D623" s="195"/>
      <c r="E623" s="76"/>
      <c r="F623" s="76"/>
      <c r="G623" s="82"/>
      <c r="H623" s="287"/>
      <c r="I623" s="82"/>
      <c r="J623" s="82"/>
    </row>
    <row r="624">
      <c r="A624" s="82"/>
      <c r="B624" s="76"/>
      <c r="C624" s="82"/>
      <c r="D624" s="195"/>
      <c r="E624" s="76"/>
      <c r="F624" s="76"/>
      <c r="G624" s="82"/>
      <c r="H624" s="287"/>
      <c r="I624" s="82"/>
      <c r="J624" s="82"/>
    </row>
    <row r="625">
      <c r="A625" s="82"/>
      <c r="B625" s="76"/>
      <c r="C625" s="82"/>
      <c r="D625" s="195"/>
      <c r="E625" s="76"/>
      <c r="F625" s="76"/>
      <c r="G625" s="82"/>
      <c r="H625" s="287"/>
      <c r="I625" s="82"/>
      <c r="J625" s="82"/>
    </row>
    <row r="626">
      <c r="A626" s="82"/>
      <c r="B626" s="76"/>
      <c r="C626" s="82"/>
      <c r="D626" s="195"/>
      <c r="E626" s="76"/>
      <c r="F626" s="76"/>
      <c r="G626" s="82"/>
      <c r="H626" s="287"/>
      <c r="I626" s="82"/>
      <c r="J626" s="82"/>
    </row>
    <row r="627">
      <c r="A627" s="82"/>
      <c r="B627" s="76"/>
      <c r="C627" s="82"/>
      <c r="D627" s="195"/>
      <c r="E627" s="76"/>
      <c r="F627" s="76"/>
      <c r="G627" s="82"/>
      <c r="H627" s="287"/>
      <c r="I627" s="82"/>
      <c r="J627" s="82"/>
    </row>
    <row r="628">
      <c r="A628" s="82"/>
      <c r="B628" s="76"/>
      <c r="C628" s="82"/>
      <c r="D628" s="195"/>
      <c r="E628" s="76"/>
      <c r="F628" s="76"/>
      <c r="G628" s="82"/>
      <c r="H628" s="287"/>
      <c r="I628" s="82"/>
      <c r="J628" s="82"/>
    </row>
    <row r="629">
      <c r="A629" s="82"/>
      <c r="B629" s="76"/>
      <c r="C629" s="82"/>
      <c r="D629" s="195"/>
      <c r="E629" s="76"/>
      <c r="F629" s="76"/>
      <c r="G629" s="82"/>
      <c r="H629" s="287"/>
      <c r="I629" s="82"/>
      <c r="J629" s="82"/>
    </row>
    <row r="630">
      <c r="A630" s="82"/>
      <c r="B630" s="76"/>
      <c r="C630" s="82"/>
      <c r="D630" s="195"/>
      <c r="E630" s="76"/>
      <c r="F630" s="76"/>
      <c r="G630" s="82"/>
      <c r="H630" s="287"/>
      <c r="I630" s="82"/>
      <c r="J630" s="82"/>
    </row>
    <row r="631">
      <c r="A631" s="82"/>
      <c r="B631" s="76"/>
      <c r="C631" s="82"/>
      <c r="D631" s="195"/>
      <c r="E631" s="76"/>
      <c r="F631" s="76"/>
      <c r="G631" s="82"/>
      <c r="H631" s="287"/>
      <c r="I631" s="82"/>
      <c r="J631" s="82"/>
    </row>
    <row r="632">
      <c r="A632" s="82"/>
      <c r="B632" s="76"/>
      <c r="C632" s="82"/>
      <c r="D632" s="195"/>
      <c r="E632" s="76"/>
      <c r="F632" s="76"/>
      <c r="G632" s="82"/>
      <c r="H632" s="287"/>
      <c r="I632" s="82"/>
      <c r="J632" s="82"/>
    </row>
    <row r="633">
      <c r="A633" s="82"/>
      <c r="B633" s="76"/>
      <c r="C633" s="82"/>
      <c r="D633" s="195"/>
      <c r="E633" s="76"/>
      <c r="F633" s="76"/>
      <c r="G633" s="82"/>
      <c r="H633" s="287"/>
      <c r="I633" s="82"/>
      <c r="J633" s="82"/>
    </row>
    <row r="634">
      <c r="A634" s="82"/>
      <c r="B634" s="76"/>
      <c r="C634" s="82"/>
      <c r="D634" s="195"/>
      <c r="E634" s="76"/>
      <c r="F634" s="76"/>
      <c r="G634" s="82"/>
      <c r="H634" s="287"/>
      <c r="I634" s="82"/>
      <c r="J634" s="82"/>
    </row>
    <row r="635">
      <c r="A635" s="82"/>
      <c r="B635" s="76"/>
      <c r="C635" s="82"/>
      <c r="D635" s="195"/>
      <c r="E635" s="76"/>
      <c r="F635" s="76"/>
      <c r="G635" s="82"/>
      <c r="H635" s="287"/>
      <c r="I635" s="82"/>
      <c r="J635" s="82"/>
    </row>
    <row r="636">
      <c r="A636" s="82"/>
      <c r="B636" s="76"/>
      <c r="C636" s="82"/>
      <c r="D636" s="195"/>
      <c r="E636" s="76"/>
      <c r="F636" s="76"/>
      <c r="G636" s="82"/>
      <c r="H636" s="287"/>
      <c r="I636" s="82"/>
      <c r="J636" s="82"/>
    </row>
    <row r="637">
      <c r="A637" s="82"/>
      <c r="B637" s="76"/>
      <c r="C637" s="82"/>
      <c r="D637" s="195"/>
      <c r="E637" s="76"/>
      <c r="F637" s="76"/>
      <c r="G637" s="82"/>
      <c r="H637" s="287"/>
      <c r="I637" s="82"/>
      <c r="J637" s="82"/>
    </row>
    <row r="638">
      <c r="A638" s="82"/>
      <c r="B638" s="76"/>
      <c r="C638" s="82"/>
      <c r="D638" s="195"/>
      <c r="E638" s="76"/>
      <c r="F638" s="76"/>
      <c r="G638" s="82"/>
      <c r="H638" s="287"/>
      <c r="I638" s="82"/>
      <c r="J638" s="82"/>
    </row>
    <row r="639">
      <c r="A639" s="82"/>
      <c r="B639" s="76"/>
      <c r="C639" s="82"/>
      <c r="D639" s="195"/>
      <c r="E639" s="76"/>
      <c r="F639" s="76"/>
      <c r="G639" s="82"/>
      <c r="H639" s="287"/>
      <c r="I639" s="82"/>
      <c r="J639" s="82"/>
    </row>
    <row r="640">
      <c r="A640" s="82"/>
      <c r="B640" s="76"/>
      <c r="C640" s="82"/>
      <c r="D640" s="195"/>
      <c r="E640" s="76"/>
      <c r="F640" s="76"/>
      <c r="G640" s="82"/>
      <c r="H640" s="287"/>
      <c r="I640" s="82"/>
      <c r="J640" s="82"/>
    </row>
    <row r="641">
      <c r="A641" s="82"/>
      <c r="B641" s="76"/>
      <c r="C641" s="82"/>
      <c r="D641" s="195"/>
      <c r="E641" s="76"/>
      <c r="F641" s="76"/>
      <c r="G641" s="82"/>
      <c r="H641" s="287"/>
      <c r="I641" s="82"/>
      <c r="J641" s="82"/>
    </row>
    <row r="642">
      <c r="A642" s="82"/>
      <c r="B642" s="76"/>
      <c r="C642" s="82"/>
      <c r="D642" s="195"/>
      <c r="E642" s="76"/>
      <c r="F642" s="76"/>
      <c r="G642" s="82"/>
      <c r="H642" s="287"/>
      <c r="I642" s="82"/>
      <c r="J642" s="82"/>
    </row>
    <row r="643">
      <c r="A643" s="82"/>
      <c r="B643" s="76"/>
      <c r="C643" s="82"/>
      <c r="D643" s="195"/>
      <c r="E643" s="76"/>
      <c r="F643" s="76"/>
      <c r="G643" s="82"/>
      <c r="H643" s="287"/>
      <c r="I643" s="82"/>
      <c r="J643" s="82"/>
    </row>
    <row r="644">
      <c r="A644" s="82"/>
      <c r="B644" s="76"/>
      <c r="C644" s="82"/>
      <c r="D644" s="195"/>
      <c r="E644" s="76"/>
      <c r="F644" s="76"/>
      <c r="G644" s="82"/>
      <c r="H644" s="287"/>
      <c r="I644" s="82"/>
      <c r="J644" s="82"/>
    </row>
    <row r="645">
      <c r="A645" s="82"/>
      <c r="B645" s="76"/>
      <c r="C645" s="82"/>
      <c r="D645" s="195"/>
      <c r="E645" s="76"/>
      <c r="F645" s="76"/>
      <c r="G645" s="82"/>
      <c r="H645" s="287"/>
      <c r="I645" s="82"/>
      <c r="J645" s="82"/>
    </row>
    <row r="646">
      <c r="A646" s="82"/>
      <c r="B646" s="76"/>
      <c r="C646" s="82"/>
      <c r="D646" s="195"/>
      <c r="E646" s="76"/>
      <c r="F646" s="76"/>
      <c r="G646" s="82"/>
      <c r="H646" s="287"/>
      <c r="I646" s="82"/>
      <c r="J646" s="82"/>
    </row>
    <row r="647">
      <c r="A647" s="82"/>
      <c r="B647" s="76"/>
      <c r="C647" s="82"/>
      <c r="D647" s="195"/>
      <c r="E647" s="76"/>
      <c r="F647" s="76"/>
      <c r="G647" s="82"/>
      <c r="H647" s="287"/>
      <c r="I647" s="82"/>
      <c r="J647" s="82"/>
    </row>
    <row r="648">
      <c r="A648" s="82"/>
      <c r="B648" s="76"/>
      <c r="C648" s="82"/>
      <c r="D648" s="195"/>
      <c r="E648" s="76"/>
      <c r="F648" s="76"/>
      <c r="G648" s="82"/>
      <c r="H648" s="287"/>
      <c r="I648" s="82"/>
      <c r="J648" s="82"/>
    </row>
    <row r="649">
      <c r="A649" s="82"/>
      <c r="B649" s="76"/>
      <c r="C649" s="82"/>
      <c r="D649" s="195"/>
      <c r="E649" s="76"/>
      <c r="F649" s="76"/>
      <c r="G649" s="82"/>
      <c r="H649" s="287"/>
      <c r="I649" s="82"/>
      <c r="J649" s="82"/>
    </row>
    <row r="650">
      <c r="A650" s="82"/>
      <c r="B650" s="76"/>
      <c r="C650" s="82"/>
      <c r="D650" s="195"/>
      <c r="E650" s="76"/>
      <c r="F650" s="76"/>
      <c r="G650" s="82"/>
      <c r="H650" s="287"/>
      <c r="I650" s="82"/>
      <c r="J650" s="82"/>
    </row>
    <row r="651">
      <c r="A651" s="82"/>
      <c r="B651" s="76"/>
      <c r="C651" s="82"/>
      <c r="D651" s="195"/>
      <c r="E651" s="76"/>
      <c r="F651" s="76"/>
      <c r="G651" s="82"/>
      <c r="H651" s="287"/>
      <c r="I651" s="82"/>
      <c r="J651" s="82"/>
    </row>
    <row r="652">
      <c r="A652" s="82"/>
      <c r="B652" s="76"/>
      <c r="C652" s="82"/>
      <c r="D652" s="195"/>
      <c r="E652" s="76"/>
      <c r="F652" s="76"/>
      <c r="G652" s="82"/>
      <c r="H652" s="287"/>
      <c r="I652" s="82"/>
      <c r="J652" s="82"/>
    </row>
    <row r="653">
      <c r="A653" s="82"/>
      <c r="B653" s="76"/>
      <c r="C653" s="82"/>
      <c r="D653" s="195"/>
      <c r="E653" s="76"/>
      <c r="F653" s="76"/>
      <c r="G653" s="82"/>
      <c r="H653" s="287"/>
      <c r="I653" s="82"/>
      <c r="J653" s="82"/>
    </row>
    <row r="654">
      <c r="A654" s="82"/>
      <c r="B654" s="76"/>
      <c r="C654" s="82"/>
      <c r="D654" s="195"/>
      <c r="E654" s="76"/>
      <c r="F654" s="76"/>
      <c r="G654" s="82"/>
      <c r="H654" s="287"/>
      <c r="I654" s="82"/>
      <c r="J654" s="82"/>
    </row>
    <row r="655">
      <c r="A655" s="82"/>
      <c r="B655" s="76"/>
      <c r="C655" s="82"/>
      <c r="D655" s="195"/>
      <c r="E655" s="76"/>
      <c r="F655" s="76"/>
      <c r="G655" s="82"/>
      <c r="H655" s="287"/>
      <c r="I655" s="82"/>
      <c r="J655" s="82"/>
    </row>
    <row r="656">
      <c r="A656" s="82"/>
      <c r="B656" s="76"/>
      <c r="C656" s="82"/>
      <c r="D656" s="195"/>
      <c r="E656" s="76"/>
      <c r="F656" s="76"/>
      <c r="G656" s="82"/>
      <c r="H656" s="287"/>
      <c r="I656" s="82"/>
      <c r="J656" s="82"/>
    </row>
    <row r="657">
      <c r="A657" s="82"/>
      <c r="B657" s="76"/>
      <c r="C657" s="82"/>
      <c r="D657" s="195"/>
      <c r="E657" s="76"/>
      <c r="F657" s="76"/>
      <c r="G657" s="82"/>
      <c r="H657" s="287"/>
      <c r="I657" s="82"/>
      <c r="J657" s="82"/>
    </row>
    <row r="658">
      <c r="A658" s="82"/>
      <c r="B658" s="76"/>
      <c r="C658" s="82"/>
      <c r="D658" s="195"/>
      <c r="E658" s="76"/>
      <c r="F658" s="76"/>
      <c r="G658" s="82"/>
      <c r="H658" s="287"/>
      <c r="I658" s="82"/>
      <c r="J658" s="82"/>
    </row>
    <row r="659">
      <c r="A659" s="82"/>
      <c r="B659" s="76"/>
      <c r="C659" s="82"/>
      <c r="D659" s="195"/>
      <c r="E659" s="76"/>
      <c r="F659" s="76"/>
      <c r="G659" s="82"/>
      <c r="H659" s="287"/>
      <c r="I659" s="82"/>
      <c r="J659" s="82"/>
    </row>
    <row r="660">
      <c r="A660" s="82"/>
      <c r="B660" s="76"/>
      <c r="C660" s="82"/>
      <c r="D660" s="195"/>
      <c r="E660" s="76"/>
      <c r="F660" s="76"/>
      <c r="G660" s="82"/>
      <c r="H660" s="287"/>
      <c r="I660" s="82"/>
      <c r="J660" s="82"/>
    </row>
    <row r="661">
      <c r="A661" s="82"/>
      <c r="B661" s="76"/>
      <c r="C661" s="82"/>
      <c r="D661" s="195"/>
      <c r="E661" s="76"/>
      <c r="F661" s="76"/>
      <c r="G661" s="82"/>
      <c r="H661" s="287"/>
      <c r="I661" s="82"/>
      <c r="J661" s="82"/>
    </row>
    <row r="662">
      <c r="A662" s="82"/>
      <c r="B662" s="76"/>
      <c r="C662" s="82"/>
      <c r="D662" s="195"/>
      <c r="E662" s="76"/>
      <c r="F662" s="76"/>
      <c r="G662" s="82"/>
      <c r="H662" s="287"/>
      <c r="I662" s="82"/>
      <c r="J662" s="82"/>
    </row>
    <row r="663">
      <c r="A663" s="82"/>
      <c r="B663" s="76"/>
      <c r="C663" s="82"/>
      <c r="D663" s="195"/>
      <c r="E663" s="76"/>
      <c r="F663" s="76"/>
      <c r="G663" s="82"/>
      <c r="H663" s="287"/>
      <c r="I663" s="82"/>
      <c r="J663" s="82"/>
    </row>
    <row r="664">
      <c r="A664" s="82"/>
      <c r="B664" s="76"/>
      <c r="C664" s="82"/>
      <c r="D664" s="195"/>
      <c r="E664" s="76"/>
      <c r="F664" s="76"/>
      <c r="G664" s="82"/>
      <c r="H664" s="287"/>
      <c r="I664" s="82"/>
      <c r="J664" s="82"/>
    </row>
    <row r="665">
      <c r="A665" s="82"/>
      <c r="B665" s="76"/>
      <c r="C665" s="82"/>
      <c r="D665" s="195"/>
      <c r="E665" s="76"/>
      <c r="F665" s="76"/>
      <c r="G665" s="82"/>
      <c r="H665" s="287"/>
      <c r="I665" s="82"/>
      <c r="J665" s="82"/>
    </row>
    <row r="666">
      <c r="A666" s="82"/>
      <c r="B666" s="76"/>
      <c r="C666" s="82"/>
      <c r="D666" s="195"/>
      <c r="E666" s="76"/>
      <c r="F666" s="76"/>
      <c r="G666" s="82"/>
      <c r="H666" s="287"/>
      <c r="I666" s="82"/>
      <c r="J666" s="82"/>
    </row>
    <row r="667">
      <c r="A667" s="82"/>
      <c r="B667" s="76"/>
      <c r="C667" s="82"/>
      <c r="D667" s="195"/>
      <c r="E667" s="76"/>
      <c r="F667" s="76"/>
      <c r="G667" s="82"/>
      <c r="H667" s="287"/>
      <c r="I667" s="82"/>
      <c r="J667" s="82"/>
    </row>
    <row r="668">
      <c r="A668" s="82"/>
      <c r="B668" s="76"/>
      <c r="C668" s="82"/>
      <c r="D668" s="195"/>
      <c r="E668" s="76"/>
      <c r="F668" s="76"/>
      <c r="G668" s="82"/>
      <c r="H668" s="287"/>
      <c r="I668" s="82"/>
      <c r="J668" s="82"/>
    </row>
    <row r="669">
      <c r="A669" s="82"/>
      <c r="B669" s="76"/>
      <c r="C669" s="82"/>
      <c r="D669" s="195"/>
      <c r="E669" s="76"/>
      <c r="F669" s="76"/>
      <c r="G669" s="82"/>
      <c r="H669" s="287"/>
      <c r="I669" s="82"/>
      <c r="J669" s="82"/>
    </row>
    <row r="670">
      <c r="A670" s="82"/>
      <c r="B670" s="76"/>
      <c r="C670" s="82"/>
      <c r="D670" s="195"/>
      <c r="E670" s="76"/>
      <c r="F670" s="76"/>
      <c r="G670" s="82"/>
      <c r="H670" s="287"/>
      <c r="I670" s="82"/>
      <c r="J670" s="82"/>
    </row>
    <row r="671">
      <c r="A671" s="82"/>
      <c r="B671" s="76"/>
      <c r="C671" s="82"/>
      <c r="D671" s="195"/>
      <c r="E671" s="76"/>
      <c r="F671" s="76"/>
      <c r="G671" s="82"/>
      <c r="H671" s="287"/>
      <c r="I671" s="82"/>
      <c r="J671" s="82"/>
    </row>
    <row r="672">
      <c r="A672" s="82"/>
      <c r="B672" s="76"/>
      <c r="C672" s="82"/>
      <c r="D672" s="195"/>
      <c r="E672" s="76"/>
      <c r="F672" s="76"/>
      <c r="G672" s="82"/>
      <c r="H672" s="287"/>
      <c r="I672" s="82"/>
      <c r="J672" s="82"/>
    </row>
    <row r="673">
      <c r="A673" s="82"/>
      <c r="B673" s="76"/>
      <c r="C673" s="82"/>
      <c r="D673" s="195"/>
      <c r="E673" s="76"/>
      <c r="F673" s="76"/>
      <c r="G673" s="82"/>
      <c r="H673" s="287"/>
      <c r="I673" s="82"/>
      <c r="J673" s="82"/>
    </row>
    <row r="674">
      <c r="A674" s="82"/>
      <c r="B674" s="76"/>
      <c r="C674" s="82"/>
      <c r="D674" s="195"/>
      <c r="E674" s="76"/>
      <c r="F674" s="76"/>
      <c r="G674" s="82"/>
      <c r="H674" s="287"/>
      <c r="I674" s="82"/>
      <c r="J674" s="82"/>
    </row>
    <row r="675">
      <c r="A675" s="82"/>
      <c r="B675" s="76"/>
      <c r="C675" s="82"/>
      <c r="D675" s="195"/>
      <c r="E675" s="76"/>
      <c r="F675" s="76"/>
      <c r="G675" s="82"/>
      <c r="H675" s="287"/>
      <c r="I675" s="82"/>
      <c r="J675" s="82"/>
    </row>
    <row r="676">
      <c r="A676" s="82"/>
      <c r="B676" s="76"/>
      <c r="C676" s="82"/>
      <c r="D676" s="195"/>
      <c r="E676" s="76"/>
      <c r="F676" s="76"/>
      <c r="G676" s="82"/>
      <c r="H676" s="287"/>
      <c r="I676" s="82"/>
      <c r="J676" s="82"/>
    </row>
    <row r="677">
      <c r="A677" s="82"/>
      <c r="B677" s="76"/>
      <c r="C677" s="82"/>
      <c r="D677" s="195"/>
      <c r="E677" s="76"/>
      <c r="F677" s="76"/>
      <c r="G677" s="82"/>
      <c r="H677" s="287"/>
      <c r="I677" s="82"/>
      <c r="J677" s="82"/>
    </row>
    <row r="678">
      <c r="A678" s="82"/>
      <c r="B678" s="76"/>
      <c r="C678" s="82"/>
      <c r="D678" s="195"/>
      <c r="E678" s="76"/>
      <c r="F678" s="76"/>
      <c r="G678" s="82"/>
      <c r="H678" s="287"/>
      <c r="I678" s="82"/>
      <c r="J678" s="82"/>
    </row>
    <row r="679">
      <c r="A679" s="82"/>
      <c r="B679" s="76"/>
      <c r="C679" s="82"/>
      <c r="D679" s="195"/>
      <c r="E679" s="76"/>
      <c r="F679" s="76"/>
      <c r="G679" s="82"/>
      <c r="H679" s="287"/>
      <c r="I679" s="82"/>
      <c r="J679" s="82"/>
    </row>
    <row r="680">
      <c r="A680" s="82"/>
      <c r="B680" s="76"/>
      <c r="C680" s="82"/>
      <c r="D680" s="195"/>
      <c r="E680" s="76"/>
      <c r="F680" s="76"/>
      <c r="G680" s="82"/>
      <c r="H680" s="287"/>
      <c r="I680" s="82"/>
      <c r="J680" s="82"/>
    </row>
    <row r="681">
      <c r="A681" s="82"/>
      <c r="B681" s="76"/>
      <c r="C681" s="82"/>
      <c r="D681" s="195"/>
      <c r="E681" s="76"/>
      <c r="F681" s="76"/>
      <c r="G681" s="82"/>
      <c r="H681" s="287"/>
      <c r="I681" s="82"/>
      <c r="J681" s="82"/>
    </row>
    <row r="682">
      <c r="A682" s="82"/>
      <c r="B682" s="76"/>
      <c r="C682" s="82"/>
      <c r="D682" s="195"/>
      <c r="E682" s="76"/>
      <c r="F682" s="76"/>
      <c r="G682" s="82"/>
      <c r="H682" s="287"/>
      <c r="I682" s="82"/>
      <c r="J682" s="82"/>
    </row>
    <row r="683">
      <c r="A683" s="82"/>
      <c r="B683" s="76"/>
      <c r="C683" s="82"/>
      <c r="D683" s="195"/>
      <c r="E683" s="76"/>
      <c r="F683" s="76"/>
      <c r="G683" s="82"/>
      <c r="H683" s="287"/>
      <c r="I683" s="82"/>
      <c r="J683" s="82"/>
    </row>
    <row r="684">
      <c r="A684" s="82"/>
      <c r="B684" s="76"/>
      <c r="C684" s="82"/>
      <c r="D684" s="195"/>
      <c r="E684" s="76"/>
      <c r="F684" s="76"/>
      <c r="G684" s="82"/>
      <c r="H684" s="287"/>
      <c r="I684" s="82"/>
      <c r="J684" s="82"/>
    </row>
    <row r="685">
      <c r="A685" s="82"/>
      <c r="B685" s="76"/>
      <c r="C685" s="82"/>
      <c r="D685" s="195"/>
      <c r="E685" s="76"/>
      <c r="F685" s="76"/>
      <c r="G685" s="82"/>
      <c r="H685" s="287"/>
      <c r="I685" s="82"/>
      <c r="J685" s="82"/>
    </row>
    <row r="686">
      <c r="A686" s="82"/>
      <c r="B686" s="76"/>
      <c r="C686" s="82"/>
      <c r="D686" s="195"/>
      <c r="E686" s="76"/>
      <c r="F686" s="76"/>
      <c r="G686" s="82"/>
      <c r="H686" s="287"/>
      <c r="I686" s="82"/>
      <c r="J686" s="82"/>
    </row>
    <row r="687">
      <c r="A687" s="82"/>
      <c r="B687" s="76"/>
      <c r="C687" s="82"/>
      <c r="D687" s="195"/>
      <c r="E687" s="76"/>
      <c r="F687" s="76"/>
      <c r="G687" s="82"/>
      <c r="H687" s="287"/>
      <c r="I687" s="82"/>
      <c r="J687" s="82"/>
    </row>
    <row r="688">
      <c r="A688" s="82"/>
      <c r="B688" s="76"/>
      <c r="C688" s="82"/>
      <c r="D688" s="195"/>
      <c r="E688" s="76"/>
      <c r="F688" s="76"/>
      <c r="G688" s="82"/>
      <c r="H688" s="287"/>
      <c r="I688" s="82"/>
      <c r="J688" s="82"/>
    </row>
    <row r="689">
      <c r="A689" s="82"/>
      <c r="B689" s="76"/>
      <c r="C689" s="82"/>
      <c r="D689" s="195"/>
      <c r="E689" s="76"/>
      <c r="F689" s="76"/>
      <c r="G689" s="82"/>
      <c r="H689" s="287"/>
      <c r="I689" s="82"/>
      <c r="J689" s="82"/>
    </row>
    <row r="690">
      <c r="A690" s="82"/>
      <c r="B690" s="76"/>
      <c r="C690" s="82"/>
      <c r="D690" s="195"/>
      <c r="E690" s="76"/>
      <c r="F690" s="76"/>
      <c r="G690" s="82"/>
      <c r="H690" s="287"/>
      <c r="I690" s="82"/>
      <c r="J690" s="82"/>
    </row>
    <row r="691">
      <c r="A691" s="82"/>
      <c r="B691" s="76"/>
      <c r="C691" s="82"/>
      <c r="D691" s="195"/>
      <c r="E691" s="76"/>
      <c r="F691" s="76"/>
      <c r="G691" s="82"/>
      <c r="H691" s="287"/>
      <c r="I691" s="82"/>
      <c r="J691" s="82"/>
    </row>
    <row r="692">
      <c r="A692" s="82"/>
      <c r="B692" s="76"/>
      <c r="C692" s="82"/>
      <c r="D692" s="195"/>
      <c r="E692" s="76"/>
      <c r="F692" s="76"/>
      <c r="G692" s="82"/>
      <c r="H692" s="287"/>
      <c r="I692" s="82"/>
      <c r="J692" s="82"/>
    </row>
    <row r="693">
      <c r="A693" s="82"/>
      <c r="B693" s="76"/>
      <c r="C693" s="82"/>
      <c r="D693" s="195"/>
      <c r="E693" s="76"/>
      <c r="F693" s="76"/>
      <c r="G693" s="82"/>
      <c r="H693" s="287"/>
      <c r="I693" s="82"/>
      <c r="J693" s="82"/>
    </row>
    <row r="694">
      <c r="A694" s="82"/>
      <c r="B694" s="76"/>
      <c r="C694" s="82"/>
      <c r="D694" s="195"/>
      <c r="E694" s="76"/>
      <c r="F694" s="76"/>
      <c r="G694" s="82"/>
      <c r="H694" s="287"/>
      <c r="I694" s="82"/>
      <c r="J694" s="82"/>
    </row>
    <row r="695">
      <c r="A695" s="82"/>
      <c r="B695" s="76"/>
      <c r="C695" s="82"/>
      <c r="D695" s="195"/>
      <c r="E695" s="76"/>
      <c r="F695" s="76"/>
      <c r="G695" s="82"/>
      <c r="H695" s="287"/>
      <c r="I695" s="82"/>
      <c r="J695" s="82"/>
    </row>
    <row r="696">
      <c r="A696" s="82"/>
      <c r="B696" s="76"/>
      <c r="C696" s="82"/>
      <c r="D696" s="195"/>
      <c r="E696" s="76"/>
      <c r="F696" s="76"/>
      <c r="G696" s="82"/>
      <c r="H696" s="287"/>
      <c r="I696" s="82"/>
      <c r="J696" s="82"/>
    </row>
    <row r="697">
      <c r="A697" s="82"/>
      <c r="B697" s="76"/>
      <c r="C697" s="82"/>
      <c r="D697" s="195"/>
      <c r="E697" s="76"/>
      <c r="F697" s="76"/>
      <c r="G697" s="82"/>
      <c r="H697" s="287"/>
      <c r="I697" s="82"/>
      <c r="J697" s="82"/>
    </row>
    <row r="698">
      <c r="A698" s="82"/>
      <c r="B698" s="76"/>
      <c r="C698" s="82"/>
      <c r="D698" s="195"/>
      <c r="E698" s="76"/>
      <c r="F698" s="76"/>
      <c r="G698" s="82"/>
      <c r="H698" s="287"/>
      <c r="I698" s="82"/>
      <c r="J698" s="82"/>
    </row>
    <row r="699">
      <c r="A699" s="82"/>
      <c r="B699" s="76"/>
      <c r="C699" s="82"/>
      <c r="D699" s="195"/>
      <c r="E699" s="76"/>
      <c r="F699" s="76"/>
      <c r="G699" s="82"/>
      <c r="H699" s="287"/>
      <c r="I699" s="82"/>
      <c r="J699" s="82"/>
    </row>
    <row r="700">
      <c r="A700" s="82"/>
      <c r="B700" s="76"/>
      <c r="C700" s="82"/>
      <c r="D700" s="195"/>
      <c r="E700" s="76"/>
      <c r="F700" s="76"/>
      <c r="G700" s="82"/>
      <c r="H700" s="287"/>
      <c r="I700" s="82"/>
      <c r="J700" s="82"/>
    </row>
    <row r="701">
      <c r="A701" s="82"/>
      <c r="B701" s="76"/>
      <c r="C701" s="82"/>
      <c r="D701" s="195"/>
      <c r="E701" s="76"/>
      <c r="F701" s="76"/>
      <c r="G701" s="82"/>
      <c r="H701" s="287"/>
      <c r="I701" s="82"/>
      <c r="J701" s="82"/>
    </row>
    <row r="702">
      <c r="A702" s="82"/>
      <c r="B702" s="76"/>
      <c r="C702" s="82"/>
      <c r="D702" s="195"/>
      <c r="E702" s="76"/>
      <c r="F702" s="76"/>
      <c r="G702" s="82"/>
      <c r="H702" s="287"/>
      <c r="I702" s="82"/>
      <c r="J702" s="82"/>
    </row>
    <row r="703">
      <c r="A703" s="82"/>
      <c r="B703" s="76"/>
      <c r="C703" s="82"/>
      <c r="D703" s="195"/>
      <c r="E703" s="76"/>
      <c r="F703" s="76"/>
      <c r="G703" s="82"/>
      <c r="H703" s="287"/>
      <c r="I703" s="82"/>
      <c r="J703" s="82"/>
    </row>
    <row r="704">
      <c r="A704" s="82"/>
      <c r="B704" s="76"/>
      <c r="C704" s="82"/>
      <c r="D704" s="195"/>
      <c r="E704" s="76"/>
      <c r="F704" s="76"/>
      <c r="G704" s="82"/>
      <c r="H704" s="287"/>
      <c r="I704" s="82"/>
      <c r="J704" s="82"/>
    </row>
    <row r="705">
      <c r="A705" s="82"/>
      <c r="B705" s="76"/>
      <c r="C705" s="82"/>
      <c r="D705" s="195"/>
      <c r="E705" s="76"/>
      <c r="F705" s="76"/>
      <c r="G705" s="82"/>
      <c r="H705" s="287"/>
      <c r="I705" s="82"/>
      <c r="J705" s="82"/>
    </row>
    <row r="706">
      <c r="A706" s="82"/>
      <c r="B706" s="76"/>
      <c r="C706" s="82"/>
      <c r="D706" s="195"/>
      <c r="E706" s="76"/>
      <c r="F706" s="76"/>
      <c r="G706" s="82"/>
      <c r="H706" s="287"/>
      <c r="I706" s="82"/>
      <c r="J706" s="82"/>
    </row>
    <row r="707">
      <c r="A707" s="82"/>
      <c r="B707" s="76"/>
      <c r="C707" s="82"/>
      <c r="D707" s="195"/>
      <c r="E707" s="76"/>
      <c r="F707" s="76"/>
      <c r="G707" s="82"/>
      <c r="H707" s="287"/>
      <c r="I707" s="82"/>
      <c r="J707" s="82"/>
    </row>
    <row r="708">
      <c r="A708" s="82"/>
      <c r="B708" s="76"/>
      <c r="C708" s="82"/>
      <c r="D708" s="195"/>
      <c r="E708" s="76"/>
      <c r="F708" s="76"/>
      <c r="G708" s="82"/>
      <c r="H708" s="287"/>
      <c r="I708" s="82"/>
      <c r="J708" s="82"/>
    </row>
    <row r="709">
      <c r="A709" s="82"/>
      <c r="B709" s="76"/>
      <c r="C709" s="82"/>
      <c r="D709" s="195"/>
      <c r="E709" s="76"/>
      <c r="F709" s="76"/>
      <c r="G709" s="82"/>
      <c r="H709" s="287"/>
      <c r="I709" s="82"/>
      <c r="J709" s="82"/>
    </row>
    <row r="710">
      <c r="A710" s="82"/>
      <c r="B710" s="76"/>
      <c r="C710" s="82"/>
      <c r="D710" s="195"/>
      <c r="E710" s="76"/>
      <c r="F710" s="76"/>
      <c r="G710" s="82"/>
      <c r="H710" s="287"/>
      <c r="I710" s="82"/>
      <c r="J710" s="82"/>
    </row>
    <row r="711">
      <c r="A711" s="82"/>
      <c r="B711" s="76"/>
      <c r="C711" s="82"/>
      <c r="D711" s="195"/>
      <c r="E711" s="76"/>
      <c r="F711" s="76"/>
      <c r="G711" s="82"/>
      <c r="H711" s="287"/>
      <c r="I711" s="82"/>
      <c r="J711" s="82"/>
    </row>
    <row r="712">
      <c r="A712" s="82"/>
      <c r="B712" s="76"/>
      <c r="C712" s="82"/>
      <c r="D712" s="195"/>
      <c r="E712" s="76"/>
      <c r="F712" s="76"/>
      <c r="G712" s="82"/>
      <c r="H712" s="287"/>
      <c r="I712" s="82"/>
      <c r="J712" s="82"/>
    </row>
    <row r="713">
      <c r="A713" s="82"/>
      <c r="B713" s="76"/>
      <c r="C713" s="82"/>
      <c r="D713" s="195"/>
      <c r="E713" s="76"/>
      <c r="F713" s="76"/>
      <c r="G713" s="82"/>
      <c r="H713" s="287"/>
      <c r="I713" s="82"/>
      <c r="J713" s="82"/>
    </row>
    <row r="714">
      <c r="A714" s="82"/>
      <c r="B714" s="76"/>
      <c r="C714" s="82"/>
      <c r="D714" s="195"/>
      <c r="E714" s="76"/>
      <c r="F714" s="76"/>
      <c r="G714" s="82"/>
      <c r="H714" s="287"/>
      <c r="I714" s="82"/>
      <c r="J714" s="82"/>
    </row>
    <row r="715">
      <c r="A715" s="82"/>
      <c r="B715" s="76"/>
      <c r="C715" s="82"/>
      <c r="D715" s="195"/>
      <c r="E715" s="76"/>
      <c r="F715" s="76"/>
      <c r="G715" s="82"/>
      <c r="H715" s="287"/>
      <c r="I715" s="82"/>
      <c r="J715" s="82"/>
    </row>
    <row r="716">
      <c r="A716" s="82"/>
      <c r="B716" s="76"/>
      <c r="C716" s="82"/>
      <c r="D716" s="195"/>
      <c r="E716" s="76"/>
      <c r="F716" s="76"/>
      <c r="G716" s="82"/>
      <c r="H716" s="287"/>
      <c r="I716" s="82"/>
      <c r="J716" s="82"/>
    </row>
    <row r="717">
      <c r="A717" s="82"/>
      <c r="B717" s="76"/>
      <c r="C717" s="82"/>
      <c r="D717" s="195"/>
      <c r="E717" s="76"/>
      <c r="F717" s="76"/>
      <c r="G717" s="82"/>
      <c r="H717" s="287"/>
      <c r="I717" s="82"/>
      <c r="J717" s="82"/>
    </row>
    <row r="718">
      <c r="A718" s="82"/>
      <c r="B718" s="76"/>
      <c r="C718" s="82"/>
      <c r="D718" s="195"/>
      <c r="E718" s="76"/>
      <c r="F718" s="76"/>
      <c r="G718" s="82"/>
      <c r="H718" s="287"/>
      <c r="I718" s="82"/>
      <c r="J718" s="82"/>
    </row>
    <row r="719">
      <c r="A719" s="82"/>
      <c r="B719" s="76"/>
      <c r="C719" s="82"/>
      <c r="D719" s="195"/>
      <c r="E719" s="76"/>
      <c r="F719" s="76"/>
      <c r="G719" s="82"/>
      <c r="H719" s="287"/>
      <c r="I719" s="82"/>
      <c r="J719" s="82"/>
    </row>
    <row r="720">
      <c r="A720" s="82"/>
      <c r="B720" s="76"/>
      <c r="C720" s="82"/>
      <c r="D720" s="195"/>
      <c r="E720" s="76"/>
      <c r="F720" s="76"/>
      <c r="G720" s="82"/>
      <c r="H720" s="287"/>
      <c r="I720" s="82"/>
      <c r="J720" s="82"/>
    </row>
    <row r="721">
      <c r="A721" s="82"/>
      <c r="B721" s="76"/>
      <c r="C721" s="82"/>
      <c r="D721" s="195"/>
      <c r="E721" s="76"/>
      <c r="F721" s="76"/>
      <c r="G721" s="82"/>
      <c r="H721" s="287"/>
      <c r="I721" s="82"/>
      <c r="J721" s="82"/>
    </row>
    <row r="722">
      <c r="A722" s="82"/>
      <c r="B722" s="76"/>
      <c r="C722" s="82"/>
      <c r="D722" s="195"/>
      <c r="E722" s="76"/>
      <c r="F722" s="76"/>
      <c r="G722" s="82"/>
      <c r="H722" s="287"/>
      <c r="I722" s="82"/>
      <c r="J722" s="82"/>
    </row>
    <row r="723">
      <c r="A723" s="82"/>
      <c r="B723" s="76"/>
      <c r="C723" s="82"/>
      <c r="D723" s="195"/>
      <c r="E723" s="76"/>
      <c r="F723" s="76"/>
      <c r="G723" s="82"/>
      <c r="H723" s="287"/>
      <c r="I723" s="82"/>
      <c r="J723" s="82"/>
    </row>
    <row r="724">
      <c r="A724" s="82"/>
      <c r="B724" s="76"/>
      <c r="C724" s="82"/>
      <c r="D724" s="195"/>
      <c r="E724" s="76"/>
      <c r="F724" s="76"/>
      <c r="G724" s="82"/>
      <c r="H724" s="287"/>
      <c r="I724" s="82"/>
      <c r="J724" s="82"/>
    </row>
    <row r="725">
      <c r="A725" s="82"/>
      <c r="B725" s="76"/>
      <c r="C725" s="82"/>
      <c r="D725" s="195"/>
      <c r="E725" s="76"/>
      <c r="F725" s="76"/>
      <c r="G725" s="82"/>
      <c r="H725" s="287"/>
      <c r="I725" s="82"/>
      <c r="J725" s="82"/>
    </row>
    <row r="726">
      <c r="A726" s="82"/>
      <c r="B726" s="76"/>
      <c r="C726" s="82"/>
      <c r="D726" s="195"/>
      <c r="E726" s="76"/>
      <c r="F726" s="76"/>
      <c r="G726" s="82"/>
      <c r="H726" s="287"/>
      <c r="I726" s="82"/>
      <c r="J726" s="82"/>
    </row>
    <row r="727">
      <c r="A727" s="82"/>
      <c r="B727" s="76"/>
      <c r="C727" s="82"/>
      <c r="D727" s="195"/>
      <c r="E727" s="76"/>
      <c r="F727" s="76"/>
      <c r="G727" s="82"/>
      <c r="H727" s="287"/>
      <c r="I727" s="82"/>
      <c r="J727" s="82"/>
    </row>
    <row r="728">
      <c r="A728" s="82"/>
      <c r="B728" s="76"/>
      <c r="C728" s="82"/>
      <c r="D728" s="195"/>
      <c r="E728" s="76"/>
      <c r="F728" s="76"/>
      <c r="G728" s="82"/>
      <c r="H728" s="287"/>
      <c r="I728" s="82"/>
      <c r="J728" s="82"/>
    </row>
    <row r="729">
      <c r="A729" s="82"/>
      <c r="B729" s="76"/>
      <c r="C729" s="82"/>
      <c r="D729" s="195"/>
      <c r="E729" s="76"/>
      <c r="F729" s="76"/>
      <c r="G729" s="82"/>
      <c r="H729" s="287"/>
      <c r="I729" s="82"/>
      <c r="J729" s="82"/>
    </row>
    <row r="730">
      <c r="A730" s="82"/>
      <c r="B730" s="76"/>
      <c r="C730" s="82"/>
      <c r="D730" s="195"/>
      <c r="E730" s="76"/>
      <c r="F730" s="76"/>
      <c r="G730" s="82"/>
      <c r="H730" s="287"/>
      <c r="I730" s="82"/>
      <c r="J730" s="82"/>
    </row>
    <row r="731">
      <c r="A731" s="82"/>
      <c r="B731" s="76"/>
      <c r="C731" s="82"/>
      <c r="D731" s="195"/>
      <c r="E731" s="76"/>
      <c r="F731" s="76"/>
      <c r="G731" s="82"/>
      <c r="H731" s="287"/>
      <c r="I731" s="82"/>
      <c r="J731" s="82"/>
    </row>
    <row r="732">
      <c r="A732" s="82"/>
      <c r="B732" s="76"/>
      <c r="C732" s="82"/>
      <c r="D732" s="195"/>
      <c r="E732" s="76"/>
      <c r="F732" s="76"/>
      <c r="G732" s="82"/>
      <c r="H732" s="287"/>
      <c r="I732" s="82"/>
      <c r="J732" s="82"/>
    </row>
    <row r="733">
      <c r="A733" s="82"/>
      <c r="B733" s="76"/>
      <c r="C733" s="82"/>
      <c r="D733" s="195"/>
      <c r="E733" s="76"/>
      <c r="F733" s="76"/>
      <c r="G733" s="82"/>
      <c r="H733" s="287"/>
      <c r="I733" s="82"/>
      <c r="J733" s="82"/>
    </row>
    <row r="734">
      <c r="A734" s="82"/>
      <c r="B734" s="76"/>
      <c r="C734" s="82"/>
      <c r="D734" s="195"/>
      <c r="E734" s="76"/>
      <c r="F734" s="76"/>
      <c r="G734" s="82"/>
      <c r="H734" s="287"/>
      <c r="I734" s="82"/>
      <c r="J734" s="82"/>
    </row>
    <row r="735">
      <c r="A735" s="82"/>
      <c r="B735" s="76"/>
      <c r="C735" s="82"/>
      <c r="D735" s="195"/>
      <c r="E735" s="76"/>
      <c r="F735" s="76"/>
      <c r="G735" s="82"/>
      <c r="H735" s="287"/>
      <c r="I735" s="82"/>
      <c r="J735" s="82"/>
    </row>
    <row r="736">
      <c r="A736" s="82"/>
      <c r="B736" s="76"/>
      <c r="C736" s="82"/>
      <c r="D736" s="195"/>
      <c r="E736" s="76"/>
      <c r="F736" s="76"/>
      <c r="G736" s="82"/>
      <c r="H736" s="287"/>
      <c r="I736" s="82"/>
      <c r="J736" s="82"/>
    </row>
    <row r="737">
      <c r="A737" s="82"/>
      <c r="B737" s="76"/>
      <c r="C737" s="82"/>
      <c r="D737" s="195"/>
      <c r="E737" s="76"/>
      <c r="F737" s="76"/>
      <c r="G737" s="82"/>
      <c r="H737" s="287"/>
      <c r="I737" s="82"/>
      <c r="J737" s="82"/>
    </row>
    <row r="738">
      <c r="A738" s="82"/>
      <c r="B738" s="76"/>
      <c r="C738" s="82"/>
      <c r="D738" s="195"/>
      <c r="E738" s="76"/>
      <c r="F738" s="76"/>
      <c r="G738" s="82"/>
      <c r="H738" s="287"/>
      <c r="I738" s="82"/>
      <c r="J738" s="82"/>
    </row>
    <row r="739">
      <c r="A739" s="82"/>
      <c r="B739" s="76"/>
      <c r="C739" s="82"/>
      <c r="D739" s="195"/>
      <c r="E739" s="76"/>
      <c r="F739" s="76"/>
      <c r="G739" s="82"/>
      <c r="H739" s="287"/>
      <c r="I739" s="82"/>
      <c r="J739" s="82"/>
    </row>
    <row r="740">
      <c r="A740" s="82"/>
      <c r="B740" s="76"/>
      <c r="C740" s="82"/>
      <c r="D740" s="195"/>
      <c r="E740" s="76"/>
      <c r="F740" s="76"/>
      <c r="G740" s="82"/>
      <c r="H740" s="287"/>
      <c r="I740" s="82"/>
      <c r="J740" s="82"/>
    </row>
    <row r="741">
      <c r="A741" s="82"/>
      <c r="B741" s="76"/>
      <c r="C741" s="82"/>
      <c r="D741" s="195"/>
      <c r="E741" s="76"/>
      <c r="F741" s="76"/>
      <c r="G741" s="82"/>
      <c r="H741" s="287"/>
      <c r="I741" s="82"/>
      <c r="J741" s="82"/>
    </row>
    <row r="742">
      <c r="A742" s="82"/>
      <c r="B742" s="76"/>
      <c r="C742" s="82"/>
      <c r="D742" s="195"/>
      <c r="E742" s="76"/>
      <c r="F742" s="76"/>
      <c r="G742" s="82"/>
      <c r="H742" s="287"/>
      <c r="I742" s="82"/>
      <c r="J742" s="82"/>
    </row>
    <row r="743">
      <c r="A743" s="82"/>
      <c r="B743" s="76"/>
      <c r="C743" s="82"/>
      <c r="D743" s="195"/>
      <c r="E743" s="76"/>
      <c r="F743" s="76"/>
      <c r="G743" s="82"/>
      <c r="H743" s="287"/>
      <c r="I743" s="82"/>
      <c r="J743" s="82"/>
    </row>
    <row r="744">
      <c r="A744" s="82"/>
      <c r="B744" s="76"/>
      <c r="C744" s="82"/>
      <c r="D744" s="195"/>
      <c r="E744" s="76"/>
      <c r="F744" s="76"/>
      <c r="G744" s="82"/>
      <c r="H744" s="287"/>
      <c r="I744" s="82"/>
      <c r="J744" s="82"/>
    </row>
    <row r="745">
      <c r="A745" s="82"/>
      <c r="B745" s="76"/>
      <c r="C745" s="82"/>
      <c r="D745" s="195"/>
      <c r="E745" s="76"/>
      <c r="F745" s="76"/>
      <c r="G745" s="82"/>
      <c r="H745" s="287"/>
      <c r="I745" s="82"/>
      <c r="J745" s="82"/>
    </row>
    <row r="746">
      <c r="A746" s="82"/>
      <c r="B746" s="76"/>
      <c r="C746" s="82"/>
      <c r="D746" s="195"/>
      <c r="E746" s="76"/>
      <c r="F746" s="76"/>
      <c r="G746" s="82"/>
      <c r="H746" s="287"/>
      <c r="I746" s="82"/>
      <c r="J746" s="82"/>
    </row>
    <row r="747">
      <c r="A747" s="82"/>
      <c r="B747" s="76"/>
      <c r="C747" s="82"/>
      <c r="D747" s="195"/>
      <c r="E747" s="76"/>
      <c r="F747" s="76"/>
      <c r="G747" s="82"/>
      <c r="H747" s="287"/>
      <c r="I747" s="82"/>
      <c r="J747" s="82"/>
    </row>
    <row r="748">
      <c r="A748" s="82"/>
      <c r="B748" s="76"/>
      <c r="C748" s="82"/>
      <c r="D748" s="195"/>
      <c r="E748" s="76"/>
      <c r="F748" s="76"/>
      <c r="G748" s="82"/>
      <c r="H748" s="287"/>
      <c r="I748" s="82"/>
      <c r="J748" s="82"/>
    </row>
    <row r="749">
      <c r="A749" s="82"/>
      <c r="B749" s="76"/>
      <c r="C749" s="82"/>
      <c r="D749" s="195"/>
      <c r="E749" s="76"/>
      <c r="F749" s="76"/>
      <c r="G749" s="82"/>
      <c r="H749" s="287"/>
      <c r="I749" s="82"/>
      <c r="J749" s="82"/>
    </row>
    <row r="750">
      <c r="A750" s="82"/>
      <c r="B750" s="76"/>
      <c r="C750" s="82"/>
      <c r="D750" s="195"/>
      <c r="E750" s="76"/>
      <c r="F750" s="76"/>
      <c r="G750" s="82"/>
      <c r="H750" s="287"/>
      <c r="I750" s="82"/>
      <c r="J750" s="82"/>
    </row>
    <row r="751">
      <c r="A751" s="82"/>
      <c r="B751" s="76"/>
      <c r="C751" s="82"/>
      <c r="D751" s="195"/>
      <c r="E751" s="76"/>
      <c r="F751" s="76"/>
      <c r="G751" s="82"/>
      <c r="H751" s="287"/>
      <c r="I751" s="82"/>
      <c r="J751" s="82"/>
    </row>
    <row r="752">
      <c r="A752" s="82"/>
      <c r="B752" s="76"/>
      <c r="C752" s="82"/>
      <c r="D752" s="195"/>
      <c r="E752" s="76"/>
      <c r="F752" s="76"/>
      <c r="G752" s="82"/>
      <c r="H752" s="287"/>
      <c r="I752" s="82"/>
      <c r="J752" s="82"/>
    </row>
    <row r="753">
      <c r="A753" s="82"/>
      <c r="B753" s="76"/>
      <c r="C753" s="82"/>
      <c r="D753" s="195"/>
      <c r="E753" s="76"/>
      <c r="F753" s="76"/>
      <c r="G753" s="82"/>
      <c r="H753" s="287"/>
      <c r="I753" s="82"/>
      <c r="J753" s="82"/>
    </row>
    <row r="754">
      <c r="A754" s="82"/>
      <c r="B754" s="76"/>
      <c r="C754" s="82"/>
      <c r="D754" s="195"/>
      <c r="E754" s="76"/>
      <c r="F754" s="76"/>
      <c r="G754" s="82"/>
      <c r="H754" s="287"/>
      <c r="I754" s="82"/>
      <c r="J754" s="82"/>
    </row>
    <row r="755">
      <c r="A755" s="82"/>
      <c r="B755" s="76"/>
      <c r="C755" s="82"/>
      <c r="D755" s="195"/>
      <c r="E755" s="76"/>
      <c r="F755" s="76"/>
      <c r="G755" s="82"/>
      <c r="H755" s="287"/>
      <c r="I755" s="82"/>
      <c r="J755" s="82"/>
    </row>
    <row r="756">
      <c r="A756" s="82"/>
      <c r="B756" s="76"/>
      <c r="C756" s="82"/>
      <c r="D756" s="195"/>
      <c r="E756" s="76"/>
      <c r="F756" s="76"/>
      <c r="G756" s="82"/>
      <c r="H756" s="287"/>
      <c r="I756" s="82"/>
      <c r="J756" s="82"/>
    </row>
    <row r="757">
      <c r="A757" s="82"/>
      <c r="B757" s="76"/>
      <c r="C757" s="82"/>
      <c r="D757" s="195"/>
      <c r="E757" s="76"/>
      <c r="F757" s="76"/>
      <c r="G757" s="82"/>
      <c r="H757" s="287"/>
      <c r="I757" s="82"/>
      <c r="J757" s="82"/>
    </row>
    <row r="758">
      <c r="A758" s="82"/>
      <c r="B758" s="76"/>
      <c r="C758" s="82"/>
      <c r="D758" s="195"/>
      <c r="E758" s="76"/>
      <c r="F758" s="76"/>
      <c r="G758" s="82"/>
      <c r="H758" s="287"/>
      <c r="I758" s="82"/>
      <c r="J758" s="82"/>
    </row>
    <row r="759">
      <c r="A759" s="82"/>
      <c r="B759" s="76"/>
      <c r="C759" s="82"/>
      <c r="D759" s="195"/>
      <c r="E759" s="76"/>
      <c r="F759" s="76"/>
      <c r="G759" s="82"/>
      <c r="H759" s="287"/>
      <c r="I759" s="82"/>
      <c r="J759" s="82"/>
    </row>
    <row r="760">
      <c r="A760" s="82"/>
      <c r="B760" s="76"/>
      <c r="C760" s="82"/>
      <c r="D760" s="195"/>
      <c r="E760" s="76"/>
      <c r="F760" s="76"/>
      <c r="G760" s="82"/>
      <c r="H760" s="287"/>
      <c r="I760" s="82"/>
      <c r="J760" s="82"/>
    </row>
    <row r="761">
      <c r="A761" s="82"/>
      <c r="B761" s="76"/>
      <c r="C761" s="82"/>
      <c r="D761" s="195"/>
      <c r="E761" s="76"/>
      <c r="F761" s="76"/>
      <c r="G761" s="82"/>
      <c r="H761" s="287"/>
      <c r="I761" s="82"/>
      <c r="J761" s="82"/>
    </row>
    <row r="762">
      <c r="A762" s="82"/>
      <c r="B762" s="76"/>
      <c r="C762" s="82"/>
      <c r="D762" s="195"/>
      <c r="E762" s="76"/>
      <c r="F762" s="76"/>
      <c r="G762" s="82"/>
      <c r="H762" s="287"/>
      <c r="I762" s="82"/>
      <c r="J762" s="82"/>
    </row>
    <row r="763">
      <c r="A763" s="82"/>
      <c r="B763" s="76"/>
      <c r="C763" s="82"/>
      <c r="D763" s="195"/>
      <c r="E763" s="76"/>
      <c r="F763" s="76"/>
      <c r="G763" s="82"/>
      <c r="H763" s="287"/>
      <c r="I763" s="82"/>
      <c r="J763" s="82"/>
    </row>
    <row r="764">
      <c r="A764" s="82"/>
      <c r="B764" s="76"/>
      <c r="C764" s="82"/>
      <c r="D764" s="195"/>
      <c r="E764" s="76"/>
      <c r="F764" s="76"/>
      <c r="G764" s="82"/>
      <c r="H764" s="287"/>
      <c r="I764" s="82"/>
      <c r="J764" s="82"/>
    </row>
    <row r="765">
      <c r="A765" s="82"/>
      <c r="B765" s="76"/>
      <c r="C765" s="82"/>
      <c r="D765" s="195"/>
      <c r="E765" s="76"/>
      <c r="F765" s="76"/>
      <c r="G765" s="82"/>
      <c r="H765" s="287"/>
      <c r="I765" s="82"/>
      <c r="J765" s="82"/>
    </row>
    <row r="766">
      <c r="A766" s="82"/>
      <c r="B766" s="76"/>
      <c r="C766" s="82"/>
      <c r="D766" s="195"/>
      <c r="E766" s="76"/>
      <c r="F766" s="76"/>
      <c r="G766" s="82"/>
      <c r="H766" s="287"/>
      <c r="I766" s="82"/>
      <c r="J766" s="82"/>
    </row>
    <row r="767">
      <c r="A767" s="82"/>
      <c r="B767" s="76"/>
      <c r="C767" s="82"/>
      <c r="D767" s="195"/>
      <c r="E767" s="76"/>
      <c r="F767" s="76"/>
      <c r="G767" s="82"/>
      <c r="H767" s="287"/>
      <c r="I767" s="82"/>
      <c r="J767" s="82"/>
    </row>
    <row r="768">
      <c r="A768" s="82"/>
      <c r="B768" s="76"/>
      <c r="C768" s="82"/>
      <c r="D768" s="195"/>
      <c r="E768" s="76"/>
      <c r="F768" s="76"/>
      <c r="G768" s="82"/>
      <c r="H768" s="287"/>
      <c r="I768" s="82"/>
      <c r="J768" s="82"/>
    </row>
    <row r="769">
      <c r="A769" s="82"/>
      <c r="B769" s="76"/>
      <c r="C769" s="82"/>
      <c r="D769" s="195"/>
      <c r="E769" s="76"/>
      <c r="F769" s="76"/>
      <c r="G769" s="82"/>
      <c r="H769" s="287"/>
      <c r="I769" s="82"/>
      <c r="J769" s="82"/>
    </row>
    <row r="770">
      <c r="A770" s="82"/>
      <c r="B770" s="76"/>
      <c r="C770" s="82"/>
      <c r="D770" s="195"/>
      <c r="E770" s="76"/>
      <c r="F770" s="76"/>
      <c r="G770" s="82"/>
      <c r="H770" s="287"/>
      <c r="I770" s="82"/>
      <c r="J770" s="82"/>
    </row>
    <row r="771">
      <c r="A771" s="82"/>
      <c r="B771" s="76"/>
      <c r="C771" s="82"/>
      <c r="D771" s="195"/>
      <c r="E771" s="76"/>
      <c r="F771" s="76"/>
      <c r="G771" s="82"/>
      <c r="H771" s="287"/>
      <c r="I771" s="82"/>
      <c r="J771" s="82"/>
    </row>
    <row r="772">
      <c r="A772" s="82"/>
      <c r="B772" s="76"/>
      <c r="C772" s="82"/>
      <c r="D772" s="195"/>
      <c r="E772" s="76"/>
      <c r="F772" s="76"/>
      <c r="G772" s="82"/>
      <c r="H772" s="287"/>
      <c r="I772" s="82"/>
      <c r="J772" s="82"/>
    </row>
    <row r="773">
      <c r="A773" s="82"/>
      <c r="B773" s="76"/>
      <c r="C773" s="82"/>
      <c r="D773" s="195"/>
      <c r="E773" s="76"/>
      <c r="F773" s="76"/>
      <c r="G773" s="82"/>
      <c r="H773" s="287"/>
      <c r="I773" s="82"/>
      <c r="J773" s="82"/>
    </row>
    <row r="774">
      <c r="A774" s="82"/>
      <c r="B774" s="76"/>
      <c r="C774" s="82"/>
      <c r="D774" s="195"/>
      <c r="E774" s="76"/>
      <c r="F774" s="76"/>
      <c r="G774" s="82"/>
      <c r="H774" s="287"/>
      <c r="I774" s="82"/>
      <c r="J774" s="82"/>
    </row>
    <row r="775">
      <c r="A775" s="82"/>
      <c r="B775" s="76"/>
      <c r="C775" s="82"/>
      <c r="D775" s="195"/>
      <c r="E775" s="76"/>
      <c r="F775" s="76"/>
      <c r="G775" s="82"/>
      <c r="H775" s="287"/>
      <c r="I775" s="82"/>
      <c r="J775" s="82"/>
    </row>
    <row r="776">
      <c r="A776" s="82"/>
      <c r="B776" s="76"/>
      <c r="C776" s="82"/>
      <c r="D776" s="195"/>
      <c r="E776" s="76"/>
      <c r="F776" s="76"/>
      <c r="G776" s="82"/>
      <c r="H776" s="287"/>
      <c r="I776" s="82"/>
      <c r="J776" s="82"/>
    </row>
    <row r="777">
      <c r="A777" s="82"/>
      <c r="B777" s="76"/>
      <c r="C777" s="82"/>
      <c r="D777" s="195"/>
      <c r="E777" s="76"/>
      <c r="F777" s="76"/>
      <c r="G777" s="82"/>
      <c r="H777" s="287"/>
      <c r="I777" s="82"/>
      <c r="J777" s="82"/>
    </row>
    <row r="778">
      <c r="A778" s="82"/>
      <c r="B778" s="76"/>
      <c r="C778" s="82"/>
      <c r="D778" s="195"/>
      <c r="E778" s="76"/>
      <c r="F778" s="76"/>
      <c r="G778" s="82"/>
      <c r="H778" s="287"/>
      <c r="I778" s="82"/>
      <c r="J778" s="82"/>
    </row>
    <row r="779">
      <c r="A779" s="82"/>
      <c r="B779" s="76"/>
      <c r="C779" s="82"/>
      <c r="D779" s="195"/>
      <c r="E779" s="76"/>
      <c r="F779" s="76"/>
      <c r="G779" s="82"/>
      <c r="H779" s="287"/>
      <c r="I779" s="82"/>
      <c r="J779" s="82"/>
    </row>
    <row r="780">
      <c r="A780" s="82"/>
      <c r="B780" s="76"/>
      <c r="C780" s="82"/>
      <c r="D780" s="195"/>
      <c r="E780" s="76"/>
      <c r="F780" s="76"/>
      <c r="G780" s="82"/>
      <c r="H780" s="287"/>
      <c r="I780" s="82"/>
      <c r="J780" s="82"/>
    </row>
    <row r="781">
      <c r="A781" s="82"/>
      <c r="B781" s="76"/>
      <c r="C781" s="82"/>
      <c r="D781" s="195"/>
      <c r="E781" s="76"/>
      <c r="F781" s="76"/>
      <c r="G781" s="82"/>
      <c r="H781" s="287"/>
      <c r="I781" s="82"/>
      <c r="J781" s="82"/>
    </row>
    <row r="782">
      <c r="A782" s="82"/>
      <c r="B782" s="76"/>
      <c r="C782" s="82"/>
      <c r="D782" s="195"/>
      <c r="E782" s="76"/>
      <c r="F782" s="76"/>
      <c r="G782" s="82"/>
      <c r="H782" s="287"/>
      <c r="I782" s="82"/>
      <c r="J782" s="82"/>
    </row>
    <row r="783">
      <c r="A783" s="82"/>
      <c r="B783" s="76"/>
      <c r="C783" s="82"/>
      <c r="D783" s="195"/>
      <c r="E783" s="76"/>
      <c r="F783" s="76"/>
      <c r="G783" s="82"/>
      <c r="H783" s="287"/>
      <c r="I783" s="82"/>
      <c r="J783" s="82"/>
    </row>
    <row r="784">
      <c r="A784" s="82"/>
      <c r="B784" s="76"/>
      <c r="C784" s="82"/>
      <c r="D784" s="195"/>
      <c r="E784" s="76"/>
      <c r="F784" s="76"/>
      <c r="G784" s="82"/>
      <c r="H784" s="287"/>
      <c r="I784" s="82"/>
      <c r="J784" s="82"/>
    </row>
    <row r="785">
      <c r="A785" s="82"/>
      <c r="B785" s="76"/>
      <c r="C785" s="82"/>
      <c r="D785" s="195"/>
      <c r="E785" s="76"/>
      <c r="F785" s="76"/>
      <c r="G785" s="82"/>
      <c r="H785" s="287"/>
      <c r="I785" s="82"/>
      <c r="J785" s="82"/>
    </row>
    <row r="786">
      <c r="A786" s="82"/>
      <c r="B786" s="76"/>
      <c r="C786" s="82"/>
      <c r="D786" s="195"/>
      <c r="E786" s="76"/>
      <c r="F786" s="76"/>
      <c r="G786" s="82"/>
      <c r="H786" s="287"/>
      <c r="I786" s="82"/>
      <c r="J786" s="82"/>
    </row>
    <row r="787">
      <c r="A787" s="82"/>
      <c r="B787" s="76"/>
      <c r="C787" s="82"/>
      <c r="D787" s="195"/>
      <c r="E787" s="76"/>
      <c r="F787" s="76"/>
      <c r="G787" s="82"/>
      <c r="H787" s="287"/>
      <c r="I787" s="82"/>
      <c r="J787" s="82"/>
    </row>
    <row r="788">
      <c r="A788" s="82"/>
      <c r="B788" s="76"/>
      <c r="C788" s="82"/>
      <c r="D788" s="195"/>
      <c r="E788" s="76"/>
      <c r="F788" s="76"/>
      <c r="G788" s="82"/>
      <c r="H788" s="287"/>
      <c r="I788" s="82"/>
      <c r="J788" s="82"/>
    </row>
    <row r="789">
      <c r="A789" s="82"/>
      <c r="B789" s="76"/>
      <c r="C789" s="82"/>
      <c r="D789" s="195"/>
      <c r="E789" s="76"/>
      <c r="F789" s="76"/>
      <c r="G789" s="82"/>
      <c r="H789" s="287"/>
      <c r="I789" s="82"/>
      <c r="J789" s="82"/>
    </row>
    <row r="790">
      <c r="A790" s="82"/>
      <c r="B790" s="76"/>
      <c r="C790" s="82"/>
      <c r="D790" s="195"/>
      <c r="E790" s="76"/>
      <c r="F790" s="76"/>
      <c r="G790" s="82"/>
      <c r="H790" s="287"/>
      <c r="I790" s="82"/>
      <c r="J790" s="82"/>
    </row>
    <row r="791">
      <c r="A791" s="82"/>
      <c r="B791" s="76"/>
      <c r="C791" s="82"/>
      <c r="D791" s="195"/>
      <c r="E791" s="76"/>
      <c r="F791" s="76"/>
      <c r="G791" s="82"/>
      <c r="H791" s="287"/>
      <c r="I791" s="82"/>
      <c r="J791" s="82"/>
    </row>
    <row r="792">
      <c r="A792" s="82"/>
      <c r="B792" s="76"/>
      <c r="C792" s="82"/>
      <c r="D792" s="195"/>
      <c r="E792" s="76"/>
      <c r="F792" s="76"/>
      <c r="G792" s="82"/>
      <c r="H792" s="287"/>
      <c r="I792" s="82"/>
      <c r="J792" s="82"/>
    </row>
    <row r="793">
      <c r="A793" s="82"/>
      <c r="B793" s="76"/>
      <c r="C793" s="82"/>
      <c r="D793" s="195"/>
      <c r="E793" s="76"/>
      <c r="F793" s="76"/>
      <c r="G793" s="82"/>
      <c r="H793" s="287"/>
      <c r="I793" s="82"/>
      <c r="J793" s="82"/>
    </row>
    <row r="794">
      <c r="A794" s="82"/>
      <c r="B794" s="76"/>
      <c r="C794" s="82"/>
      <c r="D794" s="195"/>
      <c r="E794" s="76"/>
      <c r="F794" s="76"/>
      <c r="G794" s="82"/>
      <c r="H794" s="287"/>
      <c r="I794" s="82"/>
      <c r="J794" s="82"/>
    </row>
    <row r="795">
      <c r="A795" s="82"/>
      <c r="B795" s="76"/>
      <c r="C795" s="82"/>
      <c r="D795" s="195"/>
      <c r="E795" s="76"/>
      <c r="F795" s="76"/>
      <c r="G795" s="82"/>
      <c r="H795" s="287"/>
      <c r="I795" s="82"/>
      <c r="J795" s="82"/>
    </row>
    <row r="796">
      <c r="A796" s="82"/>
      <c r="B796" s="76"/>
      <c r="C796" s="82"/>
      <c r="D796" s="195"/>
      <c r="E796" s="76"/>
      <c r="F796" s="76"/>
      <c r="G796" s="82"/>
      <c r="H796" s="287"/>
      <c r="I796" s="82"/>
      <c r="J796" s="82"/>
    </row>
    <row r="797">
      <c r="A797" s="82"/>
      <c r="B797" s="76"/>
      <c r="C797" s="82"/>
      <c r="D797" s="195"/>
      <c r="E797" s="76"/>
      <c r="F797" s="76"/>
      <c r="G797" s="82"/>
      <c r="H797" s="287"/>
      <c r="I797" s="82"/>
      <c r="J797" s="82"/>
    </row>
    <row r="798">
      <c r="A798" s="82"/>
      <c r="B798" s="76"/>
      <c r="C798" s="82"/>
      <c r="D798" s="195"/>
      <c r="E798" s="76"/>
      <c r="F798" s="76"/>
      <c r="G798" s="82"/>
      <c r="H798" s="287"/>
      <c r="I798" s="82"/>
      <c r="J798" s="82"/>
    </row>
    <row r="799">
      <c r="A799" s="82"/>
      <c r="B799" s="76"/>
      <c r="C799" s="82"/>
      <c r="D799" s="195"/>
      <c r="E799" s="76"/>
      <c r="F799" s="76"/>
      <c r="G799" s="82"/>
      <c r="H799" s="287"/>
      <c r="I799" s="82"/>
      <c r="J799" s="82"/>
    </row>
    <row r="800">
      <c r="A800" s="82"/>
      <c r="B800" s="76"/>
      <c r="C800" s="82"/>
      <c r="D800" s="195"/>
      <c r="E800" s="76"/>
      <c r="F800" s="76"/>
      <c r="G800" s="82"/>
      <c r="H800" s="287"/>
      <c r="I800" s="82"/>
      <c r="J800" s="82"/>
    </row>
    <row r="801">
      <c r="A801" s="82"/>
      <c r="B801" s="76"/>
      <c r="C801" s="82"/>
      <c r="D801" s="195"/>
      <c r="E801" s="76"/>
      <c r="F801" s="76"/>
      <c r="G801" s="82"/>
      <c r="H801" s="287"/>
      <c r="I801" s="82"/>
      <c r="J801" s="82"/>
    </row>
    <row r="802">
      <c r="A802" s="82"/>
      <c r="B802" s="76"/>
      <c r="C802" s="82"/>
      <c r="D802" s="195"/>
      <c r="E802" s="76"/>
      <c r="F802" s="76"/>
      <c r="G802" s="82"/>
      <c r="H802" s="287"/>
      <c r="I802" s="82"/>
      <c r="J802" s="82"/>
    </row>
    <row r="803">
      <c r="A803" s="82"/>
      <c r="B803" s="76"/>
      <c r="C803" s="82"/>
      <c r="D803" s="195"/>
      <c r="E803" s="76"/>
      <c r="F803" s="76"/>
      <c r="G803" s="82"/>
      <c r="H803" s="287"/>
      <c r="I803" s="82"/>
      <c r="J803" s="82"/>
    </row>
    <row r="804">
      <c r="A804" s="82"/>
      <c r="B804" s="76"/>
      <c r="C804" s="82"/>
      <c r="D804" s="195"/>
      <c r="E804" s="76"/>
      <c r="F804" s="76"/>
      <c r="G804" s="82"/>
      <c r="H804" s="287"/>
      <c r="I804" s="82"/>
      <c r="J804" s="82"/>
    </row>
    <row r="805">
      <c r="A805" s="82"/>
      <c r="B805" s="76"/>
      <c r="C805" s="82"/>
      <c r="D805" s="195"/>
      <c r="E805" s="76"/>
      <c r="F805" s="76"/>
      <c r="G805" s="82"/>
      <c r="H805" s="287"/>
      <c r="I805" s="82"/>
      <c r="J805" s="82"/>
    </row>
    <row r="806">
      <c r="A806" s="82"/>
      <c r="B806" s="76"/>
      <c r="C806" s="82"/>
      <c r="D806" s="195"/>
      <c r="E806" s="76"/>
      <c r="F806" s="76"/>
      <c r="G806" s="82"/>
      <c r="H806" s="287"/>
      <c r="I806" s="82"/>
      <c r="J806" s="82"/>
    </row>
    <row r="807">
      <c r="A807" s="82"/>
      <c r="B807" s="76"/>
      <c r="C807" s="82"/>
      <c r="D807" s="195"/>
      <c r="E807" s="76"/>
      <c r="F807" s="76"/>
      <c r="G807" s="82"/>
      <c r="H807" s="287"/>
      <c r="I807" s="82"/>
      <c r="J807" s="82"/>
    </row>
    <row r="808">
      <c r="A808" s="82"/>
      <c r="B808" s="76"/>
      <c r="C808" s="82"/>
      <c r="D808" s="195"/>
      <c r="E808" s="76"/>
      <c r="F808" s="76"/>
      <c r="G808" s="82"/>
      <c r="H808" s="287"/>
      <c r="I808" s="82"/>
      <c r="J808" s="82"/>
    </row>
    <row r="809">
      <c r="A809" s="82"/>
      <c r="B809" s="76"/>
      <c r="C809" s="82"/>
      <c r="D809" s="195"/>
      <c r="E809" s="76"/>
      <c r="F809" s="76"/>
      <c r="G809" s="82"/>
      <c r="H809" s="287"/>
      <c r="I809" s="82"/>
      <c r="J809" s="82"/>
    </row>
    <row r="810">
      <c r="A810" s="82"/>
      <c r="B810" s="76"/>
      <c r="C810" s="82"/>
      <c r="D810" s="195"/>
      <c r="E810" s="76"/>
      <c r="F810" s="76"/>
      <c r="G810" s="82"/>
      <c r="H810" s="287"/>
      <c r="I810" s="82"/>
      <c r="J810" s="82"/>
    </row>
    <row r="811">
      <c r="A811" s="82"/>
      <c r="B811" s="76"/>
      <c r="C811" s="82"/>
      <c r="D811" s="195"/>
      <c r="E811" s="76"/>
      <c r="F811" s="76"/>
      <c r="G811" s="82"/>
      <c r="H811" s="287"/>
      <c r="I811" s="82"/>
      <c r="J811" s="82"/>
    </row>
    <row r="812">
      <c r="A812" s="82"/>
      <c r="B812" s="76"/>
      <c r="C812" s="82"/>
      <c r="D812" s="195"/>
      <c r="E812" s="76"/>
      <c r="F812" s="76"/>
      <c r="G812" s="82"/>
      <c r="H812" s="287"/>
      <c r="I812" s="82"/>
      <c r="J812" s="82"/>
    </row>
    <row r="813">
      <c r="A813" s="82"/>
      <c r="B813" s="76"/>
      <c r="C813" s="82"/>
      <c r="D813" s="195"/>
      <c r="E813" s="76"/>
      <c r="F813" s="76"/>
      <c r="G813" s="82"/>
      <c r="H813" s="287"/>
      <c r="I813" s="82"/>
      <c r="J813" s="82"/>
    </row>
    <row r="814">
      <c r="A814" s="82"/>
      <c r="B814" s="76"/>
      <c r="C814" s="82"/>
      <c r="D814" s="195"/>
      <c r="E814" s="76"/>
      <c r="F814" s="76"/>
      <c r="G814" s="82"/>
      <c r="H814" s="287"/>
      <c r="I814" s="82"/>
      <c r="J814" s="82"/>
    </row>
    <row r="815">
      <c r="A815" s="82"/>
      <c r="B815" s="76"/>
      <c r="C815" s="82"/>
      <c r="D815" s="195"/>
      <c r="E815" s="76"/>
      <c r="F815" s="76"/>
      <c r="G815" s="82"/>
      <c r="H815" s="287"/>
      <c r="I815" s="82"/>
      <c r="J815" s="82"/>
    </row>
    <row r="816">
      <c r="A816" s="82"/>
      <c r="B816" s="76"/>
      <c r="C816" s="82"/>
      <c r="D816" s="195"/>
      <c r="E816" s="76"/>
      <c r="F816" s="76"/>
      <c r="G816" s="82"/>
      <c r="H816" s="287"/>
      <c r="I816" s="82"/>
      <c r="J816" s="82"/>
    </row>
    <row r="817">
      <c r="A817" s="82"/>
      <c r="B817" s="76"/>
      <c r="C817" s="82"/>
      <c r="D817" s="195"/>
      <c r="E817" s="76"/>
      <c r="F817" s="76"/>
      <c r="G817" s="82"/>
      <c r="H817" s="287"/>
      <c r="I817" s="82"/>
      <c r="J817" s="82"/>
    </row>
    <row r="818">
      <c r="A818" s="82"/>
      <c r="B818" s="76"/>
      <c r="C818" s="82"/>
      <c r="D818" s="195"/>
      <c r="E818" s="76"/>
      <c r="F818" s="76"/>
      <c r="G818" s="82"/>
      <c r="H818" s="287"/>
      <c r="I818" s="82"/>
      <c r="J818" s="82"/>
    </row>
    <row r="819">
      <c r="A819" s="82"/>
      <c r="B819" s="76"/>
      <c r="C819" s="82"/>
      <c r="D819" s="195"/>
      <c r="E819" s="76"/>
      <c r="F819" s="76"/>
      <c r="G819" s="82"/>
      <c r="H819" s="287"/>
      <c r="I819" s="82"/>
      <c r="J819" s="82"/>
    </row>
    <row r="820">
      <c r="A820" s="82"/>
      <c r="B820" s="76"/>
      <c r="C820" s="82"/>
      <c r="D820" s="195"/>
      <c r="E820" s="76"/>
      <c r="F820" s="76"/>
      <c r="G820" s="82"/>
      <c r="H820" s="287"/>
      <c r="I820" s="82"/>
      <c r="J820" s="82"/>
    </row>
    <row r="821">
      <c r="A821" s="82"/>
      <c r="B821" s="76"/>
      <c r="C821" s="82"/>
      <c r="D821" s="195"/>
      <c r="E821" s="76"/>
      <c r="F821" s="76"/>
      <c r="G821" s="82"/>
      <c r="H821" s="287"/>
      <c r="I821" s="82"/>
      <c r="J821" s="82"/>
    </row>
    <row r="822">
      <c r="A822" s="82"/>
      <c r="B822" s="76"/>
      <c r="C822" s="82"/>
      <c r="D822" s="195"/>
      <c r="E822" s="76"/>
      <c r="F822" s="76"/>
      <c r="G822" s="82"/>
      <c r="H822" s="287"/>
      <c r="I822" s="82"/>
      <c r="J822" s="82"/>
    </row>
    <row r="823">
      <c r="A823" s="82"/>
      <c r="B823" s="76"/>
      <c r="C823" s="82"/>
      <c r="D823" s="195"/>
      <c r="E823" s="76"/>
      <c r="F823" s="76"/>
      <c r="G823" s="82"/>
      <c r="H823" s="287"/>
      <c r="I823" s="82"/>
      <c r="J823" s="82"/>
    </row>
    <row r="824">
      <c r="A824" s="82"/>
      <c r="B824" s="76"/>
      <c r="C824" s="82"/>
      <c r="D824" s="195"/>
      <c r="E824" s="76"/>
      <c r="F824" s="76"/>
      <c r="G824" s="82"/>
      <c r="H824" s="287"/>
      <c r="I824" s="82"/>
      <c r="J824" s="82"/>
    </row>
    <row r="825">
      <c r="A825" s="82"/>
      <c r="B825" s="76"/>
      <c r="C825" s="82"/>
      <c r="D825" s="195"/>
      <c r="E825" s="76"/>
      <c r="F825" s="76"/>
      <c r="G825" s="82"/>
      <c r="H825" s="287"/>
      <c r="I825" s="82"/>
      <c r="J825" s="82"/>
    </row>
    <row r="826">
      <c r="A826" s="82"/>
      <c r="B826" s="76"/>
      <c r="C826" s="82"/>
      <c r="D826" s="195"/>
      <c r="E826" s="76"/>
      <c r="F826" s="76"/>
      <c r="G826" s="82"/>
      <c r="H826" s="287"/>
      <c r="I826" s="82"/>
      <c r="J826" s="82"/>
    </row>
    <row r="827">
      <c r="A827" s="82"/>
      <c r="B827" s="76"/>
      <c r="C827" s="82"/>
      <c r="D827" s="195"/>
      <c r="E827" s="76"/>
      <c r="F827" s="76"/>
      <c r="G827" s="82"/>
      <c r="H827" s="287"/>
      <c r="I827" s="82"/>
      <c r="J827" s="82"/>
    </row>
    <row r="828">
      <c r="A828" s="82"/>
      <c r="B828" s="76"/>
      <c r="C828" s="82"/>
      <c r="D828" s="195"/>
      <c r="E828" s="76"/>
      <c r="F828" s="76"/>
      <c r="G828" s="82"/>
      <c r="H828" s="287"/>
      <c r="I828" s="82"/>
      <c r="J828" s="82"/>
    </row>
    <row r="829">
      <c r="A829" s="82"/>
      <c r="B829" s="76"/>
      <c r="C829" s="82"/>
      <c r="D829" s="195"/>
      <c r="E829" s="76"/>
      <c r="F829" s="76"/>
      <c r="G829" s="82"/>
      <c r="H829" s="287"/>
      <c r="I829" s="82"/>
      <c r="J829" s="82"/>
    </row>
    <row r="830">
      <c r="A830" s="82"/>
      <c r="B830" s="76"/>
      <c r="C830" s="82"/>
      <c r="D830" s="195"/>
      <c r="E830" s="76"/>
      <c r="F830" s="76"/>
      <c r="G830" s="82"/>
      <c r="H830" s="287"/>
      <c r="I830" s="82"/>
      <c r="J830" s="82"/>
    </row>
    <row r="831">
      <c r="A831" s="82"/>
      <c r="B831" s="76"/>
      <c r="C831" s="82"/>
      <c r="D831" s="195"/>
      <c r="E831" s="76"/>
      <c r="F831" s="76"/>
      <c r="G831" s="82"/>
      <c r="H831" s="287"/>
      <c r="I831" s="82"/>
      <c r="J831" s="82"/>
    </row>
    <row r="832">
      <c r="A832" s="82"/>
      <c r="B832" s="76"/>
      <c r="C832" s="82"/>
      <c r="D832" s="195"/>
      <c r="E832" s="76"/>
      <c r="F832" s="76"/>
      <c r="G832" s="82"/>
      <c r="H832" s="287"/>
      <c r="I832" s="82"/>
      <c r="J832" s="82"/>
    </row>
    <row r="833">
      <c r="A833" s="82"/>
      <c r="B833" s="76"/>
      <c r="C833" s="82"/>
      <c r="D833" s="195"/>
      <c r="E833" s="76"/>
      <c r="F833" s="76"/>
      <c r="G833" s="82"/>
      <c r="H833" s="287"/>
      <c r="I833" s="82"/>
      <c r="J833" s="82"/>
    </row>
    <row r="834">
      <c r="A834" s="82"/>
      <c r="B834" s="76"/>
      <c r="C834" s="82"/>
      <c r="D834" s="195"/>
      <c r="E834" s="76"/>
      <c r="F834" s="76"/>
      <c r="G834" s="82"/>
      <c r="H834" s="287"/>
      <c r="I834" s="82"/>
      <c r="J834" s="82"/>
    </row>
    <row r="835">
      <c r="A835" s="82"/>
      <c r="B835" s="76"/>
      <c r="C835" s="82"/>
      <c r="D835" s="195"/>
      <c r="E835" s="76"/>
      <c r="F835" s="76"/>
      <c r="G835" s="82"/>
      <c r="H835" s="287"/>
      <c r="I835" s="82"/>
      <c r="J835" s="82"/>
    </row>
    <row r="836">
      <c r="A836" s="82"/>
      <c r="B836" s="76"/>
      <c r="C836" s="82"/>
      <c r="D836" s="195"/>
      <c r="E836" s="76"/>
      <c r="F836" s="76"/>
      <c r="G836" s="82"/>
      <c r="H836" s="287"/>
      <c r="I836" s="82"/>
      <c r="J836" s="82"/>
    </row>
    <row r="837">
      <c r="A837" s="82"/>
      <c r="B837" s="76"/>
      <c r="C837" s="82"/>
      <c r="D837" s="195"/>
      <c r="E837" s="76"/>
      <c r="F837" s="76"/>
      <c r="G837" s="82"/>
      <c r="H837" s="287"/>
      <c r="I837" s="82"/>
      <c r="J837" s="82"/>
    </row>
    <row r="838">
      <c r="A838" s="82"/>
      <c r="B838" s="76"/>
      <c r="C838" s="82"/>
      <c r="D838" s="195"/>
      <c r="E838" s="76"/>
      <c r="F838" s="76"/>
      <c r="G838" s="82"/>
      <c r="H838" s="287"/>
      <c r="I838" s="82"/>
      <c r="J838" s="82"/>
    </row>
    <row r="839">
      <c r="A839" s="82"/>
      <c r="B839" s="76"/>
      <c r="C839" s="82"/>
      <c r="D839" s="195"/>
      <c r="E839" s="76"/>
      <c r="F839" s="76"/>
      <c r="G839" s="82"/>
      <c r="H839" s="287"/>
      <c r="I839" s="82"/>
      <c r="J839" s="82"/>
    </row>
    <row r="840">
      <c r="A840" s="82"/>
      <c r="C840" s="82"/>
      <c r="D840" s="195"/>
      <c r="G840" s="82"/>
      <c r="H840" s="287"/>
      <c r="I840" s="82"/>
      <c r="J840" s="82"/>
    </row>
    <row r="841">
      <c r="A841" s="82"/>
      <c r="C841" s="82"/>
      <c r="D841" s="195"/>
      <c r="G841" s="82"/>
      <c r="H841" s="287"/>
      <c r="I841" s="82"/>
      <c r="J841" s="82"/>
    </row>
    <row r="842">
      <c r="A842" s="82"/>
      <c r="C842" s="82"/>
      <c r="D842" s="195"/>
      <c r="G842" s="82"/>
      <c r="H842" s="287"/>
      <c r="I842" s="82"/>
      <c r="J842" s="82"/>
    </row>
    <row r="843">
      <c r="A843" s="82"/>
      <c r="C843" s="82"/>
      <c r="D843" s="195"/>
      <c r="G843" s="82"/>
      <c r="H843" s="287"/>
      <c r="I843" s="82"/>
      <c r="J843" s="82"/>
    </row>
    <row r="844">
      <c r="A844" s="82"/>
      <c r="C844" s="82"/>
      <c r="D844" s="195"/>
      <c r="G844" s="82"/>
      <c r="H844" s="287"/>
      <c r="I844" s="82"/>
      <c r="J844" s="82"/>
    </row>
    <row r="845">
      <c r="A845" s="82"/>
      <c r="C845" s="82"/>
      <c r="D845" s="195"/>
      <c r="G845" s="82"/>
      <c r="H845" s="287"/>
      <c r="I845" s="82"/>
      <c r="J845" s="82"/>
    </row>
    <row r="846">
      <c r="A846" s="82"/>
      <c r="C846" s="82"/>
      <c r="D846" s="195"/>
      <c r="G846" s="82"/>
      <c r="H846" s="287"/>
      <c r="I846" s="82"/>
      <c r="J846" s="82"/>
    </row>
    <row r="847">
      <c r="A847" s="82"/>
      <c r="C847" s="82"/>
      <c r="D847" s="195"/>
      <c r="G847" s="82"/>
      <c r="H847" s="287"/>
      <c r="I847" s="82"/>
      <c r="J847" s="82"/>
    </row>
    <row r="848">
      <c r="A848" s="82"/>
      <c r="C848" s="82"/>
      <c r="D848" s="195"/>
      <c r="G848" s="82"/>
      <c r="H848" s="287"/>
      <c r="I848" s="82"/>
      <c r="J848" s="82"/>
    </row>
    <row r="849">
      <c r="A849" s="82"/>
      <c r="C849" s="82"/>
      <c r="D849" s="195"/>
      <c r="G849" s="82"/>
      <c r="H849" s="287"/>
      <c r="I849" s="82"/>
      <c r="J849" s="82"/>
    </row>
    <row r="850">
      <c r="A850" s="82"/>
      <c r="C850" s="82"/>
      <c r="D850" s="195"/>
      <c r="G850" s="82"/>
      <c r="H850" s="287"/>
      <c r="I850" s="82"/>
      <c r="J850" s="82"/>
    </row>
    <row r="851">
      <c r="A851" s="82"/>
      <c r="C851" s="82"/>
      <c r="D851" s="195"/>
      <c r="G851" s="82"/>
      <c r="H851" s="287"/>
      <c r="I851" s="82"/>
      <c r="J851" s="82"/>
    </row>
    <row r="852">
      <c r="A852" s="82"/>
      <c r="C852" s="82"/>
      <c r="D852" s="195"/>
      <c r="G852" s="82"/>
      <c r="H852" s="287"/>
      <c r="I852" s="82"/>
      <c r="J852" s="82"/>
    </row>
    <row r="853">
      <c r="A853" s="82"/>
      <c r="C853" s="82"/>
      <c r="D853" s="195"/>
      <c r="G853" s="82"/>
      <c r="H853" s="287"/>
      <c r="I853" s="82"/>
      <c r="J853" s="82"/>
    </row>
    <row r="854">
      <c r="A854" s="82"/>
      <c r="C854" s="82"/>
      <c r="D854" s="195"/>
      <c r="G854" s="82"/>
      <c r="H854" s="287"/>
      <c r="I854" s="82"/>
      <c r="J854" s="82"/>
    </row>
    <row r="855">
      <c r="A855" s="82"/>
      <c r="C855" s="82"/>
      <c r="D855" s="195"/>
      <c r="G855" s="82"/>
      <c r="H855" s="287"/>
      <c r="I855" s="82"/>
      <c r="J855" s="82"/>
    </row>
    <row r="856">
      <c r="A856" s="82"/>
      <c r="C856" s="82"/>
      <c r="D856" s="195"/>
      <c r="G856" s="82"/>
      <c r="H856" s="287"/>
      <c r="I856" s="82"/>
      <c r="J856" s="82"/>
    </row>
    <row r="857">
      <c r="A857" s="82"/>
      <c r="C857" s="82"/>
      <c r="D857" s="195"/>
      <c r="G857" s="82"/>
      <c r="H857" s="287"/>
      <c r="I857" s="82"/>
      <c r="J857" s="82"/>
    </row>
    <row r="858">
      <c r="A858" s="82"/>
      <c r="C858" s="82"/>
      <c r="D858" s="195"/>
      <c r="G858" s="82"/>
      <c r="H858" s="287"/>
      <c r="I858" s="82"/>
      <c r="J858" s="82"/>
    </row>
    <row r="859">
      <c r="A859" s="82"/>
      <c r="C859" s="82"/>
      <c r="D859" s="195"/>
      <c r="G859" s="82"/>
      <c r="H859" s="287"/>
      <c r="I859" s="82"/>
      <c r="J859" s="82"/>
    </row>
    <row r="860">
      <c r="A860" s="82"/>
      <c r="C860" s="82"/>
      <c r="D860" s="195"/>
      <c r="G860" s="82"/>
      <c r="H860" s="287"/>
      <c r="I860" s="82"/>
      <c r="J860" s="82"/>
    </row>
    <row r="861">
      <c r="A861" s="82"/>
      <c r="C861" s="82"/>
      <c r="D861" s="195"/>
      <c r="G861" s="82"/>
      <c r="H861" s="287"/>
      <c r="I861" s="82"/>
      <c r="J861" s="82"/>
    </row>
    <row r="862">
      <c r="A862" s="82"/>
      <c r="C862" s="82"/>
      <c r="D862" s="195"/>
      <c r="G862" s="82"/>
      <c r="H862" s="287"/>
      <c r="I862" s="82"/>
      <c r="J862" s="82"/>
    </row>
    <row r="863">
      <c r="A863" s="82"/>
      <c r="C863" s="82"/>
      <c r="D863" s="195"/>
      <c r="G863" s="82"/>
      <c r="H863" s="287"/>
      <c r="I863" s="82"/>
      <c r="J863" s="82"/>
    </row>
    <row r="864">
      <c r="A864" s="82"/>
      <c r="C864" s="82"/>
      <c r="D864" s="195"/>
      <c r="G864" s="82"/>
      <c r="H864" s="287"/>
      <c r="I864" s="82"/>
      <c r="J864" s="82"/>
    </row>
    <row r="865">
      <c r="A865" s="82"/>
      <c r="C865" s="82"/>
      <c r="D865" s="195"/>
      <c r="G865" s="82"/>
      <c r="H865" s="287"/>
      <c r="I865" s="82"/>
      <c r="J865" s="82"/>
    </row>
    <row r="866">
      <c r="A866" s="82"/>
      <c r="C866" s="82"/>
      <c r="D866" s="195"/>
      <c r="G866" s="82"/>
      <c r="H866" s="287"/>
      <c r="I866" s="82"/>
      <c r="J866" s="82"/>
    </row>
    <row r="867">
      <c r="A867" s="82"/>
      <c r="C867" s="82"/>
      <c r="D867" s="195"/>
      <c r="G867" s="82"/>
      <c r="H867" s="287"/>
      <c r="I867" s="82"/>
      <c r="J867" s="82"/>
    </row>
    <row r="868">
      <c r="A868" s="82"/>
      <c r="C868" s="82"/>
      <c r="D868" s="195"/>
      <c r="G868" s="82"/>
      <c r="H868" s="287"/>
      <c r="I868" s="82"/>
      <c r="J868" s="82"/>
    </row>
    <row r="869">
      <c r="A869" s="82"/>
      <c r="C869" s="82"/>
      <c r="D869" s="195"/>
      <c r="G869" s="82"/>
      <c r="H869" s="287"/>
      <c r="I869" s="82"/>
      <c r="J869" s="82"/>
    </row>
    <row r="870">
      <c r="A870" s="82"/>
      <c r="C870" s="82"/>
      <c r="D870" s="195"/>
      <c r="G870" s="82"/>
      <c r="H870" s="287"/>
      <c r="I870" s="82"/>
      <c r="J870" s="82"/>
    </row>
    <row r="871">
      <c r="A871" s="82"/>
      <c r="C871" s="82"/>
      <c r="D871" s="195"/>
      <c r="G871" s="82"/>
      <c r="H871" s="287"/>
      <c r="I871" s="82"/>
      <c r="J871" s="82"/>
    </row>
    <row r="872">
      <c r="A872" s="82"/>
      <c r="C872" s="82"/>
      <c r="D872" s="195"/>
      <c r="G872" s="82"/>
      <c r="H872" s="287"/>
      <c r="I872" s="82"/>
      <c r="J872" s="82"/>
    </row>
    <row r="873">
      <c r="A873" s="82"/>
      <c r="C873" s="82"/>
      <c r="D873" s="195"/>
      <c r="G873" s="82"/>
      <c r="H873" s="287"/>
      <c r="I873" s="82"/>
      <c r="J873" s="82"/>
    </row>
    <row r="874">
      <c r="A874" s="82"/>
      <c r="C874" s="82"/>
      <c r="D874" s="195"/>
      <c r="G874" s="82"/>
      <c r="H874" s="287"/>
      <c r="I874" s="82"/>
      <c r="J874" s="82"/>
    </row>
    <row r="875">
      <c r="A875" s="82"/>
      <c r="C875" s="82"/>
      <c r="D875" s="195"/>
      <c r="G875" s="82"/>
      <c r="H875" s="287"/>
      <c r="I875" s="82"/>
      <c r="J875" s="82"/>
    </row>
    <row r="876">
      <c r="A876" s="82"/>
      <c r="C876" s="82"/>
      <c r="D876" s="195"/>
      <c r="G876" s="82"/>
      <c r="H876" s="287"/>
      <c r="I876" s="82"/>
      <c r="J876" s="82"/>
    </row>
    <row r="877">
      <c r="A877" s="82"/>
      <c r="C877" s="82"/>
      <c r="D877" s="195"/>
      <c r="G877" s="82"/>
      <c r="H877" s="287"/>
      <c r="I877" s="82"/>
      <c r="J877" s="82"/>
    </row>
    <row r="878">
      <c r="A878" s="82"/>
      <c r="C878" s="82"/>
      <c r="D878" s="195"/>
      <c r="G878" s="82"/>
      <c r="H878" s="287"/>
      <c r="I878" s="82"/>
      <c r="J878" s="82"/>
    </row>
    <row r="879">
      <c r="A879" s="82"/>
      <c r="C879" s="82"/>
      <c r="D879" s="195"/>
      <c r="G879" s="82"/>
      <c r="H879" s="287"/>
      <c r="I879" s="82"/>
      <c r="J879" s="82"/>
    </row>
    <row r="880">
      <c r="A880" s="82"/>
      <c r="C880" s="82"/>
      <c r="D880" s="195"/>
      <c r="G880" s="82"/>
      <c r="H880" s="287"/>
      <c r="I880" s="82"/>
      <c r="J880" s="82"/>
    </row>
    <row r="881">
      <c r="A881" s="82"/>
      <c r="C881" s="82"/>
      <c r="D881" s="195"/>
      <c r="G881" s="82"/>
      <c r="H881" s="287"/>
      <c r="I881" s="82"/>
      <c r="J881" s="82"/>
    </row>
    <row r="882">
      <c r="A882" s="82"/>
      <c r="C882" s="82"/>
      <c r="D882" s="195"/>
      <c r="G882" s="82"/>
      <c r="H882" s="287"/>
      <c r="I882" s="82"/>
      <c r="J882" s="82"/>
    </row>
    <row r="883">
      <c r="A883" s="82"/>
      <c r="C883" s="82"/>
      <c r="D883" s="195"/>
      <c r="G883" s="82"/>
      <c r="H883" s="287"/>
      <c r="I883" s="82"/>
      <c r="J883" s="82"/>
    </row>
    <row r="884">
      <c r="A884" s="82"/>
      <c r="C884" s="82"/>
      <c r="D884" s="195"/>
      <c r="G884" s="82"/>
      <c r="H884" s="287"/>
      <c r="I884" s="82"/>
      <c r="J884" s="82"/>
    </row>
    <row r="885">
      <c r="A885" s="82"/>
      <c r="C885" s="82"/>
      <c r="D885" s="195"/>
      <c r="G885" s="82"/>
      <c r="H885" s="287"/>
      <c r="I885" s="82"/>
      <c r="J885" s="82"/>
    </row>
    <row r="886">
      <c r="A886" s="82"/>
      <c r="C886" s="82"/>
      <c r="D886" s="195"/>
      <c r="G886" s="82"/>
      <c r="H886" s="287"/>
      <c r="I886" s="82"/>
      <c r="J886" s="82"/>
    </row>
    <row r="887">
      <c r="A887" s="82"/>
      <c r="C887" s="82"/>
      <c r="D887" s="195"/>
      <c r="G887" s="82"/>
      <c r="H887" s="287"/>
      <c r="I887" s="82"/>
      <c r="J887" s="82"/>
    </row>
    <row r="888">
      <c r="A888" s="82"/>
      <c r="C888" s="82"/>
      <c r="D888" s="195"/>
      <c r="G888" s="82"/>
      <c r="H888" s="287"/>
      <c r="I888" s="82"/>
      <c r="J888" s="82"/>
    </row>
    <row r="889">
      <c r="A889" s="82"/>
      <c r="C889" s="82"/>
      <c r="D889" s="195"/>
      <c r="G889" s="82"/>
      <c r="H889" s="287"/>
      <c r="I889" s="82"/>
      <c r="J889" s="82"/>
    </row>
    <row r="890">
      <c r="A890" s="82"/>
      <c r="C890" s="82"/>
      <c r="D890" s="195"/>
      <c r="G890" s="82"/>
      <c r="H890" s="287"/>
      <c r="I890" s="82"/>
      <c r="J890" s="82"/>
    </row>
    <row r="891">
      <c r="A891" s="82"/>
      <c r="C891" s="82"/>
      <c r="D891" s="195"/>
      <c r="G891" s="82"/>
      <c r="H891" s="287"/>
      <c r="I891" s="82"/>
      <c r="J891" s="82"/>
    </row>
    <row r="892">
      <c r="A892" s="82"/>
      <c r="C892" s="82"/>
      <c r="D892" s="195"/>
      <c r="G892" s="82"/>
      <c r="H892" s="287"/>
      <c r="I892" s="82"/>
      <c r="J892" s="82"/>
    </row>
    <row r="893">
      <c r="A893" s="82"/>
      <c r="C893" s="82"/>
      <c r="D893" s="195"/>
      <c r="G893" s="82"/>
      <c r="H893" s="287"/>
      <c r="I893" s="82"/>
      <c r="J893" s="82"/>
    </row>
    <row r="894">
      <c r="A894" s="82"/>
      <c r="C894" s="82"/>
      <c r="D894" s="195"/>
      <c r="G894" s="82"/>
      <c r="H894" s="287"/>
      <c r="I894" s="82"/>
      <c r="J894" s="82"/>
    </row>
    <row r="895">
      <c r="A895" s="82"/>
      <c r="C895" s="82"/>
      <c r="D895" s="195"/>
      <c r="G895" s="82"/>
      <c r="H895" s="287"/>
      <c r="I895" s="82"/>
      <c r="J895" s="82"/>
    </row>
    <row r="896">
      <c r="A896" s="82"/>
      <c r="C896" s="82"/>
      <c r="D896" s="195"/>
      <c r="G896" s="82"/>
      <c r="H896" s="287"/>
      <c r="I896" s="82"/>
      <c r="J896" s="82"/>
    </row>
    <row r="897">
      <c r="A897" s="82"/>
      <c r="C897" s="82"/>
      <c r="D897" s="195"/>
      <c r="G897" s="82"/>
      <c r="H897" s="287"/>
      <c r="I897" s="82"/>
      <c r="J897" s="82"/>
    </row>
    <row r="898">
      <c r="A898" s="82"/>
      <c r="C898" s="82"/>
      <c r="D898" s="195"/>
      <c r="G898" s="82"/>
      <c r="H898" s="287"/>
      <c r="I898" s="82"/>
      <c r="J898" s="82"/>
    </row>
    <row r="899">
      <c r="A899" s="82"/>
      <c r="C899" s="82"/>
      <c r="D899" s="195"/>
      <c r="G899" s="82"/>
      <c r="H899" s="287"/>
      <c r="I899" s="82"/>
      <c r="J899" s="82"/>
    </row>
    <row r="900">
      <c r="A900" s="82"/>
      <c r="C900" s="82"/>
      <c r="D900" s="195"/>
      <c r="G900" s="82"/>
      <c r="H900" s="287"/>
      <c r="I900" s="82"/>
      <c r="J900" s="82"/>
    </row>
    <row r="901">
      <c r="A901" s="82"/>
      <c r="C901" s="82"/>
      <c r="D901" s="195"/>
      <c r="G901" s="82"/>
      <c r="H901" s="287"/>
      <c r="I901" s="82"/>
      <c r="J901" s="82"/>
    </row>
    <row r="902">
      <c r="A902" s="82"/>
      <c r="C902" s="82"/>
      <c r="D902" s="195"/>
      <c r="G902" s="82"/>
      <c r="H902" s="287"/>
      <c r="I902" s="82"/>
      <c r="J902" s="82"/>
    </row>
    <row r="903">
      <c r="A903" s="82"/>
      <c r="C903" s="82"/>
      <c r="D903" s="195"/>
      <c r="G903" s="82"/>
      <c r="H903" s="287"/>
      <c r="I903" s="82"/>
      <c r="J903" s="82"/>
    </row>
    <row r="904">
      <c r="A904" s="82"/>
      <c r="C904" s="82"/>
      <c r="D904" s="195"/>
      <c r="G904" s="82"/>
      <c r="H904" s="287"/>
      <c r="I904" s="82"/>
      <c r="J904" s="82"/>
    </row>
    <row r="905">
      <c r="A905" s="82"/>
      <c r="C905" s="82"/>
      <c r="D905" s="195"/>
      <c r="G905" s="82"/>
      <c r="H905" s="287"/>
      <c r="I905" s="82"/>
      <c r="J905" s="82"/>
    </row>
    <row r="906">
      <c r="A906" s="82"/>
      <c r="C906" s="82"/>
      <c r="D906" s="195"/>
      <c r="G906" s="82"/>
      <c r="H906" s="287"/>
      <c r="I906" s="82"/>
      <c r="J906" s="82"/>
    </row>
    <row r="907">
      <c r="A907" s="82"/>
      <c r="C907" s="82"/>
      <c r="D907" s="195"/>
      <c r="G907" s="82"/>
      <c r="H907" s="287"/>
      <c r="I907" s="82"/>
      <c r="J907" s="82"/>
    </row>
    <row r="908">
      <c r="A908" s="82"/>
      <c r="C908" s="82"/>
      <c r="D908" s="195"/>
      <c r="G908" s="82"/>
      <c r="H908" s="287"/>
      <c r="I908" s="82"/>
      <c r="J908" s="82"/>
    </row>
    <row r="909">
      <c r="A909" s="82"/>
      <c r="C909" s="82"/>
      <c r="D909" s="195"/>
      <c r="G909" s="82"/>
      <c r="H909" s="287"/>
      <c r="I909" s="82"/>
      <c r="J909" s="82"/>
    </row>
    <row r="910">
      <c r="A910" s="82"/>
      <c r="C910" s="82"/>
      <c r="D910" s="195"/>
      <c r="G910" s="82"/>
      <c r="H910" s="287"/>
      <c r="I910" s="82"/>
      <c r="J910" s="82"/>
    </row>
    <row r="911">
      <c r="A911" s="82"/>
      <c r="C911" s="82"/>
      <c r="D911" s="195"/>
      <c r="G911" s="82"/>
      <c r="H911" s="287"/>
      <c r="I911" s="82"/>
      <c r="J911" s="82"/>
    </row>
    <row r="912">
      <c r="A912" s="82"/>
      <c r="C912" s="82"/>
      <c r="D912" s="195"/>
      <c r="G912" s="82"/>
      <c r="H912" s="287"/>
      <c r="I912" s="82"/>
      <c r="J912" s="82"/>
    </row>
    <row r="913">
      <c r="A913" s="82"/>
      <c r="C913" s="82"/>
      <c r="D913" s="195"/>
      <c r="G913" s="82"/>
      <c r="H913" s="287"/>
      <c r="I913" s="82"/>
      <c r="J913" s="82"/>
    </row>
    <row r="914">
      <c r="A914" s="82"/>
      <c r="C914" s="82"/>
      <c r="D914" s="195"/>
      <c r="G914" s="82"/>
      <c r="H914" s="287"/>
      <c r="I914" s="82"/>
      <c r="J914" s="82"/>
    </row>
    <row r="915">
      <c r="A915" s="82"/>
      <c r="C915" s="82"/>
      <c r="D915" s="195"/>
      <c r="G915" s="82"/>
      <c r="H915" s="287"/>
      <c r="I915" s="82"/>
      <c r="J915" s="82"/>
    </row>
    <row r="916">
      <c r="A916" s="82"/>
      <c r="C916" s="82"/>
      <c r="D916" s="195"/>
      <c r="G916" s="82"/>
      <c r="H916" s="287"/>
      <c r="I916" s="82"/>
      <c r="J916" s="82"/>
    </row>
    <row r="917">
      <c r="A917" s="82"/>
      <c r="C917" s="82"/>
      <c r="D917" s="195"/>
      <c r="G917" s="82"/>
      <c r="H917" s="287"/>
      <c r="I917" s="82"/>
      <c r="J917" s="82"/>
    </row>
    <row r="918">
      <c r="A918" s="82"/>
      <c r="C918" s="82"/>
      <c r="D918" s="195"/>
      <c r="G918" s="82"/>
      <c r="H918" s="287"/>
      <c r="I918" s="82"/>
      <c r="J918" s="82"/>
    </row>
    <row r="919">
      <c r="A919" s="82"/>
      <c r="C919" s="82"/>
      <c r="D919" s="195"/>
      <c r="G919" s="82"/>
      <c r="H919" s="287"/>
      <c r="I919" s="82"/>
      <c r="J919" s="82"/>
    </row>
    <row r="920">
      <c r="A920" s="82"/>
      <c r="C920" s="82"/>
      <c r="D920" s="195"/>
      <c r="G920" s="82"/>
      <c r="H920" s="287"/>
      <c r="I920" s="82"/>
      <c r="J920" s="82"/>
    </row>
    <row r="921">
      <c r="A921" s="82"/>
      <c r="C921" s="82"/>
      <c r="D921" s="195"/>
      <c r="G921" s="82"/>
      <c r="H921" s="287"/>
      <c r="I921" s="82"/>
      <c r="J921" s="82"/>
    </row>
    <row r="922">
      <c r="A922" s="82"/>
      <c r="C922" s="82"/>
      <c r="D922" s="195"/>
      <c r="G922" s="82"/>
      <c r="H922" s="287"/>
      <c r="I922" s="82"/>
      <c r="J922" s="82"/>
    </row>
    <row r="923">
      <c r="A923" s="82"/>
      <c r="C923" s="82"/>
      <c r="D923" s="195"/>
      <c r="G923" s="82"/>
      <c r="H923" s="287"/>
      <c r="I923" s="82"/>
      <c r="J923" s="82"/>
    </row>
    <row r="924">
      <c r="A924" s="82"/>
      <c r="C924" s="82"/>
      <c r="D924" s="195"/>
      <c r="G924" s="82"/>
      <c r="H924" s="287"/>
      <c r="I924" s="82"/>
      <c r="J924" s="82"/>
    </row>
    <row r="925">
      <c r="A925" s="82"/>
      <c r="C925" s="82"/>
      <c r="D925" s="195"/>
      <c r="G925" s="82"/>
      <c r="H925" s="287"/>
      <c r="I925" s="82"/>
      <c r="J925" s="82"/>
    </row>
    <row r="926">
      <c r="A926" s="82"/>
      <c r="C926" s="82"/>
      <c r="D926" s="195"/>
      <c r="G926" s="82"/>
      <c r="H926" s="287"/>
      <c r="I926" s="82"/>
      <c r="J926" s="82"/>
    </row>
    <row r="927">
      <c r="A927" s="82"/>
      <c r="C927" s="82"/>
      <c r="D927" s="195"/>
      <c r="G927" s="82"/>
      <c r="H927" s="287"/>
      <c r="I927" s="82"/>
      <c r="J927" s="82"/>
    </row>
    <row r="928">
      <c r="A928" s="82"/>
      <c r="C928" s="82"/>
      <c r="D928" s="195"/>
      <c r="G928" s="82"/>
      <c r="H928" s="287"/>
      <c r="I928" s="82"/>
      <c r="J928" s="82"/>
    </row>
    <row r="929">
      <c r="A929" s="82"/>
      <c r="C929" s="82"/>
      <c r="D929" s="195"/>
      <c r="G929" s="82"/>
      <c r="H929" s="287"/>
      <c r="I929" s="82"/>
      <c r="J929" s="82"/>
    </row>
    <row r="930">
      <c r="A930" s="82"/>
      <c r="C930" s="82"/>
      <c r="D930" s="195"/>
      <c r="G930" s="82"/>
      <c r="H930" s="287"/>
      <c r="I930" s="82"/>
      <c r="J930" s="82"/>
    </row>
    <row r="931">
      <c r="A931" s="82"/>
      <c r="C931" s="82"/>
      <c r="D931" s="195"/>
      <c r="G931" s="82"/>
      <c r="H931" s="287"/>
      <c r="I931" s="82"/>
      <c r="J931" s="82"/>
    </row>
    <row r="932">
      <c r="A932" s="82"/>
      <c r="C932" s="82"/>
      <c r="D932" s="195"/>
      <c r="G932" s="82"/>
      <c r="H932" s="287"/>
      <c r="I932" s="82"/>
      <c r="J932" s="82"/>
    </row>
    <row r="933">
      <c r="A933" s="82"/>
      <c r="C933" s="82"/>
      <c r="D933" s="195"/>
      <c r="G933" s="82"/>
      <c r="H933" s="287"/>
      <c r="I933" s="82"/>
      <c r="J933" s="82"/>
    </row>
    <row r="934">
      <c r="A934" s="82"/>
      <c r="C934" s="82"/>
      <c r="D934" s="195"/>
      <c r="G934" s="82"/>
      <c r="H934" s="287"/>
      <c r="I934" s="82"/>
      <c r="J934" s="82"/>
    </row>
    <row r="935">
      <c r="A935" s="82"/>
      <c r="C935" s="82"/>
      <c r="D935" s="195"/>
      <c r="G935" s="82"/>
      <c r="H935" s="287"/>
      <c r="I935" s="82"/>
      <c r="J935" s="82"/>
    </row>
    <row r="936">
      <c r="A936" s="82"/>
      <c r="C936" s="82"/>
      <c r="D936" s="195"/>
      <c r="G936" s="82"/>
      <c r="H936" s="287"/>
      <c r="I936" s="82"/>
      <c r="J936" s="82"/>
    </row>
    <row r="937">
      <c r="A937" s="82"/>
      <c r="C937" s="82"/>
      <c r="D937" s="195"/>
      <c r="G937" s="82"/>
      <c r="H937" s="287"/>
      <c r="I937" s="82"/>
      <c r="J937" s="82"/>
    </row>
    <row r="938">
      <c r="A938" s="82"/>
      <c r="C938" s="82"/>
      <c r="D938" s="195"/>
      <c r="G938" s="82"/>
      <c r="H938" s="287"/>
      <c r="I938" s="82"/>
      <c r="J938" s="82"/>
    </row>
    <row r="939">
      <c r="A939" s="82"/>
      <c r="C939" s="82"/>
      <c r="D939" s="195"/>
      <c r="G939" s="82"/>
      <c r="H939" s="287"/>
      <c r="I939" s="82"/>
      <c r="J939" s="82"/>
    </row>
    <row r="940">
      <c r="A940" s="82"/>
      <c r="C940" s="82"/>
      <c r="D940" s="195"/>
      <c r="G940" s="82"/>
      <c r="H940" s="287"/>
      <c r="I940" s="82"/>
      <c r="J940" s="82"/>
    </row>
    <row r="941">
      <c r="A941" s="82"/>
      <c r="C941" s="82"/>
      <c r="D941" s="195"/>
      <c r="G941" s="82"/>
      <c r="H941" s="287"/>
      <c r="I941" s="82"/>
      <c r="J941" s="82"/>
    </row>
    <row r="942">
      <c r="A942" s="82"/>
      <c r="C942" s="82"/>
      <c r="D942" s="195"/>
      <c r="G942" s="82"/>
      <c r="H942" s="287"/>
      <c r="I942" s="82"/>
      <c r="J942" s="82"/>
    </row>
    <row r="943">
      <c r="A943" s="82"/>
      <c r="C943" s="82"/>
      <c r="D943" s="195"/>
      <c r="G943" s="82"/>
      <c r="H943" s="287"/>
      <c r="I943" s="82"/>
      <c r="J943" s="82"/>
    </row>
    <row r="944">
      <c r="A944" s="82"/>
      <c r="C944" s="82"/>
      <c r="D944" s="195"/>
      <c r="G944" s="82"/>
      <c r="H944" s="287"/>
      <c r="I944" s="82"/>
      <c r="J944" s="82"/>
    </row>
    <row r="945">
      <c r="A945" s="82"/>
      <c r="C945" s="82"/>
      <c r="D945" s="195"/>
      <c r="G945" s="82"/>
      <c r="H945" s="287"/>
      <c r="I945" s="82"/>
      <c r="J945" s="82"/>
    </row>
    <row r="946">
      <c r="A946" s="82"/>
      <c r="C946" s="82"/>
      <c r="D946" s="195"/>
      <c r="G946" s="82"/>
      <c r="H946" s="287"/>
      <c r="I946" s="82"/>
      <c r="J946" s="82"/>
    </row>
    <row r="947">
      <c r="A947" s="82"/>
      <c r="C947" s="82"/>
      <c r="D947" s="195"/>
      <c r="G947" s="82"/>
      <c r="H947" s="287"/>
      <c r="I947" s="82"/>
      <c r="J947" s="82"/>
    </row>
    <row r="948">
      <c r="A948" s="82"/>
      <c r="C948" s="82"/>
      <c r="D948" s="195"/>
      <c r="G948" s="82"/>
      <c r="H948" s="287"/>
      <c r="I948" s="82"/>
      <c r="J948" s="82"/>
    </row>
    <row r="949">
      <c r="A949" s="82"/>
      <c r="C949" s="82"/>
      <c r="D949" s="195"/>
      <c r="G949" s="82"/>
      <c r="H949" s="287"/>
      <c r="I949" s="82"/>
      <c r="J949" s="82"/>
    </row>
    <row r="950">
      <c r="A950" s="82"/>
      <c r="C950" s="82"/>
      <c r="D950" s="195"/>
      <c r="G950" s="82"/>
      <c r="H950" s="287"/>
      <c r="I950" s="82"/>
      <c r="J950" s="82"/>
    </row>
    <row r="951">
      <c r="A951" s="82"/>
      <c r="C951" s="82"/>
      <c r="D951" s="195"/>
      <c r="G951" s="82"/>
      <c r="H951" s="287"/>
      <c r="I951" s="82"/>
      <c r="J951" s="82"/>
    </row>
    <row r="952">
      <c r="A952" s="82"/>
      <c r="C952" s="82"/>
      <c r="D952" s="195"/>
      <c r="G952" s="82"/>
      <c r="H952" s="287"/>
      <c r="I952" s="82"/>
      <c r="J952" s="82"/>
    </row>
    <row r="953">
      <c r="A953" s="82"/>
      <c r="C953" s="82"/>
      <c r="D953" s="195"/>
      <c r="G953" s="82"/>
      <c r="H953" s="287"/>
      <c r="I953" s="82"/>
      <c r="J953" s="82"/>
    </row>
    <row r="954">
      <c r="A954" s="82"/>
      <c r="C954" s="82"/>
      <c r="D954" s="195"/>
      <c r="G954" s="82"/>
      <c r="H954" s="287"/>
      <c r="I954" s="82"/>
      <c r="J954" s="82"/>
    </row>
    <row r="955">
      <c r="A955" s="82"/>
      <c r="C955" s="82"/>
      <c r="D955" s="195"/>
      <c r="G955" s="82"/>
      <c r="H955" s="287"/>
      <c r="I955" s="82"/>
      <c r="J955" s="82"/>
    </row>
    <row r="956">
      <c r="A956" s="82"/>
      <c r="C956" s="82"/>
      <c r="D956" s="195"/>
      <c r="G956" s="82"/>
      <c r="H956" s="287"/>
      <c r="I956" s="82"/>
      <c r="J956" s="82"/>
    </row>
    <row r="957">
      <c r="A957" s="82"/>
      <c r="C957" s="82"/>
      <c r="D957" s="195"/>
      <c r="G957" s="82"/>
      <c r="H957" s="287"/>
      <c r="I957" s="82"/>
      <c r="J957" s="82"/>
    </row>
    <row r="958">
      <c r="A958" s="82"/>
      <c r="C958" s="82"/>
      <c r="D958" s="195"/>
      <c r="G958" s="82"/>
      <c r="H958" s="287"/>
      <c r="I958" s="82"/>
      <c r="J958" s="82"/>
    </row>
    <row r="959">
      <c r="A959" s="82"/>
      <c r="C959" s="82"/>
      <c r="D959" s="195"/>
      <c r="G959" s="82"/>
      <c r="H959" s="287"/>
      <c r="I959" s="82"/>
      <c r="J959" s="82"/>
    </row>
    <row r="960">
      <c r="A960" s="82"/>
      <c r="C960" s="82"/>
      <c r="D960" s="195"/>
      <c r="G960" s="82"/>
      <c r="H960" s="287"/>
      <c r="I960" s="82"/>
      <c r="J960" s="82"/>
    </row>
    <row r="961">
      <c r="A961" s="82"/>
      <c r="C961" s="82"/>
      <c r="D961" s="195"/>
      <c r="G961" s="82"/>
      <c r="H961" s="287"/>
      <c r="I961" s="82"/>
      <c r="J961" s="82"/>
    </row>
    <row r="962">
      <c r="A962" s="82"/>
      <c r="C962" s="82"/>
      <c r="D962" s="195"/>
      <c r="G962" s="82"/>
      <c r="H962" s="287"/>
      <c r="I962" s="82"/>
      <c r="J962" s="82"/>
    </row>
    <row r="963">
      <c r="A963" s="82"/>
      <c r="C963" s="82"/>
      <c r="D963" s="195"/>
      <c r="G963" s="82"/>
      <c r="H963" s="287"/>
      <c r="I963" s="82"/>
      <c r="J963" s="82"/>
    </row>
    <row r="964">
      <c r="A964" s="82"/>
      <c r="C964" s="82"/>
      <c r="D964" s="195"/>
      <c r="G964" s="82"/>
      <c r="H964" s="287"/>
      <c r="I964" s="82"/>
      <c r="J964" s="82"/>
    </row>
    <row r="965">
      <c r="A965" s="82"/>
      <c r="C965" s="82"/>
      <c r="D965" s="195"/>
      <c r="G965" s="82"/>
      <c r="H965" s="287"/>
      <c r="I965" s="82"/>
      <c r="J965" s="82"/>
    </row>
    <row r="966">
      <c r="A966" s="82"/>
      <c r="C966" s="82"/>
      <c r="D966" s="195"/>
      <c r="G966" s="82"/>
      <c r="H966" s="287"/>
      <c r="I966" s="82"/>
      <c r="J966" s="82"/>
    </row>
    <row r="967">
      <c r="A967" s="82"/>
      <c r="C967" s="82"/>
      <c r="D967" s="195"/>
      <c r="G967" s="82"/>
      <c r="H967" s="287"/>
      <c r="I967" s="82"/>
      <c r="J967" s="82"/>
    </row>
    <row r="968">
      <c r="A968" s="82"/>
      <c r="C968" s="82"/>
      <c r="D968" s="195"/>
      <c r="G968" s="82"/>
      <c r="H968" s="287"/>
      <c r="I968" s="82"/>
      <c r="J968" s="82"/>
    </row>
    <row r="969">
      <c r="A969" s="82"/>
      <c r="C969" s="82"/>
      <c r="D969" s="195"/>
      <c r="G969" s="82"/>
      <c r="H969" s="287"/>
      <c r="I969" s="82"/>
      <c r="J969" s="82"/>
    </row>
    <row r="970">
      <c r="A970" s="82"/>
      <c r="C970" s="82"/>
      <c r="D970" s="195"/>
      <c r="G970" s="82"/>
      <c r="H970" s="287"/>
      <c r="I970" s="82"/>
      <c r="J970" s="82"/>
    </row>
    <row r="971">
      <c r="A971" s="82"/>
      <c r="C971" s="82"/>
      <c r="D971" s="195"/>
      <c r="G971" s="82"/>
      <c r="H971" s="287"/>
      <c r="I971" s="82"/>
      <c r="J971" s="82"/>
    </row>
    <row r="972">
      <c r="A972" s="82"/>
      <c r="C972" s="82"/>
      <c r="D972" s="195"/>
      <c r="G972" s="82"/>
      <c r="H972" s="287"/>
      <c r="I972" s="82"/>
      <c r="J972" s="82"/>
    </row>
    <row r="973">
      <c r="A973" s="82"/>
      <c r="C973" s="82"/>
      <c r="D973" s="195"/>
      <c r="G973" s="82"/>
      <c r="H973" s="287"/>
      <c r="I973" s="82"/>
      <c r="J973" s="82"/>
    </row>
    <row r="974">
      <c r="A974" s="82"/>
      <c r="C974" s="82"/>
      <c r="D974" s="195"/>
      <c r="G974" s="82"/>
      <c r="H974" s="287"/>
      <c r="I974" s="82"/>
      <c r="J974" s="82"/>
    </row>
    <row r="975">
      <c r="A975" s="82"/>
      <c r="C975" s="82"/>
      <c r="D975" s="195"/>
      <c r="G975" s="82"/>
      <c r="H975" s="287"/>
      <c r="I975" s="82"/>
      <c r="J975" s="82"/>
    </row>
    <row r="976">
      <c r="A976" s="82"/>
      <c r="C976" s="82"/>
      <c r="D976" s="195"/>
      <c r="G976" s="82"/>
      <c r="H976" s="287"/>
      <c r="I976" s="82"/>
      <c r="J976" s="82"/>
    </row>
    <row r="977">
      <c r="A977" s="82"/>
      <c r="C977" s="82"/>
      <c r="D977" s="195"/>
      <c r="G977" s="82"/>
      <c r="H977" s="287"/>
      <c r="I977" s="82"/>
      <c r="J977" s="82"/>
    </row>
    <row r="978">
      <c r="A978" s="82"/>
      <c r="C978" s="82"/>
      <c r="D978" s="195"/>
      <c r="G978" s="82"/>
      <c r="H978" s="287"/>
      <c r="I978" s="82"/>
      <c r="J978" s="82"/>
    </row>
    <row r="979">
      <c r="A979" s="82"/>
      <c r="C979" s="82"/>
      <c r="D979" s="195"/>
      <c r="G979" s="82"/>
      <c r="H979" s="287"/>
      <c r="I979" s="82"/>
      <c r="J979" s="82"/>
    </row>
    <row r="980">
      <c r="A980" s="82"/>
      <c r="C980" s="82"/>
      <c r="D980" s="195"/>
      <c r="G980" s="82"/>
      <c r="H980" s="287"/>
      <c r="I980" s="82"/>
      <c r="J980" s="82"/>
    </row>
    <row r="981">
      <c r="A981" s="82"/>
      <c r="C981" s="82"/>
      <c r="D981" s="195"/>
      <c r="G981" s="82"/>
      <c r="H981" s="287"/>
      <c r="I981" s="82"/>
      <c r="J981" s="82"/>
    </row>
    <row r="982">
      <c r="A982" s="82"/>
      <c r="C982" s="82"/>
      <c r="D982" s="195"/>
      <c r="G982" s="82"/>
      <c r="H982" s="287"/>
      <c r="I982" s="82"/>
      <c r="J982" s="82"/>
    </row>
    <row r="983">
      <c r="A983" s="82"/>
      <c r="C983" s="82"/>
      <c r="D983" s="195"/>
      <c r="G983" s="82"/>
      <c r="H983" s="287"/>
      <c r="I983" s="82"/>
      <c r="J983" s="82"/>
    </row>
    <row r="984">
      <c r="A984" s="82"/>
      <c r="C984" s="82"/>
      <c r="D984" s="195"/>
      <c r="G984" s="82"/>
      <c r="H984" s="287"/>
      <c r="I984" s="82"/>
      <c r="J984" s="82"/>
    </row>
    <row r="985">
      <c r="A985" s="82"/>
      <c r="C985" s="82"/>
      <c r="D985" s="195"/>
      <c r="G985" s="82"/>
      <c r="H985" s="287"/>
      <c r="I985" s="82"/>
      <c r="J985" s="82"/>
    </row>
    <row r="986">
      <c r="A986" s="82"/>
      <c r="C986" s="82"/>
      <c r="D986" s="195"/>
      <c r="G986" s="82"/>
      <c r="H986" s="287"/>
      <c r="I986" s="82"/>
      <c r="J986" s="82"/>
    </row>
    <row r="987">
      <c r="A987" s="82"/>
      <c r="C987" s="82"/>
      <c r="D987" s="195"/>
      <c r="G987" s="82"/>
      <c r="H987" s="287"/>
      <c r="I987" s="82"/>
      <c r="J987" s="82"/>
    </row>
    <row r="988">
      <c r="A988" s="82"/>
      <c r="C988" s="82"/>
      <c r="D988" s="195"/>
      <c r="G988" s="82"/>
      <c r="H988" s="287"/>
      <c r="I988" s="82"/>
      <c r="J988" s="82"/>
    </row>
    <row r="989">
      <c r="A989" s="82"/>
      <c r="C989" s="82"/>
      <c r="D989" s="195"/>
      <c r="G989" s="82"/>
      <c r="H989" s="287"/>
      <c r="I989" s="82"/>
      <c r="J989" s="82"/>
    </row>
    <row r="990">
      <c r="A990" s="82"/>
      <c r="C990" s="82"/>
      <c r="D990" s="195"/>
      <c r="G990" s="82"/>
      <c r="H990" s="287"/>
      <c r="I990" s="82"/>
      <c r="J990" s="82"/>
    </row>
    <row r="991">
      <c r="A991" s="82"/>
      <c r="C991" s="82"/>
      <c r="D991" s="195"/>
      <c r="G991" s="82"/>
      <c r="H991" s="287"/>
      <c r="I991" s="82"/>
      <c r="J991" s="82"/>
    </row>
    <row r="992">
      <c r="A992" s="82"/>
      <c r="C992" s="82"/>
      <c r="D992" s="195"/>
      <c r="G992" s="82"/>
      <c r="H992" s="287"/>
      <c r="I992" s="82"/>
      <c r="J992" s="82"/>
    </row>
    <row r="993">
      <c r="A993" s="82"/>
      <c r="C993" s="82"/>
      <c r="D993" s="195"/>
      <c r="G993" s="82"/>
      <c r="H993" s="287"/>
      <c r="I993" s="82"/>
      <c r="J993" s="82"/>
    </row>
    <row r="994">
      <c r="A994" s="82"/>
      <c r="C994" s="82"/>
      <c r="D994" s="195"/>
      <c r="G994" s="82"/>
      <c r="H994" s="287"/>
      <c r="I994" s="82"/>
      <c r="J994" s="82"/>
    </row>
    <row r="995">
      <c r="A995" s="82"/>
      <c r="C995" s="82"/>
      <c r="D995" s="195"/>
      <c r="G995" s="82"/>
      <c r="H995" s="287"/>
      <c r="I995" s="82"/>
      <c r="J995" s="82"/>
    </row>
    <row r="996">
      <c r="A996" s="82"/>
      <c r="C996" s="82"/>
      <c r="D996" s="195"/>
      <c r="G996" s="82"/>
      <c r="H996" s="287"/>
      <c r="I996" s="82"/>
      <c r="J996" s="82"/>
    </row>
    <row r="997">
      <c r="A997" s="82"/>
      <c r="C997" s="82"/>
      <c r="D997" s="195"/>
      <c r="G997" s="82"/>
      <c r="H997" s="287"/>
      <c r="I997" s="82"/>
      <c r="J997" s="82"/>
    </row>
    <row r="998">
      <c r="A998" s="82"/>
      <c r="C998" s="82"/>
      <c r="D998" s="195"/>
      <c r="G998" s="82"/>
      <c r="H998" s="287"/>
      <c r="I998" s="82"/>
      <c r="J998" s="82"/>
    </row>
    <row r="999">
      <c r="A999" s="82"/>
      <c r="C999" s="82"/>
      <c r="D999" s="195"/>
      <c r="G999" s="82"/>
      <c r="H999" s="287"/>
      <c r="I999" s="82"/>
      <c r="J999" s="82"/>
    </row>
    <row r="1000">
      <c r="A1000" s="82"/>
      <c r="C1000" s="82"/>
      <c r="D1000" s="195"/>
      <c r="G1000" s="82"/>
      <c r="H1000" s="287"/>
      <c r="I1000" s="82"/>
      <c r="J1000" s="82"/>
    </row>
    <row r="1001">
      <c r="A1001" s="82"/>
      <c r="C1001" s="82"/>
      <c r="D1001" s="195"/>
      <c r="G1001" s="82"/>
      <c r="H1001" s="287"/>
      <c r="I1001" s="82"/>
      <c r="J1001" s="82"/>
    </row>
  </sheetData>
  <drawing r:id="rId1"/>
</worksheet>
</file>